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xml" ContentType="application/vnd.openxmlformats-officedocument.drawing+xml"/>
  <Override PartName="/xl/tables/table4.xml" ContentType="application/vnd.openxmlformats-officedocument.spreadsheetml.table+xml"/>
  <Override PartName="/xl/pivotTables/pivotTable4.xml" ContentType="application/vnd.openxmlformats-officedocument.spreadsheetml.pivotTable+xml"/>
  <Override PartName="/xl/tables/table5.xml" ContentType="application/vnd.openxmlformats-officedocument.spreadsheetml.table+xml"/>
  <Override PartName="/xl/queryTables/queryTable1.xml" ContentType="application/vnd.openxmlformats-officedocument.spreadsheetml.query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9.xml" ContentType="application/vnd.openxmlformats-officedocument.drawing+xml"/>
  <Override PartName="/xl/ctrlProps/ctrlProp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omments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3.xml" ContentType="application/vnd.ms-excel.controlproperties+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pivotTables/pivotTable5.xml" ContentType="application/vnd.openxmlformats-officedocument.spreadsheetml.pivotTable+xml"/>
  <Override PartName="/xl/drawings/drawing25.xml" ContentType="application/vnd.openxmlformats-officedocument.drawing+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8.xml" ContentType="application/vnd.openxmlformats-officedocument.drawing+xml"/>
  <Override PartName="/xl/drawings/drawing29.xml" ContentType="application/vnd.openxmlformats-officedocument.drawing+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tables/table9.xml" ContentType="application/vnd.openxmlformats-officedocument.spreadsheetml.table+xml"/>
  <Override PartName="/xl/drawings/drawing31.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tables/table10.xml" ContentType="application/vnd.openxmlformats-officedocument.spreadsheetml.table+xml"/>
  <Override PartName="/xl/comments4.xml" ContentType="application/vnd.openxmlformats-officedocument.spreadsheetml.comments+xml"/>
  <Override PartName="/xl/pivotTables/pivotTable8.xml" ContentType="application/vnd.openxmlformats-officedocument.spreadsheetml.pivotTable+xml"/>
  <Override PartName="/xl/drawings/drawing32.xml" ContentType="application/vnd.openxmlformats-officedocument.drawing+xml"/>
  <Override PartName="/xl/charts/chart47.xml" ContentType="application/vnd.openxmlformats-officedocument.drawingml.chart+xml"/>
  <Override PartName="/xl/charts/style34.xml" ContentType="application/vnd.ms-office.chartstyle+xml"/>
  <Override PartName="/xl/charts/colors34.xml" ContentType="application/vnd.ms-office.chartcolorstyle+xml"/>
  <Override PartName="/xl/pivotTables/pivotTable9.xml" ContentType="application/vnd.openxmlformats-officedocument.spreadsheetml.pivotTable+xml"/>
  <Override PartName="/xl/drawings/drawing33.xml" ContentType="application/vnd.openxmlformats-officedocument.drawing+xml"/>
  <Override PartName="/xl/charts/chart48.xml" ContentType="application/vnd.openxmlformats-officedocument.drawingml.chart+xml"/>
  <Override PartName="/xl/charts/style35.xml" ContentType="application/vnd.ms-office.chartstyle+xml"/>
  <Override PartName="/xl/charts/colors35.xml" ContentType="application/vnd.ms-office.chartcolorsty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restrepom.22\OneDrive - Universidad EAFIT\Especialización EAFIT\BurkenRoad\"/>
    </mc:Choice>
  </mc:AlternateContent>
  <bookViews>
    <workbookView xWindow="810" yWindow="-120" windowWidth="19800" windowHeight="11760" tabRatio="822" firstSheet="20" activeTab="27"/>
  </bookViews>
  <sheets>
    <sheet name="Años" sheetId="10" state="hidden" r:id="rId1"/>
    <sheet name="Menu" sheetId="14" r:id="rId2"/>
    <sheet name="Hoja1" sheetId="35" state="hidden" r:id="rId3"/>
    <sheet name="Hoja4" sheetId="31" state="hidden" r:id="rId4"/>
    <sheet name="Dashboard" sheetId="25" r:id="rId5"/>
    <sheet name="Hoja3" sheetId="52" state="hidden" r:id="rId6"/>
    <sheet name="Balance General" sheetId="1" r:id="rId7"/>
    <sheet name="Estados de Resultados Consolida" sheetId="2" r:id="rId8"/>
    <sheet name="Graficas" sheetId="79" r:id="rId9"/>
    <sheet name="Indicadores" sheetId="7" r:id="rId10"/>
    <sheet name="Dinamica Dash" sheetId="34" state="hidden" r:id="rId11"/>
    <sheet name="Indicadores Estrategicos" sheetId="9" state="hidden" r:id="rId12"/>
    <sheet name="g" sheetId="97" r:id="rId13"/>
    <sheet name="Suspuestos" sheetId="40" r:id="rId14"/>
    <sheet name="ER Proyectado" sheetId="41" r:id="rId15"/>
    <sheet name="BG Proyectado" sheetId="50" r:id="rId16"/>
    <sheet name="WACC " sheetId="49" r:id="rId17"/>
    <sheet name="Cambios KTNO" sheetId="80" r:id="rId18"/>
    <sheet name="Valoración Multiplos" sheetId="99" r:id="rId19"/>
    <sheet name="Multiplos" sheetId="98" r:id="rId20"/>
    <sheet name="Histogram" sheetId="102" r:id="rId21"/>
    <sheet name="Report" sheetId="101" r:id="rId22"/>
    <sheet name="FCL" sheetId="51" r:id="rId23"/>
    <sheet name="Anal. Sensibilidad Compa" sheetId="78" state="hidden" r:id="rId24"/>
    <sheet name="Anal. Sensibilidad Accion" sheetId="77" state="hidden" r:id="rId25"/>
    <sheet name="Resultado Simulación" sheetId="73" state="hidden" r:id="rId26"/>
    <sheet name="Tornado" sheetId="100" r:id="rId27"/>
    <sheet name="VariablesSimulacion" sheetId="56" r:id="rId28"/>
    <sheet name="Informacion Complementaria" sheetId="15" r:id="rId29"/>
    <sheet name="Analisis Sensibilidad" sheetId="96" r:id="rId30"/>
    <sheet name="Sensitivity" sheetId="95" r:id="rId31"/>
    <sheet name="Report Simulación" sheetId="94" r:id="rId32"/>
    <sheet name="RiskSim" sheetId="55" state="veryHidden" r:id="rId33"/>
    <sheet name="Dinamica " sheetId="26" state="hidden" r:id="rId34"/>
    <sheet name="Correlacion" sheetId="47" r:id="rId35"/>
    <sheet name="WACC" sheetId="38" state="hidden" r:id="rId36"/>
    <sheet name="Analisis Produccion Vs Ventas" sheetId="36" r:id="rId37"/>
    <sheet name="TRM" sheetId="8" r:id="rId38"/>
    <sheet name="Proyeccion Efec Conv. Moneda" sheetId="53" state="hidden" r:id="rId39"/>
    <sheet name="ComportamientoAcción" sheetId="6" r:id="rId40"/>
    <sheet name="Hoja2" sheetId="28" state="hidden" r:id="rId41"/>
    <sheet name="Rs Oper y Fin Desta" sheetId="4" state="hidden" r:id="rId42"/>
    <sheet name="PCC cemento Colombia" sheetId="62" state="hidden" r:id="rId43"/>
    <sheet name="Accionistas" sheetId="63" state="hidden" r:id="rId44"/>
    <sheet name="Principales Subsidiarias" sheetId="64" state="hidden" r:id="rId45"/>
    <sheet name="Equipo directivo" sheetId="65" state="hidden" r:id="rId46"/>
    <sheet name="Competidores" sheetId="66" state="hidden" r:id="rId47"/>
    <sheet name="Sheet3" sheetId="37" state="hidden" r:id="rId48"/>
    <sheet name="Resultados Operativos" sheetId="5" state="hidden" r:id="rId49"/>
  </sheets>
  <externalReferences>
    <externalReference r:id="rId50"/>
    <externalReference r:id="rId51"/>
  </externalReferences>
  <definedNames>
    <definedName name="_xlnm._FilterDatabase" localSheetId="36" hidden="1">'Analisis Produccion Vs Ventas'!$A$5:$T$25</definedName>
    <definedName name="_xlnm._FilterDatabase" localSheetId="37" hidden="1">TRM!$A$2:$C$9811</definedName>
    <definedName name="_xlcn.WorksheetConnection_InformaciónConsolidada.xlsxAño1" hidden="1">Años[]</definedName>
    <definedName name="_xlcn.WorksheetConnection_InformaciónConsolidada.xlsxBalanceGeneral1" hidden="1">BalanceGeneral[]</definedName>
    <definedName name="_xlcn.WorksheetConnection_InformaciónConsolidada.xlsxBalanceGeneralPivot__21" hidden="1">BalanceGeneralPivot__2</definedName>
    <definedName name="_xlcn.WorksheetConnection_InformaciónConsolidada.xlsxEstadosDeResultados1" hidden="1">EstadosDeResultados[]</definedName>
    <definedName name="_xlcn.WorksheetConnection_InformaciónConsolidada.xlsxEstadosDeResultadosAnalVertical1" hidden="1">EstadosDeResultadosAnalVertical</definedName>
    <definedName name="AccionesEnCirculacion">'Informacion Complementaria'!$B$14</definedName>
    <definedName name="BaseYear" localSheetId="21">#REF!</definedName>
    <definedName name="BaseYear" localSheetId="30">#REF!</definedName>
    <definedName name="BaseYear" localSheetId="26">#REF!</definedName>
    <definedName name="BaseYear">#REF!</definedName>
    <definedName name="CBWorkbookPriority" hidden="1">-1935235038</definedName>
    <definedName name="DiscountRate" localSheetId="21">#REF!</definedName>
    <definedName name="DiscountRate" localSheetId="30">#REF!</definedName>
    <definedName name="DiscountRate" localSheetId="26">#REF!</definedName>
    <definedName name="DiscountRate">#REF!</definedName>
    <definedName name="Erosion" localSheetId="30">#REF!</definedName>
    <definedName name="Erosion" localSheetId="26">#REF!</definedName>
    <definedName name="Erosion">#REF!</definedName>
    <definedName name="ExternalData_1" localSheetId="10" hidden="1">'Dinamica Dash'!$A$1:$E$131</definedName>
    <definedName name="GrowthRate" localSheetId="30">#REF!</definedName>
    <definedName name="GrowthRate" localSheetId="26">#REF!</definedName>
    <definedName name="GrowthRate">#REF!</definedName>
    <definedName name="MaximoPrecioCierre">'Informacion Complementaria'!$B$11</definedName>
    <definedName name="MinimoPrecioCierre">'Informacion Complementaria'!$B$12</definedName>
    <definedName name="ModelType" localSheetId="21">#REF!</definedName>
    <definedName name="ModelType">#REF!</definedName>
    <definedName name="PorcentajeColombia">'Informacion Complementaria'!$H$17</definedName>
    <definedName name="PorcentajeCostaRica">'Informacion Complementaria'!$H$19</definedName>
    <definedName name="PorcentajeGuatemala">'Informacion Complementaria'!$H$21</definedName>
    <definedName name="PorcentajeNicaragua">'Informacion Complementaria'!$H$20</definedName>
    <definedName name="PorcentajePanama">'Informacion Complementaria'!$H$18</definedName>
    <definedName name="PorcentajeSalvador">'Informacion Complementaria'!$H$22</definedName>
    <definedName name="PrivateRate" localSheetId="21">#REF!</definedName>
    <definedName name="PrivateRate" localSheetId="30">#REF!</definedName>
    <definedName name="PrivateRate" localSheetId="26">#REF!</definedName>
    <definedName name="PrivateRate">#REF!</definedName>
    <definedName name="PromedioVolumenDiario">'Informacion Complementaria'!$B$10</definedName>
    <definedName name="PVInvestments" localSheetId="21">#REF!</definedName>
    <definedName name="PVInvestments">#REF!</definedName>
    <definedName name="Slicer_INDICADOR_FINANCIERO">#N/A</definedName>
    <definedName name="Slicer_Tipo_Variacion">#N/A</definedName>
    <definedName name="StartYear" localSheetId="24">'[1]DCF 模型'!#REF!</definedName>
    <definedName name="StartYear" localSheetId="23">'[1]DCF 模型'!#REF!</definedName>
    <definedName name="StartYear" localSheetId="29">'[2]DCF 模型'!#REF!</definedName>
    <definedName name="StartYear" localSheetId="21">#REF!</definedName>
    <definedName name="StartYear" localSheetId="30">#REF!</definedName>
    <definedName name="StartYear" localSheetId="26">#REF!</definedName>
    <definedName name="StartYear">#REF!</definedName>
    <definedName name="TasaImpuestosPonderada">Suspuestos!#REF!</definedName>
    <definedName name="TasaPonderadaImpuestos2019">'Informacion Complementaria'!$J$23</definedName>
    <definedName name="TasaPonderadaImpuestos2020">'Informacion Complementaria'!$K$23</definedName>
    <definedName name="TaxRate" localSheetId="21">#REF!</definedName>
    <definedName name="TaxRate" localSheetId="30">#REF!</definedName>
    <definedName name="TaxRate" localSheetId="26">#REF!</definedName>
    <definedName name="TaxRate">#REF!</definedName>
    <definedName name="Terminal" localSheetId="21">#REF!</definedName>
    <definedName name="Terminal">#REF!</definedName>
    <definedName name="Type" localSheetId="21">#REF!</definedName>
    <definedName name="Type">#REF!</definedName>
    <definedName name="VariablesSimulacion">VariablesSimulacion!$A$2</definedName>
  </definedNames>
  <calcPr calcId="162913"/>
  <pivotCaches>
    <pivotCache cacheId="43" r:id="rId52"/>
    <pivotCache cacheId="44" r:id="rId53"/>
    <pivotCache cacheId="45" r:id="rId54"/>
    <pivotCache cacheId="46" r:id="rId55"/>
    <pivotCache cacheId="47" r:id="rId56"/>
    <pivotCache cacheId="48" r:id="rId57"/>
    <pivotCache cacheId="49" r:id="rId58"/>
    <pivotCache cacheId="50" r:id="rId59"/>
    <pivotCache cacheId="51" r:id="rId60"/>
  </pivotCaches>
  <extLst>
    <ext xmlns:x14="http://schemas.microsoft.com/office/spreadsheetml/2009/9/main" uri="{BBE1A952-AA13-448e-AADC-164F8A28A991}">
      <x14:slicerCaches>
        <x14:slicerCache r:id="rId61"/>
        <x14:slicerCache r:id="rId62"/>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EstadosDeResultadosAnalVertical" name="EstadosDeResultadosAnalVertical" connection="WorksheetConnection_Información Consolidada.xlsx!EstadosDeResultadosAnalVertical"/>
          <x15:modelTable id="EstadosDeResultados" name="EstadosDeResultados" connection="WorksheetConnection_Información Consolidada.xlsx!EstadosDeResultados"/>
          <x15:modelTable id="BalanceGeneralPivot__2" name="BalanceGeneralPivot__2" connection="WorksheetConnection_Información Consolidada.xlsx!BalanceGeneralPivot__2"/>
          <x15:modelTable id="BalanceGeneral" name="BalanceGeneral" connection="WorksheetConnection_Información Consolidada.xlsx!BalanceGeneral"/>
          <x15:modelTable id="Año" name="Año" connection="WorksheetConnection_Información Consolidada.xlsx!Año"/>
        </x15:modelTables>
        <x15:modelRelationships>
          <x15:modelRelationship fromTable="EstadosDeResultadosAnalVertical" fromColumn="Año" toTable="Año" toColumn="Años"/>
          <x15:modelRelationship fromTable="BalanceGeneralPivot__2" fromColumn="año" toTable="Año" toColumn="Años"/>
        </x15:modelRelationship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 i="6" l="1"/>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L3"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P65" i="102" l="1"/>
  <c r="P66" i="102" s="1"/>
  <c r="P67" i="102" s="1"/>
  <c r="P68" i="102" s="1"/>
  <c r="P69" i="102" s="1"/>
  <c r="P70" i="102" s="1"/>
  <c r="P71" i="102" s="1"/>
  <c r="P72" i="102" s="1"/>
  <c r="P73" i="102" s="1"/>
  <c r="P74" i="102" s="1"/>
  <c r="P75" i="102" s="1"/>
  <c r="P76" i="102" s="1"/>
  <c r="P77" i="102" s="1"/>
  <c r="P78" i="102" s="1"/>
  <c r="P79" i="102" s="1"/>
  <c r="P80" i="102" s="1"/>
  <c r="P81" i="102" s="1"/>
  <c r="P82" i="102" s="1"/>
  <c r="P83" i="102" s="1"/>
  <c r="P84" i="102" s="1"/>
  <c r="P85" i="102" s="1"/>
  <c r="P86" i="102" s="1"/>
  <c r="P87" i="102" s="1"/>
  <c r="P88" i="102" s="1"/>
  <c r="O65" i="102"/>
  <c r="O66" i="102" s="1"/>
  <c r="O67" i="102" s="1"/>
  <c r="O68" i="102" s="1"/>
  <c r="O69" i="102" s="1"/>
  <c r="O70" i="102" s="1"/>
  <c r="O71" i="102" s="1"/>
  <c r="O72" i="102" s="1"/>
  <c r="O73" i="102" s="1"/>
  <c r="O74" i="102" s="1"/>
  <c r="O75" i="102" s="1"/>
  <c r="O76" i="102" s="1"/>
  <c r="O77" i="102" s="1"/>
  <c r="O78" i="102" s="1"/>
  <c r="O79" i="102" s="1"/>
  <c r="O80" i="102" s="1"/>
  <c r="O81" i="102" s="1"/>
  <c r="O82" i="102" s="1"/>
  <c r="O83" i="102" s="1"/>
  <c r="O84" i="102" s="1"/>
  <c r="O85" i="102" s="1"/>
  <c r="O86" i="102" s="1"/>
  <c r="O87" i="102" s="1"/>
  <c r="O88" i="102" s="1"/>
  <c r="O17" i="102"/>
  <c r="O16" i="102"/>
  <c r="O15" i="102"/>
  <c r="O14" i="102"/>
  <c r="O13" i="102"/>
  <c r="O12" i="102"/>
  <c r="O11" i="102"/>
  <c r="O10" i="102"/>
  <c r="O9" i="102"/>
  <c r="O8" i="102"/>
  <c r="O7" i="102"/>
  <c r="O6" i="102"/>
  <c r="O5" i="102"/>
  <c r="O4" i="102"/>
  <c r="O3" i="102"/>
  <c r="O2" i="102"/>
  <c r="E2" i="102"/>
  <c r="D2" i="102"/>
  <c r="P46" i="51" l="1"/>
  <c r="P44" i="51"/>
  <c r="B10" i="15" l="1"/>
  <c r="D6" i="99" l="1"/>
  <c r="C6" i="99"/>
  <c r="B6" i="99"/>
  <c r="F18" i="98"/>
  <c r="D23" i="99" s="1"/>
  <c r="E18" i="98"/>
  <c r="D32" i="99" s="1"/>
  <c r="D18" i="98"/>
  <c r="C18" i="98"/>
  <c r="D15" i="99" s="1"/>
  <c r="D16" i="99" s="1"/>
  <c r="F17" i="98"/>
  <c r="C23" i="99" s="1"/>
  <c r="E17" i="98"/>
  <c r="C32" i="99" s="1"/>
  <c r="D17" i="98"/>
  <c r="C17" i="98"/>
  <c r="C15" i="99" s="1"/>
  <c r="F16" i="98"/>
  <c r="B23" i="99" s="1"/>
  <c r="E16" i="98"/>
  <c r="B32" i="99" s="1"/>
  <c r="D16" i="98"/>
  <c r="C16" i="98"/>
  <c r="B15" i="99" s="1"/>
  <c r="B17" i="98"/>
  <c r="C7" i="99" s="1"/>
  <c r="C8" i="99" s="1"/>
  <c r="B18" i="98"/>
  <c r="D7" i="99" s="1"/>
  <c r="D8" i="99" s="1"/>
  <c r="D9" i="99" s="1"/>
  <c r="D42" i="99" s="1"/>
  <c r="B16" i="98"/>
  <c r="B7" i="99" s="1"/>
  <c r="B8" i="99" s="1"/>
  <c r="C9" i="99" l="1"/>
  <c r="C42" i="99" s="1"/>
  <c r="B25" i="99"/>
  <c r="B44" i="99" s="1"/>
  <c r="B24" i="99"/>
  <c r="C25" i="99"/>
  <c r="C44" i="99" s="1"/>
  <c r="C24" i="99"/>
  <c r="B17" i="99"/>
  <c r="B43" i="99" s="1"/>
  <c r="B16" i="99"/>
  <c r="C16" i="99"/>
  <c r="C17" i="99"/>
  <c r="C43" i="99" s="1"/>
  <c r="D25" i="99"/>
  <c r="D44" i="99" s="1"/>
  <c r="D24" i="99"/>
  <c r="B9" i="99"/>
  <c r="B42" i="99" s="1"/>
  <c r="D17" i="99"/>
  <c r="D43" i="99" s="1"/>
  <c r="D8" i="80" l="1"/>
  <c r="C8" i="80"/>
  <c r="B8" i="80"/>
  <c r="D7" i="80"/>
  <c r="C7" i="80"/>
  <c r="B7" i="80"/>
  <c r="D6" i="80"/>
  <c r="C6" i="80"/>
  <c r="B6" i="80"/>
  <c r="B9" i="80" l="1"/>
  <c r="C9" i="80"/>
  <c r="C10" i="80" s="1"/>
  <c r="D9" i="80"/>
  <c r="D10" i="80" l="1"/>
  <c r="I6" i="7"/>
  <c r="E8" i="80"/>
  <c r="E7" i="80"/>
  <c r="E6" i="80"/>
  <c r="C32" i="40"/>
  <c r="D32" i="40"/>
  <c r="C7" i="51"/>
  <c r="C6" i="51"/>
  <c r="D7" i="51"/>
  <c r="D6" i="51"/>
  <c r="E7" i="51"/>
  <c r="E6" i="51"/>
  <c r="F6" i="51"/>
  <c r="H6" i="51"/>
  <c r="E9" i="80" l="1"/>
  <c r="E10" i="80" s="1"/>
  <c r="P65" i="94"/>
  <c r="P66" i="94" s="1"/>
  <c r="P67" i="94" s="1"/>
  <c r="P68" i="94" s="1"/>
  <c r="P69" i="94" s="1"/>
  <c r="P70" i="94" s="1"/>
  <c r="P71" i="94" s="1"/>
  <c r="P72" i="94" s="1"/>
  <c r="P73" i="94" s="1"/>
  <c r="P74" i="94" s="1"/>
  <c r="P75" i="94" s="1"/>
  <c r="P76" i="94" s="1"/>
  <c r="P77" i="94" s="1"/>
  <c r="P78" i="94" s="1"/>
  <c r="P79" i="94" s="1"/>
  <c r="P80" i="94" s="1"/>
  <c r="P81" i="94" s="1"/>
  <c r="P82" i="94" s="1"/>
  <c r="P83" i="94" s="1"/>
  <c r="P84" i="94" s="1"/>
  <c r="P85" i="94" s="1"/>
  <c r="P86" i="94" s="1"/>
  <c r="P87" i="94" s="1"/>
  <c r="P88" i="94" s="1"/>
  <c r="O65" i="94"/>
  <c r="O66" i="94" s="1"/>
  <c r="O67" i="94" s="1"/>
  <c r="O68" i="94" s="1"/>
  <c r="O69" i="94" s="1"/>
  <c r="O70" i="94" s="1"/>
  <c r="O71" i="94" s="1"/>
  <c r="O72" i="94" s="1"/>
  <c r="O73" i="94" s="1"/>
  <c r="O74" i="94" s="1"/>
  <c r="O75" i="94" s="1"/>
  <c r="O76" i="94" s="1"/>
  <c r="O77" i="94" s="1"/>
  <c r="O78" i="94" s="1"/>
  <c r="O79" i="94" s="1"/>
  <c r="O80" i="94" s="1"/>
  <c r="O81" i="94" s="1"/>
  <c r="O82" i="94" s="1"/>
  <c r="O83" i="94" s="1"/>
  <c r="O84" i="94" s="1"/>
  <c r="O85" i="94" s="1"/>
  <c r="O86" i="94" s="1"/>
  <c r="O87" i="94" s="1"/>
  <c r="O88" i="94" s="1"/>
  <c r="O17" i="94"/>
  <c r="O16" i="94"/>
  <c r="O15" i="94"/>
  <c r="O14" i="94"/>
  <c r="O13" i="94"/>
  <c r="O12" i="94"/>
  <c r="O11" i="94"/>
  <c r="O10" i="94"/>
  <c r="O9" i="94"/>
  <c r="O8" i="94"/>
  <c r="O7" i="94"/>
  <c r="O6" i="94"/>
  <c r="O5" i="94"/>
  <c r="O4" i="94"/>
  <c r="O3" i="94"/>
  <c r="O2" i="94"/>
  <c r="E2" i="94"/>
  <c r="D2" i="94"/>
  <c r="H14" i="40" l="1"/>
  <c r="F14" i="40"/>
  <c r="J10" i="50" l="1"/>
  <c r="J12" i="50"/>
  <c r="K12" i="50" s="1"/>
  <c r="L12" i="50" s="1"/>
  <c r="M12" i="50" s="1"/>
  <c r="N12" i="50" s="1"/>
  <c r="K10" i="50" l="1"/>
  <c r="L10" i="50" s="1"/>
  <c r="M10" i="50" l="1"/>
  <c r="N10" i="50" s="1"/>
  <c r="Q4" i="49"/>
  <c r="P4" i="49"/>
  <c r="J41" i="50" l="1"/>
  <c r="K41" i="50" s="1"/>
  <c r="L41" i="50" s="1"/>
  <c r="M41" i="50" s="1"/>
  <c r="N41" i="50" s="1"/>
  <c r="B46" i="7" l="1"/>
  <c r="B45" i="7"/>
  <c r="B40" i="7"/>
  <c r="B38" i="7"/>
  <c r="B37" i="7"/>
  <c r="B36" i="7"/>
  <c r="B35" i="7"/>
  <c r="W45" i="1"/>
  <c r="W43" i="1"/>
  <c r="W42" i="1"/>
  <c r="W41" i="1"/>
  <c r="W40" i="1"/>
  <c r="W39" i="1"/>
  <c r="W34" i="1"/>
  <c r="W33" i="1"/>
  <c r="W32" i="1"/>
  <c r="W31" i="1"/>
  <c r="W30" i="1"/>
  <c r="W27" i="1"/>
  <c r="W26" i="1"/>
  <c r="W25" i="1"/>
  <c r="W24" i="1"/>
  <c r="W23" i="1"/>
  <c r="W18" i="1"/>
  <c r="W17" i="1"/>
  <c r="W16" i="1"/>
  <c r="W15" i="1"/>
  <c r="W12" i="1"/>
  <c r="W11" i="1"/>
  <c r="W10" i="1"/>
  <c r="W9" i="1"/>
  <c r="W8" i="1"/>
  <c r="W7" i="1"/>
  <c r="W6" i="1"/>
  <c r="D22" i="77" l="1"/>
  <c r="D21" i="77"/>
  <c r="D21" i="78"/>
  <c r="P67" i="73" l="1"/>
  <c r="P68" i="73" s="1"/>
  <c r="P69" i="73" s="1"/>
  <c r="P70" i="73" s="1"/>
  <c r="P71" i="73" s="1"/>
  <c r="P72" i="73" s="1"/>
  <c r="P73" i="73" s="1"/>
  <c r="P74" i="73" s="1"/>
  <c r="P75" i="73" s="1"/>
  <c r="P76" i="73" s="1"/>
  <c r="P77" i="73" s="1"/>
  <c r="P78" i="73" s="1"/>
  <c r="P79" i="73" s="1"/>
  <c r="P80" i="73" s="1"/>
  <c r="P81" i="73" s="1"/>
  <c r="P82" i="73" s="1"/>
  <c r="P83" i="73" s="1"/>
  <c r="P84" i="73" s="1"/>
  <c r="P85" i="73" s="1"/>
  <c r="P86" i="73" s="1"/>
  <c r="P87" i="73" s="1"/>
  <c r="P88" i="73" s="1"/>
  <c r="P89" i="73" s="1"/>
  <c r="P90" i="73" s="1"/>
  <c r="O67" i="73"/>
  <c r="O68" i="73" s="1"/>
  <c r="O69" i="73" s="1"/>
  <c r="O70" i="73" s="1"/>
  <c r="O71" i="73" s="1"/>
  <c r="O72" i="73" s="1"/>
  <c r="O73" i="73" s="1"/>
  <c r="O74" i="73" s="1"/>
  <c r="O75" i="73" s="1"/>
  <c r="O76" i="73" s="1"/>
  <c r="O77" i="73" s="1"/>
  <c r="O78" i="73" s="1"/>
  <c r="O79" i="73" s="1"/>
  <c r="O80" i="73" s="1"/>
  <c r="O81" i="73" s="1"/>
  <c r="O82" i="73" s="1"/>
  <c r="O83" i="73" s="1"/>
  <c r="O84" i="73" s="1"/>
  <c r="O85" i="73" s="1"/>
  <c r="O86" i="73" s="1"/>
  <c r="O87" i="73" s="1"/>
  <c r="O88" i="73" s="1"/>
  <c r="O89" i="73" s="1"/>
  <c r="O90" i="73" s="1"/>
  <c r="O19" i="73"/>
  <c r="O18" i="73"/>
  <c r="O17" i="73"/>
  <c r="O16" i="73"/>
  <c r="O15" i="73"/>
  <c r="O14" i="73"/>
  <c r="O13" i="73"/>
  <c r="O12" i="73"/>
  <c r="O11" i="73"/>
  <c r="O10" i="73"/>
  <c r="O9" i="73"/>
  <c r="O8" i="73"/>
  <c r="O7" i="73"/>
  <c r="O6" i="73"/>
  <c r="O5" i="73"/>
  <c r="O4" i="73"/>
  <c r="E4" i="73"/>
  <c r="D4" i="73"/>
  <c r="F11" i="63" l="1"/>
  <c r="G11" i="63"/>
  <c r="G12" i="63"/>
  <c r="G10" i="63"/>
  <c r="F10" i="63"/>
  <c r="A4" i="63"/>
  <c r="A31" i="7"/>
  <c r="A32" i="7"/>
  <c r="I24" i="41" l="1"/>
  <c r="J24" i="41" s="1"/>
  <c r="K24" i="41" s="1"/>
  <c r="L24" i="41" s="1"/>
  <c r="M24" i="41" s="1"/>
  <c r="B30" i="15"/>
  <c r="I20" i="9" l="1"/>
  <c r="H20" i="9"/>
  <c r="G20" i="9"/>
  <c r="F20" i="9"/>
  <c r="P20" i="9" s="1"/>
  <c r="E20" i="9"/>
  <c r="D20" i="9"/>
  <c r="O20" i="9" s="1"/>
  <c r="S20" i="9"/>
  <c r="X20" i="9"/>
  <c r="Q20" i="9" l="1"/>
  <c r="U20" i="9"/>
  <c r="W20" i="9"/>
  <c r="R20" i="9"/>
  <c r="V20" i="9"/>
  <c r="T20" i="9"/>
  <c r="F23" i="51"/>
  <c r="E23" i="51"/>
  <c r="D23" i="51"/>
  <c r="C23" i="51"/>
  <c r="B27" i="51"/>
  <c r="B23" i="51"/>
  <c r="B10" i="51"/>
  <c r="B25" i="51" s="1"/>
  <c r="P17" i="56" l="1"/>
  <c r="M17" i="56"/>
  <c r="J17" i="56"/>
  <c r="G17" i="56"/>
  <c r="D17" i="56"/>
  <c r="N17" i="56"/>
  <c r="K17" i="56"/>
  <c r="H17" i="56"/>
  <c r="E17" i="56"/>
  <c r="B17" i="56"/>
  <c r="B11" i="15" l="1"/>
  <c r="B12" i="15"/>
  <c r="H23" i="51" l="1"/>
  <c r="G25" i="40" l="1"/>
  <c r="C15" i="49" l="1"/>
  <c r="B15" i="49"/>
  <c r="G14" i="64" l="1"/>
  <c r="F14" i="64"/>
  <c r="E14" i="64"/>
  <c r="D14" i="64"/>
  <c r="C14" i="64"/>
  <c r="D25" i="63"/>
  <c r="C25" i="63"/>
  <c r="F19" i="4"/>
  <c r="E19" i="4"/>
  <c r="D19" i="4"/>
  <c r="C19" i="4"/>
  <c r="B19" i="4"/>
  <c r="F17" i="4"/>
  <c r="E17" i="4"/>
  <c r="D17" i="4"/>
  <c r="C17" i="4"/>
  <c r="B17" i="4"/>
  <c r="F16" i="4"/>
  <c r="E16" i="4"/>
  <c r="D16" i="4"/>
  <c r="C16" i="4"/>
  <c r="B16" i="4"/>
  <c r="F7" i="4"/>
  <c r="E7" i="4"/>
  <c r="D7" i="4"/>
  <c r="C7" i="4"/>
  <c r="B7" i="4"/>
  <c r="H64" i="36"/>
  <c r="G64" i="36"/>
  <c r="F64" i="36"/>
  <c r="E64" i="36"/>
  <c r="D64" i="36"/>
  <c r="C64" i="36"/>
  <c r="H60" i="36"/>
  <c r="G60" i="36"/>
  <c r="F60" i="36"/>
  <c r="E60" i="36"/>
  <c r="D60" i="36"/>
  <c r="C60" i="36"/>
  <c r="H56" i="36"/>
  <c r="G56" i="36"/>
  <c r="F56" i="36"/>
  <c r="E56" i="36"/>
  <c r="D56" i="36"/>
  <c r="C56" i="36"/>
  <c r="H51" i="36"/>
  <c r="G51" i="36"/>
  <c r="F51" i="36"/>
  <c r="E51" i="36"/>
  <c r="D51" i="36"/>
  <c r="C51" i="36"/>
  <c r="H73" i="36"/>
  <c r="H69" i="36"/>
  <c r="H68" i="36"/>
  <c r="AE7" i="9" l="1"/>
  <c r="AC35" i="7" l="1"/>
  <c r="AE18" i="9"/>
  <c r="AC46" i="7" s="1"/>
  <c r="D18" i="9"/>
  <c r="AE17" i="9"/>
  <c r="AC45" i="7" s="1"/>
  <c r="D17" i="9"/>
  <c r="AE5" i="9"/>
  <c r="AC33" i="7" s="1"/>
  <c r="AE4" i="9"/>
  <c r="AC32" i="7" s="1"/>
  <c r="AC41" i="7"/>
  <c r="AC30" i="7"/>
  <c r="AC29" i="7"/>
  <c r="AC24" i="7"/>
  <c r="AC23" i="7"/>
  <c r="AC22" i="7"/>
  <c r="AC21" i="7"/>
  <c r="AC20" i="7"/>
  <c r="AC19" i="7"/>
  <c r="AC18" i="7"/>
  <c r="AC16" i="7"/>
  <c r="AC15" i="7"/>
  <c r="AC14" i="7"/>
  <c r="D46" i="7" l="1"/>
  <c r="A46" i="7"/>
  <c r="I18" i="9"/>
  <c r="I46" i="7" s="1"/>
  <c r="H18" i="9"/>
  <c r="H46" i="7" s="1"/>
  <c r="G18" i="9"/>
  <c r="G46" i="7" s="1"/>
  <c r="F18" i="9"/>
  <c r="E18" i="9"/>
  <c r="E46" i="7" s="1"/>
  <c r="B31" i="7"/>
  <c r="G44" i="7"/>
  <c r="D80" i="25" s="1"/>
  <c r="F44" i="7"/>
  <c r="C80" i="25" s="1"/>
  <c r="E44" i="7"/>
  <c r="B80" i="25" s="1"/>
  <c r="D44" i="7"/>
  <c r="A45" i="7"/>
  <c r="A44" i="7"/>
  <c r="A43" i="7"/>
  <c r="A42" i="7"/>
  <c r="A41" i="7"/>
  <c r="A40" i="7"/>
  <c r="A39" i="7"/>
  <c r="A38" i="7"/>
  <c r="A37" i="7"/>
  <c r="A36" i="7"/>
  <c r="A35" i="7"/>
  <c r="A34" i="7"/>
  <c r="A33" i="7"/>
  <c r="B43" i="7"/>
  <c r="B42" i="7"/>
  <c r="B41" i="7"/>
  <c r="B39" i="7"/>
  <c r="B34" i="7"/>
  <c r="B33" i="7"/>
  <c r="V18" i="9" l="1"/>
  <c r="V46" i="7" s="1"/>
  <c r="X18" i="9"/>
  <c r="X46" i="7" s="1"/>
  <c r="R18" i="9"/>
  <c r="R46" i="7" s="1"/>
  <c r="F46" i="7"/>
  <c r="P18" i="9"/>
  <c r="P46" i="7" s="1"/>
  <c r="U18" i="9"/>
  <c r="U46" i="7" s="1"/>
  <c r="Q18" i="9"/>
  <c r="Q46" i="7" s="1"/>
  <c r="T18" i="9"/>
  <c r="T46" i="7" s="1"/>
  <c r="O18" i="9"/>
  <c r="O46" i="7" s="1"/>
  <c r="W18" i="9"/>
  <c r="W46" i="7" s="1"/>
  <c r="S18" i="9"/>
  <c r="S46" i="7" s="1"/>
  <c r="E23" i="41"/>
  <c r="V25" i="36"/>
  <c r="V24" i="36"/>
  <c r="V23" i="36"/>
  <c r="V22" i="36"/>
  <c r="V21" i="36"/>
  <c r="V20" i="36"/>
  <c r="V19" i="36"/>
  <c r="V18" i="36"/>
  <c r="V17" i="36"/>
  <c r="V16" i="36"/>
  <c r="V15" i="36"/>
  <c r="V14" i="36"/>
  <c r="V13" i="36"/>
  <c r="V12" i="36"/>
  <c r="V11" i="36"/>
  <c r="V10" i="36"/>
  <c r="V9" i="36"/>
  <c r="V8" i="36"/>
  <c r="V7" i="36"/>
  <c r="V6" i="36"/>
  <c r="U26" i="36"/>
  <c r="Y25" i="36"/>
  <c r="Y24" i="36"/>
  <c r="Y23" i="36"/>
  <c r="Y22" i="36"/>
  <c r="Y21" i="36"/>
  <c r="Y20" i="36"/>
  <c r="Y19" i="36"/>
  <c r="Y18" i="36"/>
  <c r="Y17" i="36"/>
  <c r="Y16" i="36"/>
  <c r="Y15" i="36"/>
  <c r="Y14" i="36"/>
  <c r="Y13" i="36"/>
  <c r="Y12" i="36"/>
  <c r="Y11" i="36"/>
  <c r="Y10" i="36"/>
  <c r="Y9" i="36"/>
  <c r="Y8" i="36"/>
  <c r="Y7" i="36"/>
  <c r="Y6" i="36"/>
  <c r="R26" i="36"/>
  <c r="S26" i="36"/>
  <c r="L26" i="36"/>
  <c r="C26" i="36"/>
  <c r="G26" i="36"/>
  <c r="C12" i="4" l="1"/>
  <c r="E25" i="41"/>
  <c r="C18" i="4" s="1"/>
  <c r="P48" i="51"/>
  <c r="D33" i="40" l="1"/>
  <c r="D30" i="40"/>
  <c r="D26" i="40"/>
  <c r="N14" i="40" l="1"/>
  <c r="L14" i="40"/>
  <c r="J14" i="40"/>
  <c r="I38" i="40"/>
  <c r="H38" i="40"/>
  <c r="G38" i="40"/>
  <c r="F38" i="40"/>
  <c r="E38" i="40"/>
  <c r="I35" i="40"/>
  <c r="I33" i="40"/>
  <c r="H33" i="40"/>
  <c r="G33" i="40"/>
  <c r="F33" i="40"/>
  <c r="E33" i="40"/>
  <c r="I32" i="40"/>
  <c r="H32" i="40"/>
  <c r="G32" i="40"/>
  <c r="F32" i="40"/>
  <c r="E32" i="40"/>
  <c r="I31" i="40"/>
  <c r="H31" i="40"/>
  <c r="G31" i="40"/>
  <c r="F31" i="40"/>
  <c r="E31" i="40"/>
  <c r="I28" i="40"/>
  <c r="H28" i="40"/>
  <c r="G28" i="40"/>
  <c r="F28" i="40"/>
  <c r="E28" i="40"/>
  <c r="I27" i="40"/>
  <c r="H27" i="40"/>
  <c r="G27" i="40"/>
  <c r="F27" i="40"/>
  <c r="E27" i="40"/>
  <c r="I26" i="40"/>
  <c r="M12" i="41" s="1"/>
  <c r="H26" i="40"/>
  <c r="L12" i="41" s="1"/>
  <c r="G26" i="40"/>
  <c r="K12" i="41" s="1"/>
  <c r="F26" i="40"/>
  <c r="J12" i="41" s="1"/>
  <c r="E26" i="40"/>
  <c r="I12" i="41" s="1"/>
  <c r="I25" i="40"/>
  <c r="H35" i="40"/>
  <c r="G35" i="40"/>
  <c r="F35" i="40"/>
  <c r="E35" i="40"/>
  <c r="H25" i="40"/>
  <c r="F25" i="40"/>
  <c r="E25" i="40"/>
  <c r="H30" i="40" l="1"/>
  <c r="E30" i="40"/>
  <c r="I30" i="40"/>
  <c r="G30" i="40"/>
  <c r="F30" i="40"/>
  <c r="I77" i="36"/>
  <c r="P3" i="2"/>
  <c r="P4" i="2"/>
  <c r="P6" i="2"/>
  <c r="P7" i="2"/>
  <c r="P10" i="2"/>
  <c r="P12" i="2"/>
  <c r="P14" i="2"/>
  <c r="P15" i="2"/>
  <c r="P16" i="2"/>
  <c r="P18" i="2"/>
  <c r="P20" i="2"/>
  <c r="P21" i="2"/>
  <c r="Q3" i="2"/>
  <c r="Q4" i="2"/>
  <c r="Q6" i="2"/>
  <c r="Q7" i="2"/>
  <c r="Q10" i="2"/>
  <c r="Q12" i="2"/>
  <c r="Q14" i="2"/>
  <c r="Q15" i="2"/>
  <c r="Q16" i="2"/>
  <c r="Q18" i="2"/>
  <c r="Q20" i="2"/>
  <c r="Q21" i="2"/>
  <c r="R3" i="2"/>
  <c r="R4" i="2"/>
  <c r="R6" i="2"/>
  <c r="R7" i="2"/>
  <c r="R10" i="2"/>
  <c r="R12" i="2"/>
  <c r="R14" i="2"/>
  <c r="R15" i="2"/>
  <c r="R16" i="2"/>
  <c r="R18" i="2"/>
  <c r="R20" i="2"/>
  <c r="R21" i="2"/>
  <c r="S3" i="2"/>
  <c r="S4" i="2"/>
  <c r="S6" i="2"/>
  <c r="S7" i="2"/>
  <c r="S10" i="2"/>
  <c r="S12" i="2"/>
  <c r="S14" i="2"/>
  <c r="S15" i="2"/>
  <c r="S16" i="2"/>
  <c r="S18" i="2"/>
  <c r="S20" i="2"/>
  <c r="S21" i="2"/>
  <c r="O3" i="2"/>
  <c r="O4" i="2"/>
  <c r="O6" i="2"/>
  <c r="O7" i="2"/>
  <c r="O10" i="2"/>
  <c r="O12" i="2"/>
  <c r="O14" i="2"/>
  <c r="O15" i="2"/>
  <c r="O16" i="2"/>
  <c r="O18" i="2"/>
  <c r="O20" i="2"/>
  <c r="O21" i="2"/>
  <c r="Q16" i="9"/>
  <c r="Q44" i="7" s="1"/>
  <c r="P16" i="9"/>
  <c r="P44" i="7" s="1"/>
  <c r="O16" i="9"/>
  <c r="O44" i="7" s="1"/>
  <c r="C9899" i="8"/>
  <c r="C9898" i="8"/>
  <c r="C9897" i="8"/>
  <c r="C9896" i="8"/>
  <c r="C9895" i="8"/>
  <c r="C9894" i="8"/>
  <c r="C9893" i="8"/>
  <c r="C9892" i="8"/>
  <c r="C9891" i="8"/>
  <c r="C9890" i="8"/>
  <c r="C9889" i="8"/>
  <c r="C9888" i="8"/>
  <c r="C9887" i="8"/>
  <c r="C9886" i="8"/>
  <c r="C9885" i="8"/>
  <c r="C9884" i="8"/>
  <c r="C9883" i="8"/>
  <c r="C9882" i="8"/>
  <c r="C9881" i="8"/>
  <c r="C9880" i="8"/>
  <c r="C9879" i="8"/>
  <c r="C9878" i="8"/>
  <c r="C9877" i="8"/>
  <c r="C9876" i="8"/>
  <c r="C9875" i="8"/>
  <c r="C9874" i="8"/>
  <c r="C9873" i="8"/>
  <c r="C9872" i="8"/>
  <c r="C9871" i="8"/>
  <c r="C9870" i="8"/>
  <c r="C9869" i="8"/>
  <c r="C9868" i="8"/>
  <c r="C9867" i="8"/>
  <c r="C9866" i="8"/>
  <c r="C9865" i="8"/>
  <c r="C9864" i="8"/>
  <c r="C9863" i="8"/>
  <c r="C9862" i="8"/>
  <c r="C9861" i="8"/>
  <c r="C9860" i="8"/>
  <c r="C9859" i="8"/>
  <c r="C9858" i="8"/>
  <c r="C9857" i="8"/>
  <c r="C9856" i="8"/>
  <c r="C9855" i="8"/>
  <c r="C9854" i="8"/>
  <c r="C9853" i="8"/>
  <c r="C9852" i="8"/>
  <c r="C9851" i="8"/>
  <c r="C9850" i="8"/>
  <c r="C9849" i="8"/>
  <c r="C9848" i="8"/>
  <c r="C9847" i="8"/>
  <c r="C9846" i="8"/>
  <c r="C9845" i="8"/>
  <c r="C9844" i="8"/>
  <c r="C9843" i="8"/>
  <c r="C9842" i="8"/>
  <c r="C9841" i="8"/>
  <c r="C9840" i="8"/>
  <c r="C9839" i="8"/>
  <c r="C9838" i="8"/>
  <c r="C9837" i="8"/>
  <c r="C9836" i="8"/>
  <c r="C9835" i="8"/>
  <c r="C9834" i="8"/>
  <c r="C9833" i="8"/>
  <c r="C9832" i="8"/>
  <c r="C9831" i="8"/>
  <c r="C9830" i="8"/>
  <c r="C9829" i="8"/>
  <c r="C9828" i="8"/>
  <c r="C9827" i="8"/>
  <c r="C9826" i="8"/>
  <c r="C9825" i="8"/>
  <c r="C9824" i="8"/>
  <c r="C9823" i="8"/>
  <c r="C9822" i="8"/>
  <c r="C9821" i="8"/>
  <c r="C9820" i="8"/>
  <c r="C9819" i="8"/>
  <c r="C9818" i="8"/>
  <c r="C9817" i="8"/>
  <c r="C9816" i="8"/>
  <c r="C9815" i="8"/>
  <c r="C9814" i="8"/>
  <c r="C9813" i="8"/>
  <c r="C9812" i="8"/>
  <c r="H27" i="25"/>
  <c r="H26" i="25"/>
  <c r="H24" i="25"/>
  <c r="H23" i="25"/>
  <c r="H22" i="25"/>
  <c r="H21" i="25"/>
  <c r="C26" i="40" l="1"/>
  <c r="I22" i="40" l="1"/>
  <c r="H22" i="40"/>
  <c r="G22" i="40"/>
  <c r="F22" i="40"/>
  <c r="E22" i="40"/>
  <c r="D22" i="40" s="1"/>
  <c r="D1422" i="6" l="1"/>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AE11" i="9" l="1"/>
  <c r="AC39" i="7" s="1"/>
  <c r="I15" i="7"/>
  <c r="I16" i="7"/>
  <c r="AC31" i="7"/>
  <c r="G5" i="15"/>
  <c r="F5" i="15"/>
  <c r="G4" i="15"/>
  <c r="H6" i="15" s="1"/>
  <c r="Y13" i="41" l="1"/>
  <c r="AC22" i="41"/>
  <c r="AB22" i="41"/>
  <c r="AA22" i="41"/>
  <c r="Z22" i="41"/>
  <c r="Y22" i="41"/>
  <c r="AD21" i="41"/>
  <c r="AC21" i="41"/>
  <c r="AC19" i="41"/>
  <c r="AB19" i="41"/>
  <c r="AA19" i="41"/>
  <c r="Z19" i="41"/>
  <c r="Y19" i="41"/>
  <c r="AC17" i="41"/>
  <c r="AB17" i="41"/>
  <c r="AA17" i="41"/>
  <c r="Z17" i="41"/>
  <c r="Y17" i="41"/>
  <c r="AC16" i="41"/>
  <c r="AB16" i="41"/>
  <c r="AA16" i="41"/>
  <c r="Z16" i="41"/>
  <c r="Y16" i="41"/>
  <c r="AC15" i="41"/>
  <c r="AB15" i="41"/>
  <c r="AA15" i="41"/>
  <c r="Z15" i="41"/>
  <c r="Y15" i="41"/>
  <c r="AC13" i="41"/>
  <c r="AB13" i="41"/>
  <c r="AA13" i="41"/>
  <c r="Z13" i="41"/>
  <c r="AD12" i="41"/>
  <c r="AC12" i="41"/>
  <c r="AB12" i="41"/>
  <c r="AA12" i="41"/>
  <c r="Z12" i="41"/>
  <c r="Y12" i="41"/>
  <c r="AC10" i="41"/>
  <c r="AB10" i="41"/>
  <c r="AA10" i="41"/>
  <c r="Z10" i="41"/>
  <c r="Y10" i="41"/>
  <c r="AC7" i="41"/>
  <c r="AB7" i="41"/>
  <c r="AA7" i="41"/>
  <c r="Z7" i="41"/>
  <c r="Y7" i="41"/>
  <c r="AC6" i="41"/>
  <c r="AB6" i="41"/>
  <c r="AA6" i="41"/>
  <c r="Z6" i="41"/>
  <c r="Y6" i="41"/>
  <c r="AC4" i="41"/>
  <c r="AB4" i="41"/>
  <c r="AA4" i="41"/>
  <c r="Z4" i="41"/>
  <c r="Y4" i="41"/>
  <c r="AC3" i="41"/>
  <c r="AB3" i="41"/>
  <c r="AA3" i="41"/>
  <c r="Z3" i="41"/>
  <c r="D15" i="40" l="1"/>
  <c r="H103" i="36" l="1"/>
  <c r="G103" i="36"/>
  <c r="E103" i="36"/>
  <c r="D103" i="36"/>
  <c r="C103" i="36"/>
  <c r="C102" i="36"/>
  <c r="D102" i="36"/>
  <c r="C100" i="36"/>
  <c r="D100" i="36"/>
  <c r="F99" i="36"/>
  <c r="F103" i="36" s="1"/>
  <c r="E102" i="36"/>
  <c r="F102" i="36"/>
  <c r="E100" i="36"/>
  <c r="F100" i="36"/>
  <c r="G102" i="36"/>
  <c r="G104" i="36" s="1"/>
  <c r="H102" i="36"/>
  <c r="H104" i="36" s="1"/>
  <c r="G100" i="36"/>
  <c r="H100" i="36"/>
  <c r="G91" i="36"/>
  <c r="F91" i="36"/>
  <c r="E91" i="36"/>
  <c r="D91" i="36"/>
  <c r="H91" i="36"/>
  <c r="D94" i="36"/>
  <c r="D95" i="36" s="1"/>
  <c r="C94" i="36"/>
  <c r="C95" i="36" s="1"/>
  <c r="E94" i="36"/>
  <c r="E95" i="36" s="1"/>
  <c r="F94" i="36"/>
  <c r="F95" i="36" s="1"/>
  <c r="G94" i="36"/>
  <c r="G95" i="36" s="1"/>
  <c r="H94" i="36"/>
  <c r="K77" i="36"/>
  <c r="J77" i="36"/>
  <c r="F104" i="36" l="1"/>
  <c r="C104" i="36"/>
  <c r="H92" i="36"/>
  <c r="E104" i="36"/>
  <c r="D104" i="36"/>
  <c r="G92" i="36"/>
  <c r="D92" i="36"/>
  <c r="E92" i="36"/>
  <c r="H95" i="36"/>
  <c r="F92" i="36"/>
  <c r="C18" i="51" l="1"/>
  <c r="D18" i="51"/>
  <c r="E18" i="51"/>
  <c r="F18" i="51"/>
  <c r="H18" i="51"/>
  <c r="I18" i="51"/>
  <c r="B15" i="51"/>
  <c r="C15" i="51"/>
  <c r="D15" i="51"/>
  <c r="E15" i="51"/>
  <c r="F15" i="51"/>
  <c r="H15" i="51"/>
  <c r="C14" i="51"/>
  <c r="D14" i="51"/>
  <c r="E14" i="51"/>
  <c r="F14" i="51"/>
  <c r="H14" i="51"/>
  <c r="B9" i="51"/>
  <c r="C9" i="51"/>
  <c r="D9" i="51"/>
  <c r="E9" i="51"/>
  <c r="F9" i="51"/>
  <c r="H9" i="51"/>
  <c r="B5" i="51"/>
  <c r="C5" i="51"/>
  <c r="D5" i="51"/>
  <c r="E5" i="51"/>
  <c r="F5" i="51"/>
  <c r="H5" i="51"/>
  <c r="I22" i="41" l="1"/>
  <c r="L17" i="41"/>
  <c r="K17" i="41"/>
  <c r="J17" i="41"/>
  <c r="I17" i="41"/>
  <c r="Y3" i="41"/>
  <c r="AF17" i="41" l="1"/>
  <c r="AE17" i="41"/>
  <c r="AG17" i="41"/>
  <c r="J22" i="41"/>
  <c r="AD22" i="41"/>
  <c r="M17" i="41"/>
  <c r="AH17" i="41" s="1"/>
  <c r="AD17" i="41"/>
  <c r="C80" i="36"/>
  <c r="C96" i="36" s="1"/>
  <c r="D80" i="36"/>
  <c r="D96" i="36" s="1"/>
  <c r="E80" i="36"/>
  <c r="E96" i="36" s="1"/>
  <c r="F80" i="36"/>
  <c r="F96" i="36" s="1"/>
  <c r="H81" i="36"/>
  <c r="G81" i="36"/>
  <c r="G97" i="36" s="1"/>
  <c r="F81" i="36"/>
  <c r="F97" i="36" s="1"/>
  <c r="E81" i="36"/>
  <c r="E97" i="36" s="1"/>
  <c r="D81" i="36"/>
  <c r="D97" i="36" s="1"/>
  <c r="C81" i="36"/>
  <c r="C97" i="36" s="1"/>
  <c r="G80" i="36"/>
  <c r="G96" i="36" s="1"/>
  <c r="H80" i="36"/>
  <c r="P39" i="25"/>
  <c r="D24" i="40"/>
  <c r="D14" i="40" s="1"/>
  <c r="U12" i="1"/>
  <c r="U11" i="1"/>
  <c r="U10" i="1"/>
  <c r="U9" i="1"/>
  <c r="U8" i="1"/>
  <c r="U7" i="1"/>
  <c r="U6" i="1"/>
  <c r="U15" i="1"/>
  <c r="U16" i="1"/>
  <c r="U17" i="1"/>
  <c r="U18" i="1"/>
  <c r="U23" i="1"/>
  <c r="U24" i="1"/>
  <c r="U25" i="1"/>
  <c r="U26" i="1"/>
  <c r="U27" i="1"/>
  <c r="U31" i="1"/>
  <c r="U32" i="1"/>
  <c r="U33" i="1"/>
  <c r="U34" i="1"/>
  <c r="U39" i="1"/>
  <c r="U40" i="1"/>
  <c r="U41" i="1"/>
  <c r="U42" i="1"/>
  <c r="U43" i="1"/>
  <c r="U45" i="1"/>
  <c r="Y6" i="1"/>
  <c r="Y7" i="1"/>
  <c r="Y8" i="1"/>
  <c r="Y9" i="1"/>
  <c r="Y10" i="1"/>
  <c r="Y11" i="1"/>
  <c r="Y12" i="1"/>
  <c r="Y15" i="1"/>
  <c r="Y16" i="1"/>
  <c r="Y17" i="1"/>
  <c r="Y18" i="1"/>
  <c r="Y23" i="1"/>
  <c r="Y24" i="1"/>
  <c r="Y25" i="1"/>
  <c r="Y26" i="1"/>
  <c r="Y27" i="1"/>
  <c r="Y30" i="1"/>
  <c r="Y31" i="1"/>
  <c r="Y32" i="1"/>
  <c r="Y33" i="1"/>
  <c r="Y34" i="1"/>
  <c r="Y39" i="1"/>
  <c r="Y40" i="1"/>
  <c r="Y41" i="1"/>
  <c r="Y42" i="1"/>
  <c r="Y43" i="1"/>
  <c r="Y45" i="1"/>
  <c r="V3" i="2"/>
  <c r="V4" i="2"/>
  <c r="V6" i="2"/>
  <c r="V7" i="2"/>
  <c r="V10" i="2"/>
  <c r="V12" i="2"/>
  <c r="V14" i="2"/>
  <c r="V15" i="2"/>
  <c r="V16" i="2"/>
  <c r="V18" i="2"/>
  <c r="V20" i="2"/>
  <c r="V21" i="2"/>
  <c r="K22" i="41" l="1"/>
  <c r="AE22" i="41"/>
  <c r="H96" i="36"/>
  <c r="I80" i="36"/>
  <c r="S80" i="36" s="1"/>
  <c r="H82" i="36"/>
  <c r="O80" i="36"/>
  <c r="D82" i="36"/>
  <c r="D98" i="36" s="1"/>
  <c r="P80" i="36"/>
  <c r="Q80" i="36"/>
  <c r="N80" i="36"/>
  <c r="R80" i="36"/>
  <c r="E82" i="36"/>
  <c r="E98" i="36" s="1"/>
  <c r="Q81" i="36"/>
  <c r="H97" i="36"/>
  <c r="F82" i="36"/>
  <c r="N81" i="36"/>
  <c r="R81" i="36"/>
  <c r="P81" i="36"/>
  <c r="C82" i="36"/>
  <c r="G82" i="36"/>
  <c r="O81" i="36"/>
  <c r="G3" i="53"/>
  <c r="J40" i="50"/>
  <c r="K40" i="50" s="1"/>
  <c r="J33" i="50"/>
  <c r="K33" i="50" s="1"/>
  <c r="L33" i="50" s="1"/>
  <c r="M33" i="50" s="1"/>
  <c r="N33" i="50" s="1"/>
  <c r="J27" i="50"/>
  <c r="J25" i="50"/>
  <c r="I13" i="41"/>
  <c r="J17" i="50" s="1"/>
  <c r="H17" i="51"/>
  <c r="F17" i="51"/>
  <c r="E17" i="51"/>
  <c r="D17" i="51"/>
  <c r="C17" i="51"/>
  <c r="N13" i="41"/>
  <c r="O13" i="41"/>
  <c r="P13" i="41"/>
  <c r="Q13" i="41"/>
  <c r="R13" i="41"/>
  <c r="S13" i="41"/>
  <c r="H14" i="50"/>
  <c r="T16" i="9"/>
  <c r="T44" i="7" s="1"/>
  <c r="T4" i="79" l="1"/>
  <c r="C5" i="97"/>
  <c r="K27" i="50"/>
  <c r="J71" i="50"/>
  <c r="K25" i="50"/>
  <c r="F5" i="40"/>
  <c r="G4" i="53"/>
  <c r="L40" i="50"/>
  <c r="M40" i="50" s="1"/>
  <c r="I23" i="51"/>
  <c r="AD13" i="41"/>
  <c r="AF22" i="41"/>
  <c r="L22" i="41"/>
  <c r="AG22" i="41" s="1"/>
  <c r="J13" i="41"/>
  <c r="K13" i="41" s="1"/>
  <c r="H98" i="36"/>
  <c r="I82" i="36"/>
  <c r="S82" i="36" s="1"/>
  <c r="O82" i="36"/>
  <c r="J80" i="36"/>
  <c r="T80" i="36" s="1"/>
  <c r="N82" i="36"/>
  <c r="C98" i="36"/>
  <c r="Q82" i="36"/>
  <c r="G98" i="36"/>
  <c r="R82" i="36"/>
  <c r="P82" i="36"/>
  <c r="F98" i="36"/>
  <c r="L25" i="50"/>
  <c r="J42" i="50"/>
  <c r="G53" i="50"/>
  <c r="F53" i="50"/>
  <c r="E53" i="50"/>
  <c r="I50" i="50"/>
  <c r="H7" i="51" s="1"/>
  <c r="H50" i="50"/>
  <c r="F7" i="51" s="1"/>
  <c r="L27" i="50" l="1"/>
  <c r="K71" i="50"/>
  <c r="M22" i="41"/>
  <c r="AH22" i="41" s="1"/>
  <c r="K17" i="50"/>
  <c r="L17" i="50" s="1"/>
  <c r="H53" i="50"/>
  <c r="AF13" i="41"/>
  <c r="I53" i="50"/>
  <c r="N40" i="50"/>
  <c r="L13" i="41"/>
  <c r="AG13" i="41" s="1"/>
  <c r="AE13" i="41"/>
  <c r="J23" i="51"/>
  <c r="AE12" i="41"/>
  <c r="K80" i="36"/>
  <c r="U80" i="36" s="1"/>
  <c r="J82" i="36"/>
  <c r="T82" i="36" s="1"/>
  <c r="M25" i="50"/>
  <c r="N25" i="50"/>
  <c r="H8" i="41"/>
  <c r="G8" i="41"/>
  <c r="H5" i="41"/>
  <c r="F8" i="4" s="1"/>
  <c r="G5" i="41"/>
  <c r="E8" i="4" s="1"/>
  <c r="N21" i="41"/>
  <c r="O21" i="41"/>
  <c r="P21" i="41"/>
  <c r="Q21" i="41"/>
  <c r="R21" i="41"/>
  <c r="S21" i="41"/>
  <c r="I44" i="50"/>
  <c r="I35" i="50"/>
  <c r="I28" i="50"/>
  <c r="I19" i="50"/>
  <c r="I13" i="50"/>
  <c r="D4" i="53"/>
  <c r="C4" i="53"/>
  <c r="B4" i="53"/>
  <c r="K3" i="53"/>
  <c r="J3" i="53"/>
  <c r="I3" i="53"/>
  <c r="H3" i="53"/>
  <c r="J53" i="50"/>
  <c r="N5" i="40" l="1"/>
  <c r="X4" i="79"/>
  <c r="K5" i="97"/>
  <c r="L5" i="40"/>
  <c r="W4" i="79"/>
  <c r="I5" i="97"/>
  <c r="U4" i="79"/>
  <c r="E5" i="97"/>
  <c r="J5" i="40"/>
  <c r="V4" i="79"/>
  <c r="G5" i="97"/>
  <c r="M27" i="50"/>
  <c r="L71" i="50"/>
  <c r="M17" i="50"/>
  <c r="M13" i="41"/>
  <c r="AH13" i="41" s="1"/>
  <c r="AC5" i="41"/>
  <c r="J4" i="53"/>
  <c r="M53" i="50" s="1"/>
  <c r="M50" i="50" s="1"/>
  <c r="K4" i="53"/>
  <c r="N53" i="50" s="1"/>
  <c r="N50" i="50" s="1"/>
  <c r="G9" i="41"/>
  <c r="I46" i="50"/>
  <c r="H4" i="53"/>
  <c r="K53" i="50" s="1"/>
  <c r="K50" i="50" s="1"/>
  <c r="H5" i="40"/>
  <c r="I4" i="53"/>
  <c r="L53" i="50" s="1"/>
  <c r="L50" i="50" s="1"/>
  <c r="H9" i="41"/>
  <c r="AC8" i="41"/>
  <c r="K23" i="51"/>
  <c r="AF12" i="41"/>
  <c r="K82" i="36"/>
  <c r="U82" i="36" s="1"/>
  <c r="J50" i="50"/>
  <c r="I20" i="50"/>
  <c r="T13" i="50" s="1"/>
  <c r="I36" i="50"/>
  <c r="I50" i="1"/>
  <c r="F4" i="53" s="1"/>
  <c r="I16" i="9"/>
  <c r="H50" i="1"/>
  <c r="E4" i="53" s="1"/>
  <c r="H16" i="9"/>
  <c r="N27" i="50" l="1"/>
  <c r="M71" i="50"/>
  <c r="E10" i="4"/>
  <c r="F24" i="51"/>
  <c r="F10" i="4"/>
  <c r="H22" i="51"/>
  <c r="I23" i="7"/>
  <c r="S16" i="9"/>
  <c r="S44" i="7" s="1"/>
  <c r="I44" i="7"/>
  <c r="F80" i="25" s="1"/>
  <c r="R16" i="9"/>
  <c r="R44" i="7" s="1"/>
  <c r="H44" i="7"/>
  <c r="E80" i="25" s="1"/>
  <c r="G11" i="41"/>
  <c r="G18" i="41" s="1"/>
  <c r="H27" i="41" s="1"/>
  <c r="H39" i="51"/>
  <c r="H11" i="41"/>
  <c r="H18" i="41" s="1"/>
  <c r="T35" i="50"/>
  <c r="H45" i="51"/>
  <c r="T19" i="50"/>
  <c r="N17" i="50"/>
  <c r="T46" i="50"/>
  <c r="T42" i="50"/>
  <c r="T45" i="50"/>
  <c r="T41" i="50"/>
  <c r="T40" i="50"/>
  <c r="T43" i="50"/>
  <c r="T39" i="50"/>
  <c r="I47" i="50"/>
  <c r="T36" i="50"/>
  <c r="T32" i="50"/>
  <c r="T27" i="50"/>
  <c r="T23" i="50"/>
  <c r="T31" i="50"/>
  <c r="T26" i="50"/>
  <c r="T34" i="50"/>
  <c r="T30" i="50"/>
  <c r="T25" i="50"/>
  <c r="T33" i="50"/>
  <c r="T24" i="50"/>
  <c r="H14" i="41"/>
  <c r="F13" i="4" s="1"/>
  <c r="F14" i="4" s="1"/>
  <c r="AC9" i="41"/>
  <c r="T17" i="50"/>
  <c r="T12" i="50"/>
  <c r="T8" i="50"/>
  <c r="T20" i="50"/>
  <c r="T16" i="50"/>
  <c r="T11" i="50"/>
  <c r="T7" i="50"/>
  <c r="T15" i="50"/>
  <c r="T10" i="50"/>
  <c r="T6" i="50"/>
  <c r="T18" i="50"/>
  <c r="T9" i="50"/>
  <c r="T44" i="50"/>
  <c r="G14" i="41"/>
  <c r="E13" i="4" s="1"/>
  <c r="E14" i="4" s="1"/>
  <c r="T28" i="50"/>
  <c r="L23" i="51"/>
  <c r="AG12" i="41"/>
  <c r="I17" i="9"/>
  <c r="X16" i="9"/>
  <c r="X44" i="7" s="1"/>
  <c r="H10" i="51"/>
  <c r="H25" i="51" s="1"/>
  <c r="J68" i="52"/>
  <c r="K13" i="52"/>
  <c r="J12" i="52"/>
  <c r="E72" i="52"/>
  <c r="E69" i="52"/>
  <c r="H60" i="52" s="1"/>
  <c r="E67" i="52"/>
  <c r="E66" i="52"/>
  <c r="E65" i="52"/>
  <c r="H62" i="52" s="1"/>
  <c r="E61" i="52"/>
  <c r="H61" i="52" s="1"/>
  <c r="E58" i="52"/>
  <c r="E57" i="52"/>
  <c r="E55" i="52"/>
  <c r="E54" i="52"/>
  <c r="I18" i="52"/>
  <c r="J18" i="52" s="1"/>
  <c r="I15" i="52"/>
  <c r="C52" i="52"/>
  <c r="D45" i="52"/>
  <c r="D43" i="52"/>
  <c r="E43" i="52" s="1"/>
  <c r="D42" i="52"/>
  <c r="D41" i="52"/>
  <c r="I17" i="52" s="1"/>
  <c r="D40" i="52"/>
  <c r="J65" i="52" s="1"/>
  <c r="D39" i="52"/>
  <c r="D34" i="52"/>
  <c r="D33" i="52"/>
  <c r="D32" i="52"/>
  <c r="D31" i="52"/>
  <c r="D30" i="52"/>
  <c r="D27" i="52"/>
  <c r="D26" i="52"/>
  <c r="D25" i="52"/>
  <c r="D24" i="52"/>
  <c r="D23" i="52"/>
  <c r="D18" i="52"/>
  <c r="D17" i="52"/>
  <c r="D16" i="52"/>
  <c r="D15" i="52"/>
  <c r="D14" i="52"/>
  <c r="D12" i="52"/>
  <c r="D11" i="52"/>
  <c r="D10" i="52"/>
  <c r="D9" i="52"/>
  <c r="D8" i="52"/>
  <c r="D7" i="52"/>
  <c r="D6" i="52"/>
  <c r="D56" i="52"/>
  <c r="D60" i="52" s="1"/>
  <c r="C44" i="52"/>
  <c r="C48" i="52" s="1"/>
  <c r="B44" i="52"/>
  <c r="B48" i="52" s="1"/>
  <c r="C35" i="52"/>
  <c r="B35" i="52"/>
  <c r="C28" i="52"/>
  <c r="B28" i="52"/>
  <c r="C19" i="52"/>
  <c r="B19" i="52"/>
  <c r="C13" i="52"/>
  <c r="B13" i="52"/>
  <c r="N71" i="50" l="1"/>
  <c r="AC11" i="41"/>
  <c r="H24" i="51"/>
  <c r="H63" i="52"/>
  <c r="D35" i="40"/>
  <c r="I45" i="7"/>
  <c r="I6" i="52"/>
  <c r="J6" i="52" s="1"/>
  <c r="B36" i="52"/>
  <c r="H59" i="52"/>
  <c r="I9" i="52"/>
  <c r="J9" i="52" s="1"/>
  <c r="I8" i="52"/>
  <c r="J8" i="52" s="1"/>
  <c r="I19" i="52"/>
  <c r="J17" i="52"/>
  <c r="B20" i="52"/>
  <c r="E73" i="52"/>
  <c r="F4" i="51"/>
  <c r="H20" i="41"/>
  <c r="AC18" i="41"/>
  <c r="C20" i="52"/>
  <c r="C36" i="52"/>
  <c r="H4" i="51"/>
  <c r="H38" i="51" s="1"/>
  <c r="AC14" i="41"/>
  <c r="G20" i="41"/>
  <c r="M23" i="51"/>
  <c r="AH12" i="41"/>
  <c r="D62" i="52"/>
  <c r="D68" i="52" s="1"/>
  <c r="D70" i="52" s="1"/>
  <c r="D73" i="52" s="1"/>
  <c r="D64" i="52"/>
  <c r="B46" i="52"/>
  <c r="B47" i="52" s="1"/>
  <c r="C46" i="52"/>
  <c r="H65" i="52" l="1"/>
  <c r="J66" i="52"/>
  <c r="C47" i="52"/>
  <c r="G23" i="41"/>
  <c r="AC20" i="41"/>
  <c r="H23" i="41"/>
  <c r="F12" i="4" s="1"/>
  <c r="I65" i="52"/>
  <c r="J67" i="52"/>
  <c r="J69" i="52" s="1"/>
  <c r="J70" i="52" s="1"/>
  <c r="F10" i="51"/>
  <c r="F25" i="51" s="1"/>
  <c r="E10" i="51"/>
  <c r="E25" i="51" s="1"/>
  <c r="D10" i="51"/>
  <c r="D25" i="51" s="1"/>
  <c r="E12" i="4" l="1"/>
  <c r="G25" i="41"/>
  <c r="E18" i="4" s="1"/>
  <c r="H25" i="41"/>
  <c r="F18" i="4" s="1"/>
  <c r="H25" i="25" s="1"/>
  <c r="H43" i="51"/>
  <c r="H42" i="51"/>
  <c r="AC23" i="41"/>
  <c r="I20" i="2" l="1"/>
  <c r="J20" i="2"/>
  <c r="K20" i="2"/>
  <c r="L20" i="2"/>
  <c r="M20" i="2"/>
  <c r="N20" i="2"/>
  <c r="T20" i="2"/>
  <c r="U20" i="2"/>
  <c r="J23" i="50" l="1"/>
  <c r="K23" i="50" l="1"/>
  <c r="L23" i="50" l="1"/>
  <c r="M23" i="50" l="1"/>
  <c r="N23" i="50" l="1"/>
  <c r="J45" i="50"/>
  <c r="K45" i="50" s="1"/>
  <c r="J39" i="50"/>
  <c r="K39" i="50" s="1"/>
  <c r="L39" i="50" s="1"/>
  <c r="M39" i="50" s="1"/>
  <c r="N39" i="50" s="1"/>
  <c r="J34" i="50"/>
  <c r="J32" i="50"/>
  <c r="J30" i="50"/>
  <c r="J18" i="50"/>
  <c r="J9" i="50"/>
  <c r="I16" i="41"/>
  <c r="N15" i="50"/>
  <c r="M15" i="50"/>
  <c r="N8" i="50"/>
  <c r="M8" i="50"/>
  <c r="L8" i="50"/>
  <c r="K8" i="50"/>
  <c r="J8" i="50"/>
  <c r="H6" i="7"/>
  <c r="G6" i="7"/>
  <c r="F6" i="7"/>
  <c r="D6" i="7"/>
  <c r="E6" i="7"/>
  <c r="J67" i="50" l="1"/>
  <c r="I17" i="51"/>
  <c r="AD16" i="41"/>
  <c r="W6" i="7"/>
  <c r="K32" i="50"/>
  <c r="K9" i="50"/>
  <c r="L9" i="50" s="1"/>
  <c r="L45" i="50"/>
  <c r="K34" i="50"/>
  <c r="L32" i="50"/>
  <c r="K30" i="50"/>
  <c r="K18" i="50"/>
  <c r="L18" i="50" s="1"/>
  <c r="M18" i="50" s="1"/>
  <c r="N18" i="50" s="1"/>
  <c r="K67" i="50" l="1"/>
  <c r="L67" i="50"/>
  <c r="M32" i="50"/>
  <c r="L34" i="50"/>
  <c r="M34" i="50" s="1"/>
  <c r="N34" i="50" s="1"/>
  <c r="M45" i="50"/>
  <c r="N45" i="50" s="1"/>
  <c r="L30" i="50"/>
  <c r="M9" i="50"/>
  <c r="H17" i="9"/>
  <c r="G17" i="9"/>
  <c r="G45" i="7" s="1"/>
  <c r="F17" i="9"/>
  <c r="F45" i="7" s="1"/>
  <c r="E17" i="9"/>
  <c r="E45" i="7" s="1"/>
  <c r="D45" i="7"/>
  <c r="C10" i="51"/>
  <c r="C25" i="51" s="1"/>
  <c r="U16" i="9"/>
  <c r="U44" i="7" s="1"/>
  <c r="W16" i="9"/>
  <c r="W44" i="7" s="1"/>
  <c r="B23" i="49"/>
  <c r="H23" i="49"/>
  <c r="G23" i="49"/>
  <c r="F23" i="49"/>
  <c r="E23" i="49"/>
  <c r="D23" i="49"/>
  <c r="C23" i="49"/>
  <c r="N9" i="50" l="1"/>
  <c r="N67" i="50" s="1"/>
  <c r="M67" i="50"/>
  <c r="X17" i="9"/>
  <c r="X45" i="7" s="1"/>
  <c r="H45" i="7"/>
  <c r="S17" i="9"/>
  <c r="S45" i="7" s="1"/>
  <c r="P17" i="9"/>
  <c r="P45" i="7" s="1"/>
  <c r="N32" i="50"/>
  <c r="Q17" i="9"/>
  <c r="Q45" i="7" s="1"/>
  <c r="C35" i="40"/>
  <c r="R17" i="9"/>
  <c r="R45" i="7" s="1"/>
  <c r="O17" i="9"/>
  <c r="O45" i="7" s="1"/>
  <c r="T17" i="9"/>
  <c r="T45" i="7" s="1"/>
  <c r="U17" i="9"/>
  <c r="U45" i="7" s="1"/>
  <c r="W17" i="9"/>
  <c r="W45" i="7" s="1"/>
  <c r="M30" i="50"/>
  <c r="V17" i="9"/>
  <c r="V45" i="7" s="1"/>
  <c r="V16" i="9"/>
  <c r="V44" i="7" s="1"/>
  <c r="N30" i="50" l="1"/>
  <c r="H7" i="7"/>
  <c r="H44" i="50"/>
  <c r="H46" i="50" s="1"/>
  <c r="S40" i="50" s="1"/>
  <c r="G44" i="50"/>
  <c r="F44" i="50"/>
  <c r="E44" i="50"/>
  <c r="D44" i="50"/>
  <c r="D46" i="50" s="1"/>
  <c r="O40" i="50" s="1"/>
  <c r="H35" i="50"/>
  <c r="G35" i="50"/>
  <c r="F35" i="50"/>
  <c r="E35" i="50"/>
  <c r="D35" i="50"/>
  <c r="G28" i="50"/>
  <c r="F28" i="50"/>
  <c r="E28" i="50"/>
  <c r="D28" i="50"/>
  <c r="H19" i="50"/>
  <c r="G19" i="50"/>
  <c r="F19" i="50"/>
  <c r="E19" i="50"/>
  <c r="D19" i="50"/>
  <c r="H13" i="50"/>
  <c r="G13" i="50"/>
  <c r="F13" i="50"/>
  <c r="E13" i="50"/>
  <c r="D13" i="50"/>
  <c r="C31" i="40" l="1"/>
  <c r="D15" i="80"/>
  <c r="D18" i="80" s="1"/>
  <c r="E5" i="9"/>
  <c r="F5" i="9"/>
  <c r="G5" i="9"/>
  <c r="D27" i="51"/>
  <c r="E27" i="51"/>
  <c r="C27" i="51"/>
  <c r="S43" i="50"/>
  <c r="O43" i="50"/>
  <c r="S39" i="50"/>
  <c r="O39" i="50"/>
  <c r="S46" i="50"/>
  <c r="O46" i="50"/>
  <c r="S42" i="50"/>
  <c r="O42" i="50"/>
  <c r="D20" i="50"/>
  <c r="O19" i="50" s="1"/>
  <c r="H20" i="50"/>
  <c r="F43" i="51" s="1"/>
  <c r="S45" i="50"/>
  <c r="O45" i="50"/>
  <c r="S41" i="50"/>
  <c r="O41" i="50"/>
  <c r="S44" i="50"/>
  <c r="O44" i="50"/>
  <c r="F36" i="50"/>
  <c r="Q35" i="50" s="1"/>
  <c r="E36" i="50"/>
  <c r="P35" i="50" s="1"/>
  <c r="G20" i="50"/>
  <c r="R13" i="50" s="1"/>
  <c r="F20" i="50"/>
  <c r="E46" i="50"/>
  <c r="E20" i="50"/>
  <c r="P13" i="50" s="1"/>
  <c r="G36" i="50"/>
  <c r="R35" i="50" s="1"/>
  <c r="F46" i="50"/>
  <c r="Q44" i="50" s="1"/>
  <c r="D36" i="50"/>
  <c r="O35" i="50" s="1"/>
  <c r="G46" i="50"/>
  <c r="R44" i="50" s="1"/>
  <c r="Q13" i="50" l="1"/>
  <c r="D43" i="51"/>
  <c r="I48" i="50"/>
  <c r="P28" i="50"/>
  <c r="O28" i="50"/>
  <c r="R28" i="50"/>
  <c r="P39" i="50"/>
  <c r="P43" i="50"/>
  <c r="P40" i="50"/>
  <c r="P42" i="50"/>
  <c r="P41" i="50"/>
  <c r="P45" i="50"/>
  <c r="P46" i="50"/>
  <c r="Q28" i="50"/>
  <c r="O6" i="50"/>
  <c r="O10" i="50"/>
  <c r="O15" i="50"/>
  <c r="O7" i="50"/>
  <c r="O11" i="50"/>
  <c r="O16" i="50"/>
  <c r="O20" i="50"/>
  <c r="O8" i="50"/>
  <c r="O12" i="50"/>
  <c r="O17" i="50"/>
  <c r="O9" i="50"/>
  <c r="O18" i="50"/>
  <c r="P9" i="50"/>
  <c r="P18" i="50"/>
  <c r="P6" i="50"/>
  <c r="P10" i="50"/>
  <c r="P15" i="50"/>
  <c r="P8" i="50"/>
  <c r="P12" i="50"/>
  <c r="P17" i="50"/>
  <c r="P7" i="50"/>
  <c r="P11" i="50"/>
  <c r="P16" i="50"/>
  <c r="P20" i="50"/>
  <c r="S6" i="50"/>
  <c r="S10" i="50"/>
  <c r="S15" i="50"/>
  <c r="S7" i="50"/>
  <c r="S11" i="50"/>
  <c r="S16" i="50"/>
  <c r="S20" i="50"/>
  <c r="S8" i="50"/>
  <c r="S12" i="50"/>
  <c r="S17" i="50"/>
  <c r="S9" i="50"/>
  <c r="S18" i="50"/>
  <c r="Q42" i="50"/>
  <c r="Q46" i="50"/>
  <c r="Q39" i="50"/>
  <c r="Q43" i="50"/>
  <c r="Q45" i="50"/>
  <c r="Q40" i="50"/>
  <c r="Q41" i="50"/>
  <c r="Q8" i="50"/>
  <c r="Q12" i="50"/>
  <c r="Q17" i="50"/>
  <c r="Q9" i="50"/>
  <c r="Q18" i="50"/>
  <c r="Q6" i="50"/>
  <c r="Q10" i="50"/>
  <c r="Q15" i="50"/>
  <c r="Q7" i="50"/>
  <c r="Q11" i="50"/>
  <c r="Q16" i="50"/>
  <c r="Q20" i="50"/>
  <c r="P24" i="50"/>
  <c r="P33" i="50"/>
  <c r="P25" i="50"/>
  <c r="P30" i="50"/>
  <c r="P34" i="50"/>
  <c r="P23" i="50"/>
  <c r="P32" i="50"/>
  <c r="P26" i="50"/>
  <c r="P31" i="50"/>
  <c r="P27" i="50"/>
  <c r="P36" i="50"/>
  <c r="P19" i="50"/>
  <c r="O25" i="50"/>
  <c r="O30" i="50"/>
  <c r="O34" i="50"/>
  <c r="O26" i="50"/>
  <c r="O31" i="50"/>
  <c r="O23" i="50"/>
  <c r="O27" i="50"/>
  <c r="O32" i="50"/>
  <c r="O36" i="50"/>
  <c r="O24" i="50"/>
  <c r="O33" i="50"/>
  <c r="R41" i="50"/>
  <c r="R45" i="50"/>
  <c r="R42" i="50"/>
  <c r="R46" i="50"/>
  <c r="R40" i="50"/>
  <c r="R39" i="50"/>
  <c r="R43" i="50"/>
  <c r="R26" i="50"/>
  <c r="R31" i="50"/>
  <c r="R23" i="50"/>
  <c r="R27" i="50"/>
  <c r="R32" i="50"/>
  <c r="R36" i="50"/>
  <c r="R30" i="50"/>
  <c r="R24" i="50"/>
  <c r="R33" i="50"/>
  <c r="R25" i="50"/>
  <c r="R34" i="50"/>
  <c r="R7" i="50"/>
  <c r="R11" i="50"/>
  <c r="R16" i="50"/>
  <c r="R20" i="50"/>
  <c r="R8" i="50"/>
  <c r="R12" i="50"/>
  <c r="R17" i="50"/>
  <c r="R6" i="50"/>
  <c r="R10" i="50"/>
  <c r="R15" i="50"/>
  <c r="R19" i="50"/>
  <c r="R9" i="50"/>
  <c r="R18" i="50"/>
  <c r="Q23" i="50"/>
  <c r="Q27" i="50"/>
  <c r="Q32" i="50"/>
  <c r="Q36" i="50"/>
  <c r="Q24" i="50"/>
  <c r="Q33" i="50"/>
  <c r="Q26" i="50"/>
  <c r="Q25" i="50"/>
  <c r="Q30" i="50"/>
  <c r="Q34" i="50"/>
  <c r="Q31" i="50"/>
  <c r="S19" i="50"/>
  <c r="O13" i="50"/>
  <c r="Q19" i="50"/>
  <c r="S13" i="50"/>
  <c r="P44" i="50"/>
  <c r="E47" i="50"/>
  <c r="F47" i="50"/>
  <c r="G47" i="50"/>
  <c r="D47" i="50"/>
  <c r="C30" i="40" l="1"/>
  <c r="E37" i="49"/>
  <c r="D37" i="49"/>
  <c r="C37" i="49"/>
  <c r="F36" i="49"/>
  <c r="F35" i="49"/>
  <c r="F34" i="49"/>
  <c r="F33" i="49"/>
  <c r="F32" i="49"/>
  <c r="F31" i="49"/>
  <c r="F30" i="49"/>
  <c r="C26" i="15"/>
  <c r="H17" i="15" s="1"/>
  <c r="C27" i="15"/>
  <c r="H18" i="15" s="1"/>
  <c r="C28" i="15"/>
  <c r="H19" i="15" s="1"/>
  <c r="C29" i="15"/>
  <c r="H21" i="15" s="1"/>
  <c r="N17" i="15" l="1"/>
  <c r="L17" i="15"/>
  <c r="M17" i="15"/>
  <c r="K17" i="15"/>
  <c r="N21" i="15"/>
  <c r="L21" i="15"/>
  <c r="M21" i="15"/>
  <c r="K21" i="15"/>
  <c r="M19" i="15"/>
  <c r="K19" i="15"/>
  <c r="N19" i="15"/>
  <c r="L19" i="15"/>
  <c r="N18" i="15"/>
  <c r="L18" i="15"/>
  <c r="M18" i="15"/>
  <c r="K18" i="15"/>
  <c r="I18" i="15"/>
  <c r="J18" i="15"/>
  <c r="I21" i="15"/>
  <c r="J21" i="15"/>
  <c r="I19" i="15"/>
  <c r="J19" i="15"/>
  <c r="I17" i="15"/>
  <c r="J17" i="15"/>
  <c r="H6" i="49"/>
  <c r="E6" i="49"/>
  <c r="D6" i="49"/>
  <c r="B6" i="49"/>
  <c r="F6" i="49"/>
  <c r="C6" i="49"/>
  <c r="G6" i="49"/>
  <c r="F37" i="49"/>
  <c r="H22" i="15"/>
  <c r="C14" i="97" s="1"/>
  <c r="H20" i="15"/>
  <c r="C30" i="15"/>
  <c r="K14" i="97" l="1"/>
  <c r="G14" i="97"/>
  <c r="E14" i="97"/>
  <c r="I14" i="97"/>
  <c r="M20" i="15"/>
  <c r="K20" i="15"/>
  <c r="N20" i="15"/>
  <c r="L20" i="15"/>
  <c r="L23" i="15" s="1"/>
  <c r="F15" i="40"/>
  <c r="N22" i="15"/>
  <c r="L22" i="15"/>
  <c r="M22" i="15"/>
  <c r="M23" i="15" s="1"/>
  <c r="K22" i="15"/>
  <c r="N23" i="15"/>
  <c r="I20" i="15"/>
  <c r="J20" i="15"/>
  <c r="I22" i="15"/>
  <c r="J22" i="15"/>
  <c r="H15" i="40"/>
  <c r="N15" i="40"/>
  <c r="J15" i="40"/>
  <c r="L15" i="40"/>
  <c r="C15" i="97" l="1"/>
  <c r="C20" i="97" s="1"/>
  <c r="I23" i="15"/>
  <c r="D21" i="40" s="1"/>
  <c r="H40" i="51" s="1"/>
  <c r="H44" i="51" s="1"/>
  <c r="H48" i="51" s="1"/>
  <c r="J23" i="15"/>
  <c r="H26" i="51" s="1"/>
  <c r="F26" i="51"/>
  <c r="I13" i="9"/>
  <c r="C12" i="49"/>
  <c r="C24" i="49" s="1"/>
  <c r="D12" i="49"/>
  <c r="D24" i="49" s="1"/>
  <c r="B12" i="49"/>
  <c r="B24" i="49" s="1"/>
  <c r="E21" i="40"/>
  <c r="K23" i="15"/>
  <c r="D8805" i="8"/>
  <c r="U236" i="8"/>
  <c r="U496" i="8"/>
  <c r="U757" i="8"/>
  <c r="U1018" i="8"/>
  <c r="U1279" i="8"/>
  <c r="D9534" i="8"/>
  <c r="D9169" i="8"/>
  <c r="D8803" i="8"/>
  <c r="D8438" i="8"/>
  <c r="D8073" i="8"/>
  <c r="D7708" i="8"/>
  <c r="G73" i="36"/>
  <c r="F73" i="36"/>
  <c r="E73" i="36"/>
  <c r="D73" i="36"/>
  <c r="C73" i="36"/>
  <c r="G69" i="36"/>
  <c r="G68" i="36"/>
  <c r="F69" i="36"/>
  <c r="F68" i="36"/>
  <c r="E68" i="36"/>
  <c r="E69" i="36"/>
  <c r="D69" i="36"/>
  <c r="D68" i="36"/>
  <c r="C69" i="36"/>
  <c r="C68" i="36"/>
  <c r="D46" i="36"/>
  <c r="E46" i="36" s="1"/>
  <c r="F46" i="36" s="1"/>
  <c r="G46" i="36" s="1"/>
  <c r="H46" i="36" s="1"/>
  <c r="I41" i="7" l="1"/>
  <c r="F79" i="25" s="1"/>
  <c r="G21" i="40"/>
  <c r="F21" i="40"/>
  <c r="G12" i="49"/>
  <c r="G24" i="49" s="1"/>
  <c r="E12" i="49"/>
  <c r="E24" i="49" s="1"/>
  <c r="H21" i="40"/>
  <c r="F12" i="49"/>
  <c r="F24" i="49" s="1"/>
  <c r="I21" i="40"/>
  <c r="H12" i="49"/>
  <c r="H24" i="49" s="1"/>
  <c r="J42" i="36" l="1"/>
  <c r="I42" i="36"/>
  <c r="H42" i="36"/>
  <c r="G42" i="36"/>
  <c r="F42" i="36"/>
  <c r="J41" i="36"/>
  <c r="I41" i="36"/>
  <c r="H41" i="36"/>
  <c r="G41" i="36"/>
  <c r="F41" i="36"/>
  <c r="J40" i="36"/>
  <c r="I40" i="36"/>
  <c r="H40" i="36"/>
  <c r="G40" i="36"/>
  <c r="F40" i="36"/>
  <c r="J39" i="36"/>
  <c r="I39" i="36"/>
  <c r="H39" i="36"/>
  <c r="G39" i="36"/>
  <c r="F39" i="36"/>
  <c r="J38" i="36"/>
  <c r="I38" i="36"/>
  <c r="H38" i="36"/>
  <c r="G38" i="36"/>
  <c r="F38" i="36"/>
  <c r="J37" i="36"/>
  <c r="I37" i="36"/>
  <c r="H37" i="36"/>
  <c r="G37" i="36"/>
  <c r="F37" i="36"/>
  <c r="J36" i="36"/>
  <c r="I36" i="36"/>
  <c r="H36" i="36"/>
  <c r="G36" i="36"/>
  <c r="F36" i="36"/>
  <c r="J35" i="36"/>
  <c r="I35" i="36"/>
  <c r="H35" i="36"/>
  <c r="G35" i="36"/>
  <c r="F35" i="36"/>
  <c r="J34" i="36"/>
  <c r="I34" i="36"/>
  <c r="H34" i="36"/>
  <c r="G34" i="36"/>
  <c r="F34" i="36"/>
  <c r="J33" i="36"/>
  <c r="I33" i="36"/>
  <c r="H33" i="36"/>
  <c r="G33" i="36"/>
  <c r="F33" i="36"/>
  <c r="J32" i="36"/>
  <c r="I32" i="36"/>
  <c r="H32" i="36"/>
  <c r="G32" i="36"/>
  <c r="F32" i="36"/>
  <c r="J31" i="36"/>
  <c r="I31" i="36"/>
  <c r="H31" i="36"/>
  <c r="G31" i="36"/>
  <c r="F31" i="36"/>
  <c r="P23" i="41"/>
  <c r="S22" i="41"/>
  <c r="R22" i="41"/>
  <c r="Q22" i="41"/>
  <c r="P22" i="41"/>
  <c r="O22" i="41"/>
  <c r="N22" i="41"/>
  <c r="P20" i="41"/>
  <c r="S19" i="41"/>
  <c r="R19" i="41"/>
  <c r="Q19" i="41"/>
  <c r="P19" i="41"/>
  <c r="O19" i="41"/>
  <c r="N19" i="41"/>
  <c r="S17" i="41"/>
  <c r="R17" i="41"/>
  <c r="Q17" i="41"/>
  <c r="P17" i="41"/>
  <c r="O17" i="41"/>
  <c r="N17" i="41"/>
  <c r="S16" i="41"/>
  <c r="R16" i="41"/>
  <c r="Q16" i="41"/>
  <c r="P16" i="41"/>
  <c r="O16" i="41"/>
  <c r="N16" i="41"/>
  <c r="S15" i="41"/>
  <c r="R15" i="41"/>
  <c r="Q15" i="41"/>
  <c r="P15" i="41"/>
  <c r="O15" i="41"/>
  <c r="N15" i="41"/>
  <c r="S12" i="41"/>
  <c r="R12" i="41"/>
  <c r="Q12" i="41"/>
  <c r="P12" i="41"/>
  <c r="O12" i="41"/>
  <c r="N12" i="41"/>
  <c r="S10" i="41"/>
  <c r="R10" i="41"/>
  <c r="Q10" i="41"/>
  <c r="P10" i="41"/>
  <c r="O10" i="41"/>
  <c r="N10" i="41"/>
  <c r="P8" i="41"/>
  <c r="S8" i="41"/>
  <c r="F8" i="41"/>
  <c r="D8" i="41"/>
  <c r="C8" i="41"/>
  <c r="S7" i="41"/>
  <c r="R7" i="41"/>
  <c r="Q7" i="41"/>
  <c r="P7" i="41"/>
  <c r="O7" i="41"/>
  <c r="N7" i="41"/>
  <c r="S6" i="41"/>
  <c r="R6" i="41"/>
  <c r="Q6" i="41"/>
  <c r="P6" i="41"/>
  <c r="O6" i="41"/>
  <c r="N6" i="41"/>
  <c r="F5" i="41"/>
  <c r="D8" i="4" s="1"/>
  <c r="E5" i="41"/>
  <c r="C8" i="4" s="1"/>
  <c r="D5" i="41"/>
  <c r="B8" i="4" s="1"/>
  <c r="C5" i="41"/>
  <c r="S4" i="41"/>
  <c r="R4" i="41"/>
  <c r="Q4" i="41"/>
  <c r="P4" i="41"/>
  <c r="O4" i="41"/>
  <c r="N4" i="41"/>
  <c r="S3" i="41"/>
  <c r="R3" i="41"/>
  <c r="Q3" i="41"/>
  <c r="P3" i="41"/>
  <c r="O3" i="41"/>
  <c r="N3" i="41"/>
  <c r="F7" i="38"/>
  <c r="E7" i="38"/>
  <c r="E6" i="38" s="1"/>
  <c r="E5" i="38" s="1"/>
  <c r="D7" i="38"/>
  <c r="D6" i="38" s="1"/>
  <c r="D5" i="38" s="1"/>
  <c r="C7" i="38"/>
  <c r="C6" i="38" s="1"/>
  <c r="C5" i="38" s="1"/>
  <c r="F6" i="38"/>
  <c r="F5" i="38" s="1"/>
  <c r="D9" i="41" l="1"/>
  <c r="Y5" i="41"/>
  <c r="O8" i="41"/>
  <c r="Y8" i="41"/>
  <c r="Z8" i="41"/>
  <c r="E9" i="41"/>
  <c r="Z5" i="41"/>
  <c r="AA8" i="41"/>
  <c r="AB8" i="41"/>
  <c r="Q5" i="41"/>
  <c r="D9" i="4" s="1"/>
  <c r="AA5" i="41"/>
  <c r="AB5" i="41"/>
  <c r="J16" i="41"/>
  <c r="C9" i="41"/>
  <c r="P5" i="41"/>
  <c r="C9" i="4" s="1"/>
  <c r="S14" i="41"/>
  <c r="S9" i="41"/>
  <c r="F11" i="4" s="1"/>
  <c r="D11" i="41"/>
  <c r="O9" i="41"/>
  <c r="B11" i="4" s="1"/>
  <c r="N5" i="41"/>
  <c r="R5" i="41"/>
  <c r="E9" i="4" s="1"/>
  <c r="Q8" i="41"/>
  <c r="F9" i="41"/>
  <c r="O5" i="41"/>
  <c r="B9" i="4" s="1"/>
  <c r="S5" i="41"/>
  <c r="F9" i="4" s="1"/>
  <c r="N8" i="41"/>
  <c r="R8" i="41"/>
  <c r="D10" i="4" l="1"/>
  <c r="B24" i="51"/>
  <c r="B26" i="51"/>
  <c r="B28" i="51" s="1"/>
  <c r="C10" i="4"/>
  <c r="B10" i="4"/>
  <c r="E11" i="41"/>
  <c r="Z11" i="41" s="1"/>
  <c r="P9" i="41"/>
  <c r="C11" i="4" s="1"/>
  <c r="F14" i="41"/>
  <c r="D13" i="4" s="1"/>
  <c r="D14" i="4" s="1"/>
  <c r="AA9" i="41"/>
  <c r="AB9" i="41"/>
  <c r="E14" i="41"/>
  <c r="C13" i="4" s="1"/>
  <c r="C14" i="4" s="1"/>
  <c r="Z9" i="41"/>
  <c r="AE16" i="41"/>
  <c r="D14" i="41"/>
  <c r="B13" i="4" s="1"/>
  <c r="B14" i="4" s="1"/>
  <c r="Y9" i="41"/>
  <c r="K16" i="41"/>
  <c r="L16" i="41" s="1"/>
  <c r="AG16" i="41" s="1"/>
  <c r="J17" i="51"/>
  <c r="C11" i="41"/>
  <c r="Y11" i="41" s="1"/>
  <c r="C14" i="41"/>
  <c r="N9" i="41"/>
  <c r="O11" i="41"/>
  <c r="D18" i="41"/>
  <c r="E27" i="41" s="1"/>
  <c r="S11" i="41"/>
  <c r="P11" i="41"/>
  <c r="E18" i="41"/>
  <c r="F27" i="41" s="1"/>
  <c r="R9" i="41"/>
  <c r="E11" i="4" s="1"/>
  <c r="P14" i="41"/>
  <c r="F11" i="41"/>
  <c r="Q9" i="41"/>
  <c r="D11" i="4" s="1"/>
  <c r="I3" i="2"/>
  <c r="J3" i="2"/>
  <c r="K3" i="2"/>
  <c r="L3" i="2"/>
  <c r="M3" i="2"/>
  <c r="N3" i="2"/>
  <c r="T3" i="2"/>
  <c r="U3" i="2"/>
  <c r="G24" i="40"/>
  <c r="F24" i="40"/>
  <c r="C19" i="40"/>
  <c r="C24" i="51" l="1"/>
  <c r="C26" i="51"/>
  <c r="C28" i="51" s="1"/>
  <c r="D24" i="51"/>
  <c r="D26" i="51"/>
  <c r="D28" i="51" s="1"/>
  <c r="E24" i="51"/>
  <c r="E26" i="51"/>
  <c r="E28" i="51" s="1"/>
  <c r="M16" i="41"/>
  <c r="AH16" i="41" s="1"/>
  <c r="O14" i="41"/>
  <c r="N11" i="41"/>
  <c r="C18" i="41"/>
  <c r="K17" i="51"/>
  <c r="AF16" i="41"/>
  <c r="AA11" i="41"/>
  <c r="AB11" i="41"/>
  <c r="Z18" i="41"/>
  <c r="C4" i="51"/>
  <c r="Y14" i="41"/>
  <c r="D4" i="51"/>
  <c r="Z14" i="41"/>
  <c r="E4" i="51"/>
  <c r="AA14" i="41"/>
  <c r="AB14" i="41"/>
  <c r="N14" i="41"/>
  <c r="B4" i="51"/>
  <c r="L17" i="51"/>
  <c r="I24" i="40"/>
  <c r="M77" i="36"/>
  <c r="H24" i="40"/>
  <c r="L77" i="36"/>
  <c r="E24" i="40"/>
  <c r="Q14" i="41"/>
  <c r="F18" i="41"/>
  <c r="G27" i="41" s="1"/>
  <c r="Q11" i="41"/>
  <c r="P18" i="41"/>
  <c r="D20" i="41"/>
  <c r="D23" i="41" s="1"/>
  <c r="C43" i="51" s="1"/>
  <c r="O18" i="41"/>
  <c r="S18" i="41"/>
  <c r="R14" i="41"/>
  <c r="R11" i="41"/>
  <c r="Y18" i="41" l="1"/>
  <c r="D27" i="41"/>
  <c r="C27" i="41"/>
  <c r="M17" i="51"/>
  <c r="D25" i="41"/>
  <c r="B18" i="4" s="1"/>
  <c r="B12" i="4"/>
  <c r="N18" i="41"/>
  <c r="C20" i="41"/>
  <c r="C23" i="41" s="1"/>
  <c r="AA18" i="41"/>
  <c r="AB18" i="41"/>
  <c r="Z20" i="41"/>
  <c r="L80" i="36"/>
  <c r="V80" i="36" s="1"/>
  <c r="L82" i="36"/>
  <c r="V82" i="36" s="1"/>
  <c r="I3" i="41"/>
  <c r="J26" i="50"/>
  <c r="I7" i="51" s="1"/>
  <c r="F20" i="41"/>
  <c r="F23" i="41" s="1"/>
  <c r="E43" i="51" s="1"/>
  <c r="Q18" i="41"/>
  <c r="R18" i="41"/>
  <c r="S23" i="41"/>
  <c r="S20" i="41"/>
  <c r="O20" i="41"/>
  <c r="H25" i="36"/>
  <c r="H24" i="36"/>
  <c r="H23" i="36"/>
  <c r="H22" i="36"/>
  <c r="H21" i="36"/>
  <c r="H20" i="36"/>
  <c r="H19" i="36"/>
  <c r="H18" i="36"/>
  <c r="H17" i="36"/>
  <c r="H16" i="36"/>
  <c r="H15" i="36"/>
  <c r="H14" i="36"/>
  <c r="H13" i="36"/>
  <c r="H12" i="36"/>
  <c r="H11" i="36"/>
  <c r="H10" i="36"/>
  <c r="H9" i="36"/>
  <c r="H8" i="36"/>
  <c r="H7" i="36"/>
  <c r="H6" i="36"/>
  <c r="M25" i="36"/>
  <c r="M24" i="36"/>
  <c r="M23" i="36"/>
  <c r="M22" i="36"/>
  <c r="M21" i="36"/>
  <c r="M20" i="36"/>
  <c r="M19" i="36"/>
  <c r="M18" i="36"/>
  <c r="M17" i="36"/>
  <c r="M16" i="36"/>
  <c r="M15" i="36"/>
  <c r="M14" i="36"/>
  <c r="M13" i="36"/>
  <c r="M12" i="36"/>
  <c r="M11" i="36"/>
  <c r="M10" i="36"/>
  <c r="M9" i="36"/>
  <c r="M8" i="36"/>
  <c r="M7" i="36"/>
  <c r="M6" i="36"/>
  <c r="T25" i="36"/>
  <c r="T24" i="36"/>
  <c r="T23" i="36"/>
  <c r="T22" i="36"/>
  <c r="T21" i="36"/>
  <c r="T20" i="36"/>
  <c r="T19" i="36"/>
  <c r="T18" i="36"/>
  <c r="T17" i="36"/>
  <c r="T16" i="36"/>
  <c r="T15" i="36"/>
  <c r="T14" i="36"/>
  <c r="T13" i="36"/>
  <c r="T12" i="36"/>
  <c r="T11" i="36"/>
  <c r="T10" i="36"/>
  <c r="T9" i="36"/>
  <c r="T8" i="36"/>
  <c r="T7" i="36"/>
  <c r="T6" i="36"/>
  <c r="K26" i="50" l="1"/>
  <c r="J70" i="50"/>
  <c r="J73" i="50" s="1"/>
  <c r="C25" i="41"/>
  <c r="B43" i="51"/>
  <c r="N20" i="41"/>
  <c r="Y20" i="41"/>
  <c r="F25" i="41"/>
  <c r="D18" i="4" s="1"/>
  <c r="D12" i="4"/>
  <c r="I7" i="41"/>
  <c r="I6" i="41"/>
  <c r="I4" i="41"/>
  <c r="J16" i="9"/>
  <c r="J7" i="50"/>
  <c r="J6" i="50"/>
  <c r="Z23" i="41"/>
  <c r="Y23" i="41"/>
  <c r="AA20" i="41"/>
  <c r="AB20" i="41"/>
  <c r="I81" i="36"/>
  <c r="S81" i="36" s="1"/>
  <c r="AD3" i="41"/>
  <c r="M82" i="36"/>
  <c r="W82" i="36" s="1"/>
  <c r="M80" i="36"/>
  <c r="W80" i="36" s="1"/>
  <c r="J3" i="41"/>
  <c r="R20" i="41"/>
  <c r="Q20" i="41"/>
  <c r="O23" i="41"/>
  <c r="N23" i="41"/>
  <c r="N25" i="36"/>
  <c r="N24" i="36"/>
  <c r="N23" i="36"/>
  <c r="N22" i="36"/>
  <c r="N21" i="36"/>
  <c r="N20" i="36"/>
  <c r="N19" i="36"/>
  <c r="N18" i="36"/>
  <c r="N17" i="36"/>
  <c r="N16" i="36"/>
  <c r="N15" i="36"/>
  <c r="N14" i="36"/>
  <c r="N13" i="36"/>
  <c r="N12" i="36"/>
  <c r="N11" i="36"/>
  <c r="N10" i="36"/>
  <c r="N9" i="36"/>
  <c r="N8" i="36"/>
  <c r="N7" i="36"/>
  <c r="N6" i="36"/>
  <c r="F25" i="36"/>
  <c r="F24" i="36"/>
  <c r="F23" i="36"/>
  <c r="F22" i="36"/>
  <c r="F21" i="36"/>
  <c r="F20" i="36"/>
  <c r="F19" i="36"/>
  <c r="F18" i="36"/>
  <c r="F17" i="36"/>
  <c r="F16" i="36"/>
  <c r="F15" i="36"/>
  <c r="F14" i="36"/>
  <c r="F13" i="36"/>
  <c r="F12" i="36"/>
  <c r="F11" i="36"/>
  <c r="F10" i="36"/>
  <c r="F9" i="36"/>
  <c r="F8" i="36"/>
  <c r="F7" i="36"/>
  <c r="F6" i="36"/>
  <c r="Q25" i="36"/>
  <c r="Q24" i="36"/>
  <c r="Q23" i="36"/>
  <c r="Q22" i="36"/>
  <c r="Q21" i="36"/>
  <c r="Q20" i="36"/>
  <c r="Q19" i="36"/>
  <c r="Q18" i="36"/>
  <c r="Q17" i="36"/>
  <c r="Q16" i="36"/>
  <c r="Q14" i="36"/>
  <c r="Q13" i="36"/>
  <c r="Q12" i="36"/>
  <c r="Q11" i="36"/>
  <c r="Q10" i="36"/>
  <c r="Q9" i="36"/>
  <c r="Q8" i="36"/>
  <c r="Q7" i="36"/>
  <c r="Q6" i="36"/>
  <c r="Q15" i="36"/>
  <c r="K25" i="36"/>
  <c r="K24" i="36"/>
  <c r="K23" i="36"/>
  <c r="K22" i="36"/>
  <c r="K21" i="36"/>
  <c r="K20" i="36"/>
  <c r="K19" i="36"/>
  <c r="K18" i="36"/>
  <c r="K17" i="36"/>
  <c r="K16" i="36"/>
  <c r="K15" i="36"/>
  <c r="K14" i="36"/>
  <c r="K13" i="36"/>
  <c r="K12" i="36"/>
  <c r="K11" i="36"/>
  <c r="K10" i="36"/>
  <c r="K9" i="36"/>
  <c r="K8" i="36"/>
  <c r="K7" i="36"/>
  <c r="K6" i="36"/>
  <c r="J37" i="38"/>
  <c r="J36" i="38"/>
  <c r="J35" i="38"/>
  <c r="H29" i="38"/>
  <c r="H28" i="38"/>
  <c r="H27" i="38"/>
  <c r="H22" i="38"/>
  <c r="H21" i="38"/>
  <c r="H20" i="38"/>
  <c r="I36" i="38"/>
  <c r="I37" i="38"/>
  <c r="I35" i="38"/>
  <c r="I34" i="38"/>
  <c r="I33" i="38"/>
  <c r="I32" i="38"/>
  <c r="L26" i="50" l="1"/>
  <c r="K7" i="51" s="1"/>
  <c r="J7" i="51"/>
  <c r="F6" i="80"/>
  <c r="J66" i="50"/>
  <c r="K70" i="50"/>
  <c r="K73" i="50" s="1"/>
  <c r="Y16" i="9"/>
  <c r="Y44" i="7" s="1"/>
  <c r="J44" i="7"/>
  <c r="J17" i="9"/>
  <c r="I10" i="51"/>
  <c r="I25" i="51" s="1"/>
  <c r="J11" i="50"/>
  <c r="J6" i="41"/>
  <c r="J4" i="41"/>
  <c r="J7" i="41"/>
  <c r="K6" i="50"/>
  <c r="K16" i="9"/>
  <c r="K7" i="50"/>
  <c r="AA23" i="41"/>
  <c r="AB23" i="41"/>
  <c r="C16" i="38"/>
  <c r="D16" i="38"/>
  <c r="B16" i="38"/>
  <c r="AE3" i="41"/>
  <c r="J81" i="36"/>
  <c r="T81" i="36" s="1"/>
  <c r="U17" i="41"/>
  <c r="U21" i="41"/>
  <c r="U13" i="41"/>
  <c r="U16" i="41"/>
  <c r="U22" i="41"/>
  <c r="K3" i="41"/>
  <c r="U3" i="41"/>
  <c r="B23" i="38"/>
  <c r="M27" i="36"/>
  <c r="B31" i="38"/>
  <c r="B39" i="38" s="1"/>
  <c r="Q23" i="41"/>
  <c r="R23" i="41"/>
  <c r="M26" i="50" l="1"/>
  <c r="L7" i="51" s="1"/>
  <c r="L70" i="50"/>
  <c r="L73" i="50" s="1"/>
  <c r="G6" i="80"/>
  <c r="J68" i="50"/>
  <c r="F7" i="80"/>
  <c r="K66" i="50"/>
  <c r="Z16" i="9"/>
  <c r="Z44" i="7" s="1"/>
  <c r="K44" i="7"/>
  <c r="Y17" i="9"/>
  <c r="Y45" i="7" s="1"/>
  <c r="J45" i="7"/>
  <c r="J16" i="50"/>
  <c r="J15" i="7" s="1"/>
  <c r="X15" i="7" s="1"/>
  <c r="K11" i="50"/>
  <c r="K4" i="41"/>
  <c r="K6" i="41"/>
  <c r="K7" i="41"/>
  <c r="L16" i="9"/>
  <c r="L7" i="50"/>
  <c r="L6" i="50"/>
  <c r="V16" i="41"/>
  <c r="AF3" i="41"/>
  <c r="K81" i="36"/>
  <c r="U81" i="36" s="1"/>
  <c r="K18" i="51"/>
  <c r="K17" i="9"/>
  <c r="J10" i="51"/>
  <c r="V13" i="41"/>
  <c r="V17" i="41"/>
  <c r="V22" i="41"/>
  <c r="V3" i="41"/>
  <c r="V21" i="41"/>
  <c r="L3" i="41"/>
  <c r="M3" i="41" s="1"/>
  <c r="B7" i="38"/>
  <c r="B6" i="38" s="1"/>
  <c r="B5" i="38" s="1"/>
  <c r="N26" i="50" l="1"/>
  <c r="M7" i="51" s="1"/>
  <c r="M70" i="50"/>
  <c r="M73" i="50" s="1"/>
  <c r="L66" i="50"/>
  <c r="K68" i="50"/>
  <c r="H6" i="80"/>
  <c r="G7" i="80"/>
  <c r="AA16" i="9"/>
  <c r="AA44" i="7" s="1"/>
  <c r="L44" i="7"/>
  <c r="Z17" i="9"/>
  <c r="Z45" i="7" s="1"/>
  <c r="K45" i="7"/>
  <c r="X12" i="41"/>
  <c r="X16" i="41"/>
  <c r="M7" i="41"/>
  <c r="M6" i="41"/>
  <c r="M4" i="41"/>
  <c r="N7" i="50"/>
  <c r="N6" i="50"/>
  <c r="N16" i="9"/>
  <c r="N44" i="7" s="1"/>
  <c r="X3" i="41"/>
  <c r="X22" i="41"/>
  <c r="L4" i="41"/>
  <c r="L7" i="41"/>
  <c r="L6" i="41"/>
  <c r="M6" i="50"/>
  <c r="M16" i="9"/>
  <c r="M7" i="50"/>
  <c r="I6" i="80" s="1"/>
  <c r="L11" i="50"/>
  <c r="H7" i="80" s="1"/>
  <c r="X13" i="41"/>
  <c r="X17" i="41"/>
  <c r="X21" i="41"/>
  <c r="L81" i="36"/>
  <c r="V81" i="36" s="1"/>
  <c r="AG3" i="41"/>
  <c r="L18" i="51"/>
  <c r="K16" i="50"/>
  <c r="J25" i="51"/>
  <c r="L17" i="9"/>
  <c r="K10" i="51"/>
  <c r="W21" i="41"/>
  <c r="W16" i="41"/>
  <c r="W22" i="41"/>
  <c r="W13" i="41"/>
  <c r="W3" i="41"/>
  <c r="W17" i="41"/>
  <c r="B30" i="38"/>
  <c r="N70" i="50" l="1"/>
  <c r="N73" i="50" s="1"/>
  <c r="J6" i="80"/>
  <c r="N66" i="50"/>
  <c r="M66" i="50"/>
  <c r="L68" i="50"/>
  <c r="AA17" i="9"/>
  <c r="AA45" i="7" s="1"/>
  <c r="L45" i="7"/>
  <c r="L10" i="51"/>
  <c r="M44" i="7"/>
  <c r="AB16" i="9"/>
  <c r="AB44" i="7" s="1"/>
  <c r="N11" i="50"/>
  <c r="M11" i="50"/>
  <c r="M81" i="36"/>
  <c r="W81" i="36" s="1"/>
  <c r="AH3" i="41"/>
  <c r="M18" i="51"/>
  <c r="K15" i="7"/>
  <c r="Y15" i="7" s="1"/>
  <c r="L16" i="50"/>
  <c r="K25" i="51"/>
  <c r="M17" i="9"/>
  <c r="AC16" i="9"/>
  <c r="H63" i="5"/>
  <c r="G63" i="5"/>
  <c r="F63" i="5"/>
  <c r="E63" i="5"/>
  <c r="H67" i="5"/>
  <c r="G67" i="5"/>
  <c r="F67" i="5"/>
  <c r="E67" i="5"/>
  <c r="J66" i="5"/>
  <c r="J62" i="5"/>
  <c r="E59" i="5"/>
  <c r="F59" i="5"/>
  <c r="G59" i="5"/>
  <c r="H59" i="5"/>
  <c r="I59" i="5"/>
  <c r="J58" i="5"/>
  <c r="J57" i="5"/>
  <c r="D11" i="5"/>
  <c r="D23" i="5"/>
  <c r="I8" i="7"/>
  <c r="I7" i="7"/>
  <c r="N21" i="2"/>
  <c r="N18" i="2"/>
  <c r="N16" i="2"/>
  <c r="N15" i="2"/>
  <c r="N14" i="2"/>
  <c r="N12" i="2"/>
  <c r="N10" i="2"/>
  <c r="N7" i="2"/>
  <c r="D28" i="40" s="1"/>
  <c r="N6" i="2"/>
  <c r="D27" i="40" s="1"/>
  <c r="N4" i="2"/>
  <c r="D25" i="40" s="1"/>
  <c r="H8" i="2"/>
  <c r="H5" i="2"/>
  <c r="I44" i="1"/>
  <c r="I35" i="1"/>
  <c r="I28" i="1"/>
  <c r="I19" i="1"/>
  <c r="I13" i="1"/>
  <c r="D31" i="40" l="1"/>
  <c r="E15" i="80"/>
  <c r="E18" i="80" s="1"/>
  <c r="I7" i="80"/>
  <c r="N68" i="50"/>
  <c r="J7" i="80"/>
  <c r="M68" i="50"/>
  <c r="AB17" i="9"/>
  <c r="AB45" i="7" s="1"/>
  <c r="M45" i="7"/>
  <c r="D29" i="40"/>
  <c r="E29" i="40" s="1"/>
  <c r="F29" i="40" s="1"/>
  <c r="N5" i="2"/>
  <c r="I25" i="7"/>
  <c r="I14" i="7"/>
  <c r="I5" i="7"/>
  <c r="J67" i="5"/>
  <c r="L15" i="7"/>
  <c r="Z15" i="7" s="1"/>
  <c r="I9" i="7"/>
  <c r="W7" i="7"/>
  <c r="M16" i="50"/>
  <c r="L25" i="51"/>
  <c r="N17" i="9"/>
  <c r="M10" i="51"/>
  <c r="I3" i="7"/>
  <c r="I36" i="1"/>
  <c r="P28" i="1" s="1"/>
  <c r="I46" i="1"/>
  <c r="I48" i="1"/>
  <c r="I20" i="1"/>
  <c r="I17" i="7" s="1"/>
  <c r="I4" i="7"/>
  <c r="J63" i="5"/>
  <c r="K62" i="5"/>
  <c r="AD6" i="41"/>
  <c r="J59" i="5"/>
  <c r="H9" i="2"/>
  <c r="N8" i="2"/>
  <c r="P45" i="1" l="1"/>
  <c r="P41" i="1"/>
  <c r="P43" i="1"/>
  <c r="P46" i="1"/>
  <c r="P40" i="1"/>
  <c r="P39" i="1"/>
  <c r="P42" i="1"/>
  <c r="P44" i="1"/>
  <c r="P35" i="1"/>
  <c r="P27" i="1"/>
  <c r="P23" i="1"/>
  <c r="P32" i="1"/>
  <c r="P25" i="1"/>
  <c r="P33" i="1"/>
  <c r="P26" i="1"/>
  <c r="P31" i="1"/>
  <c r="P34" i="1"/>
  <c r="P30" i="1"/>
  <c r="P24" i="1"/>
  <c r="P36" i="1"/>
  <c r="AC17" i="9"/>
  <c r="N45" i="7"/>
  <c r="I19" i="7"/>
  <c r="K6" i="7"/>
  <c r="I18" i="7"/>
  <c r="I21" i="7"/>
  <c r="I20" i="7"/>
  <c r="I28" i="7"/>
  <c r="I26" i="7"/>
  <c r="AD7" i="41"/>
  <c r="I8" i="41"/>
  <c r="AD8" i="41" s="1"/>
  <c r="M15" i="7"/>
  <c r="AA15" i="7" s="1"/>
  <c r="I12" i="7"/>
  <c r="N16" i="50"/>
  <c r="M25" i="51"/>
  <c r="P19" i="1"/>
  <c r="P8" i="1"/>
  <c r="P12" i="1"/>
  <c r="P16" i="1"/>
  <c r="P20" i="1"/>
  <c r="P18" i="1"/>
  <c r="P15" i="1"/>
  <c r="P9" i="1"/>
  <c r="P17" i="1"/>
  <c r="P10" i="1"/>
  <c r="P7" i="1"/>
  <c r="P6" i="1"/>
  <c r="P11" i="1"/>
  <c r="P13" i="1"/>
  <c r="C14" i="49"/>
  <c r="I47" i="1"/>
  <c r="B13" i="38"/>
  <c r="B14" i="38"/>
  <c r="B12" i="38"/>
  <c r="H13" i="2"/>
  <c r="B29" i="99" s="1"/>
  <c r="I24" i="7"/>
  <c r="G29" i="40"/>
  <c r="J10" i="41"/>
  <c r="H11" i="2"/>
  <c r="I10" i="9"/>
  <c r="N9" i="2"/>
  <c r="C29" i="99" l="1"/>
  <c r="B33" i="99"/>
  <c r="C16" i="49"/>
  <c r="C13" i="49"/>
  <c r="I38" i="7"/>
  <c r="F75" i="25" s="1"/>
  <c r="H17" i="2"/>
  <c r="I22" i="7" s="1"/>
  <c r="I3" i="9"/>
  <c r="I4" i="9"/>
  <c r="AE7" i="41"/>
  <c r="J8" i="41"/>
  <c r="AE8" i="41" s="1"/>
  <c r="U7" i="41"/>
  <c r="AE6" i="41"/>
  <c r="U6" i="41"/>
  <c r="J9" i="51"/>
  <c r="N15" i="7"/>
  <c r="AB15" i="7" s="1"/>
  <c r="K7" i="7"/>
  <c r="G15" i="80" s="1"/>
  <c r="G18" i="80" s="1"/>
  <c r="L6" i="7"/>
  <c r="C19" i="49"/>
  <c r="P47" i="25"/>
  <c r="N13" i="2"/>
  <c r="B40" i="38"/>
  <c r="N11" i="2"/>
  <c r="P50" i="25"/>
  <c r="U10" i="41"/>
  <c r="H29" i="40"/>
  <c r="K10" i="41"/>
  <c r="J72" i="35"/>
  <c r="I72" i="35"/>
  <c r="H72" i="35"/>
  <c r="G72" i="35"/>
  <c r="J71" i="35"/>
  <c r="I71" i="35"/>
  <c r="H71" i="35"/>
  <c r="G71" i="35"/>
  <c r="J70" i="35"/>
  <c r="I70" i="35"/>
  <c r="H70" i="35"/>
  <c r="G70" i="35"/>
  <c r="J69" i="35"/>
  <c r="I69" i="35"/>
  <c r="H69" i="35"/>
  <c r="G69" i="35"/>
  <c r="J68" i="35"/>
  <c r="I68" i="35"/>
  <c r="H68" i="35"/>
  <c r="G68" i="35"/>
  <c r="J67" i="35"/>
  <c r="I67" i="35"/>
  <c r="H67" i="35"/>
  <c r="G67" i="35"/>
  <c r="J66" i="35"/>
  <c r="I66" i="35"/>
  <c r="H66" i="35"/>
  <c r="G66" i="35"/>
  <c r="J65" i="35"/>
  <c r="I65" i="35"/>
  <c r="H65" i="35"/>
  <c r="G65" i="35"/>
  <c r="J64" i="35"/>
  <c r="I64" i="35"/>
  <c r="H64" i="35"/>
  <c r="G64" i="35"/>
  <c r="J63" i="35"/>
  <c r="I63" i="35"/>
  <c r="H63" i="35"/>
  <c r="G63" i="35"/>
  <c r="J62" i="35"/>
  <c r="I62" i="35"/>
  <c r="H62" i="35"/>
  <c r="G62" i="35"/>
  <c r="J61" i="35"/>
  <c r="I61" i="35"/>
  <c r="H61" i="35"/>
  <c r="G61" i="35"/>
  <c r="J60" i="35"/>
  <c r="I60" i="35"/>
  <c r="H60" i="35"/>
  <c r="G60" i="35"/>
  <c r="J59" i="35"/>
  <c r="I59" i="35"/>
  <c r="H59" i="35"/>
  <c r="G59" i="35"/>
  <c r="J58" i="35"/>
  <c r="I58" i="35"/>
  <c r="H58" i="35"/>
  <c r="G58" i="35"/>
  <c r="J57" i="35"/>
  <c r="I57" i="35"/>
  <c r="H57" i="35"/>
  <c r="G57" i="35"/>
  <c r="J56" i="35"/>
  <c r="I56" i="35"/>
  <c r="H56" i="35"/>
  <c r="G56" i="35"/>
  <c r="J55" i="35"/>
  <c r="I55" i="35"/>
  <c r="H55" i="35"/>
  <c r="G55" i="35"/>
  <c r="J54" i="35"/>
  <c r="I54" i="35"/>
  <c r="H54" i="35"/>
  <c r="G54" i="35"/>
  <c r="J53" i="35"/>
  <c r="I53" i="35"/>
  <c r="H53" i="35"/>
  <c r="G53" i="35"/>
  <c r="J52" i="35"/>
  <c r="I52" i="35"/>
  <c r="H52" i="35"/>
  <c r="G52" i="35"/>
  <c r="J51" i="35"/>
  <c r="I51" i="35"/>
  <c r="H51" i="35"/>
  <c r="G51" i="35"/>
  <c r="B34" i="99" l="1"/>
  <c r="B45" i="99" s="1"/>
  <c r="B30" i="99"/>
  <c r="D29" i="99"/>
  <c r="D33" i="99" s="1"/>
  <c r="C33" i="99"/>
  <c r="I8" i="9"/>
  <c r="I7" i="9"/>
  <c r="I9" i="9"/>
  <c r="P46" i="25" s="1"/>
  <c r="I19" i="9"/>
  <c r="I31" i="7"/>
  <c r="F74" i="25" s="1"/>
  <c r="I32" i="7"/>
  <c r="N17" i="2"/>
  <c r="U8" i="41"/>
  <c r="P45" i="25"/>
  <c r="P40" i="25"/>
  <c r="AF7" i="41"/>
  <c r="K8" i="41"/>
  <c r="AF8" i="41" s="1"/>
  <c r="AF6" i="41"/>
  <c r="V6" i="41"/>
  <c r="V7" i="41"/>
  <c r="P41" i="25"/>
  <c r="H19" i="2"/>
  <c r="K9" i="51"/>
  <c r="AF10" i="41"/>
  <c r="L7" i="7"/>
  <c r="H15" i="80" s="1"/>
  <c r="H18" i="80" s="1"/>
  <c r="Z6" i="7"/>
  <c r="M6" i="7"/>
  <c r="N6" i="7"/>
  <c r="C17" i="49"/>
  <c r="C21" i="49" s="1"/>
  <c r="V10" i="41"/>
  <c r="I29" i="40"/>
  <c r="M10" i="41" s="1"/>
  <c r="L10" i="41"/>
  <c r="J25" i="35"/>
  <c r="J24" i="35"/>
  <c r="J23" i="35"/>
  <c r="J22" i="35"/>
  <c r="J21" i="35"/>
  <c r="J20" i="35"/>
  <c r="J19" i="35"/>
  <c r="J18" i="35"/>
  <c r="I25" i="35"/>
  <c r="I24" i="35"/>
  <c r="I23" i="35"/>
  <c r="I22" i="35"/>
  <c r="I21" i="35"/>
  <c r="I20" i="35"/>
  <c r="I19" i="35"/>
  <c r="I18" i="35"/>
  <c r="H25" i="35"/>
  <c r="H24" i="35"/>
  <c r="H23" i="35"/>
  <c r="H22" i="35"/>
  <c r="H21" i="35"/>
  <c r="H20" i="35"/>
  <c r="H19" i="35"/>
  <c r="H18" i="35"/>
  <c r="G25" i="35"/>
  <c r="G24" i="35"/>
  <c r="G23" i="35"/>
  <c r="G22" i="35"/>
  <c r="G21" i="35"/>
  <c r="G20" i="35"/>
  <c r="G19" i="35"/>
  <c r="G18" i="35"/>
  <c r="G44" i="35"/>
  <c r="F44" i="35"/>
  <c r="E44" i="35"/>
  <c r="D44" i="35"/>
  <c r="C44" i="35"/>
  <c r="B44" i="35"/>
  <c r="J17" i="35"/>
  <c r="I17" i="35"/>
  <c r="H17" i="35"/>
  <c r="G17" i="35"/>
  <c r="J16" i="35"/>
  <c r="I16" i="35"/>
  <c r="H16" i="35"/>
  <c r="G16" i="35"/>
  <c r="J15" i="35"/>
  <c r="I15" i="35"/>
  <c r="H15" i="35"/>
  <c r="G15" i="35"/>
  <c r="J14" i="35"/>
  <c r="I14" i="35"/>
  <c r="H14" i="35"/>
  <c r="G14" i="35"/>
  <c r="C34" i="99" l="1"/>
  <c r="C45" i="99" s="1"/>
  <c r="C30" i="99"/>
  <c r="D34" i="99"/>
  <c r="D45" i="99" s="1"/>
  <c r="D30" i="99"/>
  <c r="H47" i="51"/>
  <c r="F81" i="25"/>
  <c r="I37" i="7"/>
  <c r="P44" i="25"/>
  <c r="I35" i="7"/>
  <c r="I36" i="7"/>
  <c r="N19" i="2"/>
  <c r="V8" i="41"/>
  <c r="X10" i="41"/>
  <c r="H22" i="2"/>
  <c r="I14" i="9" s="1"/>
  <c r="L9" i="51"/>
  <c r="AG10" i="41"/>
  <c r="M9" i="51"/>
  <c r="AH10" i="41"/>
  <c r="N7" i="7"/>
  <c r="J15" i="80" s="1"/>
  <c r="J18" i="80" s="1"/>
  <c r="AB6" i="7"/>
  <c r="M7" i="7"/>
  <c r="I15" i="80" s="1"/>
  <c r="I18" i="80" s="1"/>
  <c r="AA6" i="7"/>
  <c r="Z7" i="7"/>
  <c r="W10" i="41"/>
  <c r="J13" i="35"/>
  <c r="I13" i="35"/>
  <c r="H13" i="35"/>
  <c r="G13" i="35"/>
  <c r="J12" i="35"/>
  <c r="I12" i="35"/>
  <c r="H12" i="35"/>
  <c r="G12" i="35"/>
  <c r="J11" i="35"/>
  <c r="I11" i="35"/>
  <c r="H11" i="35"/>
  <c r="G11" i="35"/>
  <c r="J10" i="35"/>
  <c r="I10" i="35"/>
  <c r="H10" i="35"/>
  <c r="G10" i="35"/>
  <c r="J9" i="35"/>
  <c r="I9" i="35"/>
  <c r="H9" i="35"/>
  <c r="G9" i="35"/>
  <c r="J8" i="35"/>
  <c r="I8" i="35"/>
  <c r="H8" i="35"/>
  <c r="G8" i="35"/>
  <c r="J7" i="35"/>
  <c r="I7" i="35"/>
  <c r="H7" i="35"/>
  <c r="G7" i="35"/>
  <c r="J6" i="35"/>
  <c r="I6" i="35"/>
  <c r="H6" i="35"/>
  <c r="G6" i="35"/>
  <c r="J5" i="35"/>
  <c r="I5" i="35"/>
  <c r="H5" i="35"/>
  <c r="G5" i="35"/>
  <c r="J4" i="35"/>
  <c r="I4" i="35"/>
  <c r="H4" i="35"/>
  <c r="G4" i="35"/>
  <c r="N22" i="2" l="1"/>
  <c r="I42" i="7"/>
  <c r="F77" i="25" s="1"/>
  <c r="I29" i="7"/>
  <c r="I27" i="7"/>
  <c r="I30" i="7"/>
  <c r="I15" i="9"/>
  <c r="L8" i="41"/>
  <c r="AG7" i="41"/>
  <c r="W7" i="41"/>
  <c r="AG6" i="41"/>
  <c r="W6" i="41"/>
  <c r="X7" i="41"/>
  <c r="M8" i="41"/>
  <c r="AH7" i="41"/>
  <c r="X6" i="41"/>
  <c r="AH6" i="41"/>
  <c r="P51" i="25"/>
  <c r="AB7" i="7"/>
  <c r="AA7" i="7"/>
  <c r="AC28" i="7"/>
  <c r="AC27" i="7"/>
  <c r="AC26" i="7"/>
  <c r="AC25" i="7"/>
  <c r="AC17" i="7"/>
  <c r="AC13" i="7"/>
  <c r="AC12" i="7"/>
  <c r="AC11" i="7"/>
  <c r="AC10" i="7"/>
  <c r="AC5" i="7"/>
  <c r="AE15" i="9"/>
  <c r="AC43" i="7" s="1"/>
  <c r="AE14" i="9"/>
  <c r="AC42" i="7" s="1"/>
  <c r="AE12" i="9"/>
  <c r="AC40" i="7" s="1"/>
  <c r="AC38" i="7"/>
  <c r="AE9" i="9"/>
  <c r="AC37" i="7" s="1"/>
  <c r="AE8" i="9"/>
  <c r="AC36" i="7" s="1"/>
  <c r="AE6" i="9"/>
  <c r="I43" i="7" l="1"/>
  <c r="F78" i="25" s="1"/>
  <c r="X8" i="41"/>
  <c r="AH8" i="41"/>
  <c r="P52" i="25"/>
  <c r="AG8" i="41"/>
  <c r="W8" i="41"/>
  <c r="U4" i="2"/>
  <c r="U6" i="2"/>
  <c r="U7" i="2"/>
  <c r="U10" i="2"/>
  <c r="U12" i="2"/>
  <c r="U14" i="2"/>
  <c r="U15" i="2"/>
  <c r="U16" i="2"/>
  <c r="U18" i="2"/>
  <c r="U21" i="2"/>
  <c r="T4" i="2"/>
  <c r="T6" i="2"/>
  <c r="T7" i="2"/>
  <c r="T10" i="2"/>
  <c r="T12" i="2"/>
  <c r="T14" i="2"/>
  <c r="T15" i="2"/>
  <c r="T16" i="2"/>
  <c r="T18" i="2"/>
  <c r="T21" i="2"/>
  <c r="X45" i="1"/>
  <c r="X43" i="1"/>
  <c r="X42" i="1"/>
  <c r="X41" i="1"/>
  <c r="X40" i="1"/>
  <c r="X39" i="1"/>
  <c r="X31" i="1"/>
  <c r="X32" i="1"/>
  <c r="X33" i="1"/>
  <c r="X34" i="1"/>
  <c r="X30" i="1"/>
  <c r="X24" i="1"/>
  <c r="X25" i="1"/>
  <c r="X26" i="1"/>
  <c r="X27" i="1"/>
  <c r="X23" i="1"/>
  <c r="X16" i="1"/>
  <c r="X17" i="1"/>
  <c r="X18" i="1"/>
  <c r="X15" i="1"/>
  <c r="X7" i="1"/>
  <c r="X8" i="1"/>
  <c r="X9" i="1"/>
  <c r="X10" i="1"/>
  <c r="X11" i="1"/>
  <c r="X12" i="1"/>
  <c r="X6" i="1"/>
  <c r="T4" i="8" l="1"/>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473" i="8"/>
  <c r="T474" i="8"/>
  <c r="T475" i="8"/>
  <c r="T476" i="8"/>
  <c r="T477" i="8"/>
  <c r="T478" i="8"/>
  <c r="T479" i="8"/>
  <c r="T480" i="8"/>
  <c r="T481" i="8"/>
  <c r="T482" i="8"/>
  <c r="T483" i="8"/>
  <c r="T484" i="8"/>
  <c r="T485" i="8"/>
  <c r="T486" i="8"/>
  <c r="T487" i="8"/>
  <c r="T488" i="8"/>
  <c r="T489" i="8"/>
  <c r="T490" i="8"/>
  <c r="T491" i="8"/>
  <c r="T492" i="8"/>
  <c r="T493" i="8"/>
  <c r="T494" i="8"/>
  <c r="T495" i="8"/>
  <c r="T496" i="8"/>
  <c r="T497" i="8"/>
  <c r="T498" i="8"/>
  <c r="T499" i="8"/>
  <c r="T500" i="8"/>
  <c r="T501" i="8"/>
  <c r="T502" i="8"/>
  <c r="T503" i="8"/>
  <c r="T504" i="8"/>
  <c r="T505" i="8"/>
  <c r="T506" i="8"/>
  <c r="T507" i="8"/>
  <c r="T508" i="8"/>
  <c r="T509" i="8"/>
  <c r="T510" i="8"/>
  <c r="T511" i="8"/>
  <c r="T512" i="8"/>
  <c r="T513" i="8"/>
  <c r="T514" i="8"/>
  <c r="T515" i="8"/>
  <c r="T516" i="8"/>
  <c r="T517" i="8"/>
  <c r="T518" i="8"/>
  <c r="T519" i="8"/>
  <c r="T520" i="8"/>
  <c r="T521" i="8"/>
  <c r="T522" i="8"/>
  <c r="T523" i="8"/>
  <c r="T524" i="8"/>
  <c r="T525" i="8"/>
  <c r="T526" i="8"/>
  <c r="T527" i="8"/>
  <c r="T528" i="8"/>
  <c r="T529" i="8"/>
  <c r="T530" i="8"/>
  <c r="T531" i="8"/>
  <c r="T532" i="8"/>
  <c r="T533" i="8"/>
  <c r="T534" i="8"/>
  <c r="T535" i="8"/>
  <c r="T536" i="8"/>
  <c r="T537" i="8"/>
  <c r="T538" i="8"/>
  <c r="T539" i="8"/>
  <c r="T540" i="8"/>
  <c r="T541" i="8"/>
  <c r="T542" i="8"/>
  <c r="T543" i="8"/>
  <c r="T544" i="8"/>
  <c r="T545" i="8"/>
  <c r="T546" i="8"/>
  <c r="T547" i="8"/>
  <c r="T548" i="8"/>
  <c r="T549" i="8"/>
  <c r="T550" i="8"/>
  <c r="T551" i="8"/>
  <c r="T552" i="8"/>
  <c r="T553" i="8"/>
  <c r="T554" i="8"/>
  <c r="T555" i="8"/>
  <c r="T556" i="8"/>
  <c r="T557" i="8"/>
  <c r="T558" i="8"/>
  <c r="T559" i="8"/>
  <c r="T560" i="8"/>
  <c r="T561" i="8"/>
  <c r="T562" i="8"/>
  <c r="T563" i="8"/>
  <c r="T564" i="8"/>
  <c r="T565" i="8"/>
  <c r="T566" i="8"/>
  <c r="T567" i="8"/>
  <c r="T568" i="8"/>
  <c r="T569" i="8"/>
  <c r="T570" i="8"/>
  <c r="T571" i="8"/>
  <c r="T572" i="8"/>
  <c r="T573" i="8"/>
  <c r="T574" i="8"/>
  <c r="T575" i="8"/>
  <c r="T576" i="8"/>
  <c r="T577" i="8"/>
  <c r="T578" i="8"/>
  <c r="T579" i="8"/>
  <c r="T580" i="8"/>
  <c r="T581" i="8"/>
  <c r="T582" i="8"/>
  <c r="T583" i="8"/>
  <c r="T584" i="8"/>
  <c r="T585" i="8"/>
  <c r="T586" i="8"/>
  <c r="T587" i="8"/>
  <c r="T588" i="8"/>
  <c r="T589" i="8"/>
  <c r="T590" i="8"/>
  <c r="T591" i="8"/>
  <c r="T592" i="8"/>
  <c r="T593" i="8"/>
  <c r="T594" i="8"/>
  <c r="T595" i="8"/>
  <c r="T596" i="8"/>
  <c r="T597" i="8"/>
  <c r="T598" i="8"/>
  <c r="T599" i="8"/>
  <c r="T600" i="8"/>
  <c r="T601" i="8"/>
  <c r="T602" i="8"/>
  <c r="T603" i="8"/>
  <c r="T604" i="8"/>
  <c r="T605" i="8"/>
  <c r="T606" i="8"/>
  <c r="T607" i="8"/>
  <c r="T608" i="8"/>
  <c r="T609" i="8"/>
  <c r="T610" i="8"/>
  <c r="T611" i="8"/>
  <c r="T612" i="8"/>
  <c r="T613" i="8"/>
  <c r="T614" i="8"/>
  <c r="T615" i="8"/>
  <c r="T616" i="8"/>
  <c r="T617" i="8"/>
  <c r="T618" i="8"/>
  <c r="T619" i="8"/>
  <c r="T620" i="8"/>
  <c r="T621" i="8"/>
  <c r="T622" i="8"/>
  <c r="T623" i="8"/>
  <c r="T624" i="8"/>
  <c r="T625" i="8"/>
  <c r="T626" i="8"/>
  <c r="T627" i="8"/>
  <c r="T628" i="8"/>
  <c r="T629" i="8"/>
  <c r="T630" i="8"/>
  <c r="T631" i="8"/>
  <c r="T632" i="8"/>
  <c r="T633" i="8"/>
  <c r="T634" i="8"/>
  <c r="T635" i="8"/>
  <c r="T636" i="8"/>
  <c r="T637" i="8"/>
  <c r="T638" i="8"/>
  <c r="T639" i="8"/>
  <c r="T640" i="8"/>
  <c r="T641" i="8"/>
  <c r="T642" i="8"/>
  <c r="T643" i="8"/>
  <c r="T644" i="8"/>
  <c r="T645" i="8"/>
  <c r="T646" i="8"/>
  <c r="T647" i="8"/>
  <c r="T648" i="8"/>
  <c r="T649" i="8"/>
  <c r="T650" i="8"/>
  <c r="T651" i="8"/>
  <c r="T652" i="8"/>
  <c r="T653" i="8"/>
  <c r="T654" i="8"/>
  <c r="T655" i="8"/>
  <c r="T656" i="8"/>
  <c r="T657" i="8"/>
  <c r="T658" i="8"/>
  <c r="T659" i="8"/>
  <c r="T660" i="8"/>
  <c r="T661" i="8"/>
  <c r="T662" i="8"/>
  <c r="T663" i="8"/>
  <c r="T664" i="8"/>
  <c r="T665" i="8"/>
  <c r="T666" i="8"/>
  <c r="T667" i="8"/>
  <c r="T668" i="8"/>
  <c r="T669" i="8"/>
  <c r="T670" i="8"/>
  <c r="T671" i="8"/>
  <c r="T672" i="8"/>
  <c r="T673" i="8"/>
  <c r="T674" i="8"/>
  <c r="T675" i="8"/>
  <c r="T676" i="8"/>
  <c r="T677" i="8"/>
  <c r="T678" i="8"/>
  <c r="T679" i="8"/>
  <c r="T680" i="8"/>
  <c r="T681" i="8"/>
  <c r="T682" i="8"/>
  <c r="T683" i="8"/>
  <c r="T684" i="8"/>
  <c r="T685" i="8"/>
  <c r="T686" i="8"/>
  <c r="T687" i="8"/>
  <c r="T688" i="8"/>
  <c r="T689" i="8"/>
  <c r="T690" i="8"/>
  <c r="T691" i="8"/>
  <c r="T692" i="8"/>
  <c r="T693" i="8"/>
  <c r="T694" i="8"/>
  <c r="T695" i="8"/>
  <c r="T696" i="8"/>
  <c r="T697" i="8"/>
  <c r="T698" i="8"/>
  <c r="T699" i="8"/>
  <c r="T700" i="8"/>
  <c r="T701" i="8"/>
  <c r="T702" i="8"/>
  <c r="T703" i="8"/>
  <c r="T704" i="8"/>
  <c r="T705" i="8"/>
  <c r="T706" i="8"/>
  <c r="T707" i="8"/>
  <c r="T708" i="8"/>
  <c r="T709" i="8"/>
  <c r="T710" i="8"/>
  <c r="T711" i="8"/>
  <c r="T712" i="8"/>
  <c r="T713" i="8"/>
  <c r="T714" i="8"/>
  <c r="T715" i="8"/>
  <c r="T716" i="8"/>
  <c r="T717" i="8"/>
  <c r="T718" i="8"/>
  <c r="T719" i="8"/>
  <c r="T720" i="8"/>
  <c r="T721" i="8"/>
  <c r="T722" i="8"/>
  <c r="T723" i="8"/>
  <c r="T724" i="8"/>
  <c r="T725" i="8"/>
  <c r="T726" i="8"/>
  <c r="T727" i="8"/>
  <c r="T728" i="8"/>
  <c r="T729" i="8"/>
  <c r="T730" i="8"/>
  <c r="T731" i="8"/>
  <c r="T732" i="8"/>
  <c r="T733" i="8"/>
  <c r="T734" i="8"/>
  <c r="T735" i="8"/>
  <c r="T736" i="8"/>
  <c r="T737" i="8"/>
  <c r="T738" i="8"/>
  <c r="T739" i="8"/>
  <c r="T740" i="8"/>
  <c r="T741" i="8"/>
  <c r="T742" i="8"/>
  <c r="T743" i="8"/>
  <c r="T744" i="8"/>
  <c r="T745" i="8"/>
  <c r="T746" i="8"/>
  <c r="T747" i="8"/>
  <c r="T748" i="8"/>
  <c r="T749" i="8"/>
  <c r="T750" i="8"/>
  <c r="T751" i="8"/>
  <c r="T752" i="8"/>
  <c r="T753" i="8"/>
  <c r="T754" i="8"/>
  <c r="T755" i="8"/>
  <c r="T756" i="8"/>
  <c r="T757" i="8"/>
  <c r="T758" i="8"/>
  <c r="T759" i="8"/>
  <c r="T760" i="8"/>
  <c r="T761" i="8"/>
  <c r="T762" i="8"/>
  <c r="T763" i="8"/>
  <c r="T764" i="8"/>
  <c r="T765" i="8"/>
  <c r="T766" i="8"/>
  <c r="T767" i="8"/>
  <c r="T768" i="8"/>
  <c r="T769" i="8"/>
  <c r="T770" i="8"/>
  <c r="T771" i="8"/>
  <c r="T772" i="8"/>
  <c r="T773" i="8"/>
  <c r="T774" i="8"/>
  <c r="T775" i="8"/>
  <c r="T776" i="8"/>
  <c r="T777" i="8"/>
  <c r="T778" i="8"/>
  <c r="T779" i="8"/>
  <c r="T780" i="8"/>
  <c r="T781" i="8"/>
  <c r="T782" i="8"/>
  <c r="T783" i="8"/>
  <c r="T784" i="8"/>
  <c r="T785" i="8"/>
  <c r="T786" i="8"/>
  <c r="T787" i="8"/>
  <c r="T788" i="8"/>
  <c r="T789" i="8"/>
  <c r="T790" i="8"/>
  <c r="T791" i="8"/>
  <c r="T792" i="8"/>
  <c r="T793" i="8"/>
  <c r="T794" i="8"/>
  <c r="T795" i="8"/>
  <c r="T796" i="8"/>
  <c r="T797" i="8"/>
  <c r="T798" i="8"/>
  <c r="T799" i="8"/>
  <c r="T800" i="8"/>
  <c r="T801" i="8"/>
  <c r="T802" i="8"/>
  <c r="T803" i="8"/>
  <c r="T804" i="8"/>
  <c r="T805" i="8"/>
  <c r="T806" i="8"/>
  <c r="T807" i="8"/>
  <c r="T808" i="8"/>
  <c r="T809" i="8"/>
  <c r="T810" i="8"/>
  <c r="T811" i="8"/>
  <c r="T812" i="8"/>
  <c r="T813" i="8"/>
  <c r="T814" i="8"/>
  <c r="T815" i="8"/>
  <c r="T816" i="8"/>
  <c r="T817" i="8"/>
  <c r="T818" i="8"/>
  <c r="T819" i="8"/>
  <c r="T820" i="8"/>
  <c r="T821" i="8"/>
  <c r="T822" i="8"/>
  <c r="T823" i="8"/>
  <c r="T824" i="8"/>
  <c r="T825" i="8"/>
  <c r="T826" i="8"/>
  <c r="T827" i="8"/>
  <c r="T828" i="8"/>
  <c r="T829" i="8"/>
  <c r="T830" i="8"/>
  <c r="T831" i="8"/>
  <c r="T832" i="8"/>
  <c r="T833" i="8"/>
  <c r="T834" i="8"/>
  <c r="T835" i="8"/>
  <c r="T836" i="8"/>
  <c r="T837" i="8"/>
  <c r="T838" i="8"/>
  <c r="T839" i="8"/>
  <c r="T840" i="8"/>
  <c r="T841" i="8"/>
  <c r="T842" i="8"/>
  <c r="T843" i="8"/>
  <c r="T844" i="8"/>
  <c r="T845" i="8"/>
  <c r="T846" i="8"/>
  <c r="T847" i="8"/>
  <c r="T848" i="8"/>
  <c r="T849" i="8"/>
  <c r="T850" i="8"/>
  <c r="T851" i="8"/>
  <c r="T852" i="8"/>
  <c r="T853" i="8"/>
  <c r="T854" i="8"/>
  <c r="T855" i="8"/>
  <c r="T856" i="8"/>
  <c r="T857" i="8"/>
  <c r="T858" i="8"/>
  <c r="T859" i="8"/>
  <c r="T860" i="8"/>
  <c r="T861" i="8"/>
  <c r="T862" i="8"/>
  <c r="T863" i="8"/>
  <c r="T864" i="8"/>
  <c r="T865" i="8"/>
  <c r="T866" i="8"/>
  <c r="T867" i="8"/>
  <c r="T868" i="8"/>
  <c r="T869" i="8"/>
  <c r="T870" i="8"/>
  <c r="T871" i="8"/>
  <c r="T872" i="8"/>
  <c r="T873" i="8"/>
  <c r="T874" i="8"/>
  <c r="T875" i="8"/>
  <c r="T876" i="8"/>
  <c r="T877" i="8"/>
  <c r="T878" i="8"/>
  <c r="T879" i="8"/>
  <c r="T880" i="8"/>
  <c r="T881" i="8"/>
  <c r="T882" i="8"/>
  <c r="T883" i="8"/>
  <c r="T884" i="8"/>
  <c r="T885" i="8"/>
  <c r="T886" i="8"/>
  <c r="T887" i="8"/>
  <c r="T888" i="8"/>
  <c r="T889" i="8"/>
  <c r="T890" i="8"/>
  <c r="T891" i="8"/>
  <c r="T892" i="8"/>
  <c r="T893" i="8"/>
  <c r="T894" i="8"/>
  <c r="T895" i="8"/>
  <c r="T896" i="8"/>
  <c r="T897" i="8"/>
  <c r="T898" i="8"/>
  <c r="T899" i="8"/>
  <c r="T900" i="8"/>
  <c r="T901" i="8"/>
  <c r="T902" i="8"/>
  <c r="T903" i="8"/>
  <c r="T904" i="8"/>
  <c r="T905" i="8"/>
  <c r="T906" i="8"/>
  <c r="T907" i="8"/>
  <c r="T908" i="8"/>
  <c r="T909" i="8"/>
  <c r="T910" i="8"/>
  <c r="T911" i="8"/>
  <c r="T912" i="8"/>
  <c r="T913" i="8"/>
  <c r="T914" i="8"/>
  <c r="T915" i="8"/>
  <c r="T916" i="8"/>
  <c r="T917" i="8"/>
  <c r="T918" i="8"/>
  <c r="T919" i="8"/>
  <c r="T920" i="8"/>
  <c r="T921" i="8"/>
  <c r="T922" i="8"/>
  <c r="T923" i="8"/>
  <c r="T924" i="8"/>
  <c r="T925" i="8"/>
  <c r="T926" i="8"/>
  <c r="T927" i="8"/>
  <c r="T928" i="8"/>
  <c r="T929" i="8"/>
  <c r="T930" i="8"/>
  <c r="T931" i="8"/>
  <c r="T932" i="8"/>
  <c r="T933" i="8"/>
  <c r="T934" i="8"/>
  <c r="T935" i="8"/>
  <c r="T936" i="8"/>
  <c r="T937" i="8"/>
  <c r="T938" i="8"/>
  <c r="T939" i="8"/>
  <c r="T940" i="8"/>
  <c r="T941" i="8"/>
  <c r="T942" i="8"/>
  <c r="T943" i="8"/>
  <c r="T944" i="8"/>
  <c r="T945" i="8"/>
  <c r="T946" i="8"/>
  <c r="T947" i="8"/>
  <c r="T948" i="8"/>
  <c r="T949" i="8"/>
  <c r="T950" i="8"/>
  <c r="T951" i="8"/>
  <c r="T952" i="8"/>
  <c r="T953" i="8"/>
  <c r="T954" i="8"/>
  <c r="T955" i="8"/>
  <c r="T956" i="8"/>
  <c r="T957" i="8"/>
  <c r="T958" i="8"/>
  <c r="T959" i="8"/>
  <c r="T960" i="8"/>
  <c r="T961" i="8"/>
  <c r="T962" i="8"/>
  <c r="T963" i="8"/>
  <c r="T964" i="8"/>
  <c r="T965" i="8"/>
  <c r="T966" i="8"/>
  <c r="T967" i="8"/>
  <c r="T968" i="8"/>
  <c r="T969" i="8"/>
  <c r="T970" i="8"/>
  <c r="T971" i="8"/>
  <c r="T972" i="8"/>
  <c r="T973" i="8"/>
  <c r="T974" i="8"/>
  <c r="T975" i="8"/>
  <c r="T976" i="8"/>
  <c r="T977" i="8"/>
  <c r="T978" i="8"/>
  <c r="T979" i="8"/>
  <c r="T980" i="8"/>
  <c r="T981" i="8"/>
  <c r="T982" i="8"/>
  <c r="T983" i="8"/>
  <c r="T984" i="8"/>
  <c r="T985" i="8"/>
  <c r="T986" i="8"/>
  <c r="T987" i="8"/>
  <c r="T988" i="8"/>
  <c r="T989" i="8"/>
  <c r="T990" i="8"/>
  <c r="T991" i="8"/>
  <c r="T992" i="8"/>
  <c r="T993" i="8"/>
  <c r="T994" i="8"/>
  <c r="T995" i="8"/>
  <c r="T996" i="8"/>
  <c r="T997" i="8"/>
  <c r="T998" i="8"/>
  <c r="T999" i="8"/>
  <c r="T1000" i="8"/>
  <c r="T1001" i="8"/>
  <c r="T1002" i="8"/>
  <c r="T1003" i="8"/>
  <c r="T1004" i="8"/>
  <c r="T1005" i="8"/>
  <c r="T1006" i="8"/>
  <c r="T1007" i="8"/>
  <c r="T1008" i="8"/>
  <c r="T1009" i="8"/>
  <c r="T1010" i="8"/>
  <c r="T1011" i="8"/>
  <c r="T1012" i="8"/>
  <c r="T1013" i="8"/>
  <c r="T1014" i="8"/>
  <c r="T1015" i="8"/>
  <c r="T1016" i="8"/>
  <c r="T1017" i="8"/>
  <c r="T1018" i="8"/>
  <c r="T1019" i="8"/>
  <c r="T1020" i="8"/>
  <c r="T1021" i="8"/>
  <c r="T1022" i="8"/>
  <c r="T1023" i="8"/>
  <c r="T1024" i="8"/>
  <c r="T1025" i="8"/>
  <c r="T1026" i="8"/>
  <c r="T1027" i="8"/>
  <c r="T1028" i="8"/>
  <c r="T1029" i="8"/>
  <c r="T1030" i="8"/>
  <c r="T1031" i="8"/>
  <c r="T1032" i="8"/>
  <c r="T1033" i="8"/>
  <c r="T1034" i="8"/>
  <c r="T1035" i="8"/>
  <c r="T1036" i="8"/>
  <c r="T1037" i="8"/>
  <c r="T1038" i="8"/>
  <c r="T1039" i="8"/>
  <c r="T1040" i="8"/>
  <c r="T1041" i="8"/>
  <c r="T1042" i="8"/>
  <c r="T1043" i="8"/>
  <c r="T1044" i="8"/>
  <c r="T1045" i="8"/>
  <c r="T1046" i="8"/>
  <c r="T1047" i="8"/>
  <c r="T1048" i="8"/>
  <c r="T1049" i="8"/>
  <c r="T1050" i="8"/>
  <c r="T1051" i="8"/>
  <c r="T1052" i="8"/>
  <c r="T1053" i="8"/>
  <c r="T1054" i="8"/>
  <c r="T1055" i="8"/>
  <c r="T1056" i="8"/>
  <c r="T1057" i="8"/>
  <c r="T1058" i="8"/>
  <c r="T1059" i="8"/>
  <c r="T1060" i="8"/>
  <c r="T1061" i="8"/>
  <c r="T1062" i="8"/>
  <c r="T1063" i="8"/>
  <c r="T1064" i="8"/>
  <c r="T1065" i="8"/>
  <c r="T1066" i="8"/>
  <c r="T1067" i="8"/>
  <c r="T1068" i="8"/>
  <c r="T1069" i="8"/>
  <c r="T1070" i="8"/>
  <c r="T1071" i="8"/>
  <c r="T1072" i="8"/>
  <c r="T1073" i="8"/>
  <c r="T1074" i="8"/>
  <c r="T1075" i="8"/>
  <c r="T1076" i="8"/>
  <c r="T1077" i="8"/>
  <c r="T1078" i="8"/>
  <c r="T1079" i="8"/>
  <c r="T1080" i="8"/>
  <c r="T1081" i="8"/>
  <c r="T1082" i="8"/>
  <c r="T1083" i="8"/>
  <c r="T1084" i="8"/>
  <c r="T1085" i="8"/>
  <c r="T1086" i="8"/>
  <c r="T1087" i="8"/>
  <c r="T1088" i="8"/>
  <c r="T1089" i="8"/>
  <c r="T1090" i="8"/>
  <c r="T1091" i="8"/>
  <c r="T1092" i="8"/>
  <c r="T1093" i="8"/>
  <c r="T1094" i="8"/>
  <c r="T1095" i="8"/>
  <c r="T1096" i="8"/>
  <c r="T1097" i="8"/>
  <c r="T1098" i="8"/>
  <c r="T1099" i="8"/>
  <c r="T1100" i="8"/>
  <c r="T1101" i="8"/>
  <c r="T1102" i="8"/>
  <c r="T1103" i="8"/>
  <c r="T1104" i="8"/>
  <c r="T1105" i="8"/>
  <c r="T1106" i="8"/>
  <c r="T1107" i="8"/>
  <c r="T1108" i="8"/>
  <c r="T1109" i="8"/>
  <c r="T1110" i="8"/>
  <c r="T1111" i="8"/>
  <c r="T1112" i="8"/>
  <c r="T1113" i="8"/>
  <c r="T1114" i="8"/>
  <c r="T1115" i="8"/>
  <c r="T1116" i="8"/>
  <c r="T1117" i="8"/>
  <c r="T1118" i="8"/>
  <c r="T1119" i="8"/>
  <c r="T1120" i="8"/>
  <c r="T1121" i="8"/>
  <c r="T1122" i="8"/>
  <c r="T1123" i="8"/>
  <c r="T1124" i="8"/>
  <c r="T1125" i="8"/>
  <c r="T1126" i="8"/>
  <c r="T1127" i="8"/>
  <c r="T1128" i="8"/>
  <c r="T1129" i="8"/>
  <c r="T1130" i="8"/>
  <c r="T1131" i="8"/>
  <c r="T1132" i="8"/>
  <c r="T1133" i="8"/>
  <c r="T1134" i="8"/>
  <c r="T1135" i="8"/>
  <c r="T1136" i="8"/>
  <c r="T1137" i="8"/>
  <c r="T1138" i="8"/>
  <c r="T1139" i="8"/>
  <c r="T1140" i="8"/>
  <c r="T1141" i="8"/>
  <c r="T1142" i="8"/>
  <c r="T1143" i="8"/>
  <c r="T1144" i="8"/>
  <c r="T1145" i="8"/>
  <c r="T1146" i="8"/>
  <c r="T1147" i="8"/>
  <c r="T1148" i="8"/>
  <c r="T1149" i="8"/>
  <c r="T1150" i="8"/>
  <c r="T1151" i="8"/>
  <c r="T1152" i="8"/>
  <c r="T1153" i="8"/>
  <c r="T1154" i="8"/>
  <c r="T1155" i="8"/>
  <c r="T1156" i="8"/>
  <c r="T1157" i="8"/>
  <c r="T1158" i="8"/>
  <c r="T1159" i="8"/>
  <c r="T1160" i="8"/>
  <c r="T1161" i="8"/>
  <c r="T1162" i="8"/>
  <c r="T1163" i="8"/>
  <c r="T1164" i="8"/>
  <c r="T1165" i="8"/>
  <c r="T1166" i="8"/>
  <c r="T1167" i="8"/>
  <c r="T1168" i="8"/>
  <c r="T1169" i="8"/>
  <c r="T1170" i="8"/>
  <c r="T1171" i="8"/>
  <c r="T1172" i="8"/>
  <c r="T1173" i="8"/>
  <c r="T1174" i="8"/>
  <c r="T1175" i="8"/>
  <c r="T1176" i="8"/>
  <c r="T1177" i="8"/>
  <c r="T1178" i="8"/>
  <c r="T1179" i="8"/>
  <c r="T1180" i="8"/>
  <c r="T1181" i="8"/>
  <c r="T1182" i="8"/>
  <c r="T1183" i="8"/>
  <c r="T1184" i="8"/>
  <c r="T1185" i="8"/>
  <c r="T1186" i="8"/>
  <c r="T1187" i="8"/>
  <c r="T1188" i="8"/>
  <c r="T1189" i="8"/>
  <c r="T1190" i="8"/>
  <c r="T1191" i="8"/>
  <c r="T1192" i="8"/>
  <c r="T1193" i="8"/>
  <c r="T1194" i="8"/>
  <c r="T1195" i="8"/>
  <c r="T1196" i="8"/>
  <c r="T1197" i="8"/>
  <c r="T1198" i="8"/>
  <c r="T1199" i="8"/>
  <c r="T1200" i="8"/>
  <c r="T1201" i="8"/>
  <c r="T1202" i="8"/>
  <c r="T1203" i="8"/>
  <c r="T1204" i="8"/>
  <c r="T1205" i="8"/>
  <c r="T1206" i="8"/>
  <c r="T1207" i="8"/>
  <c r="T1208" i="8"/>
  <c r="T1209" i="8"/>
  <c r="T1210" i="8"/>
  <c r="T1211" i="8"/>
  <c r="T1212" i="8"/>
  <c r="T1213" i="8"/>
  <c r="T1214" i="8"/>
  <c r="T1215" i="8"/>
  <c r="T1216" i="8"/>
  <c r="T1217" i="8"/>
  <c r="T1218" i="8"/>
  <c r="T1219" i="8"/>
  <c r="T1220" i="8"/>
  <c r="T1221" i="8"/>
  <c r="T1222" i="8"/>
  <c r="T1223" i="8"/>
  <c r="T1224" i="8"/>
  <c r="T1225" i="8"/>
  <c r="T1226" i="8"/>
  <c r="T1227" i="8"/>
  <c r="T1228" i="8"/>
  <c r="T1229" i="8"/>
  <c r="T1230" i="8"/>
  <c r="T1231" i="8"/>
  <c r="T1232" i="8"/>
  <c r="T1233" i="8"/>
  <c r="T1234" i="8"/>
  <c r="T1235" i="8"/>
  <c r="T1236" i="8"/>
  <c r="T1237" i="8"/>
  <c r="T1238" i="8"/>
  <c r="T1239" i="8"/>
  <c r="T1240" i="8"/>
  <c r="T1241" i="8"/>
  <c r="T1242" i="8"/>
  <c r="T1243" i="8"/>
  <c r="T1244" i="8"/>
  <c r="T1245" i="8"/>
  <c r="T1246" i="8"/>
  <c r="T1247" i="8"/>
  <c r="T1248" i="8"/>
  <c r="T1249" i="8"/>
  <c r="T1250" i="8"/>
  <c r="T1251" i="8"/>
  <c r="T1252" i="8"/>
  <c r="T1253" i="8"/>
  <c r="T1254" i="8"/>
  <c r="T1255" i="8"/>
  <c r="T1256" i="8"/>
  <c r="T1257" i="8"/>
  <c r="T1258" i="8"/>
  <c r="T1259" i="8"/>
  <c r="T1260" i="8"/>
  <c r="T1261" i="8"/>
  <c r="T1262" i="8"/>
  <c r="T1263" i="8"/>
  <c r="T1264" i="8"/>
  <c r="T1265" i="8"/>
  <c r="T1266" i="8"/>
  <c r="T1267" i="8"/>
  <c r="T1268" i="8"/>
  <c r="T1269" i="8"/>
  <c r="T1270" i="8"/>
  <c r="T1271" i="8"/>
  <c r="T1272" i="8"/>
  <c r="T1273" i="8"/>
  <c r="T1274" i="8"/>
  <c r="T1275" i="8"/>
  <c r="T1276" i="8"/>
  <c r="T1277" i="8"/>
  <c r="T1278" i="8"/>
  <c r="T1279" i="8"/>
  <c r="T1280" i="8"/>
  <c r="T1281" i="8"/>
  <c r="T1282" i="8"/>
  <c r="T1283" i="8"/>
  <c r="T1284" i="8"/>
  <c r="T1285" i="8"/>
  <c r="T1286" i="8"/>
  <c r="T1287" i="8"/>
  <c r="T1288" i="8"/>
  <c r="T1289" i="8"/>
  <c r="T1290" i="8"/>
  <c r="T1291" i="8"/>
  <c r="T1292" i="8"/>
  <c r="T1293" i="8"/>
  <c r="T1294" i="8"/>
  <c r="T1295" i="8"/>
  <c r="T1296" i="8"/>
  <c r="T1297" i="8"/>
  <c r="T1298" i="8"/>
  <c r="T1299" i="8"/>
  <c r="T1300" i="8"/>
  <c r="T1301" i="8"/>
  <c r="T1302" i="8"/>
  <c r="T1303" i="8"/>
  <c r="T1304" i="8"/>
  <c r="T1305" i="8"/>
  <c r="T1306" i="8"/>
  <c r="T1307" i="8"/>
  <c r="T1308" i="8"/>
  <c r="T1309" i="8"/>
  <c r="T1310" i="8"/>
  <c r="T1311" i="8"/>
  <c r="T1312" i="8"/>
  <c r="T1313" i="8"/>
  <c r="T1314" i="8"/>
  <c r="T1315" i="8"/>
  <c r="T1316" i="8"/>
  <c r="T1317" i="8"/>
  <c r="T1318" i="8"/>
  <c r="T1319" i="8"/>
  <c r="T1320" i="8"/>
  <c r="T1321" i="8"/>
  <c r="T1322" i="8"/>
  <c r="T1323" i="8"/>
  <c r="T1324" i="8"/>
  <c r="T1325" i="8"/>
  <c r="T1326" i="8"/>
  <c r="T1327" i="8"/>
  <c r="T1328" i="8"/>
  <c r="T1329" i="8"/>
  <c r="T1330" i="8"/>
  <c r="T1331" i="8"/>
  <c r="T1332" i="8"/>
  <c r="T1333" i="8"/>
  <c r="T1334" i="8"/>
  <c r="T1335" i="8"/>
  <c r="T1336" i="8"/>
  <c r="T1337" i="8"/>
  <c r="T1338" i="8"/>
  <c r="T1339" i="8"/>
  <c r="T1340" i="8"/>
  <c r="T1341" i="8"/>
  <c r="T1342" i="8"/>
  <c r="T1343" i="8"/>
  <c r="T1344" i="8"/>
  <c r="T1345" i="8"/>
  <c r="T1346" i="8"/>
  <c r="T1347" i="8"/>
  <c r="T1348" i="8"/>
  <c r="T1349" i="8"/>
  <c r="T1350" i="8"/>
  <c r="T1351" i="8"/>
  <c r="T1352" i="8"/>
  <c r="T1353" i="8"/>
  <c r="T1354" i="8"/>
  <c r="T1355" i="8"/>
  <c r="T1356" i="8"/>
  <c r="T1357" i="8"/>
  <c r="T1358" i="8"/>
  <c r="T1359" i="8"/>
  <c r="T1360" i="8"/>
  <c r="T1361" i="8"/>
  <c r="T1362" i="8"/>
  <c r="T1363" i="8"/>
  <c r="T1364" i="8"/>
  <c r="T1365" i="8"/>
  <c r="T1366" i="8"/>
  <c r="T1367" i="8"/>
  <c r="T1368" i="8"/>
  <c r="T1369" i="8"/>
  <c r="T1370" i="8"/>
  <c r="T1371" i="8"/>
  <c r="T1372" i="8"/>
  <c r="T1373" i="8"/>
  <c r="T1374" i="8"/>
  <c r="T1375" i="8"/>
  <c r="T1376" i="8"/>
  <c r="T1377" i="8"/>
  <c r="T1378" i="8"/>
  <c r="T1379" i="8"/>
  <c r="T1380" i="8"/>
  <c r="T1381" i="8"/>
  <c r="T1382" i="8"/>
  <c r="T1383" i="8"/>
  <c r="T1384" i="8"/>
  <c r="T1385" i="8"/>
  <c r="T1386" i="8"/>
  <c r="T1387" i="8"/>
  <c r="T1388" i="8"/>
  <c r="T1389" i="8"/>
  <c r="T1390" i="8"/>
  <c r="T1391" i="8"/>
  <c r="T1392" i="8"/>
  <c r="T1393" i="8"/>
  <c r="T1394" i="8"/>
  <c r="T1395" i="8"/>
  <c r="T1396" i="8"/>
  <c r="T1397" i="8"/>
  <c r="T1398" i="8"/>
  <c r="T1399" i="8"/>
  <c r="T1400" i="8"/>
  <c r="T1401" i="8"/>
  <c r="T1402" i="8"/>
  <c r="T1403" i="8"/>
  <c r="T1404" i="8"/>
  <c r="T1405" i="8"/>
  <c r="T1406" i="8"/>
  <c r="T1407" i="8"/>
  <c r="T1408" i="8"/>
  <c r="T1409" i="8"/>
  <c r="T1410" i="8"/>
  <c r="T1411" i="8"/>
  <c r="T1412" i="8"/>
  <c r="T1413" i="8"/>
  <c r="T1414" i="8"/>
  <c r="T1415" i="8"/>
  <c r="T1416" i="8"/>
  <c r="T1417" i="8"/>
  <c r="T1418" i="8"/>
  <c r="T1419" i="8"/>
  <c r="T1420" i="8"/>
  <c r="T1421" i="8"/>
  <c r="T1422" i="8"/>
  <c r="T1423" i="8"/>
  <c r="T1424" i="8"/>
  <c r="T1425" i="8"/>
  <c r="T1426" i="8"/>
  <c r="T1427" i="8"/>
  <c r="T1428" i="8"/>
  <c r="T1429" i="8"/>
  <c r="T1430" i="8"/>
  <c r="T1431" i="8"/>
  <c r="T1432" i="8"/>
  <c r="T1433" i="8"/>
  <c r="T1434" i="8"/>
  <c r="T1435" i="8"/>
  <c r="T1436" i="8"/>
  <c r="T1437" i="8"/>
  <c r="T1438" i="8"/>
  <c r="T1439" i="8"/>
  <c r="T1440" i="8"/>
  <c r="T1441" i="8"/>
  <c r="T1442" i="8"/>
  <c r="T1443" i="8"/>
  <c r="T1444" i="8"/>
  <c r="T1445" i="8"/>
  <c r="T1446" i="8"/>
  <c r="T1447" i="8"/>
  <c r="T1448" i="8"/>
  <c r="T1449" i="8"/>
  <c r="T1450" i="8"/>
  <c r="T1451" i="8"/>
  <c r="T1452" i="8"/>
  <c r="T1453" i="8"/>
  <c r="T1454" i="8"/>
  <c r="T1455" i="8"/>
  <c r="T1456" i="8"/>
  <c r="T1457" i="8"/>
  <c r="T1458" i="8"/>
  <c r="T1459" i="8"/>
  <c r="T1460" i="8"/>
  <c r="T1461" i="8"/>
  <c r="T1462" i="8"/>
  <c r="T1463" i="8"/>
  <c r="T1464" i="8"/>
  <c r="T1465" i="8"/>
  <c r="T1466" i="8"/>
  <c r="T1467" i="8"/>
  <c r="T1468" i="8"/>
  <c r="T1469" i="8"/>
  <c r="T1470" i="8"/>
  <c r="T1471" i="8"/>
  <c r="T1472" i="8"/>
  <c r="T1473" i="8"/>
  <c r="T1474" i="8"/>
  <c r="T1475" i="8"/>
  <c r="T1476" i="8"/>
  <c r="T1477" i="8"/>
  <c r="T1478" i="8"/>
  <c r="T1479" i="8"/>
  <c r="T1480" i="8"/>
  <c r="T1481" i="8"/>
  <c r="T1482" i="8"/>
  <c r="T1483" i="8"/>
  <c r="T1484" i="8"/>
  <c r="T1485" i="8"/>
  <c r="T1486" i="8"/>
  <c r="T1487" i="8"/>
  <c r="T1488" i="8"/>
  <c r="T1489" i="8"/>
  <c r="T1490" i="8"/>
  <c r="T1491" i="8"/>
  <c r="T1492" i="8"/>
  <c r="T1493" i="8"/>
  <c r="T1494" i="8"/>
  <c r="T1495" i="8"/>
  <c r="T1496" i="8"/>
  <c r="T1497" i="8"/>
  <c r="T1498" i="8"/>
  <c r="T1499" i="8"/>
  <c r="T1500" i="8"/>
  <c r="T1501" i="8"/>
  <c r="T1502" i="8"/>
  <c r="T1503" i="8"/>
  <c r="T1504" i="8"/>
  <c r="T1505" i="8"/>
  <c r="T1506" i="8"/>
  <c r="T1507" i="8"/>
  <c r="T1508" i="8"/>
  <c r="T1509" i="8"/>
  <c r="T1510" i="8"/>
  <c r="T1511" i="8"/>
  <c r="T1512" i="8"/>
  <c r="T1513" i="8"/>
  <c r="T1514" i="8"/>
  <c r="T1515" i="8"/>
  <c r="T1516" i="8"/>
  <c r="T1517" i="8"/>
  <c r="T1518" i="8"/>
  <c r="T1519" i="8"/>
  <c r="T1520" i="8"/>
  <c r="T1521" i="8"/>
  <c r="T1522" i="8"/>
  <c r="T1523" i="8"/>
  <c r="T1524" i="8"/>
  <c r="T1525" i="8"/>
  <c r="T1526" i="8"/>
  <c r="T1527" i="8"/>
  <c r="T1528" i="8"/>
  <c r="T1529" i="8"/>
  <c r="T1530" i="8"/>
  <c r="T1531" i="8"/>
  <c r="T1532" i="8"/>
  <c r="T1533" i="8"/>
  <c r="T1534" i="8"/>
  <c r="T1535" i="8"/>
  <c r="T1536" i="8"/>
  <c r="T1537" i="8"/>
  <c r="T1538" i="8"/>
  <c r="T1539" i="8"/>
  <c r="T1540" i="8"/>
  <c r="T1541" i="8"/>
  <c r="T1542" i="8"/>
  <c r="T1543" i="8"/>
  <c r="T1544" i="8"/>
  <c r="T1545" i="8"/>
  <c r="T1546" i="8"/>
  <c r="T1547" i="8"/>
  <c r="T1548" i="8"/>
  <c r="T1549" i="8"/>
  <c r="T1550" i="8"/>
  <c r="T1551" i="8"/>
  <c r="T1552" i="8"/>
  <c r="T1553" i="8"/>
  <c r="T1554" i="8"/>
  <c r="T1555" i="8"/>
  <c r="T1556" i="8"/>
  <c r="T1557" i="8"/>
  <c r="T1558" i="8"/>
  <c r="T1559" i="8"/>
  <c r="T1560" i="8"/>
  <c r="T1561" i="8"/>
  <c r="T1562" i="8"/>
  <c r="T1563" i="8"/>
  <c r="T1564" i="8"/>
  <c r="T1565" i="8"/>
  <c r="T1566" i="8"/>
  <c r="T1567" i="8"/>
  <c r="T1568" i="8"/>
  <c r="T1569" i="8"/>
  <c r="T1570" i="8"/>
  <c r="T1571" i="8"/>
  <c r="T1572" i="8"/>
  <c r="T1573" i="8"/>
  <c r="T1574" i="8"/>
  <c r="T1575" i="8"/>
  <c r="T1576" i="8"/>
  <c r="T1577" i="8"/>
  <c r="T1578" i="8"/>
  <c r="T1579" i="8"/>
  <c r="T1580" i="8"/>
  <c r="T1581" i="8"/>
  <c r="T1582" i="8"/>
  <c r="T1583" i="8"/>
  <c r="T1584" i="8"/>
  <c r="T1585" i="8"/>
  <c r="T1586" i="8"/>
  <c r="T1587" i="8"/>
  <c r="T1588" i="8"/>
  <c r="T1589" i="8"/>
  <c r="T1590" i="8"/>
  <c r="T1591" i="8"/>
  <c r="T1592" i="8"/>
  <c r="T1593" i="8"/>
  <c r="T1594" i="8"/>
  <c r="T1595" i="8"/>
  <c r="T1596" i="8"/>
  <c r="T1597" i="8"/>
  <c r="T1598" i="8"/>
  <c r="T1599" i="8"/>
  <c r="T1600" i="8"/>
  <c r="T1601" i="8"/>
  <c r="T1602" i="8"/>
  <c r="T1603" i="8"/>
  <c r="T1604" i="8"/>
  <c r="T1605" i="8"/>
  <c r="T1606" i="8"/>
  <c r="T1607" i="8"/>
  <c r="T1608" i="8"/>
  <c r="T1609" i="8"/>
  <c r="T1610" i="8"/>
  <c r="T1611" i="8"/>
  <c r="T1612" i="8"/>
  <c r="T1613" i="8"/>
  <c r="T1614" i="8"/>
  <c r="T1615" i="8"/>
  <c r="T1616" i="8"/>
  <c r="T1617" i="8"/>
  <c r="T1618" i="8"/>
  <c r="T1619" i="8"/>
  <c r="T1620" i="8"/>
  <c r="T1621" i="8"/>
  <c r="T1622" i="8"/>
  <c r="T1623" i="8"/>
  <c r="T1624" i="8"/>
  <c r="T1625" i="8"/>
  <c r="T1626" i="8"/>
  <c r="T1627" i="8"/>
  <c r="T1628" i="8"/>
  <c r="T1629" i="8"/>
  <c r="T1630" i="8"/>
  <c r="T1631" i="8"/>
  <c r="T1632" i="8"/>
  <c r="T1633" i="8"/>
  <c r="T1634" i="8"/>
  <c r="T1635" i="8"/>
  <c r="T1636" i="8"/>
  <c r="T1637" i="8"/>
  <c r="T1638" i="8"/>
  <c r="T1639" i="8"/>
  <c r="T1640" i="8"/>
  <c r="T1641" i="8"/>
  <c r="T1642" i="8"/>
  <c r="T1643" i="8"/>
  <c r="T1644" i="8"/>
  <c r="T1645" i="8"/>
  <c r="T1646" i="8"/>
  <c r="T1647" i="8"/>
  <c r="T1648" i="8"/>
  <c r="T1649" i="8"/>
  <c r="T1650" i="8"/>
  <c r="T1651" i="8"/>
  <c r="T1652" i="8"/>
  <c r="T1653" i="8"/>
  <c r="T1654" i="8"/>
  <c r="T1655" i="8"/>
  <c r="T1656" i="8"/>
  <c r="T1657" i="8"/>
  <c r="T1658" i="8"/>
  <c r="T1659" i="8"/>
  <c r="T1660" i="8"/>
  <c r="T1661" i="8"/>
  <c r="T1662" i="8"/>
  <c r="T1663" i="8"/>
  <c r="T1664" i="8"/>
  <c r="T1665" i="8"/>
  <c r="T1666" i="8"/>
  <c r="T1667" i="8"/>
  <c r="T1668" i="8"/>
  <c r="T1669" i="8"/>
  <c r="T1670" i="8"/>
  <c r="T1671" i="8"/>
  <c r="T1672" i="8"/>
  <c r="T1673" i="8"/>
  <c r="T1674" i="8"/>
  <c r="T1675" i="8"/>
  <c r="T1676" i="8"/>
  <c r="T1677" i="8"/>
  <c r="T1678" i="8"/>
  <c r="T1679" i="8"/>
  <c r="T1680" i="8"/>
  <c r="T1681" i="8"/>
  <c r="T1682" i="8"/>
  <c r="T1683" i="8"/>
  <c r="T1684" i="8"/>
  <c r="T1685" i="8"/>
  <c r="T1686" i="8"/>
  <c r="T1687" i="8"/>
  <c r="T1688" i="8"/>
  <c r="T1689" i="8"/>
  <c r="T1690" i="8"/>
  <c r="T1691" i="8"/>
  <c r="T1692" i="8"/>
  <c r="T1693" i="8"/>
  <c r="T1694" i="8"/>
  <c r="T1695" i="8"/>
  <c r="T1696" i="8"/>
  <c r="T1697" i="8"/>
  <c r="T1698" i="8"/>
  <c r="T1699" i="8"/>
  <c r="T1700" i="8"/>
  <c r="T1701" i="8"/>
  <c r="T1702" i="8"/>
  <c r="T1703" i="8"/>
  <c r="T1704" i="8"/>
  <c r="T1705" i="8"/>
  <c r="T1706" i="8"/>
  <c r="T1707" i="8"/>
  <c r="T1708" i="8"/>
  <c r="T1709" i="8"/>
  <c r="T1710" i="8"/>
  <c r="T1711" i="8"/>
  <c r="T1712" i="8"/>
  <c r="T1713" i="8"/>
  <c r="T1714" i="8"/>
  <c r="T1715" i="8"/>
  <c r="T1716" i="8"/>
  <c r="T1717" i="8"/>
  <c r="T1718" i="8"/>
  <c r="T1719" i="8"/>
  <c r="T1720" i="8"/>
  <c r="T1721" i="8"/>
  <c r="T1722" i="8"/>
  <c r="T1723" i="8"/>
  <c r="T1724" i="8"/>
  <c r="T1725" i="8"/>
  <c r="T1726" i="8"/>
  <c r="T1727" i="8"/>
  <c r="T1728" i="8"/>
  <c r="T1729" i="8"/>
  <c r="T1730" i="8"/>
  <c r="T1731" i="8"/>
  <c r="T1732" i="8"/>
  <c r="T1733" i="8"/>
  <c r="T1734" i="8"/>
  <c r="T1735" i="8"/>
  <c r="T1736" i="8"/>
  <c r="T1737" i="8"/>
  <c r="T1738" i="8"/>
  <c r="T1739" i="8"/>
  <c r="T1740" i="8"/>
  <c r="T1741" i="8"/>
  <c r="T1742" i="8"/>
  <c r="T1743" i="8"/>
  <c r="T1744" i="8"/>
  <c r="T1745" i="8"/>
  <c r="T1746" i="8"/>
  <c r="T1747" i="8"/>
  <c r="T1748" i="8"/>
  <c r="T1749" i="8"/>
  <c r="T1750" i="8"/>
  <c r="T1751" i="8"/>
  <c r="T1752" i="8"/>
  <c r="T1753" i="8"/>
  <c r="T1754" i="8"/>
  <c r="T1755" i="8"/>
  <c r="T1756" i="8"/>
  <c r="T1757" i="8"/>
  <c r="T1758" i="8"/>
  <c r="T1759" i="8"/>
  <c r="T1760" i="8"/>
  <c r="T1761" i="8"/>
  <c r="T1762" i="8"/>
  <c r="T1763" i="8"/>
  <c r="T1764" i="8"/>
  <c r="T1765" i="8"/>
  <c r="T1766" i="8"/>
  <c r="T1767" i="8"/>
  <c r="T1768" i="8"/>
  <c r="T1769" i="8"/>
  <c r="T1770" i="8"/>
  <c r="T1771" i="8"/>
  <c r="T1772" i="8"/>
  <c r="T1773" i="8"/>
  <c r="T1774" i="8"/>
  <c r="T1775" i="8"/>
  <c r="T1776" i="8"/>
  <c r="T1777" i="8"/>
  <c r="T1778" i="8"/>
  <c r="T1779" i="8"/>
  <c r="T1780" i="8"/>
  <c r="T1781" i="8"/>
  <c r="T1782" i="8"/>
  <c r="T1783" i="8"/>
  <c r="T1784" i="8"/>
  <c r="T1785" i="8"/>
  <c r="T1786" i="8"/>
  <c r="T1787" i="8"/>
  <c r="T1788" i="8"/>
  <c r="T1789" i="8"/>
  <c r="T1790" i="8"/>
  <c r="T1791" i="8"/>
  <c r="T1792" i="8"/>
  <c r="T1793" i="8"/>
  <c r="T1794" i="8"/>
  <c r="T1795" i="8"/>
  <c r="T1796" i="8"/>
  <c r="T1797" i="8"/>
  <c r="T1798" i="8"/>
  <c r="T1799" i="8"/>
  <c r="T1800" i="8"/>
  <c r="T1801" i="8"/>
  <c r="T1802" i="8"/>
  <c r="T1803" i="8"/>
  <c r="T1804" i="8"/>
  <c r="T1805" i="8"/>
  <c r="T1806" i="8"/>
  <c r="T1807" i="8"/>
  <c r="T1808" i="8"/>
  <c r="T1809" i="8"/>
  <c r="T1810" i="8"/>
  <c r="T1811" i="8"/>
  <c r="T1812" i="8"/>
  <c r="T1813" i="8"/>
  <c r="T1814" i="8"/>
  <c r="T1815" i="8"/>
  <c r="T1816" i="8"/>
  <c r="T1817" i="8"/>
  <c r="T1818" i="8"/>
  <c r="T1819" i="8"/>
  <c r="T1820" i="8"/>
  <c r="T1821" i="8"/>
  <c r="T1822" i="8"/>
  <c r="T1823" i="8"/>
  <c r="T1824" i="8"/>
  <c r="T1825" i="8"/>
  <c r="T1826" i="8"/>
  <c r="T1827" i="8"/>
  <c r="T1828" i="8"/>
  <c r="T1829" i="8"/>
  <c r="T1830" i="8"/>
  <c r="T1831" i="8"/>
  <c r="T1832" i="8"/>
  <c r="T1833" i="8"/>
  <c r="T1834" i="8"/>
  <c r="T1835" i="8"/>
  <c r="T1836" i="8"/>
  <c r="T1837" i="8"/>
  <c r="T1838" i="8"/>
  <c r="T1839" i="8"/>
  <c r="T1840" i="8"/>
  <c r="T1841" i="8"/>
  <c r="T1842" i="8"/>
  <c r="T1843" i="8"/>
  <c r="T1844" i="8"/>
  <c r="T1845" i="8"/>
  <c r="T1846" i="8"/>
  <c r="T1847" i="8"/>
  <c r="T1848" i="8"/>
  <c r="T1849" i="8"/>
  <c r="T1850" i="8"/>
  <c r="T1851" i="8"/>
  <c r="T1852" i="8"/>
  <c r="T1853" i="8"/>
  <c r="T1854" i="8"/>
  <c r="T1855" i="8"/>
  <c r="T1856" i="8"/>
  <c r="T1857" i="8"/>
  <c r="T1858" i="8"/>
  <c r="T1859" i="8"/>
  <c r="T1860" i="8"/>
  <c r="T1861" i="8"/>
  <c r="T1862" i="8"/>
  <c r="T1863" i="8"/>
  <c r="T1864" i="8"/>
  <c r="T1865" i="8"/>
  <c r="T1866" i="8"/>
  <c r="T1867" i="8"/>
  <c r="T1868" i="8"/>
  <c r="T1869" i="8"/>
  <c r="T1870" i="8"/>
  <c r="T1871" i="8"/>
  <c r="T1872" i="8"/>
  <c r="T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3604" i="8"/>
  <c r="C3605" i="8"/>
  <c r="C3606" i="8"/>
  <c r="C3607" i="8"/>
  <c r="C3608" i="8"/>
  <c r="C3609" i="8"/>
  <c r="C3610" i="8"/>
  <c r="C3611" i="8"/>
  <c r="C3612" i="8"/>
  <c r="C3613" i="8"/>
  <c r="C3614" i="8"/>
  <c r="C3615" i="8"/>
  <c r="C3616" i="8"/>
  <c r="C3617" i="8"/>
  <c r="C3618" i="8"/>
  <c r="C3619" i="8"/>
  <c r="C3620" i="8"/>
  <c r="C3621" i="8"/>
  <c r="C3622" i="8"/>
  <c r="C3623" i="8"/>
  <c r="C3624" i="8"/>
  <c r="C3625" i="8"/>
  <c r="C3626" i="8"/>
  <c r="C3627" i="8"/>
  <c r="C3628" i="8"/>
  <c r="C3629" i="8"/>
  <c r="C3630" i="8"/>
  <c r="C3631" i="8"/>
  <c r="C3632" i="8"/>
  <c r="C3633" i="8"/>
  <c r="C3634" i="8"/>
  <c r="C3635" i="8"/>
  <c r="C3636" i="8"/>
  <c r="C3637" i="8"/>
  <c r="C3638" i="8"/>
  <c r="C3639" i="8"/>
  <c r="C3640" i="8"/>
  <c r="C3641" i="8"/>
  <c r="C3642" i="8"/>
  <c r="C3643" i="8"/>
  <c r="C3644" i="8"/>
  <c r="C3645" i="8"/>
  <c r="C3646" i="8"/>
  <c r="C3647" i="8"/>
  <c r="C3648" i="8"/>
  <c r="C3649" i="8"/>
  <c r="C3650" i="8"/>
  <c r="C3651" i="8"/>
  <c r="C3652" i="8"/>
  <c r="C3653" i="8"/>
  <c r="C3654" i="8"/>
  <c r="C3655" i="8"/>
  <c r="C3656" i="8"/>
  <c r="C3657" i="8"/>
  <c r="C3658" i="8"/>
  <c r="C3659" i="8"/>
  <c r="C3660" i="8"/>
  <c r="C3661" i="8"/>
  <c r="C3662" i="8"/>
  <c r="C3663" i="8"/>
  <c r="C3664" i="8"/>
  <c r="C3665" i="8"/>
  <c r="C3666" i="8"/>
  <c r="C3667" i="8"/>
  <c r="C3668" i="8"/>
  <c r="C3669" i="8"/>
  <c r="C3670" i="8"/>
  <c r="C3671" i="8"/>
  <c r="C3672" i="8"/>
  <c r="C3673" i="8"/>
  <c r="C3674" i="8"/>
  <c r="C3675" i="8"/>
  <c r="C3676" i="8"/>
  <c r="C3677" i="8"/>
  <c r="C3678" i="8"/>
  <c r="C3679" i="8"/>
  <c r="C3680" i="8"/>
  <c r="C3681" i="8"/>
  <c r="C3682" i="8"/>
  <c r="C3683" i="8"/>
  <c r="C3684" i="8"/>
  <c r="C3685" i="8"/>
  <c r="C3686" i="8"/>
  <c r="C3687" i="8"/>
  <c r="C3688" i="8"/>
  <c r="C3689" i="8"/>
  <c r="C3690" i="8"/>
  <c r="C3691" i="8"/>
  <c r="C3692" i="8"/>
  <c r="C3693" i="8"/>
  <c r="C3694" i="8"/>
  <c r="C3695" i="8"/>
  <c r="C3696" i="8"/>
  <c r="C3697" i="8"/>
  <c r="C3698" i="8"/>
  <c r="C3699" i="8"/>
  <c r="C3700" i="8"/>
  <c r="C3701" i="8"/>
  <c r="C3702" i="8"/>
  <c r="C3703" i="8"/>
  <c r="C3704" i="8"/>
  <c r="C3705" i="8"/>
  <c r="C3706" i="8"/>
  <c r="C3707" i="8"/>
  <c r="C3708" i="8"/>
  <c r="C3709" i="8"/>
  <c r="C3710" i="8"/>
  <c r="C3711" i="8"/>
  <c r="C3712" i="8"/>
  <c r="C3713" i="8"/>
  <c r="C3714" i="8"/>
  <c r="C3715" i="8"/>
  <c r="C3716" i="8"/>
  <c r="C3717" i="8"/>
  <c r="C3718" i="8"/>
  <c r="C3719" i="8"/>
  <c r="C3720" i="8"/>
  <c r="C3721" i="8"/>
  <c r="C3722" i="8"/>
  <c r="C3723" i="8"/>
  <c r="C3724" i="8"/>
  <c r="C3725" i="8"/>
  <c r="C3726" i="8"/>
  <c r="C3727" i="8"/>
  <c r="C3728" i="8"/>
  <c r="C3729" i="8"/>
  <c r="C3730" i="8"/>
  <c r="C3731" i="8"/>
  <c r="C3732" i="8"/>
  <c r="C3733" i="8"/>
  <c r="C3734" i="8"/>
  <c r="C3735" i="8"/>
  <c r="C3736" i="8"/>
  <c r="C3737" i="8"/>
  <c r="C3738" i="8"/>
  <c r="C3739" i="8"/>
  <c r="C3740" i="8"/>
  <c r="C3741" i="8"/>
  <c r="C3742" i="8"/>
  <c r="C3743" i="8"/>
  <c r="C3744" i="8"/>
  <c r="C3745" i="8"/>
  <c r="C3746" i="8"/>
  <c r="C3747" i="8"/>
  <c r="C3748" i="8"/>
  <c r="C3749" i="8"/>
  <c r="C3750" i="8"/>
  <c r="C3751" i="8"/>
  <c r="C3752" i="8"/>
  <c r="C3753" i="8"/>
  <c r="C3754" i="8"/>
  <c r="C3755" i="8"/>
  <c r="C3756" i="8"/>
  <c r="C3757" i="8"/>
  <c r="C3758" i="8"/>
  <c r="C3759" i="8"/>
  <c r="C3760" i="8"/>
  <c r="C3761" i="8"/>
  <c r="C3762" i="8"/>
  <c r="C3763" i="8"/>
  <c r="C3764" i="8"/>
  <c r="C3765" i="8"/>
  <c r="C3766" i="8"/>
  <c r="C3767" i="8"/>
  <c r="C3768" i="8"/>
  <c r="C3769" i="8"/>
  <c r="C3770" i="8"/>
  <c r="C3771" i="8"/>
  <c r="C3772" i="8"/>
  <c r="C3773" i="8"/>
  <c r="C3774" i="8"/>
  <c r="C3775" i="8"/>
  <c r="C3776" i="8"/>
  <c r="C3777" i="8"/>
  <c r="C3778" i="8"/>
  <c r="C3779" i="8"/>
  <c r="C3780" i="8"/>
  <c r="C3781" i="8"/>
  <c r="C3782" i="8"/>
  <c r="C3783" i="8"/>
  <c r="C3784" i="8"/>
  <c r="C3785" i="8"/>
  <c r="C3786" i="8"/>
  <c r="C3787" i="8"/>
  <c r="C3788" i="8"/>
  <c r="C3789" i="8"/>
  <c r="C3790" i="8"/>
  <c r="C3791" i="8"/>
  <c r="C3792" i="8"/>
  <c r="C3793" i="8"/>
  <c r="C3794" i="8"/>
  <c r="C3795" i="8"/>
  <c r="C3796" i="8"/>
  <c r="C3797" i="8"/>
  <c r="C3798" i="8"/>
  <c r="C3799" i="8"/>
  <c r="C3800" i="8"/>
  <c r="C3801" i="8"/>
  <c r="C3802" i="8"/>
  <c r="C3803" i="8"/>
  <c r="C3804" i="8"/>
  <c r="C3805" i="8"/>
  <c r="C3806" i="8"/>
  <c r="C3807" i="8"/>
  <c r="C3808" i="8"/>
  <c r="C3809" i="8"/>
  <c r="C3810" i="8"/>
  <c r="C3811" i="8"/>
  <c r="C3812" i="8"/>
  <c r="C3813" i="8"/>
  <c r="C3814" i="8"/>
  <c r="C3815" i="8"/>
  <c r="C3816" i="8"/>
  <c r="C3817" i="8"/>
  <c r="C3818" i="8"/>
  <c r="C3819" i="8"/>
  <c r="C3820" i="8"/>
  <c r="C3821" i="8"/>
  <c r="C3822" i="8"/>
  <c r="C3823" i="8"/>
  <c r="C3824" i="8"/>
  <c r="C3825" i="8"/>
  <c r="C3826" i="8"/>
  <c r="C3827" i="8"/>
  <c r="C3828" i="8"/>
  <c r="C3829" i="8"/>
  <c r="C3830" i="8"/>
  <c r="C3831" i="8"/>
  <c r="C3832" i="8"/>
  <c r="C3833" i="8"/>
  <c r="C3834" i="8"/>
  <c r="C3835" i="8"/>
  <c r="C3836" i="8"/>
  <c r="C3837" i="8"/>
  <c r="C3838" i="8"/>
  <c r="C3839" i="8"/>
  <c r="C3840" i="8"/>
  <c r="C3841" i="8"/>
  <c r="C3842" i="8"/>
  <c r="C3843" i="8"/>
  <c r="C3844" i="8"/>
  <c r="C3845" i="8"/>
  <c r="C3846" i="8"/>
  <c r="C3847" i="8"/>
  <c r="C3848" i="8"/>
  <c r="C3849" i="8"/>
  <c r="C3850" i="8"/>
  <c r="C3851" i="8"/>
  <c r="C3852" i="8"/>
  <c r="C3853" i="8"/>
  <c r="C3854" i="8"/>
  <c r="C3855" i="8"/>
  <c r="C3856" i="8"/>
  <c r="C3857" i="8"/>
  <c r="C3858" i="8"/>
  <c r="C3859" i="8"/>
  <c r="C3860" i="8"/>
  <c r="C3861" i="8"/>
  <c r="C3862" i="8"/>
  <c r="C3863" i="8"/>
  <c r="C3864" i="8"/>
  <c r="C3865" i="8"/>
  <c r="C3866" i="8"/>
  <c r="C3867" i="8"/>
  <c r="C3868" i="8"/>
  <c r="C3869" i="8"/>
  <c r="C3870" i="8"/>
  <c r="C3871" i="8"/>
  <c r="C3872" i="8"/>
  <c r="C3873" i="8"/>
  <c r="C3874" i="8"/>
  <c r="C3875" i="8"/>
  <c r="C3876" i="8"/>
  <c r="C3877" i="8"/>
  <c r="C3878" i="8"/>
  <c r="C3879" i="8"/>
  <c r="C3880" i="8"/>
  <c r="C3881" i="8"/>
  <c r="C3882" i="8"/>
  <c r="C3883" i="8"/>
  <c r="C3884" i="8"/>
  <c r="C3885" i="8"/>
  <c r="C3886" i="8"/>
  <c r="C3887" i="8"/>
  <c r="C3888" i="8"/>
  <c r="C3889" i="8"/>
  <c r="C3890" i="8"/>
  <c r="C3891" i="8"/>
  <c r="C3892" i="8"/>
  <c r="C3893" i="8"/>
  <c r="C3894" i="8"/>
  <c r="C3895" i="8"/>
  <c r="C3896" i="8"/>
  <c r="C3897" i="8"/>
  <c r="C3898" i="8"/>
  <c r="C3899" i="8"/>
  <c r="C3900" i="8"/>
  <c r="C3901" i="8"/>
  <c r="C3902" i="8"/>
  <c r="C3903" i="8"/>
  <c r="C3904" i="8"/>
  <c r="C3905" i="8"/>
  <c r="C3906" i="8"/>
  <c r="C3907" i="8"/>
  <c r="C3908" i="8"/>
  <c r="C3909" i="8"/>
  <c r="C3910" i="8"/>
  <c r="C3911" i="8"/>
  <c r="C3912" i="8"/>
  <c r="C3913" i="8"/>
  <c r="C3914" i="8"/>
  <c r="C3915" i="8"/>
  <c r="C3916" i="8"/>
  <c r="C3917" i="8"/>
  <c r="C3918" i="8"/>
  <c r="C3919" i="8"/>
  <c r="C3920" i="8"/>
  <c r="C3921" i="8"/>
  <c r="C3922" i="8"/>
  <c r="C3923" i="8"/>
  <c r="C3924" i="8"/>
  <c r="C3925" i="8"/>
  <c r="C3926" i="8"/>
  <c r="C3927" i="8"/>
  <c r="C3928" i="8"/>
  <c r="C3929" i="8"/>
  <c r="C3930" i="8"/>
  <c r="C3931" i="8"/>
  <c r="C3932" i="8"/>
  <c r="C3933" i="8"/>
  <c r="C3934" i="8"/>
  <c r="C3935" i="8"/>
  <c r="C3936" i="8"/>
  <c r="C3937" i="8"/>
  <c r="C3938" i="8"/>
  <c r="C3939" i="8"/>
  <c r="C3940" i="8"/>
  <c r="C3941" i="8"/>
  <c r="C3942" i="8"/>
  <c r="C3943" i="8"/>
  <c r="C3944" i="8"/>
  <c r="C3945" i="8"/>
  <c r="C3946" i="8"/>
  <c r="C3947" i="8"/>
  <c r="C3948" i="8"/>
  <c r="C3949" i="8"/>
  <c r="C3950" i="8"/>
  <c r="C3951" i="8"/>
  <c r="C3952" i="8"/>
  <c r="C3953" i="8"/>
  <c r="C3954" i="8"/>
  <c r="C3955" i="8"/>
  <c r="C3956" i="8"/>
  <c r="C3957" i="8"/>
  <c r="C3958" i="8"/>
  <c r="C3959" i="8"/>
  <c r="C3960" i="8"/>
  <c r="C3961" i="8"/>
  <c r="C3962" i="8"/>
  <c r="C3963" i="8"/>
  <c r="C3964" i="8"/>
  <c r="C3965" i="8"/>
  <c r="C3966" i="8"/>
  <c r="C3967" i="8"/>
  <c r="C3968" i="8"/>
  <c r="C3969" i="8"/>
  <c r="C3970" i="8"/>
  <c r="C3971" i="8"/>
  <c r="C3972" i="8"/>
  <c r="C3973" i="8"/>
  <c r="C3974" i="8"/>
  <c r="C3975" i="8"/>
  <c r="C3976" i="8"/>
  <c r="C3977" i="8"/>
  <c r="C3978" i="8"/>
  <c r="C3979" i="8"/>
  <c r="C3980" i="8"/>
  <c r="C3981" i="8"/>
  <c r="C3982" i="8"/>
  <c r="C3983" i="8"/>
  <c r="C3984" i="8"/>
  <c r="C3985" i="8"/>
  <c r="C3986" i="8"/>
  <c r="C3987" i="8"/>
  <c r="C3988" i="8"/>
  <c r="C3989" i="8"/>
  <c r="C3990" i="8"/>
  <c r="C3991" i="8"/>
  <c r="C3992" i="8"/>
  <c r="C3993" i="8"/>
  <c r="C3994" i="8"/>
  <c r="C3995" i="8"/>
  <c r="C3996" i="8"/>
  <c r="C3997" i="8"/>
  <c r="C3998" i="8"/>
  <c r="C3999" i="8"/>
  <c r="C4000" i="8"/>
  <c r="C4001" i="8"/>
  <c r="C4002" i="8"/>
  <c r="C4003" i="8"/>
  <c r="C4004" i="8"/>
  <c r="C4005" i="8"/>
  <c r="C4006" i="8"/>
  <c r="C4007" i="8"/>
  <c r="C4008" i="8"/>
  <c r="C4009" i="8"/>
  <c r="C4010" i="8"/>
  <c r="C4011" i="8"/>
  <c r="C4012" i="8"/>
  <c r="C4013" i="8"/>
  <c r="C4014" i="8"/>
  <c r="C4015" i="8"/>
  <c r="C4016" i="8"/>
  <c r="C4017" i="8"/>
  <c r="C4018" i="8"/>
  <c r="C4019" i="8"/>
  <c r="C4020" i="8"/>
  <c r="C4021" i="8"/>
  <c r="C4022" i="8"/>
  <c r="C4023" i="8"/>
  <c r="C4024" i="8"/>
  <c r="C4025" i="8"/>
  <c r="C4026" i="8"/>
  <c r="C4027" i="8"/>
  <c r="C4028" i="8"/>
  <c r="C4029" i="8"/>
  <c r="C4030" i="8"/>
  <c r="C4031" i="8"/>
  <c r="C4032" i="8"/>
  <c r="C4033" i="8"/>
  <c r="C4034" i="8"/>
  <c r="C4035" i="8"/>
  <c r="C4036" i="8"/>
  <c r="C4037" i="8"/>
  <c r="C4038" i="8"/>
  <c r="C4039" i="8"/>
  <c r="C4040" i="8"/>
  <c r="C4041" i="8"/>
  <c r="C4042" i="8"/>
  <c r="C4043" i="8"/>
  <c r="C4044" i="8"/>
  <c r="C4045" i="8"/>
  <c r="C4046" i="8"/>
  <c r="C4047" i="8"/>
  <c r="C4048" i="8"/>
  <c r="C4049" i="8"/>
  <c r="C4050" i="8"/>
  <c r="C4051" i="8"/>
  <c r="C4052" i="8"/>
  <c r="C4053" i="8"/>
  <c r="C4054" i="8"/>
  <c r="C4055" i="8"/>
  <c r="C4056" i="8"/>
  <c r="C4057" i="8"/>
  <c r="C4058" i="8"/>
  <c r="C4059" i="8"/>
  <c r="C4060" i="8"/>
  <c r="C4061" i="8"/>
  <c r="C4062" i="8"/>
  <c r="C4063" i="8"/>
  <c r="C4064" i="8"/>
  <c r="C4065" i="8"/>
  <c r="C4066" i="8"/>
  <c r="C4067" i="8"/>
  <c r="C4068" i="8"/>
  <c r="C4069" i="8"/>
  <c r="C4070" i="8"/>
  <c r="C4071" i="8"/>
  <c r="C4072" i="8"/>
  <c r="C4073" i="8"/>
  <c r="C4074" i="8"/>
  <c r="C4075" i="8"/>
  <c r="C4076" i="8"/>
  <c r="C4077" i="8"/>
  <c r="C4078" i="8"/>
  <c r="C4079" i="8"/>
  <c r="C4080" i="8"/>
  <c r="C4081" i="8"/>
  <c r="C4082" i="8"/>
  <c r="C4083" i="8"/>
  <c r="C4084" i="8"/>
  <c r="C4085" i="8"/>
  <c r="C4086" i="8"/>
  <c r="C4087" i="8"/>
  <c r="C4088" i="8"/>
  <c r="C4089" i="8"/>
  <c r="C4090" i="8"/>
  <c r="C4091" i="8"/>
  <c r="C4092" i="8"/>
  <c r="C4093" i="8"/>
  <c r="C4094" i="8"/>
  <c r="C4095" i="8"/>
  <c r="C4096" i="8"/>
  <c r="C4097" i="8"/>
  <c r="C4098" i="8"/>
  <c r="C4099" i="8"/>
  <c r="C4100" i="8"/>
  <c r="C4101" i="8"/>
  <c r="C4102" i="8"/>
  <c r="C4103" i="8"/>
  <c r="C4104" i="8"/>
  <c r="C4105" i="8"/>
  <c r="C4106" i="8"/>
  <c r="C4107" i="8"/>
  <c r="C4108" i="8"/>
  <c r="C4109" i="8"/>
  <c r="C4110" i="8"/>
  <c r="C4111" i="8"/>
  <c r="C4112" i="8"/>
  <c r="C4113" i="8"/>
  <c r="C4114" i="8"/>
  <c r="C4115" i="8"/>
  <c r="C4116" i="8"/>
  <c r="C4117" i="8"/>
  <c r="C4118" i="8"/>
  <c r="C4119" i="8"/>
  <c r="C4120" i="8"/>
  <c r="C4121" i="8"/>
  <c r="C4122" i="8"/>
  <c r="C4123" i="8"/>
  <c r="C4124" i="8"/>
  <c r="C4125" i="8"/>
  <c r="C4126" i="8"/>
  <c r="C4127" i="8"/>
  <c r="C4128" i="8"/>
  <c r="C4129" i="8"/>
  <c r="C4130" i="8"/>
  <c r="C4131" i="8"/>
  <c r="C4132" i="8"/>
  <c r="C4133" i="8"/>
  <c r="C4134" i="8"/>
  <c r="C4135" i="8"/>
  <c r="C4136" i="8"/>
  <c r="C4137" i="8"/>
  <c r="C4138" i="8"/>
  <c r="C4139" i="8"/>
  <c r="C4140" i="8"/>
  <c r="C4141" i="8"/>
  <c r="C4142" i="8"/>
  <c r="C4143" i="8"/>
  <c r="C4144" i="8"/>
  <c r="C4145" i="8"/>
  <c r="C4146" i="8"/>
  <c r="C4147" i="8"/>
  <c r="C4148" i="8"/>
  <c r="C4149" i="8"/>
  <c r="C4150" i="8"/>
  <c r="C4151" i="8"/>
  <c r="C4152" i="8"/>
  <c r="C4153" i="8"/>
  <c r="C4154" i="8"/>
  <c r="C4155" i="8"/>
  <c r="C4156" i="8"/>
  <c r="C4157" i="8"/>
  <c r="C4158" i="8"/>
  <c r="C4159" i="8"/>
  <c r="C4160" i="8"/>
  <c r="C4161" i="8"/>
  <c r="C4162" i="8"/>
  <c r="C4163" i="8"/>
  <c r="C4164" i="8"/>
  <c r="C4165" i="8"/>
  <c r="C4166" i="8"/>
  <c r="C4167" i="8"/>
  <c r="C4168" i="8"/>
  <c r="C4169" i="8"/>
  <c r="C4170" i="8"/>
  <c r="C4171" i="8"/>
  <c r="C4172" i="8"/>
  <c r="C4173" i="8"/>
  <c r="C4174" i="8"/>
  <c r="C4175" i="8"/>
  <c r="C4176" i="8"/>
  <c r="C4177" i="8"/>
  <c r="C4178" i="8"/>
  <c r="C4179" i="8"/>
  <c r="C4180" i="8"/>
  <c r="C4181" i="8"/>
  <c r="C4182" i="8"/>
  <c r="C4183" i="8"/>
  <c r="C4184" i="8"/>
  <c r="C4185" i="8"/>
  <c r="C4186" i="8"/>
  <c r="C4187" i="8"/>
  <c r="C4188" i="8"/>
  <c r="C4189" i="8"/>
  <c r="C4190" i="8"/>
  <c r="C4191" i="8"/>
  <c r="C4192" i="8"/>
  <c r="C4193" i="8"/>
  <c r="C4194" i="8"/>
  <c r="C4195" i="8"/>
  <c r="C4196" i="8"/>
  <c r="C4197" i="8"/>
  <c r="C4198" i="8"/>
  <c r="C4199" i="8"/>
  <c r="C4200" i="8"/>
  <c r="C4201" i="8"/>
  <c r="C4202" i="8"/>
  <c r="C4203" i="8"/>
  <c r="C4204" i="8"/>
  <c r="C4205" i="8"/>
  <c r="C4206" i="8"/>
  <c r="C4207" i="8"/>
  <c r="C4208" i="8"/>
  <c r="C4209" i="8"/>
  <c r="C4210" i="8"/>
  <c r="C4211" i="8"/>
  <c r="C4212" i="8"/>
  <c r="C4213" i="8"/>
  <c r="C4214" i="8"/>
  <c r="C4215" i="8"/>
  <c r="C4216" i="8"/>
  <c r="C4217" i="8"/>
  <c r="C4218" i="8"/>
  <c r="C4219" i="8"/>
  <c r="C4220" i="8"/>
  <c r="C4221" i="8"/>
  <c r="C4222" i="8"/>
  <c r="C4223" i="8"/>
  <c r="C4224" i="8"/>
  <c r="C4225" i="8"/>
  <c r="C4226" i="8"/>
  <c r="C4227" i="8"/>
  <c r="C4228" i="8"/>
  <c r="C4229" i="8"/>
  <c r="C4230" i="8"/>
  <c r="C4231" i="8"/>
  <c r="C4232" i="8"/>
  <c r="C4233" i="8"/>
  <c r="C4234" i="8"/>
  <c r="C4235" i="8"/>
  <c r="C4236" i="8"/>
  <c r="C4237" i="8"/>
  <c r="C4238" i="8"/>
  <c r="C4239" i="8"/>
  <c r="C4240" i="8"/>
  <c r="C4241" i="8"/>
  <c r="C4242" i="8"/>
  <c r="C4243" i="8"/>
  <c r="C4244" i="8"/>
  <c r="C4245" i="8"/>
  <c r="C4246" i="8"/>
  <c r="C4247" i="8"/>
  <c r="C4248" i="8"/>
  <c r="C4249" i="8"/>
  <c r="C4250" i="8"/>
  <c r="C4251" i="8"/>
  <c r="C4252" i="8"/>
  <c r="C4253" i="8"/>
  <c r="C4254" i="8"/>
  <c r="C4255" i="8"/>
  <c r="C4256" i="8"/>
  <c r="C4257" i="8"/>
  <c r="C4258" i="8"/>
  <c r="C4259" i="8"/>
  <c r="C4260" i="8"/>
  <c r="C4261" i="8"/>
  <c r="C4262" i="8"/>
  <c r="C4263" i="8"/>
  <c r="C4264" i="8"/>
  <c r="C4265" i="8"/>
  <c r="C4266" i="8"/>
  <c r="C4267" i="8"/>
  <c r="C4268" i="8"/>
  <c r="C4269" i="8"/>
  <c r="C4270" i="8"/>
  <c r="C4271" i="8"/>
  <c r="C4272" i="8"/>
  <c r="C4273" i="8"/>
  <c r="C4274" i="8"/>
  <c r="C4275" i="8"/>
  <c r="C4276" i="8"/>
  <c r="C4277" i="8"/>
  <c r="C4278" i="8"/>
  <c r="C4279" i="8"/>
  <c r="C4280" i="8"/>
  <c r="C4281" i="8"/>
  <c r="C4282" i="8"/>
  <c r="C4283" i="8"/>
  <c r="C4284" i="8"/>
  <c r="C4285" i="8"/>
  <c r="C4286" i="8"/>
  <c r="C4287" i="8"/>
  <c r="C4288" i="8"/>
  <c r="C4289" i="8"/>
  <c r="C4290" i="8"/>
  <c r="C4291" i="8"/>
  <c r="C4292" i="8"/>
  <c r="C4293" i="8"/>
  <c r="C4294" i="8"/>
  <c r="C4295" i="8"/>
  <c r="C4296" i="8"/>
  <c r="C4297" i="8"/>
  <c r="C4298" i="8"/>
  <c r="C4299" i="8"/>
  <c r="C4300" i="8"/>
  <c r="C4301" i="8"/>
  <c r="C4302" i="8"/>
  <c r="C4303" i="8"/>
  <c r="C4304" i="8"/>
  <c r="C4305" i="8"/>
  <c r="C4306" i="8"/>
  <c r="C4307" i="8"/>
  <c r="C4308" i="8"/>
  <c r="C4309" i="8"/>
  <c r="C4310" i="8"/>
  <c r="C4311" i="8"/>
  <c r="C4312" i="8"/>
  <c r="C4313" i="8"/>
  <c r="C4314" i="8"/>
  <c r="C4315" i="8"/>
  <c r="C4316" i="8"/>
  <c r="C4317" i="8"/>
  <c r="C4318" i="8"/>
  <c r="C4319" i="8"/>
  <c r="C4320" i="8"/>
  <c r="C4321" i="8"/>
  <c r="C4322" i="8"/>
  <c r="C4323" i="8"/>
  <c r="C4324" i="8"/>
  <c r="C4325" i="8"/>
  <c r="C4326" i="8"/>
  <c r="C4327" i="8"/>
  <c r="C4328" i="8"/>
  <c r="C4329" i="8"/>
  <c r="C4330" i="8"/>
  <c r="C4331" i="8"/>
  <c r="C4332" i="8"/>
  <c r="C4333" i="8"/>
  <c r="C4334" i="8"/>
  <c r="C4335" i="8"/>
  <c r="C4336" i="8"/>
  <c r="C4337" i="8"/>
  <c r="C4338" i="8"/>
  <c r="C4339" i="8"/>
  <c r="C4340" i="8"/>
  <c r="C4341" i="8"/>
  <c r="C4342" i="8"/>
  <c r="C4343" i="8"/>
  <c r="C4344" i="8"/>
  <c r="C4345" i="8"/>
  <c r="C4346" i="8"/>
  <c r="C4347" i="8"/>
  <c r="C4348" i="8"/>
  <c r="C4349" i="8"/>
  <c r="C4350" i="8"/>
  <c r="C4351" i="8"/>
  <c r="C4352" i="8"/>
  <c r="C4353" i="8"/>
  <c r="C4354" i="8"/>
  <c r="C4355" i="8"/>
  <c r="C4356" i="8"/>
  <c r="C4357" i="8"/>
  <c r="C4358" i="8"/>
  <c r="C4359" i="8"/>
  <c r="C4360" i="8"/>
  <c r="C4361" i="8"/>
  <c r="C4362" i="8"/>
  <c r="C4363" i="8"/>
  <c r="C4364" i="8"/>
  <c r="C4365" i="8"/>
  <c r="C4366" i="8"/>
  <c r="C4367" i="8"/>
  <c r="C4368" i="8"/>
  <c r="C4369" i="8"/>
  <c r="C4370" i="8"/>
  <c r="C4371" i="8"/>
  <c r="C4372" i="8"/>
  <c r="C4373" i="8"/>
  <c r="C4374" i="8"/>
  <c r="C4375" i="8"/>
  <c r="C4376" i="8"/>
  <c r="C4377" i="8"/>
  <c r="C4378" i="8"/>
  <c r="C4379" i="8"/>
  <c r="C4380" i="8"/>
  <c r="C4381" i="8"/>
  <c r="C4382" i="8"/>
  <c r="C4383" i="8"/>
  <c r="C4384" i="8"/>
  <c r="C4385" i="8"/>
  <c r="C4386" i="8"/>
  <c r="C4387" i="8"/>
  <c r="C4388" i="8"/>
  <c r="C4389" i="8"/>
  <c r="C4390" i="8"/>
  <c r="C4391" i="8"/>
  <c r="C4392" i="8"/>
  <c r="C4393" i="8"/>
  <c r="C4394" i="8"/>
  <c r="C4395" i="8"/>
  <c r="C4396" i="8"/>
  <c r="C4397" i="8"/>
  <c r="C4398" i="8"/>
  <c r="C4399" i="8"/>
  <c r="C4400" i="8"/>
  <c r="C4401" i="8"/>
  <c r="C4402" i="8"/>
  <c r="C4403" i="8"/>
  <c r="C4404" i="8"/>
  <c r="C4405" i="8"/>
  <c r="C4406" i="8"/>
  <c r="C4407" i="8"/>
  <c r="C4408" i="8"/>
  <c r="C4409" i="8"/>
  <c r="C4410" i="8"/>
  <c r="C4411" i="8"/>
  <c r="C4412" i="8"/>
  <c r="C4413" i="8"/>
  <c r="C4414" i="8"/>
  <c r="C4415" i="8"/>
  <c r="C4416" i="8"/>
  <c r="C4417" i="8"/>
  <c r="C4418" i="8"/>
  <c r="C4419" i="8"/>
  <c r="C4420" i="8"/>
  <c r="C4421" i="8"/>
  <c r="C4422" i="8"/>
  <c r="C4423" i="8"/>
  <c r="C4424" i="8"/>
  <c r="C4425" i="8"/>
  <c r="C4426" i="8"/>
  <c r="C4427" i="8"/>
  <c r="C4428" i="8"/>
  <c r="C4429" i="8"/>
  <c r="C4430" i="8"/>
  <c r="C4431" i="8"/>
  <c r="C4432" i="8"/>
  <c r="C4433" i="8"/>
  <c r="C4434" i="8"/>
  <c r="C4435" i="8"/>
  <c r="C4436" i="8"/>
  <c r="C4437" i="8"/>
  <c r="C4438" i="8"/>
  <c r="C4439" i="8"/>
  <c r="C4440" i="8"/>
  <c r="C4441" i="8"/>
  <c r="C4442" i="8"/>
  <c r="C4443" i="8"/>
  <c r="C4444" i="8"/>
  <c r="C4445" i="8"/>
  <c r="C4446" i="8"/>
  <c r="C4447" i="8"/>
  <c r="C4448" i="8"/>
  <c r="C4449" i="8"/>
  <c r="C4450" i="8"/>
  <c r="C4451" i="8"/>
  <c r="C4452" i="8"/>
  <c r="C4453" i="8"/>
  <c r="C4454" i="8"/>
  <c r="C4455" i="8"/>
  <c r="C4456" i="8"/>
  <c r="C4457" i="8"/>
  <c r="C4458" i="8"/>
  <c r="C4459" i="8"/>
  <c r="C4460" i="8"/>
  <c r="C4461" i="8"/>
  <c r="C4462" i="8"/>
  <c r="C4463" i="8"/>
  <c r="C4464" i="8"/>
  <c r="C4465" i="8"/>
  <c r="C4466" i="8"/>
  <c r="C4467" i="8"/>
  <c r="C4468" i="8"/>
  <c r="C4469" i="8"/>
  <c r="C4470" i="8"/>
  <c r="C4471" i="8"/>
  <c r="C4472" i="8"/>
  <c r="C4473" i="8"/>
  <c r="C4474" i="8"/>
  <c r="C4475" i="8"/>
  <c r="C4476" i="8"/>
  <c r="C4477" i="8"/>
  <c r="C4478" i="8"/>
  <c r="C4479" i="8"/>
  <c r="C4480" i="8"/>
  <c r="C4481" i="8"/>
  <c r="C4482" i="8"/>
  <c r="C4483" i="8"/>
  <c r="C4484" i="8"/>
  <c r="C4485" i="8"/>
  <c r="C4486" i="8"/>
  <c r="C4487" i="8"/>
  <c r="C4488" i="8"/>
  <c r="C4489" i="8"/>
  <c r="C4490" i="8"/>
  <c r="C4491" i="8"/>
  <c r="C4492" i="8"/>
  <c r="C4493" i="8"/>
  <c r="C4494" i="8"/>
  <c r="C4495" i="8"/>
  <c r="C4496" i="8"/>
  <c r="C4497" i="8"/>
  <c r="C4498" i="8"/>
  <c r="C4499" i="8"/>
  <c r="C4500" i="8"/>
  <c r="C4501" i="8"/>
  <c r="C4502" i="8"/>
  <c r="C4503" i="8"/>
  <c r="C4504" i="8"/>
  <c r="C4505" i="8"/>
  <c r="C4506" i="8"/>
  <c r="C4507" i="8"/>
  <c r="C4508" i="8"/>
  <c r="C4509" i="8"/>
  <c r="C4510" i="8"/>
  <c r="C4511" i="8"/>
  <c r="C4512" i="8"/>
  <c r="C4513" i="8"/>
  <c r="C4514" i="8"/>
  <c r="C4515" i="8"/>
  <c r="C4516" i="8"/>
  <c r="C4517" i="8"/>
  <c r="C4518" i="8"/>
  <c r="C4519" i="8"/>
  <c r="C4520" i="8"/>
  <c r="C4521" i="8"/>
  <c r="C4522" i="8"/>
  <c r="C4523" i="8"/>
  <c r="C4524" i="8"/>
  <c r="C4525" i="8"/>
  <c r="C4526" i="8"/>
  <c r="C4527" i="8"/>
  <c r="C4528" i="8"/>
  <c r="C4529" i="8"/>
  <c r="C4530" i="8"/>
  <c r="C4531" i="8"/>
  <c r="C4532" i="8"/>
  <c r="C4533" i="8"/>
  <c r="C4534" i="8"/>
  <c r="C4535" i="8"/>
  <c r="C4536" i="8"/>
  <c r="C4537" i="8"/>
  <c r="C4538" i="8"/>
  <c r="C4539" i="8"/>
  <c r="C4540" i="8"/>
  <c r="C4541" i="8"/>
  <c r="C4542" i="8"/>
  <c r="C4543" i="8"/>
  <c r="C4544" i="8"/>
  <c r="C4545" i="8"/>
  <c r="C4546" i="8"/>
  <c r="C4547" i="8"/>
  <c r="C4548" i="8"/>
  <c r="C4549" i="8"/>
  <c r="C4550" i="8"/>
  <c r="C4551" i="8"/>
  <c r="C4552" i="8"/>
  <c r="C4553" i="8"/>
  <c r="C4554" i="8"/>
  <c r="C4555" i="8"/>
  <c r="C4556" i="8"/>
  <c r="C4557" i="8"/>
  <c r="C4558" i="8"/>
  <c r="C4559" i="8"/>
  <c r="C4560" i="8"/>
  <c r="C4561" i="8"/>
  <c r="C4562" i="8"/>
  <c r="C4563" i="8"/>
  <c r="C4564" i="8"/>
  <c r="C4565" i="8"/>
  <c r="C4566" i="8"/>
  <c r="C4567" i="8"/>
  <c r="C4568" i="8"/>
  <c r="C4569" i="8"/>
  <c r="C4570" i="8"/>
  <c r="C4571" i="8"/>
  <c r="C4572" i="8"/>
  <c r="C4573" i="8"/>
  <c r="C4574" i="8"/>
  <c r="C4575" i="8"/>
  <c r="C4576" i="8"/>
  <c r="C4577" i="8"/>
  <c r="C4578" i="8"/>
  <c r="C4579" i="8"/>
  <c r="C4580" i="8"/>
  <c r="C4581" i="8"/>
  <c r="C4582" i="8"/>
  <c r="C4583" i="8"/>
  <c r="C4584" i="8"/>
  <c r="C4585" i="8"/>
  <c r="C4586" i="8"/>
  <c r="C4587" i="8"/>
  <c r="C4588" i="8"/>
  <c r="C4589" i="8"/>
  <c r="C4590" i="8"/>
  <c r="C4591" i="8"/>
  <c r="C4592" i="8"/>
  <c r="C4593" i="8"/>
  <c r="C4594" i="8"/>
  <c r="C4595" i="8"/>
  <c r="C4596" i="8"/>
  <c r="C4597" i="8"/>
  <c r="C4598" i="8"/>
  <c r="C4599" i="8"/>
  <c r="C4600" i="8"/>
  <c r="C4601" i="8"/>
  <c r="C4602" i="8"/>
  <c r="C4603" i="8"/>
  <c r="C4604" i="8"/>
  <c r="C4605" i="8"/>
  <c r="C4606" i="8"/>
  <c r="C4607" i="8"/>
  <c r="C4608" i="8"/>
  <c r="C4609" i="8"/>
  <c r="C4610" i="8"/>
  <c r="C4611" i="8"/>
  <c r="C4612" i="8"/>
  <c r="C4613" i="8"/>
  <c r="C4614" i="8"/>
  <c r="C4615" i="8"/>
  <c r="C4616" i="8"/>
  <c r="C4617" i="8"/>
  <c r="C4618" i="8"/>
  <c r="C4619" i="8"/>
  <c r="C4620" i="8"/>
  <c r="C4621" i="8"/>
  <c r="C4622" i="8"/>
  <c r="C4623" i="8"/>
  <c r="C4624" i="8"/>
  <c r="C4625" i="8"/>
  <c r="C4626" i="8"/>
  <c r="C4627" i="8"/>
  <c r="C4628" i="8"/>
  <c r="C4629" i="8"/>
  <c r="C4630" i="8"/>
  <c r="C4631" i="8"/>
  <c r="C4632" i="8"/>
  <c r="C4633" i="8"/>
  <c r="C4634" i="8"/>
  <c r="C4635" i="8"/>
  <c r="C4636" i="8"/>
  <c r="C4637" i="8"/>
  <c r="C4638" i="8"/>
  <c r="C4639" i="8"/>
  <c r="C4640" i="8"/>
  <c r="C4641" i="8"/>
  <c r="C4642" i="8"/>
  <c r="C4643" i="8"/>
  <c r="C4644" i="8"/>
  <c r="C4645" i="8"/>
  <c r="C4646" i="8"/>
  <c r="C4647" i="8"/>
  <c r="C4648" i="8"/>
  <c r="C4649" i="8"/>
  <c r="C4650" i="8"/>
  <c r="C4651" i="8"/>
  <c r="C4652" i="8"/>
  <c r="C4653" i="8"/>
  <c r="C4654" i="8"/>
  <c r="C4655" i="8"/>
  <c r="C4656" i="8"/>
  <c r="C4657" i="8"/>
  <c r="C4658" i="8"/>
  <c r="C4659" i="8"/>
  <c r="C4660" i="8"/>
  <c r="C4661" i="8"/>
  <c r="C4662" i="8"/>
  <c r="C4663" i="8"/>
  <c r="C4664" i="8"/>
  <c r="C4665" i="8"/>
  <c r="C4666" i="8"/>
  <c r="C4667" i="8"/>
  <c r="C4668" i="8"/>
  <c r="C4669" i="8"/>
  <c r="C4670" i="8"/>
  <c r="C4671" i="8"/>
  <c r="C4672" i="8"/>
  <c r="C4673" i="8"/>
  <c r="C4674" i="8"/>
  <c r="C4675" i="8"/>
  <c r="C4676" i="8"/>
  <c r="C4677" i="8"/>
  <c r="C4678" i="8"/>
  <c r="C4679" i="8"/>
  <c r="C4680" i="8"/>
  <c r="C4681" i="8"/>
  <c r="C4682" i="8"/>
  <c r="C4683" i="8"/>
  <c r="C4684" i="8"/>
  <c r="C4685" i="8"/>
  <c r="C4686" i="8"/>
  <c r="C4687" i="8"/>
  <c r="C4688" i="8"/>
  <c r="C4689" i="8"/>
  <c r="C4690" i="8"/>
  <c r="C4691" i="8"/>
  <c r="C4692" i="8"/>
  <c r="C4693" i="8"/>
  <c r="C4694" i="8"/>
  <c r="C4695" i="8"/>
  <c r="C4696" i="8"/>
  <c r="C4697" i="8"/>
  <c r="C4698" i="8"/>
  <c r="C4699" i="8"/>
  <c r="C4700" i="8"/>
  <c r="C4701" i="8"/>
  <c r="C4702" i="8"/>
  <c r="C4703" i="8"/>
  <c r="C4704" i="8"/>
  <c r="C4705" i="8"/>
  <c r="C4706" i="8"/>
  <c r="C4707" i="8"/>
  <c r="C4708" i="8"/>
  <c r="C4709" i="8"/>
  <c r="C4710" i="8"/>
  <c r="C4711" i="8"/>
  <c r="C4712" i="8"/>
  <c r="C4713" i="8"/>
  <c r="C4714" i="8"/>
  <c r="C4715" i="8"/>
  <c r="C4716" i="8"/>
  <c r="C4717" i="8"/>
  <c r="C4718" i="8"/>
  <c r="C4719" i="8"/>
  <c r="C4720" i="8"/>
  <c r="C4721" i="8"/>
  <c r="C4722" i="8"/>
  <c r="C4723" i="8"/>
  <c r="C4724" i="8"/>
  <c r="C4725" i="8"/>
  <c r="C4726" i="8"/>
  <c r="C4727" i="8"/>
  <c r="C4728" i="8"/>
  <c r="C4729" i="8"/>
  <c r="C4730" i="8"/>
  <c r="C4731" i="8"/>
  <c r="C4732" i="8"/>
  <c r="C4733" i="8"/>
  <c r="C4734" i="8"/>
  <c r="C4735" i="8"/>
  <c r="C4736" i="8"/>
  <c r="C4737" i="8"/>
  <c r="C4738" i="8"/>
  <c r="C4739" i="8"/>
  <c r="C4740" i="8"/>
  <c r="C4741" i="8"/>
  <c r="C4742" i="8"/>
  <c r="C4743" i="8"/>
  <c r="C4744" i="8"/>
  <c r="C4745" i="8"/>
  <c r="C4746" i="8"/>
  <c r="C4747" i="8"/>
  <c r="C4748" i="8"/>
  <c r="C4749" i="8"/>
  <c r="C4750" i="8"/>
  <c r="C4751" i="8"/>
  <c r="C4752" i="8"/>
  <c r="C4753" i="8"/>
  <c r="C4754" i="8"/>
  <c r="C4755" i="8"/>
  <c r="C4756" i="8"/>
  <c r="C4757" i="8"/>
  <c r="C4758" i="8"/>
  <c r="C4759" i="8"/>
  <c r="C4760" i="8"/>
  <c r="C4761" i="8"/>
  <c r="C4762" i="8"/>
  <c r="C4763" i="8"/>
  <c r="C4764" i="8"/>
  <c r="C4765" i="8"/>
  <c r="C4766" i="8"/>
  <c r="C4767" i="8"/>
  <c r="C4768" i="8"/>
  <c r="C4769" i="8"/>
  <c r="C4770" i="8"/>
  <c r="C4771" i="8"/>
  <c r="C4772" i="8"/>
  <c r="C4773" i="8"/>
  <c r="C4774" i="8"/>
  <c r="C4775" i="8"/>
  <c r="C4776" i="8"/>
  <c r="C4777" i="8"/>
  <c r="C4778" i="8"/>
  <c r="C4779" i="8"/>
  <c r="C4780" i="8"/>
  <c r="C4781" i="8"/>
  <c r="C4782" i="8"/>
  <c r="C4783" i="8"/>
  <c r="C4784" i="8"/>
  <c r="C4785" i="8"/>
  <c r="C4786" i="8"/>
  <c r="C4787" i="8"/>
  <c r="C4788" i="8"/>
  <c r="C4789" i="8"/>
  <c r="C4790" i="8"/>
  <c r="C4791" i="8"/>
  <c r="C4792" i="8"/>
  <c r="C4793" i="8"/>
  <c r="C4794" i="8"/>
  <c r="C4795" i="8"/>
  <c r="C4796" i="8"/>
  <c r="C4797" i="8"/>
  <c r="C4798" i="8"/>
  <c r="C4799" i="8"/>
  <c r="C4800" i="8"/>
  <c r="C4801" i="8"/>
  <c r="C4802" i="8"/>
  <c r="C4803" i="8"/>
  <c r="C4804" i="8"/>
  <c r="C4805" i="8"/>
  <c r="C4806" i="8"/>
  <c r="C4807" i="8"/>
  <c r="C4808" i="8"/>
  <c r="C4809" i="8"/>
  <c r="C4810" i="8"/>
  <c r="C4811" i="8"/>
  <c r="C4812" i="8"/>
  <c r="C4813" i="8"/>
  <c r="C4814" i="8"/>
  <c r="C4815" i="8"/>
  <c r="C4816" i="8"/>
  <c r="C4817" i="8"/>
  <c r="C4818" i="8"/>
  <c r="C4819" i="8"/>
  <c r="C4820" i="8"/>
  <c r="C4821" i="8"/>
  <c r="C4822" i="8"/>
  <c r="C4823" i="8"/>
  <c r="C4824" i="8"/>
  <c r="C4825" i="8"/>
  <c r="C4826" i="8"/>
  <c r="C4827" i="8"/>
  <c r="C4828" i="8"/>
  <c r="C4829" i="8"/>
  <c r="C4830" i="8"/>
  <c r="C4831" i="8"/>
  <c r="C4832" i="8"/>
  <c r="C4833" i="8"/>
  <c r="C4834" i="8"/>
  <c r="C4835" i="8"/>
  <c r="C4836" i="8"/>
  <c r="C4837" i="8"/>
  <c r="C4838" i="8"/>
  <c r="C4839" i="8"/>
  <c r="C4840" i="8"/>
  <c r="C4841" i="8"/>
  <c r="C4842" i="8"/>
  <c r="C4843" i="8"/>
  <c r="C4844" i="8"/>
  <c r="C4845" i="8"/>
  <c r="C4846" i="8"/>
  <c r="C4847" i="8"/>
  <c r="C4848" i="8"/>
  <c r="C4849" i="8"/>
  <c r="C4850" i="8"/>
  <c r="C4851" i="8"/>
  <c r="C4852" i="8"/>
  <c r="C4853" i="8"/>
  <c r="C4854" i="8"/>
  <c r="C4855" i="8"/>
  <c r="C4856" i="8"/>
  <c r="C4857" i="8"/>
  <c r="C4858" i="8"/>
  <c r="C4859" i="8"/>
  <c r="C4860" i="8"/>
  <c r="C4861" i="8"/>
  <c r="C4862" i="8"/>
  <c r="C4863" i="8"/>
  <c r="C4864" i="8"/>
  <c r="C4865" i="8"/>
  <c r="C4866" i="8"/>
  <c r="C4867" i="8"/>
  <c r="C4868" i="8"/>
  <c r="C4869" i="8"/>
  <c r="C4870" i="8"/>
  <c r="C4871" i="8"/>
  <c r="C4872" i="8"/>
  <c r="C4873" i="8"/>
  <c r="C4874" i="8"/>
  <c r="C4875" i="8"/>
  <c r="C4876" i="8"/>
  <c r="C4877" i="8"/>
  <c r="C4878" i="8"/>
  <c r="C4879" i="8"/>
  <c r="C4880" i="8"/>
  <c r="C4881" i="8"/>
  <c r="C4882" i="8"/>
  <c r="C4883" i="8"/>
  <c r="C4884" i="8"/>
  <c r="C4885" i="8"/>
  <c r="C4886" i="8"/>
  <c r="C4887" i="8"/>
  <c r="C4888" i="8"/>
  <c r="C4889" i="8"/>
  <c r="C4890" i="8"/>
  <c r="C4891" i="8"/>
  <c r="C4892" i="8"/>
  <c r="C4893" i="8"/>
  <c r="C4894" i="8"/>
  <c r="C4895" i="8"/>
  <c r="C4896" i="8"/>
  <c r="C4897" i="8"/>
  <c r="C4898" i="8"/>
  <c r="C4899" i="8"/>
  <c r="C4900" i="8"/>
  <c r="C4901" i="8"/>
  <c r="C4902" i="8"/>
  <c r="C4903" i="8"/>
  <c r="C4904" i="8"/>
  <c r="C4905" i="8"/>
  <c r="C4906" i="8"/>
  <c r="C4907" i="8"/>
  <c r="C4908" i="8"/>
  <c r="C4909" i="8"/>
  <c r="C4910" i="8"/>
  <c r="C4911" i="8"/>
  <c r="C4912" i="8"/>
  <c r="C4913" i="8"/>
  <c r="C4914" i="8"/>
  <c r="C4915" i="8"/>
  <c r="C4916" i="8"/>
  <c r="C4917" i="8"/>
  <c r="C4918" i="8"/>
  <c r="C4919" i="8"/>
  <c r="C4920" i="8"/>
  <c r="C4921" i="8"/>
  <c r="C4922" i="8"/>
  <c r="C4923" i="8"/>
  <c r="C4924" i="8"/>
  <c r="C4925" i="8"/>
  <c r="C4926" i="8"/>
  <c r="C4927" i="8"/>
  <c r="C4928" i="8"/>
  <c r="C4929" i="8"/>
  <c r="C4930" i="8"/>
  <c r="C4931" i="8"/>
  <c r="C4932" i="8"/>
  <c r="C4933" i="8"/>
  <c r="C4934" i="8"/>
  <c r="C4935" i="8"/>
  <c r="C4936" i="8"/>
  <c r="C4937" i="8"/>
  <c r="C4938" i="8"/>
  <c r="C4939" i="8"/>
  <c r="C4940" i="8"/>
  <c r="C4941" i="8"/>
  <c r="C4942" i="8"/>
  <c r="C4943" i="8"/>
  <c r="C4944" i="8"/>
  <c r="C4945" i="8"/>
  <c r="C4946" i="8"/>
  <c r="C4947" i="8"/>
  <c r="C4948" i="8"/>
  <c r="C4949" i="8"/>
  <c r="C4950" i="8"/>
  <c r="C4951" i="8"/>
  <c r="C4952" i="8"/>
  <c r="C4953" i="8"/>
  <c r="C4954" i="8"/>
  <c r="C4955" i="8"/>
  <c r="C4956" i="8"/>
  <c r="C4957" i="8"/>
  <c r="C4958" i="8"/>
  <c r="C4959" i="8"/>
  <c r="C4960" i="8"/>
  <c r="C4961" i="8"/>
  <c r="C4962" i="8"/>
  <c r="C4963" i="8"/>
  <c r="C4964" i="8"/>
  <c r="C4965" i="8"/>
  <c r="C4966" i="8"/>
  <c r="C4967" i="8"/>
  <c r="C4968" i="8"/>
  <c r="C4969" i="8"/>
  <c r="C4970" i="8"/>
  <c r="C4971" i="8"/>
  <c r="C4972" i="8"/>
  <c r="C4973" i="8"/>
  <c r="C4974" i="8"/>
  <c r="C4975" i="8"/>
  <c r="C4976" i="8"/>
  <c r="C4977" i="8"/>
  <c r="C4978" i="8"/>
  <c r="C4979" i="8"/>
  <c r="C4980" i="8"/>
  <c r="C4981" i="8"/>
  <c r="C4982" i="8"/>
  <c r="C4983" i="8"/>
  <c r="C4984" i="8"/>
  <c r="C4985" i="8"/>
  <c r="C4986" i="8"/>
  <c r="C4987" i="8"/>
  <c r="C4988" i="8"/>
  <c r="C4989" i="8"/>
  <c r="C4990" i="8"/>
  <c r="C4991" i="8"/>
  <c r="C4992" i="8"/>
  <c r="C4993" i="8"/>
  <c r="C4994" i="8"/>
  <c r="C4995" i="8"/>
  <c r="C4996" i="8"/>
  <c r="C4997" i="8"/>
  <c r="C4998" i="8"/>
  <c r="C4999" i="8"/>
  <c r="C5000" i="8"/>
  <c r="C5001" i="8"/>
  <c r="C5002" i="8"/>
  <c r="C5003" i="8"/>
  <c r="C5004" i="8"/>
  <c r="C5005" i="8"/>
  <c r="C5006" i="8"/>
  <c r="C5007" i="8"/>
  <c r="C5008" i="8"/>
  <c r="C5009" i="8"/>
  <c r="C5010" i="8"/>
  <c r="C5011" i="8"/>
  <c r="C5012" i="8"/>
  <c r="C5013" i="8"/>
  <c r="C5014" i="8"/>
  <c r="C5015" i="8"/>
  <c r="C5016" i="8"/>
  <c r="C5017" i="8"/>
  <c r="C5018" i="8"/>
  <c r="C5019" i="8"/>
  <c r="C5020" i="8"/>
  <c r="C5021" i="8"/>
  <c r="C5022" i="8"/>
  <c r="C5023" i="8"/>
  <c r="C5024" i="8"/>
  <c r="C5025" i="8"/>
  <c r="C5026" i="8"/>
  <c r="C5027" i="8"/>
  <c r="C5028" i="8"/>
  <c r="C5029" i="8"/>
  <c r="C5030" i="8"/>
  <c r="C5031" i="8"/>
  <c r="C5032" i="8"/>
  <c r="C5033" i="8"/>
  <c r="C5034" i="8"/>
  <c r="C5035" i="8"/>
  <c r="C5036" i="8"/>
  <c r="C5037" i="8"/>
  <c r="C5038" i="8"/>
  <c r="C5039" i="8"/>
  <c r="C5040" i="8"/>
  <c r="C5041" i="8"/>
  <c r="C5042" i="8"/>
  <c r="C5043" i="8"/>
  <c r="C5044" i="8"/>
  <c r="C5045" i="8"/>
  <c r="C5046" i="8"/>
  <c r="C5047" i="8"/>
  <c r="C5048" i="8"/>
  <c r="C5049" i="8"/>
  <c r="C5050" i="8"/>
  <c r="C5051" i="8"/>
  <c r="C5052" i="8"/>
  <c r="C5053" i="8"/>
  <c r="C5054" i="8"/>
  <c r="C5055" i="8"/>
  <c r="C5056" i="8"/>
  <c r="C5057" i="8"/>
  <c r="C5058" i="8"/>
  <c r="C5059" i="8"/>
  <c r="C5060" i="8"/>
  <c r="C5061" i="8"/>
  <c r="C5062" i="8"/>
  <c r="C5063" i="8"/>
  <c r="C5064" i="8"/>
  <c r="C5065" i="8"/>
  <c r="C5066" i="8"/>
  <c r="C5067" i="8"/>
  <c r="C5068" i="8"/>
  <c r="C5069" i="8"/>
  <c r="C5070" i="8"/>
  <c r="C5071" i="8"/>
  <c r="C5072" i="8"/>
  <c r="C5073" i="8"/>
  <c r="C5074" i="8"/>
  <c r="C5075" i="8"/>
  <c r="C5076" i="8"/>
  <c r="C5077" i="8"/>
  <c r="C5078" i="8"/>
  <c r="C5079" i="8"/>
  <c r="C5080" i="8"/>
  <c r="C5081" i="8"/>
  <c r="C5082" i="8"/>
  <c r="C5083" i="8"/>
  <c r="C5084" i="8"/>
  <c r="C5085" i="8"/>
  <c r="C5086" i="8"/>
  <c r="C5087" i="8"/>
  <c r="C5088" i="8"/>
  <c r="C5089" i="8"/>
  <c r="C5090" i="8"/>
  <c r="C5091" i="8"/>
  <c r="C5092" i="8"/>
  <c r="C5093" i="8"/>
  <c r="C5094" i="8"/>
  <c r="C5095" i="8"/>
  <c r="C5096" i="8"/>
  <c r="C5097" i="8"/>
  <c r="C5098" i="8"/>
  <c r="C5099" i="8"/>
  <c r="C5100" i="8"/>
  <c r="C5101" i="8"/>
  <c r="C5102" i="8"/>
  <c r="C5103" i="8"/>
  <c r="C5104" i="8"/>
  <c r="C5105" i="8"/>
  <c r="C5106" i="8"/>
  <c r="C5107" i="8"/>
  <c r="C5108" i="8"/>
  <c r="C5109" i="8"/>
  <c r="C5110" i="8"/>
  <c r="C5111" i="8"/>
  <c r="C5112" i="8"/>
  <c r="C5113" i="8"/>
  <c r="C5114" i="8"/>
  <c r="C5115" i="8"/>
  <c r="C5116" i="8"/>
  <c r="C5117" i="8"/>
  <c r="C5118" i="8"/>
  <c r="C5119" i="8"/>
  <c r="C5120" i="8"/>
  <c r="C5121" i="8"/>
  <c r="C5122" i="8"/>
  <c r="C5123" i="8"/>
  <c r="C5124" i="8"/>
  <c r="C5125" i="8"/>
  <c r="C5126" i="8"/>
  <c r="C5127" i="8"/>
  <c r="C5128" i="8"/>
  <c r="C5129" i="8"/>
  <c r="C5130" i="8"/>
  <c r="C5131" i="8"/>
  <c r="C5132" i="8"/>
  <c r="C5133" i="8"/>
  <c r="C5134" i="8"/>
  <c r="C5135" i="8"/>
  <c r="C5136" i="8"/>
  <c r="C5137" i="8"/>
  <c r="C5138" i="8"/>
  <c r="C5139" i="8"/>
  <c r="C5140" i="8"/>
  <c r="C5141" i="8"/>
  <c r="C5142" i="8"/>
  <c r="C5143" i="8"/>
  <c r="C5144" i="8"/>
  <c r="C5145" i="8"/>
  <c r="C5146" i="8"/>
  <c r="C5147" i="8"/>
  <c r="C5148" i="8"/>
  <c r="C5149" i="8"/>
  <c r="C5150" i="8"/>
  <c r="C5151" i="8"/>
  <c r="C5152" i="8"/>
  <c r="C5153" i="8"/>
  <c r="C5154" i="8"/>
  <c r="C5155" i="8"/>
  <c r="C5156" i="8"/>
  <c r="C5157" i="8"/>
  <c r="C5158" i="8"/>
  <c r="C5159" i="8"/>
  <c r="C5160" i="8"/>
  <c r="C5161" i="8"/>
  <c r="C5162" i="8"/>
  <c r="C5163" i="8"/>
  <c r="C5164" i="8"/>
  <c r="C5165" i="8"/>
  <c r="C5166" i="8"/>
  <c r="C5167" i="8"/>
  <c r="C5168" i="8"/>
  <c r="C5169" i="8"/>
  <c r="C5170" i="8"/>
  <c r="C5171" i="8"/>
  <c r="C5172" i="8"/>
  <c r="C5173" i="8"/>
  <c r="C5174" i="8"/>
  <c r="C5175" i="8"/>
  <c r="C5176" i="8"/>
  <c r="C5177" i="8"/>
  <c r="C5178" i="8"/>
  <c r="C5179" i="8"/>
  <c r="C5180" i="8"/>
  <c r="C5181" i="8"/>
  <c r="C5182" i="8"/>
  <c r="C5183" i="8"/>
  <c r="C5184" i="8"/>
  <c r="C5185" i="8"/>
  <c r="C5186" i="8"/>
  <c r="C5187" i="8"/>
  <c r="C5188" i="8"/>
  <c r="C5189" i="8"/>
  <c r="C5190" i="8"/>
  <c r="C5191" i="8"/>
  <c r="C5192" i="8"/>
  <c r="C5193" i="8"/>
  <c r="C5194" i="8"/>
  <c r="C5195" i="8"/>
  <c r="C5196" i="8"/>
  <c r="C5197" i="8"/>
  <c r="C5198" i="8"/>
  <c r="C5199" i="8"/>
  <c r="C5200" i="8"/>
  <c r="C5201" i="8"/>
  <c r="C5202" i="8"/>
  <c r="C5203" i="8"/>
  <c r="C5204" i="8"/>
  <c r="C5205" i="8"/>
  <c r="C5206" i="8"/>
  <c r="C5207" i="8"/>
  <c r="C5208" i="8"/>
  <c r="C5209" i="8"/>
  <c r="C5210" i="8"/>
  <c r="C5211" i="8"/>
  <c r="C5212" i="8"/>
  <c r="C5213" i="8"/>
  <c r="C5214" i="8"/>
  <c r="C5215" i="8"/>
  <c r="C5216" i="8"/>
  <c r="C5217" i="8"/>
  <c r="C5218" i="8"/>
  <c r="C5219" i="8"/>
  <c r="C5220" i="8"/>
  <c r="C5221" i="8"/>
  <c r="C5222" i="8"/>
  <c r="C5223" i="8"/>
  <c r="C5224" i="8"/>
  <c r="C5225" i="8"/>
  <c r="C5226" i="8"/>
  <c r="C5227" i="8"/>
  <c r="C5228" i="8"/>
  <c r="C5229" i="8"/>
  <c r="C5230" i="8"/>
  <c r="C5231" i="8"/>
  <c r="C5232" i="8"/>
  <c r="C5233" i="8"/>
  <c r="C5234" i="8"/>
  <c r="C5235" i="8"/>
  <c r="C5236" i="8"/>
  <c r="C5237" i="8"/>
  <c r="C5238" i="8"/>
  <c r="C5239" i="8"/>
  <c r="C5240" i="8"/>
  <c r="C5241" i="8"/>
  <c r="C5242" i="8"/>
  <c r="C5243" i="8"/>
  <c r="C5244" i="8"/>
  <c r="C5245" i="8"/>
  <c r="C5246" i="8"/>
  <c r="C5247" i="8"/>
  <c r="C5248" i="8"/>
  <c r="C5249" i="8"/>
  <c r="C5250" i="8"/>
  <c r="C5251" i="8"/>
  <c r="C5252" i="8"/>
  <c r="C5253" i="8"/>
  <c r="C5254" i="8"/>
  <c r="C5255" i="8"/>
  <c r="C5256" i="8"/>
  <c r="C5257" i="8"/>
  <c r="C5258" i="8"/>
  <c r="C5259" i="8"/>
  <c r="C5260" i="8"/>
  <c r="C5261" i="8"/>
  <c r="C5262" i="8"/>
  <c r="C5263" i="8"/>
  <c r="C5264" i="8"/>
  <c r="C5265" i="8"/>
  <c r="C5266" i="8"/>
  <c r="C5267" i="8"/>
  <c r="C5268" i="8"/>
  <c r="C5269" i="8"/>
  <c r="C5270" i="8"/>
  <c r="C5271" i="8"/>
  <c r="C5272" i="8"/>
  <c r="C5273" i="8"/>
  <c r="C5274" i="8"/>
  <c r="C5275" i="8"/>
  <c r="C5276" i="8"/>
  <c r="C5277" i="8"/>
  <c r="C5278" i="8"/>
  <c r="C5279" i="8"/>
  <c r="C5280" i="8"/>
  <c r="C5281" i="8"/>
  <c r="C5282" i="8"/>
  <c r="C5283" i="8"/>
  <c r="C5284" i="8"/>
  <c r="C5285" i="8"/>
  <c r="C5286" i="8"/>
  <c r="C5287" i="8"/>
  <c r="C5288" i="8"/>
  <c r="C5289" i="8"/>
  <c r="C5290" i="8"/>
  <c r="C5291" i="8"/>
  <c r="C5292" i="8"/>
  <c r="C5293" i="8"/>
  <c r="C5294" i="8"/>
  <c r="C5295" i="8"/>
  <c r="C5296" i="8"/>
  <c r="C5297" i="8"/>
  <c r="C5298" i="8"/>
  <c r="C5299" i="8"/>
  <c r="C5300" i="8"/>
  <c r="C5301" i="8"/>
  <c r="C5302" i="8"/>
  <c r="C5303" i="8"/>
  <c r="C5304" i="8"/>
  <c r="C5305" i="8"/>
  <c r="C5306" i="8"/>
  <c r="C5307" i="8"/>
  <c r="C5308" i="8"/>
  <c r="C5309" i="8"/>
  <c r="C5310" i="8"/>
  <c r="C5311" i="8"/>
  <c r="C5312" i="8"/>
  <c r="C5313" i="8"/>
  <c r="C5314" i="8"/>
  <c r="C5315" i="8"/>
  <c r="C5316" i="8"/>
  <c r="C5317" i="8"/>
  <c r="C5318" i="8"/>
  <c r="C5319" i="8"/>
  <c r="C5320" i="8"/>
  <c r="C5321" i="8"/>
  <c r="C5322" i="8"/>
  <c r="C5323" i="8"/>
  <c r="C5324" i="8"/>
  <c r="C5325" i="8"/>
  <c r="C5326" i="8"/>
  <c r="C5327" i="8"/>
  <c r="C5328" i="8"/>
  <c r="C5329" i="8"/>
  <c r="C5330" i="8"/>
  <c r="C5331" i="8"/>
  <c r="C5332" i="8"/>
  <c r="C5333" i="8"/>
  <c r="C5334" i="8"/>
  <c r="C5335" i="8"/>
  <c r="C5336" i="8"/>
  <c r="C5337" i="8"/>
  <c r="C5338" i="8"/>
  <c r="C5339" i="8"/>
  <c r="C5340" i="8"/>
  <c r="C5341" i="8"/>
  <c r="C5342" i="8"/>
  <c r="C5343" i="8"/>
  <c r="C5344" i="8"/>
  <c r="C5345" i="8"/>
  <c r="C5346" i="8"/>
  <c r="C5347" i="8"/>
  <c r="C5348" i="8"/>
  <c r="C5349" i="8"/>
  <c r="C5350" i="8"/>
  <c r="C5351" i="8"/>
  <c r="C5352" i="8"/>
  <c r="C5353" i="8"/>
  <c r="C5354" i="8"/>
  <c r="C5355" i="8"/>
  <c r="C5356" i="8"/>
  <c r="C5357" i="8"/>
  <c r="C5358" i="8"/>
  <c r="C5359" i="8"/>
  <c r="C5360" i="8"/>
  <c r="C5361" i="8"/>
  <c r="C5362" i="8"/>
  <c r="C5363" i="8"/>
  <c r="C5364" i="8"/>
  <c r="C5365" i="8"/>
  <c r="C5366" i="8"/>
  <c r="C5367" i="8"/>
  <c r="C5368" i="8"/>
  <c r="C5369" i="8"/>
  <c r="C5370" i="8"/>
  <c r="C5371" i="8"/>
  <c r="C5372" i="8"/>
  <c r="C5373" i="8"/>
  <c r="C5374" i="8"/>
  <c r="C5375" i="8"/>
  <c r="C5376" i="8"/>
  <c r="C5377" i="8"/>
  <c r="C5378" i="8"/>
  <c r="C5379" i="8"/>
  <c r="C5380" i="8"/>
  <c r="C5381" i="8"/>
  <c r="C5382" i="8"/>
  <c r="C5383" i="8"/>
  <c r="C5384" i="8"/>
  <c r="C5385" i="8"/>
  <c r="C5386" i="8"/>
  <c r="C5387" i="8"/>
  <c r="C5388" i="8"/>
  <c r="C5389" i="8"/>
  <c r="C5390" i="8"/>
  <c r="C5391" i="8"/>
  <c r="C5392" i="8"/>
  <c r="C5393" i="8"/>
  <c r="C5394" i="8"/>
  <c r="C5395" i="8"/>
  <c r="C5396" i="8"/>
  <c r="C5397" i="8"/>
  <c r="C5398" i="8"/>
  <c r="C5399" i="8"/>
  <c r="C5400" i="8"/>
  <c r="C5401" i="8"/>
  <c r="C5402" i="8"/>
  <c r="C5403" i="8"/>
  <c r="C5404" i="8"/>
  <c r="C5405" i="8"/>
  <c r="C5406" i="8"/>
  <c r="C5407" i="8"/>
  <c r="C5408" i="8"/>
  <c r="C5409" i="8"/>
  <c r="C5410" i="8"/>
  <c r="C5411" i="8"/>
  <c r="C5412" i="8"/>
  <c r="C5413" i="8"/>
  <c r="C5414" i="8"/>
  <c r="C5415" i="8"/>
  <c r="C5416" i="8"/>
  <c r="C5417" i="8"/>
  <c r="C5418" i="8"/>
  <c r="C5419" i="8"/>
  <c r="C5420" i="8"/>
  <c r="C5421" i="8"/>
  <c r="C5422" i="8"/>
  <c r="C5423" i="8"/>
  <c r="C5424" i="8"/>
  <c r="C5425" i="8"/>
  <c r="C5426" i="8"/>
  <c r="C5427" i="8"/>
  <c r="C5428" i="8"/>
  <c r="C5429" i="8"/>
  <c r="C5430" i="8"/>
  <c r="C5431" i="8"/>
  <c r="C5432" i="8"/>
  <c r="C5433" i="8"/>
  <c r="C5434" i="8"/>
  <c r="C5435" i="8"/>
  <c r="C5436" i="8"/>
  <c r="C5437" i="8"/>
  <c r="C5438" i="8"/>
  <c r="C5439" i="8"/>
  <c r="C5440" i="8"/>
  <c r="C5441" i="8"/>
  <c r="C5442" i="8"/>
  <c r="C5443" i="8"/>
  <c r="C5444" i="8"/>
  <c r="C5445" i="8"/>
  <c r="C5446" i="8"/>
  <c r="C5447" i="8"/>
  <c r="C5448" i="8"/>
  <c r="C5449" i="8"/>
  <c r="C5450" i="8"/>
  <c r="C5451" i="8"/>
  <c r="C5452" i="8"/>
  <c r="C5453" i="8"/>
  <c r="C5454" i="8"/>
  <c r="C5455" i="8"/>
  <c r="C5456" i="8"/>
  <c r="C5457" i="8"/>
  <c r="C5458" i="8"/>
  <c r="C5459" i="8"/>
  <c r="C5460" i="8"/>
  <c r="C5461" i="8"/>
  <c r="C5462" i="8"/>
  <c r="C5463" i="8"/>
  <c r="C5464" i="8"/>
  <c r="C5465" i="8"/>
  <c r="C5466" i="8"/>
  <c r="C5467" i="8"/>
  <c r="C5468" i="8"/>
  <c r="C5469" i="8"/>
  <c r="C5470" i="8"/>
  <c r="C5471" i="8"/>
  <c r="C5472" i="8"/>
  <c r="C5473" i="8"/>
  <c r="C5474" i="8"/>
  <c r="C5475" i="8"/>
  <c r="C5476" i="8"/>
  <c r="C5477" i="8"/>
  <c r="C5478" i="8"/>
  <c r="C5479" i="8"/>
  <c r="C5480" i="8"/>
  <c r="C5481" i="8"/>
  <c r="C5482" i="8"/>
  <c r="C5483" i="8"/>
  <c r="C5484" i="8"/>
  <c r="C5485" i="8"/>
  <c r="C5486" i="8"/>
  <c r="C5487" i="8"/>
  <c r="C5488" i="8"/>
  <c r="C5489" i="8"/>
  <c r="C5490" i="8"/>
  <c r="C5491" i="8"/>
  <c r="C5492" i="8"/>
  <c r="C5493" i="8"/>
  <c r="C5494" i="8"/>
  <c r="C5495" i="8"/>
  <c r="C5496" i="8"/>
  <c r="C5497" i="8"/>
  <c r="C5498" i="8"/>
  <c r="C5499" i="8"/>
  <c r="C5500" i="8"/>
  <c r="C5501" i="8"/>
  <c r="C5502" i="8"/>
  <c r="C5503" i="8"/>
  <c r="C5504" i="8"/>
  <c r="C5505" i="8"/>
  <c r="C5506" i="8"/>
  <c r="C5507" i="8"/>
  <c r="C5508" i="8"/>
  <c r="C5509" i="8"/>
  <c r="C5510" i="8"/>
  <c r="C5511" i="8"/>
  <c r="C5512" i="8"/>
  <c r="C5513" i="8"/>
  <c r="C5514" i="8"/>
  <c r="C5515" i="8"/>
  <c r="C5516" i="8"/>
  <c r="C5517" i="8"/>
  <c r="C5518" i="8"/>
  <c r="C5519" i="8"/>
  <c r="C5520" i="8"/>
  <c r="C5521" i="8"/>
  <c r="C5522" i="8"/>
  <c r="C5523" i="8"/>
  <c r="C5524" i="8"/>
  <c r="C5525" i="8"/>
  <c r="C5526" i="8"/>
  <c r="C5527" i="8"/>
  <c r="C5528" i="8"/>
  <c r="C5529" i="8"/>
  <c r="C5530" i="8"/>
  <c r="C5531" i="8"/>
  <c r="C5532" i="8"/>
  <c r="C5533" i="8"/>
  <c r="C5534" i="8"/>
  <c r="C5535" i="8"/>
  <c r="C5536" i="8"/>
  <c r="C5537" i="8"/>
  <c r="C5538" i="8"/>
  <c r="C5539" i="8"/>
  <c r="C5540" i="8"/>
  <c r="C5541" i="8"/>
  <c r="C5542" i="8"/>
  <c r="C5543" i="8"/>
  <c r="C5544" i="8"/>
  <c r="C5545" i="8"/>
  <c r="C5546" i="8"/>
  <c r="C5547" i="8"/>
  <c r="C5548" i="8"/>
  <c r="C5549" i="8"/>
  <c r="C5550" i="8"/>
  <c r="C5551" i="8"/>
  <c r="C5552" i="8"/>
  <c r="C5553" i="8"/>
  <c r="C5554" i="8"/>
  <c r="C5555" i="8"/>
  <c r="C5556" i="8"/>
  <c r="C5557" i="8"/>
  <c r="C5558" i="8"/>
  <c r="C5559" i="8"/>
  <c r="C5560" i="8"/>
  <c r="C5561" i="8"/>
  <c r="C5562" i="8"/>
  <c r="C5563" i="8"/>
  <c r="C5564" i="8"/>
  <c r="C5565" i="8"/>
  <c r="C5566" i="8"/>
  <c r="C5567" i="8"/>
  <c r="C5568" i="8"/>
  <c r="C5569" i="8"/>
  <c r="C5570" i="8"/>
  <c r="C5571" i="8"/>
  <c r="C5572" i="8"/>
  <c r="C5573" i="8"/>
  <c r="C5574" i="8"/>
  <c r="C5575" i="8"/>
  <c r="C5576" i="8"/>
  <c r="C5577" i="8"/>
  <c r="C5578" i="8"/>
  <c r="C5579" i="8"/>
  <c r="C5580" i="8"/>
  <c r="C5581" i="8"/>
  <c r="C5582" i="8"/>
  <c r="C5583" i="8"/>
  <c r="C5584" i="8"/>
  <c r="C5585" i="8"/>
  <c r="C5586" i="8"/>
  <c r="C5587" i="8"/>
  <c r="C5588" i="8"/>
  <c r="C5589" i="8"/>
  <c r="C5590" i="8"/>
  <c r="C5591" i="8"/>
  <c r="C5592" i="8"/>
  <c r="C5593" i="8"/>
  <c r="C5594" i="8"/>
  <c r="C5595" i="8"/>
  <c r="C5596" i="8"/>
  <c r="C5597" i="8"/>
  <c r="C5598" i="8"/>
  <c r="C5599" i="8"/>
  <c r="C5600" i="8"/>
  <c r="C5601" i="8"/>
  <c r="C5602" i="8"/>
  <c r="C5603" i="8"/>
  <c r="C5604" i="8"/>
  <c r="C5605" i="8"/>
  <c r="C5606" i="8"/>
  <c r="C5607" i="8"/>
  <c r="C5608" i="8"/>
  <c r="C5609" i="8"/>
  <c r="C5610" i="8"/>
  <c r="C5611" i="8"/>
  <c r="C5612" i="8"/>
  <c r="C5613" i="8"/>
  <c r="C5614" i="8"/>
  <c r="C5615" i="8"/>
  <c r="C5616" i="8"/>
  <c r="C5617" i="8"/>
  <c r="C5618" i="8"/>
  <c r="C5619" i="8"/>
  <c r="C5620" i="8"/>
  <c r="C5621" i="8"/>
  <c r="C5622" i="8"/>
  <c r="C5623" i="8"/>
  <c r="C5624" i="8"/>
  <c r="C5625" i="8"/>
  <c r="C5626" i="8"/>
  <c r="C5627" i="8"/>
  <c r="C5628" i="8"/>
  <c r="C5629" i="8"/>
  <c r="C5630" i="8"/>
  <c r="C5631" i="8"/>
  <c r="C5632" i="8"/>
  <c r="C5633" i="8"/>
  <c r="C5634" i="8"/>
  <c r="C5635" i="8"/>
  <c r="C5636" i="8"/>
  <c r="C5637" i="8"/>
  <c r="C5638" i="8"/>
  <c r="C5639" i="8"/>
  <c r="C5640" i="8"/>
  <c r="C5641" i="8"/>
  <c r="C5642" i="8"/>
  <c r="C5643" i="8"/>
  <c r="C5644" i="8"/>
  <c r="C5645" i="8"/>
  <c r="C5646" i="8"/>
  <c r="C5647" i="8"/>
  <c r="C5648" i="8"/>
  <c r="C5649" i="8"/>
  <c r="C5650" i="8"/>
  <c r="C5651" i="8"/>
  <c r="C5652" i="8"/>
  <c r="C5653" i="8"/>
  <c r="C5654" i="8"/>
  <c r="C5655" i="8"/>
  <c r="C5656" i="8"/>
  <c r="C5657" i="8"/>
  <c r="C5658" i="8"/>
  <c r="C5659" i="8"/>
  <c r="C5660" i="8"/>
  <c r="C5661" i="8"/>
  <c r="C5662" i="8"/>
  <c r="C5663" i="8"/>
  <c r="C5664" i="8"/>
  <c r="C5665" i="8"/>
  <c r="C5666" i="8"/>
  <c r="C5667" i="8"/>
  <c r="C5668" i="8"/>
  <c r="C5669" i="8"/>
  <c r="C5670" i="8"/>
  <c r="C5671" i="8"/>
  <c r="C5672" i="8"/>
  <c r="C5673" i="8"/>
  <c r="C5674" i="8"/>
  <c r="C5675" i="8"/>
  <c r="C5676" i="8"/>
  <c r="C5677" i="8"/>
  <c r="C5678" i="8"/>
  <c r="C5679" i="8"/>
  <c r="C5680" i="8"/>
  <c r="C5681" i="8"/>
  <c r="C5682" i="8"/>
  <c r="C5683" i="8"/>
  <c r="C5684" i="8"/>
  <c r="C5685" i="8"/>
  <c r="C5686" i="8"/>
  <c r="C5687" i="8"/>
  <c r="C5688" i="8"/>
  <c r="C5689" i="8"/>
  <c r="C5690" i="8"/>
  <c r="C5691" i="8"/>
  <c r="C5692" i="8"/>
  <c r="C5693" i="8"/>
  <c r="C5694" i="8"/>
  <c r="C5695" i="8"/>
  <c r="C5696" i="8"/>
  <c r="C5697" i="8"/>
  <c r="C5698" i="8"/>
  <c r="C5699" i="8"/>
  <c r="C5700" i="8"/>
  <c r="C5701" i="8"/>
  <c r="C5702" i="8"/>
  <c r="C5703" i="8"/>
  <c r="C5704" i="8"/>
  <c r="C5705" i="8"/>
  <c r="C5706" i="8"/>
  <c r="C5707" i="8"/>
  <c r="C5708" i="8"/>
  <c r="C5709" i="8"/>
  <c r="C5710" i="8"/>
  <c r="C5711" i="8"/>
  <c r="C5712" i="8"/>
  <c r="C5713" i="8"/>
  <c r="C5714" i="8"/>
  <c r="C5715" i="8"/>
  <c r="C5716" i="8"/>
  <c r="C5717" i="8"/>
  <c r="C5718" i="8"/>
  <c r="C5719" i="8"/>
  <c r="C5720" i="8"/>
  <c r="C5721" i="8"/>
  <c r="C5722" i="8"/>
  <c r="C5723" i="8"/>
  <c r="C5724" i="8"/>
  <c r="C5725" i="8"/>
  <c r="C5726" i="8"/>
  <c r="C5727" i="8"/>
  <c r="C5728" i="8"/>
  <c r="C5729" i="8"/>
  <c r="C5730" i="8"/>
  <c r="C5731" i="8"/>
  <c r="C5732" i="8"/>
  <c r="C5733" i="8"/>
  <c r="C5734" i="8"/>
  <c r="C5735" i="8"/>
  <c r="C5736" i="8"/>
  <c r="C5737" i="8"/>
  <c r="C5738" i="8"/>
  <c r="C5739" i="8"/>
  <c r="C5740" i="8"/>
  <c r="C5741" i="8"/>
  <c r="C5742" i="8"/>
  <c r="C5743" i="8"/>
  <c r="C5744" i="8"/>
  <c r="C5745" i="8"/>
  <c r="C5746" i="8"/>
  <c r="C5747" i="8"/>
  <c r="C5748" i="8"/>
  <c r="C5749" i="8"/>
  <c r="C5750" i="8"/>
  <c r="C5751" i="8"/>
  <c r="C5752" i="8"/>
  <c r="C5753" i="8"/>
  <c r="C5754" i="8"/>
  <c r="C5755" i="8"/>
  <c r="C5756" i="8"/>
  <c r="C5757" i="8"/>
  <c r="C5758" i="8"/>
  <c r="C5759" i="8"/>
  <c r="C5760" i="8"/>
  <c r="C5761" i="8"/>
  <c r="C5762" i="8"/>
  <c r="C5763" i="8"/>
  <c r="C5764" i="8"/>
  <c r="C5765" i="8"/>
  <c r="C5766" i="8"/>
  <c r="C5767" i="8"/>
  <c r="C5768" i="8"/>
  <c r="C5769" i="8"/>
  <c r="C5770" i="8"/>
  <c r="C5771" i="8"/>
  <c r="C5772" i="8"/>
  <c r="C5773" i="8"/>
  <c r="C5774" i="8"/>
  <c r="C5775" i="8"/>
  <c r="C5776" i="8"/>
  <c r="C5777" i="8"/>
  <c r="C5778" i="8"/>
  <c r="C5779" i="8"/>
  <c r="C5780" i="8"/>
  <c r="C5781" i="8"/>
  <c r="C5782" i="8"/>
  <c r="C5783" i="8"/>
  <c r="C5784" i="8"/>
  <c r="C5785" i="8"/>
  <c r="C5786" i="8"/>
  <c r="C5787" i="8"/>
  <c r="C5788" i="8"/>
  <c r="C5789" i="8"/>
  <c r="C5790" i="8"/>
  <c r="C5791" i="8"/>
  <c r="C5792" i="8"/>
  <c r="C5793" i="8"/>
  <c r="C5794" i="8"/>
  <c r="C5795" i="8"/>
  <c r="C5796" i="8"/>
  <c r="C5797" i="8"/>
  <c r="C5798" i="8"/>
  <c r="C5799" i="8"/>
  <c r="C5800" i="8"/>
  <c r="C5801" i="8"/>
  <c r="C5802" i="8"/>
  <c r="C5803" i="8"/>
  <c r="C5804" i="8"/>
  <c r="C5805" i="8"/>
  <c r="C5806" i="8"/>
  <c r="C5807" i="8"/>
  <c r="C5808" i="8"/>
  <c r="C5809" i="8"/>
  <c r="C5810" i="8"/>
  <c r="C5811" i="8"/>
  <c r="C5812" i="8"/>
  <c r="C5813" i="8"/>
  <c r="C5814" i="8"/>
  <c r="C5815" i="8"/>
  <c r="C5816" i="8"/>
  <c r="C5817" i="8"/>
  <c r="C5818" i="8"/>
  <c r="C5819" i="8"/>
  <c r="C5820" i="8"/>
  <c r="C5821" i="8"/>
  <c r="C5822" i="8"/>
  <c r="C5823" i="8"/>
  <c r="C5824" i="8"/>
  <c r="C5825" i="8"/>
  <c r="C5826" i="8"/>
  <c r="C5827" i="8"/>
  <c r="C5828" i="8"/>
  <c r="C5829" i="8"/>
  <c r="C5830" i="8"/>
  <c r="C5831" i="8"/>
  <c r="C5832" i="8"/>
  <c r="C5833" i="8"/>
  <c r="C5834" i="8"/>
  <c r="C5835" i="8"/>
  <c r="C5836" i="8"/>
  <c r="C5837" i="8"/>
  <c r="C5838" i="8"/>
  <c r="C5839" i="8"/>
  <c r="C5840" i="8"/>
  <c r="C5841" i="8"/>
  <c r="C5842" i="8"/>
  <c r="C5843" i="8"/>
  <c r="C5844" i="8"/>
  <c r="C5845" i="8"/>
  <c r="C5846" i="8"/>
  <c r="C5847" i="8"/>
  <c r="C5848" i="8"/>
  <c r="C5849" i="8"/>
  <c r="C5850" i="8"/>
  <c r="C5851" i="8"/>
  <c r="C5852" i="8"/>
  <c r="C5853" i="8"/>
  <c r="C5854" i="8"/>
  <c r="C5855" i="8"/>
  <c r="C5856" i="8"/>
  <c r="C5857" i="8"/>
  <c r="C5858" i="8"/>
  <c r="C5859" i="8"/>
  <c r="C5860" i="8"/>
  <c r="C5861" i="8"/>
  <c r="C5862" i="8"/>
  <c r="C5863" i="8"/>
  <c r="C5864" i="8"/>
  <c r="C5865" i="8"/>
  <c r="C5866" i="8"/>
  <c r="C5867" i="8"/>
  <c r="C5868" i="8"/>
  <c r="C5869" i="8"/>
  <c r="C5870" i="8"/>
  <c r="C5871" i="8"/>
  <c r="C5872" i="8"/>
  <c r="C5873" i="8"/>
  <c r="C5874" i="8"/>
  <c r="C5875" i="8"/>
  <c r="C5876" i="8"/>
  <c r="C5877" i="8"/>
  <c r="C5878" i="8"/>
  <c r="C5879" i="8"/>
  <c r="C5880" i="8"/>
  <c r="C5881" i="8"/>
  <c r="C5882" i="8"/>
  <c r="C5883" i="8"/>
  <c r="C5884" i="8"/>
  <c r="C5885" i="8"/>
  <c r="C5886" i="8"/>
  <c r="C5887" i="8"/>
  <c r="C5888" i="8"/>
  <c r="C5889" i="8"/>
  <c r="C5890" i="8"/>
  <c r="C5891" i="8"/>
  <c r="C5892" i="8"/>
  <c r="C5893" i="8"/>
  <c r="C5894" i="8"/>
  <c r="C5895" i="8"/>
  <c r="C5896" i="8"/>
  <c r="C5897" i="8"/>
  <c r="C5898" i="8"/>
  <c r="C5899" i="8"/>
  <c r="C5900" i="8"/>
  <c r="C5901" i="8"/>
  <c r="C5902" i="8"/>
  <c r="C5903" i="8"/>
  <c r="C5904" i="8"/>
  <c r="C5905" i="8"/>
  <c r="C5906" i="8"/>
  <c r="C5907" i="8"/>
  <c r="C5908" i="8"/>
  <c r="C5909" i="8"/>
  <c r="C5910" i="8"/>
  <c r="C5911" i="8"/>
  <c r="C5912" i="8"/>
  <c r="C5913" i="8"/>
  <c r="C5914" i="8"/>
  <c r="C5915" i="8"/>
  <c r="C5916" i="8"/>
  <c r="C5917" i="8"/>
  <c r="C5918" i="8"/>
  <c r="C5919" i="8"/>
  <c r="C5920" i="8"/>
  <c r="C5921" i="8"/>
  <c r="C5922" i="8"/>
  <c r="C5923" i="8"/>
  <c r="C5924" i="8"/>
  <c r="C5925" i="8"/>
  <c r="C5926" i="8"/>
  <c r="C5927" i="8"/>
  <c r="C5928" i="8"/>
  <c r="C5929" i="8"/>
  <c r="C5930" i="8"/>
  <c r="C5931" i="8"/>
  <c r="C5932" i="8"/>
  <c r="C5933" i="8"/>
  <c r="C5934" i="8"/>
  <c r="C5935" i="8"/>
  <c r="C5936" i="8"/>
  <c r="C5937" i="8"/>
  <c r="C5938" i="8"/>
  <c r="C5939" i="8"/>
  <c r="C5940" i="8"/>
  <c r="C5941" i="8"/>
  <c r="C5942" i="8"/>
  <c r="C5943" i="8"/>
  <c r="C5944" i="8"/>
  <c r="C5945" i="8"/>
  <c r="C5946" i="8"/>
  <c r="C5947" i="8"/>
  <c r="C5948" i="8"/>
  <c r="C5949" i="8"/>
  <c r="C5950" i="8"/>
  <c r="C5951" i="8"/>
  <c r="C5952" i="8"/>
  <c r="C5953" i="8"/>
  <c r="C5954" i="8"/>
  <c r="C5955" i="8"/>
  <c r="C5956" i="8"/>
  <c r="C5957" i="8"/>
  <c r="C5958" i="8"/>
  <c r="C5959" i="8"/>
  <c r="C5960" i="8"/>
  <c r="C5961" i="8"/>
  <c r="C5962" i="8"/>
  <c r="C5963" i="8"/>
  <c r="C5964" i="8"/>
  <c r="C5965" i="8"/>
  <c r="C5966" i="8"/>
  <c r="C5967" i="8"/>
  <c r="C5968" i="8"/>
  <c r="C5969" i="8"/>
  <c r="C5970" i="8"/>
  <c r="C5971" i="8"/>
  <c r="C5972" i="8"/>
  <c r="C5973" i="8"/>
  <c r="C5974" i="8"/>
  <c r="C5975" i="8"/>
  <c r="C5976" i="8"/>
  <c r="C5977" i="8"/>
  <c r="C5978" i="8"/>
  <c r="C5979" i="8"/>
  <c r="C5980" i="8"/>
  <c r="C5981" i="8"/>
  <c r="C5982" i="8"/>
  <c r="C5983" i="8"/>
  <c r="C5984" i="8"/>
  <c r="C5985" i="8"/>
  <c r="C5986" i="8"/>
  <c r="C5987" i="8"/>
  <c r="C5988" i="8"/>
  <c r="C5989" i="8"/>
  <c r="C5990" i="8"/>
  <c r="C5991" i="8"/>
  <c r="C5992" i="8"/>
  <c r="C5993" i="8"/>
  <c r="C5994" i="8"/>
  <c r="C5995" i="8"/>
  <c r="C5996" i="8"/>
  <c r="C5997" i="8"/>
  <c r="C5998" i="8"/>
  <c r="C5999" i="8"/>
  <c r="C6000" i="8"/>
  <c r="C6001" i="8"/>
  <c r="C6002" i="8"/>
  <c r="C6003" i="8"/>
  <c r="C6004" i="8"/>
  <c r="C6005" i="8"/>
  <c r="C6006" i="8"/>
  <c r="C6007" i="8"/>
  <c r="C6008" i="8"/>
  <c r="C6009" i="8"/>
  <c r="C6010" i="8"/>
  <c r="C6011" i="8"/>
  <c r="C6012" i="8"/>
  <c r="C6013" i="8"/>
  <c r="C6014" i="8"/>
  <c r="C6015" i="8"/>
  <c r="C6016" i="8"/>
  <c r="C6017" i="8"/>
  <c r="C6018" i="8"/>
  <c r="C6019" i="8"/>
  <c r="C6020" i="8"/>
  <c r="C6021" i="8"/>
  <c r="C6022" i="8"/>
  <c r="C6023" i="8"/>
  <c r="C6024" i="8"/>
  <c r="C6025" i="8"/>
  <c r="C6026" i="8"/>
  <c r="C6027" i="8"/>
  <c r="C6028" i="8"/>
  <c r="C6029" i="8"/>
  <c r="C6030" i="8"/>
  <c r="C6031" i="8"/>
  <c r="C6032" i="8"/>
  <c r="C6033" i="8"/>
  <c r="C6034" i="8"/>
  <c r="C6035" i="8"/>
  <c r="C6036" i="8"/>
  <c r="C6037" i="8"/>
  <c r="C6038" i="8"/>
  <c r="C6039" i="8"/>
  <c r="C6040" i="8"/>
  <c r="C6041" i="8"/>
  <c r="C6042" i="8"/>
  <c r="C6043" i="8"/>
  <c r="C6044" i="8"/>
  <c r="C6045" i="8"/>
  <c r="C6046" i="8"/>
  <c r="C6047" i="8"/>
  <c r="C6048" i="8"/>
  <c r="C6049" i="8"/>
  <c r="C6050" i="8"/>
  <c r="C6051" i="8"/>
  <c r="C6052" i="8"/>
  <c r="C6053" i="8"/>
  <c r="C6054" i="8"/>
  <c r="C6055" i="8"/>
  <c r="C6056" i="8"/>
  <c r="C6057" i="8"/>
  <c r="C6058" i="8"/>
  <c r="C6059" i="8"/>
  <c r="C6060" i="8"/>
  <c r="C6061" i="8"/>
  <c r="C6062" i="8"/>
  <c r="C6063" i="8"/>
  <c r="C6064" i="8"/>
  <c r="C6065" i="8"/>
  <c r="C6066" i="8"/>
  <c r="C6067" i="8"/>
  <c r="C6068" i="8"/>
  <c r="C6069" i="8"/>
  <c r="C6070" i="8"/>
  <c r="C6071" i="8"/>
  <c r="C6072" i="8"/>
  <c r="C6073" i="8"/>
  <c r="C6074" i="8"/>
  <c r="C6075" i="8"/>
  <c r="C6076" i="8"/>
  <c r="C6077" i="8"/>
  <c r="C6078" i="8"/>
  <c r="C6079" i="8"/>
  <c r="C6080" i="8"/>
  <c r="C6081" i="8"/>
  <c r="C6082" i="8"/>
  <c r="C6083" i="8"/>
  <c r="C6084" i="8"/>
  <c r="C6085" i="8"/>
  <c r="C6086" i="8"/>
  <c r="C6087" i="8"/>
  <c r="C6088" i="8"/>
  <c r="C6089" i="8"/>
  <c r="C6090" i="8"/>
  <c r="C6091" i="8"/>
  <c r="C6092" i="8"/>
  <c r="C6093" i="8"/>
  <c r="C6094" i="8"/>
  <c r="C6095" i="8"/>
  <c r="C6096" i="8"/>
  <c r="C6097" i="8"/>
  <c r="C6098" i="8"/>
  <c r="C6099" i="8"/>
  <c r="C6100" i="8"/>
  <c r="C6101" i="8"/>
  <c r="C6102" i="8"/>
  <c r="C6103" i="8"/>
  <c r="C6104" i="8"/>
  <c r="C6105" i="8"/>
  <c r="C6106" i="8"/>
  <c r="C6107" i="8"/>
  <c r="C6108" i="8"/>
  <c r="C6109" i="8"/>
  <c r="C6110" i="8"/>
  <c r="C6111" i="8"/>
  <c r="C6112" i="8"/>
  <c r="C6113" i="8"/>
  <c r="C6114" i="8"/>
  <c r="C6115" i="8"/>
  <c r="C6116" i="8"/>
  <c r="C6117" i="8"/>
  <c r="C6118" i="8"/>
  <c r="C6119" i="8"/>
  <c r="C6120" i="8"/>
  <c r="C6121" i="8"/>
  <c r="C6122" i="8"/>
  <c r="C6123" i="8"/>
  <c r="C6124" i="8"/>
  <c r="C6125" i="8"/>
  <c r="C6126" i="8"/>
  <c r="C6127" i="8"/>
  <c r="C6128" i="8"/>
  <c r="C6129" i="8"/>
  <c r="C6130" i="8"/>
  <c r="C6131" i="8"/>
  <c r="C6132" i="8"/>
  <c r="C6133" i="8"/>
  <c r="C6134" i="8"/>
  <c r="C6135" i="8"/>
  <c r="C6136" i="8"/>
  <c r="C6137" i="8"/>
  <c r="C6138" i="8"/>
  <c r="C6139" i="8"/>
  <c r="C6140" i="8"/>
  <c r="C6141" i="8"/>
  <c r="C6142" i="8"/>
  <c r="C6143" i="8"/>
  <c r="C6144" i="8"/>
  <c r="C6145" i="8"/>
  <c r="C6146" i="8"/>
  <c r="C6147" i="8"/>
  <c r="C6148" i="8"/>
  <c r="C6149" i="8"/>
  <c r="C6150" i="8"/>
  <c r="C6151" i="8"/>
  <c r="C6152" i="8"/>
  <c r="C6153" i="8"/>
  <c r="C6154" i="8"/>
  <c r="C6155" i="8"/>
  <c r="C6156" i="8"/>
  <c r="C6157" i="8"/>
  <c r="C6158" i="8"/>
  <c r="C6159" i="8"/>
  <c r="C6160" i="8"/>
  <c r="C6161" i="8"/>
  <c r="C6162" i="8"/>
  <c r="C6163" i="8"/>
  <c r="C6164" i="8"/>
  <c r="C6165" i="8"/>
  <c r="C6166" i="8"/>
  <c r="C6167" i="8"/>
  <c r="C6168" i="8"/>
  <c r="C6169" i="8"/>
  <c r="C6170" i="8"/>
  <c r="C6171" i="8"/>
  <c r="C6172" i="8"/>
  <c r="C6173" i="8"/>
  <c r="C6174" i="8"/>
  <c r="C6175" i="8"/>
  <c r="C6176" i="8"/>
  <c r="C6177" i="8"/>
  <c r="C6178" i="8"/>
  <c r="C6179" i="8"/>
  <c r="C6180" i="8"/>
  <c r="C6181" i="8"/>
  <c r="C6182" i="8"/>
  <c r="C6183" i="8"/>
  <c r="C6184" i="8"/>
  <c r="C6185" i="8"/>
  <c r="C6186" i="8"/>
  <c r="C6187" i="8"/>
  <c r="C6188" i="8"/>
  <c r="C6189" i="8"/>
  <c r="C6190" i="8"/>
  <c r="C6191" i="8"/>
  <c r="C6192" i="8"/>
  <c r="C6193" i="8"/>
  <c r="C6194" i="8"/>
  <c r="C6195" i="8"/>
  <c r="C6196" i="8"/>
  <c r="C6197" i="8"/>
  <c r="C6198" i="8"/>
  <c r="C6199" i="8"/>
  <c r="C6200" i="8"/>
  <c r="C6201" i="8"/>
  <c r="C6202" i="8"/>
  <c r="C6203" i="8"/>
  <c r="C6204" i="8"/>
  <c r="C6205" i="8"/>
  <c r="C6206" i="8"/>
  <c r="C6207" i="8"/>
  <c r="C6208" i="8"/>
  <c r="C6209" i="8"/>
  <c r="C6210" i="8"/>
  <c r="C6211" i="8"/>
  <c r="C6212" i="8"/>
  <c r="C6213" i="8"/>
  <c r="C6214" i="8"/>
  <c r="C6215" i="8"/>
  <c r="C6216" i="8"/>
  <c r="C6217" i="8"/>
  <c r="C6218" i="8"/>
  <c r="C6219" i="8"/>
  <c r="C6220" i="8"/>
  <c r="C6221" i="8"/>
  <c r="C6222" i="8"/>
  <c r="C6223" i="8"/>
  <c r="C6224" i="8"/>
  <c r="C6225" i="8"/>
  <c r="C6226" i="8"/>
  <c r="C6227" i="8"/>
  <c r="C6228" i="8"/>
  <c r="C6229" i="8"/>
  <c r="C6230" i="8"/>
  <c r="C6231" i="8"/>
  <c r="C6232" i="8"/>
  <c r="C6233" i="8"/>
  <c r="C6234" i="8"/>
  <c r="C6235" i="8"/>
  <c r="C6236" i="8"/>
  <c r="C6237" i="8"/>
  <c r="C6238" i="8"/>
  <c r="C6239" i="8"/>
  <c r="C6240" i="8"/>
  <c r="C6241" i="8"/>
  <c r="C6242" i="8"/>
  <c r="C6243" i="8"/>
  <c r="C6244" i="8"/>
  <c r="C6245" i="8"/>
  <c r="C6246" i="8"/>
  <c r="C6247" i="8"/>
  <c r="C6248" i="8"/>
  <c r="C6249" i="8"/>
  <c r="C6250" i="8"/>
  <c r="C6251" i="8"/>
  <c r="C6252" i="8"/>
  <c r="C6253" i="8"/>
  <c r="C6254" i="8"/>
  <c r="C6255" i="8"/>
  <c r="C6256" i="8"/>
  <c r="C6257" i="8"/>
  <c r="C6258" i="8"/>
  <c r="C6259" i="8"/>
  <c r="C6260" i="8"/>
  <c r="C6261" i="8"/>
  <c r="C6262" i="8"/>
  <c r="C6263" i="8"/>
  <c r="C6264" i="8"/>
  <c r="C6265" i="8"/>
  <c r="C6266" i="8"/>
  <c r="C6267" i="8"/>
  <c r="C6268" i="8"/>
  <c r="C6269" i="8"/>
  <c r="C6270" i="8"/>
  <c r="C6271" i="8"/>
  <c r="C6272" i="8"/>
  <c r="C6273" i="8"/>
  <c r="C6274" i="8"/>
  <c r="C6275" i="8"/>
  <c r="C6276" i="8"/>
  <c r="C6277" i="8"/>
  <c r="C6278" i="8"/>
  <c r="C6279" i="8"/>
  <c r="C6280" i="8"/>
  <c r="C6281" i="8"/>
  <c r="C6282" i="8"/>
  <c r="C6283" i="8"/>
  <c r="C6284" i="8"/>
  <c r="C6285" i="8"/>
  <c r="C6286" i="8"/>
  <c r="C6287" i="8"/>
  <c r="C6288" i="8"/>
  <c r="C6289" i="8"/>
  <c r="C6290" i="8"/>
  <c r="C6291" i="8"/>
  <c r="C6292" i="8"/>
  <c r="C6293" i="8"/>
  <c r="C6294" i="8"/>
  <c r="C6295" i="8"/>
  <c r="C6296" i="8"/>
  <c r="C6297" i="8"/>
  <c r="C6298" i="8"/>
  <c r="C6299" i="8"/>
  <c r="C6300" i="8"/>
  <c r="C6301" i="8"/>
  <c r="C6302" i="8"/>
  <c r="C6303" i="8"/>
  <c r="C6304" i="8"/>
  <c r="C6305" i="8"/>
  <c r="C6306" i="8"/>
  <c r="C6307" i="8"/>
  <c r="C6308" i="8"/>
  <c r="C6309" i="8"/>
  <c r="C6310" i="8"/>
  <c r="C6311" i="8"/>
  <c r="C6312" i="8"/>
  <c r="C6313" i="8"/>
  <c r="C6314" i="8"/>
  <c r="C6315" i="8"/>
  <c r="C6316" i="8"/>
  <c r="C6317" i="8"/>
  <c r="C6318" i="8"/>
  <c r="C6319" i="8"/>
  <c r="C6320" i="8"/>
  <c r="C6321" i="8"/>
  <c r="C6322" i="8"/>
  <c r="C6323" i="8"/>
  <c r="C6324" i="8"/>
  <c r="C6325" i="8"/>
  <c r="C6326" i="8"/>
  <c r="C6327" i="8"/>
  <c r="C6328" i="8"/>
  <c r="C6329" i="8"/>
  <c r="C6330" i="8"/>
  <c r="C6331" i="8"/>
  <c r="C6332" i="8"/>
  <c r="C6333" i="8"/>
  <c r="C6334" i="8"/>
  <c r="C6335" i="8"/>
  <c r="C6336" i="8"/>
  <c r="C6337" i="8"/>
  <c r="C6338" i="8"/>
  <c r="C6339" i="8"/>
  <c r="C6340" i="8"/>
  <c r="C6341" i="8"/>
  <c r="C6342" i="8"/>
  <c r="C6343" i="8"/>
  <c r="C6344" i="8"/>
  <c r="C6345" i="8"/>
  <c r="C6346" i="8"/>
  <c r="C6347" i="8"/>
  <c r="C6348" i="8"/>
  <c r="C6349" i="8"/>
  <c r="C6350" i="8"/>
  <c r="C6351" i="8"/>
  <c r="C6352" i="8"/>
  <c r="C6353" i="8"/>
  <c r="C6354" i="8"/>
  <c r="C6355" i="8"/>
  <c r="C6356" i="8"/>
  <c r="C6357" i="8"/>
  <c r="C6358" i="8"/>
  <c r="C6359" i="8"/>
  <c r="C6360" i="8"/>
  <c r="C6361" i="8"/>
  <c r="C6362" i="8"/>
  <c r="C6363" i="8"/>
  <c r="C6364" i="8"/>
  <c r="C6365" i="8"/>
  <c r="C6366" i="8"/>
  <c r="C6367" i="8"/>
  <c r="C6368" i="8"/>
  <c r="C6369" i="8"/>
  <c r="C6370" i="8"/>
  <c r="C6371" i="8"/>
  <c r="C6372" i="8"/>
  <c r="C6373" i="8"/>
  <c r="C6374" i="8"/>
  <c r="C6375" i="8"/>
  <c r="C6376" i="8"/>
  <c r="C6377" i="8"/>
  <c r="C6378" i="8"/>
  <c r="C6379" i="8"/>
  <c r="C6380" i="8"/>
  <c r="C6381" i="8"/>
  <c r="C6382" i="8"/>
  <c r="C6383" i="8"/>
  <c r="C6384" i="8"/>
  <c r="C6385" i="8"/>
  <c r="C6386" i="8"/>
  <c r="C6387" i="8"/>
  <c r="C6388" i="8"/>
  <c r="C6389" i="8"/>
  <c r="C6390" i="8"/>
  <c r="C6391" i="8"/>
  <c r="C6392" i="8"/>
  <c r="C6393" i="8"/>
  <c r="C6394" i="8"/>
  <c r="C6395" i="8"/>
  <c r="C6396" i="8"/>
  <c r="C6397" i="8"/>
  <c r="C6398" i="8"/>
  <c r="C6399" i="8"/>
  <c r="C6400" i="8"/>
  <c r="C6401" i="8"/>
  <c r="C6402" i="8"/>
  <c r="C6403" i="8"/>
  <c r="C6404" i="8"/>
  <c r="C6405" i="8"/>
  <c r="C6406" i="8"/>
  <c r="C6407" i="8"/>
  <c r="C6408" i="8"/>
  <c r="C6409" i="8"/>
  <c r="C6410" i="8"/>
  <c r="C6411" i="8"/>
  <c r="C6412" i="8"/>
  <c r="C6413" i="8"/>
  <c r="C6414" i="8"/>
  <c r="C6415" i="8"/>
  <c r="C6416" i="8"/>
  <c r="C6417" i="8"/>
  <c r="C6418" i="8"/>
  <c r="C6419" i="8"/>
  <c r="C6420" i="8"/>
  <c r="C6421" i="8"/>
  <c r="C6422" i="8"/>
  <c r="C6423" i="8"/>
  <c r="C6424" i="8"/>
  <c r="C6425" i="8"/>
  <c r="C6426" i="8"/>
  <c r="C6427" i="8"/>
  <c r="C6428" i="8"/>
  <c r="C6429" i="8"/>
  <c r="C6430" i="8"/>
  <c r="C6431" i="8"/>
  <c r="C6432" i="8"/>
  <c r="C6433" i="8"/>
  <c r="C6434" i="8"/>
  <c r="C6435" i="8"/>
  <c r="C6436" i="8"/>
  <c r="C6437" i="8"/>
  <c r="C6438" i="8"/>
  <c r="C6439" i="8"/>
  <c r="C6440" i="8"/>
  <c r="C6441" i="8"/>
  <c r="C6442" i="8"/>
  <c r="C6443" i="8"/>
  <c r="C6444" i="8"/>
  <c r="C6445" i="8"/>
  <c r="C6446" i="8"/>
  <c r="C6447" i="8"/>
  <c r="C6448" i="8"/>
  <c r="C6449" i="8"/>
  <c r="C6450" i="8"/>
  <c r="C6451" i="8"/>
  <c r="C6452" i="8"/>
  <c r="C6453" i="8"/>
  <c r="C6454" i="8"/>
  <c r="C6455" i="8"/>
  <c r="C6456" i="8"/>
  <c r="C6457" i="8"/>
  <c r="C6458" i="8"/>
  <c r="C6459" i="8"/>
  <c r="C6460" i="8"/>
  <c r="C6461" i="8"/>
  <c r="C6462" i="8"/>
  <c r="C6463" i="8"/>
  <c r="C6464" i="8"/>
  <c r="C6465" i="8"/>
  <c r="C6466" i="8"/>
  <c r="C6467" i="8"/>
  <c r="C6468" i="8"/>
  <c r="C6469" i="8"/>
  <c r="C6470" i="8"/>
  <c r="C6471" i="8"/>
  <c r="C6472" i="8"/>
  <c r="C6473" i="8"/>
  <c r="C6474" i="8"/>
  <c r="C6475" i="8"/>
  <c r="C6476" i="8"/>
  <c r="C6477" i="8"/>
  <c r="C6478" i="8"/>
  <c r="C6479" i="8"/>
  <c r="C6480" i="8"/>
  <c r="C6481" i="8"/>
  <c r="C6482" i="8"/>
  <c r="C6483" i="8"/>
  <c r="C6484" i="8"/>
  <c r="C6485" i="8"/>
  <c r="C6486" i="8"/>
  <c r="C6487" i="8"/>
  <c r="C6488" i="8"/>
  <c r="C6489" i="8"/>
  <c r="C6490" i="8"/>
  <c r="C6491" i="8"/>
  <c r="C6492" i="8"/>
  <c r="C6493" i="8"/>
  <c r="C6494" i="8"/>
  <c r="C6495" i="8"/>
  <c r="C6496" i="8"/>
  <c r="C6497" i="8"/>
  <c r="C6498" i="8"/>
  <c r="C6499" i="8"/>
  <c r="C6500" i="8"/>
  <c r="C6501" i="8"/>
  <c r="C6502" i="8"/>
  <c r="C6503" i="8"/>
  <c r="C6504" i="8"/>
  <c r="C6505" i="8"/>
  <c r="C6506" i="8"/>
  <c r="C6507" i="8"/>
  <c r="C6508" i="8"/>
  <c r="C6509" i="8"/>
  <c r="C6510" i="8"/>
  <c r="C6511" i="8"/>
  <c r="C6512" i="8"/>
  <c r="C6513" i="8"/>
  <c r="C6514" i="8"/>
  <c r="C6515" i="8"/>
  <c r="C6516" i="8"/>
  <c r="C6517" i="8"/>
  <c r="C6518" i="8"/>
  <c r="C6519" i="8"/>
  <c r="C6520" i="8"/>
  <c r="C6521" i="8"/>
  <c r="C6522" i="8"/>
  <c r="C6523" i="8"/>
  <c r="C6524" i="8"/>
  <c r="C6525" i="8"/>
  <c r="C6526" i="8"/>
  <c r="C6527" i="8"/>
  <c r="C6528" i="8"/>
  <c r="C6529" i="8"/>
  <c r="C6530" i="8"/>
  <c r="C6531" i="8"/>
  <c r="C6532" i="8"/>
  <c r="C6533" i="8"/>
  <c r="C6534" i="8"/>
  <c r="C6535" i="8"/>
  <c r="C6536" i="8"/>
  <c r="C6537" i="8"/>
  <c r="C6538" i="8"/>
  <c r="C6539" i="8"/>
  <c r="C6540" i="8"/>
  <c r="C6541" i="8"/>
  <c r="C6542" i="8"/>
  <c r="C6543" i="8"/>
  <c r="C6544" i="8"/>
  <c r="C6545" i="8"/>
  <c r="C6546" i="8"/>
  <c r="C6547" i="8"/>
  <c r="C6548" i="8"/>
  <c r="C6549" i="8"/>
  <c r="C6550" i="8"/>
  <c r="C6551" i="8"/>
  <c r="C6552" i="8"/>
  <c r="C6553" i="8"/>
  <c r="C6554" i="8"/>
  <c r="C6555" i="8"/>
  <c r="C6556" i="8"/>
  <c r="C6557" i="8"/>
  <c r="C6558" i="8"/>
  <c r="C6559" i="8"/>
  <c r="C6560" i="8"/>
  <c r="C6561" i="8"/>
  <c r="C6562" i="8"/>
  <c r="C6563" i="8"/>
  <c r="C6564" i="8"/>
  <c r="C6565" i="8"/>
  <c r="C6566" i="8"/>
  <c r="C6567" i="8"/>
  <c r="C6568" i="8"/>
  <c r="C6569" i="8"/>
  <c r="C6570" i="8"/>
  <c r="C6571" i="8"/>
  <c r="C6572" i="8"/>
  <c r="C6573" i="8"/>
  <c r="C6574" i="8"/>
  <c r="C6575" i="8"/>
  <c r="C6576" i="8"/>
  <c r="C6577" i="8"/>
  <c r="C6578" i="8"/>
  <c r="C6579" i="8"/>
  <c r="C6580" i="8"/>
  <c r="C6581" i="8"/>
  <c r="C6582" i="8"/>
  <c r="C6583" i="8"/>
  <c r="C6584" i="8"/>
  <c r="C6585" i="8"/>
  <c r="C6586" i="8"/>
  <c r="C6587" i="8"/>
  <c r="C6588" i="8"/>
  <c r="C6589" i="8"/>
  <c r="C6590" i="8"/>
  <c r="C6591" i="8"/>
  <c r="C6592" i="8"/>
  <c r="C6593" i="8"/>
  <c r="C6594" i="8"/>
  <c r="C6595" i="8"/>
  <c r="C6596" i="8"/>
  <c r="C6597" i="8"/>
  <c r="C6598" i="8"/>
  <c r="C6599" i="8"/>
  <c r="C6600" i="8"/>
  <c r="C6601" i="8"/>
  <c r="C6602" i="8"/>
  <c r="C6603" i="8"/>
  <c r="C6604" i="8"/>
  <c r="C6605" i="8"/>
  <c r="C6606" i="8"/>
  <c r="C6607" i="8"/>
  <c r="C6608" i="8"/>
  <c r="C6609" i="8"/>
  <c r="C6610" i="8"/>
  <c r="C6611" i="8"/>
  <c r="C6612" i="8"/>
  <c r="C6613" i="8"/>
  <c r="C6614" i="8"/>
  <c r="C6615" i="8"/>
  <c r="C6616" i="8"/>
  <c r="C6617" i="8"/>
  <c r="C6618" i="8"/>
  <c r="C6619" i="8"/>
  <c r="C6620" i="8"/>
  <c r="C6621" i="8"/>
  <c r="C6622" i="8"/>
  <c r="C6623" i="8"/>
  <c r="C6624" i="8"/>
  <c r="C6625" i="8"/>
  <c r="C6626" i="8"/>
  <c r="C6627" i="8"/>
  <c r="C6628" i="8"/>
  <c r="C6629" i="8"/>
  <c r="C6630" i="8"/>
  <c r="C6631" i="8"/>
  <c r="C6632" i="8"/>
  <c r="C6633" i="8"/>
  <c r="C6634" i="8"/>
  <c r="C6635" i="8"/>
  <c r="C6636" i="8"/>
  <c r="C6637" i="8"/>
  <c r="C6638" i="8"/>
  <c r="C6639" i="8"/>
  <c r="C6640" i="8"/>
  <c r="C6641" i="8"/>
  <c r="C6642" i="8"/>
  <c r="C6643" i="8"/>
  <c r="C6644" i="8"/>
  <c r="C6645" i="8"/>
  <c r="C6646" i="8"/>
  <c r="C6647" i="8"/>
  <c r="C6648" i="8"/>
  <c r="C6649" i="8"/>
  <c r="C6650" i="8"/>
  <c r="C6651" i="8"/>
  <c r="C6652" i="8"/>
  <c r="C6653" i="8"/>
  <c r="C6654" i="8"/>
  <c r="C6655" i="8"/>
  <c r="C6656" i="8"/>
  <c r="C6657" i="8"/>
  <c r="C6658" i="8"/>
  <c r="C6659" i="8"/>
  <c r="C6660" i="8"/>
  <c r="C6661" i="8"/>
  <c r="C6662" i="8"/>
  <c r="C6663" i="8"/>
  <c r="C6664" i="8"/>
  <c r="C6665" i="8"/>
  <c r="C6666" i="8"/>
  <c r="C6667" i="8"/>
  <c r="C6668" i="8"/>
  <c r="C6669" i="8"/>
  <c r="C6670" i="8"/>
  <c r="C6671" i="8"/>
  <c r="C6672" i="8"/>
  <c r="C6673" i="8"/>
  <c r="C6674" i="8"/>
  <c r="C6675" i="8"/>
  <c r="C6676" i="8"/>
  <c r="C6677" i="8"/>
  <c r="C6678" i="8"/>
  <c r="C6679" i="8"/>
  <c r="C6680" i="8"/>
  <c r="C6681" i="8"/>
  <c r="C6682" i="8"/>
  <c r="C6683" i="8"/>
  <c r="C6684" i="8"/>
  <c r="C6685" i="8"/>
  <c r="C6686" i="8"/>
  <c r="C6687" i="8"/>
  <c r="C6688" i="8"/>
  <c r="C6689" i="8"/>
  <c r="C6690" i="8"/>
  <c r="C6691" i="8"/>
  <c r="C6692" i="8"/>
  <c r="C6693" i="8"/>
  <c r="C6694" i="8"/>
  <c r="C6695" i="8"/>
  <c r="C6696" i="8"/>
  <c r="C6697" i="8"/>
  <c r="C6698" i="8"/>
  <c r="C6699" i="8"/>
  <c r="C6700" i="8"/>
  <c r="C6701" i="8"/>
  <c r="C6702" i="8"/>
  <c r="C6703" i="8"/>
  <c r="C6704" i="8"/>
  <c r="C6705" i="8"/>
  <c r="C6706" i="8"/>
  <c r="C6707" i="8"/>
  <c r="C6708" i="8"/>
  <c r="C6709" i="8"/>
  <c r="C6710" i="8"/>
  <c r="C6711" i="8"/>
  <c r="C6712" i="8"/>
  <c r="C6713" i="8"/>
  <c r="C6714" i="8"/>
  <c r="C6715" i="8"/>
  <c r="C6716" i="8"/>
  <c r="C6717" i="8"/>
  <c r="C6718" i="8"/>
  <c r="C6719" i="8"/>
  <c r="C6720" i="8"/>
  <c r="C6721" i="8"/>
  <c r="C6722" i="8"/>
  <c r="C6723" i="8"/>
  <c r="C6724" i="8"/>
  <c r="C6725" i="8"/>
  <c r="C6726" i="8"/>
  <c r="C6727" i="8"/>
  <c r="C6728" i="8"/>
  <c r="C6729" i="8"/>
  <c r="C6730" i="8"/>
  <c r="C6731" i="8"/>
  <c r="C6732" i="8"/>
  <c r="C6733" i="8"/>
  <c r="C6734" i="8"/>
  <c r="C6735" i="8"/>
  <c r="C6736" i="8"/>
  <c r="C6737" i="8"/>
  <c r="C6738" i="8"/>
  <c r="C6739" i="8"/>
  <c r="C6740" i="8"/>
  <c r="C6741" i="8"/>
  <c r="C6742" i="8"/>
  <c r="C6743" i="8"/>
  <c r="C6744" i="8"/>
  <c r="C6745" i="8"/>
  <c r="C6746" i="8"/>
  <c r="C6747" i="8"/>
  <c r="C6748" i="8"/>
  <c r="C6749" i="8"/>
  <c r="C6750" i="8"/>
  <c r="C6751" i="8"/>
  <c r="C6752" i="8"/>
  <c r="C6753" i="8"/>
  <c r="C6754" i="8"/>
  <c r="C6755" i="8"/>
  <c r="C6756" i="8"/>
  <c r="C6757" i="8"/>
  <c r="C6758" i="8"/>
  <c r="C6759" i="8"/>
  <c r="C6760" i="8"/>
  <c r="C6761" i="8"/>
  <c r="C6762" i="8"/>
  <c r="C6763" i="8"/>
  <c r="C6764" i="8"/>
  <c r="C6765" i="8"/>
  <c r="C6766" i="8"/>
  <c r="C6767" i="8"/>
  <c r="C6768" i="8"/>
  <c r="C6769" i="8"/>
  <c r="C6770" i="8"/>
  <c r="C6771" i="8"/>
  <c r="C6772" i="8"/>
  <c r="C6773" i="8"/>
  <c r="C6774" i="8"/>
  <c r="C6775" i="8"/>
  <c r="C6776" i="8"/>
  <c r="C6777" i="8"/>
  <c r="C6778" i="8"/>
  <c r="C6779" i="8"/>
  <c r="C6780" i="8"/>
  <c r="C6781" i="8"/>
  <c r="C6782" i="8"/>
  <c r="C6783" i="8"/>
  <c r="C6784" i="8"/>
  <c r="C6785" i="8"/>
  <c r="C6786" i="8"/>
  <c r="C6787" i="8"/>
  <c r="C6788" i="8"/>
  <c r="C6789" i="8"/>
  <c r="C6790" i="8"/>
  <c r="C6791" i="8"/>
  <c r="C6792" i="8"/>
  <c r="C6793" i="8"/>
  <c r="C6794" i="8"/>
  <c r="C6795" i="8"/>
  <c r="C6796" i="8"/>
  <c r="C6797" i="8"/>
  <c r="C6798" i="8"/>
  <c r="C6799" i="8"/>
  <c r="C6800" i="8"/>
  <c r="C6801" i="8"/>
  <c r="C6802" i="8"/>
  <c r="C6803" i="8"/>
  <c r="C6804" i="8"/>
  <c r="C6805" i="8"/>
  <c r="C6806" i="8"/>
  <c r="C6807" i="8"/>
  <c r="C6808" i="8"/>
  <c r="C6809" i="8"/>
  <c r="C6810" i="8"/>
  <c r="C6811" i="8"/>
  <c r="C6812" i="8"/>
  <c r="C6813" i="8"/>
  <c r="C6814" i="8"/>
  <c r="C6815" i="8"/>
  <c r="C6816" i="8"/>
  <c r="C6817" i="8"/>
  <c r="C6818" i="8"/>
  <c r="C6819" i="8"/>
  <c r="C6820" i="8"/>
  <c r="C6821" i="8"/>
  <c r="C6822" i="8"/>
  <c r="C6823" i="8"/>
  <c r="C6824" i="8"/>
  <c r="C6825" i="8"/>
  <c r="C6826" i="8"/>
  <c r="C6827" i="8"/>
  <c r="C6828" i="8"/>
  <c r="C6829" i="8"/>
  <c r="C6830" i="8"/>
  <c r="C6831" i="8"/>
  <c r="C6832" i="8"/>
  <c r="C6833" i="8"/>
  <c r="C6834" i="8"/>
  <c r="C6835" i="8"/>
  <c r="C6836" i="8"/>
  <c r="C6837" i="8"/>
  <c r="C6838" i="8"/>
  <c r="C6839" i="8"/>
  <c r="C6840" i="8"/>
  <c r="C6841" i="8"/>
  <c r="C6842" i="8"/>
  <c r="C6843" i="8"/>
  <c r="C6844" i="8"/>
  <c r="C6845" i="8"/>
  <c r="C6846" i="8"/>
  <c r="C6847" i="8"/>
  <c r="C6848" i="8"/>
  <c r="C6849" i="8"/>
  <c r="C6850" i="8"/>
  <c r="C6851" i="8"/>
  <c r="C6852" i="8"/>
  <c r="C6853" i="8"/>
  <c r="C6854" i="8"/>
  <c r="C6855" i="8"/>
  <c r="C6856" i="8"/>
  <c r="C6857" i="8"/>
  <c r="C6858" i="8"/>
  <c r="C6859" i="8"/>
  <c r="C6860" i="8"/>
  <c r="C6861" i="8"/>
  <c r="C6862" i="8"/>
  <c r="C6863" i="8"/>
  <c r="C6864" i="8"/>
  <c r="C6865" i="8"/>
  <c r="C6866" i="8"/>
  <c r="C6867" i="8"/>
  <c r="C6868" i="8"/>
  <c r="C6869" i="8"/>
  <c r="C6870" i="8"/>
  <c r="C6871" i="8"/>
  <c r="C6872" i="8"/>
  <c r="C6873" i="8"/>
  <c r="C6874" i="8"/>
  <c r="C6875" i="8"/>
  <c r="C6876" i="8"/>
  <c r="C6877" i="8"/>
  <c r="C6878" i="8"/>
  <c r="C6879" i="8"/>
  <c r="C6880" i="8"/>
  <c r="C6881" i="8"/>
  <c r="C6882" i="8"/>
  <c r="C6883" i="8"/>
  <c r="C6884" i="8"/>
  <c r="C6885" i="8"/>
  <c r="C6886" i="8"/>
  <c r="C6887" i="8"/>
  <c r="C6888" i="8"/>
  <c r="C6889" i="8"/>
  <c r="C6890" i="8"/>
  <c r="C6891" i="8"/>
  <c r="C6892" i="8"/>
  <c r="C6893" i="8"/>
  <c r="C6894" i="8"/>
  <c r="C6895" i="8"/>
  <c r="C6896" i="8"/>
  <c r="C6897" i="8"/>
  <c r="C6898" i="8"/>
  <c r="C6899" i="8"/>
  <c r="C6900" i="8"/>
  <c r="C6901" i="8"/>
  <c r="C6902" i="8"/>
  <c r="C6903" i="8"/>
  <c r="C6904" i="8"/>
  <c r="C6905" i="8"/>
  <c r="C6906" i="8"/>
  <c r="C6907" i="8"/>
  <c r="C6908" i="8"/>
  <c r="C6909" i="8"/>
  <c r="C6910" i="8"/>
  <c r="C6911" i="8"/>
  <c r="C6912" i="8"/>
  <c r="C6913" i="8"/>
  <c r="C6914" i="8"/>
  <c r="C6915" i="8"/>
  <c r="C6916" i="8"/>
  <c r="C6917" i="8"/>
  <c r="C6918" i="8"/>
  <c r="C6919" i="8"/>
  <c r="C6920" i="8"/>
  <c r="C6921" i="8"/>
  <c r="C6922" i="8"/>
  <c r="C6923" i="8"/>
  <c r="C6924" i="8"/>
  <c r="C6925" i="8"/>
  <c r="C6926" i="8"/>
  <c r="C6927" i="8"/>
  <c r="C6928" i="8"/>
  <c r="C6929" i="8"/>
  <c r="C6930" i="8"/>
  <c r="C6931" i="8"/>
  <c r="C6932" i="8"/>
  <c r="C6933" i="8"/>
  <c r="C6934" i="8"/>
  <c r="C6935" i="8"/>
  <c r="C6936" i="8"/>
  <c r="C6937" i="8"/>
  <c r="C6938" i="8"/>
  <c r="C6939" i="8"/>
  <c r="C6940" i="8"/>
  <c r="C6941" i="8"/>
  <c r="C6942" i="8"/>
  <c r="C6943" i="8"/>
  <c r="C6944" i="8"/>
  <c r="C6945" i="8"/>
  <c r="C6946" i="8"/>
  <c r="C6947" i="8"/>
  <c r="C6948" i="8"/>
  <c r="C6949" i="8"/>
  <c r="C6950" i="8"/>
  <c r="C6951" i="8"/>
  <c r="C6952" i="8"/>
  <c r="C6953" i="8"/>
  <c r="C6954" i="8"/>
  <c r="C6955" i="8"/>
  <c r="C6956" i="8"/>
  <c r="C6957" i="8"/>
  <c r="C6958" i="8"/>
  <c r="C6959" i="8"/>
  <c r="C6960" i="8"/>
  <c r="C6961" i="8"/>
  <c r="C6962" i="8"/>
  <c r="C6963" i="8"/>
  <c r="C6964" i="8"/>
  <c r="C6965" i="8"/>
  <c r="C6966" i="8"/>
  <c r="C6967" i="8"/>
  <c r="C6968" i="8"/>
  <c r="C6969" i="8"/>
  <c r="C6970" i="8"/>
  <c r="C6971" i="8"/>
  <c r="C6972" i="8"/>
  <c r="C6973" i="8"/>
  <c r="C6974" i="8"/>
  <c r="C6975" i="8"/>
  <c r="C6976" i="8"/>
  <c r="C6977" i="8"/>
  <c r="C6978" i="8"/>
  <c r="C6979" i="8"/>
  <c r="C6980" i="8"/>
  <c r="C6981" i="8"/>
  <c r="C6982" i="8"/>
  <c r="C6983" i="8"/>
  <c r="C6984" i="8"/>
  <c r="C6985" i="8"/>
  <c r="C6986" i="8"/>
  <c r="C6987" i="8"/>
  <c r="C6988" i="8"/>
  <c r="C6989" i="8"/>
  <c r="C6990" i="8"/>
  <c r="C6991" i="8"/>
  <c r="C6992" i="8"/>
  <c r="C6993" i="8"/>
  <c r="C6994" i="8"/>
  <c r="C6995" i="8"/>
  <c r="C6996" i="8"/>
  <c r="C6997" i="8"/>
  <c r="C6998" i="8"/>
  <c r="C6999" i="8"/>
  <c r="C7000" i="8"/>
  <c r="C7001" i="8"/>
  <c r="C7002" i="8"/>
  <c r="C7003" i="8"/>
  <c r="C7004" i="8"/>
  <c r="C7005" i="8"/>
  <c r="C7006" i="8"/>
  <c r="C7007" i="8"/>
  <c r="C7008" i="8"/>
  <c r="C7009" i="8"/>
  <c r="C7010" i="8"/>
  <c r="C7011" i="8"/>
  <c r="C7012" i="8"/>
  <c r="C7013" i="8"/>
  <c r="C7014" i="8"/>
  <c r="C7015" i="8"/>
  <c r="C7016" i="8"/>
  <c r="C7017" i="8"/>
  <c r="C7018" i="8"/>
  <c r="C7019" i="8"/>
  <c r="C7020" i="8"/>
  <c r="C7021" i="8"/>
  <c r="C7022" i="8"/>
  <c r="C7023" i="8"/>
  <c r="C7024" i="8"/>
  <c r="C7025" i="8"/>
  <c r="C7026" i="8"/>
  <c r="C7027" i="8"/>
  <c r="C7028" i="8"/>
  <c r="C7029" i="8"/>
  <c r="C7030" i="8"/>
  <c r="C7031" i="8"/>
  <c r="C7032" i="8"/>
  <c r="C7033" i="8"/>
  <c r="C7034" i="8"/>
  <c r="C7035" i="8"/>
  <c r="C7036" i="8"/>
  <c r="C7037" i="8"/>
  <c r="C7038" i="8"/>
  <c r="C7039" i="8"/>
  <c r="C7040" i="8"/>
  <c r="C7041" i="8"/>
  <c r="C7042" i="8"/>
  <c r="C7043" i="8"/>
  <c r="C7044" i="8"/>
  <c r="C7045" i="8"/>
  <c r="C7046" i="8"/>
  <c r="C7047" i="8"/>
  <c r="C7048" i="8"/>
  <c r="C7049" i="8"/>
  <c r="C7050" i="8"/>
  <c r="C7051" i="8"/>
  <c r="C7052" i="8"/>
  <c r="C7053" i="8"/>
  <c r="C7054" i="8"/>
  <c r="C7055" i="8"/>
  <c r="C7056" i="8"/>
  <c r="C7057" i="8"/>
  <c r="C7058" i="8"/>
  <c r="C7059" i="8"/>
  <c r="C7060" i="8"/>
  <c r="C7061" i="8"/>
  <c r="C7062" i="8"/>
  <c r="C7063" i="8"/>
  <c r="C7064" i="8"/>
  <c r="C7065" i="8"/>
  <c r="C7066" i="8"/>
  <c r="C7067" i="8"/>
  <c r="C7068" i="8"/>
  <c r="C7069" i="8"/>
  <c r="C7070" i="8"/>
  <c r="C7071" i="8"/>
  <c r="C7072" i="8"/>
  <c r="C7073" i="8"/>
  <c r="C7074" i="8"/>
  <c r="C7075" i="8"/>
  <c r="C7076" i="8"/>
  <c r="C7077" i="8"/>
  <c r="C7078" i="8"/>
  <c r="C7079" i="8"/>
  <c r="C7080" i="8"/>
  <c r="C7081" i="8"/>
  <c r="C7082" i="8"/>
  <c r="C7083" i="8"/>
  <c r="C7084" i="8"/>
  <c r="C7085" i="8"/>
  <c r="C7086" i="8"/>
  <c r="C7087" i="8"/>
  <c r="C7088" i="8"/>
  <c r="C7089" i="8"/>
  <c r="C7090" i="8"/>
  <c r="C7091" i="8"/>
  <c r="C7092" i="8"/>
  <c r="C7093" i="8"/>
  <c r="C7094" i="8"/>
  <c r="C7095" i="8"/>
  <c r="C7096" i="8"/>
  <c r="C7097" i="8"/>
  <c r="C7098" i="8"/>
  <c r="C7099" i="8"/>
  <c r="C7100" i="8"/>
  <c r="C7101" i="8"/>
  <c r="C7102" i="8"/>
  <c r="C7103" i="8"/>
  <c r="C7104" i="8"/>
  <c r="C7105" i="8"/>
  <c r="C7106" i="8"/>
  <c r="C7107" i="8"/>
  <c r="C7108" i="8"/>
  <c r="C7109" i="8"/>
  <c r="C7110" i="8"/>
  <c r="C7111" i="8"/>
  <c r="C7112" i="8"/>
  <c r="C7113" i="8"/>
  <c r="C7114" i="8"/>
  <c r="C7115" i="8"/>
  <c r="C7116" i="8"/>
  <c r="C7117" i="8"/>
  <c r="C7118" i="8"/>
  <c r="C7119" i="8"/>
  <c r="C7120" i="8"/>
  <c r="C7121" i="8"/>
  <c r="C7122" i="8"/>
  <c r="C7123" i="8"/>
  <c r="C7124" i="8"/>
  <c r="C7125" i="8"/>
  <c r="C7126" i="8"/>
  <c r="C7127" i="8"/>
  <c r="C7128" i="8"/>
  <c r="C7129" i="8"/>
  <c r="C7130" i="8"/>
  <c r="C7131" i="8"/>
  <c r="C7132" i="8"/>
  <c r="C7133" i="8"/>
  <c r="C7134" i="8"/>
  <c r="C7135" i="8"/>
  <c r="C7136" i="8"/>
  <c r="C7137" i="8"/>
  <c r="C7138" i="8"/>
  <c r="C7139" i="8"/>
  <c r="C7140" i="8"/>
  <c r="C7141" i="8"/>
  <c r="C7142" i="8"/>
  <c r="C7143" i="8"/>
  <c r="C7144" i="8"/>
  <c r="C7145" i="8"/>
  <c r="C7146" i="8"/>
  <c r="C7147" i="8"/>
  <c r="C7148" i="8"/>
  <c r="C7149" i="8"/>
  <c r="C7150" i="8"/>
  <c r="C7151" i="8"/>
  <c r="C7152" i="8"/>
  <c r="C7153" i="8"/>
  <c r="C7154" i="8"/>
  <c r="C7155" i="8"/>
  <c r="C7156" i="8"/>
  <c r="C7157" i="8"/>
  <c r="C7158" i="8"/>
  <c r="C7159" i="8"/>
  <c r="C7160" i="8"/>
  <c r="C7161" i="8"/>
  <c r="C7162" i="8"/>
  <c r="C7163" i="8"/>
  <c r="C7164" i="8"/>
  <c r="C7165" i="8"/>
  <c r="C7166" i="8"/>
  <c r="C7167" i="8"/>
  <c r="C7168" i="8"/>
  <c r="C7169" i="8"/>
  <c r="C7170" i="8"/>
  <c r="C7171" i="8"/>
  <c r="C7172" i="8"/>
  <c r="C7173" i="8"/>
  <c r="C7174" i="8"/>
  <c r="C7175" i="8"/>
  <c r="C7176" i="8"/>
  <c r="C7177" i="8"/>
  <c r="C7178" i="8"/>
  <c r="C7179" i="8"/>
  <c r="C7180" i="8"/>
  <c r="C7181" i="8"/>
  <c r="C7182" i="8"/>
  <c r="C7183" i="8"/>
  <c r="C7184" i="8"/>
  <c r="C7185" i="8"/>
  <c r="C7186" i="8"/>
  <c r="C7187" i="8"/>
  <c r="C7188" i="8"/>
  <c r="C7189" i="8"/>
  <c r="C7190" i="8"/>
  <c r="C7191" i="8"/>
  <c r="C7192" i="8"/>
  <c r="C7193" i="8"/>
  <c r="C7194" i="8"/>
  <c r="C7195" i="8"/>
  <c r="C7196" i="8"/>
  <c r="C7197" i="8"/>
  <c r="C7198" i="8"/>
  <c r="C7199" i="8"/>
  <c r="C7200" i="8"/>
  <c r="C7201" i="8"/>
  <c r="C7202" i="8"/>
  <c r="C7203" i="8"/>
  <c r="C7204" i="8"/>
  <c r="C7205" i="8"/>
  <c r="C7206" i="8"/>
  <c r="C7207" i="8"/>
  <c r="C7208" i="8"/>
  <c r="C7209" i="8"/>
  <c r="C7210" i="8"/>
  <c r="C7211" i="8"/>
  <c r="C7212" i="8"/>
  <c r="C7213" i="8"/>
  <c r="C7214" i="8"/>
  <c r="C7215" i="8"/>
  <c r="C7216" i="8"/>
  <c r="C7217" i="8"/>
  <c r="C7218" i="8"/>
  <c r="C7219" i="8"/>
  <c r="C7220" i="8"/>
  <c r="C7221" i="8"/>
  <c r="C7222" i="8"/>
  <c r="C7223" i="8"/>
  <c r="C7224" i="8"/>
  <c r="C7225" i="8"/>
  <c r="C7226" i="8"/>
  <c r="C7227" i="8"/>
  <c r="C7228" i="8"/>
  <c r="C7229" i="8"/>
  <c r="C7230" i="8"/>
  <c r="C7231" i="8"/>
  <c r="C7232" i="8"/>
  <c r="C7233" i="8"/>
  <c r="C7234" i="8"/>
  <c r="C7235" i="8"/>
  <c r="C7236" i="8"/>
  <c r="C7237" i="8"/>
  <c r="C7238" i="8"/>
  <c r="C7239" i="8"/>
  <c r="C7240" i="8"/>
  <c r="C7241" i="8"/>
  <c r="C7242" i="8"/>
  <c r="C7243" i="8"/>
  <c r="C7244" i="8"/>
  <c r="C7245" i="8"/>
  <c r="C7246" i="8"/>
  <c r="C7247" i="8"/>
  <c r="C7248" i="8"/>
  <c r="C7249" i="8"/>
  <c r="C7250" i="8"/>
  <c r="C7251" i="8"/>
  <c r="C7252" i="8"/>
  <c r="C7253" i="8"/>
  <c r="C7254" i="8"/>
  <c r="C7255" i="8"/>
  <c r="C7256" i="8"/>
  <c r="C7257" i="8"/>
  <c r="C7258" i="8"/>
  <c r="C7259" i="8"/>
  <c r="C7260" i="8"/>
  <c r="C7261" i="8"/>
  <c r="C7262" i="8"/>
  <c r="C7263" i="8"/>
  <c r="C7264" i="8"/>
  <c r="C7265" i="8"/>
  <c r="C7266" i="8"/>
  <c r="C7267" i="8"/>
  <c r="C7268" i="8"/>
  <c r="C7269" i="8"/>
  <c r="C7270" i="8"/>
  <c r="C7271" i="8"/>
  <c r="C7272" i="8"/>
  <c r="C7273" i="8"/>
  <c r="C7274" i="8"/>
  <c r="C7275" i="8"/>
  <c r="C7276" i="8"/>
  <c r="C7277" i="8"/>
  <c r="C7278" i="8"/>
  <c r="C7279" i="8"/>
  <c r="C7280" i="8"/>
  <c r="C7281" i="8"/>
  <c r="C7282" i="8"/>
  <c r="C7283" i="8"/>
  <c r="C7284" i="8"/>
  <c r="C7285" i="8"/>
  <c r="C7286" i="8"/>
  <c r="C7287" i="8"/>
  <c r="C7288" i="8"/>
  <c r="C7289" i="8"/>
  <c r="C7290" i="8"/>
  <c r="C7291" i="8"/>
  <c r="C7292" i="8"/>
  <c r="C7293" i="8"/>
  <c r="C7294" i="8"/>
  <c r="C7295" i="8"/>
  <c r="C7296" i="8"/>
  <c r="C7297" i="8"/>
  <c r="C7298" i="8"/>
  <c r="C7299" i="8"/>
  <c r="C7300" i="8"/>
  <c r="C7301" i="8"/>
  <c r="C7302" i="8"/>
  <c r="C7303" i="8"/>
  <c r="C7304" i="8"/>
  <c r="C7305" i="8"/>
  <c r="C7306" i="8"/>
  <c r="C7307" i="8"/>
  <c r="C7308" i="8"/>
  <c r="C7309" i="8"/>
  <c r="C7310" i="8"/>
  <c r="C7311" i="8"/>
  <c r="C7312" i="8"/>
  <c r="C7313" i="8"/>
  <c r="C7314" i="8"/>
  <c r="C7315" i="8"/>
  <c r="C7316" i="8"/>
  <c r="C7317" i="8"/>
  <c r="C7318" i="8"/>
  <c r="C7319" i="8"/>
  <c r="C7320" i="8"/>
  <c r="C7321" i="8"/>
  <c r="C7322" i="8"/>
  <c r="C7323" i="8"/>
  <c r="C7324" i="8"/>
  <c r="C7325" i="8"/>
  <c r="C7326" i="8"/>
  <c r="C7327" i="8"/>
  <c r="C7328" i="8"/>
  <c r="C7329" i="8"/>
  <c r="C7330" i="8"/>
  <c r="C7331" i="8"/>
  <c r="C7332" i="8"/>
  <c r="C7333" i="8"/>
  <c r="C7334" i="8"/>
  <c r="C7335" i="8"/>
  <c r="C7336" i="8"/>
  <c r="C7337" i="8"/>
  <c r="C7338" i="8"/>
  <c r="C7339" i="8"/>
  <c r="C7340" i="8"/>
  <c r="C7341" i="8"/>
  <c r="C7342" i="8"/>
  <c r="C7343" i="8"/>
  <c r="C7344" i="8"/>
  <c r="C7345" i="8"/>
  <c r="C7346" i="8"/>
  <c r="C7347" i="8"/>
  <c r="C7348" i="8"/>
  <c r="C7349" i="8"/>
  <c r="C7350" i="8"/>
  <c r="C7351" i="8"/>
  <c r="C7352" i="8"/>
  <c r="C7353" i="8"/>
  <c r="C7354" i="8"/>
  <c r="C7355" i="8"/>
  <c r="C7356" i="8"/>
  <c r="C7357" i="8"/>
  <c r="C7358" i="8"/>
  <c r="C7359" i="8"/>
  <c r="C7360" i="8"/>
  <c r="C7361" i="8"/>
  <c r="C7362" i="8"/>
  <c r="C7363" i="8"/>
  <c r="C7364" i="8"/>
  <c r="C7365" i="8"/>
  <c r="C7366" i="8"/>
  <c r="C7367" i="8"/>
  <c r="C7368" i="8"/>
  <c r="C7369" i="8"/>
  <c r="C7370" i="8"/>
  <c r="C7371" i="8"/>
  <c r="C7372" i="8"/>
  <c r="C7373" i="8"/>
  <c r="C7374" i="8"/>
  <c r="C7375" i="8"/>
  <c r="C7376" i="8"/>
  <c r="C7377" i="8"/>
  <c r="C7378" i="8"/>
  <c r="C7379" i="8"/>
  <c r="C7380" i="8"/>
  <c r="C7381" i="8"/>
  <c r="C7382" i="8"/>
  <c r="C7383" i="8"/>
  <c r="C7384" i="8"/>
  <c r="C7385" i="8"/>
  <c r="C7386" i="8"/>
  <c r="C7387" i="8"/>
  <c r="C7388" i="8"/>
  <c r="C7389" i="8"/>
  <c r="C7390" i="8"/>
  <c r="C7391" i="8"/>
  <c r="C7392" i="8"/>
  <c r="C7393" i="8"/>
  <c r="C7394" i="8"/>
  <c r="C7395" i="8"/>
  <c r="C7396" i="8"/>
  <c r="C7397" i="8"/>
  <c r="C7398" i="8"/>
  <c r="C7399" i="8"/>
  <c r="C7400" i="8"/>
  <c r="C7401" i="8"/>
  <c r="C7402" i="8"/>
  <c r="C7403" i="8"/>
  <c r="C7404" i="8"/>
  <c r="C7405" i="8"/>
  <c r="C7406" i="8"/>
  <c r="C7407" i="8"/>
  <c r="C7408" i="8"/>
  <c r="C7409" i="8"/>
  <c r="C7410" i="8"/>
  <c r="C7411" i="8"/>
  <c r="C7412" i="8"/>
  <c r="C7413" i="8"/>
  <c r="C7414" i="8"/>
  <c r="C7415" i="8"/>
  <c r="C7416" i="8"/>
  <c r="C7417" i="8"/>
  <c r="C7418" i="8"/>
  <c r="C7419" i="8"/>
  <c r="C7420" i="8"/>
  <c r="C7421" i="8"/>
  <c r="C7422" i="8"/>
  <c r="C7423" i="8"/>
  <c r="C7424" i="8"/>
  <c r="C7425" i="8"/>
  <c r="C7426" i="8"/>
  <c r="C7427" i="8"/>
  <c r="C7428" i="8"/>
  <c r="C7429" i="8"/>
  <c r="C7430" i="8"/>
  <c r="C7431" i="8"/>
  <c r="C7432" i="8"/>
  <c r="C7433" i="8"/>
  <c r="C7434" i="8"/>
  <c r="C7435" i="8"/>
  <c r="C7436" i="8"/>
  <c r="C7437" i="8"/>
  <c r="C7438" i="8"/>
  <c r="C7439" i="8"/>
  <c r="C7440" i="8"/>
  <c r="C7441" i="8"/>
  <c r="C7442" i="8"/>
  <c r="C7443" i="8"/>
  <c r="C7444" i="8"/>
  <c r="C7445" i="8"/>
  <c r="C7446" i="8"/>
  <c r="C7447" i="8"/>
  <c r="C7448" i="8"/>
  <c r="C7449" i="8"/>
  <c r="C7450" i="8"/>
  <c r="C7451" i="8"/>
  <c r="C7452" i="8"/>
  <c r="C7453" i="8"/>
  <c r="C7454" i="8"/>
  <c r="C7455" i="8"/>
  <c r="C7456" i="8"/>
  <c r="C7457" i="8"/>
  <c r="C7458" i="8"/>
  <c r="C7459" i="8"/>
  <c r="C7460" i="8"/>
  <c r="C7461" i="8"/>
  <c r="C7462" i="8"/>
  <c r="C7463" i="8"/>
  <c r="C7464" i="8"/>
  <c r="C7465" i="8"/>
  <c r="C7466" i="8"/>
  <c r="C7467" i="8"/>
  <c r="C7468" i="8"/>
  <c r="C7469" i="8"/>
  <c r="C7470" i="8"/>
  <c r="C7471" i="8"/>
  <c r="C7472" i="8"/>
  <c r="C7473" i="8"/>
  <c r="C7474" i="8"/>
  <c r="C7475" i="8"/>
  <c r="C7476" i="8"/>
  <c r="C7477" i="8"/>
  <c r="C7478" i="8"/>
  <c r="C7479" i="8"/>
  <c r="C7480" i="8"/>
  <c r="C7481" i="8"/>
  <c r="C7482" i="8"/>
  <c r="C7483" i="8"/>
  <c r="C7484" i="8"/>
  <c r="C7485" i="8"/>
  <c r="C7486" i="8"/>
  <c r="C7487" i="8"/>
  <c r="C7488" i="8"/>
  <c r="C7489" i="8"/>
  <c r="C7490" i="8"/>
  <c r="C7491" i="8"/>
  <c r="C7492" i="8"/>
  <c r="C7493" i="8"/>
  <c r="C7494" i="8"/>
  <c r="C7495" i="8"/>
  <c r="C7496" i="8"/>
  <c r="C7497" i="8"/>
  <c r="C7498" i="8"/>
  <c r="C7499" i="8"/>
  <c r="C7500" i="8"/>
  <c r="C7501" i="8"/>
  <c r="C7502" i="8"/>
  <c r="C7503" i="8"/>
  <c r="C7504" i="8"/>
  <c r="C7505" i="8"/>
  <c r="C7506" i="8"/>
  <c r="C7507" i="8"/>
  <c r="C7508" i="8"/>
  <c r="C7509" i="8"/>
  <c r="C7510" i="8"/>
  <c r="C7511" i="8"/>
  <c r="C7512" i="8"/>
  <c r="C7513" i="8"/>
  <c r="C7514" i="8"/>
  <c r="C7515" i="8"/>
  <c r="C7516" i="8"/>
  <c r="C7517" i="8"/>
  <c r="C7518" i="8"/>
  <c r="C7519" i="8"/>
  <c r="C7520" i="8"/>
  <c r="C7521" i="8"/>
  <c r="C7522" i="8"/>
  <c r="C7523" i="8"/>
  <c r="C7524" i="8"/>
  <c r="C7525" i="8"/>
  <c r="C7526" i="8"/>
  <c r="C7527" i="8"/>
  <c r="C7528" i="8"/>
  <c r="C7529" i="8"/>
  <c r="C7530" i="8"/>
  <c r="C7531" i="8"/>
  <c r="C7532" i="8"/>
  <c r="C7533" i="8"/>
  <c r="C7534" i="8"/>
  <c r="C7535" i="8"/>
  <c r="C7536" i="8"/>
  <c r="C7537" i="8"/>
  <c r="C7538" i="8"/>
  <c r="C7539" i="8"/>
  <c r="C7540" i="8"/>
  <c r="C7541" i="8"/>
  <c r="C7542" i="8"/>
  <c r="C7543" i="8"/>
  <c r="C7544" i="8"/>
  <c r="C7545" i="8"/>
  <c r="C7546" i="8"/>
  <c r="C7547" i="8"/>
  <c r="C7548" i="8"/>
  <c r="C7549" i="8"/>
  <c r="C7550" i="8"/>
  <c r="C7551" i="8"/>
  <c r="C7552" i="8"/>
  <c r="C7553" i="8"/>
  <c r="C7554" i="8"/>
  <c r="C7555" i="8"/>
  <c r="C7556" i="8"/>
  <c r="C7557" i="8"/>
  <c r="C7558" i="8"/>
  <c r="C7559" i="8"/>
  <c r="C7560" i="8"/>
  <c r="C7561" i="8"/>
  <c r="C7562" i="8"/>
  <c r="C7563" i="8"/>
  <c r="C7564" i="8"/>
  <c r="C7565" i="8"/>
  <c r="C7566" i="8"/>
  <c r="C7567" i="8"/>
  <c r="C7568" i="8"/>
  <c r="C7569" i="8"/>
  <c r="C7570" i="8"/>
  <c r="C7571" i="8"/>
  <c r="C7572" i="8"/>
  <c r="C7573" i="8"/>
  <c r="C7574" i="8"/>
  <c r="C7575" i="8"/>
  <c r="C7576" i="8"/>
  <c r="C7577" i="8"/>
  <c r="C7578" i="8"/>
  <c r="C7579" i="8"/>
  <c r="C7580" i="8"/>
  <c r="C7581" i="8"/>
  <c r="C7582" i="8"/>
  <c r="C7583" i="8"/>
  <c r="C7584" i="8"/>
  <c r="C7585" i="8"/>
  <c r="C7586" i="8"/>
  <c r="C7587" i="8"/>
  <c r="C7588" i="8"/>
  <c r="C7589" i="8"/>
  <c r="C7590" i="8"/>
  <c r="C7591" i="8"/>
  <c r="C7592" i="8"/>
  <c r="C7593" i="8"/>
  <c r="C7594" i="8"/>
  <c r="C7595" i="8"/>
  <c r="C7596" i="8"/>
  <c r="C7597" i="8"/>
  <c r="C7598" i="8"/>
  <c r="C7599" i="8"/>
  <c r="C7600" i="8"/>
  <c r="C7601" i="8"/>
  <c r="C7602" i="8"/>
  <c r="C7603" i="8"/>
  <c r="C7604" i="8"/>
  <c r="C7605" i="8"/>
  <c r="C7606" i="8"/>
  <c r="C7607" i="8"/>
  <c r="C7608" i="8"/>
  <c r="C7609" i="8"/>
  <c r="C7610" i="8"/>
  <c r="C7611" i="8"/>
  <c r="C7612" i="8"/>
  <c r="C7613" i="8"/>
  <c r="C7614" i="8"/>
  <c r="C7615" i="8"/>
  <c r="C7616" i="8"/>
  <c r="C7617" i="8"/>
  <c r="C7618" i="8"/>
  <c r="C7619" i="8"/>
  <c r="C7620" i="8"/>
  <c r="C7621" i="8"/>
  <c r="C7622" i="8"/>
  <c r="C7623" i="8"/>
  <c r="C7624" i="8"/>
  <c r="C7625" i="8"/>
  <c r="C7626" i="8"/>
  <c r="C7627" i="8"/>
  <c r="C7628" i="8"/>
  <c r="C7629" i="8"/>
  <c r="C7630" i="8"/>
  <c r="C7631" i="8"/>
  <c r="C7632" i="8"/>
  <c r="C7633" i="8"/>
  <c r="C7634" i="8"/>
  <c r="C7635" i="8"/>
  <c r="C7636" i="8"/>
  <c r="C7637" i="8"/>
  <c r="C7638" i="8"/>
  <c r="C7639" i="8"/>
  <c r="C7640" i="8"/>
  <c r="C7641" i="8"/>
  <c r="C7642" i="8"/>
  <c r="C7643" i="8"/>
  <c r="C7644" i="8"/>
  <c r="C7645" i="8"/>
  <c r="C7646" i="8"/>
  <c r="C7647" i="8"/>
  <c r="C7648" i="8"/>
  <c r="C7649" i="8"/>
  <c r="C7650" i="8"/>
  <c r="C7651" i="8"/>
  <c r="C7652" i="8"/>
  <c r="C7653" i="8"/>
  <c r="C7654" i="8"/>
  <c r="C7655" i="8"/>
  <c r="C7656" i="8"/>
  <c r="C7657" i="8"/>
  <c r="C7658" i="8"/>
  <c r="C7659" i="8"/>
  <c r="C7660" i="8"/>
  <c r="C7661" i="8"/>
  <c r="C7662" i="8"/>
  <c r="C7663" i="8"/>
  <c r="C7664" i="8"/>
  <c r="C7665" i="8"/>
  <c r="C7666" i="8"/>
  <c r="C7667" i="8"/>
  <c r="C7668" i="8"/>
  <c r="C7669" i="8"/>
  <c r="C7670" i="8"/>
  <c r="C7671" i="8"/>
  <c r="C7672" i="8"/>
  <c r="C7673" i="8"/>
  <c r="C7674" i="8"/>
  <c r="C7675" i="8"/>
  <c r="C7676" i="8"/>
  <c r="C7677" i="8"/>
  <c r="C7678" i="8"/>
  <c r="C7679" i="8"/>
  <c r="C7680" i="8"/>
  <c r="C7681" i="8"/>
  <c r="C7682" i="8"/>
  <c r="C7683" i="8"/>
  <c r="C7684" i="8"/>
  <c r="C7685" i="8"/>
  <c r="C7686" i="8"/>
  <c r="C7687" i="8"/>
  <c r="C7688" i="8"/>
  <c r="C7689" i="8"/>
  <c r="C7690" i="8"/>
  <c r="C7691" i="8"/>
  <c r="C7692" i="8"/>
  <c r="C7693" i="8"/>
  <c r="C7694" i="8"/>
  <c r="C7695" i="8"/>
  <c r="C7696" i="8"/>
  <c r="C7697" i="8"/>
  <c r="C7698" i="8"/>
  <c r="C7699" i="8"/>
  <c r="C7700" i="8"/>
  <c r="C7701" i="8"/>
  <c r="C7702" i="8"/>
  <c r="C7703" i="8"/>
  <c r="C7704" i="8"/>
  <c r="C7705" i="8"/>
  <c r="C7706" i="8"/>
  <c r="C7707" i="8"/>
  <c r="C7708" i="8"/>
  <c r="C7709" i="8"/>
  <c r="C7710" i="8"/>
  <c r="C7711" i="8"/>
  <c r="C7712" i="8"/>
  <c r="C7713" i="8"/>
  <c r="C7714" i="8"/>
  <c r="C7715" i="8"/>
  <c r="C7716" i="8"/>
  <c r="C7717" i="8"/>
  <c r="C7718" i="8"/>
  <c r="C7719" i="8"/>
  <c r="C7720" i="8"/>
  <c r="C7721" i="8"/>
  <c r="C7722" i="8"/>
  <c r="C7723" i="8"/>
  <c r="C7724" i="8"/>
  <c r="C7725" i="8"/>
  <c r="C7726" i="8"/>
  <c r="C7727" i="8"/>
  <c r="C7728" i="8"/>
  <c r="C7729" i="8"/>
  <c r="C7730" i="8"/>
  <c r="C7731" i="8"/>
  <c r="C7732" i="8"/>
  <c r="C7733" i="8"/>
  <c r="C7734" i="8"/>
  <c r="C7735" i="8"/>
  <c r="C7736" i="8"/>
  <c r="C7737" i="8"/>
  <c r="C7738" i="8"/>
  <c r="C7739" i="8"/>
  <c r="C7740" i="8"/>
  <c r="C7741" i="8"/>
  <c r="C7742" i="8"/>
  <c r="C7743" i="8"/>
  <c r="C7744" i="8"/>
  <c r="C7745" i="8"/>
  <c r="C7746" i="8"/>
  <c r="C7747" i="8"/>
  <c r="C7748" i="8"/>
  <c r="C7749" i="8"/>
  <c r="C7750" i="8"/>
  <c r="C7751" i="8"/>
  <c r="C7752" i="8"/>
  <c r="C7753" i="8"/>
  <c r="C7754" i="8"/>
  <c r="C7755" i="8"/>
  <c r="C7756" i="8"/>
  <c r="C7757" i="8"/>
  <c r="C7758" i="8"/>
  <c r="C7759" i="8"/>
  <c r="C7760" i="8"/>
  <c r="C7761" i="8"/>
  <c r="C7762" i="8"/>
  <c r="C7763" i="8"/>
  <c r="C7764" i="8"/>
  <c r="C7765" i="8"/>
  <c r="C7766" i="8"/>
  <c r="C7767" i="8"/>
  <c r="C7768" i="8"/>
  <c r="C7769" i="8"/>
  <c r="C7770" i="8"/>
  <c r="C7771" i="8"/>
  <c r="C7772" i="8"/>
  <c r="C7773" i="8"/>
  <c r="C7774" i="8"/>
  <c r="C7775" i="8"/>
  <c r="C7776" i="8"/>
  <c r="C7777" i="8"/>
  <c r="C7778" i="8"/>
  <c r="C7779" i="8"/>
  <c r="C7780" i="8"/>
  <c r="C7781" i="8"/>
  <c r="C7782" i="8"/>
  <c r="C7783" i="8"/>
  <c r="C7784" i="8"/>
  <c r="C7785" i="8"/>
  <c r="C7786" i="8"/>
  <c r="C7787" i="8"/>
  <c r="C7788" i="8"/>
  <c r="C7789" i="8"/>
  <c r="C7790" i="8"/>
  <c r="C7791" i="8"/>
  <c r="C7792" i="8"/>
  <c r="C7793" i="8"/>
  <c r="C7794" i="8"/>
  <c r="C7795" i="8"/>
  <c r="C7796" i="8"/>
  <c r="C7797" i="8"/>
  <c r="C7798" i="8"/>
  <c r="C7799" i="8"/>
  <c r="C7800" i="8"/>
  <c r="C7801" i="8"/>
  <c r="C7802" i="8"/>
  <c r="C7803" i="8"/>
  <c r="C7804" i="8"/>
  <c r="C7805" i="8"/>
  <c r="C7806" i="8"/>
  <c r="C7807" i="8"/>
  <c r="C7808" i="8"/>
  <c r="C7809" i="8"/>
  <c r="C7810" i="8"/>
  <c r="C7811" i="8"/>
  <c r="C7812" i="8"/>
  <c r="C7813" i="8"/>
  <c r="C7814" i="8"/>
  <c r="C7815" i="8"/>
  <c r="C7816" i="8"/>
  <c r="C7817" i="8"/>
  <c r="C7818" i="8"/>
  <c r="C7819" i="8"/>
  <c r="C7820" i="8"/>
  <c r="C7821" i="8"/>
  <c r="C7822" i="8"/>
  <c r="C7823" i="8"/>
  <c r="C7824" i="8"/>
  <c r="C7825" i="8"/>
  <c r="C7826" i="8"/>
  <c r="C7827" i="8"/>
  <c r="C7828" i="8"/>
  <c r="C7829" i="8"/>
  <c r="C7830" i="8"/>
  <c r="C7831" i="8"/>
  <c r="C7832" i="8"/>
  <c r="C7833" i="8"/>
  <c r="C7834" i="8"/>
  <c r="C7835" i="8"/>
  <c r="C7836" i="8"/>
  <c r="C7837" i="8"/>
  <c r="C7838" i="8"/>
  <c r="C7839" i="8"/>
  <c r="C7840" i="8"/>
  <c r="C7841" i="8"/>
  <c r="C7842" i="8"/>
  <c r="C7843" i="8"/>
  <c r="C7844" i="8"/>
  <c r="C7845" i="8"/>
  <c r="C7846" i="8"/>
  <c r="C7847" i="8"/>
  <c r="C7848" i="8"/>
  <c r="C7849" i="8"/>
  <c r="C7850" i="8"/>
  <c r="C7851" i="8"/>
  <c r="C7852" i="8"/>
  <c r="C7853" i="8"/>
  <c r="C7854" i="8"/>
  <c r="C7855" i="8"/>
  <c r="C7856" i="8"/>
  <c r="C7857" i="8"/>
  <c r="C7858" i="8"/>
  <c r="C7859" i="8"/>
  <c r="C7860" i="8"/>
  <c r="C7861" i="8"/>
  <c r="C7862" i="8"/>
  <c r="C7863" i="8"/>
  <c r="C7864" i="8"/>
  <c r="C7865" i="8"/>
  <c r="C7866" i="8"/>
  <c r="C7867" i="8"/>
  <c r="C7868" i="8"/>
  <c r="C7869" i="8"/>
  <c r="C7870" i="8"/>
  <c r="C7871" i="8"/>
  <c r="C7872" i="8"/>
  <c r="C7873" i="8"/>
  <c r="C7874" i="8"/>
  <c r="C7875" i="8"/>
  <c r="C7876" i="8"/>
  <c r="C7877" i="8"/>
  <c r="C7878" i="8"/>
  <c r="C7879" i="8"/>
  <c r="C7880" i="8"/>
  <c r="C7881" i="8"/>
  <c r="C7882" i="8"/>
  <c r="C7883" i="8"/>
  <c r="C7884" i="8"/>
  <c r="C7885" i="8"/>
  <c r="C7886" i="8"/>
  <c r="C7887" i="8"/>
  <c r="C7888" i="8"/>
  <c r="C7889" i="8"/>
  <c r="C7890" i="8"/>
  <c r="C7891" i="8"/>
  <c r="C7892" i="8"/>
  <c r="C7893" i="8"/>
  <c r="C7894" i="8"/>
  <c r="C7895" i="8"/>
  <c r="C7896" i="8"/>
  <c r="C7897" i="8"/>
  <c r="C7898" i="8"/>
  <c r="C7899" i="8"/>
  <c r="C7900" i="8"/>
  <c r="C7901" i="8"/>
  <c r="C7902" i="8"/>
  <c r="C7903" i="8"/>
  <c r="C7904" i="8"/>
  <c r="C7905" i="8"/>
  <c r="C7906" i="8"/>
  <c r="C7907" i="8"/>
  <c r="C7908" i="8"/>
  <c r="C7909" i="8"/>
  <c r="C7910" i="8"/>
  <c r="C7911" i="8"/>
  <c r="C7912" i="8"/>
  <c r="C7913" i="8"/>
  <c r="C7914" i="8"/>
  <c r="C7915" i="8"/>
  <c r="C7916" i="8"/>
  <c r="C7917" i="8"/>
  <c r="C7918" i="8"/>
  <c r="C7919" i="8"/>
  <c r="C7920" i="8"/>
  <c r="C7921" i="8"/>
  <c r="C7922" i="8"/>
  <c r="C7923" i="8"/>
  <c r="C7924" i="8"/>
  <c r="C7925" i="8"/>
  <c r="C7926" i="8"/>
  <c r="C7927" i="8"/>
  <c r="C7928" i="8"/>
  <c r="C7929" i="8"/>
  <c r="C7930" i="8"/>
  <c r="C7931" i="8"/>
  <c r="C7932" i="8"/>
  <c r="C7933" i="8"/>
  <c r="C7934" i="8"/>
  <c r="C7935" i="8"/>
  <c r="C7936" i="8"/>
  <c r="C7937" i="8"/>
  <c r="C7938" i="8"/>
  <c r="C7939" i="8"/>
  <c r="C7940" i="8"/>
  <c r="C7941" i="8"/>
  <c r="C7942" i="8"/>
  <c r="C7943" i="8"/>
  <c r="C7944" i="8"/>
  <c r="C7945" i="8"/>
  <c r="C7946" i="8"/>
  <c r="C7947" i="8"/>
  <c r="C7948" i="8"/>
  <c r="C7949" i="8"/>
  <c r="C7950" i="8"/>
  <c r="C7951" i="8"/>
  <c r="C7952" i="8"/>
  <c r="C7953" i="8"/>
  <c r="C7954" i="8"/>
  <c r="C7955" i="8"/>
  <c r="C7956" i="8"/>
  <c r="C7957" i="8"/>
  <c r="C7958" i="8"/>
  <c r="C7959" i="8"/>
  <c r="C7960" i="8"/>
  <c r="C7961" i="8"/>
  <c r="C7962" i="8"/>
  <c r="C7963" i="8"/>
  <c r="C7964" i="8"/>
  <c r="C7965" i="8"/>
  <c r="C7966" i="8"/>
  <c r="C7967" i="8"/>
  <c r="C7968" i="8"/>
  <c r="C7969" i="8"/>
  <c r="C7970" i="8"/>
  <c r="C7971" i="8"/>
  <c r="C7972" i="8"/>
  <c r="C7973" i="8"/>
  <c r="C7974" i="8"/>
  <c r="C7975" i="8"/>
  <c r="C7976" i="8"/>
  <c r="C7977" i="8"/>
  <c r="C7978" i="8"/>
  <c r="C7979" i="8"/>
  <c r="C7980" i="8"/>
  <c r="C7981" i="8"/>
  <c r="C7982" i="8"/>
  <c r="C7983" i="8"/>
  <c r="C7984" i="8"/>
  <c r="C7985" i="8"/>
  <c r="C7986" i="8"/>
  <c r="C7987" i="8"/>
  <c r="C7988" i="8"/>
  <c r="C7989" i="8"/>
  <c r="C7990" i="8"/>
  <c r="C7991" i="8"/>
  <c r="C7992" i="8"/>
  <c r="C7993" i="8"/>
  <c r="C7994" i="8"/>
  <c r="C7995" i="8"/>
  <c r="C7996" i="8"/>
  <c r="C7997" i="8"/>
  <c r="C7998" i="8"/>
  <c r="C7999" i="8"/>
  <c r="C8000" i="8"/>
  <c r="C8001" i="8"/>
  <c r="C8002" i="8"/>
  <c r="C8003" i="8"/>
  <c r="C8004" i="8"/>
  <c r="C8005" i="8"/>
  <c r="C8006" i="8"/>
  <c r="C8007" i="8"/>
  <c r="C8008" i="8"/>
  <c r="C8009" i="8"/>
  <c r="C8010" i="8"/>
  <c r="C8011" i="8"/>
  <c r="C8012" i="8"/>
  <c r="C8013" i="8"/>
  <c r="C8014" i="8"/>
  <c r="C8015" i="8"/>
  <c r="C8016" i="8"/>
  <c r="C8017" i="8"/>
  <c r="C8018" i="8"/>
  <c r="C8019" i="8"/>
  <c r="C8020" i="8"/>
  <c r="C8021" i="8"/>
  <c r="C8022" i="8"/>
  <c r="C8023" i="8"/>
  <c r="C8024" i="8"/>
  <c r="C8025" i="8"/>
  <c r="C8026" i="8"/>
  <c r="C8027" i="8"/>
  <c r="C8028" i="8"/>
  <c r="C8029" i="8"/>
  <c r="C8030" i="8"/>
  <c r="C8031" i="8"/>
  <c r="C8032" i="8"/>
  <c r="C8033" i="8"/>
  <c r="C8034" i="8"/>
  <c r="C8035" i="8"/>
  <c r="C8036" i="8"/>
  <c r="C8037" i="8"/>
  <c r="C8038" i="8"/>
  <c r="C8039" i="8"/>
  <c r="C8040" i="8"/>
  <c r="C8041" i="8"/>
  <c r="C8042" i="8"/>
  <c r="C8043" i="8"/>
  <c r="C8044" i="8"/>
  <c r="C8045" i="8"/>
  <c r="C8046" i="8"/>
  <c r="C8047" i="8"/>
  <c r="C8048" i="8"/>
  <c r="C8049" i="8"/>
  <c r="C8050" i="8"/>
  <c r="C8051" i="8"/>
  <c r="C8052" i="8"/>
  <c r="C8053" i="8"/>
  <c r="C8054" i="8"/>
  <c r="C8055" i="8"/>
  <c r="C8056" i="8"/>
  <c r="C8057" i="8"/>
  <c r="C8058" i="8"/>
  <c r="C8059" i="8"/>
  <c r="C8060" i="8"/>
  <c r="C8061" i="8"/>
  <c r="C8062" i="8"/>
  <c r="C8063" i="8"/>
  <c r="C8064" i="8"/>
  <c r="C8065" i="8"/>
  <c r="C8066" i="8"/>
  <c r="C8067" i="8"/>
  <c r="C8068" i="8"/>
  <c r="C8069" i="8"/>
  <c r="C8070" i="8"/>
  <c r="C8071" i="8"/>
  <c r="C8072" i="8"/>
  <c r="C8073" i="8"/>
  <c r="C8074" i="8"/>
  <c r="C8075" i="8"/>
  <c r="C8076" i="8"/>
  <c r="C8077" i="8"/>
  <c r="C8078" i="8"/>
  <c r="C8079" i="8"/>
  <c r="C8080" i="8"/>
  <c r="C8081" i="8"/>
  <c r="C8082" i="8"/>
  <c r="C8083" i="8"/>
  <c r="C8084" i="8"/>
  <c r="C8085" i="8"/>
  <c r="C8086" i="8"/>
  <c r="C8087" i="8"/>
  <c r="C8088" i="8"/>
  <c r="C8089" i="8"/>
  <c r="C8090" i="8"/>
  <c r="C8091" i="8"/>
  <c r="C8092" i="8"/>
  <c r="C8093" i="8"/>
  <c r="C8094" i="8"/>
  <c r="C8095" i="8"/>
  <c r="C8096" i="8"/>
  <c r="C8097" i="8"/>
  <c r="C8098" i="8"/>
  <c r="C8099" i="8"/>
  <c r="C8100" i="8"/>
  <c r="C8101" i="8"/>
  <c r="C8102" i="8"/>
  <c r="C8103" i="8"/>
  <c r="C8104" i="8"/>
  <c r="C8105" i="8"/>
  <c r="C8106" i="8"/>
  <c r="C8107" i="8"/>
  <c r="C8108" i="8"/>
  <c r="C8109" i="8"/>
  <c r="C8110" i="8"/>
  <c r="C8111" i="8"/>
  <c r="C8112" i="8"/>
  <c r="C8113" i="8"/>
  <c r="C8114" i="8"/>
  <c r="C8115" i="8"/>
  <c r="C8116" i="8"/>
  <c r="C8117" i="8"/>
  <c r="C8118" i="8"/>
  <c r="C8119" i="8"/>
  <c r="C8120" i="8"/>
  <c r="C8121" i="8"/>
  <c r="C8122" i="8"/>
  <c r="C8123" i="8"/>
  <c r="C8124" i="8"/>
  <c r="C8125" i="8"/>
  <c r="C8126" i="8"/>
  <c r="C8127" i="8"/>
  <c r="C8128" i="8"/>
  <c r="C8129" i="8"/>
  <c r="C8130" i="8"/>
  <c r="C8131" i="8"/>
  <c r="C8132" i="8"/>
  <c r="C8133" i="8"/>
  <c r="C8134" i="8"/>
  <c r="C8135" i="8"/>
  <c r="C8136" i="8"/>
  <c r="C8137" i="8"/>
  <c r="C8138" i="8"/>
  <c r="C8139" i="8"/>
  <c r="C8140" i="8"/>
  <c r="C8141" i="8"/>
  <c r="C8142" i="8"/>
  <c r="C8143" i="8"/>
  <c r="C8144" i="8"/>
  <c r="C8145" i="8"/>
  <c r="C8146" i="8"/>
  <c r="C8147" i="8"/>
  <c r="C8148" i="8"/>
  <c r="C8149" i="8"/>
  <c r="C8150" i="8"/>
  <c r="C8151" i="8"/>
  <c r="C8152" i="8"/>
  <c r="C8153" i="8"/>
  <c r="C8154" i="8"/>
  <c r="C8155" i="8"/>
  <c r="C8156" i="8"/>
  <c r="C8157" i="8"/>
  <c r="C8158" i="8"/>
  <c r="C8159" i="8"/>
  <c r="C8160" i="8"/>
  <c r="C8161" i="8"/>
  <c r="C8162" i="8"/>
  <c r="C8163" i="8"/>
  <c r="C8164" i="8"/>
  <c r="C8165" i="8"/>
  <c r="C8166" i="8"/>
  <c r="C8167" i="8"/>
  <c r="C8168" i="8"/>
  <c r="C8169" i="8"/>
  <c r="C8170" i="8"/>
  <c r="C8171" i="8"/>
  <c r="C8172" i="8"/>
  <c r="C8173" i="8"/>
  <c r="C8174" i="8"/>
  <c r="C8175" i="8"/>
  <c r="C8176" i="8"/>
  <c r="C8177" i="8"/>
  <c r="C8178" i="8"/>
  <c r="C8179" i="8"/>
  <c r="C8180" i="8"/>
  <c r="C8181" i="8"/>
  <c r="C8182" i="8"/>
  <c r="C8183" i="8"/>
  <c r="C8184" i="8"/>
  <c r="C8185" i="8"/>
  <c r="C8186" i="8"/>
  <c r="C8187" i="8"/>
  <c r="C8188" i="8"/>
  <c r="C8189" i="8"/>
  <c r="C8190" i="8"/>
  <c r="C8191" i="8"/>
  <c r="C8192" i="8"/>
  <c r="C8193" i="8"/>
  <c r="C8194" i="8"/>
  <c r="C8195" i="8"/>
  <c r="C8196" i="8"/>
  <c r="C8197" i="8"/>
  <c r="C8198" i="8"/>
  <c r="C8199" i="8"/>
  <c r="C8200" i="8"/>
  <c r="C8201" i="8"/>
  <c r="C8202" i="8"/>
  <c r="C8203" i="8"/>
  <c r="C8204" i="8"/>
  <c r="C8205" i="8"/>
  <c r="C8206" i="8"/>
  <c r="C8207" i="8"/>
  <c r="C8208" i="8"/>
  <c r="C8209" i="8"/>
  <c r="C8210" i="8"/>
  <c r="C8211" i="8"/>
  <c r="C8212" i="8"/>
  <c r="C8213" i="8"/>
  <c r="C8214" i="8"/>
  <c r="C8215" i="8"/>
  <c r="C8216" i="8"/>
  <c r="C8217" i="8"/>
  <c r="C8218" i="8"/>
  <c r="C8219" i="8"/>
  <c r="C8220" i="8"/>
  <c r="C8221" i="8"/>
  <c r="C8222" i="8"/>
  <c r="C8223" i="8"/>
  <c r="C8224" i="8"/>
  <c r="C8225" i="8"/>
  <c r="C8226" i="8"/>
  <c r="C8227" i="8"/>
  <c r="C8228" i="8"/>
  <c r="C8229" i="8"/>
  <c r="C8230" i="8"/>
  <c r="C8231" i="8"/>
  <c r="C8232" i="8"/>
  <c r="C8233" i="8"/>
  <c r="C8234" i="8"/>
  <c r="C8235" i="8"/>
  <c r="C8236" i="8"/>
  <c r="C8237" i="8"/>
  <c r="C8238" i="8"/>
  <c r="C8239" i="8"/>
  <c r="C8240" i="8"/>
  <c r="C8241" i="8"/>
  <c r="C8242" i="8"/>
  <c r="C8243" i="8"/>
  <c r="C8244" i="8"/>
  <c r="C8245" i="8"/>
  <c r="C8246" i="8"/>
  <c r="C8247" i="8"/>
  <c r="C8248" i="8"/>
  <c r="C8249" i="8"/>
  <c r="C8250" i="8"/>
  <c r="C8251" i="8"/>
  <c r="C8252" i="8"/>
  <c r="C8253" i="8"/>
  <c r="C8254" i="8"/>
  <c r="C8255" i="8"/>
  <c r="C8256" i="8"/>
  <c r="C8257" i="8"/>
  <c r="C8258" i="8"/>
  <c r="C8259" i="8"/>
  <c r="C8260" i="8"/>
  <c r="C8261" i="8"/>
  <c r="C8262" i="8"/>
  <c r="C8263" i="8"/>
  <c r="C8264" i="8"/>
  <c r="C8265" i="8"/>
  <c r="C8266" i="8"/>
  <c r="C8267" i="8"/>
  <c r="C8268" i="8"/>
  <c r="C8269" i="8"/>
  <c r="C8270" i="8"/>
  <c r="C8271" i="8"/>
  <c r="C8272" i="8"/>
  <c r="C8273" i="8"/>
  <c r="C8274" i="8"/>
  <c r="C8275" i="8"/>
  <c r="C8276" i="8"/>
  <c r="C8277" i="8"/>
  <c r="C8278" i="8"/>
  <c r="C8279" i="8"/>
  <c r="C8280" i="8"/>
  <c r="C8281" i="8"/>
  <c r="C8282" i="8"/>
  <c r="C8283" i="8"/>
  <c r="C8284" i="8"/>
  <c r="C8285" i="8"/>
  <c r="C8286" i="8"/>
  <c r="C8287" i="8"/>
  <c r="C8288" i="8"/>
  <c r="C8289" i="8"/>
  <c r="C8290" i="8"/>
  <c r="C8291" i="8"/>
  <c r="C8292" i="8"/>
  <c r="C8293" i="8"/>
  <c r="C8294" i="8"/>
  <c r="C8295" i="8"/>
  <c r="C8296" i="8"/>
  <c r="C8297" i="8"/>
  <c r="C8298" i="8"/>
  <c r="C8299" i="8"/>
  <c r="C8300" i="8"/>
  <c r="C8301" i="8"/>
  <c r="C8302" i="8"/>
  <c r="C8303" i="8"/>
  <c r="C8304" i="8"/>
  <c r="C8305" i="8"/>
  <c r="C8306" i="8"/>
  <c r="C8307" i="8"/>
  <c r="C8308" i="8"/>
  <c r="C8309" i="8"/>
  <c r="C8310" i="8"/>
  <c r="C8311" i="8"/>
  <c r="C8312" i="8"/>
  <c r="C8313" i="8"/>
  <c r="C8314" i="8"/>
  <c r="C8315" i="8"/>
  <c r="C8316" i="8"/>
  <c r="C8317" i="8"/>
  <c r="C8318" i="8"/>
  <c r="C8319" i="8"/>
  <c r="C8320" i="8"/>
  <c r="C8321" i="8"/>
  <c r="C8322" i="8"/>
  <c r="C8323" i="8"/>
  <c r="C8324" i="8"/>
  <c r="C8325" i="8"/>
  <c r="C8326" i="8"/>
  <c r="C8327" i="8"/>
  <c r="C8328" i="8"/>
  <c r="C8329" i="8"/>
  <c r="C8330" i="8"/>
  <c r="C8331" i="8"/>
  <c r="C8332" i="8"/>
  <c r="C8333" i="8"/>
  <c r="C8334" i="8"/>
  <c r="C8335" i="8"/>
  <c r="C8336" i="8"/>
  <c r="C8337" i="8"/>
  <c r="C8338" i="8"/>
  <c r="C8339" i="8"/>
  <c r="C8340" i="8"/>
  <c r="C8341" i="8"/>
  <c r="C8342" i="8"/>
  <c r="C8343" i="8"/>
  <c r="C8344" i="8"/>
  <c r="C8345" i="8"/>
  <c r="C8346" i="8"/>
  <c r="C8347" i="8"/>
  <c r="C8348" i="8"/>
  <c r="C8349" i="8"/>
  <c r="C8350" i="8"/>
  <c r="C8351" i="8"/>
  <c r="C8352" i="8"/>
  <c r="C8353" i="8"/>
  <c r="C8354" i="8"/>
  <c r="C8355" i="8"/>
  <c r="C8356" i="8"/>
  <c r="C8357" i="8"/>
  <c r="C8358" i="8"/>
  <c r="C8359" i="8"/>
  <c r="C8360" i="8"/>
  <c r="C8361" i="8"/>
  <c r="C8362" i="8"/>
  <c r="C8363" i="8"/>
  <c r="C8364" i="8"/>
  <c r="C8365" i="8"/>
  <c r="C8366" i="8"/>
  <c r="C8367" i="8"/>
  <c r="C8368" i="8"/>
  <c r="C8369" i="8"/>
  <c r="C8370" i="8"/>
  <c r="C8371" i="8"/>
  <c r="C8372" i="8"/>
  <c r="C8373" i="8"/>
  <c r="C8374" i="8"/>
  <c r="C8375" i="8"/>
  <c r="C8376" i="8"/>
  <c r="C8377" i="8"/>
  <c r="C8378" i="8"/>
  <c r="C8379" i="8"/>
  <c r="C8380" i="8"/>
  <c r="C8381" i="8"/>
  <c r="C8382" i="8"/>
  <c r="C8383" i="8"/>
  <c r="C8384" i="8"/>
  <c r="C8385" i="8"/>
  <c r="C8386" i="8"/>
  <c r="C8387" i="8"/>
  <c r="C8388" i="8"/>
  <c r="C8389" i="8"/>
  <c r="C8390" i="8"/>
  <c r="C8391" i="8"/>
  <c r="C8392" i="8"/>
  <c r="C8393" i="8"/>
  <c r="C8394" i="8"/>
  <c r="C8395" i="8"/>
  <c r="C8396" i="8"/>
  <c r="C8397" i="8"/>
  <c r="C8398" i="8"/>
  <c r="C8399" i="8"/>
  <c r="C8400" i="8"/>
  <c r="C8401" i="8"/>
  <c r="C8402" i="8"/>
  <c r="C8403" i="8"/>
  <c r="C8404" i="8"/>
  <c r="C8405" i="8"/>
  <c r="C8406" i="8"/>
  <c r="C8407" i="8"/>
  <c r="C8408" i="8"/>
  <c r="C8409" i="8"/>
  <c r="C8410" i="8"/>
  <c r="C8411" i="8"/>
  <c r="C8412" i="8"/>
  <c r="C8413" i="8"/>
  <c r="C8414" i="8"/>
  <c r="C8415" i="8"/>
  <c r="C8416" i="8"/>
  <c r="C8417" i="8"/>
  <c r="C8418" i="8"/>
  <c r="C8419" i="8"/>
  <c r="C8420" i="8"/>
  <c r="C8421" i="8"/>
  <c r="C8422" i="8"/>
  <c r="C8423" i="8"/>
  <c r="C8424" i="8"/>
  <c r="C8425" i="8"/>
  <c r="C8426" i="8"/>
  <c r="C8427" i="8"/>
  <c r="C8428" i="8"/>
  <c r="C8429" i="8"/>
  <c r="C8430" i="8"/>
  <c r="C8431" i="8"/>
  <c r="C8432" i="8"/>
  <c r="C8433" i="8"/>
  <c r="C8434" i="8"/>
  <c r="C8435" i="8"/>
  <c r="C8436" i="8"/>
  <c r="C8437" i="8"/>
  <c r="C8438" i="8"/>
  <c r="C8439" i="8"/>
  <c r="C8440" i="8"/>
  <c r="C8441" i="8"/>
  <c r="C8442" i="8"/>
  <c r="C8443" i="8"/>
  <c r="C8444" i="8"/>
  <c r="C8445" i="8"/>
  <c r="C8446" i="8"/>
  <c r="C8447" i="8"/>
  <c r="C8448" i="8"/>
  <c r="C8449" i="8"/>
  <c r="C8450" i="8"/>
  <c r="C8451" i="8"/>
  <c r="C8452" i="8"/>
  <c r="C8453" i="8"/>
  <c r="C8454" i="8"/>
  <c r="C8455" i="8"/>
  <c r="C8456" i="8"/>
  <c r="C8457" i="8"/>
  <c r="C8458" i="8"/>
  <c r="C8459" i="8"/>
  <c r="C8460" i="8"/>
  <c r="C8461" i="8"/>
  <c r="C8462" i="8"/>
  <c r="C8463" i="8"/>
  <c r="C8464" i="8"/>
  <c r="C8465" i="8"/>
  <c r="C8466" i="8"/>
  <c r="C8467" i="8"/>
  <c r="C8468" i="8"/>
  <c r="C8469" i="8"/>
  <c r="C8470" i="8"/>
  <c r="C8471" i="8"/>
  <c r="C8472" i="8"/>
  <c r="C8473" i="8"/>
  <c r="C8474" i="8"/>
  <c r="C8475" i="8"/>
  <c r="C8476" i="8"/>
  <c r="C8477" i="8"/>
  <c r="C8478" i="8"/>
  <c r="C8479" i="8"/>
  <c r="C8480" i="8"/>
  <c r="C8481" i="8"/>
  <c r="C8482" i="8"/>
  <c r="C8483" i="8"/>
  <c r="C8484" i="8"/>
  <c r="C8485" i="8"/>
  <c r="C8486" i="8"/>
  <c r="C8487" i="8"/>
  <c r="C8488" i="8"/>
  <c r="C8489" i="8"/>
  <c r="C8490" i="8"/>
  <c r="C8491" i="8"/>
  <c r="C8492" i="8"/>
  <c r="C8493" i="8"/>
  <c r="C8494" i="8"/>
  <c r="C8495" i="8"/>
  <c r="C8496" i="8"/>
  <c r="C8497" i="8"/>
  <c r="C8498" i="8"/>
  <c r="C8499" i="8"/>
  <c r="C8500" i="8"/>
  <c r="C8501" i="8"/>
  <c r="C8502" i="8"/>
  <c r="C8503" i="8"/>
  <c r="C8504" i="8"/>
  <c r="C8505" i="8"/>
  <c r="C8506" i="8"/>
  <c r="C8507" i="8"/>
  <c r="C8508" i="8"/>
  <c r="C8509" i="8"/>
  <c r="C8510" i="8"/>
  <c r="C8511" i="8"/>
  <c r="C8512" i="8"/>
  <c r="C8513" i="8"/>
  <c r="C8514" i="8"/>
  <c r="C8515" i="8"/>
  <c r="C8516" i="8"/>
  <c r="C8517" i="8"/>
  <c r="C8518" i="8"/>
  <c r="C8519" i="8"/>
  <c r="C8520" i="8"/>
  <c r="C8521" i="8"/>
  <c r="C8522" i="8"/>
  <c r="C8523" i="8"/>
  <c r="C8524" i="8"/>
  <c r="C8525" i="8"/>
  <c r="C8526" i="8"/>
  <c r="C8527" i="8"/>
  <c r="C8528" i="8"/>
  <c r="C8529" i="8"/>
  <c r="C8530" i="8"/>
  <c r="C8531" i="8"/>
  <c r="C8532" i="8"/>
  <c r="C8533" i="8"/>
  <c r="C8534" i="8"/>
  <c r="C8535" i="8"/>
  <c r="C8536" i="8"/>
  <c r="C8537" i="8"/>
  <c r="C8538" i="8"/>
  <c r="C8539" i="8"/>
  <c r="C8540" i="8"/>
  <c r="C8541" i="8"/>
  <c r="C8542" i="8"/>
  <c r="C8543" i="8"/>
  <c r="C8544" i="8"/>
  <c r="C8545" i="8"/>
  <c r="C8546" i="8"/>
  <c r="C8547" i="8"/>
  <c r="C8548" i="8"/>
  <c r="C8549" i="8"/>
  <c r="C8550" i="8"/>
  <c r="C8551" i="8"/>
  <c r="C8552" i="8"/>
  <c r="C8553" i="8"/>
  <c r="C8554" i="8"/>
  <c r="C8555" i="8"/>
  <c r="C8556" i="8"/>
  <c r="C8557" i="8"/>
  <c r="C8558" i="8"/>
  <c r="C8559" i="8"/>
  <c r="C8560" i="8"/>
  <c r="C8561" i="8"/>
  <c r="C8562" i="8"/>
  <c r="C8563" i="8"/>
  <c r="C8564" i="8"/>
  <c r="C8565" i="8"/>
  <c r="C8566" i="8"/>
  <c r="C8567" i="8"/>
  <c r="C8568" i="8"/>
  <c r="C8569" i="8"/>
  <c r="C8570" i="8"/>
  <c r="C8571" i="8"/>
  <c r="C8572" i="8"/>
  <c r="C8573" i="8"/>
  <c r="C8574" i="8"/>
  <c r="C8575" i="8"/>
  <c r="C8576" i="8"/>
  <c r="C8577" i="8"/>
  <c r="C8578" i="8"/>
  <c r="C8579" i="8"/>
  <c r="C8580" i="8"/>
  <c r="C8581" i="8"/>
  <c r="C8582" i="8"/>
  <c r="C8583" i="8"/>
  <c r="C8584" i="8"/>
  <c r="C8585" i="8"/>
  <c r="C8586" i="8"/>
  <c r="C8587" i="8"/>
  <c r="C8588" i="8"/>
  <c r="C8589" i="8"/>
  <c r="C8590" i="8"/>
  <c r="C8591" i="8"/>
  <c r="C8592" i="8"/>
  <c r="C8593" i="8"/>
  <c r="C8594" i="8"/>
  <c r="C8595" i="8"/>
  <c r="C8596" i="8"/>
  <c r="C8597" i="8"/>
  <c r="C8598" i="8"/>
  <c r="C8599" i="8"/>
  <c r="C8600" i="8"/>
  <c r="C8601" i="8"/>
  <c r="C8602" i="8"/>
  <c r="C8603" i="8"/>
  <c r="C8604" i="8"/>
  <c r="C8605" i="8"/>
  <c r="C8606" i="8"/>
  <c r="C8607" i="8"/>
  <c r="C8608" i="8"/>
  <c r="C8609" i="8"/>
  <c r="C8610" i="8"/>
  <c r="C8611" i="8"/>
  <c r="C8612" i="8"/>
  <c r="C8613" i="8"/>
  <c r="C8614" i="8"/>
  <c r="C8615" i="8"/>
  <c r="C8616" i="8"/>
  <c r="C8617" i="8"/>
  <c r="C8618" i="8"/>
  <c r="C8619" i="8"/>
  <c r="C8620" i="8"/>
  <c r="C8621" i="8"/>
  <c r="C8622" i="8"/>
  <c r="C8623" i="8"/>
  <c r="C8624" i="8"/>
  <c r="C8625" i="8"/>
  <c r="C8626" i="8"/>
  <c r="C8627" i="8"/>
  <c r="C8628" i="8"/>
  <c r="C8629" i="8"/>
  <c r="C8630" i="8"/>
  <c r="C8631" i="8"/>
  <c r="C8632" i="8"/>
  <c r="C8633" i="8"/>
  <c r="C8634" i="8"/>
  <c r="C8635" i="8"/>
  <c r="C8636" i="8"/>
  <c r="C8637" i="8"/>
  <c r="C8638" i="8"/>
  <c r="C8639" i="8"/>
  <c r="C8640" i="8"/>
  <c r="C8641" i="8"/>
  <c r="C8642" i="8"/>
  <c r="C8643" i="8"/>
  <c r="C8644" i="8"/>
  <c r="C8645" i="8"/>
  <c r="C8646" i="8"/>
  <c r="C8647" i="8"/>
  <c r="C8648" i="8"/>
  <c r="C8649" i="8"/>
  <c r="C8650" i="8"/>
  <c r="C8651" i="8"/>
  <c r="C8652" i="8"/>
  <c r="C8653" i="8"/>
  <c r="C8654" i="8"/>
  <c r="C8655" i="8"/>
  <c r="C8656" i="8"/>
  <c r="C8657" i="8"/>
  <c r="C8658" i="8"/>
  <c r="C8659" i="8"/>
  <c r="C8660" i="8"/>
  <c r="C8661" i="8"/>
  <c r="C8662" i="8"/>
  <c r="C8663" i="8"/>
  <c r="C8664" i="8"/>
  <c r="C8665" i="8"/>
  <c r="C8666" i="8"/>
  <c r="C8667" i="8"/>
  <c r="C8668" i="8"/>
  <c r="C8669" i="8"/>
  <c r="C8670" i="8"/>
  <c r="C8671" i="8"/>
  <c r="C8672" i="8"/>
  <c r="C8673" i="8"/>
  <c r="C8674" i="8"/>
  <c r="C8675" i="8"/>
  <c r="C8676" i="8"/>
  <c r="C8677" i="8"/>
  <c r="C8678" i="8"/>
  <c r="C8679" i="8"/>
  <c r="C8680" i="8"/>
  <c r="C8681" i="8"/>
  <c r="C8682" i="8"/>
  <c r="C8683" i="8"/>
  <c r="C8684" i="8"/>
  <c r="C8685" i="8"/>
  <c r="C8686" i="8"/>
  <c r="C8687" i="8"/>
  <c r="C8688" i="8"/>
  <c r="C8689" i="8"/>
  <c r="C8690" i="8"/>
  <c r="C8691" i="8"/>
  <c r="C8692" i="8"/>
  <c r="C8693" i="8"/>
  <c r="C8694" i="8"/>
  <c r="C8695" i="8"/>
  <c r="C8696" i="8"/>
  <c r="C8697" i="8"/>
  <c r="C8698" i="8"/>
  <c r="C8699" i="8"/>
  <c r="C8700" i="8"/>
  <c r="C8701" i="8"/>
  <c r="C8702" i="8"/>
  <c r="C8703" i="8"/>
  <c r="C8704" i="8"/>
  <c r="C8705" i="8"/>
  <c r="C8706" i="8"/>
  <c r="C8707" i="8"/>
  <c r="C8708" i="8"/>
  <c r="C8709" i="8"/>
  <c r="C8710" i="8"/>
  <c r="C8711" i="8"/>
  <c r="C8712" i="8"/>
  <c r="C8713" i="8"/>
  <c r="C8714" i="8"/>
  <c r="C8715" i="8"/>
  <c r="C8716" i="8"/>
  <c r="C8717" i="8"/>
  <c r="C8718" i="8"/>
  <c r="C8719" i="8"/>
  <c r="C8720" i="8"/>
  <c r="C8721" i="8"/>
  <c r="C8722" i="8"/>
  <c r="C8723" i="8"/>
  <c r="C8724" i="8"/>
  <c r="C8725" i="8"/>
  <c r="C8726" i="8"/>
  <c r="C8727" i="8"/>
  <c r="C8728" i="8"/>
  <c r="C8729" i="8"/>
  <c r="C8730" i="8"/>
  <c r="C8731" i="8"/>
  <c r="C8732" i="8"/>
  <c r="C8733" i="8"/>
  <c r="C8734" i="8"/>
  <c r="C8735" i="8"/>
  <c r="C8736" i="8"/>
  <c r="C8737" i="8"/>
  <c r="C8738" i="8"/>
  <c r="C8739" i="8"/>
  <c r="C8740" i="8"/>
  <c r="C8741" i="8"/>
  <c r="C8742" i="8"/>
  <c r="C8743" i="8"/>
  <c r="C8744" i="8"/>
  <c r="C8745" i="8"/>
  <c r="C8746" i="8"/>
  <c r="C8747" i="8"/>
  <c r="C8748" i="8"/>
  <c r="C8749" i="8"/>
  <c r="C8750" i="8"/>
  <c r="C8751" i="8"/>
  <c r="C8752" i="8"/>
  <c r="C8753" i="8"/>
  <c r="C8754" i="8"/>
  <c r="C8755" i="8"/>
  <c r="C8756" i="8"/>
  <c r="C8757" i="8"/>
  <c r="C8758" i="8"/>
  <c r="C8759" i="8"/>
  <c r="C8760" i="8"/>
  <c r="C8761" i="8"/>
  <c r="C8762" i="8"/>
  <c r="C8763" i="8"/>
  <c r="C8764" i="8"/>
  <c r="C8765" i="8"/>
  <c r="C8766" i="8"/>
  <c r="C8767" i="8"/>
  <c r="C8768" i="8"/>
  <c r="C8769" i="8"/>
  <c r="C8770" i="8"/>
  <c r="C8771" i="8"/>
  <c r="C8772" i="8"/>
  <c r="C8773" i="8"/>
  <c r="C8774" i="8"/>
  <c r="C8775" i="8"/>
  <c r="C8776" i="8"/>
  <c r="C8777" i="8"/>
  <c r="C8778" i="8"/>
  <c r="C8779" i="8"/>
  <c r="C8780" i="8"/>
  <c r="C8781" i="8"/>
  <c r="C8782" i="8"/>
  <c r="C8783" i="8"/>
  <c r="C8784" i="8"/>
  <c r="C8785" i="8"/>
  <c r="C8786" i="8"/>
  <c r="C8787" i="8"/>
  <c r="C8788" i="8"/>
  <c r="C8789" i="8"/>
  <c r="C8790" i="8"/>
  <c r="C8791" i="8"/>
  <c r="C8792" i="8"/>
  <c r="C8793" i="8"/>
  <c r="C8794" i="8"/>
  <c r="C8795" i="8"/>
  <c r="C8796" i="8"/>
  <c r="C8797" i="8"/>
  <c r="C8798" i="8"/>
  <c r="C8799" i="8"/>
  <c r="C8800" i="8"/>
  <c r="C8801" i="8"/>
  <c r="C8802" i="8"/>
  <c r="C8803" i="8"/>
  <c r="C8804" i="8"/>
  <c r="C8805" i="8"/>
  <c r="C8806" i="8"/>
  <c r="C8807" i="8"/>
  <c r="C8808" i="8"/>
  <c r="C8809" i="8"/>
  <c r="C8810" i="8"/>
  <c r="C8811" i="8"/>
  <c r="C8812" i="8"/>
  <c r="C8813" i="8"/>
  <c r="C8814" i="8"/>
  <c r="C8815" i="8"/>
  <c r="C8816" i="8"/>
  <c r="C8817" i="8"/>
  <c r="C8818" i="8"/>
  <c r="C8819" i="8"/>
  <c r="C8820" i="8"/>
  <c r="C8821" i="8"/>
  <c r="C8822" i="8"/>
  <c r="C8823" i="8"/>
  <c r="C8824" i="8"/>
  <c r="C8825" i="8"/>
  <c r="C8826" i="8"/>
  <c r="C8827" i="8"/>
  <c r="C8828" i="8"/>
  <c r="C8829" i="8"/>
  <c r="C8830" i="8"/>
  <c r="C8831" i="8"/>
  <c r="C8832" i="8"/>
  <c r="C8833" i="8"/>
  <c r="C8834" i="8"/>
  <c r="C8835" i="8"/>
  <c r="C8836" i="8"/>
  <c r="C8837" i="8"/>
  <c r="C8838" i="8"/>
  <c r="C8839" i="8"/>
  <c r="C8840" i="8"/>
  <c r="C8841" i="8"/>
  <c r="C8842" i="8"/>
  <c r="C8843" i="8"/>
  <c r="C8844" i="8"/>
  <c r="C8845" i="8"/>
  <c r="C8846" i="8"/>
  <c r="C8847" i="8"/>
  <c r="C8848" i="8"/>
  <c r="C8849" i="8"/>
  <c r="C8850" i="8"/>
  <c r="C8851" i="8"/>
  <c r="C8852" i="8"/>
  <c r="C8853" i="8"/>
  <c r="C8854" i="8"/>
  <c r="C8855" i="8"/>
  <c r="C8856" i="8"/>
  <c r="C8857" i="8"/>
  <c r="C8858" i="8"/>
  <c r="C8859" i="8"/>
  <c r="C8860" i="8"/>
  <c r="C8861" i="8"/>
  <c r="C8862" i="8"/>
  <c r="C8863" i="8"/>
  <c r="C8864" i="8"/>
  <c r="C8865" i="8"/>
  <c r="C8866" i="8"/>
  <c r="C8867" i="8"/>
  <c r="C8868" i="8"/>
  <c r="C8869" i="8"/>
  <c r="C8870" i="8"/>
  <c r="C8871" i="8"/>
  <c r="C8872" i="8"/>
  <c r="C8873" i="8"/>
  <c r="C8874" i="8"/>
  <c r="C8875" i="8"/>
  <c r="C8876" i="8"/>
  <c r="C8877" i="8"/>
  <c r="C8878" i="8"/>
  <c r="C8879" i="8"/>
  <c r="C8880" i="8"/>
  <c r="C8881" i="8"/>
  <c r="C8882" i="8"/>
  <c r="C8883" i="8"/>
  <c r="C8884" i="8"/>
  <c r="C8885" i="8"/>
  <c r="C8886" i="8"/>
  <c r="C8887" i="8"/>
  <c r="C8888" i="8"/>
  <c r="C8889" i="8"/>
  <c r="C8890" i="8"/>
  <c r="C8891" i="8"/>
  <c r="C8892" i="8"/>
  <c r="C8893" i="8"/>
  <c r="C8894" i="8"/>
  <c r="C8895" i="8"/>
  <c r="C8896" i="8"/>
  <c r="C8897" i="8"/>
  <c r="C8898" i="8"/>
  <c r="C8899" i="8"/>
  <c r="C8900" i="8"/>
  <c r="C8901" i="8"/>
  <c r="C8902" i="8"/>
  <c r="C8903" i="8"/>
  <c r="C8904" i="8"/>
  <c r="C8905" i="8"/>
  <c r="C8906" i="8"/>
  <c r="C8907" i="8"/>
  <c r="C8908" i="8"/>
  <c r="C8909" i="8"/>
  <c r="C8910" i="8"/>
  <c r="C8911" i="8"/>
  <c r="C8912" i="8"/>
  <c r="C8913" i="8"/>
  <c r="C8914" i="8"/>
  <c r="C8915" i="8"/>
  <c r="C8916" i="8"/>
  <c r="C8917" i="8"/>
  <c r="C8918" i="8"/>
  <c r="C8919" i="8"/>
  <c r="C8920" i="8"/>
  <c r="C8921" i="8"/>
  <c r="C8922" i="8"/>
  <c r="C8923" i="8"/>
  <c r="C8924" i="8"/>
  <c r="C8925" i="8"/>
  <c r="C8926" i="8"/>
  <c r="C8927" i="8"/>
  <c r="C8928" i="8"/>
  <c r="C8929" i="8"/>
  <c r="C8930" i="8"/>
  <c r="C8931" i="8"/>
  <c r="C8932" i="8"/>
  <c r="C8933" i="8"/>
  <c r="C8934" i="8"/>
  <c r="C8935" i="8"/>
  <c r="C8936" i="8"/>
  <c r="C8937" i="8"/>
  <c r="C8938" i="8"/>
  <c r="C8939" i="8"/>
  <c r="C8940" i="8"/>
  <c r="C8941" i="8"/>
  <c r="C8942" i="8"/>
  <c r="C8943" i="8"/>
  <c r="C8944" i="8"/>
  <c r="C8945" i="8"/>
  <c r="C8946" i="8"/>
  <c r="C8947" i="8"/>
  <c r="C8948" i="8"/>
  <c r="C8949" i="8"/>
  <c r="C8950" i="8"/>
  <c r="C8951" i="8"/>
  <c r="C8952" i="8"/>
  <c r="C8953" i="8"/>
  <c r="C8954" i="8"/>
  <c r="C8955" i="8"/>
  <c r="C8956" i="8"/>
  <c r="C8957" i="8"/>
  <c r="C8958" i="8"/>
  <c r="C8959" i="8"/>
  <c r="C8960" i="8"/>
  <c r="C8961" i="8"/>
  <c r="C8962" i="8"/>
  <c r="C8963" i="8"/>
  <c r="C8964" i="8"/>
  <c r="C8965" i="8"/>
  <c r="C8966" i="8"/>
  <c r="C8967" i="8"/>
  <c r="C8968" i="8"/>
  <c r="C8969" i="8"/>
  <c r="C8970" i="8"/>
  <c r="C8971" i="8"/>
  <c r="C8972" i="8"/>
  <c r="C8973" i="8"/>
  <c r="C8974" i="8"/>
  <c r="C8975" i="8"/>
  <c r="C8976" i="8"/>
  <c r="C8977" i="8"/>
  <c r="C8978" i="8"/>
  <c r="C8979" i="8"/>
  <c r="C8980" i="8"/>
  <c r="C8981" i="8"/>
  <c r="C8982" i="8"/>
  <c r="C8983" i="8"/>
  <c r="C8984" i="8"/>
  <c r="C8985" i="8"/>
  <c r="C8986" i="8"/>
  <c r="C8987" i="8"/>
  <c r="C8988" i="8"/>
  <c r="C8989" i="8"/>
  <c r="C8990" i="8"/>
  <c r="C8991" i="8"/>
  <c r="C8992" i="8"/>
  <c r="C8993" i="8"/>
  <c r="C8994" i="8"/>
  <c r="C8995" i="8"/>
  <c r="C8996" i="8"/>
  <c r="C8997" i="8"/>
  <c r="C8998" i="8"/>
  <c r="C8999" i="8"/>
  <c r="C9000" i="8"/>
  <c r="C9001" i="8"/>
  <c r="C9002" i="8"/>
  <c r="C9003" i="8"/>
  <c r="C9004" i="8"/>
  <c r="C9005" i="8"/>
  <c r="C9006" i="8"/>
  <c r="C9007" i="8"/>
  <c r="C9008" i="8"/>
  <c r="C9009" i="8"/>
  <c r="C9010" i="8"/>
  <c r="C9011" i="8"/>
  <c r="C9012" i="8"/>
  <c r="C9013" i="8"/>
  <c r="C9014" i="8"/>
  <c r="C9015" i="8"/>
  <c r="C9016" i="8"/>
  <c r="C9017" i="8"/>
  <c r="C9018" i="8"/>
  <c r="C9019" i="8"/>
  <c r="C9020" i="8"/>
  <c r="C9021" i="8"/>
  <c r="C9022" i="8"/>
  <c r="C9023" i="8"/>
  <c r="C9024" i="8"/>
  <c r="C9025" i="8"/>
  <c r="C9026" i="8"/>
  <c r="C9027" i="8"/>
  <c r="C9028" i="8"/>
  <c r="C9029" i="8"/>
  <c r="C9030" i="8"/>
  <c r="C9031" i="8"/>
  <c r="C9032" i="8"/>
  <c r="C9033" i="8"/>
  <c r="C9034" i="8"/>
  <c r="C9035" i="8"/>
  <c r="C9036" i="8"/>
  <c r="C9037" i="8"/>
  <c r="C9038" i="8"/>
  <c r="C9039" i="8"/>
  <c r="C9040" i="8"/>
  <c r="C9041" i="8"/>
  <c r="C9042" i="8"/>
  <c r="C9043" i="8"/>
  <c r="C9044" i="8"/>
  <c r="C9045" i="8"/>
  <c r="C9046" i="8"/>
  <c r="C9047" i="8"/>
  <c r="C9048" i="8"/>
  <c r="C9049" i="8"/>
  <c r="C9050" i="8"/>
  <c r="C9051" i="8"/>
  <c r="C9052" i="8"/>
  <c r="C9053" i="8"/>
  <c r="C9054" i="8"/>
  <c r="C9055" i="8"/>
  <c r="C9056" i="8"/>
  <c r="C9057" i="8"/>
  <c r="C9058" i="8"/>
  <c r="C9059" i="8"/>
  <c r="C9060" i="8"/>
  <c r="C9061" i="8"/>
  <c r="C9062" i="8"/>
  <c r="C9063" i="8"/>
  <c r="C9064" i="8"/>
  <c r="C9065" i="8"/>
  <c r="C9066" i="8"/>
  <c r="C9067" i="8"/>
  <c r="C9068" i="8"/>
  <c r="C9069" i="8"/>
  <c r="C9070" i="8"/>
  <c r="C9071" i="8"/>
  <c r="C9072" i="8"/>
  <c r="C9073" i="8"/>
  <c r="C9074" i="8"/>
  <c r="C9075" i="8"/>
  <c r="C9076" i="8"/>
  <c r="C9077" i="8"/>
  <c r="C9078" i="8"/>
  <c r="C9079" i="8"/>
  <c r="C9080" i="8"/>
  <c r="C9081" i="8"/>
  <c r="C9082" i="8"/>
  <c r="C9083" i="8"/>
  <c r="C9084" i="8"/>
  <c r="C9085" i="8"/>
  <c r="C9086" i="8"/>
  <c r="C9087" i="8"/>
  <c r="C9088" i="8"/>
  <c r="C9089" i="8"/>
  <c r="C9090" i="8"/>
  <c r="C9091" i="8"/>
  <c r="C9092" i="8"/>
  <c r="C9093" i="8"/>
  <c r="C9094" i="8"/>
  <c r="C9095" i="8"/>
  <c r="C9096" i="8"/>
  <c r="C9097" i="8"/>
  <c r="C9098" i="8"/>
  <c r="C9099" i="8"/>
  <c r="C9100" i="8"/>
  <c r="C9101" i="8"/>
  <c r="C9102" i="8"/>
  <c r="C9103" i="8"/>
  <c r="C9104" i="8"/>
  <c r="C9105" i="8"/>
  <c r="C9106" i="8"/>
  <c r="C9107" i="8"/>
  <c r="C9108" i="8"/>
  <c r="C9109" i="8"/>
  <c r="C9110" i="8"/>
  <c r="C9111" i="8"/>
  <c r="C9112" i="8"/>
  <c r="C9113" i="8"/>
  <c r="C9114" i="8"/>
  <c r="C9115" i="8"/>
  <c r="C9116" i="8"/>
  <c r="C9117" i="8"/>
  <c r="C9118" i="8"/>
  <c r="C9119" i="8"/>
  <c r="C9120" i="8"/>
  <c r="C9121" i="8"/>
  <c r="C9122" i="8"/>
  <c r="C9123" i="8"/>
  <c r="C9124" i="8"/>
  <c r="C9125" i="8"/>
  <c r="C9126" i="8"/>
  <c r="C9127" i="8"/>
  <c r="C9128" i="8"/>
  <c r="C9129" i="8"/>
  <c r="C9130" i="8"/>
  <c r="C9131" i="8"/>
  <c r="C9132" i="8"/>
  <c r="C9133" i="8"/>
  <c r="C9134" i="8"/>
  <c r="C9135" i="8"/>
  <c r="C9136" i="8"/>
  <c r="C9137" i="8"/>
  <c r="C9138" i="8"/>
  <c r="C9139" i="8"/>
  <c r="C9140" i="8"/>
  <c r="C9141" i="8"/>
  <c r="C9142" i="8"/>
  <c r="C9143" i="8"/>
  <c r="C9144" i="8"/>
  <c r="C9145" i="8"/>
  <c r="C9146" i="8"/>
  <c r="C9147" i="8"/>
  <c r="C9148" i="8"/>
  <c r="C9149" i="8"/>
  <c r="C9150" i="8"/>
  <c r="C9151" i="8"/>
  <c r="C9152" i="8"/>
  <c r="C9153" i="8"/>
  <c r="C9154" i="8"/>
  <c r="C9155" i="8"/>
  <c r="C9156" i="8"/>
  <c r="C9157" i="8"/>
  <c r="C9158" i="8"/>
  <c r="C9159" i="8"/>
  <c r="C9160" i="8"/>
  <c r="C9161" i="8"/>
  <c r="C9162" i="8"/>
  <c r="C9163" i="8"/>
  <c r="C9164" i="8"/>
  <c r="C9165" i="8"/>
  <c r="C9166" i="8"/>
  <c r="C9167" i="8"/>
  <c r="C9168" i="8"/>
  <c r="C9169" i="8"/>
  <c r="C9170" i="8"/>
  <c r="C9171" i="8"/>
  <c r="C9172" i="8"/>
  <c r="C9173" i="8"/>
  <c r="C9174" i="8"/>
  <c r="C9175" i="8"/>
  <c r="C9176" i="8"/>
  <c r="C9177" i="8"/>
  <c r="C9178" i="8"/>
  <c r="C9179" i="8"/>
  <c r="C9180" i="8"/>
  <c r="C9181" i="8"/>
  <c r="C9182" i="8"/>
  <c r="C9183" i="8"/>
  <c r="C9184" i="8"/>
  <c r="C9185" i="8"/>
  <c r="C9186" i="8"/>
  <c r="C9187" i="8"/>
  <c r="C9188" i="8"/>
  <c r="C9189" i="8"/>
  <c r="C9190" i="8"/>
  <c r="C9191" i="8"/>
  <c r="C9192" i="8"/>
  <c r="C9193" i="8"/>
  <c r="C9194" i="8"/>
  <c r="C9195" i="8"/>
  <c r="C9196" i="8"/>
  <c r="C9197" i="8"/>
  <c r="C9198" i="8"/>
  <c r="C9199" i="8"/>
  <c r="C9200" i="8"/>
  <c r="C9201" i="8"/>
  <c r="C9202" i="8"/>
  <c r="C9203" i="8"/>
  <c r="C9204" i="8"/>
  <c r="C9205" i="8"/>
  <c r="C9206" i="8"/>
  <c r="C9207" i="8"/>
  <c r="C9208" i="8"/>
  <c r="C9209" i="8"/>
  <c r="C9210" i="8"/>
  <c r="C9211" i="8"/>
  <c r="C9212" i="8"/>
  <c r="C9213" i="8"/>
  <c r="C9214" i="8"/>
  <c r="C9215" i="8"/>
  <c r="C9216" i="8"/>
  <c r="C9217" i="8"/>
  <c r="C9218" i="8"/>
  <c r="C9219" i="8"/>
  <c r="C9220" i="8"/>
  <c r="C9221" i="8"/>
  <c r="C9222" i="8"/>
  <c r="C9223" i="8"/>
  <c r="C9224" i="8"/>
  <c r="C9225" i="8"/>
  <c r="C9226" i="8"/>
  <c r="C9227" i="8"/>
  <c r="C9228" i="8"/>
  <c r="C9229" i="8"/>
  <c r="C9230" i="8"/>
  <c r="C9231" i="8"/>
  <c r="C9232" i="8"/>
  <c r="C9233" i="8"/>
  <c r="C9234" i="8"/>
  <c r="C9235" i="8"/>
  <c r="C9236" i="8"/>
  <c r="C9237" i="8"/>
  <c r="C9238" i="8"/>
  <c r="C9239" i="8"/>
  <c r="C9240" i="8"/>
  <c r="C9241" i="8"/>
  <c r="C9242" i="8"/>
  <c r="C9243" i="8"/>
  <c r="C9244" i="8"/>
  <c r="C9245" i="8"/>
  <c r="C9246" i="8"/>
  <c r="C9247" i="8"/>
  <c r="C9248" i="8"/>
  <c r="C9249" i="8"/>
  <c r="C9250" i="8"/>
  <c r="C9251" i="8"/>
  <c r="C9252" i="8"/>
  <c r="C9253" i="8"/>
  <c r="C9254" i="8"/>
  <c r="C9255" i="8"/>
  <c r="C9256" i="8"/>
  <c r="C9257" i="8"/>
  <c r="C9258" i="8"/>
  <c r="C9259" i="8"/>
  <c r="C9260" i="8"/>
  <c r="C9261" i="8"/>
  <c r="C9262" i="8"/>
  <c r="C9263" i="8"/>
  <c r="C9264" i="8"/>
  <c r="C9265" i="8"/>
  <c r="C9266" i="8"/>
  <c r="C9267" i="8"/>
  <c r="C9268" i="8"/>
  <c r="C9269" i="8"/>
  <c r="C9270" i="8"/>
  <c r="C9271" i="8"/>
  <c r="C9272" i="8"/>
  <c r="C9273" i="8"/>
  <c r="C9274" i="8"/>
  <c r="C9275" i="8"/>
  <c r="C9276" i="8"/>
  <c r="C9277" i="8"/>
  <c r="C9278" i="8"/>
  <c r="C9279" i="8"/>
  <c r="C9280" i="8"/>
  <c r="C9281" i="8"/>
  <c r="C9282" i="8"/>
  <c r="C9283" i="8"/>
  <c r="C9284" i="8"/>
  <c r="C9285" i="8"/>
  <c r="C9286" i="8"/>
  <c r="C9287" i="8"/>
  <c r="C9288" i="8"/>
  <c r="C9289" i="8"/>
  <c r="C9290" i="8"/>
  <c r="C9291" i="8"/>
  <c r="C9292" i="8"/>
  <c r="C9293" i="8"/>
  <c r="C9294" i="8"/>
  <c r="C9295" i="8"/>
  <c r="C9296" i="8"/>
  <c r="C9297" i="8"/>
  <c r="C9298" i="8"/>
  <c r="C9299" i="8"/>
  <c r="C9300" i="8"/>
  <c r="C9301" i="8"/>
  <c r="C9302" i="8"/>
  <c r="C9303" i="8"/>
  <c r="C9304" i="8"/>
  <c r="C9305" i="8"/>
  <c r="C9306" i="8"/>
  <c r="C9307" i="8"/>
  <c r="C9308" i="8"/>
  <c r="C9309" i="8"/>
  <c r="C9310" i="8"/>
  <c r="C9311" i="8"/>
  <c r="C9312" i="8"/>
  <c r="C9313" i="8"/>
  <c r="C9314" i="8"/>
  <c r="C9315" i="8"/>
  <c r="C9316" i="8"/>
  <c r="C9317" i="8"/>
  <c r="C9318" i="8"/>
  <c r="C9319" i="8"/>
  <c r="C9320" i="8"/>
  <c r="C9321" i="8"/>
  <c r="C9322" i="8"/>
  <c r="C9323" i="8"/>
  <c r="C9324" i="8"/>
  <c r="C9325" i="8"/>
  <c r="C9326" i="8"/>
  <c r="C9327" i="8"/>
  <c r="C9328" i="8"/>
  <c r="C9329" i="8"/>
  <c r="C9330" i="8"/>
  <c r="C9331" i="8"/>
  <c r="C9332" i="8"/>
  <c r="C9333" i="8"/>
  <c r="C9334" i="8"/>
  <c r="C9335" i="8"/>
  <c r="C9336" i="8"/>
  <c r="C9337" i="8"/>
  <c r="C9338" i="8"/>
  <c r="C9339" i="8"/>
  <c r="C9340" i="8"/>
  <c r="C9341" i="8"/>
  <c r="C9342" i="8"/>
  <c r="C9343" i="8"/>
  <c r="C9344" i="8"/>
  <c r="C9345" i="8"/>
  <c r="C9346" i="8"/>
  <c r="C9347" i="8"/>
  <c r="C9348" i="8"/>
  <c r="C9349" i="8"/>
  <c r="C9350" i="8"/>
  <c r="C9351" i="8"/>
  <c r="C9352" i="8"/>
  <c r="C9353" i="8"/>
  <c r="C9354" i="8"/>
  <c r="C9355" i="8"/>
  <c r="C9356" i="8"/>
  <c r="C9357" i="8"/>
  <c r="C9358" i="8"/>
  <c r="C9359" i="8"/>
  <c r="C9360" i="8"/>
  <c r="C9361" i="8"/>
  <c r="C9362" i="8"/>
  <c r="C9363" i="8"/>
  <c r="C9364" i="8"/>
  <c r="C9365" i="8"/>
  <c r="C9366" i="8"/>
  <c r="C9367" i="8"/>
  <c r="C9368" i="8"/>
  <c r="C9369" i="8"/>
  <c r="C9370" i="8"/>
  <c r="C9371" i="8"/>
  <c r="C9372" i="8"/>
  <c r="C9373" i="8"/>
  <c r="C9374" i="8"/>
  <c r="C9375" i="8"/>
  <c r="C9376" i="8"/>
  <c r="C9377" i="8"/>
  <c r="C9378" i="8"/>
  <c r="C9379" i="8"/>
  <c r="C9380" i="8"/>
  <c r="C9381" i="8"/>
  <c r="C9382" i="8"/>
  <c r="C9383" i="8"/>
  <c r="C9384" i="8"/>
  <c r="C9385" i="8"/>
  <c r="C9386" i="8"/>
  <c r="C9387" i="8"/>
  <c r="C9388" i="8"/>
  <c r="C9389" i="8"/>
  <c r="C9390" i="8"/>
  <c r="C9391" i="8"/>
  <c r="C9392" i="8"/>
  <c r="C9393" i="8"/>
  <c r="C9394" i="8"/>
  <c r="C9395" i="8"/>
  <c r="C9396" i="8"/>
  <c r="C9397" i="8"/>
  <c r="C9398" i="8"/>
  <c r="C9399" i="8"/>
  <c r="C9400" i="8"/>
  <c r="C9401" i="8"/>
  <c r="C9402" i="8"/>
  <c r="C9403" i="8"/>
  <c r="C9404" i="8"/>
  <c r="C9405" i="8"/>
  <c r="C9406" i="8"/>
  <c r="C9407" i="8"/>
  <c r="C9408" i="8"/>
  <c r="C9409" i="8"/>
  <c r="C9410" i="8"/>
  <c r="C9411" i="8"/>
  <c r="C9412" i="8"/>
  <c r="C9413" i="8"/>
  <c r="C9414" i="8"/>
  <c r="C9415" i="8"/>
  <c r="C9416" i="8"/>
  <c r="C9417" i="8"/>
  <c r="C9418" i="8"/>
  <c r="C9419" i="8"/>
  <c r="C9420" i="8"/>
  <c r="C9421" i="8"/>
  <c r="C9422" i="8"/>
  <c r="C9423" i="8"/>
  <c r="C9424" i="8"/>
  <c r="C9425" i="8"/>
  <c r="C9426" i="8"/>
  <c r="C9427" i="8"/>
  <c r="C9428" i="8"/>
  <c r="C9429" i="8"/>
  <c r="C9430" i="8"/>
  <c r="C9431" i="8"/>
  <c r="C9432" i="8"/>
  <c r="C9433" i="8"/>
  <c r="C9434" i="8"/>
  <c r="C9435" i="8"/>
  <c r="C9436" i="8"/>
  <c r="C9437" i="8"/>
  <c r="C9438" i="8"/>
  <c r="C9439" i="8"/>
  <c r="C9440" i="8"/>
  <c r="C9441" i="8"/>
  <c r="C9442" i="8"/>
  <c r="C9443" i="8"/>
  <c r="C9444" i="8"/>
  <c r="C9445" i="8"/>
  <c r="C9446" i="8"/>
  <c r="C9447" i="8"/>
  <c r="C9448" i="8"/>
  <c r="C9449" i="8"/>
  <c r="C9450" i="8"/>
  <c r="C9451" i="8"/>
  <c r="C9452" i="8"/>
  <c r="C9453" i="8"/>
  <c r="C9454" i="8"/>
  <c r="C9455" i="8"/>
  <c r="C9456" i="8"/>
  <c r="C9457" i="8"/>
  <c r="C9458" i="8"/>
  <c r="C9459" i="8"/>
  <c r="C9460" i="8"/>
  <c r="C9461" i="8"/>
  <c r="C9462" i="8"/>
  <c r="C9463" i="8"/>
  <c r="C9464" i="8"/>
  <c r="C9465" i="8"/>
  <c r="C9466" i="8"/>
  <c r="C9467" i="8"/>
  <c r="C9468" i="8"/>
  <c r="C9469" i="8"/>
  <c r="C9470" i="8"/>
  <c r="C9471" i="8"/>
  <c r="C9472" i="8"/>
  <c r="C9473" i="8"/>
  <c r="C9474" i="8"/>
  <c r="C9475" i="8"/>
  <c r="C9476" i="8"/>
  <c r="C9477" i="8"/>
  <c r="C9478" i="8"/>
  <c r="C9479" i="8"/>
  <c r="C9480" i="8"/>
  <c r="C9481" i="8"/>
  <c r="C9482" i="8"/>
  <c r="C9483" i="8"/>
  <c r="C9484" i="8"/>
  <c r="C9485" i="8"/>
  <c r="C9486" i="8"/>
  <c r="C9487" i="8"/>
  <c r="C9488" i="8"/>
  <c r="C9489" i="8"/>
  <c r="C9490" i="8"/>
  <c r="C9491" i="8"/>
  <c r="C9492" i="8"/>
  <c r="C9493" i="8"/>
  <c r="C9494" i="8"/>
  <c r="C9495" i="8"/>
  <c r="C9496" i="8"/>
  <c r="C9497" i="8"/>
  <c r="C9498" i="8"/>
  <c r="C9499" i="8"/>
  <c r="C9500" i="8"/>
  <c r="C9501" i="8"/>
  <c r="C9502" i="8"/>
  <c r="C9503" i="8"/>
  <c r="C9504" i="8"/>
  <c r="C9505" i="8"/>
  <c r="C9506" i="8"/>
  <c r="C9507" i="8"/>
  <c r="C9508" i="8"/>
  <c r="C9509" i="8"/>
  <c r="C9510" i="8"/>
  <c r="C9511" i="8"/>
  <c r="C9512" i="8"/>
  <c r="C9513" i="8"/>
  <c r="C9514" i="8"/>
  <c r="C9515" i="8"/>
  <c r="C9516" i="8"/>
  <c r="C9517" i="8"/>
  <c r="C9518" i="8"/>
  <c r="C9519" i="8"/>
  <c r="C9520" i="8"/>
  <c r="C9521" i="8"/>
  <c r="C9522" i="8"/>
  <c r="C9523" i="8"/>
  <c r="C9524" i="8"/>
  <c r="C9525" i="8"/>
  <c r="C9526" i="8"/>
  <c r="C9527" i="8"/>
  <c r="C9528" i="8"/>
  <c r="C9529" i="8"/>
  <c r="C9530" i="8"/>
  <c r="C9531" i="8"/>
  <c r="C9532" i="8"/>
  <c r="C9533" i="8"/>
  <c r="C9534" i="8"/>
  <c r="C9535" i="8"/>
  <c r="C9536" i="8"/>
  <c r="C9537" i="8"/>
  <c r="C9538" i="8"/>
  <c r="C9539" i="8"/>
  <c r="C9540" i="8"/>
  <c r="C9541" i="8"/>
  <c r="C9542" i="8"/>
  <c r="C9543" i="8"/>
  <c r="C9544" i="8"/>
  <c r="C9545" i="8"/>
  <c r="C9546" i="8"/>
  <c r="C9547" i="8"/>
  <c r="C9548" i="8"/>
  <c r="C9549" i="8"/>
  <c r="C9550" i="8"/>
  <c r="C9551" i="8"/>
  <c r="C9552" i="8"/>
  <c r="C9553" i="8"/>
  <c r="C9554" i="8"/>
  <c r="C9555" i="8"/>
  <c r="C9556" i="8"/>
  <c r="C9557" i="8"/>
  <c r="C9558" i="8"/>
  <c r="C9559" i="8"/>
  <c r="C9560" i="8"/>
  <c r="C9561" i="8"/>
  <c r="C9562" i="8"/>
  <c r="C9563" i="8"/>
  <c r="C9564" i="8"/>
  <c r="C9565" i="8"/>
  <c r="C9566" i="8"/>
  <c r="C9567" i="8"/>
  <c r="C9568" i="8"/>
  <c r="C9569" i="8"/>
  <c r="C9570" i="8"/>
  <c r="C9571" i="8"/>
  <c r="C9572" i="8"/>
  <c r="C9573" i="8"/>
  <c r="C9574" i="8"/>
  <c r="C9575" i="8"/>
  <c r="C9576" i="8"/>
  <c r="C9577" i="8"/>
  <c r="C9578" i="8"/>
  <c r="C9579" i="8"/>
  <c r="C9580" i="8"/>
  <c r="C9581" i="8"/>
  <c r="C9582" i="8"/>
  <c r="C9583" i="8"/>
  <c r="C9584" i="8"/>
  <c r="C9585" i="8"/>
  <c r="C9586" i="8"/>
  <c r="C9587" i="8"/>
  <c r="C9588" i="8"/>
  <c r="C9589" i="8"/>
  <c r="C9590" i="8"/>
  <c r="C9591" i="8"/>
  <c r="C9592" i="8"/>
  <c r="C9593" i="8"/>
  <c r="C9594" i="8"/>
  <c r="C9595" i="8"/>
  <c r="C9596" i="8"/>
  <c r="C9597" i="8"/>
  <c r="C9598" i="8"/>
  <c r="C9599" i="8"/>
  <c r="C9600" i="8"/>
  <c r="C9601" i="8"/>
  <c r="C9602" i="8"/>
  <c r="C9603" i="8"/>
  <c r="C9604" i="8"/>
  <c r="C9605" i="8"/>
  <c r="C9606" i="8"/>
  <c r="C9607" i="8"/>
  <c r="C9608" i="8"/>
  <c r="C9609" i="8"/>
  <c r="C9610" i="8"/>
  <c r="C9611" i="8"/>
  <c r="C9612" i="8"/>
  <c r="C9613" i="8"/>
  <c r="C9614" i="8"/>
  <c r="C9615" i="8"/>
  <c r="C9616" i="8"/>
  <c r="C9617" i="8"/>
  <c r="C9618" i="8"/>
  <c r="C9619" i="8"/>
  <c r="C9620" i="8"/>
  <c r="C9621" i="8"/>
  <c r="C9622" i="8"/>
  <c r="C9623" i="8"/>
  <c r="C9624" i="8"/>
  <c r="C9625" i="8"/>
  <c r="C9626" i="8"/>
  <c r="C9627" i="8"/>
  <c r="C9628" i="8"/>
  <c r="C9629" i="8"/>
  <c r="C9630" i="8"/>
  <c r="C9631" i="8"/>
  <c r="C9632" i="8"/>
  <c r="C9633" i="8"/>
  <c r="C9634" i="8"/>
  <c r="C9635" i="8"/>
  <c r="C9636" i="8"/>
  <c r="C9637" i="8"/>
  <c r="C9638" i="8"/>
  <c r="C9639" i="8"/>
  <c r="C9640" i="8"/>
  <c r="C9641" i="8"/>
  <c r="C9642" i="8"/>
  <c r="C9643" i="8"/>
  <c r="C9644" i="8"/>
  <c r="C9645" i="8"/>
  <c r="C9646" i="8"/>
  <c r="C9647" i="8"/>
  <c r="C9648" i="8"/>
  <c r="C9649" i="8"/>
  <c r="C9650" i="8"/>
  <c r="C9651" i="8"/>
  <c r="C9652" i="8"/>
  <c r="C9653" i="8"/>
  <c r="C9654" i="8"/>
  <c r="C9655" i="8"/>
  <c r="C9656" i="8"/>
  <c r="C9657" i="8"/>
  <c r="C9658" i="8"/>
  <c r="C9659" i="8"/>
  <c r="C9660" i="8"/>
  <c r="C9661" i="8"/>
  <c r="C9662" i="8"/>
  <c r="C9663" i="8"/>
  <c r="C9664" i="8"/>
  <c r="C9665" i="8"/>
  <c r="C9666" i="8"/>
  <c r="C9667" i="8"/>
  <c r="C9668" i="8"/>
  <c r="C9669" i="8"/>
  <c r="C9670" i="8"/>
  <c r="C9671" i="8"/>
  <c r="C9672" i="8"/>
  <c r="C9673" i="8"/>
  <c r="C9674" i="8"/>
  <c r="C9675" i="8"/>
  <c r="C9676" i="8"/>
  <c r="C9677" i="8"/>
  <c r="C9678" i="8"/>
  <c r="C9679" i="8"/>
  <c r="C9680" i="8"/>
  <c r="C9681" i="8"/>
  <c r="C9682" i="8"/>
  <c r="C9683" i="8"/>
  <c r="C9684" i="8"/>
  <c r="C9685" i="8"/>
  <c r="C9686" i="8"/>
  <c r="C9687" i="8"/>
  <c r="C9688" i="8"/>
  <c r="C9689" i="8"/>
  <c r="C9690" i="8"/>
  <c r="C9691" i="8"/>
  <c r="C9692" i="8"/>
  <c r="C9693" i="8"/>
  <c r="C9694" i="8"/>
  <c r="C9695" i="8"/>
  <c r="C9696" i="8"/>
  <c r="C9697" i="8"/>
  <c r="C9698" i="8"/>
  <c r="C9699" i="8"/>
  <c r="C9700" i="8"/>
  <c r="C9701" i="8"/>
  <c r="C9702" i="8"/>
  <c r="C9703" i="8"/>
  <c r="C9704" i="8"/>
  <c r="C9705" i="8"/>
  <c r="C9706" i="8"/>
  <c r="C9707" i="8"/>
  <c r="C9708" i="8"/>
  <c r="C9709" i="8"/>
  <c r="C9710" i="8"/>
  <c r="C9711" i="8"/>
  <c r="C9712" i="8"/>
  <c r="C9713" i="8"/>
  <c r="C9714" i="8"/>
  <c r="C9715" i="8"/>
  <c r="C9716" i="8"/>
  <c r="C9717" i="8"/>
  <c r="C9718" i="8"/>
  <c r="C9719" i="8"/>
  <c r="C9720" i="8"/>
  <c r="C9721" i="8"/>
  <c r="C9722" i="8"/>
  <c r="C9723" i="8"/>
  <c r="C9724" i="8"/>
  <c r="C9725" i="8"/>
  <c r="C9726" i="8"/>
  <c r="C9727" i="8"/>
  <c r="C9728" i="8"/>
  <c r="C9729" i="8"/>
  <c r="C9730" i="8"/>
  <c r="C9731" i="8"/>
  <c r="C9732" i="8"/>
  <c r="C9733" i="8"/>
  <c r="C9734" i="8"/>
  <c r="C9735" i="8"/>
  <c r="C9736" i="8"/>
  <c r="C9737" i="8"/>
  <c r="C9738" i="8"/>
  <c r="C9739" i="8"/>
  <c r="C9740" i="8"/>
  <c r="C9741" i="8"/>
  <c r="C9742" i="8"/>
  <c r="C9743" i="8"/>
  <c r="C9744" i="8"/>
  <c r="C9745" i="8"/>
  <c r="C9746" i="8"/>
  <c r="C9747" i="8"/>
  <c r="C9748" i="8"/>
  <c r="C9749" i="8"/>
  <c r="C9750" i="8"/>
  <c r="C9751" i="8"/>
  <c r="C9752" i="8"/>
  <c r="C9753" i="8"/>
  <c r="C9754" i="8"/>
  <c r="C9755" i="8"/>
  <c r="C9756" i="8"/>
  <c r="C9757" i="8"/>
  <c r="C9758" i="8"/>
  <c r="C9759" i="8"/>
  <c r="C9760" i="8"/>
  <c r="C9761" i="8"/>
  <c r="C9762" i="8"/>
  <c r="C9763" i="8"/>
  <c r="C9764" i="8"/>
  <c r="C9765" i="8"/>
  <c r="C9766" i="8"/>
  <c r="C9767" i="8"/>
  <c r="C9768" i="8"/>
  <c r="C9769" i="8"/>
  <c r="C9770" i="8"/>
  <c r="C9771" i="8"/>
  <c r="C9772" i="8"/>
  <c r="C9773" i="8"/>
  <c r="C9774" i="8"/>
  <c r="C9775" i="8"/>
  <c r="C9776" i="8"/>
  <c r="C9777" i="8"/>
  <c r="C9778" i="8"/>
  <c r="C9779" i="8"/>
  <c r="C9780" i="8"/>
  <c r="C9781" i="8"/>
  <c r="C9782" i="8"/>
  <c r="C9783" i="8"/>
  <c r="C9784" i="8"/>
  <c r="C9785" i="8"/>
  <c r="C9786" i="8"/>
  <c r="C9787" i="8"/>
  <c r="C9788" i="8"/>
  <c r="C9789" i="8"/>
  <c r="C9790" i="8"/>
  <c r="C9791" i="8"/>
  <c r="C9792" i="8"/>
  <c r="C9793" i="8"/>
  <c r="C9794" i="8"/>
  <c r="C9795" i="8"/>
  <c r="C9796" i="8"/>
  <c r="C9797" i="8"/>
  <c r="C9798" i="8"/>
  <c r="C9799" i="8"/>
  <c r="C9800" i="8"/>
  <c r="C9801" i="8"/>
  <c r="C9802" i="8"/>
  <c r="C9803" i="8"/>
  <c r="C9804" i="8"/>
  <c r="C9805" i="8"/>
  <c r="C9806" i="8"/>
  <c r="C9807" i="8"/>
  <c r="C9808" i="8"/>
  <c r="C9809" i="8"/>
  <c r="C9810" i="8"/>
  <c r="C9811" i="8"/>
  <c r="C3" i="8"/>
  <c r="M184" i="6" l="1"/>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M1045" i="6"/>
  <c r="M1046" i="6"/>
  <c r="M1047" i="6"/>
  <c r="M1048" i="6"/>
  <c r="M1049" i="6"/>
  <c r="M1050" i="6"/>
  <c r="M1051" i="6"/>
  <c r="M1052" i="6"/>
  <c r="M1053" i="6"/>
  <c r="M1054" i="6"/>
  <c r="M1055" i="6"/>
  <c r="M1056" i="6"/>
  <c r="M1057" i="6"/>
  <c r="M1058" i="6"/>
  <c r="M1059" i="6"/>
  <c r="M1060" i="6"/>
  <c r="M1061" i="6"/>
  <c r="M1062" i="6"/>
  <c r="M1063" i="6"/>
  <c r="M1064" i="6"/>
  <c r="M1065" i="6"/>
  <c r="M1066" i="6"/>
  <c r="M1067" i="6"/>
  <c r="M1068" i="6"/>
  <c r="M1069" i="6"/>
  <c r="M1070" i="6"/>
  <c r="M1071" i="6"/>
  <c r="M1072" i="6"/>
  <c r="M1073" i="6"/>
  <c r="M1074" i="6"/>
  <c r="M1075" i="6"/>
  <c r="M1076" i="6"/>
  <c r="M1077" i="6"/>
  <c r="M1078" i="6"/>
  <c r="M1079" i="6"/>
  <c r="M1080" i="6"/>
  <c r="M1081" i="6"/>
  <c r="M1082" i="6"/>
  <c r="M1083" i="6"/>
  <c r="M1084" i="6"/>
  <c r="M1085" i="6"/>
  <c r="M1086" i="6"/>
  <c r="M1087" i="6"/>
  <c r="M1088" i="6"/>
  <c r="M1089" i="6"/>
  <c r="M1090" i="6"/>
  <c r="M1091" i="6"/>
  <c r="M1092" i="6"/>
  <c r="M1093" i="6"/>
  <c r="M1094" i="6"/>
  <c r="M1095" i="6"/>
  <c r="M1096" i="6"/>
  <c r="M1097" i="6"/>
  <c r="M1098" i="6"/>
  <c r="M1099" i="6"/>
  <c r="M1100" i="6"/>
  <c r="M1101" i="6"/>
  <c r="M1102" i="6"/>
  <c r="M1103" i="6"/>
  <c r="M1104" i="6"/>
  <c r="M1105" i="6"/>
  <c r="M1106" i="6"/>
  <c r="M1107" i="6"/>
  <c r="M1108" i="6"/>
  <c r="M1109" i="6"/>
  <c r="M1110" i="6"/>
  <c r="M1111" i="6"/>
  <c r="M1112" i="6"/>
  <c r="M1113" i="6"/>
  <c r="M1114" i="6"/>
  <c r="M1115" i="6"/>
  <c r="M1116" i="6"/>
  <c r="M1117" i="6"/>
  <c r="M1118" i="6"/>
  <c r="M1119" i="6"/>
  <c r="M1120" i="6"/>
  <c r="M1121" i="6"/>
  <c r="M1122" i="6"/>
  <c r="M1123" i="6"/>
  <c r="M1124" i="6"/>
  <c r="M1125" i="6"/>
  <c r="M1126" i="6"/>
  <c r="M1127" i="6"/>
  <c r="M1128" i="6"/>
  <c r="M1129" i="6"/>
  <c r="M1130" i="6"/>
  <c r="M1131" i="6"/>
  <c r="M1132" i="6"/>
  <c r="M1133" i="6"/>
  <c r="M1134" i="6"/>
  <c r="M1135" i="6"/>
  <c r="M1136" i="6"/>
  <c r="M1137" i="6"/>
  <c r="M1138" i="6"/>
  <c r="M1139" i="6"/>
  <c r="M1140" i="6"/>
  <c r="M1141" i="6"/>
  <c r="M1142" i="6"/>
  <c r="M1143" i="6"/>
  <c r="M1144" i="6"/>
  <c r="M1145" i="6"/>
  <c r="M1146" i="6"/>
  <c r="M1147" i="6"/>
  <c r="M1148" i="6"/>
  <c r="M1149" i="6"/>
  <c r="M1150" i="6"/>
  <c r="M1151" i="6"/>
  <c r="M1152" i="6"/>
  <c r="M1153" i="6"/>
  <c r="M1154" i="6"/>
  <c r="M1155" i="6"/>
  <c r="M1156" i="6"/>
  <c r="M1157" i="6"/>
  <c r="M1158" i="6"/>
  <c r="M1159" i="6"/>
  <c r="M1160" i="6"/>
  <c r="M1161" i="6"/>
  <c r="M1162" i="6"/>
  <c r="M1163" i="6"/>
  <c r="M1164" i="6"/>
  <c r="M1165" i="6"/>
  <c r="M1166" i="6"/>
  <c r="M1167" i="6"/>
  <c r="M1168" i="6"/>
  <c r="M1169" i="6"/>
  <c r="M1170" i="6"/>
  <c r="M1171" i="6"/>
  <c r="M1172" i="6"/>
  <c r="M1173" i="6"/>
  <c r="M1174" i="6"/>
  <c r="M1175" i="6"/>
  <c r="M1176" i="6"/>
  <c r="M1177" i="6"/>
  <c r="M1178" i="6"/>
  <c r="M1179" i="6"/>
  <c r="M1180" i="6"/>
  <c r="M1181" i="6"/>
  <c r="M1182" i="6"/>
  <c r="M1183" i="6"/>
  <c r="M1184" i="6"/>
  <c r="M1185" i="6"/>
  <c r="M1186" i="6"/>
  <c r="M1187" i="6"/>
  <c r="M1188" i="6"/>
  <c r="M1189" i="6"/>
  <c r="M1190" i="6"/>
  <c r="M1191" i="6"/>
  <c r="M1192" i="6"/>
  <c r="M1193" i="6"/>
  <c r="M1194" i="6"/>
  <c r="M1195" i="6"/>
  <c r="M1196" i="6"/>
  <c r="M1197" i="6"/>
  <c r="M1198" i="6"/>
  <c r="M1199" i="6"/>
  <c r="M1200" i="6"/>
  <c r="M1201" i="6"/>
  <c r="M1202" i="6"/>
  <c r="M1203" i="6"/>
  <c r="M1204" i="6"/>
  <c r="M1205" i="6"/>
  <c r="M1206" i="6"/>
  <c r="M1207" i="6"/>
  <c r="M1208" i="6"/>
  <c r="M1209" i="6"/>
  <c r="M1210" i="6"/>
  <c r="M1211" i="6"/>
  <c r="M1212" i="6"/>
  <c r="M1213" i="6"/>
  <c r="M1214" i="6"/>
  <c r="M1215" i="6"/>
  <c r="M1216" i="6"/>
  <c r="M1217" i="6"/>
  <c r="M1218" i="6"/>
  <c r="M1219" i="6"/>
  <c r="M1220" i="6"/>
  <c r="M1221" i="6"/>
  <c r="M1222" i="6"/>
  <c r="M1223" i="6"/>
  <c r="M1224" i="6"/>
  <c r="M1225" i="6"/>
  <c r="M1226" i="6"/>
  <c r="M1227" i="6"/>
  <c r="M1228" i="6"/>
  <c r="M1229" i="6"/>
  <c r="M1230" i="6"/>
  <c r="M1231" i="6"/>
  <c r="M1232" i="6"/>
  <c r="M1233" i="6"/>
  <c r="M1234" i="6"/>
  <c r="M1235" i="6"/>
  <c r="M1236" i="6"/>
  <c r="M1237" i="6"/>
  <c r="M1238" i="6"/>
  <c r="M1239" i="6"/>
  <c r="M1240" i="6"/>
  <c r="M1241" i="6"/>
  <c r="M1242" i="6"/>
  <c r="M1243" i="6"/>
  <c r="M1244" i="6"/>
  <c r="M1245" i="6"/>
  <c r="M1246" i="6"/>
  <c r="M1247" i="6"/>
  <c r="M1248" i="6"/>
  <c r="M1249" i="6"/>
  <c r="M1250" i="6"/>
  <c r="M1251" i="6"/>
  <c r="M1252" i="6"/>
  <c r="M1253" i="6"/>
  <c r="M1254" i="6"/>
  <c r="M1255" i="6"/>
  <c r="M1256" i="6"/>
  <c r="M1257" i="6"/>
  <c r="M1258" i="6"/>
  <c r="M1259" i="6"/>
  <c r="M1260" i="6"/>
  <c r="M1261" i="6"/>
  <c r="M1262" i="6"/>
  <c r="M1263" i="6"/>
  <c r="M1264" i="6"/>
  <c r="M1265" i="6"/>
  <c r="M1266" i="6"/>
  <c r="M1267" i="6"/>
  <c r="M1268" i="6"/>
  <c r="M1269" i="6"/>
  <c r="M1270" i="6"/>
  <c r="M1271" i="6"/>
  <c r="M1272" i="6"/>
  <c r="M1273" i="6"/>
  <c r="M1274" i="6"/>
  <c r="M1275" i="6"/>
  <c r="M1276" i="6"/>
  <c r="M1277" i="6"/>
  <c r="M1278" i="6"/>
  <c r="M1279" i="6"/>
  <c r="M1280" i="6"/>
  <c r="M1281" i="6"/>
  <c r="M1282" i="6"/>
  <c r="M1283" i="6"/>
  <c r="M1284" i="6"/>
  <c r="M1285" i="6"/>
  <c r="M1286" i="6"/>
  <c r="M1287" i="6"/>
  <c r="M1288" i="6"/>
  <c r="M1289" i="6"/>
  <c r="M1290" i="6"/>
  <c r="M1291" i="6"/>
  <c r="M1292" i="6"/>
  <c r="M1293" i="6"/>
  <c r="M1294" i="6"/>
  <c r="M1295" i="6"/>
  <c r="M1296" i="6"/>
  <c r="M1297" i="6"/>
  <c r="M1298" i="6"/>
  <c r="M1299" i="6"/>
  <c r="M1300" i="6"/>
  <c r="M1301" i="6"/>
  <c r="M1302" i="6"/>
  <c r="M1303" i="6"/>
  <c r="M1304" i="6"/>
  <c r="M1305" i="6"/>
  <c r="M1306" i="6"/>
  <c r="M1307" i="6"/>
  <c r="M1308" i="6"/>
  <c r="M1309" i="6"/>
  <c r="M1310" i="6"/>
  <c r="M1311" i="6"/>
  <c r="M1312" i="6"/>
  <c r="M1313" i="6"/>
  <c r="M1314" i="6"/>
  <c r="M1315" i="6"/>
  <c r="M1316" i="6"/>
  <c r="M1317" i="6"/>
  <c r="M1318" i="6"/>
  <c r="M1319" i="6"/>
  <c r="M1320" i="6"/>
  <c r="M1321" i="6"/>
  <c r="M1322" i="6"/>
  <c r="M1323" i="6"/>
  <c r="M1324" i="6"/>
  <c r="M1325" i="6"/>
  <c r="M1326" i="6"/>
  <c r="M1327" i="6"/>
  <c r="M1328" i="6"/>
  <c r="M1329" i="6"/>
  <c r="M1330" i="6"/>
  <c r="M1331" i="6"/>
  <c r="M1332" i="6"/>
  <c r="M1333" i="6"/>
  <c r="M1334" i="6"/>
  <c r="M1335" i="6"/>
  <c r="M1336" i="6"/>
  <c r="M1337" i="6"/>
  <c r="M1338" i="6"/>
  <c r="M1339" i="6"/>
  <c r="M1340" i="6"/>
  <c r="M1341" i="6"/>
  <c r="M1342" i="6"/>
  <c r="M1343" i="6"/>
  <c r="M1344" i="6"/>
  <c r="M1345" i="6"/>
  <c r="M1346" i="6"/>
  <c r="M1347" i="6"/>
  <c r="M1348" i="6"/>
  <c r="M1349" i="6"/>
  <c r="M1350" i="6"/>
  <c r="M1351" i="6"/>
  <c r="M1352" i="6"/>
  <c r="M1353" i="6"/>
  <c r="M1354" i="6"/>
  <c r="M1355" i="6"/>
  <c r="M1356" i="6"/>
  <c r="M1357" i="6"/>
  <c r="M1358" i="6"/>
  <c r="M1359" i="6"/>
  <c r="M1360" i="6"/>
  <c r="M1361" i="6"/>
  <c r="M1362" i="6"/>
  <c r="M1363" i="6"/>
  <c r="M1364" i="6"/>
  <c r="M1365" i="6"/>
  <c r="M1366" i="6"/>
  <c r="M1367" i="6"/>
  <c r="M1368" i="6"/>
  <c r="M1369" i="6"/>
  <c r="M1370" i="6"/>
  <c r="M1371" i="6"/>
  <c r="M1372" i="6"/>
  <c r="M1373" i="6"/>
  <c r="M1374" i="6"/>
  <c r="M1375" i="6"/>
  <c r="M1376" i="6"/>
  <c r="M1377" i="6"/>
  <c r="M1378" i="6"/>
  <c r="M1379" i="6"/>
  <c r="M1380" i="6"/>
  <c r="M1381" i="6"/>
  <c r="M1382" i="6"/>
  <c r="M1383" i="6"/>
  <c r="M1384" i="6"/>
  <c r="M1385" i="6"/>
  <c r="M1386" i="6"/>
  <c r="M1387" i="6"/>
  <c r="M1388" i="6"/>
  <c r="M1389" i="6"/>
  <c r="M1390" i="6"/>
  <c r="M1391" i="6"/>
  <c r="M1392" i="6"/>
  <c r="M1393" i="6"/>
  <c r="M1394" i="6"/>
  <c r="M1395" i="6"/>
  <c r="M1396" i="6"/>
  <c r="M1397" i="6"/>
  <c r="M1398" i="6"/>
  <c r="M1399" i="6"/>
  <c r="M1400" i="6"/>
  <c r="M1401" i="6"/>
  <c r="M1402" i="6"/>
  <c r="M1403" i="6"/>
  <c r="M1404" i="6"/>
  <c r="M1405" i="6"/>
  <c r="M1406" i="6"/>
  <c r="M1407" i="6"/>
  <c r="M1408" i="6"/>
  <c r="M1409" i="6"/>
  <c r="M1410" i="6"/>
  <c r="M1411" i="6"/>
  <c r="M1412" i="6"/>
  <c r="M1413" i="6"/>
  <c r="M1414" i="6"/>
  <c r="M1415" i="6"/>
  <c r="M1416" i="6"/>
  <c r="M1417" i="6"/>
  <c r="M1418" i="6"/>
  <c r="M1419" i="6"/>
  <c r="M1420" i="6"/>
  <c r="M1421"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1338" i="6"/>
  <c r="L1339" i="6"/>
  <c r="L1340" i="6"/>
  <c r="L1341" i="6"/>
  <c r="L1342" i="6"/>
  <c r="L1343" i="6"/>
  <c r="L1344" i="6"/>
  <c r="L1345" i="6"/>
  <c r="L1346" i="6"/>
  <c r="L1347" i="6"/>
  <c r="L1348" i="6"/>
  <c r="L1349" i="6"/>
  <c r="L1350" i="6"/>
  <c r="L1351" i="6"/>
  <c r="L1352" i="6"/>
  <c r="L1353" i="6"/>
  <c r="L1354" i="6"/>
  <c r="L1355" i="6"/>
  <c r="L1356" i="6"/>
  <c r="L1357" i="6"/>
  <c r="L1358" i="6"/>
  <c r="L1359" i="6"/>
  <c r="L1360" i="6"/>
  <c r="L1361" i="6"/>
  <c r="L1362" i="6"/>
  <c r="L1363" i="6"/>
  <c r="L1364" i="6"/>
  <c r="L1365" i="6"/>
  <c r="L1366" i="6"/>
  <c r="L1367" i="6"/>
  <c r="L1368" i="6"/>
  <c r="L1369" i="6"/>
  <c r="L1370" i="6"/>
  <c r="L1371" i="6"/>
  <c r="L1372" i="6"/>
  <c r="L1373" i="6"/>
  <c r="L1374" i="6"/>
  <c r="L1375" i="6"/>
  <c r="L1376" i="6"/>
  <c r="L1377" i="6"/>
  <c r="L1378" i="6"/>
  <c r="L1379" i="6"/>
  <c r="L1380" i="6"/>
  <c r="L1381" i="6"/>
  <c r="L1382" i="6"/>
  <c r="L1383" i="6"/>
  <c r="L1384" i="6"/>
  <c r="L1385" i="6"/>
  <c r="L1386" i="6"/>
  <c r="L1387" i="6"/>
  <c r="L1388" i="6"/>
  <c r="L1389" i="6"/>
  <c r="L1390" i="6"/>
  <c r="L1391" i="6"/>
  <c r="L1392" i="6"/>
  <c r="L1393" i="6"/>
  <c r="L1394" i="6"/>
  <c r="L1395" i="6"/>
  <c r="L1396" i="6"/>
  <c r="L1397" i="6"/>
  <c r="L1398" i="6"/>
  <c r="L1399" i="6"/>
  <c r="L1400" i="6"/>
  <c r="L1401" i="6"/>
  <c r="L1402" i="6"/>
  <c r="L1403" i="6"/>
  <c r="L1404" i="6"/>
  <c r="L1405" i="6"/>
  <c r="L1406" i="6"/>
  <c r="L1407" i="6"/>
  <c r="L1408" i="6"/>
  <c r="L1409" i="6"/>
  <c r="L1410" i="6"/>
  <c r="L1411" i="6"/>
  <c r="L1412" i="6"/>
  <c r="L1413" i="6"/>
  <c r="L1414" i="6"/>
  <c r="L1415" i="6"/>
  <c r="L1416" i="6"/>
  <c r="L1417" i="6"/>
  <c r="L1418" i="6"/>
  <c r="L1419" i="6"/>
  <c r="L1420" i="6"/>
  <c r="L1421"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M1422" i="6" l="1"/>
  <c r="G33" i="7"/>
  <c r="F33" i="7"/>
  <c r="E33" i="7"/>
  <c r="G27" i="25"/>
  <c r="F27" i="25"/>
  <c r="E27" i="25"/>
  <c r="D27" i="25"/>
  <c r="A27" i="25"/>
  <c r="G26" i="25"/>
  <c r="F26" i="25"/>
  <c r="E26" i="25"/>
  <c r="D26" i="25"/>
  <c r="A26" i="25"/>
  <c r="E25" i="25"/>
  <c r="F25" i="25"/>
  <c r="G25" i="25"/>
  <c r="D25" i="25"/>
  <c r="A25" i="25"/>
  <c r="A22" i="25"/>
  <c r="D22" i="25"/>
  <c r="E22" i="25"/>
  <c r="F22" i="25"/>
  <c r="G22" i="25"/>
  <c r="A23" i="25"/>
  <c r="D23" i="25"/>
  <c r="E23" i="25"/>
  <c r="F23" i="25"/>
  <c r="G23" i="25"/>
  <c r="A24" i="25"/>
  <c r="D24" i="25"/>
  <c r="E24" i="25"/>
  <c r="F24" i="25"/>
  <c r="G24" i="25"/>
  <c r="G20" i="25"/>
  <c r="F20" i="25"/>
  <c r="E20" i="25"/>
  <c r="D20" i="25"/>
  <c r="G21" i="25"/>
  <c r="F21" i="25"/>
  <c r="E21" i="25"/>
  <c r="D21" i="25"/>
  <c r="A21" i="25"/>
  <c r="A20" i="25"/>
  <c r="J49" i="25"/>
  <c r="J50" i="25"/>
  <c r="J51" i="25"/>
  <c r="J52" i="25"/>
  <c r="J41" i="25"/>
  <c r="J42" i="25"/>
  <c r="J43" i="25"/>
  <c r="J44" i="25"/>
  <c r="J45" i="25"/>
  <c r="J46" i="25"/>
  <c r="J47" i="25"/>
  <c r="J48" i="25"/>
  <c r="O39" i="25"/>
  <c r="N39" i="25"/>
  <c r="M39" i="25"/>
  <c r="L39" i="25"/>
  <c r="K39" i="25"/>
  <c r="J39" i="25"/>
  <c r="J40" i="25"/>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G5" i="25"/>
  <c r="E5" i="15"/>
  <c r="D5" i="15"/>
  <c r="C5" i="15"/>
  <c r="B5" i="15"/>
  <c r="F4" i="15"/>
  <c r="G6" i="15" s="1"/>
  <c r="G7" i="15" s="1"/>
  <c r="I10" i="7" s="1"/>
  <c r="I11" i="7" s="1"/>
  <c r="I13" i="7" s="1"/>
  <c r="E4" i="15"/>
  <c r="D4" i="15"/>
  <c r="C4" i="15"/>
  <c r="D6" i="15" s="1"/>
  <c r="B4" i="15"/>
  <c r="C6" i="15" l="1"/>
  <c r="B7" i="15"/>
  <c r="K42" i="25"/>
  <c r="D33" i="7"/>
  <c r="L42" i="25"/>
  <c r="O5" i="9"/>
  <c r="O33" i="7" s="1"/>
  <c r="T33" i="7"/>
  <c r="M42" i="25"/>
  <c r="P5" i="9"/>
  <c r="P33" i="7" s="1"/>
  <c r="N42" i="25"/>
  <c r="Q5" i="9"/>
  <c r="Q33" i="7" s="1"/>
  <c r="C7" i="15"/>
  <c r="D7" i="15"/>
  <c r="E6" i="15"/>
  <c r="E7" i="15" s="1"/>
  <c r="F6" i="15"/>
  <c r="F7" i="15" s="1"/>
  <c r="J4" i="2"/>
  <c r="K4" i="2"/>
  <c r="L4" i="2"/>
  <c r="M4" i="2"/>
  <c r="J6" i="2"/>
  <c r="K6" i="2"/>
  <c r="L6" i="2"/>
  <c r="M6" i="2"/>
  <c r="C27" i="40" s="1"/>
  <c r="J7" i="2"/>
  <c r="K7" i="2"/>
  <c r="L7" i="2"/>
  <c r="M7" i="2"/>
  <c r="C28" i="40" s="1"/>
  <c r="K8" i="2"/>
  <c r="J10" i="2"/>
  <c r="K10" i="2"/>
  <c r="L10" i="2"/>
  <c r="M10" i="2"/>
  <c r="C29" i="40" s="1"/>
  <c r="J12" i="2"/>
  <c r="K12" i="2"/>
  <c r="L12" i="2"/>
  <c r="M12" i="2"/>
  <c r="J14" i="2"/>
  <c r="K14" i="2"/>
  <c r="L14" i="2"/>
  <c r="M14" i="2"/>
  <c r="J15" i="2"/>
  <c r="K20" i="9" s="1"/>
  <c r="K15" i="2"/>
  <c r="L20" i="9" s="1"/>
  <c r="L15" i="2"/>
  <c r="M20" i="9" s="1"/>
  <c r="M15" i="2"/>
  <c r="N20" i="9" s="1"/>
  <c r="J16" i="2"/>
  <c r="K16" i="2"/>
  <c r="L16" i="2"/>
  <c r="M16" i="2"/>
  <c r="J18" i="2"/>
  <c r="K18" i="2"/>
  <c r="L18" i="2"/>
  <c r="M18" i="2"/>
  <c r="J21" i="2"/>
  <c r="K21" i="2"/>
  <c r="L21" i="2"/>
  <c r="M21" i="2"/>
  <c r="I21" i="2"/>
  <c r="I18" i="2"/>
  <c r="I16" i="2"/>
  <c r="I15" i="2"/>
  <c r="J20" i="9" s="1"/>
  <c r="Y20" i="9" s="1"/>
  <c r="I14" i="2"/>
  <c r="I12" i="2"/>
  <c r="I10" i="2"/>
  <c r="I7" i="2"/>
  <c r="I6" i="2"/>
  <c r="I4" i="2"/>
  <c r="AB20" i="9" l="1"/>
  <c r="Z20" i="9"/>
  <c r="AC20" i="9"/>
  <c r="AA20" i="9"/>
  <c r="M5" i="41"/>
  <c r="M9" i="41" s="1"/>
  <c r="C25" i="40"/>
  <c r="G10" i="7"/>
  <c r="D10" i="7"/>
  <c r="F10" i="7"/>
  <c r="H10" i="7"/>
  <c r="W10" i="7" s="1"/>
  <c r="E10" i="7"/>
  <c r="H16" i="7"/>
  <c r="W16" i="7" s="1"/>
  <c r="G16" i="7"/>
  <c r="F16" i="7"/>
  <c r="E16" i="7"/>
  <c r="D16" i="7"/>
  <c r="M39" i="51" l="1"/>
  <c r="M40" i="51"/>
  <c r="M14" i="41"/>
  <c r="M11" i="41"/>
  <c r="V12" i="41"/>
  <c r="U12" i="41"/>
  <c r="P6" i="7"/>
  <c r="T6" i="7"/>
  <c r="Q6" i="7"/>
  <c r="U6" i="7"/>
  <c r="Q16" i="7"/>
  <c r="U16" i="7"/>
  <c r="V10" i="7"/>
  <c r="R10" i="7"/>
  <c r="R6" i="7"/>
  <c r="V6" i="7"/>
  <c r="T10" i="7"/>
  <c r="P10" i="7"/>
  <c r="R16" i="7"/>
  <c r="V16" i="7"/>
  <c r="P16" i="7"/>
  <c r="T16" i="7"/>
  <c r="O6" i="7"/>
  <c r="S6" i="7"/>
  <c r="S10" i="7"/>
  <c r="O10" i="7"/>
  <c r="O16" i="7"/>
  <c r="S16" i="7"/>
  <c r="U10" i="7"/>
  <c r="Q10" i="7"/>
  <c r="F11" i="9"/>
  <c r="F39" i="7" s="1"/>
  <c r="E6" i="9"/>
  <c r="E34" i="7" s="1"/>
  <c r="D6" i="9"/>
  <c r="K43" i="25" l="1"/>
  <c r="D34" i="7"/>
  <c r="K8" i="7"/>
  <c r="I5" i="15"/>
  <c r="L43" i="25"/>
  <c r="O6" i="9"/>
  <c r="O34" i="7" s="1"/>
  <c r="T34" i="7"/>
  <c r="M48" i="25"/>
  <c r="W12" i="41"/>
  <c r="U4" i="41"/>
  <c r="J5" i="41"/>
  <c r="V5" i="9"/>
  <c r="V33" i="7" s="1"/>
  <c r="U5" i="9"/>
  <c r="U33" i="7" s="1"/>
  <c r="D11" i="9"/>
  <c r="E11" i="9"/>
  <c r="E39" i="7" s="1"/>
  <c r="F6" i="9"/>
  <c r="F34" i="7" s="1"/>
  <c r="G6" i="9"/>
  <c r="G34" i="7" s="1"/>
  <c r="G11" i="9"/>
  <c r="G39" i="7" l="1"/>
  <c r="K48" i="25"/>
  <c r="D39" i="7"/>
  <c r="K16" i="7"/>
  <c r="I4" i="15"/>
  <c r="J6" i="15" s="1"/>
  <c r="K13" i="50"/>
  <c r="K25" i="7"/>
  <c r="J5" i="15"/>
  <c r="AF4" i="41"/>
  <c r="K9" i="7"/>
  <c r="O11" i="9"/>
  <c r="O39" i="7" s="1"/>
  <c r="T11" i="9"/>
  <c r="T39" i="7" s="1"/>
  <c r="N48" i="25"/>
  <c r="Q11" i="9"/>
  <c r="Q39" i="7" s="1"/>
  <c r="M43" i="25"/>
  <c r="P6" i="9"/>
  <c r="P34" i="7" s="1"/>
  <c r="N43" i="25"/>
  <c r="Q6" i="9"/>
  <c r="Q34" i="7" s="1"/>
  <c r="P11" i="9"/>
  <c r="P39" i="7" s="1"/>
  <c r="U5" i="41"/>
  <c r="J9" i="41"/>
  <c r="V4" i="41"/>
  <c r="K5" i="41"/>
  <c r="U11" i="9"/>
  <c r="U39" i="7" s="1"/>
  <c r="L48" i="25"/>
  <c r="U6" i="9"/>
  <c r="U34" i="7" s="1"/>
  <c r="V11" i="9"/>
  <c r="V39" i="7" s="1"/>
  <c r="V6" i="9"/>
  <c r="V34" i="7" s="1"/>
  <c r="H15" i="7"/>
  <c r="W15" i="7" s="1"/>
  <c r="G15" i="7"/>
  <c r="F15" i="7"/>
  <c r="E15" i="7"/>
  <c r="D15" i="7"/>
  <c r="H11" i="7"/>
  <c r="W11" i="7" s="1"/>
  <c r="G11" i="7"/>
  <c r="F11" i="7"/>
  <c r="K14" i="7" l="1"/>
  <c r="J39" i="51"/>
  <c r="J40" i="51"/>
  <c r="J14" i="41"/>
  <c r="J4" i="51" s="1"/>
  <c r="J38" i="51" s="1"/>
  <c r="K26" i="7"/>
  <c r="J22" i="51"/>
  <c r="K28" i="7"/>
  <c r="K5" i="15"/>
  <c r="AG4" i="41"/>
  <c r="L25" i="7"/>
  <c r="Z25" i="7" s="1"/>
  <c r="AF5" i="41"/>
  <c r="K12" i="7"/>
  <c r="L13" i="50"/>
  <c r="J4" i="15"/>
  <c r="L8" i="7"/>
  <c r="L16" i="7"/>
  <c r="Z16" i="7" s="1"/>
  <c r="U9" i="41"/>
  <c r="J11" i="41"/>
  <c r="V5" i="41"/>
  <c r="K9" i="41"/>
  <c r="K40" i="51" s="1"/>
  <c r="W4" i="41"/>
  <c r="L5" i="41"/>
  <c r="X4" i="41"/>
  <c r="P15" i="7"/>
  <c r="T15" i="7"/>
  <c r="O15" i="7"/>
  <c r="S15" i="7"/>
  <c r="R15" i="7"/>
  <c r="V15" i="7"/>
  <c r="Q15" i="7"/>
  <c r="U15" i="7"/>
  <c r="V11" i="7"/>
  <c r="R11" i="7"/>
  <c r="Q11" i="7"/>
  <c r="U11" i="7"/>
  <c r="H8" i="7"/>
  <c r="W8" i="7" s="1"/>
  <c r="G8" i="7"/>
  <c r="F8" i="7"/>
  <c r="E8" i="7"/>
  <c r="G7" i="7"/>
  <c r="C15" i="80" s="1"/>
  <c r="C18" i="80" s="1"/>
  <c r="F7" i="7"/>
  <c r="B15" i="80" s="1"/>
  <c r="B18" i="80" s="1"/>
  <c r="E7" i="7"/>
  <c r="D7" i="7"/>
  <c r="D8" i="7"/>
  <c r="D9" i="7" s="1"/>
  <c r="K22" i="51" l="1"/>
  <c r="K39" i="51"/>
  <c r="L28" i="7"/>
  <c r="Z28" i="7" s="1"/>
  <c r="J26" i="51"/>
  <c r="J24" i="51"/>
  <c r="K14" i="41"/>
  <c r="K4" i="51" s="1"/>
  <c r="K38" i="51" s="1"/>
  <c r="L26" i="7"/>
  <c r="Z26" i="7" s="1"/>
  <c r="AF9" i="41"/>
  <c r="X5" i="41"/>
  <c r="M25" i="7"/>
  <c r="AA25" i="7" s="1"/>
  <c r="AG5" i="41"/>
  <c r="N16" i="7"/>
  <c r="L5" i="15"/>
  <c r="AH4" i="41"/>
  <c r="L14" i="7"/>
  <c r="Z14" i="7" s="1"/>
  <c r="K3" i="9"/>
  <c r="K4" i="9"/>
  <c r="K32" i="7" s="1"/>
  <c r="J47" i="51" s="1"/>
  <c r="J7" i="15"/>
  <c r="L24" i="50" s="1"/>
  <c r="K6" i="15"/>
  <c r="M13" i="50"/>
  <c r="M8" i="7"/>
  <c r="K4" i="15"/>
  <c r="M16" i="7"/>
  <c r="AA16" i="7" s="1"/>
  <c r="L9" i="7"/>
  <c r="Z8" i="7"/>
  <c r="U14" i="41"/>
  <c r="W5" i="41"/>
  <c r="L9" i="41"/>
  <c r="U11" i="41"/>
  <c r="V9" i="41"/>
  <c r="K11" i="41"/>
  <c r="E9" i="7"/>
  <c r="O9" i="7" s="1"/>
  <c r="O8" i="7"/>
  <c r="S8" i="7"/>
  <c r="F9" i="7"/>
  <c r="F12" i="7" s="1"/>
  <c r="P8" i="7"/>
  <c r="T8" i="7"/>
  <c r="G9" i="7"/>
  <c r="Q8" i="7"/>
  <c r="U8" i="7"/>
  <c r="H9" i="7"/>
  <c r="V8" i="7"/>
  <c r="R8" i="7"/>
  <c r="O7" i="7"/>
  <c r="S7" i="7"/>
  <c r="T7" i="7"/>
  <c r="P7" i="7"/>
  <c r="U7" i="7"/>
  <c r="Q7" i="7"/>
  <c r="R7" i="7"/>
  <c r="V7" i="7"/>
  <c r="D12" i="7"/>
  <c r="M14" i="7" l="1"/>
  <c r="AA14" i="7" s="1"/>
  <c r="K31" i="7"/>
  <c r="L39" i="51"/>
  <c r="L40" i="51"/>
  <c r="M28" i="7"/>
  <c r="AA28" i="7" s="1"/>
  <c r="N8" i="7"/>
  <c r="AB8" i="7" s="1"/>
  <c r="L4" i="15"/>
  <c r="N13" i="50"/>
  <c r="N14" i="7" s="1"/>
  <c r="AF11" i="41"/>
  <c r="K26" i="51"/>
  <c r="K24" i="51"/>
  <c r="N25" i="7"/>
  <c r="AB25" i="7" s="1"/>
  <c r="AH5" i="41"/>
  <c r="L14" i="41"/>
  <c r="L4" i="51" s="1"/>
  <c r="L38" i="51" s="1"/>
  <c r="M26" i="7"/>
  <c r="AA26" i="7" s="1"/>
  <c r="L22" i="51"/>
  <c r="AG9" i="41"/>
  <c r="L4" i="9"/>
  <c r="L3" i="9"/>
  <c r="AF14" i="41"/>
  <c r="Z9" i="7"/>
  <c r="L12" i="7"/>
  <c r="K7" i="15"/>
  <c r="M24" i="50" s="1"/>
  <c r="L6" i="15"/>
  <c r="M9" i="7"/>
  <c r="AA8" i="7"/>
  <c r="AB16" i="7"/>
  <c r="H12" i="7"/>
  <c r="W12" i="7" s="1"/>
  <c r="W9" i="7"/>
  <c r="V14" i="41"/>
  <c r="V11" i="41"/>
  <c r="W9" i="41"/>
  <c r="L11" i="41"/>
  <c r="V9" i="7"/>
  <c r="S9" i="7"/>
  <c r="P9" i="7"/>
  <c r="R9" i="7"/>
  <c r="G12" i="7"/>
  <c r="U12" i="7" s="1"/>
  <c r="Q9" i="7"/>
  <c r="E12" i="7"/>
  <c r="S12" i="7" s="1"/>
  <c r="U9" i="7"/>
  <c r="T9" i="7"/>
  <c r="F13" i="7"/>
  <c r="R6" i="1"/>
  <c r="S6" i="1"/>
  <c r="T6" i="1"/>
  <c r="R7" i="1"/>
  <c r="S7" i="1"/>
  <c r="T7" i="1"/>
  <c r="R8" i="1"/>
  <c r="S8" i="1"/>
  <c r="T8" i="1"/>
  <c r="R9" i="1"/>
  <c r="S9" i="1"/>
  <c r="T9" i="1"/>
  <c r="R10" i="1"/>
  <c r="S10" i="1"/>
  <c r="T10" i="1"/>
  <c r="R11" i="1"/>
  <c r="S11" i="1"/>
  <c r="T11" i="1"/>
  <c r="R12" i="1"/>
  <c r="S12" i="1"/>
  <c r="T12" i="1"/>
  <c r="R15" i="1"/>
  <c r="S15" i="1"/>
  <c r="T15" i="1"/>
  <c r="R16" i="1"/>
  <c r="S16" i="1"/>
  <c r="T16" i="1"/>
  <c r="R17" i="1"/>
  <c r="S17" i="1"/>
  <c r="T17" i="1"/>
  <c r="R18" i="1"/>
  <c r="S18" i="1"/>
  <c r="T18" i="1"/>
  <c r="R23" i="1"/>
  <c r="S23" i="1"/>
  <c r="T23" i="1"/>
  <c r="R24" i="1"/>
  <c r="S24" i="1"/>
  <c r="T24" i="1"/>
  <c r="R25" i="1"/>
  <c r="S25" i="1"/>
  <c r="T25" i="1"/>
  <c r="R26" i="1"/>
  <c r="S26" i="1"/>
  <c r="T26" i="1"/>
  <c r="R27" i="1"/>
  <c r="S27" i="1"/>
  <c r="T27" i="1"/>
  <c r="R30" i="1"/>
  <c r="S30" i="1"/>
  <c r="T30" i="1"/>
  <c r="R31" i="1"/>
  <c r="S31" i="1"/>
  <c r="T31" i="1"/>
  <c r="R32" i="1"/>
  <c r="S32" i="1"/>
  <c r="T32" i="1"/>
  <c r="R33" i="1"/>
  <c r="S33" i="1"/>
  <c r="T33" i="1"/>
  <c r="R34" i="1"/>
  <c r="S34" i="1"/>
  <c r="T34" i="1"/>
  <c r="R39" i="1"/>
  <c r="S39" i="1"/>
  <c r="T39" i="1"/>
  <c r="R40" i="1"/>
  <c r="S40" i="1"/>
  <c r="T40" i="1"/>
  <c r="R41" i="1"/>
  <c r="S41" i="1"/>
  <c r="T41" i="1"/>
  <c r="R42" i="1"/>
  <c r="S42" i="1"/>
  <c r="T42" i="1"/>
  <c r="R43" i="1"/>
  <c r="S43" i="1"/>
  <c r="T43" i="1"/>
  <c r="R45" i="1"/>
  <c r="S45" i="1"/>
  <c r="T45" i="1"/>
  <c r="M69" i="50" l="1"/>
  <c r="M65" i="50" s="1"/>
  <c r="L6" i="51"/>
  <c r="I8" i="80"/>
  <c r="I9" i="80" s="1"/>
  <c r="AB14" i="7"/>
  <c r="L31" i="7"/>
  <c r="AA4" i="9"/>
  <c r="AA32" i="7" s="1"/>
  <c r="L32" i="7"/>
  <c r="K47" i="51" s="1"/>
  <c r="X9" i="41"/>
  <c r="N9" i="7"/>
  <c r="AB9" i="7" s="1"/>
  <c r="L7" i="15"/>
  <c r="N24" i="50" s="1"/>
  <c r="AG11" i="41"/>
  <c r="AA3" i="9"/>
  <c r="AA31" i="7" s="1"/>
  <c r="L26" i="51"/>
  <c r="L24" i="51"/>
  <c r="N26" i="7"/>
  <c r="AB26" i="7" s="1"/>
  <c r="M22" i="51"/>
  <c r="M24" i="51" s="1"/>
  <c r="AH9" i="41"/>
  <c r="N28" i="7"/>
  <c r="AB28" i="7" s="1"/>
  <c r="X11" i="41"/>
  <c r="M3" i="9"/>
  <c r="M4" i="9"/>
  <c r="AG14" i="41"/>
  <c r="Z12" i="7"/>
  <c r="AA9" i="7"/>
  <c r="M12" i="7"/>
  <c r="H13" i="7"/>
  <c r="W13" i="7" s="1"/>
  <c r="W14" i="41"/>
  <c r="W11" i="41"/>
  <c r="V12" i="7"/>
  <c r="R12" i="7"/>
  <c r="Q12" i="7"/>
  <c r="G13" i="7"/>
  <c r="P12" i="7"/>
  <c r="T12" i="7"/>
  <c r="O12" i="7"/>
  <c r="E11" i="7"/>
  <c r="D11" i="7"/>
  <c r="D13" i="7" s="1"/>
  <c r="M6" i="51" l="1"/>
  <c r="J8" i="80"/>
  <c r="J9" i="80" s="1"/>
  <c r="J10" i="80" s="1"/>
  <c r="N69" i="50"/>
  <c r="N65" i="50" s="1"/>
  <c r="M31" i="7"/>
  <c r="AB4" i="9"/>
  <c r="AB32" i="7" s="1"/>
  <c r="M32" i="7"/>
  <c r="L47" i="51" s="1"/>
  <c r="N12" i="7"/>
  <c r="AB12" i="7" s="1"/>
  <c r="M4" i="51"/>
  <c r="M38" i="51" s="1"/>
  <c r="X14" i="41"/>
  <c r="M26" i="51"/>
  <c r="AH11" i="41"/>
  <c r="AB3" i="9"/>
  <c r="AB31" i="7" s="1"/>
  <c r="N3" i="9"/>
  <c r="N4" i="9"/>
  <c r="AH14" i="41"/>
  <c r="AA12" i="7"/>
  <c r="V13" i="7"/>
  <c r="U13" i="7"/>
  <c r="Q13" i="7"/>
  <c r="R13" i="7"/>
  <c r="S11" i="7"/>
  <c r="O11" i="7"/>
  <c r="P11" i="7"/>
  <c r="T11" i="7"/>
  <c r="E13" i="7"/>
  <c r="N31" i="7" l="1"/>
  <c r="AC4" i="9"/>
  <c r="N32" i="7"/>
  <c r="M47" i="51" s="1"/>
  <c r="AC3" i="9"/>
  <c r="O13" i="7"/>
  <c r="S13" i="7"/>
  <c r="T13" i="7"/>
  <c r="P13" i="7"/>
  <c r="H44" i="1"/>
  <c r="G44" i="1"/>
  <c r="H35" i="1"/>
  <c r="G35" i="1"/>
  <c r="H28" i="1"/>
  <c r="G28" i="1"/>
  <c r="H19" i="1"/>
  <c r="G19" i="1"/>
  <c r="H13" i="1"/>
  <c r="G13" i="1"/>
  <c r="Y35" i="1" l="1"/>
  <c r="U35" i="1"/>
  <c r="Y19" i="1"/>
  <c r="U19" i="1"/>
  <c r="Y28" i="1"/>
  <c r="U28" i="1"/>
  <c r="Y44" i="1"/>
  <c r="U44" i="1"/>
  <c r="Y13" i="1"/>
  <c r="U13" i="1"/>
  <c r="X28" i="1"/>
  <c r="X19" i="1"/>
  <c r="X35" i="1"/>
  <c r="H3" i="7"/>
  <c r="W3" i="7" s="1"/>
  <c r="H48" i="1"/>
  <c r="G48" i="1"/>
  <c r="X44" i="1"/>
  <c r="G3" i="7"/>
  <c r="X13" i="1"/>
  <c r="T19" i="1"/>
  <c r="T28" i="1"/>
  <c r="T35" i="1"/>
  <c r="G14" i="7"/>
  <c r="G46" i="1"/>
  <c r="H14" i="7"/>
  <c r="W14" i="7" s="1"/>
  <c r="T13" i="1"/>
  <c r="H46" i="1"/>
  <c r="T44" i="1"/>
  <c r="H5" i="7"/>
  <c r="W5" i="7" s="1"/>
  <c r="H4" i="7"/>
  <c r="W4" i="7" s="1"/>
  <c r="G5" i="7"/>
  <c r="G4" i="7"/>
  <c r="H36" i="1"/>
  <c r="H20" i="1"/>
  <c r="G36" i="1"/>
  <c r="G20" i="1"/>
  <c r="G8" i="2"/>
  <c r="F44" i="1"/>
  <c r="E44" i="1"/>
  <c r="W44" i="1" s="1"/>
  <c r="D44" i="1"/>
  <c r="Q45" i="1"/>
  <c r="Q43" i="1"/>
  <c r="Q42" i="1"/>
  <c r="Q41" i="1"/>
  <c r="Q40" i="1"/>
  <c r="Q39" i="1"/>
  <c r="Q34" i="1"/>
  <c r="Q33" i="1"/>
  <c r="Q32" i="1"/>
  <c r="Q31" i="1"/>
  <c r="Q30" i="1"/>
  <c r="Q27" i="1"/>
  <c r="Q26" i="1"/>
  <c r="Q25" i="1"/>
  <c r="Q24" i="1"/>
  <c r="Q23" i="1"/>
  <c r="Q18" i="1"/>
  <c r="Q17" i="1"/>
  <c r="Q16" i="1"/>
  <c r="Q15" i="1"/>
  <c r="Q7" i="1"/>
  <c r="Q8" i="1"/>
  <c r="Q9" i="1"/>
  <c r="Q10" i="1"/>
  <c r="Q11" i="1"/>
  <c r="Q12" i="1"/>
  <c r="Q6" i="1"/>
  <c r="F35" i="1"/>
  <c r="E35" i="1"/>
  <c r="D35" i="1"/>
  <c r="F28" i="1"/>
  <c r="E28" i="1"/>
  <c r="D28" i="1"/>
  <c r="F13" i="1"/>
  <c r="E13" i="1"/>
  <c r="W13" i="1" s="1"/>
  <c r="D13" i="1"/>
  <c r="F19" i="1"/>
  <c r="E19" i="1"/>
  <c r="D19" i="1"/>
  <c r="E5" i="2"/>
  <c r="C24" i="40"/>
  <c r="G5" i="2"/>
  <c r="F5" i="2"/>
  <c r="F8" i="2"/>
  <c r="Q8" i="2" s="1"/>
  <c r="D8" i="2"/>
  <c r="C8" i="2"/>
  <c r="D5" i="2"/>
  <c r="C5" i="2"/>
  <c r="W28" i="1" l="1"/>
  <c r="W19" i="1"/>
  <c r="W35" i="1"/>
  <c r="Q5" i="2"/>
  <c r="J8" i="2"/>
  <c r="P8" i="2"/>
  <c r="O8" i="2"/>
  <c r="R8" i="2"/>
  <c r="S8" i="2"/>
  <c r="J5" i="2"/>
  <c r="O5" i="2"/>
  <c r="R5" i="2"/>
  <c r="S5" i="2"/>
  <c r="K5" i="2"/>
  <c r="P5" i="2"/>
  <c r="M8" i="2"/>
  <c r="V8" i="2"/>
  <c r="M5" i="2"/>
  <c r="V5" i="2"/>
  <c r="Y46" i="1"/>
  <c r="U46" i="1"/>
  <c r="Y36" i="1"/>
  <c r="U36" i="1"/>
  <c r="Y20" i="1"/>
  <c r="U20" i="1"/>
  <c r="S35" i="1"/>
  <c r="S19" i="1"/>
  <c r="S28" i="1"/>
  <c r="B14" i="49"/>
  <c r="B13" i="49" s="1"/>
  <c r="R3" i="7"/>
  <c r="V3" i="7"/>
  <c r="E48" i="1"/>
  <c r="F48" i="1"/>
  <c r="D48" i="1"/>
  <c r="X20" i="1"/>
  <c r="X36" i="1"/>
  <c r="T5" i="2"/>
  <c r="L8" i="2"/>
  <c r="U8" i="2"/>
  <c r="D3" i="7"/>
  <c r="X46" i="1"/>
  <c r="N46" i="1"/>
  <c r="N45" i="1"/>
  <c r="N43" i="1"/>
  <c r="N42" i="1"/>
  <c r="N41" i="1"/>
  <c r="N40" i="1"/>
  <c r="N39" i="1"/>
  <c r="L5" i="2"/>
  <c r="U5" i="2"/>
  <c r="O46" i="1"/>
  <c r="O45" i="1"/>
  <c r="O43" i="1"/>
  <c r="O42" i="1"/>
  <c r="O41" i="1"/>
  <c r="O40" i="1"/>
  <c r="O39" i="1"/>
  <c r="I8" i="2"/>
  <c r="T8" i="2"/>
  <c r="N44" i="1"/>
  <c r="O44" i="1"/>
  <c r="R4" i="7"/>
  <c r="V4" i="7"/>
  <c r="V5" i="7"/>
  <c r="R5" i="7"/>
  <c r="E14" i="7"/>
  <c r="E3" i="7"/>
  <c r="S13" i="1"/>
  <c r="F3" i="7"/>
  <c r="R14" i="7"/>
  <c r="V14" i="7"/>
  <c r="S44" i="1"/>
  <c r="H19" i="7"/>
  <c r="W19" i="7" s="1"/>
  <c r="T46" i="1"/>
  <c r="H47" i="1"/>
  <c r="H20" i="7"/>
  <c r="W20" i="7" s="1"/>
  <c r="H18" i="7"/>
  <c r="W18" i="7" s="1"/>
  <c r="H21" i="7"/>
  <c r="W21" i="7" s="1"/>
  <c r="T36" i="1"/>
  <c r="H23" i="7"/>
  <c r="W23" i="7" s="1"/>
  <c r="D14" i="7"/>
  <c r="D5" i="7"/>
  <c r="R44" i="1"/>
  <c r="G19" i="7"/>
  <c r="G24" i="7"/>
  <c r="G17" i="7"/>
  <c r="N28" i="1"/>
  <c r="G20" i="7"/>
  <c r="G18" i="7"/>
  <c r="G21" i="7"/>
  <c r="R28" i="1"/>
  <c r="R19" i="1"/>
  <c r="R35" i="1"/>
  <c r="F14" i="7"/>
  <c r="U14" i="7" s="1"/>
  <c r="R13" i="1"/>
  <c r="H17" i="7"/>
  <c r="W17" i="7" s="1"/>
  <c r="H24" i="7"/>
  <c r="W24" i="7" s="1"/>
  <c r="T20" i="1"/>
  <c r="G23" i="7"/>
  <c r="D25" i="7"/>
  <c r="I5" i="2"/>
  <c r="E25" i="7"/>
  <c r="G25" i="7"/>
  <c r="F25" i="7"/>
  <c r="E9" i="2"/>
  <c r="G9" i="2"/>
  <c r="H25" i="7"/>
  <c r="W25" i="7" s="1"/>
  <c r="D20" i="1"/>
  <c r="D4" i="7"/>
  <c r="E5" i="7"/>
  <c r="E4" i="7"/>
  <c r="F5" i="7"/>
  <c r="F4" i="7"/>
  <c r="G47" i="1"/>
  <c r="Q13" i="1"/>
  <c r="D46" i="1"/>
  <c r="D19" i="7" s="1"/>
  <c r="O31" i="1"/>
  <c r="O27" i="1"/>
  <c r="O24" i="1"/>
  <c r="O26" i="1"/>
  <c r="O33" i="1"/>
  <c r="O30" i="1"/>
  <c r="O23" i="1"/>
  <c r="O36" i="1"/>
  <c r="O34" i="1"/>
  <c r="O35" i="1"/>
  <c r="O25" i="1"/>
  <c r="O32" i="1"/>
  <c r="O28" i="1"/>
  <c r="O15" i="1"/>
  <c r="O8" i="1"/>
  <c r="O10" i="1"/>
  <c r="O18" i="1"/>
  <c r="O17" i="1"/>
  <c r="O20" i="1"/>
  <c r="O7" i="1"/>
  <c r="O12" i="1"/>
  <c r="O9" i="1"/>
  <c r="O19" i="1"/>
  <c r="O16" i="1"/>
  <c r="O6" i="1"/>
  <c r="O11" i="1"/>
  <c r="O13" i="1"/>
  <c r="N35" i="1"/>
  <c r="N26" i="1"/>
  <c r="N33" i="1"/>
  <c r="N32" i="1"/>
  <c r="N23" i="1"/>
  <c r="N24" i="1"/>
  <c r="N34" i="1"/>
  <c r="N25" i="1"/>
  <c r="N36" i="1"/>
  <c r="N31" i="1"/>
  <c r="N27" i="1"/>
  <c r="N30" i="1"/>
  <c r="N18" i="1"/>
  <c r="N9" i="1"/>
  <c r="N15" i="1"/>
  <c r="N6" i="1"/>
  <c r="N17" i="1"/>
  <c r="N7" i="1"/>
  <c r="N12" i="1"/>
  <c r="N20" i="1"/>
  <c r="N11" i="1"/>
  <c r="N8" i="1"/>
  <c r="N19" i="1"/>
  <c r="N10" i="1"/>
  <c r="N16" i="1"/>
  <c r="N13" i="1"/>
  <c r="E20" i="1"/>
  <c r="D36" i="1"/>
  <c r="E46" i="1"/>
  <c r="F46" i="1"/>
  <c r="Q44" i="1"/>
  <c r="E36" i="1"/>
  <c r="W36" i="1" s="1"/>
  <c r="Q35" i="1"/>
  <c r="F36" i="1"/>
  <c r="S36" i="1" s="1"/>
  <c r="Q28" i="1"/>
  <c r="Q19" i="1"/>
  <c r="F20" i="1"/>
  <c r="C9" i="2"/>
  <c r="D9" i="2"/>
  <c r="F9" i="2"/>
  <c r="W46" i="1" l="1"/>
  <c r="W20" i="1"/>
  <c r="D24" i="7"/>
  <c r="D21" i="7"/>
  <c r="D20" i="7"/>
  <c r="D23" i="7"/>
  <c r="F13" i="9"/>
  <c r="F41" i="7" s="1"/>
  <c r="C79" i="25" s="1"/>
  <c r="P9" i="2"/>
  <c r="G13" i="9"/>
  <c r="G41" i="7" s="1"/>
  <c r="D79" i="25" s="1"/>
  <c r="Q9" i="2"/>
  <c r="O9" i="2"/>
  <c r="R9" i="2"/>
  <c r="S9" i="2"/>
  <c r="J9" i="2"/>
  <c r="E13" i="9"/>
  <c r="E41" i="7" s="1"/>
  <c r="B79" i="25" s="1"/>
  <c r="H13" i="9"/>
  <c r="H28" i="7"/>
  <c r="W28" i="7" s="1"/>
  <c r="V9" i="2"/>
  <c r="Y47" i="1"/>
  <c r="U47" i="1"/>
  <c r="S20" i="1"/>
  <c r="K9" i="2"/>
  <c r="E13" i="2"/>
  <c r="K13" i="2" s="1"/>
  <c r="F13" i="2"/>
  <c r="L44" i="1"/>
  <c r="M9" i="2"/>
  <c r="G13" i="2"/>
  <c r="X47" i="1"/>
  <c r="T9" i="2"/>
  <c r="D10" i="9"/>
  <c r="D38" i="7" s="1"/>
  <c r="L9" i="2"/>
  <c r="U9" i="2"/>
  <c r="M46" i="1"/>
  <c r="M45" i="1"/>
  <c r="M43" i="1"/>
  <c r="M42" i="1"/>
  <c r="M41" i="1"/>
  <c r="M40" i="1"/>
  <c r="M39" i="1"/>
  <c r="L46" i="1"/>
  <c r="L45" i="1"/>
  <c r="L43" i="1"/>
  <c r="L42" i="1"/>
  <c r="L41" i="1"/>
  <c r="L40" i="1"/>
  <c r="L39" i="1"/>
  <c r="K40" i="1"/>
  <c r="K43" i="1"/>
  <c r="K39" i="1"/>
  <c r="K46" i="1"/>
  <c r="K42" i="1"/>
  <c r="K45" i="1"/>
  <c r="K41" i="1"/>
  <c r="K16" i="1"/>
  <c r="M44" i="1"/>
  <c r="K44" i="1"/>
  <c r="O3" i="7"/>
  <c r="S3" i="7"/>
  <c r="V21" i="7"/>
  <c r="R21" i="7"/>
  <c r="P5" i="7"/>
  <c r="T5" i="7"/>
  <c r="R18" i="7"/>
  <c r="V18" i="7"/>
  <c r="U5" i="7"/>
  <c r="O4" i="7"/>
  <c r="S4" i="7"/>
  <c r="V20" i="7"/>
  <c r="R20" i="7"/>
  <c r="Q5" i="7"/>
  <c r="T3" i="7"/>
  <c r="P3" i="7"/>
  <c r="U3" i="7"/>
  <c r="Q3" i="7"/>
  <c r="P4" i="7"/>
  <c r="T4" i="7"/>
  <c r="O5" i="7"/>
  <c r="S5" i="7"/>
  <c r="O14" i="7"/>
  <c r="R19" i="7"/>
  <c r="V19" i="7"/>
  <c r="Q4" i="7"/>
  <c r="U4" i="7"/>
  <c r="S14" i="7"/>
  <c r="R25" i="7"/>
  <c r="V25" i="7"/>
  <c r="T14" i="7"/>
  <c r="P14" i="7"/>
  <c r="O25" i="7"/>
  <c r="S25" i="7"/>
  <c r="R23" i="7"/>
  <c r="V23" i="7"/>
  <c r="R17" i="7"/>
  <c r="V17" i="7"/>
  <c r="Q25" i="7"/>
  <c r="U25" i="7"/>
  <c r="P25" i="7"/>
  <c r="T25" i="7"/>
  <c r="R24" i="7"/>
  <c r="V24" i="7"/>
  <c r="Q14" i="7"/>
  <c r="K13" i="1"/>
  <c r="K15" i="1"/>
  <c r="K12" i="1"/>
  <c r="K7" i="1"/>
  <c r="K11" i="1"/>
  <c r="K6" i="1"/>
  <c r="K20" i="1"/>
  <c r="K18" i="1"/>
  <c r="K19" i="1"/>
  <c r="K9" i="1"/>
  <c r="K17" i="1"/>
  <c r="K10" i="1"/>
  <c r="K8" i="1"/>
  <c r="E20" i="7"/>
  <c r="E18" i="7"/>
  <c r="E21" i="7"/>
  <c r="F23" i="7"/>
  <c r="L8" i="1"/>
  <c r="E24" i="7"/>
  <c r="E17" i="7"/>
  <c r="E23" i="7"/>
  <c r="F20" i="7"/>
  <c r="F18" i="7"/>
  <c r="F21" i="7"/>
  <c r="Q21" i="7" s="1"/>
  <c r="R36" i="1"/>
  <c r="K25" i="1"/>
  <c r="D18" i="7"/>
  <c r="F19" i="7"/>
  <c r="R46" i="1"/>
  <c r="F17" i="7"/>
  <c r="U17" i="7" s="1"/>
  <c r="F24" i="7"/>
  <c r="Q24" i="7" s="1"/>
  <c r="R20" i="1"/>
  <c r="E19" i="7"/>
  <c r="T47" i="1"/>
  <c r="S46" i="1"/>
  <c r="D17" i="7"/>
  <c r="E10" i="9"/>
  <c r="E38" i="7" s="1"/>
  <c r="B75" i="25" s="1"/>
  <c r="I9" i="2"/>
  <c r="H10" i="9"/>
  <c r="G10" i="9"/>
  <c r="G38" i="7" s="1"/>
  <c r="D75" i="25" s="1"/>
  <c r="F10" i="9"/>
  <c r="F38" i="7" s="1"/>
  <c r="C75" i="25" s="1"/>
  <c r="L16" i="1"/>
  <c r="L13" i="1"/>
  <c r="G28" i="7"/>
  <c r="G26" i="7"/>
  <c r="C11" i="2"/>
  <c r="D26" i="7"/>
  <c r="D28" i="7"/>
  <c r="C13" i="2"/>
  <c r="D4" i="9" s="1"/>
  <c r="F28" i="7"/>
  <c r="F26" i="7"/>
  <c r="E11" i="2"/>
  <c r="G11" i="2"/>
  <c r="H26" i="7"/>
  <c r="W26" i="7" s="1"/>
  <c r="E28" i="7"/>
  <c r="E26" i="7"/>
  <c r="D13" i="2"/>
  <c r="L6" i="1"/>
  <c r="K24" i="1"/>
  <c r="K36" i="1"/>
  <c r="L7" i="1"/>
  <c r="K32" i="1"/>
  <c r="K33" i="1"/>
  <c r="K27" i="1"/>
  <c r="K34" i="1"/>
  <c r="L17" i="1"/>
  <c r="L11" i="1"/>
  <c r="L19" i="1"/>
  <c r="L18" i="1"/>
  <c r="L10" i="1"/>
  <c r="K23" i="1"/>
  <c r="K30" i="1"/>
  <c r="K31" i="1"/>
  <c r="K26" i="1"/>
  <c r="K35" i="1"/>
  <c r="L9" i="1"/>
  <c r="D47" i="1"/>
  <c r="Q20" i="1"/>
  <c r="L12" i="1"/>
  <c r="L20" i="1"/>
  <c r="L15" i="1"/>
  <c r="K28" i="1"/>
  <c r="M12" i="1"/>
  <c r="M17" i="1"/>
  <c r="M16" i="1"/>
  <c r="M15" i="1"/>
  <c r="M20" i="1"/>
  <c r="M11" i="1"/>
  <c r="M9" i="1"/>
  <c r="M6" i="1"/>
  <c r="M13" i="1"/>
  <c r="M10" i="1"/>
  <c r="M18" i="1"/>
  <c r="M8" i="1"/>
  <c r="M7" i="1"/>
  <c r="E47" i="1"/>
  <c r="Q46" i="1"/>
  <c r="L26" i="1"/>
  <c r="L36" i="1"/>
  <c r="L34" i="1"/>
  <c r="L25" i="1"/>
  <c r="L32" i="1"/>
  <c r="L27" i="1"/>
  <c r="L33" i="1"/>
  <c r="L24" i="1"/>
  <c r="L23" i="1"/>
  <c r="L31" i="1"/>
  <c r="L30" i="1"/>
  <c r="M30" i="1"/>
  <c r="M26" i="1"/>
  <c r="M34" i="1"/>
  <c r="M24" i="1"/>
  <c r="M23" i="1"/>
  <c r="M36" i="1"/>
  <c r="M27" i="1"/>
  <c r="M25" i="1"/>
  <c r="M33" i="1"/>
  <c r="M31" i="1"/>
  <c r="M32" i="1"/>
  <c r="F47" i="1"/>
  <c r="S47" i="1" s="1"/>
  <c r="L28" i="1"/>
  <c r="M28" i="1"/>
  <c r="M35" i="1"/>
  <c r="L35" i="1"/>
  <c r="M19" i="1"/>
  <c r="Q36" i="1"/>
  <c r="D11" i="2"/>
  <c r="F11" i="2"/>
  <c r="Q11" i="2" s="1"/>
  <c r="W47" i="1" l="1"/>
  <c r="X10" i="9"/>
  <c r="X38" i="7" s="1"/>
  <c r="H38" i="7"/>
  <c r="E75" i="25" s="1"/>
  <c r="S10" i="9"/>
  <c r="S38" i="7" s="1"/>
  <c r="X13" i="9"/>
  <c r="X41" i="7" s="1"/>
  <c r="H41" i="7"/>
  <c r="E79" i="25" s="1"/>
  <c r="S13" i="9"/>
  <c r="S41" i="7" s="1"/>
  <c r="K11" i="2"/>
  <c r="P11" i="2"/>
  <c r="D8" i="51"/>
  <c r="D11" i="51" s="1"/>
  <c r="P13" i="2"/>
  <c r="J11" i="2"/>
  <c r="O11" i="2"/>
  <c r="O13" i="2"/>
  <c r="R11" i="2"/>
  <c r="S11" i="2"/>
  <c r="R13" i="2"/>
  <c r="S13" i="2"/>
  <c r="Q13" i="2"/>
  <c r="M11" i="2"/>
  <c r="V11" i="2"/>
  <c r="V13" i="2"/>
  <c r="E8" i="51"/>
  <c r="I13" i="2"/>
  <c r="B8" i="51"/>
  <c r="B11" i="51" s="1"/>
  <c r="J13" i="2"/>
  <c r="C8" i="51"/>
  <c r="C11" i="51" s="1"/>
  <c r="M47" i="25"/>
  <c r="P10" i="9"/>
  <c r="P38" i="7" s="1"/>
  <c r="L47" i="25"/>
  <c r="O10" i="9"/>
  <c r="O38" i="7" s="1"/>
  <c r="T10" i="9"/>
  <c r="T38" i="7" s="1"/>
  <c r="N47" i="25"/>
  <c r="Q10" i="9"/>
  <c r="Q38" i="7" s="1"/>
  <c r="O47" i="25"/>
  <c r="R10" i="9"/>
  <c r="R38" i="7" s="1"/>
  <c r="M13" i="2"/>
  <c r="T11" i="2"/>
  <c r="T13" i="2"/>
  <c r="L13" i="2"/>
  <c r="U13" i="2"/>
  <c r="L11" i="2"/>
  <c r="U11" i="2"/>
  <c r="D12" i="9"/>
  <c r="K47" i="25"/>
  <c r="P19" i="7"/>
  <c r="T19" i="7"/>
  <c r="T21" i="7"/>
  <c r="P21" i="7"/>
  <c r="S21" i="7"/>
  <c r="O21" i="7"/>
  <c r="U21" i="7"/>
  <c r="P18" i="7"/>
  <c r="T18" i="7"/>
  <c r="O18" i="7"/>
  <c r="S18" i="7"/>
  <c r="S19" i="7"/>
  <c r="O19" i="7"/>
  <c r="T20" i="7"/>
  <c r="P20" i="7"/>
  <c r="S20" i="7"/>
  <c r="O20" i="7"/>
  <c r="U18" i="7"/>
  <c r="U19" i="7"/>
  <c r="Q18" i="7"/>
  <c r="Q19" i="7"/>
  <c r="U20" i="7"/>
  <c r="Q20" i="7"/>
  <c r="Q17" i="7"/>
  <c r="U24" i="7"/>
  <c r="P23" i="7"/>
  <c r="T23" i="7"/>
  <c r="T28" i="7"/>
  <c r="P28" i="7"/>
  <c r="P24" i="7"/>
  <c r="T24" i="7"/>
  <c r="P26" i="7"/>
  <c r="T26" i="7"/>
  <c r="O17" i="7"/>
  <c r="S17" i="7"/>
  <c r="O24" i="7"/>
  <c r="S24" i="7"/>
  <c r="U23" i="7"/>
  <c r="O26" i="7"/>
  <c r="S26" i="7"/>
  <c r="S28" i="7"/>
  <c r="O28" i="7"/>
  <c r="P17" i="7"/>
  <c r="T17" i="7"/>
  <c r="O23" i="7"/>
  <c r="S23" i="7"/>
  <c r="Q23" i="7"/>
  <c r="R28" i="7"/>
  <c r="V28" i="7"/>
  <c r="U26" i="7"/>
  <c r="Q26" i="7"/>
  <c r="U28" i="7"/>
  <c r="Q28" i="7"/>
  <c r="V26" i="7"/>
  <c r="R26" i="7"/>
  <c r="R47" i="1"/>
  <c r="C17" i="2"/>
  <c r="I11" i="2"/>
  <c r="D13" i="9"/>
  <c r="V10" i="9"/>
  <c r="V38" i="7" s="1"/>
  <c r="G12" i="9"/>
  <c r="G40" i="7" s="1"/>
  <c r="H4" i="9"/>
  <c r="H3" i="9"/>
  <c r="F4" i="9"/>
  <c r="F32" i="7" s="1"/>
  <c r="C81" i="25" s="1"/>
  <c r="F3" i="9"/>
  <c r="D3" i="9"/>
  <c r="G3" i="9"/>
  <c r="G4" i="9"/>
  <c r="G32" i="7" s="1"/>
  <c r="D81" i="25" s="1"/>
  <c r="E4" i="9"/>
  <c r="E32" i="7" s="1"/>
  <c r="B81" i="25" s="1"/>
  <c r="E3" i="9"/>
  <c r="E17" i="2"/>
  <c r="U10" i="9"/>
  <c r="U38" i="7" s="1"/>
  <c r="F12" i="9"/>
  <c r="F40" i="7" s="1"/>
  <c r="W10" i="9"/>
  <c r="W38" i="7" s="1"/>
  <c r="E12" i="9"/>
  <c r="E40" i="7" s="1"/>
  <c r="G17" i="2"/>
  <c r="Q47" i="1"/>
  <c r="F17" i="2"/>
  <c r="D17" i="2"/>
  <c r="B15" i="4" l="1"/>
  <c r="B76" i="25"/>
  <c r="C15" i="4"/>
  <c r="C76" i="25"/>
  <c r="P17" i="2"/>
  <c r="H8" i="9"/>
  <c r="H7" i="9"/>
  <c r="G8" i="9"/>
  <c r="G36" i="7" s="1"/>
  <c r="G7" i="9"/>
  <c r="G35" i="7" s="1"/>
  <c r="E8" i="9"/>
  <c r="E7" i="9"/>
  <c r="D7" i="9"/>
  <c r="D8" i="9"/>
  <c r="D19" i="9"/>
  <c r="D9" i="9"/>
  <c r="F7" i="9"/>
  <c r="F35" i="7" s="1"/>
  <c r="F8" i="9"/>
  <c r="F36" i="7" s="1"/>
  <c r="G9" i="9"/>
  <c r="G19" i="9"/>
  <c r="E9" i="9"/>
  <c r="E37" i="7" s="1"/>
  <c r="E19" i="9"/>
  <c r="F19" i="9"/>
  <c r="F9" i="9"/>
  <c r="F37" i="7" s="1"/>
  <c r="H9" i="9"/>
  <c r="H19" i="9"/>
  <c r="C19" i="2"/>
  <c r="C22" i="2" s="1"/>
  <c r="D22" i="7"/>
  <c r="O17" i="2"/>
  <c r="G31" i="7"/>
  <c r="D74" i="25" s="1"/>
  <c r="E31" i="7"/>
  <c r="B74" i="25" s="1"/>
  <c r="E36" i="7"/>
  <c r="D31" i="7"/>
  <c r="F31" i="7"/>
  <c r="C74" i="25" s="1"/>
  <c r="K41" i="25"/>
  <c r="D32" i="7"/>
  <c r="X3" i="9"/>
  <c r="X31" i="7" s="1"/>
  <c r="H31" i="7"/>
  <c r="E74" i="25" s="1"/>
  <c r="S3" i="9"/>
  <c r="S31" i="7" s="1"/>
  <c r="X4" i="9"/>
  <c r="X32" i="7" s="1"/>
  <c r="H32" i="7"/>
  <c r="E81" i="25" s="1"/>
  <c r="S4" i="9"/>
  <c r="S32" i="7" s="1"/>
  <c r="K50" i="25"/>
  <c r="D41" i="7"/>
  <c r="K49" i="25"/>
  <c r="D40" i="7"/>
  <c r="R17" i="2"/>
  <c r="S17" i="2"/>
  <c r="Q17" i="2"/>
  <c r="V17" i="2"/>
  <c r="O4" i="9"/>
  <c r="O32" i="7" s="1"/>
  <c r="D19" i="51"/>
  <c r="D20" i="51" s="1"/>
  <c r="E11" i="51"/>
  <c r="J17" i="2"/>
  <c r="D19" i="2"/>
  <c r="K17" i="2"/>
  <c r="E19" i="2"/>
  <c r="F19" i="2"/>
  <c r="O41" i="25"/>
  <c r="R4" i="9"/>
  <c r="R32" i="7" s="1"/>
  <c r="L50" i="25"/>
  <c r="O13" i="9"/>
  <c r="O41" i="7" s="1"/>
  <c r="T13" i="9"/>
  <c r="T41" i="7" s="1"/>
  <c r="M50" i="25"/>
  <c r="P13" i="9"/>
  <c r="P41" i="7" s="1"/>
  <c r="N41" i="25"/>
  <c r="Q4" i="9"/>
  <c r="Q32" i="7" s="1"/>
  <c r="M40" i="25"/>
  <c r="P3" i="9"/>
  <c r="P31" i="7" s="1"/>
  <c r="N50" i="25"/>
  <c r="Q13" i="9"/>
  <c r="Q41" i="7" s="1"/>
  <c r="O50" i="25"/>
  <c r="R13" i="9"/>
  <c r="R41" i="7" s="1"/>
  <c r="L41" i="25"/>
  <c r="T4" i="9"/>
  <c r="T32" i="7" s="1"/>
  <c r="N49" i="25"/>
  <c r="Q12" i="9"/>
  <c r="Q40" i="7" s="1"/>
  <c r="M49" i="25"/>
  <c r="P12" i="9"/>
  <c r="P40" i="7" s="1"/>
  <c r="N40" i="25"/>
  <c r="Q3" i="9"/>
  <c r="Q31" i="7" s="1"/>
  <c r="M41" i="25"/>
  <c r="P4" i="9"/>
  <c r="P32" i="7" s="1"/>
  <c r="L49" i="25"/>
  <c r="O12" i="9"/>
  <c r="O40" i="7" s="1"/>
  <c r="T12" i="9"/>
  <c r="T40" i="7" s="1"/>
  <c r="L40" i="25"/>
  <c r="O3" i="9"/>
  <c r="O31" i="7" s="1"/>
  <c r="T3" i="9"/>
  <c r="T31" i="7" s="1"/>
  <c r="R3" i="9"/>
  <c r="R31" i="7" s="1"/>
  <c r="M17" i="2"/>
  <c r="G19" i="2"/>
  <c r="M19" i="2" s="1"/>
  <c r="O40" i="25"/>
  <c r="K40" i="25"/>
  <c r="I19" i="2"/>
  <c r="T17" i="2"/>
  <c r="L17" i="2"/>
  <c r="U17" i="2"/>
  <c r="E22" i="7"/>
  <c r="V12" i="9"/>
  <c r="V40" i="7" s="1"/>
  <c r="U12" i="9"/>
  <c r="U40" i="7" s="1"/>
  <c r="U3" i="9"/>
  <c r="U31" i="7" s="1"/>
  <c r="W4" i="9"/>
  <c r="W32" i="7" s="1"/>
  <c r="I17" i="2"/>
  <c r="G22" i="7"/>
  <c r="U4" i="9"/>
  <c r="U32" i="7" s="1"/>
  <c r="W13" i="9"/>
  <c r="W41" i="7" s="1"/>
  <c r="H22" i="7"/>
  <c r="W22" i="7" s="1"/>
  <c r="F22" i="7"/>
  <c r="V4" i="9"/>
  <c r="V32" i="7" s="1"/>
  <c r="U13" i="9"/>
  <c r="U41" i="7" s="1"/>
  <c r="E35" i="7"/>
  <c r="V3" i="9"/>
  <c r="V31" i="7" s="1"/>
  <c r="G37" i="7"/>
  <c r="W3" i="9"/>
  <c r="W31" i="7" s="1"/>
  <c r="V13" i="9"/>
  <c r="V41" i="7" s="1"/>
  <c r="J19" i="2"/>
  <c r="D15" i="4" l="1"/>
  <c r="D76" i="25"/>
  <c r="Q19" i="2"/>
  <c r="O19" i="9"/>
  <c r="T19" i="9"/>
  <c r="R19" i="9"/>
  <c r="W19" i="9"/>
  <c r="X19" i="9"/>
  <c r="S19" i="9"/>
  <c r="P19" i="9"/>
  <c r="U19" i="9"/>
  <c r="Q19" i="9"/>
  <c r="V19" i="9"/>
  <c r="O19" i="2"/>
  <c r="D22" i="2"/>
  <c r="P19" i="2"/>
  <c r="D29" i="7"/>
  <c r="D30" i="7"/>
  <c r="K44" i="25"/>
  <c r="D35" i="7"/>
  <c r="K46" i="25"/>
  <c r="D37" i="7"/>
  <c r="X7" i="9"/>
  <c r="X35" i="7" s="1"/>
  <c r="H35" i="7"/>
  <c r="S7" i="9"/>
  <c r="S35" i="7" s="1"/>
  <c r="X9" i="9"/>
  <c r="X37" i="7" s="1"/>
  <c r="H37" i="7"/>
  <c r="S9" i="9"/>
  <c r="S37" i="7" s="1"/>
  <c r="K45" i="25"/>
  <c r="D36" i="7"/>
  <c r="X8" i="9"/>
  <c r="X36" i="7" s="1"/>
  <c r="H36" i="7"/>
  <c r="S8" i="9"/>
  <c r="S36" i="7" s="1"/>
  <c r="R19" i="2"/>
  <c r="S19" i="2"/>
  <c r="G22" i="2"/>
  <c r="V19" i="2"/>
  <c r="E19" i="51"/>
  <c r="E20" i="51" s="1"/>
  <c r="E22" i="2"/>
  <c r="K19" i="2"/>
  <c r="F22" i="2"/>
  <c r="N44" i="25"/>
  <c r="Q7" i="9"/>
  <c r="Q35" i="7" s="1"/>
  <c r="L45" i="25"/>
  <c r="O8" i="9"/>
  <c r="O36" i="7" s="1"/>
  <c r="T8" i="9"/>
  <c r="T36" i="7" s="1"/>
  <c r="M46" i="25"/>
  <c r="P9" i="9"/>
  <c r="P37" i="7" s="1"/>
  <c r="O44" i="25"/>
  <c r="R7" i="9"/>
  <c r="R35" i="7" s="1"/>
  <c r="N45" i="25"/>
  <c r="Q8" i="9"/>
  <c r="Q36" i="7" s="1"/>
  <c r="L44" i="25"/>
  <c r="O7" i="9"/>
  <c r="O35" i="7" s="1"/>
  <c r="T7" i="9"/>
  <c r="T35" i="7" s="1"/>
  <c r="M45" i="25"/>
  <c r="P8" i="9"/>
  <c r="P36" i="7" s="1"/>
  <c r="M44" i="25"/>
  <c r="P7" i="9"/>
  <c r="P35" i="7" s="1"/>
  <c r="O46" i="25"/>
  <c r="R9" i="9"/>
  <c r="R37" i="7" s="1"/>
  <c r="O45" i="25"/>
  <c r="R8" i="9"/>
  <c r="R36" i="7" s="1"/>
  <c r="N46" i="25"/>
  <c r="Q9" i="9"/>
  <c r="Q37" i="7" s="1"/>
  <c r="L46" i="25"/>
  <c r="O9" i="9"/>
  <c r="O37" i="7" s="1"/>
  <c r="T9" i="9"/>
  <c r="T37" i="7" s="1"/>
  <c r="I22" i="2"/>
  <c r="L19" i="2"/>
  <c r="U19" i="2"/>
  <c r="T19" i="2"/>
  <c r="S22" i="7"/>
  <c r="O22" i="7"/>
  <c r="T22" i="7"/>
  <c r="P22" i="7"/>
  <c r="U22" i="7"/>
  <c r="Q22" i="7"/>
  <c r="R22" i="7"/>
  <c r="V22" i="7"/>
  <c r="V9" i="9"/>
  <c r="V37" i="7" s="1"/>
  <c r="U7" i="9"/>
  <c r="U35" i="7" s="1"/>
  <c r="W7" i="9"/>
  <c r="W35" i="7" s="1"/>
  <c r="V7" i="9"/>
  <c r="V35" i="7" s="1"/>
  <c r="U8" i="9"/>
  <c r="U36" i="7" s="1"/>
  <c r="U9" i="9"/>
  <c r="U37" i="7" s="1"/>
  <c r="W8" i="9"/>
  <c r="W36" i="7" s="1"/>
  <c r="W9" i="9"/>
  <c r="W37" i="7" s="1"/>
  <c r="V8" i="9"/>
  <c r="V36" i="7" s="1"/>
  <c r="Q22" i="2" l="1"/>
  <c r="O22" i="2"/>
  <c r="R22" i="2"/>
  <c r="S22" i="2"/>
  <c r="P22" i="2"/>
  <c r="M22" i="2"/>
  <c r="J22" i="2"/>
  <c r="E15" i="9"/>
  <c r="E43" i="7" s="1"/>
  <c r="B78" i="25" s="1"/>
  <c r="E14" i="9"/>
  <c r="E42" i="7" s="1"/>
  <c r="B77" i="25" s="1"/>
  <c r="G15" i="9"/>
  <c r="G43" i="7" s="1"/>
  <c r="D78" i="25" s="1"/>
  <c r="G14" i="9"/>
  <c r="G42" i="7" s="1"/>
  <c r="D77" i="25" s="1"/>
  <c r="F15" i="9"/>
  <c r="F14" i="9"/>
  <c r="H15" i="9"/>
  <c r="H14" i="9"/>
  <c r="H29" i="7"/>
  <c r="W29" i="7" s="1"/>
  <c r="H30" i="7"/>
  <c r="W30" i="7" s="1"/>
  <c r="V22" i="2"/>
  <c r="D27" i="7"/>
  <c r="K22" i="2"/>
  <c r="F27" i="7"/>
  <c r="F30" i="7"/>
  <c r="F29" i="7"/>
  <c r="D15" i="9"/>
  <c r="D14" i="9"/>
  <c r="L22" i="2"/>
  <c r="U22" i="2"/>
  <c r="T22" i="2"/>
  <c r="E27" i="7"/>
  <c r="E30" i="7"/>
  <c r="E29" i="7"/>
  <c r="G27" i="7"/>
  <c r="G30" i="7"/>
  <c r="G29" i="7"/>
  <c r="H27" i="7"/>
  <c r="W27" i="7" s="1"/>
  <c r="K52" i="25" l="1"/>
  <c r="D43" i="7"/>
  <c r="M52" i="25"/>
  <c r="F43" i="7"/>
  <c r="C78" i="25" s="1"/>
  <c r="X14" i="9"/>
  <c r="X42" i="7" s="1"/>
  <c r="H42" i="7"/>
  <c r="E77" i="25" s="1"/>
  <c r="S14" i="9"/>
  <c r="S42" i="7" s="1"/>
  <c r="X15" i="9"/>
  <c r="X43" i="7" s="1"/>
  <c r="H43" i="7"/>
  <c r="E78" i="25" s="1"/>
  <c r="S15" i="9"/>
  <c r="S43" i="7" s="1"/>
  <c r="K51" i="25"/>
  <c r="D42" i="7"/>
  <c r="M51" i="25"/>
  <c r="F42" i="7"/>
  <c r="C77" i="25" s="1"/>
  <c r="N51" i="25"/>
  <c r="Q14" i="9"/>
  <c r="Q42" i="7" s="1"/>
  <c r="N52" i="25"/>
  <c r="Q15" i="9"/>
  <c r="Q43" i="7" s="1"/>
  <c r="O52" i="25"/>
  <c r="R15" i="9"/>
  <c r="R43" i="7" s="1"/>
  <c r="L51" i="25"/>
  <c r="T14" i="9"/>
  <c r="T42" i="7" s="1"/>
  <c r="O14" i="9"/>
  <c r="O42" i="7" s="1"/>
  <c r="P14" i="9"/>
  <c r="P42" i="7" s="1"/>
  <c r="O51" i="25"/>
  <c r="R14" i="9"/>
  <c r="R42" i="7" s="1"/>
  <c r="L52" i="25"/>
  <c r="O15" i="9"/>
  <c r="O43" i="7" s="1"/>
  <c r="T15" i="9"/>
  <c r="T43" i="7" s="1"/>
  <c r="P15" i="9"/>
  <c r="P43" i="7" s="1"/>
  <c r="O27" i="7"/>
  <c r="S27" i="7"/>
  <c r="P27" i="7"/>
  <c r="T27" i="7"/>
  <c r="O30" i="7"/>
  <c r="S30" i="7"/>
  <c r="T30" i="7"/>
  <c r="P30" i="7"/>
  <c r="S29" i="7"/>
  <c r="O29" i="7"/>
  <c r="T29" i="7"/>
  <c r="P29" i="7"/>
  <c r="V27" i="7"/>
  <c r="R27" i="7"/>
  <c r="U30" i="7"/>
  <c r="Q30" i="7"/>
  <c r="Q27" i="7"/>
  <c r="U27" i="7"/>
  <c r="V30" i="7"/>
  <c r="R30" i="7"/>
  <c r="Q29" i="7"/>
  <c r="U29" i="7"/>
  <c r="V29" i="7"/>
  <c r="R29" i="7"/>
  <c r="W15" i="9"/>
  <c r="W43" i="7" s="1"/>
  <c r="U15" i="9"/>
  <c r="U43" i="7" s="1"/>
  <c r="U14" i="9"/>
  <c r="U42" i="7" s="1"/>
  <c r="V14" i="9"/>
  <c r="V42" i="7" s="1"/>
  <c r="V15" i="9"/>
  <c r="V43" i="7" s="1"/>
  <c r="W14" i="9"/>
  <c r="W42" i="7" s="1"/>
  <c r="C22" i="49" l="1"/>
  <c r="C25" i="49" l="1"/>
  <c r="T17" i="41"/>
  <c r="T22" i="41"/>
  <c r="T3" i="41"/>
  <c r="T16" i="41"/>
  <c r="T7" i="41"/>
  <c r="T12" i="41"/>
  <c r="T8" i="41"/>
  <c r="I10" i="41"/>
  <c r="T6" i="41"/>
  <c r="C64" i="25" l="1"/>
  <c r="I9" i="51"/>
  <c r="AD10" i="41"/>
  <c r="AE10" i="41"/>
  <c r="H5" i="15"/>
  <c r="AD4" i="41"/>
  <c r="AE4" i="41"/>
  <c r="J18" i="51"/>
  <c r="J6" i="7"/>
  <c r="J19" i="50"/>
  <c r="I5" i="41"/>
  <c r="T4" i="41"/>
  <c r="T10" i="41"/>
  <c r="H33" i="51" l="1"/>
  <c r="H34" i="51" s="1"/>
  <c r="H46" i="51"/>
  <c r="T5" i="41"/>
  <c r="J25" i="7"/>
  <c r="AD5" i="41"/>
  <c r="AE5" i="41"/>
  <c r="J13" i="50"/>
  <c r="H4" i="15"/>
  <c r="J8" i="7"/>
  <c r="J16" i="7"/>
  <c r="X16" i="7" s="1"/>
  <c r="J7" i="7"/>
  <c r="F15" i="80" s="1"/>
  <c r="F18" i="80" s="1"/>
  <c r="X6" i="7"/>
  <c r="Y6" i="7"/>
  <c r="I9" i="41"/>
  <c r="K19" i="50"/>
  <c r="J20" i="50" l="1"/>
  <c r="J14" i="7"/>
  <c r="Y14" i="7" s="1"/>
  <c r="I39" i="51"/>
  <c r="I40" i="51"/>
  <c r="I14" i="41"/>
  <c r="I4" i="51" s="1"/>
  <c r="I38" i="51" s="1"/>
  <c r="J26" i="7"/>
  <c r="I22" i="51"/>
  <c r="AD9" i="41"/>
  <c r="AE9" i="41"/>
  <c r="J28" i="7"/>
  <c r="Y28" i="7" s="1"/>
  <c r="X25" i="7"/>
  <c r="Y25" i="7"/>
  <c r="J9" i="7"/>
  <c r="J12" i="7" s="1"/>
  <c r="X8" i="7"/>
  <c r="Y8" i="7"/>
  <c r="Y16" i="7"/>
  <c r="I6" i="15"/>
  <c r="I7" i="15" s="1"/>
  <c r="K24" i="50" s="1"/>
  <c r="H7" i="15"/>
  <c r="J24" i="50" s="1"/>
  <c r="K20" i="50"/>
  <c r="X7" i="7"/>
  <c r="Y7" i="7"/>
  <c r="T9" i="41"/>
  <c r="I11" i="41"/>
  <c r="L19" i="50"/>
  <c r="I6" i="51" l="1"/>
  <c r="J69" i="50"/>
  <c r="J65" i="50" s="1"/>
  <c r="F8" i="80"/>
  <c r="F9" i="80" s="1"/>
  <c r="F10" i="80" s="1"/>
  <c r="J6" i="51"/>
  <c r="G8" i="80"/>
  <c r="G9" i="80" s="1"/>
  <c r="K69" i="50"/>
  <c r="K65" i="50" s="1"/>
  <c r="H8" i="80"/>
  <c r="H9" i="80" s="1"/>
  <c r="K6" i="51"/>
  <c r="L69" i="50"/>
  <c r="L65" i="50" s="1"/>
  <c r="J17" i="7"/>
  <c r="X17" i="7" s="1"/>
  <c r="U19" i="50"/>
  <c r="U18" i="50"/>
  <c r="U17" i="50"/>
  <c r="U11" i="50"/>
  <c r="U6" i="50"/>
  <c r="U8" i="50"/>
  <c r="U13" i="50"/>
  <c r="U16" i="50"/>
  <c r="U20" i="50"/>
  <c r="U12" i="50"/>
  <c r="U10" i="50"/>
  <c r="D14" i="49"/>
  <c r="U7" i="50"/>
  <c r="U9" i="50"/>
  <c r="U15" i="50"/>
  <c r="X14" i="7"/>
  <c r="T14" i="41"/>
  <c r="X28" i="7"/>
  <c r="I26" i="51"/>
  <c r="I24" i="51"/>
  <c r="X26" i="7"/>
  <c r="Y26" i="7"/>
  <c r="AD11" i="41"/>
  <c r="AE11" i="41"/>
  <c r="J3" i="9"/>
  <c r="J4" i="9"/>
  <c r="J32" i="7" s="1"/>
  <c r="I47" i="51" s="1"/>
  <c r="AD14" i="41"/>
  <c r="AE14" i="41"/>
  <c r="V8" i="50"/>
  <c r="V9" i="50"/>
  <c r="V10" i="50"/>
  <c r="V12" i="50"/>
  <c r="V15" i="50"/>
  <c r="V17" i="50"/>
  <c r="V18" i="50"/>
  <c r="V20" i="50"/>
  <c r="V6" i="50"/>
  <c r="V16" i="50"/>
  <c r="V7" i="50"/>
  <c r="V13" i="50"/>
  <c r="V11" i="50"/>
  <c r="V19" i="50"/>
  <c r="X9" i="7"/>
  <c r="Y9" i="7"/>
  <c r="K17" i="7"/>
  <c r="E14" i="49"/>
  <c r="L20" i="50"/>
  <c r="X12" i="7"/>
  <c r="Y12" i="7"/>
  <c r="T13" i="41"/>
  <c r="T11" i="41"/>
  <c r="N19" i="50"/>
  <c r="M19" i="50"/>
  <c r="H10" i="80" l="1"/>
  <c r="I10" i="80"/>
  <c r="G10" i="80"/>
  <c r="Y17" i="7"/>
  <c r="J31" i="7"/>
  <c r="Y3" i="9"/>
  <c r="Y31" i="7" s="1"/>
  <c r="Z3" i="9"/>
  <c r="Z31" i="7" s="1"/>
  <c r="Y4" i="9"/>
  <c r="Y32" i="7" s="1"/>
  <c r="Z4" i="9"/>
  <c r="Z32" i="7" s="1"/>
  <c r="L17" i="7"/>
  <c r="Z17" i="7" s="1"/>
  <c r="W8" i="50"/>
  <c r="W9" i="50"/>
  <c r="W10" i="50"/>
  <c r="W12" i="50"/>
  <c r="W15" i="50"/>
  <c r="W17" i="50"/>
  <c r="W18" i="50"/>
  <c r="W20" i="50"/>
  <c r="W6" i="50"/>
  <c r="W16" i="50"/>
  <c r="W7" i="50"/>
  <c r="W11" i="50"/>
  <c r="W13" i="50"/>
  <c r="W19" i="50"/>
  <c r="F14" i="49"/>
  <c r="M20" i="50"/>
  <c r="N20" i="50"/>
  <c r="T21" i="41"/>
  <c r="M17" i="7" l="1"/>
  <c r="AA17" i="7" s="1"/>
  <c r="X9" i="50"/>
  <c r="X17" i="50"/>
  <c r="X8" i="50"/>
  <c r="X10" i="50"/>
  <c r="X12" i="50"/>
  <c r="X15" i="50"/>
  <c r="X18" i="50"/>
  <c r="X20" i="50"/>
  <c r="X6" i="50"/>
  <c r="X16" i="50"/>
  <c r="X7" i="50"/>
  <c r="X11" i="50"/>
  <c r="X13" i="50"/>
  <c r="Y9" i="50"/>
  <c r="Y18" i="50"/>
  <c r="Y20" i="50"/>
  <c r="Y8" i="50"/>
  <c r="Y10" i="50"/>
  <c r="Y12" i="50"/>
  <c r="Y15" i="50"/>
  <c r="Y17" i="50"/>
  <c r="Y6" i="50"/>
  <c r="Y16" i="50"/>
  <c r="Y7" i="50"/>
  <c r="Y13" i="50"/>
  <c r="Y11" i="50"/>
  <c r="Y19" i="50"/>
  <c r="X19" i="50"/>
  <c r="G14" i="49"/>
  <c r="H14" i="49"/>
  <c r="N17" i="7"/>
  <c r="AB17" i="7" l="1"/>
  <c r="C19" i="51" l="1"/>
  <c r="C20" i="51" s="1"/>
  <c r="H28" i="50"/>
  <c r="C33" i="40"/>
  <c r="I5" i="9" l="1"/>
  <c r="H5" i="9"/>
  <c r="H36" i="50"/>
  <c r="F8" i="51" l="1"/>
  <c r="F11" i="51" s="1"/>
  <c r="F19" i="51" s="1"/>
  <c r="F20" i="51" s="1"/>
  <c r="F27" i="51"/>
  <c r="F28" i="51" s="1"/>
  <c r="O42" i="25"/>
  <c r="R5" i="9"/>
  <c r="R33" i="7" s="1"/>
  <c r="H33" i="7"/>
  <c r="H11" i="9"/>
  <c r="W5" i="9"/>
  <c r="W33" i="7" s="1"/>
  <c r="H6" i="9"/>
  <c r="H12" i="9"/>
  <c r="I6" i="9"/>
  <c r="I33" i="7"/>
  <c r="P42" i="25"/>
  <c r="I11" i="9"/>
  <c r="I12" i="9"/>
  <c r="S5" i="9"/>
  <c r="S33" i="7" s="1"/>
  <c r="X5" i="9"/>
  <c r="X33" i="7" s="1"/>
  <c r="H8" i="51"/>
  <c r="H11" i="51" s="1"/>
  <c r="H27" i="51"/>
  <c r="H28" i="51" s="1"/>
  <c r="H32" i="51" s="1"/>
  <c r="B16" i="49"/>
  <c r="B17" i="49" s="1"/>
  <c r="B21" i="49" s="1"/>
  <c r="B22" i="49" s="1"/>
  <c r="J10" i="7"/>
  <c r="S32" i="50"/>
  <c r="S34" i="50"/>
  <c r="S24" i="50"/>
  <c r="S36" i="50"/>
  <c r="S31" i="50"/>
  <c r="S33" i="50"/>
  <c r="H47" i="50"/>
  <c r="H48" i="50" s="1"/>
  <c r="S25" i="50"/>
  <c r="S23" i="50"/>
  <c r="S26" i="50"/>
  <c r="S35" i="50"/>
  <c r="S27" i="50"/>
  <c r="S30" i="50"/>
  <c r="S28" i="50"/>
  <c r="J28" i="50"/>
  <c r="F16" i="51" l="1"/>
  <c r="H35" i="51"/>
  <c r="F15" i="4"/>
  <c r="F76" i="25"/>
  <c r="E15" i="4"/>
  <c r="E76" i="25"/>
  <c r="W6" i="9"/>
  <c r="W34" i="7" s="1"/>
  <c r="H34" i="7"/>
  <c r="O43" i="25"/>
  <c r="R6" i="9"/>
  <c r="R34" i="7" s="1"/>
  <c r="P49" i="25"/>
  <c r="I40" i="7"/>
  <c r="X12" i="9"/>
  <c r="X40" i="7" s="1"/>
  <c r="S12" i="9"/>
  <c r="S40" i="7" s="1"/>
  <c r="I34" i="7"/>
  <c r="P43" i="25"/>
  <c r="X6" i="9"/>
  <c r="X34" i="7" s="1"/>
  <c r="S6" i="9"/>
  <c r="S34" i="7" s="1"/>
  <c r="H39" i="7"/>
  <c r="O48" i="25"/>
  <c r="R11" i="9"/>
  <c r="R39" i="7" s="1"/>
  <c r="W11" i="9"/>
  <c r="W39" i="7" s="1"/>
  <c r="J5" i="9"/>
  <c r="J33" i="7" s="1"/>
  <c r="I39" i="7"/>
  <c r="P48" i="25"/>
  <c r="X11" i="9"/>
  <c r="X39" i="7" s="1"/>
  <c r="S11" i="9"/>
  <c r="S39" i="7" s="1"/>
  <c r="H40" i="7"/>
  <c r="O49" i="25"/>
  <c r="R12" i="9"/>
  <c r="R40" i="7" s="1"/>
  <c r="W12" i="9"/>
  <c r="W40" i="7" s="1"/>
  <c r="H16" i="51"/>
  <c r="H19" i="51"/>
  <c r="H20" i="51" s="1"/>
  <c r="H41" i="51"/>
  <c r="B19" i="49"/>
  <c r="B25" i="49" s="1"/>
  <c r="J5" i="7"/>
  <c r="X5" i="7" s="1"/>
  <c r="J4" i="7"/>
  <c r="X4" i="7" s="1"/>
  <c r="J3" i="7"/>
  <c r="X3" i="7" s="1"/>
  <c r="M28" i="50"/>
  <c r="M10" i="7"/>
  <c r="J11" i="7"/>
  <c r="X10" i="7"/>
  <c r="K28" i="50"/>
  <c r="K10" i="7"/>
  <c r="I27" i="51"/>
  <c r="I28" i="51" l="1"/>
  <c r="J6" i="9"/>
  <c r="J34" i="7" s="1"/>
  <c r="J11" i="9"/>
  <c r="J39" i="7" s="1"/>
  <c r="Y5" i="9"/>
  <c r="Y33" i="7" s="1"/>
  <c r="K5" i="9"/>
  <c r="K33" i="7" s="1"/>
  <c r="K11" i="7"/>
  <c r="Y10" i="7"/>
  <c r="X11" i="7"/>
  <c r="J13" i="7"/>
  <c r="X13" i="7" s="1"/>
  <c r="M11" i="7"/>
  <c r="N28" i="50"/>
  <c r="N10" i="7"/>
  <c r="L28" i="50"/>
  <c r="L10" i="7"/>
  <c r="AA10" i="7" s="1"/>
  <c r="J27" i="51"/>
  <c r="K3" i="7"/>
  <c r="Y3" i="7" s="1"/>
  <c r="K4" i="7"/>
  <c r="Y4" i="7" s="1"/>
  <c r="K5" i="7"/>
  <c r="Y5" i="7" s="1"/>
  <c r="M5" i="7"/>
  <c r="M3" i="7"/>
  <c r="M4" i="7"/>
  <c r="I32" i="51" l="1"/>
  <c r="I41" i="51" s="1"/>
  <c r="N5" i="9"/>
  <c r="N33" i="7" s="1"/>
  <c r="J28" i="51"/>
  <c r="Y11" i="9"/>
  <c r="Y39" i="7" s="1"/>
  <c r="Y6" i="9"/>
  <c r="Y34" i="7" s="1"/>
  <c r="Z5" i="9"/>
  <c r="Z33" i="7" s="1"/>
  <c r="K11" i="9"/>
  <c r="Z11" i="9" s="1"/>
  <c r="Z39" i="7" s="1"/>
  <c r="K6" i="9"/>
  <c r="K34" i="7" s="1"/>
  <c r="L27" i="51"/>
  <c r="L5" i="9"/>
  <c r="L33" i="7" s="1"/>
  <c r="M5" i="9"/>
  <c r="K27" i="51"/>
  <c r="L5" i="7"/>
  <c r="Z5" i="7" s="1"/>
  <c r="L4" i="7"/>
  <c r="Z4" i="7" s="1"/>
  <c r="L3" i="7"/>
  <c r="Z3" i="7" s="1"/>
  <c r="AB10" i="7"/>
  <c r="N11" i="7"/>
  <c r="M13" i="7"/>
  <c r="L11" i="7"/>
  <c r="AA11" i="7" s="1"/>
  <c r="Z10" i="7"/>
  <c r="M27" i="51"/>
  <c r="N5" i="7"/>
  <c r="AB5" i="7" s="1"/>
  <c r="N4" i="7"/>
  <c r="AB4" i="7" s="1"/>
  <c r="N3" i="7"/>
  <c r="AB3" i="7" s="1"/>
  <c r="Y11" i="7"/>
  <c r="K13" i="7"/>
  <c r="Y13" i="7" s="1"/>
  <c r="J32" i="51" l="1"/>
  <c r="J41" i="51" s="1"/>
  <c r="N11" i="9"/>
  <c r="N39" i="7" s="1"/>
  <c r="AC5" i="9"/>
  <c r="N6" i="9"/>
  <c r="N34" i="7" s="1"/>
  <c r="K28" i="51"/>
  <c r="M28" i="51"/>
  <c r="M32" i="51" s="1"/>
  <c r="L28" i="51"/>
  <c r="L11" i="9"/>
  <c r="L39" i="7" s="1"/>
  <c r="K39" i="7"/>
  <c r="Z6" i="9"/>
  <c r="Z34" i="7" s="1"/>
  <c r="L6" i="9"/>
  <c r="L34" i="7" s="1"/>
  <c r="AA5" i="9"/>
  <c r="AA33" i="7" s="1"/>
  <c r="AB5" i="9"/>
  <c r="AB33" i="7" s="1"/>
  <c r="M33" i="7"/>
  <c r="M6" i="9"/>
  <c r="M34" i="7" s="1"/>
  <c r="M11" i="9"/>
  <c r="M39" i="7" s="1"/>
  <c r="AA4" i="7"/>
  <c r="AA5" i="7"/>
  <c r="AA3" i="7"/>
  <c r="Z11" i="7"/>
  <c r="L13" i="7"/>
  <c r="Z13" i="7" s="1"/>
  <c r="AB11" i="7"/>
  <c r="N13" i="7"/>
  <c r="AB13" i="7" s="1"/>
  <c r="L32" i="51" l="1"/>
  <c r="L41" i="51" s="1"/>
  <c r="K32" i="51"/>
  <c r="K41" i="51" s="1"/>
  <c r="M41" i="51"/>
  <c r="P38" i="51"/>
  <c r="AA11" i="9"/>
  <c r="AA39" i="7" s="1"/>
  <c r="AA6" i="9"/>
  <c r="AA34" i="7" s="1"/>
  <c r="AB11" i="9"/>
  <c r="AB39" i="7" s="1"/>
  <c r="AB6" i="9"/>
  <c r="AB34" i="7" s="1"/>
  <c r="AC11" i="9"/>
  <c r="AC6" i="9"/>
  <c r="AA13" i="7"/>
  <c r="AD15" i="41" l="1"/>
  <c r="I18" i="41" l="1"/>
  <c r="J22" i="7" s="1"/>
  <c r="X22" i="7" s="1"/>
  <c r="J7" i="9"/>
  <c r="J19" i="9"/>
  <c r="Y19" i="9" s="1"/>
  <c r="I15" i="51"/>
  <c r="T15" i="41"/>
  <c r="I19" i="41" l="1"/>
  <c r="T18" i="41"/>
  <c r="AD18" i="41"/>
  <c r="J35" i="7"/>
  <c r="Y7" i="9"/>
  <c r="Y35" i="7" s="1"/>
  <c r="I20" i="41" l="1"/>
  <c r="AD20" i="41" s="1"/>
  <c r="I27" i="41"/>
  <c r="T19" i="41"/>
  <c r="AD19" i="41"/>
  <c r="I5" i="51"/>
  <c r="I8" i="51" s="1"/>
  <c r="I11" i="51" s="1"/>
  <c r="I16" i="51" s="1"/>
  <c r="J10" i="9"/>
  <c r="J38" i="7" s="1"/>
  <c r="T20" i="41" l="1"/>
  <c r="I23" i="41"/>
  <c r="I43" i="51" s="1"/>
  <c r="Y10" i="9"/>
  <c r="Y38" i="7" s="1"/>
  <c r="J12" i="9"/>
  <c r="J40" i="7" s="1"/>
  <c r="J29" i="7" l="1"/>
  <c r="X29" i="7" s="1"/>
  <c r="T23" i="41"/>
  <c r="J27" i="7"/>
  <c r="X27" i="7" s="1"/>
  <c r="J15" i="9"/>
  <c r="Y15" i="9" s="1"/>
  <c r="Y43" i="7" s="1"/>
  <c r="J43" i="50"/>
  <c r="J31" i="50" s="1"/>
  <c r="D15" i="49" s="1"/>
  <c r="AD23" i="41"/>
  <c r="I25" i="41"/>
  <c r="Y12" i="9"/>
  <c r="Y40" i="7" s="1"/>
  <c r="J44" i="50" l="1"/>
  <c r="J46" i="50" s="1"/>
  <c r="U44" i="50" s="1"/>
  <c r="J35" i="50"/>
  <c r="J36" i="50" s="1"/>
  <c r="U35" i="50" s="1"/>
  <c r="J43" i="7"/>
  <c r="K42" i="50"/>
  <c r="J8" i="9"/>
  <c r="J36" i="7" s="1"/>
  <c r="J9" i="9"/>
  <c r="Y9" i="9" s="1"/>
  <c r="Y37" i="7" s="1"/>
  <c r="I14" i="51"/>
  <c r="I13" i="51" s="1"/>
  <c r="I19" i="51" s="1"/>
  <c r="I20" i="51" s="1"/>
  <c r="J18" i="9"/>
  <c r="Y18" i="9" s="1"/>
  <c r="Y46" i="7" s="1"/>
  <c r="D13" i="49"/>
  <c r="D16" i="49"/>
  <c r="D19" i="49" s="1"/>
  <c r="J13" i="9" l="1"/>
  <c r="J41" i="7" s="1"/>
  <c r="J37" i="7"/>
  <c r="Y8" i="9"/>
  <c r="Y36" i="7" s="1"/>
  <c r="J46" i="7"/>
  <c r="D17" i="49"/>
  <c r="D21" i="49" s="1"/>
  <c r="D22" i="49" s="1"/>
  <c r="D25" i="49" s="1"/>
  <c r="U28" i="50"/>
  <c r="U33" i="50"/>
  <c r="U23" i="50"/>
  <c r="U36" i="50"/>
  <c r="U26" i="50"/>
  <c r="J21" i="7"/>
  <c r="X21" i="7" s="1"/>
  <c r="U25" i="50"/>
  <c r="I45" i="51"/>
  <c r="I44" i="51" s="1"/>
  <c r="I48" i="51" s="1"/>
  <c r="U24" i="50"/>
  <c r="U34" i="50"/>
  <c r="J18" i="7"/>
  <c r="X18" i="7" s="1"/>
  <c r="U30" i="50"/>
  <c r="U27" i="50"/>
  <c r="U32" i="50"/>
  <c r="U31" i="50"/>
  <c r="I33" i="51"/>
  <c r="I34" i="51" s="1"/>
  <c r="I35" i="51" s="1"/>
  <c r="I46" i="51"/>
  <c r="U45" i="50"/>
  <c r="U41" i="50"/>
  <c r="J19" i="7"/>
  <c r="X19" i="7" s="1"/>
  <c r="J47" i="50"/>
  <c r="J24" i="7"/>
  <c r="X24" i="7" s="1"/>
  <c r="U40" i="50"/>
  <c r="U42" i="50"/>
  <c r="U39" i="50"/>
  <c r="U46" i="50"/>
  <c r="J23" i="7"/>
  <c r="X23" i="7" s="1"/>
  <c r="J20" i="7"/>
  <c r="X20" i="7" s="1"/>
  <c r="J30" i="7"/>
  <c r="X30" i="7" s="1"/>
  <c r="I42" i="51"/>
  <c r="J14" i="9"/>
  <c r="U43" i="50"/>
  <c r="Y13" i="9" l="1"/>
  <c r="Y41" i="7" s="1"/>
  <c r="J48" i="50"/>
  <c r="Y14" i="9"/>
  <c r="Y42" i="7" s="1"/>
  <c r="J42" i="7"/>
  <c r="K7" i="9" l="1"/>
  <c r="K19" i="9"/>
  <c r="Z19" i="9" s="1"/>
  <c r="J15" i="51" l="1"/>
  <c r="J18" i="41"/>
  <c r="U18" i="41" s="1"/>
  <c r="AE15" i="41"/>
  <c r="U15" i="41"/>
  <c r="K35" i="7"/>
  <c r="Z7" i="9"/>
  <c r="Z35" i="7" s="1"/>
  <c r="J19" i="41" l="1"/>
  <c r="AE18" i="41"/>
  <c r="K22" i="7"/>
  <c r="Y22" i="7" s="1"/>
  <c r="U19" i="41" l="1"/>
  <c r="J27" i="41"/>
  <c r="K10" i="9"/>
  <c r="K12" i="9" s="1"/>
  <c r="K40" i="7" s="1"/>
  <c r="J5" i="51"/>
  <c r="J8" i="51" s="1"/>
  <c r="J11" i="51" s="1"/>
  <c r="J16" i="51" s="1"/>
  <c r="J20" i="41"/>
  <c r="AE20" i="41" s="1"/>
  <c r="AE19" i="41"/>
  <c r="K38" i="7" l="1"/>
  <c r="Z12" i="9"/>
  <c r="Z40" i="7" s="1"/>
  <c r="Z10" i="9"/>
  <c r="Z38" i="7" s="1"/>
  <c r="J23" i="41"/>
  <c r="K43" i="50" s="1"/>
  <c r="K31" i="50" s="1"/>
  <c r="K35" i="50" s="1"/>
  <c r="U20" i="41"/>
  <c r="J25" i="41" l="1"/>
  <c r="L42" i="50"/>
  <c r="K15" i="9"/>
  <c r="K43" i="7" s="1"/>
  <c r="AE23" i="41"/>
  <c r="K27" i="7"/>
  <c r="Y27" i="7" s="1"/>
  <c r="E15" i="49"/>
  <c r="E16" i="49" s="1"/>
  <c r="E19" i="49" s="1"/>
  <c r="K44" i="50"/>
  <c r="K46" i="50" s="1"/>
  <c r="J43" i="51"/>
  <c r="K8" i="9"/>
  <c r="Z8" i="9" s="1"/>
  <c r="Z36" i="7" s="1"/>
  <c r="U23" i="41"/>
  <c r="K9" i="9"/>
  <c r="Z9" i="9" s="1"/>
  <c r="Z37" i="7" s="1"/>
  <c r="J14" i="51"/>
  <c r="J13" i="51" s="1"/>
  <c r="J19" i="51" s="1"/>
  <c r="J20" i="51" s="1"/>
  <c r="K29" i="7"/>
  <c r="Y29" i="7" s="1"/>
  <c r="K18" i="9"/>
  <c r="K46" i="7" s="1"/>
  <c r="K36" i="50"/>
  <c r="K13" i="9"/>
  <c r="E13" i="49" l="1"/>
  <c r="Z18" i="9"/>
  <c r="Z46" i="7" s="1"/>
  <c r="K36" i="7"/>
  <c r="Z15" i="9"/>
  <c r="Z43" i="7" s="1"/>
  <c r="K37" i="7"/>
  <c r="V35" i="50"/>
  <c r="V30" i="50"/>
  <c r="V36" i="50"/>
  <c r="V33" i="50"/>
  <c r="V28" i="50"/>
  <c r="V32" i="50"/>
  <c r="V25" i="50"/>
  <c r="K18" i="7"/>
  <c r="Y18" i="7" s="1"/>
  <c r="J45" i="51"/>
  <c r="J44" i="51" s="1"/>
  <c r="J48" i="51" s="1"/>
  <c r="K21" i="7"/>
  <c r="Y21" i="7" s="1"/>
  <c r="V27" i="50"/>
  <c r="V34" i="50"/>
  <c r="V26" i="50"/>
  <c r="V23" i="50"/>
  <c r="V24" i="50"/>
  <c r="V31" i="50"/>
  <c r="E17" i="49"/>
  <c r="E21" i="49" s="1"/>
  <c r="E22" i="49" s="1"/>
  <c r="Z13" i="9"/>
  <c r="Z41" i="7" s="1"/>
  <c r="K41" i="7"/>
  <c r="K19" i="7"/>
  <c r="Y19" i="7" s="1"/>
  <c r="V40" i="50"/>
  <c r="V39" i="50"/>
  <c r="V45" i="50"/>
  <c r="V46" i="50"/>
  <c r="K24" i="7"/>
  <c r="Y24" i="7" s="1"/>
  <c r="V42" i="50"/>
  <c r="K47" i="50"/>
  <c r="V41" i="50"/>
  <c r="K23" i="7"/>
  <c r="Y23" i="7" s="1"/>
  <c r="K20" i="7"/>
  <c r="Y20" i="7" s="1"/>
  <c r="J42" i="51"/>
  <c r="K30" i="7"/>
  <c r="Y30" i="7" s="1"/>
  <c r="K14" i="9"/>
  <c r="V43" i="50"/>
  <c r="V44" i="50"/>
  <c r="E25" i="49" l="1"/>
  <c r="J33" i="51"/>
  <c r="J34" i="51" s="1"/>
  <c r="J35" i="51" s="1"/>
  <c r="J46" i="51"/>
  <c r="K48" i="50"/>
  <c r="K18" i="41"/>
  <c r="V15" i="41"/>
  <c r="AF15" i="41"/>
  <c r="K15" i="51"/>
  <c r="L19" i="9"/>
  <c r="AA19" i="9" s="1"/>
  <c r="L7" i="9"/>
  <c r="K42" i="7"/>
  <c r="Z14" i="9"/>
  <c r="Z42" i="7" s="1"/>
  <c r="AA7" i="9" l="1"/>
  <c r="AA35" i="7" s="1"/>
  <c r="L35" i="7"/>
  <c r="AF18" i="41"/>
  <c r="L22" i="7"/>
  <c r="Z22" i="7" s="1"/>
  <c r="K19" i="41"/>
  <c r="K27" i="41" s="1"/>
  <c r="V18" i="41"/>
  <c r="L10" i="9" l="1"/>
  <c r="K5" i="51"/>
  <c r="K8" i="51" s="1"/>
  <c r="K11" i="51" s="1"/>
  <c r="V19" i="41"/>
  <c r="AF19" i="41"/>
  <c r="K20" i="41"/>
  <c r="K23" i="41" l="1"/>
  <c r="AF20" i="41"/>
  <c r="V20" i="41"/>
  <c r="K16" i="51"/>
  <c r="AA10" i="9"/>
  <c r="AA38" i="7" s="1"/>
  <c r="L12" i="9"/>
  <c r="L38" i="7"/>
  <c r="AA12" i="9" l="1"/>
  <c r="AA40" i="7" s="1"/>
  <c r="L40" i="7"/>
  <c r="AF23" i="41"/>
  <c r="V23" i="41"/>
  <c r="L27" i="7"/>
  <c r="Z27" i="7" s="1"/>
  <c r="L15" i="9"/>
  <c r="K43" i="51"/>
  <c r="L43" i="50"/>
  <c r="L31" i="50" s="1"/>
  <c r="K25" i="41"/>
  <c r="L29" i="7"/>
  <c r="Z29" i="7" s="1"/>
  <c r="L9" i="9" l="1"/>
  <c r="K14" i="51"/>
  <c r="K13" i="51" s="1"/>
  <c r="K19" i="51" s="1"/>
  <c r="K20" i="51" s="1"/>
  <c r="F15" i="49"/>
  <c r="L18" i="9"/>
  <c r="L8" i="9"/>
  <c r="L35" i="50"/>
  <c r="L43" i="7"/>
  <c r="AA15" i="9"/>
  <c r="AA43" i="7" s="1"/>
  <c r="M42" i="50"/>
  <c r="L44" i="50"/>
  <c r="L46" i="7" l="1"/>
  <c r="AA18" i="9"/>
  <c r="AA46" i="7" s="1"/>
  <c r="F13" i="49"/>
  <c r="F16" i="49"/>
  <c r="F19" i="49" s="1"/>
  <c r="L36" i="50"/>
  <c r="L13" i="9"/>
  <c r="AA8" i="9"/>
  <c r="AA36" i="7" s="1"/>
  <c r="L36" i="7"/>
  <c r="L37" i="7"/>
  <c r="AA9" i="9"/>
  <c r="AA37" i="7" s="1"/>
  <c r="L46" i="50"/>
  <c r="W35" i="50" l="1"/>
  <c r="W23" i="50"/>
  <c r="W25" i="50"/>
  <c r="W24" i="50"/>
  <c r="W30" i="50"/>
  <c r="W34" i="50"/>
  <c r="W28" i="50"/>
  <c r="L21" i="7"/>
  <c r="Z21" i="7" s="1"/>
  <c r="W33" i="50"/>
  <c r="W26" i="50"/>
  <c r="W27" i="50"/>
  <c r="W36" i="50"/>
  <c r="W32" i="50"/>
  <c r="K45" i="51"/>
  <c r="K44" i="51" s="1"/>
  <c r="K48" i="51" s="1"/>
  <c r="L18" i="7"/>
  <c r="Z18" i="7" s="1"/>
  <c r="W31" i="50"/>
  <c r="L41" i="7"/>
  <c r="AA13" i="9"/>
  <c r="AA41" i="7" s="1"/>
  <c r="F17" i="49"/>
  <c r="F21" i="49" s="1"/>
  <c r="F22" i="49" s="1"/>
  <c r="F25" i="49" s="1"/>
  <c r="W39" i="50"/>
  <c r="W40" i="50"/>
  <c r="W41" i="50"/>
  <c r="L19" i="7"/>
  <c r="Z19" i="7" s="1"/>
  <c r="W46" i="50"/>
  <c r="W45" i="50"/>
  <c r="L47" i="50"/>
  <c r="L24" i="7"/>
  <c r="Z24" i="7" s="1"/>
  <c r="W42" i="50"/>
  <c r="L23" i="7"/>
  <c r="Z23" i="7" s="1"/>
  <c r="L20" i="7"/>
  <c r="Z20" i="7" s="1"/>
  <c r="L30" i="7"/>
  <c r="Z30" i="7" s="1"/>
  <c r="K42" i="51"/>
  <c r="L14" i="9"/>
  <c r="W43" i="50"/>
  <c r="W44" i="50"/>
  <c r="K33" i="51" l="1"/>
  <c r="K34" i="51" s="1"/>
  <c r="K35" i="51" s="1"/>
  <c r="K46" i="51"/>
  <c r="W15" i="41"/>
  <c r="M19" i="9"/>
  <c r="AB19" i="9" s="1"/>
  <c r="M7" i="9"/>
  <c r="L15" i="51"/>
  <c r="AG15" i="41"/>
  <c r="L18" i="41"/>
  <c r="L48" i="50"/>
  <c r="AA14" i="9"/>
  <c r="AA42" i="7" s="1"/>
  <c r="L42" i="7"/>
  <c r="W18" i="41" l="1"/>
  <c r="M22" i="7"/>
  <c r="AA22" i="7" s="1"/>
  <c r="L19" i="41"/>
  <c r="L27" i="41" s="1"/>
  <c r="AG18" i="41"/>
  <c r="M35" i="7"/>
  <c r="AB7" i="9"/>
  <c r="AB35" i="7" s="1"/>
  <c r="AG19" i="41" l="1"/>
  <c r="L5" i="51"/>
  <c r="L8" i="51" s="1"/>
  <c r="L11" i="51" s="1"/>
  <c r="W19" i="41"/>
  <c r="M10" i="9"/>
  <c r="L20" i="41"/>
  <c r="L23" i="41" l="1"/>
  <c r="W20" i="41"/>
  <c r="AG20" i="41"/>
  <c r="AB10" i="9"/>
  <c r="AB38" i="7" s="1"/>
  <c r="M38" i="7"/>
  <c r="M12" i="9"/>
  <c r="L16" i="51"/>
  <c r="AB12" i="9" l="1"/>
  <c r="AB40" i="7" s="1"/>
  <c r="M40" i="7"/>
  <c r="L43" i="51"/>
  <c r="M27" i="7"/>
  <c r="AA27" i="7" s="1"/>
  <c r="M15" i="9"/>
  <c r="W23" i="41"/>
  <c r="L25" i="41"/>
  <c r="M29" i="7"/>
  <c r="AA29" i="7" s="1"/>
  <c r="M43" i="50"/>
  <c r="M31" i="50" s="1"/>
  <c r="AG23" i="41"/>
  <c r="L14" i="51" l="1"/>
  <c r="L13" i="51" s="1"/>
  <c r="L19" i="51" s="1"/>
  <c r="L20" i="51" s="1"/>
  <c r="M8" i="9"/>
  <c r="G15" i="49"/>
  <c r="M18" i="9"/>
  <c r="M9" i="9"/>
  <c r="M35" i="50"/>
  <c r="M43" i="7"/>
  <c r="AB15" i="9"/>
  <c r="AB43" i="7" s="1"/>
  <c r="M44" i="50"/>
  <c r="N42" i="50"/>
  <c r="AB18" i="9" l="1"/>
  <c r="AB46" i="7" s="1"/>
  <c r="M46" i="7"/>
  <c r="G16" i="49"/>
  <c r="G19" i="49" s="1"/>
  <c r="G13" i="49"/>
  <c r="M13" i="9"/>
  <c r="M36" i="50"/>
  <c r="M36" i="7"/>
  <c r="AB8" i="9"/>
  <c r="AB36" i="7" s="1"/>
  <c r="M37" i="7"/>
  <c r="AB9" i="9"/>
  <c r="AB37" i="7" s="1"/>
  <c r="M46" i="50"/>
  <c r="X44" i="50" s="1"/>
  <c r="X35" i="50" l="1"/>
  <c r="M21" i="7"/>
  <c r="AA21" i="7" s="1"/>
  <c r="M18" i="7"/>
  <c r="AA18" i="7" s="1"/>
  <c r="X34" i="50"/>
  <c r="X30" i="50"/>
  <c r="X28" i="50"/>
  <c r="X27" i="50"/>
  <c r="X33" i="50"/>
  <c r="L45" i="51"/>
  <c r="L44" i="51" s="1"/>
  <c r="L48" i="51" s="1"/>
  <c r="X36" i="50"/>
  <c r="X24" i="50"/>
  <c r="X26" i="50"/>
  <c r="X32" i="50"/>
  <c r="X23" i="50"/>
  <c r="X25" i="50"/>
  <c r="X31" i="50"/>
  <c r="M41" i="7"/>
  <c r="AB13" i="9"/>
  <c r="AB41" i="7" s="1"/>
  <c r="G17" i="49"/>
  <c r="G21" i="49" s="1"/>
  <c r="G22" i="49" s="1"/>
  <c r="G25" i="49" s="1"/>
  <c r="M19" i="7"/>
  <c r="AA19" i="7" s="1"/>
  <c r="X46" i="50"/>
  <c r="X40" i="50"/>
  <c r="X39" i="50"/>
  <c r="M47" i="50"/>
  <c r="M24" i="7"/>
  <c r="AA24" i="7" s="1"/>
  <c r="X41" i="50"/>
  <c r="X45" i="50"/>
  <c r="X42" i="50"/>
  <c r="M23" i="7"/>
  <c r="AA23" i="7" s="1"/>
  <c r="M20" i="7"/>
  <c r="AA20" i="7" s="1"/>
  <c r="M14" i="9"/>
  <c r="L42" i="51"/>
  <c r="M30" i="7"/>
  <c r="AA30" i="7" s="1"/>
  <c r="X43" i="50"/>
  <c r="L46" i="51" l="1"/>
  <c r="L33" i="51"/>
  <c r="L34" i="51" s="1"/>
  <c r="M48" i="50"/>
  <c r="AB14" i="9"/>
  <c r="AB42" i="7" s="1"/>
  <c r="M42" i="7"/>
  <c r="N7" i="9"/>
  <c r="M18" i="41"/>
  <c r="AH15" i="41"/>
  <c r="X15" i="41"/>
  <c r="N19" i="9"/>
  <c r="AC19" i="9" s="1"/>
  <c r="M15" i="51"/>
  <c r="L35" i="51" l="1"/>
  <c r="M34" i="51"/>
  <c r="M35" i="51" s="1"/>
  <c r="M19" i="41"/>
  <c r="M27" i="41" s="1"/>
  <c r="AH18" i="41"/>
  <c r="X18" i="41"/>
  <c r="N22" i="7"/>
  <c r="AB22" i="7" s="1"/>
  <c r="N35" i="7"/>
  <c r="AC7" i="9"/>
  <c r="P40" i="51" l="1"/>
  <c r="P41" i="51"/>
  <c r="P39" i="51"/>
  <c r="M5" i="51"/>
  <c r="M8" i="51" s="1"/>
  <c r="M11" i="51" s="1"/>
  <c r="AH19" i="41"/>
  <c r="X19" i="41"/>
  <c r="N10" i="9"/>
  <c r="M20" i="41"/>
  <c r="P42" i="51" l="1"/>
  <c r="P47" i="51" s="1"/>
  <c r="P49" i="51" s="1"/>
  <c r="M23" i="41"/>
  <c r="X20" i="41"/>
  <c r="AH20" i="41"/>
  <c r="N38" i="7"/>
  <c r="N12" i="9"/>
  <c r="AC10" i="9"/>
  <c r="M16" i="51"/>
  <c r="P50" i="51" l="1"/>
  <c r="B20" i="56" s="1"/>
  <c r="N40" i="7"/>
  <c r="AC12" i="9"/>
  <c r="N27" i="7"/>
  <c r="AB27" i="7" s="1"/>
  <c r="N15" i="9"/>
  <c r="N29" i="7"/>
  <c r="AB29" i="7" s="1"/>
  <c r="AH23" i="41"/>
  <c r="M43" i="51"/>
  <c r="N43" i="50"/>
  <c r="N31" i="50" s="1"/>
  <c r="X23" i="41"/>
  <c r="M25" i="41"/>
  <c r="N35" i="50" l="1"/>
  <c r="N8" i="9"/>
  <c r="M14" i="51"/>
  <c r="M13" i="51" s="1"/>
  <c r="M19" i="51" s="1"/>
  <c r="M20" i="51" s="1"/>
  <c r="H15" i="49"/>
  <c r="N18" i="9"/>
  <c r="N9" i="9"/>
  <c r="AC15" i="9"/>
  <c r="N43" i="7"/>
  <c r="N44" i="50"/>
  <c r="H13" i="49" l="1"/>
  <c r="H16" i="49"/>
  <c r="H19" i="49" s="1"/>
  <c r="N37" i="7"/>
  <c r="AC9" i="9"/>
  <c r="AC8" i="9"/>
  <c r="N36" i="7"/>
  <c r="N46" i="7"/>
  <c r="AC18" i="9"/>
  <c r="N13" i="9"/>
  <c r="N36" i="50"/>
  <c r="N46" i="50"/>
  <c r="H17" i="49" l="1"/>
  <c r="H21" i="49" s="1"/>
  <c r="H22" i="49" s="1"/>
  <c r="H25" i="49" s="1"/>
  <c r="M46" i="51" s="1"/>
  <c r="Y35" i="50"/>
  <c r="Y25" i="50"/>
  <c r="Y23" i="50"/>
  <c r="Y32" i="50"/>
  <c r="Y26" i="50"/>
  <c r="Y34" i="50"/>
  <c r="M45" i="51"/>
  <c r="M44" i="51" s="1"/>
  <c r="M48" i="51" s="1"/>
  <c r="Y27" i="50"/>
  <c r="Y33" i="50"/>
  <c r="Y24" i="50"/>
  <c r="Y30" i="50"/>
  <c r="N21" i="7"/>
  <c r="AB21" i="7" s="1"/>
  <c r="N18" i="7"/>
  <c r="AB18" i="7" s="1"/>
  <c r="Y28" i="50"/>
  <c r="Y36" i="50"/>
  <c r="Y31" i="50"/>
  <c r="AC13" i="9"/>
  <c r="N41" i="7"/>
  <c r="Y45" i="50"/>
  <c r="Y41" i="50"/>
  <c r="Y39" i="50"/>
  <c r="Y46" i="50"/>
  <c r="N24" i="7"/>
  <c r="AB24" i="7" s="1"/>
  <c r="Y40" i="50"/>
  <c r="N47" i="50"/>
  <c r="N19" i="7"/>
  <c r="AB19" i="7" s="1"/>
  <c r="Y42" i="50"/>
  <c r="N23" i="7"/>
  <c r="AB23" i="7" s="1"/>
  <c r="N20" i="7"/>
  <c r="AB20" i="7" s="1"/>
  <c r="N14" i="9"/>
  <c r="N30" i="7"/>
  <c r="AB30" i="7" s="1"/>
  <c r="M42" i="51"/>
  <c r="Y43" i="50"/>
  <c r="Y44" i="50"/>
  <c r="N48" i="50" l="1"/>
  <c r="AC14" i="9"/>
  <c r="N42" i="7"/>
</calcChain>
</file>

<file path=xl/comments1.xml><?xml version="1.0" encoding="utf-8"?>
<comments xmlns="http://schemas.openxmlformats.org/spreadsheetml/2006/main">
  <authors>
    <author>Juan Restrepo</author>
  </authors>
  <commentList>
    <comment ref="M24" authorId="0" shapeId="0">
      <text>
        <r>
          <rPr>
            <b/>
            <sz val="9"/>
            <color indexed="81"/>
            <rFont val="Tahoma"/>
            <family val="2"/>
          </rPr>
          <t>Simulador de Riesgo Pronóstico</t>
        </r>
        <r>
          <rPr>
            <sz val="9"/>
            <color indexed="81"/>
            <rFont val="Tahoma"/>
            <family val="2"/>
          </rPr>
          <t>_x000D_
Nombre = EBITDA 2023</t>
        </r>
      </text>
    </comment>
    <comment ref="P50" authorId="0" shapeId="0">
      <text>
        <r>
          <rPr>
            <b/>
            <sz val="9"/>
            <color indexed="81"/>
            <rFont val="Tahoma"/>
            <family val="2"/>
          </rPr>
          <t>Risk Simulator Forecast</t>
        </r>
        <r>
          <rPr>
            <sz val="9"/>
            <color indexed="81"/>
            <rFont val="Tahoma"/>
            <family val="2"/>
          </rPr>
          <t>_x000D_
Name = Valor acción COP(Ultima TRM 2018)</t>
        </r>
      </text>
    </comment>
  </commentList>
</comments>
</file>

<file path=xl/comments2.xml><?xml version="1.0" encoding="utf-8"?>
<comments xmlns="http://schemas.openxmlformats.org/spreadsheetml/2006/main">
  <authors>
    <author>Juan Restrepo</author>
  </authors>
  <commentList>
    <comment ref="C6" authorId="0" shapeId="0">
      <text>
        <r>
          <rPr>
            <b/>
            <sz val="9"/>
            <color indexed="81"/>
            <rFont val="Tahoma"/>
            <family val="2"/>
          </rPr>
          <t>Risk Simulator Assumption</t>
        </r>
        <r>
          <rPr>
            <sz val="9"/>
            <color indexed="81"/>
            <rFont val="Tahoma"/>
            <family val="2"/>
          </rPr>
          <t xml:space="preserve">_x000D_
Name = % Crecimiento de ventas_x000D_
Triangular_x000D_
Minimum = B6_x000D_
MostLikely = C6_x000D_
Maximum = D6_x000D_
</t>
        </r>
      </text>
    </comment>
    <comment ref="F6" authorId="0" shapeId="0">
      <text>
        <r>
          <rPr>
            <b/>
            <sz val="9"/>
            <color indexed="81"/>
            <rFont val="Tahoma"/>
            <family val="2"/>
          </rPr>
          <t>Risk Simulator Assumption</t>
        </r>
        <r>
          <rPr>
            <sz val="9"/>
            <color indexed="81"/>
            <rFont val="Tahoma"/>
            <family val="2"/>
          </rPr>
          <t xml:space="preserve">_x000D_
Name = % Crecimiento de ventas_x000D_
Triangular_x000D_
Minimum = E6_x000D_
MostLikely = F6_x000D_
Maximum = G6_x000D_
</t>
        </r>
      </text>
    </comment>
    <comment ref="I6" authorId="0" shapeId="0">
      <text>
        <r>
          <rPr>
            <b/>
            <sz val="9"/>
            <color indexed="81"/>
            <rFont val="Tahoma"/>
            <family val="2"/>
          </rPr>
          <t>Risk Simulator Assumption</t>
        </r>
        <r>
          <rPr>
            <sz val="9"/>
            <color indexed="81"/>
            <rFont val="Tahoma"/>
            <family val="2"/>
          </rPr>
          <t xml:space="preserve">_x000D_
Name = % Crecimiento de ventas_x000D_
Triangular_x000D_
Minimum = H6_x000D_
MostLikely = I6_x000D_
Maximum = J6_x000D_
</t>
        </r>
      </text>
    </comment>
    <comment ref="L6" authorId="0" shapeId="0">
      <text>
        <r>
          <rPr>
            <b/>
            <sz val="9"/>
            <color indexed="81"/>
            <rFont val="Tahoma"/>
            <family val="2"/>
          </rPr>
          <t>Risk Simulator Assumption</t>
        </r>
        <r>
          <rPr>
            <sz val="9"/>
            <color indexed="81"/>
            <rFont val="Tahoma"/>
            <family val="2"/>
          </rPr>
          <t xml:space="preserve">_x000D_
Name = % Crecimiento de ventas_x000D_
Triangular_x000D_
Minimum = K6_x000D_
MostLikely = L6_x000D_
Maximum = M6_x000D_
</t>
        </r>
      </text>
    </comment>
    <comment ref="O6" authorId="0" shapeId="0">
      <text>
        <r>
          <rPr>
            <b/>
            <sz val="9"/>
            <color indexed="81"/>
            <rFont val="Tahoma"/>
            <family val="2"/>
          </rPr>
          <t>Risk Simulator Assumption</t>
        </r>
        <r>
          <rPr>
            <sz val="9"/>
            <color indexed="81"/>
            <rFont val="Tahoma"/>
            <family val="2"/>
          </rPr>
          <t xml:space="preserve">_x000D_
Name = % Crecimiento de ventas_x000D_
Triangular_x000D_
Minimum = N6_x000D_
MostLikely = O6_x000D_
Maximum = P6_x000D_
</t>
        </r>
      </text>
    </comment>
    <comment ref="C7" authorId="0" shapeId="0">
      <text>
        <r>
          <rPr>
            <b/>
            <sz val="9"/>
            <color indexed="81"/>
            <rFont val="Tahoma"/>
            <family val="2"/>
          </rPr>
          <t>Risk Simulator Assumption</t>
        </r>
        <r>
          <rPr>
            <sz val="9"/>
            <color indexed="81"/>
            <rFont val="Tahoma"/>
            <family val="2"/>
          </rPr>
          <t xml:space="preserve">_x000D_
Name = % Costos de venta_x000D_
Triangular_x000D_
Minimum = B7_x000D_
MostLikely = C7_x000D_
Maximum = D7_x000D_
</t>
        </r>
      </text>
    </comment>
    <comment ref="F7" authorId="0" shapeId="0">
      <text>
        <r>
          <rPr>
            <b/>
            <sz val="9"/>
            <color indexed="81"/>
            <rFont val="Tahoma"/>
            <family val="2"/>
          </rPr>
          <t>Risk Simulator Assumption</t>
        </r>
        <r>
          <rPr>
            <sz val="9"/>
            <color indexed="81"/>
            <rFont val="Tahoma"/>
            <family val="2"/>
          </rPr>
          <t xml:space="preserve">_x000D_
Name = % Costos de venta_x000D_
Triangular_x000D_
Minimum = E7_x000D_
MostLikely = F7_x000D_
Maximum = G7_x000D_
</t>
        </r>
      </text>
    </comment>
    <comment ref="I7" authorId="0" shapeId="0">
      <text>
        <r>
          <rPr>
            <b/>
            <sz val="9"/>
            <color indexed="81"/>
            <rFont val="Tahoma"/>
            <family val="2"/>
          </rPr>
          <t>Risk Simulator Assumption</t>
        </r>
        <r>
          <rPr>
            <sz val="9"/>
            <color indexed="81"/>
            <rFont val="Tahoma"/>
            <family val="2"/>
          </rPr>
          <t xml:space="preserve">_x000D_
Name = % Costos de venta_x000D_
Triangular_x000D_
Minimum = H7_x000D_
MostLikely = I7_x000D_
Maximum = J7_x000D_
</t>
        </r>
      </text>
    </comment>
    <comment ref="L7" authorId="0" shapeId="0">
      <text>
        <r>
          <rPr>
            <b/>
            <sz val="9"/>
            <color indexed="81"/>
            <rFont val="Tahoma"/>
            <family val="2"/>
          </rPr>
          <t>Risk Simulator Assumption</t>
        </r>
        <r>
          <rPr>
            <sz val="9"/>
            <color indexed="81"/>
            <rFont val="Tahoma"/>
            <family val="2"/>
          </rPr>
          <t xml:space="preserve">_x000D_
Name = % Costos de venta_x000D_
Triangular_x000D_
Minimum = K7_x000D_
MostLikely = L7_x000D_
Maximum = M7_x000D_
</t>
        </r>
      </text>
    </comment>
    <comment ref="O7" authorId="0" shapeId="0">
      <text>
        <r>
          <rPr>
            <b/>
            <sz val="9"/>
            <color indexed="81"/>
            <rFont val="Tahoma"/>
            <family val="2"/>
          </rPr>
          <t>Risk Simulator Assumption</t>
        </r>
        <r>
          <rPr>
            <sz val="9"/>
            <color indexed="81"/>
            <rFont val="Tahoma"/>
            <family val="2"/>
          </rPr>
          <t xml:space="preserve">_x000D_
Name = % Costos de venta_x000D_
Triangular_x000D_
Minimum = N7_x000D_
MostLikely = O7_x000D_
Maximum = P7_x000D_
</t>
        </r>
      </text>
    </comment>
    <comment ref="C8" authorId="0" shapeId="0">
      <text>
        <r>
          <rPr>
            <b/>
            <sz val="9"/>
            <color indexed="81"/>
            <rFont val="Tahoma"/>
            <family val="2"/>
          </rPr>
          <t>Risk Simulator Assumption</t>
        </r>
        <r>
          <rPr>
            <sz val="9"/>
            <color indexed="81"/>
            <rFont val="Tahoma"/>
            <family val="2"/>
          </rPr>
          <t xml:space="preserve">_x000D_
Name = Depreciación y Amortización Costo_x000D_
Triangular_x000D_
Minimum = B8_x000D_
MostLikely = C8_x000D_
Maximum = D8_x000D_
</t>
        </r>
      </text>
    </comment>
    <comment ref="F8" authorId="0" shapeId="0">
      <text>
        <r>
          <rPr>
            <b/>
            <sz val="9"/>
            <color indexed="81"/>
            <rFont val="Tahoma"/>
            <family val="2"/>
          </rPr>
          <t>Risk Simulator Assumption</t>
        </r>
        <r>
          <rPr>
            <sz val="9"/>
            <color indexed="81"/>
            <rFont val="Tahoma"/>
            <family val="2"/>
          </rPr>
          <t xml:space="preserve">_x000D_
Name = Depreciación y Amortización Costo_x000D_
Triangular_x000D_
Minimum = E8_x000D_
MostLikely = F8_x000D_
Maximum = G8_x000D_
</t>
        </r>
      </text>
    </comment>
    <comment ref="I8" authorId="0" shapeId="0">
      <text>
        <r>
          <rPr>
            <b/>
            <sz val="9"/>
            <color indexed="81"/>
            <rFont val="Tahoma"/>
            <family val="2"/>
          </rPr>
          <t>Risk Simulator Assumption</t>
        </r>
        <r>
          <rPr>
            <sz val="9"/>
            <color indexed="81"/>
            <rFont val="Tahoma"/>
            <family val="2"/>
          </rPr>
          <t xml:space="preserve">_x000D_
Name = Depreciación y Amortización Costo_x000D_
Triangular_x000D_
Minimum = H8_x000D_
MostLikely = I8_x000D_
Maximum = J8_x000D_
</t>
        </r>
      </text>
    </comment>
    <comment ref="L8" authorId="0" shapeId="0">
      <text>
        <r>
          <rPr>
            <b/>
            <sz val="9"/>
            <color indexed="81"/>
            <rFont val="Tahoma"/>
            <family val="2"/>
          </rPr>
          <t>Risk Simulator Assumption</t>
        </r>
        <r>
          <rPr>
            <sz val="9"/>
            <color indexed="81"/>
            <rFont val="Tahoma"/>
            <family val="2"/>
          </rPr>
          <t xml:space="preserve">_x000D_
Name = Depreciación y Amortización Costo_x000D_
Triangular_x000D_
Minimum = K8_x000D_
MostLikely = L8_x000D_
Maximum = M8_x000D_
</t>
        </r>
      </text>
    </comment>
    <comment ref="O8" authorId="0" shapeId="0">
      <text>
        <r>
          <rPr>
            <b/>
            <sz val="9"/>
            <color indexed="81"/>
            <rFont val="Tahoma"/>
            <family val="2"/>
          </rPr>
          <t>Risk Simulator Assumption</t>
        </r>
        <r>
          <rPr>
            <sz val="9"/>
            <color indexed="81"/>
            <rFont val="Tahoma"/>
            <family val="2"/>
          </rPr>
          <t xml:space="preserve">_x000D_
Name = Depreciación y Amortización Costo_x000D_
Triangular_x000D_
Minimum = N8_x000D_
MostLikely = O8_x000D_
Maximum = P8_x000D_
</t>
        </r>
      </text>
    </comment>
    <comment ref="C9" authorId="0" shapeId="0">
      <text>
        <r>
          <rPr>
            <b/>
            <sz val="9"/>
            <color indexed="81"/>
            <rFont val="Tahoma"/>
            <family val="2"/>
          </rPr>
          <t>Risk Simulator Assumption</t>
        </r>
        <r>
          <rPr>
            <sz val="9"/>
            <color indexed="81"/>
            <rFont val="Tahoma"/>
            <family val="2"/>
          </rPr>
          <t xml:space="preserve">_x000D_
Name = Gastos Administrativos Y Ventas_x000D_
Triangular_x000D_
Minimum = B9_x000D_
MostLikely = C9_x000D_
Maximum = D9_x000D_
</t>
        </r>
      </text>
    </comment>
    <comment ref="F9" authorId="0" shapeId="0">
      <text>
        <r>
          <rPr>
            <b/>
            <sz val="9"/>
            <color indexed="81"/>
            <rFont val="Tahoma"/>
            <family val="2"/>
          </rPr>
          <t>Risk Simulator Assumption</t>
        </r>
        <r>
          <rPr>
            <sz val="9"/>
            <color indexed="81"/>
            <rFont val="Tahoma"/>
            <family val="2"/>
          </rPr>
          <t xml:space="preserve">_x000D_
Name = Gastos Administrativos Y Ventas_x000D_
Triangular_x000D_
Minimum = E9_x000D_
MostLikely = F9_x000D_
Maximum = G9_x000D_
</t>
        </r>
      </text>
    </comment>
    <comment ref="I9" authorId="0" shapeId="0">
      <text>
        <r>
          <rPr>
            <b/>
            <sz val="9"/>
            <color indexed="81"/>
            <rFont val="Tahoma"/>
            <family val="2"/>
          </rPr>
          <t>Risk Simulator Assumption</t>
        </r>
        <r>
          <rPr>
            <sz val="9"/>
            <color indexed="81"/>
            <rFont val="Tahoma"/>
            <family val="2"/>
          </rPr>
          <t xml:space="preserve">_x000D_
Name = Gastos Administrativos Y Ventas_x000D_
Triangular_x000D_
Minimum = H9_x000D_
MostLikely = I9_x000D_
Maximum = J9_x000D_
</t>
        </r>
      </text>
    </comment>
    <comment ref="L9" authorId="0" shapeId="0">
      <text>
        <r>
          <rPr>
            <b/>
            <sz val="9"/>
            <color indexed="81"/>
            <rFont val="Tahoma"/>
            <family val="2"/>
          </rPr>
          <t>Risk Simulator Assumption</t>
        </r>
        <r>
          <rPr>
            <sz val="9"/>
            <color indexed="81"/>
            <rFont val="Tahoma"/>
            <family val="2"/>
          </rPr>
          <t xml:space="preserve">_x000D_
Name = Gastos Administrativos Y Ventas_x000D_
Triangular_x000D_
Minimum = K9_x000D_
MostLikely = L9_x000D_
Maximum = M9_x000D_
</t>
        </r>
      </text>
    </comment>
    <comment ref="O9" authorId="0" shapeId="0">
      <text>
        <r>
          <rPr>
            <b/>
            <sz val="9"/>
            <color indexed="81"/>
            <rFont val="Tahoma"/>
            <family val="2"/>
          </rPr>
          <t>Risk Simulator Assumption</t>
        </r>
        <r>
          <rPr>
            <sz val="9"/>
            <color indexed="81"/>
            <rFont val="Tahoma"/>
            <family val="2"/>
          </rPr>
          <t xml:space="preserve">_x000D_
Name = Gastos Administrativos Y Ventas_x000D_
Triangular_x000D_
Minimum = N9_x000D_
MostLikely = O9_x000D_
Maximum = P9_x000D_
</t>
        </r>
      </text>
    </comment>
    <comment ref="C10" authorId="0" shapeId="0">
      <text>
        <r>
          <rPr>
            <b/>
            <sz val="9"/>
            <color indexed="81"/>
            <rFont val="Tahoma"/>
            <family val="2"/>
          </rPr>
          <t>Risk Simulator Assumption</t>
        </r>
        <r>
          <rPr>
            <sz val="9"/>
            <color indexed="81"/>
            <rFont val="Tahoma"/>
            <family val="2"/>
          </rPr>
          <t xml:space="preserve">_x000D_
Name = Gastos De Distribución_x000D_
Triangular_x000D_
Minimum = B10_x000D_
MostLikely = C10_x000D_
Maximum = D10_x000D_
</t>
        </r>
      </text>
    </comment>
    <comment ref="F10" authorId="0" shapeId="0">
      <text>
        <r>
          <rPr>
            <b/>
            <sz val="9"/>
            <color indexed="81"/>
            <rFont val="Tahoma"/>
            <family val="2"/>
          </rPr>
          <t>Risk Simulator Assumption</t>
        </r>
        <r>
          <rPr>
            <sz val="9"/>
            <color indexed="81"/>
            <rFont val="Tahoma"/>
            <family val="2"/>
          </rPr>
          <t xml:space="preserve">_x000D_
Name = Gastos De Distribución_x000D_
Triangular_x000D_
Minimum = E10_x000D_
MostLikely = F10_x000D_
Maximum = G10_x000D_
</t>
        </r>
      </text>
    </comment>
    <comment ref="I10" authorId="0" shapeId="0">
      <text>
        <r>
          <rPr>
            <b/>
            <sz val="9"/>
            <color indexed="81"/>
            <rFont val="Tahoma"/>
            <family val="2"/>
          </rPr>
          <t>Risk Simulator Assumption</t>
        </r>
        <r>
          <rPr>
            <sz val="9"/>
            <color indexed="81"/>
            <rFont val="Tahoma"/>
            <family val="2"/>
          </rPr>
          <t xml:space="preserve">_x000D_
Name = Gastos De Distribución_x000D_
Triangular_x000D_
Minimum = H10_x000D_
MostLikely = I10_x000D_
Maximum = J10_x000D_
</t>
        </r>
      </text>
    </comment>
    <comment ref="L10" authorId="0" shapeId="0">
      <text>
        <r>
          <rPr>
            <b/>
            <sz val="9"/>
            <color indexed="81"/>
            <rFont val="Tahoma"/>
            <family val="2"/>
          </rPr>
          <t>Risk Simulator Assumption</t>
        </r>
        <r>
          <rPr>
            <sz val="9"/>
            <color indexed="81"/>
            <rFont val="Tahoma"/>
            <family val="2"/>
          </rPr>
          <t xml:space="preserve">_x000D_
Name = Gastos De Distribución_x000D_
Triangular_x000D_
Minimum = K10_x000D_
MostLikely = L10_x000D_
Maximum = M10_x000D_
</t>
        </r>
      </text>
    </comment>
    <comment ref="O10" authorId="0" shapeId="0">
      <text>
        <r>
          <rPr>
            <b/>
            <sz val="9"/>
            <color indexed="81"/>
            <rFont val="Tahoma"/>
            <family val="2"/>
          </rPr>
          <t>Risk Simulator Assumption</t>
        </r>
        <r>
          <rPr>
            <sz val="9"/>
            <color indexed="81"/>
            <rFont val="Tahoma"/>
            <family val="2"/>
          </rPr>
          <t xml:space="preserve">_x000D_
Name = Gastos De Distribución_x000D_
Triangular_x000D_
Minimum = N10_x000D_
MostLikely = O10_x000D_
Maximum = P10_x000D_
</t>
        </r>
      </text>
    </comment>
    <comment ref="C11" authorId="0" shapeId="0">
      <text>
        <r>
          <rPr>
            <b/>
            <sz val="9"/>
            <color indexed="81"/>
            <rFont val="Tahoma"/>
            <family val="2"/>
          </rPr>
          <t>Risk Simulator Assumption</t>
        </r>
        <r>
          <rPr>
            <sz val="9"/>
            <color indexed="81"/>
            <rFont val="Tahoma"/>
            <family val="2"/>
          </rPr>
          <t xml:space="preserve">_x000D_
Name = Gastos De Operación_x000D_
Triangular_x000D_
Minimum = B11_x000D_
MostLikely = C11_x000D_
Maximum = D11_x000D_
</t>
        </r>
      </text>
    </comment>
    <comment ref="F11" authorId="0" shapeId="0">
      <text>
        <r>
          <rPr>
            <b/>
            <sz val="9"/>
            <color indexed="81"/>
            <rFont val="Tahoma"/>
            <family val="2"/>
          </rPr>
          <t>Risk Simulator Assumption</t>
        </r>
        <r>
          <rPr>
            <sz val="9"/>
            <color indexed="81"/>
            <rFont val="Tahoma"/>
            <family val="2"/>
          </rPr>
          <t xml:space="preserve">_x000D_
Name = Gastos De Operación_x000D_
Triangular_x000D_
Minimum = E11_x000D_
MostLikely = F11_x000D_
Maximum = G11_x000D_
</t>
        </r>
      </text>
    </comment>
    <comment ref="I11" authorId="0" shapeId="0">
      <text>
        <r>
          <rPr>
            <b/>
            <sz val="9"/>
            <color indexed="81"/>
            <rFont val="Tahoma"/>
            <family val="2"/>
          </rPr>
          <t>Risk Simulator Assumption</t>
        </r>
        <r>
          <rPr>
            <sz val="9"/>
            <color indexed="81"/>
            <rFont val="Tahoma"/>
            <family val="2"/>
          </rPr>
          <t xml:space="preserve">_x000D_
Name = Gastos De Operación_x000D_
Triangular_x000D_
Minimum = H11_x000D_
MostLikely = I11_x000D_
Maximum = J11_x000D_
</t>
        </r>
      </text>
    </comment>
    <comment ref="L11" authorId="0" shapeId="0">
      <text>
        <r>
          <rPr>
            <b/>
            <sz val="9"/>
            <color indexed="81"/>
            <rFont val="Tahoma"/>
            <family val="2"/>
          </rPr>
          <t>Risk Simulator Assumption</t>
        </r>
        <r>
          <rPr>
            <sz val="9"/>
            <color indexed="81"/>
            <rFont val="Tahoma"/>
            <family val="2"/>
          </rPr>
          <t xml:space="preserve">_x000D_
Name = Gastos De Operación_x000D_
Triangular_x000D_
Minimum = K11_x000D_
MostLikely = L11_x000D_
Maximum = M11_x000D_
</t>
        </r>
      </text>
    </comment>
    <comment ref="O11" authorId="0" shapeId="0">
      <text>
        <r>
          <rPr>
            <b/>
            <sz val="9"/>
            <color indexed="81"/>
            <rFont val="Tahoma"/>
            <family val="2"/>
          </rPr>
          <t>Risk Simulator Assumption</t>
        </r>
        <r>
          <rPr>
            <sz val="9"/>
            <color indexed="81"/>
            <rFont val="Tahoma"/>
            <family val="2"/>
          </rPr>
          <t xml:space="preserve">_x000D_
Name = Gastos De Operación_x000D_
Triangular_x000D_
Minimum = N11_x000D_
MostLikely = O11_x000D_
Maximum = P11_x000D_
</t>
        </r>
      </text>
    </comment>
    <comment ref="C12" authorId="0" shapeId="0">
      <text>
        <r>
          <rPr>
            <b/>
            <sz val="9"/>
            <color indexed="81"/>
            <rFont val="Tahoma"/>
            <family val="2"/>
          </rPr>
          <t>Risk Simulator Assumption</t>
        </r>
        <r>
          <rPr>
            <sz val="9"/>
            <color indexed="81"/>
            <rFont val="Tahoma"/>
            <family val="2"/>
          </rPr>
          <t xml:space="preserve">_x000D_
Name = Días de Deudores_x000D_
Triangular_x000D_
Minimum = B12_x000D_
MostLikely = C12_x000D_
Maximum = D12_x000D_
</t>
        </r>
      </text>
    </comment>
    <comment ref="F12" authorId="0" shapeId="0">
      <text>
        <r>
          <rPr>
            <b/>
            <sz val="9"/>
            <color indexed="81"/>
            <rFont val="Tahoma"/>
            <family val="2"/>
          </rPr>
          <t>Risk Simulator Assumption</t>
        </r>
        <r>
          <rPr>
            <sz val="9"/>
            <color indexed="81"/>
            <rFont val="Tahoma"/>
            <family val="2"/>
          </rPr>
          <t xml:space="preserve">_x000D_
Name = Días de Deudores_x000D_
Triangular_x000D_
Minimum = E12_x000D_
MostLikely = F12_x000D_
Maximum = G12_x000D_
</t>
        </r>
      </text>
    </comment>
    <comment ref="I12" authorId="0" shapeId="0">
      <text>
        <r>
          <rPr>
            <b/>
            <sz val="9"/>
            <color indexed="81"/>
            <rFont val="Tahoma"/>
            <family val="2"/>
          </rPr>
          <t>Risk Simulator Assumption</t>
        </r>
        <r>
          <rPr>
            <sz val="9"/>
            <color indexed="81"/>
            <rFont val="Tahoma"/>
            <family val="2"/>
          </rPr>
          <t xml:space="preserve">_x000D_
Name = Días de Deudores_x000D_
Triangular_x000D_
Minimum = H12_x000D_
MostLikely = I12_x000D_
Maximum = J12_x000D_
</t>
        </r>
      </text>
    </comment>
    <comment ref="L12" authorId="0" shapeId="0">
      <text>
        <r>
          <rPr>
            <b/>
            <sz val="9"/>
            <color indexed="81"/>
            <rFont val="Tahoma"/>
            <family val="2"/>
          </rPr>
          <t>Risk Simulator Assumption</t>
        </r>
        <r>
          <rPr>
            <sz val="9"/>
            <color indexed="81"/>
            <rFont val="Tahoma"/>
            <family val="2"/>
          </rPr>
          <t xml:space="preserve">_x000D_
Name = Días de Deudores_x000D_
Triangular_x000D_
Minimum = K12_x000D_
MostLikely = L12_x000D_
Maximum = M12_x000D_
</t>
        </r>
      </text>
    </comment>
    <comment ref="O12" authorId="0" shapeId="0">
      <text>
        <r>
          <rPr>
            <b/>
            <sz val="9"/>
            <color indexed="81"/>
            <rFont val="Tahoma"/>
            <family val="2"/>
          </rPr>
          <t>Risk Simulator Assumption</t>
        </r>
        <r>
          <rPr>
            <sz val="9"/>
            <color indexed="81"/>
            <rFont val="Tahoma"/>
            <family val="2"/>
          </rPr>
          <t xml:space="preserve">_x000D_
Name = Días de Deudores_x000D_
Triangular_x000D_
Minimum = N12_x000D_
MostLikely = O12_x000D_
Maximum = P12_x000D_
</t>
        </r>
      </text>
    </comment>
    <comment ref="C13" authorId="0" shapeId="0">
      <text>
        <r>
          <rPr>
            <b/>
            <sz val="9"/>
            <color indexed="81"/>
            <rFont val="Tahoma"/>
            <family val="2"/>
          </rPr>
          <t>Risk Simulator Assumption</t>
        </r>
        <r>
          <rPr>
            <sz val="9"/>
            <color indexed="81"/>
            <rFont val="Tahoma"/>
            <family val="2"/>
          </rPr>
          <t xml:space="preserve">_x000D_
Name = Días de Inventarios_x000D_
Triangular_x000D_
Minimum = B13_x000D_
MostLikely = C13_x000D_
Maximum = D13_x000D_
</t>
        </r>
      </text>
    </comment>
    <comment ref="F13" authorId="0" shapeId="0">
      <text>
        <r>
          <rPr>
            <b/>
            <sz val="9"/>
            <color indexed="81"/>
            <rFont val="Tahoma"/>
            <family val="2"/>
          </rPr>
          <t>Risk Simulator Assumption</t>
        </r>
        <r>
          <rPr>
            <sz val="9"/>
            <color indexed="81"/>
            <rFont val="Tahoma"/>
            <family val="2"/>
          </rPr>
          <t xml:space="preserve">_x000D_
Name = Días de Inventarios_x000D_
Triangular_x000D_
Minimum = E13_x000D_
MostLikely = F13_x000D_
Maximum = G13_x000D_
</t>
        </r>
      </text>
    </comment>
    <comment ref="I13" authorId="0" shapeId="0">
      <text>
        <r>
          <rPr>
            <b/>
            <sz val="9"/>
            <color indexed="81"/>
            <rFont val="Tahoma"/>
            <family val="2"/>
          </rPr>
          <t>Risk Simulator Assumption</t>
        </r>
        <r>
          <rPr>
            <sz val="9"/>
            <color indexed="81"/>
            <rFont val="Tahoma"/>
            <family val="2"/>
          </rPr>
          <t xml:space="preserve">_x000D_
Name = Días de Inventarios_x000D_
Triangular_x000D_
Minimum = H13_x000D_
MostLikely = I13_x000D_
Maximum = J13_x000D_
</t>
        </r>
      </text>
    </comment>
    <comment ref="L13" authorId="0" shapeId="0">
      <text>
        <r>
          <rPr>
            <b/>
            <sz val="9"/>
            <color indexed="81"/>
            <rFont val="Tahoma"/>
            <family val="2"/>
          </rPr>
          <t>Risk Simulator Assumption</t>
        </r>
        <r>
          <rPr>
            <sz val="9"/>
            <color indexed="81"/>
            <rFont val="Tahoma"/>
            <family val="2"/>
          </rPr>
          <t xml:space="preserve">_x000D_
Name = Días de Inventarios_x000D_
Triangular_x000D_
Minimum = K13_x000D_
MostLikely = L13_x000D_
Maximum = M13_x000D_
</t>
        </r>
      </text>
    </comment>
    <comment ref="O13" authorId="0" shapeId="0">
      <text>
        <r>
          <rPr>
            <b/>
            <sz val="9"/>
            <color indexed="81"/>
            <rFont val="Tahoma"/>
            <family val="2"/>
          </rPr>
          <t>Risk Simulator Assumption</t>
        </r>
        <r>
          <rPr>
            <sz val="9"/>
            <color indexed="81"/>
            <rFont val="Tahoma"/>
            <family val="2"/>
          </rPr>
          <t xml:space="preserve">_x000D_
Name = Días de Inventarios_x000D_
Triangular_x000D_
Minimum = N13_x000D_
MostLikely = O13_x000D_
Maximum = P13_x000D_
</t>
        </r>
      </text>
    </comment>
    <comment ref="C14" authorId="0" shapeId="0">
      <text>
        <r>
          <rPr>
            <b/>
            <sz val="9"/>
            <color indexed="81"/>
            <rFont val="Tahoma"/>
            <family val="2"/>
          </rPr>
          <t>Risk Simulator Assumption</t>
        </r>
        <r>
          <rPr>
            <sz val="9"/>
            <color indexed="81"/>
            <rFont val="Tahoma"/>
            <family val="2"/>
          </rPr>
          <t xml:space="preserve">_x000D_
Name = Días de Cuentas por pagar_x000D_
Triangular_x000D_
Minimum = B14_x000D_
MostLikely = C14_x000D_
Maximum = D14_x000D_
</t>
        </r>
      </text>
    </comment>
    <comment ref="F14" authorId="0" shapeId="0">
      <text>
        <r>
          <rPr>
            <b/>
            <sz val="9"/>
            <color indexed="81"/>
            <rFont val="Tahoma"/>
            <family val="2"/>
          </rPr>
          <t>Risk Simulator Assumption</t>
        </r>
        <r>
          <rPr>
            <sz val="9"/>
            <color indexed="81"/>
            <rFont val="Tahoma"/>
            <family val="2"/>
          </rPr>
          <t xml:space="preserve">_x000D_
Name = Días de Cuentas por pagar_x000D_
Triangular_x000D_
Minimum = E14_x000D_
MostLikely = F14_x000D_
Maximum = G14_x000D_
</t>
        </r>
      </text>
    </comment>
    <comment ref="I14" authorId="0" shapeId="0">
      <text>
        <r>
          <rPr>
            <b/>
            <sz val="9"/>
            <color indexed="81"/>
            <rFont val="Tahoma"/>
            <family val="2"/>
          </rPr>
          <t>Risk Simulator Assumption</t>
        </r>
        <r>
          <rPr>
            <sz val="9"/>
            <color indexed="81"/>
            <rFont val="Tahoma"/>
            <family val="2"/>
          </rPr>
          <t xml:space="preserve">_x000D_
Name = Días de Cuentas por pagar_x000D_
Triangular_x000D_
Minimum = H14_x000D_
MostLikely = I14_x000D_
Maximum = J14_x000D_
</t>
        </r>
      </text>
    </comment>
    <comment ref="L14" authorId="0" shapeId="0">
      <text>
        <r>
          <rPr>
            <b/>
            <sz val="9"/>
            <color indexed="81"/>
            <rFont val="Tahoma"/>
            <family val="2"/>
          </rPr>
          <t>Risk Simulator Assumption</t>
        </r>
        <r>
          <rPr>
            <sz val="9"/>
            <color indexed="81"/>
            <rFont val="Tahoma"/>
            <family val="2"/>
          </rPr>
          <t xml:space="preserve">_x000D_
Name = Días de Cuentas por pagar_x000D_
Triangular_x000D_
Minimum = K14_x000D_
MostLikely = L14_x000D_
Maximum = M14_x000D_
</t>
        </r>
      </text>
    </comment>
    <comment ref="O14" authorId="0" shapeId="0">
      <text>
        <r>
          <rPr>
            <b/>
            <sz val="9"/>
            <color indexed="81"/>
            <rFont val="Tahoma"/>
            <family val="2"/>
          </rPr>
          <t>Risk Simulator Assumption</t>
        </r>
        <r>
          <rPr>
            <sz val="9"/>
            <color indexed="81"/>
            <rFont val="Tahoma"/>
            <family val="2"/>
          </rPr>
          <t xml:space="preserve">_x000D_
Name = Días de Cuentas por pagar_x000D_
Triangular_x000D_
Minimum = N14_x000D_
MostLikely = O14_x000D_
Maximum = P14_x000D_
</t>
        </r>
      </text>
    </comment>
    <comment ref="C15" authorId="0" shapeId="0">
      <text>
        <r>
          <rPr>
            <b/>
            <sz val="9"/>
            <color indexed="81"/>
            <rFont val="Tahoma"/>
            <family val="2"/>
          </rPr>
          <t>Risk Simulator Assumption</t>
        </r>
        <r>
          <rPr>
            <sz val="9"/>
            <color indexed="81"/>
            <rFont val="Tahoma"/>
            <family val="2"/>
          </rPr>
          <t xml:space="preserve">_x000D_
Name = Capex/Ingresos_x000D_
Triangular_x000D_
Minimum = B15_x000D_
MostLikely = C15_x000D_
Maximum = D15_x000D_
</t>
        </r>
      </text>
    </comment>
    <comment ref="F15" authorId="0" shapeId="0">
      <text>
        <r>
          <rPr>
            <b/>
            <sz val="9"/>
            <color indexed="81"/>
            <rFont val="Tahoma"/>
            <family val="2"/>
          </rPr>
          <t>Risk Simulator Assumption</t>
        </r>
        <r>
          <rPr>
            <sz val="9"/>
            <color indexed="81"/>
            <rFont val="Tahoma"/>
            <family val="2"/>
          </rPr>
          <t xml:space="preserve">_x000D_
Name = Capex/Ingresos_x000D_
Triangular_x000D_
Minimum = E15_x000D_
MostLikely = F15_x000D_
Maximum = G15_x000D_
</t>
        </r>
      </text>
    </comment>
    <comment ref="I15" authorId="0" shapeId="0">
      <text>
        <r>
          <rPr>
            <b/>
            <sz val="9"/>
            <color indexed="81"/>
            <rFont val="Tahoma"/>
            <family val="2"/>
          </rPr>
          <t>Risk Simulator Assumption</t>
        </r>
        <r>
          <rPr>
            <sz val="9"/>
            <color indexed="81"/>
            <rFont val="Tahoma"/>
            <family val="2"/>
          </rPr>
          <t xml:space="preserve">_x000D_
Name = Capex/Ingresos_x000D_
Triangular_x000D_
Minimum = H15_x000D_
MostLikely = I15_x000D_
Maximum = J15_x000D_
</t>
        </r>
      </text>
    </comment>
    <comment ref="L15" authorId="0" shapeId="0">
      <text>
        <r>
          <rPr>
            <b/>
            <sz val="9"/>
            <color indexed="81"/>
            <rFont val="Tahoma"/>
            <family val="2"/>
          </rPr>
          <t>Risk Simulator Assumption</t>
        </r>
        <r>
          <rPr>
            <sz val="9"/>
            <color indexed="81"/>
            <rFont val="Tahoma"/>
            <family val="2"/>
          </rPr>
          <t xml:space="preserve">_x000D_
Name = Capex/Ingresos_x000D_
Triangular_x000D_
Minimum = K15_x000D_
MostLikely = L15_x000D_
Maximum = M15_x000D_
</t>
        </r>
      </text>
    </comment>
    <comment ref="O15" authorId="0" shapeId="0">
      <text>
        <r>
          <rPr>
            <b/>
            <sz val="9"/>
            <color indexed="81"/>
            <rFont val="Tahoma"/>
            <family val="2"/>
          </rPr>
          <t>Risk Simulator Assumption</t>
        </r>
        <r>
          <rPr>
            <sz val="9"/>
            <color indexed="81"/>
            <rFont val="Tahoma"/>
            <family val="2"/>
          </rPr>
          <t xml:space="preserve">_x000D_
Name = Capex/Ingresos_x000D_
Triangular_x000D_
Minimum = N15_x000D_
MostLikely = O15_x000D_
Maximum = P15_x000D_
</t>
        </r>
      </text>
    </comment>
    <comment ref="C16" authorId="0" shapeId="0">
      <text>
        <r>
          <rPr>
            <b/>
            <sz val="9"/>
            <color indexed="81"/>
            <rFont val="Tahoma"/>
            <family val="2"/>
          </rPr>
          <t>Risk Simulator Assumption</t>
        </r>
        <r>
          <rPr>
            <sz val="9"/>
            <color indexed="81"/>
            <rFont val="Tahoma"/>
            <family val="2"/>
          </rPr>
          <t xml:space="preserve">_x000D_
Name = Valor Perpetuidad_x000D_
Triangular_x000D_
Minimum = B16_x000D_
MostLikely = C16_x000D_
Maximum = D16_x000D_
</t>
        </r>
      </text>
    </comment>
    <comment ref="F16" authorId="0" shapeId="0">
      <text>
        <r>
          <rPr>
            <b/>
            <sz val="9"/>
            <color indexed="81"/>
            <rFont val="Tahoma"/>
            <family val="2"/>
          </rPr>
          <t>Risk Simulator Assumption</t>
        </r>
        <r>
          <rPr>
            <sz val="9"/>
            <color indexed="81"/>
            <rFont val="Tahoma"/>
            <family val="2"/>
          </rPr>
          <t xml:space="preserve">_x000D_
Name = Valor Perpetuidad_x000D_
Triangular_x000D_
Minimum = E16_x000D_
MostLikely = F16_x000D_
Maximum = G16_x000D_
</t>
        </r>
      </text>
    </comment>
    <comment ref="I16" authorId="0" shapeId="0">
      <text>
        <r>
          <rPr>
            <b/>
            <sz val="9"/>
            <color indexed="81"/>
            <rFont val="Tahoma"/>
            <family val="2"/>
          </rPr>
          <t>Risk Simulator Assumption</t>
        </r>
        <r>
          <rPr>
            <sz val="9"/>
            <color indexed="81"/>
            <rFont val="Tahoma"/>
            <family val="2"/>
          </rPr>
          <t xml:space="preserve">_x000D_
Name = Valor Perpetuidad_x000D_
Triangular_x000D_
Minimum = H16_x000D_
MostLikely = I16_x000D_
Maximum = J16_x000D_
</t>
        </r>
      </text>
    </comment>
    <comment ref="L16" authorId="0" shapeId="0">
      <text>
        <r>
          <rPr>
            <b/>
            <sz val="9"/>
            <color indexed="81"/>
            <rFont val="Tahoma"/>
            <family val="2"/>
          </rPr>
          <t>Risk Simulator Assumption</t>
        </r>
        <r>
          <rPr>
            <sz val="9"/>
            <color indexed="81"/>
            <rFont val="Tahoma"/>
            <family val="2"/>
          </rPr>
          <t xml:space="preserve">_x000D_
Name = Valor Perpetuidad_x000D_
Triangular_x000D_
Minimum = K16_x000D_
MostLikely = L16_x000D_
Maximum = M16_x000D_
</t>
        </r>
      </text>
    </comment>
    <comment ref="O16" authorId="0" shapeId="0">
      <text>
        <r>
          <rPr>
            <b/>
            <sz val="9"/>
            <color indexed="81"/>
            <rFont val="Tahoma"/>
            <family val="2"/>
          </rPr>
          <t>Risk Simulator Assumption</t>
        </r>
        <r>
          <rPr>
            <sz val="9"/>
            <color indexed="81"/>
            <rFont val="Tahoma"/>
            <family val="2"/>
          </rPr>
          <t xml:space="preserve">_x000D_
Name = Valor Perpetuidad_x000D_
Triangular_x000D_
Minimum = N16_x000D_
MostLikely = O16_x000D_
Maximum = P16_x000D_
</t>
        </r>
      </text>
    </comment>
    <comment ref="C17" authorId="0" shapeId="0">
      <text>
        <r>
          <rPr>
            <b/>
            <sz val="9"/>
            <color indexed="81"/>
            <rFont val="Tahoma"/>
            <family val="2"/>
          </rPr>
          <t>Risk Simulator Assumption</t>
        </r>
        <r>
          <rPr>
            <sz val="9"/>
            <color indexed="81"/>
            <rFont val="Tahoma"/>
            <family val="2"/>
          </rPr>
          <t xml:space="preserve">_x000D_
Name = WACC_x000D_
Triangular_x000D_
Minimum = B17_x000D_
MostLikely = C17_x000D_
Maximum = D17_x000D_
</t>
        </r>
      </text>
    </comment>
    <comment ref="F17" authorId="0" shapeId="0">
      <text>
        <r>
          <rPr>
            <b/>
            <sz val="9"/>
            <color indexed="81"/>
            <rFont val="Tahoma"/>
            <family val="2"/>
          </rPr>
          <t>Risk Simulator Assumption</t>
        </r>
        <r>
          <rPr>
            <sz val="9"/>
            <color indexed="81"/>
            <rFont val="Tahoma"/>
            <family val="2"/>
          </rPr>
          <t xml:space="preserve">_x000D_
Name = WACC_x000D_
Triangular_x000D_
Minimum = E17_x000D_
MostLikely = F17_x000D_
Maximum = G17_x000D_
</t>
        </r>
      </text>
    </comment>
    <comment ref="I17" authorId="0" shapeId="0">
      <text>
        <r>
          <rPr>
            <b/>
            <sz val="9"/>
            <color indexed="81"/>
            <rFont val="Tahoma"/>
            <family val="2"/>
          </rPr>
          <t>Risk Simulator Assumption</t>
        </r>
        <r>
          <rPr>
            <sz val="9"/>
            <color indexed="81"/>
            <rFont val="Tahoma"/>
            <family val="2"/>
          </rPr>
          <t xml:space="preserve">_x000D_
Name = WACC_x000D_
Triangular_x000D_
Minimum = H17_x000D_
MostLikely = I17_x000D_
Maximum = J17_x000D_
</t>
        </r>
      </text>
    </comment>
    <comment ref="L17" authorId="0" shapeId="0">
      <text>
        <r>
          <rPr>
            <b/>
            <sz val="9"/>
            <color indexed="81"/>
            <rFont val="Tahoma"/>
            <family val="2"/>
          </rPr>
          <t>Risk Simulator Assumption</t>
        </r>
        <r>
          <rPr>
            <sz val="9"/>
            <color indexed="81"/>
            <rFont val="Tahoma"/>
            <family val="2"/>
          </rPr>
          <t xml:space="preserve">_x000D_
Name = WACC_x000D_
Triangular_x000D_
Minimum = K17_x000D_
MostLikely = L17_x000D_
Maximum = M17_x000D_
</t>
        </r>
      </text>
    </comment>
    <comment ref="O17" authorId="0" shapeId="0">
      <text>
        <r>
          <rPr>
            <b/>
            <sz val="9"/>
            <color indexed="81"/>
            <rFont val="Tahoma"/>
            <family val="2"/>
          </rPr>
          <t>Risk Simulator Assumption</t>
        </r>
        <r>
          <rPr>
            <sz val="9"/>
            <color indexed="81"/>
            <rFont val="Tahoma"/>
            <family val="2"/>
          </rPr>
          <t xml:space="preserve">_x000D_
Name = WACC_x000D_
Triangular_x000D_
Minimum = N17_x000D_
MostLikely = O17_x000D_
Maximum = P17_x000D_
</t>
        </r>
      </text>
    </comment>
  </commentList>
</comments>
</file>

<file path=xl/comments3.xml><?xml version="1.0" encoding="utf-8"?>
<comments xmlns="http://schemas.openxmlformats.org/spreadsheetml/2006/main">
  <authors>
    <author>Juan Restrepo</author>
  </authors>
  <commentList>
    <comment ref="B7" authorId="0" shapeId="0">
      <text>
        <r>
          <rPr>
            <b/>
            <sz val="9"/>
            <color indexed="81"/>
            <rFont val="Tahoma"/>
            <family val="2"/>
          </rPr>
          <t>Juan Restrepo:</t>
        </r>
        <r>
          <rPr>
            <sz val="9"/>
            <color indexed="81"/>
            <rFont val="Tahoma"/>
            <family val="2"/>
          </rPr>
          <t xml:space="preserve">
</t>
        </r>
      </text>
    </comment>
    <comment ref="C7" authorId="0" shapeId="0">
      <text>
        <r>
          <rPr>
            <b/>
            <sz val="9"/>
            <color indexed="81"/>
            <rFont val="Tahoma"/>
            <family val="2"/>
          </rPr>
          <t>Juan Restrepo:</t>
        </r>
        <r>
          <rPr>
            <sz val="9"/>
            <color indexed="81"/>
            <rFont val="Tahoma"/>
            <family val="2"/>
          </rPr>
          <t xml:space="preserve">
</t>
        </r>
      </text>
    </comment>
    <comment ref="D7" authorId="0" shapeId="0">
      <text>
        <r>
          <rPr>
            <b/>
            <sz val="9"/>
            <color indexed="81"/>
            <rFont val="Tahoma"/>
            <family val="2"/>
          </rPr>
          <t>Juan Restrepo:</t>
        </r>
        <r>
          <rPr>
            <sz val="9"/>
            <color indexed="81"/>
            <rFont val="Tahoma"/>
            <family val="2"/>
          </rPr>
          <t xml:space="preserve">
</t>
        </r>
      </text>
    </comment>
    <comment ref="E7" authorId="0" shapeId="0">
      <text>
        <r>
          <rPr>
            <b/>
            <sz val="9"/>
            <color indexed="81"/>
            <rFont val="Tahoma"/>
            <family val="2"/>
          </rPr>
          <t>Juan Restrepo:</t>
        </r>
        <r>
          <rPr>
            <sz val="9"/>
            <color indexed="81"/>
            <rFont val="Tahoma"/>
            <family val="2"/>
          </rPr>
          <t xml:space="preserve">
</t>
        </r>
      </text>
    </comment>
    <comment ref="F7" authorId="0" shapeId="0">
      <text>
        <r>
          <rPr>
            <b/>
            <sz val="9"/>
            <color indexed="81"/>
            <rFont val="Tahoma"/>
            <family val="2"/>
          </rPr>
          <t>Juan Restrepo:</t>
        </r>
        <r>
          <rPr>
            <sz val="9"/>
            <color indexed="81"/>
            <rFont val="Tahoma"/>
            <family val="2"/>
          </rPr>
          <t xml:space="preserve">
</t>
        </r>
      </text>
    </comment>
    <comment ref="B8" authorId="0" shapeId="0">
      <text>
        <r>
          <rPr>
            <b/>
            <sz val="9"/>
            <color indexed="81"/>
            <rFont val="Tahoma"/>
            <family val="2"/>
          </rPr>
          <t>Juan Restrepo:</t>
        </r>
        <r>
          <rPr>
            <sz val="9"/>
            <color indexed="81"/>
            <rFont val="Tahoma"/>
            <family val="2"/>
          </rPr>
          <t xml:space="preserve">
</t>
        </r>
      </text>
    </comment>
    <comment ref="C8" authorId="0" shapeId="0">
      <text>
        <r>
          <rPr>
            <b/>
            <sz val="9"/>
            <color indexed="81"/>
            <rFont val="Tahoma"/>
            <family val="2"/>
          </rPr>
          <t>Juan Restrepo:</t>
        </r>
        <r>
          <rPr>
            <sz val="9"/>
            <color indexed="81"/>
            <rFont val="Tahoma"/>
            <family val="2"/>
          </rPr>
          <t xml:space="preserve">
</t>
        </r>
      </text>
    </comment>
    <comment ref="D8" authorId="0" shapeId="0">
      <text>
        <r>
          <rPr>
            <b/>
            <sz val="9"/>
            <color indexed="81"/>
            <rFont val="Tahoma"/>
            <family val="2"/>
          </rPr>
          <t>Juan Restrepo:</t>
        </r>
        <r>
          <rPr>
            <sz val="9"/>
            <color indexed="81"/>
            <rFont val="Tahoma"/>
            <family val="2"/>
          </rPr>
          <t xml:space="preserve">
</t>
        </r>
      </text>
    </comment>
    <comment ref="E8" authorId="0" shapeId="0">
      <text>
        <r>
          <rPr>
            <b/>
            <sz val="9"/>
            <color indexed="81"/>
            <rFont val="Tahoma"/>
            <family val="2"/>
          </rPr>
          <t>Juan Restrepo:</t>
        </r>
        <r>
          <rPr>
            <sz val="9"/>
            <color indexed="81"/>
            <rFont val="Tahoma"/>
            <family val="2"/>
          </rPr>
          <t xml:space="preserve">
</t>
        </r>
      </text>
    </comment>
    <comment ref="F8" authorId="0" shapeId="0">
      <text>
        <r>
          <rPr>
            <b/>
            <sz val="9"/>
            <color indexed="81"/>
            <rFont val="Tahoma"/>
            <family val="2"/>
          </rPr>
          <t>Juan Restrepo:</t>
        </r>
        <r>
          <rPr>
            <sz val="9"/>
            <color indexed="81"/>
            <rFont val="Tahoma"/>
            <family val="2"/>
          </rPr>
          <t xml:space="preserve">
</t>
        </r>
      </text>
    </comment>
    <comment ref="B9" authorId="0" shapeId="0">
      <text>
        <r>
          <rPr>
            <b/>
            <sz val="9"/>
            <color indexed="81"/>
            <rFont val="Tahoma"/>
            <family val="2"/>
          </rPr>
          <t>Juan Restrepo:</t>
        </r>
        <r>
          <rPr>
            <sz val="9"/>
            <color indexed="81"/>
            <rFont val="Tahoma"/>
            <family val="2"/>
          </rPr>
          <t xml:space="preserve">
</t>
        </r>
      </text>
    </comment>
    <comment ref="C9" authorId="0" shapeId="0">
      <text>
        <r>
          <rPr>
            <b/>
            <sz val="9"/>
            <color indexed="81"/>
            <rFont val="Tahoma"/>
            <family val="2"/>
          </rPr>
          <t>Juan Restrepo:</t>
        </r>
        <r>
          <rPr>
            <sz val="9"/>
            <color indexed="81"/>
            <rFont val="Tahoma"/>
            <family val="2"/>
          </rPr>
          <t xml:space="preserve">
</t>
        </r>
      </text>
    </comment>
    <comment ref="D9" authorId="0" shapeId="0">
      <text>
        <r>
          <rPr>
            <b/>
            <sz val="9"/>
            <color indexed="81"/>
            <rFont val="Tahoma"/>
            <family val="2"/>
          </rPr>
          <t>Juan Restrepo:</t>
        </r>
        <r>
          <rPr>
            <sz val="9"/>
            <color indexed="81"/>
            <rFont val="Tahoma"/>
            <family val="2"/>
          </rPr>
          <t xml:space="preserve">
</t>
        </r>
      </text>
    </comment>
    <comment ref="E9" authorId="0" shapeId="0">
      <text>
        <r>
          <rPr>
            <b/>
            <sz val="9"/>
            <color indexed="81"/>
            <rFont val="Tahoma"/>
            <family val="2"/>
          </rPr>
          <t>Juan Restrepo:</t>
        </r>
        <r>
          <rPr>
            <sz val="9"/>
            <color indexed="81"/>
            <rFont val="Tahoma"/>
            <family val="2"/>
          </rPr>
          <t xml:space="preserve">
</t>
        </r>
      </text>
    </comment>
    <comment ref="F9" authorId="0" shapeId="0">
      <text>
        <r>
          <rPr>
            <b/>
            <sz val="9"/>
            <color indexed="81"/>
            <rFont val="Tahoma"/>
            <family val="2"/>
          </rPr>
          <t>Juan Restrepo:</t>
        </r>
        <r>
          <rPr>
            <sz val="9"/>
            <color indexed="81"/>
            <rFont val="Tahoma"/>
            <family val="2"/>
          </rPr>
          <t xml:space="preserve">
</t>
        </r>
      </text>
    </comment>
    <comment ref="A23" authorId="0" shapeId="0">
      <text>
        <r>
          <rPr>
            <b/>
            <sz val="9"/>
            <color indexed="81"/>
            <rFont val="Tahoma"/>
            <family val="2"/>
          </rPr>
          <t>Juan Restrepo:</t>
        </r>
        <r>
          <rPr>
            <sz val="9"/>
            <color indexed="81"/>
            <rFont val="Tahoma"/>
            <family val="2"/>
          </rPr>
          <t xml:space="preserve">
https://www.invenomica.com.ar/riesgo-pais-embi-america-latina-serie-historica/</t>
        </r>
      </text>
    </comment>
    <comment ref="A31" authorId="0" shapeId="0">
      <text>
        <r>
          <rPr>
            <b/>
            <sz val="9"/>
            <color indexed="81"/>
            <rFont val="Tahoma"/>
            <family val="2"/>
          </rPr>
          <t>Juan Restrepo:</t>
        </r>
        <r>
          <rPr>
            <sz val="9"/>
            <color indexed="81"/>
            <rFont val="Tahoma"/>
            <family val="2"/>
          </rPr>
          <t xml:space="preserve">
https://www.spratings.com/documents/20184/774196/2016+Annual+Global+Corporate+Default+Study+And+Rating+Transitions.pdf/2ddcf9dd-3b82-4151-9dab-8e3fc70a7035</t>
        </r>
      </text>
    </comment>
    <comment ref="B32" authorId="0" shapeId="0">
      <text>
        <r>
          <rPr>
            <b/>
            <sz val="9"/>
            <color indexed="81"/>
            <rFont val="Tahoma"/>
            <family val="2"/>
          </rPr>
          <t>Juan Restrepo:</t>
        </r>
        <r>
          <rPr>
            <sz val="9"/>
            <color indexed="81"/>
            <rFont val="Tahoma"/>
            <family val="2"/>
          </rPr>
          <t xml:space="preserve">
https://datosmacro.expansion.com/ratings/moodys</t>
        </r>
      </text>
    </comment>
    <comment ref="B33" authorId="0" shapeId="0">
      <text>
        <r>
          <rPr>
            <b/>
            <sz val="9"/>
            <color indexed="81"/>
            <rFont val="Tahoma"/>
            <family val="2"/>
          </rPr>
          <t>Juan Restrepo:</t>
        </r>
        <r>
          <rPr>
            <sz val="9"/>
            <color indexed="81"/>
            <rFont val="Tahoma"/>
            <family val="2"/>
          </rPr>
          <t xml:space="preserve">
https://datosmacro.expansion.com/ratings/moodys</t>
        </r>
      </text>
    </comment>
  </commentList>
</comments>
</file>

<file path=xl/comments4.xml><?xml version="1.0" encoding="utf-8"?>
<comments xmlns="http://schemas.openxmlformats.org/spreadsheetml/2006/main">
  <authors>
    <author>Juan Restrepo</author>
  </authors>
  <commentList>
    <comment ref="D3" authorId="0" shapeId="0">
      <text>
        <r>
          <rPr>
            <b/>
            <sz val="10"/>
            <color rgb="FF000000"/>
            <rFont val="Tahoma"/>
            <family val="2"/>
          </rPr>
          <t>Juan Restrepo:</t>
        </r>
        <r>
          <rPr>
            <sz val="10"/>
            <color rgb="FF000000"/>
            <rFont val="Tahoma"/>
            <family val="2"/>
          </rPr>
          <t xml:space="preserve">
</t>
        </r>
        <r>
          <rPr>
            <sz val="10"/>
            <color rgb="FF000000"/>
            <rFont val="Tahoma"/>
            <family val="2"/>
          </rPr>
          <t xml:space="preserve">Existe una difernecia entre los dos reportes
</t>
        </r>
      </text>
    </comment>
  </commentList>
</comments>
</file>

<file path=xl/connections.xml><?xml version="1.0" encoding="utf-8"?>
<connections xmlns="http://schemas.openxmlformats.org/spreadsheetml/2006/main">
  <connection id="1" keepAlive="1" name="Consulta - Año" description="Conexión a la consulta 'Año' en el libro." type="5" refreshedVersion="6" background="1" saveData="1">
    <dbPr connection="Provider=Microsoft.Mashup.OleDb.1;Data Source=$Workbook$;Location=Año;Extended Properties=&quot;&quot;" command="SELECT * FROM [Año]"/>
  </connection>
  <connection id="2" keepAlive="1" name="Consulta - BalanceGeneral" description="Conexión a la consulta 'BalanceGeneral' en el libro." type="5" refreshedVersion="6" background="1" saveData="1">
    <dbPr connection="Provider=Microsoft.Mashup.OleDb.1;Data Source=$Workbook$;Location=BalanceGeneral;Extended Properties=&quot;&quot;" command="SELECT * FROM [BalanceGeneral]"/>
  </connection>
  <connection id="3" keepAlive="1" name="Consulta - BalanceGeneralPivot" description="Conexión a la consulta 'BalanceGeneralPivot' en el libro." type="5" refreshedVersion="6" saveData="1">
    <dbPr connection="Provider=Microsoft.Mashup.OleDb.1;Data Source=$Workbook$;Location=BalanceGeneralPivot;Extended Properties=&quot;&quot;" command="SELECT * FROM [BalanceGeneralPivot]"/>
  </connection>
  <connection id="4" keepAlive="1" name="Consulta - EstadosDeResultados" description="Conexión a la consulta 'EstadosDeResultados' en el libro." type="5" refreshedVersion="6" background="1" saveData="1">
    <dbPr connection="Provider=Microsoft.Mashup.OleDb.1;Data Source=$Workbook$;Location=EstadosDeResultados;Extended Properties=&quot;&quot;" command="SELECT * FROM [EstadosDeResultados]"/>
  </connection>
  <connection id="5" keepAlive="1" name="Consulta - EstadosDeResultadosAnalVertical" description="Conexión a la consulta 'EstadosDeResultadosAnalVertical' en el libro." type="5" refreshedVersion="6" background="1" saveData="1">
    <dbPr connection="Provider=Microsoft.Mashup.OleDb.1;Data Source=$Workbook$;Location=EstadosDeResultadosAnalVertical;Extended Properties=&quot;&quot;" command="SELECT * FROM [EstadosDeResultadosAnalVertical]"/>
  </connection>
  <connection id="6" keepAlive="1" name="Consulta - EstadosDeResultadosPivot" description="Conexión a la consulta 'EstadosDeResultadosPivot' en el libro." type="5" refreshedVersion="6" background="1" saveData="1">
    <dbPr connection="Provider=Microsoft.Mashup.OleDb.1;Data Source=$Workbook$;Location=EstadosDeResultadosPivot;Extended Properties=&quot;&quot;" command="SELECT * FROM [EstadosDeResultadosPivot]"/>
  </connection>
  <connection id="7" keepAlive="1" name="Query - IndicadoresEstrategicos" description="Connection to the 'IndicadoresEstrategicos' query in the workbook." type="5" refreshedVersion="6" background="1" saveData="1">
    <dbPr connection="Provider=Microsoft.Mashup.OleDb.1;Data Source=$Workbook$;Location=IndicadoresEstrategicos;Extended Properties=&quot;&quot;" command="SELECT * FROM [IndicadoresEstrategicos]"/>
  </connection>
  <connection id="8"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name="WorksheetConnection_Información Consolidada.xlsx!Año" type="102" refreshedVersion="6" minRefreshableVersion="5">
    <extLst>
      <ext xmlns:x15="http://schemas.microsoft.com/office/spreadsheetml/2010/11/main" uri="{DE250136-89BD-433C-8126-D09CA5730AF9}">
        <x15:connection id="Año">
          <x15:rangePr sourceName="_xlcn.WorksheetConnection_InformaciónConsolidada.xlsxAño1"/>
        </x15:connection>
      </ext>
    </extLst>
  </connection>
  <connection id="10" name="WorksheetConnection_Información Consolidada.xlsx!BalanceGeneral" type="102" refreshedVersion="6" minRefreshableVersion="5">
    <extLst>
      <ext xmlns:x15="http://schemas.microsoft.com/office/spreadsheetml/2010/11/main" uri="{DE250136-89BD-433C-8126-D09CA5730AF9}">
        <x15:connection id="BalanceGeneral">
          <x15:rangePr sourceName="_xlcn.WorksheetConnection_InformaciónConsolidada.xlsxBalanceGeneral1"/>
        </x15:connection>
      </ext>
    </extLst>
  </connection>
  <connection id="11" name="WorksheetConnection_Información Consolidada.xlsx!BalanceGeneralPivot__2" type="102" refreshedVersion="6" minRefreshableVersion="5">
    <extLst>
      <ext xmlns:x15="http://schemas.microsoft.com/office/spreadsheetml/2010/11/main" uri="{DE250136-89BD-433C-8126-D09CA5730AF9}">
        <x15:connection id="BalanceGeneralPivot__2">
          <x15:rangePr sourceName="_xlcn.WorksheetConnection_InformaciónConsolidada.xlsxBalanceGeneralPivot__21"/>
        </x15:connection>
      </ext>
    </extLst>
  </connection>
  <connection id="12" name="WorksheetConnection_Información Consolidada.xlsx!EstadosDeResultados" type="102" refreshedVersion="6" minRefreshableVersion="5">
    <extLst>
      <ext xmlns:x15="http://schemas.microsoft.com/office/spreadsheetml/2010/11/main" uri="{DE250136-89BD-433C-8126-D09CA5730AF9}">
        <x15:connection id="EstadosDeResultados">
          <x15:rangePr sourceName="_xlcn.WorksheetConnection_InformaciónConsolidada.xlsxEstadosDeResultados1"/>
        </x15:connection>
      </ext>
    </extLst>
  </connection>
  <connection id="13" name="WorksheetConnection_Información Consolidada.xlsx!EstadosDeResultadosAnalVertical" type="102" refreshedVersion="6" minRefreshableVersion="5">
    <extLst>
      <ext xmlns:x15="http://schemas.microsoft.com/office/spreadsheetml/2010/11/main" uri="{DE250136-89BD-433C-8126-D09CA5730AF9}">
        <x15:connection id="EstadosDeResultadosAnalVertical">
          <x15:rangePr sourceName="_xlcn.WorksheetConnection_InformaciónConsolidada.xlsxEstadosDeResultadosAnalVertical1"/>
        </x15:connection>
      </ext>
    </extLst>
  </connection>
</connections>
</file>

<file path=xl/sharedStrings.xml><?xml version="1.0" encoding="utf-8"?>
<sst xmlns="http://schemas.openxmlformats.org/spreadsheetml/2006/main" count="10840" uniqueCount="6841">
  <si>
    <t>Activo</t>
  </si>
  <si>
    <t>Activo Circulante</t>
  </si>
  <si>
    <t>Efectivo y equivalente de efectivo</t>
  </si>
  <si>
    <t>Cliente  neto  de estimaciones incobrables</t>
  </si>
  <si>
    <t>Cuentas por cobrar a partes relacionadas</t>
  </si>
  <si>
    <t>Otras cuentas por cobrar</t>
  </si>
  <si>
    <t>Inventarios Neto</t>
  </si>
  <si>
    <t>Otros activos circulantes</t>
  </si>
  <si>
    <t>Total del Activo Circulante</t>
  </si>
  <si>
    <t>Activo no Circulante</t>
  </si>
  <si>
    <t>Propiedades  maquinaria y equipo neto</t>
  </si>
  <si>
    <t>Total del Activo no Circulante</t>
  </si>
  <si>
    <t>Total del Activo</t>
  </si>
  <si>
    <t>Pasivo y capital contable</t>
  </si>
  <si>
    <t>Pasivo circulante</t>
  </si>
  <si>
    <t>Deuda a corto plazo</t>
  </si>
  <si>
    <t>Proveedores</t>
  </si>
  <si>
    <t>Cuentas por pagar a partes relacionadas</t>
  </si>
  <si>
    <t>Impuesto por pagar</t>
  </si>
  <si>
    <t>Otras cuentas y gastos acumulados por pagar</t>
  </si>
  <si>
    <t>Total del Pasivo Circulante</t>
  </si>
  <si>
    <t>Pasivo a largo plazo</t>
  </si>
  <si>
    <t>Deuda a largo plazo</t>
  </si>
  <si>
    <t>Cuentas por pagar a partes relacionadas  a largo plazo</t>
  </si>
  <si>
    <t>Beneficios a los empleados</t>
  </si>
  <si>
    <t>Otros pasivos</t>
  </si>
  <si>
    <t>Total del Pasivo a largo plazo</t>
  </si>
  <si>
    <t>Total del Pasivo</t>
  </si>
  <si>
    <t>Capital contable</t>
  </si>
  <si>
    <t>Capital social</t>
  </si>
  <si>
    <t>Otras reservas de capital</t>
  </si>
  <si>
    <t>Utilidades retenidas</t>
  </si>
  <si>
    <t>Utilidad Neta</t>
  </si>
  <si>
    <t>Total del capital contable</t>
  </si>
  <si>
    <t>Total pasivo y capital contable</t>
  </si>
  <si>
    <t>Ingresos</t>
  </si>
  <si>
    <t>Costo de ventas</t>
  </si>
  <si>
    <t>Utilidad Bruta</t>
  </si>
  <si>
    <t>Otros gastos, neto</t>
  </si>
  <si>
    <t>EBITDA</t>
  </si>
  <si>
    <t>Gastos financieros</t>
  </si>
  <si>
    <t>Utilidad antes de impuestos</t>
  </si>
  <si>
    <t>Impuestos a la utilidad</t>
  </si>
  <si>
    <t>UTILIDAD NETA CONSOLIDADA</t>
  </si>
  <si>
    <t>Volumen de cemento consolidado</t>
  </si>
  <si>
    <t>Volumen de concreto consolidado</t>
  </si>
  <si>
    <t>Volumen de agregados consolidado</t>
  </si>
  <si>
    <t>Ventas netas</t>
  </si>
  <si>
    <t>Utilidad bruta</t>
  </si>
  <si>
    <t>Deuda neta</t>
  </si>
  <si>
    <t>Deuda total</t>
  </si>
  <si>
    <t>Empleados</t>
  </si>
  <si>
    <t>Margen flujo de operación</t>
  </si>
  <si>
    <t>Pais</t>
  </si>
  <si>
    <t>Concepto</t>
  </si>
  <si>
    <t>Colombia</t>
  </si>
  <si>
    <t>Panama</t>
  </si>
  <si>
    <t>Costa Rica</t>
  </si>
  <si>
    <t>Resto CLH</t>
  </si>
  <si>
    <t>Flujo de operación (Op, EBITDA)</t>
  </si>
  <si>
    <t>2017</t>
  </si>
  <si>
    <t>2016</t>
  </si>
  <si>
    <t>2015</t>
  </si>
  <si>
    <t>2014</t>
  </si>
  <si>
    <t>Año</t>
  </si>
  <si>
    <t>Valor</t>
  </si>
  <si>
    <t>Tipo Cuenta</t>
  </si>
  <si>
    <t>Pasivo</t>
  </si>
  <si>
    <t>Cuenta</t>
  </si>
  <si>
    <t>Orden</t>
  </si>
  <si>
    <t>Productos Financiero y Otros Resultados, neto</t>
  </si>
  <si>
    <t>Gastos de distribución</t>
  </si>
  <si>
    <t>Gastos de administración y ventas</t>
  </si>
  <si>
    <t>Gastos de Operación</t>
  </si>
  <si>
    <t>Resultados de la operación antes de otros gastos, neto</t>
  </si>
  <si>
    <t>Resultados de la operación</t>
  </si>
  <si>
    <t>Gastos de Depreciación</t>
  </si>
  <si>
    <t>Resultados por fluctuación cambiaria</t>
  </si>
  <si>
    <t>Participación no controladora</t>
  </si>
  <si>
    <t>UTILIDAD NETA DE LA PARTICIPACIÓN CONTROLADORA</t>
  </si>
  <si>
    <t>Crédito mercantil  activos intangibles  y activos diferidos neto</t>
  </si>
  <si>
    <t>Participación de la controladora:</t>
  </si>
  <si>
    <t>Prima en colocación de acciones</t>
  </si>
  <si>
    <t>Total de la participación controladora</t>
  </si>
  <si>
    <t>Cantidad</t>
  </si>
  <si>
    <t>Volumen</t>
  </si>
  <si>
    <t>Precio Cierre</t>
  </si>
  <si>
    <t>Precio Mayor</t>
  </si>
  <si>
    <t>Precio Medio</t>
  </si>
  <si>
    <t>Precio Menor</t>
  </si>
  <si>
    <t xml:space="preserve">CLH       </t>
  </si>
  <si>
    <t>Anticipos de Impuestos</t>
  </si>
  <si>
    <t>Otros inversiones y cuentas por cobrar</t>
  </si>
  <si>
    <t>Activos por Impuestos diferidos</t>
  </si>
  <si>
    <t>Pasivos por Impuestos diferidos</t>
  </si>
  <si>
    <t>INDICADOR FINANCIERO</t>
  </si>
  <si>
    <t>Margen Ebitda</t>
  </si>
  <si>
    <t>KTNO</t>
  </si>
  <si>
    <t>PKT</t>
  </si>
  <si>
    <t>Gastos Financieros</t>
  </si>
  <si>
    <t>Deuda Financiera</t>
  </si>
  <si>
    <t>Activo de operación inicial</t>
  </si>
  <si>
    <t>Rentabilidad del activo neto</t>
  </si>
  <si>
    <t>LIQUIDEZ</t>
  </si>
  <si>
    <t>INDICES DE TENDENCIA Y EFICIENCIA OPERACIONAL</t>
  </si>
  <si>
    <t>ENDEUDAMIENTO (%):</t>
  </si>
  <si>
    <t>RENTABILIDAD</t>
  </si>
  <si>
    <t>INDICADORES ESTRATEGICOS</t>
  </si>
  <si>
    <t>Tipo Indicador</t>
  </si>
  <si>
    <t>Variación 2013vs2014</t>
  </si>
  <si>
    <t>Variación 2015vs2016</t>
  </si>
  <si>
    <t>Variación 2014vs2015</t>
  </si>
  <si>
    <t>Fecha (dd/mm/aaaa)</t>
  </si>
  <si>
    <t>Tasa de cambio representativa del mercado (TRM)</t>
  </si>
  <si>
    <t>fecha</t>
  </si>
  <si>
    <t>Observaciones</t>
  </si>
  <si>
    <t xml:space="preserve">Por cada peso que la empresa debe en el corto plazo, posee “X” pesos considerados de  corto plazo o líquidos para responder por la obligación. </t>
  </si>
  <si>
    <t>Por cada peso que la empresa debe en el corto plazo (pasivo corriente), posee “X” pesos considerados como más líquidos para responder por sus obligaciones inmediatas.</t>
  </si>
  <si>
    <t>Con cuantos pesos contaría la empresa si en un momento determinado tuviera que cancelar todas sus obligaciones a corto plazo. (si es igual o menor que cero esta trabajando con plata de otros). Es la cantidad en pesos que la empresa dispone o le queda en activo corriente en caso de que tuviera que cancelar todos los pasivos corrientes</t>
  </si>
  <si>
    <t xml:space="preserve">Numero de veces que esta rotando la cartera, cuantas veces recupero la cartera en un periodo de tiempo determinado. </t>
  </si>
  <si>
    <t>Cada cuantos días está recuperando la cartera.</t>
  </si>
  <si>
    <t>Cuantas veces está rotando el inventario expresado en la recuperación del efectivo.</t>
  </si>
  <si>
    <t>Cuantas veces en promedio están rotando las cuentas por pagar a los proveedores.</t>
  </si>
  <si>
    <t>En promedio cada cuantos días paga proveedores.</t>
  </si>
  <si>
    <t>Días que me demoro en recuperar el efectivo desde que lo introduzco al proceso operativo de la empresa.</t>
  </si>
  <si>
    <t>Días de liquidez o iliquidez por los cuales pasa la empresa. (si días con &gt; días proveedores hay iliquidez que debe ser financiada por la empresa y sí días con &lt; días proveedores hay liquidez que debe ser utilizada por la empresa).</t>
  </si>
  <si>
    <t>Dado un nivel de inversión en activos corrientes, cuantos pesos me genera en ventas.</t>
  </si>
  <si>
    <t>Por cada peso que tengo invertido en activos fijos, me genera x pesos en ventas.</t>
  </si>
  <si>
    <t>Por cada peso que tengo invertido en activos operacionales, me genera x pesos en ventas.</t>
  </si>
  <si>
    <t>Por cada peso que tengo invertido en activos totales, me genera x pesos en ventas.</t>
  </si>
  <si>
    <t>Es el total de activos de la empresa, donde x% es financiado por  terceros.</t>
  </si>
  <si>
    <t>Es el total de activos de la empresa, donde x% es financiado por los dueños.</t>
  </si>
  <si>
    <t>Por cada peso que se tiene en patrimonio respalda “X” pesos de deuda</t>
  </si>
  <si>
    <t>Es el total de pasivo de la empresa, donde x% corresponde al endeudamiento con terceros.</t>
  </si>
  <si>
    <t>Cuanto de la utilidad da para cubrir los gastos financieros.</t>
  </si>
  <si>
    <t>Del total de pasivo y patrimonio, cuanto corresponde a financiación de largo plazo.</t>
  </si>
  <si>
    <t>Es utilizar el servicio de la deuda para aumentar  la rentabilidad de los accionistas (expresado en x%).</t>
  </si>
  <si>
    <t>Por cada peso que se obtiene en ventas, el x% es utilidad bruta.</t>
  </si>
  <si>
    <t>Por cada peso que se obtiene en ventas, el x% es utilidad operacional.</t>
  </si>
  <si>
    <t>Por cada peso que se obtiene en ventas, el x% es utilidad neta.</t>
  </si>
  <si>
    <t>Es la tasa que esta rentando la inversión a nivel operacional.</t>
  </si>
  <si>
    <t>Es la tasa que esta rentando la inversión que se tiene a nivel de activos totales.</t>
  </si>
  <si>
    <t xml:space="preserve">Es la rentabilidad para los accionistas o dueños. </t>
  </si>
  <si>
    <t>Activo Corriente / Pasivo Corriente</t>
  </si>
  <si>
    <t>Activo Corriente - Inventarios / Pasivo Corriente</t>
  </si>
  <si>
    <t>Ventas / Cuentas por Cobrar</t>
  </si>
  <si>
    <t>UODI - NOPLAT</t>
  </si>
  <si>
    <t>Variación 2016vs2017</t>
  </si>
  <si>
    <t>% Var. 2013 vs 2014</t>
  </si>
  <si>
    <t>% Var. 2014 vs 2015</t>
  </si>
  <si>
    <t>% Var. 2015 vs 2016</t>
  </si>
  <si>
    <t>% Var. 2016 vs 2017</t>
  </si>
  <si>
    <t>Flujo de operación (Operating EBITDA)</t>
  </si>
  <si>
    <t>Utilidad por acción</t>
  </si>
  <si>
    <t>Utilidad (pérdida) neta de la participación controladora</t>
  </si>
  <si>
    <t>Acciones en circulación al final del Periodo</t>
  </si>
  <si>
    <t>Volumen de cemento gris doméstico consolidado</t>
  </si>
  <si>
    <t>Endeudamiento</t>
  </si>
  <si>
    <t>Inventario Final</t>
  </si>
  <si>
    <t>Compras</t>
  </si>
  <si>
    <t>(+) CMV</t>
  </si>
  <si>
    <t>(-) Inventario Inicial</t>
  </si>
  <si>
    <t>Compras año</t>
  </si>
  <si>
    <t>ROIC</t>
  </si>
  <si>
    <t>ROE</t>
  </si>
  <si>
    <t>ROA</t>
  </si>
  <si>
    <t>N/A</t>
  </si>
  <si>
    <t>Tendencia</t>
  </si>
  <si>
    <t>2013</t>
  </si>
  <si>
    <t>Tendencia2</t>
  </si>
  <si>
    <t>Años</t>
  </si>
  <si>
    <t>Indicadores Estratégicos</t>
  </si>
  <si>
    <t>Comportamiento Acción</t>
  </si>
  <si>
    <t>Tasa de Cambio (COP vs USD)</t>
  </si>
  <si>
    <t>Balance General</t>
  </si>
  <si>
    <t>Tendencia Variación</t>
  </si>
  <si>
    <t>Estado de Resultados</t>
  </si>
  <si>
    <t>Indicadores</t>
  </si>
  <si>
    <t>Acciones</t>
  </si>
  <si>
    <t>PromedioVolumen</t>
  </si>
  <si>
    <t xml:space="preserve">Maximo </t>
  </si>
  <si>
    <t>Minimo</t>
  </si>
  <si>
    <t>DASHBOARD</t>
  </si>
  <si>
    <t>% Var 2013 vs 2014</t>
  </si>
  <si>
    <t>% Var 2014 vs 2015</t>
  </si>
  <si>
    <t>% Var 2015 vs 2016</t>
  </si>
  <si>
    <t>% Var 2016 vs 2017</t>
  </si>
  <si>
    <t>WACC</t>
  </si>
  <si>
    <t>Value</t>
  </si>
  <si>
    <t>723,08K</t>
  </si>
  <si>
    <t>151,53K</t>
  </si>
  <si>
    <t>87,90K</t>
  </si>
  <si>
    <t>366,80K</t>
  </si>
  <si>
    <t>333,70K</t>
  </si>
  <si>
    <t>256,12K</t>
  </si>
  <si>
    <t>59,04K</t>
  </si>
  <si>
    <t>346,66K</t>
  </si>
  <si>
    <t>1,17M</t>
  </si>
  <si>
    <t>66,28K</t>
  </si>
  <si>
    <t>123,76K</t>
  </si>
  <si>
    <t>555,37K</t>
  </si>
  <si>
    <t>824,96K</t>
  </si>
  <si>
    <t>507,07K</t>
  </si>
  <si>
    <t>2,94M</t>
  </si>
  <si>
    <t>101,72K</t>
  </si>
  <si>
    <t>621,88K</t>
  </si>
  <si>
    <t>483,77K</t>
  </si>
  <si>
    <t>373,07K</t>
  </si>
  <si>
    <t>338,80K</t>
  </si>
  <si>
    <t>1,13M</t>
  </si>
  <si>
    <t>306,56K</t>
  </si>
  <si>
    <t>467,14K</t>
  </si>
  <si>
    <t>440,35K</t>
  </si>
  <si>
    <t>142,21K</t>
  </si>
  <si>
    <t>233,21K</t>
  </si>
  <si>
    <t>761,61K</t>
  </si>
  <si>
    <t>197,05K</t>
  </si>
  <si>
    <t>230,49K</t>
  </si>
  <si>
    <t>87,81K</t>
  </si>
  <si>
    <t>126,47K</t>
  </si>
  <si>
    <t>369,12K</t>
  </si>
  <si>
    <t>202,79K</t>
  </si>
  <si>
    <t>395,98K</t>
  </si>
  <si>
    <t>303,36K</t>
  </si>
  <si>
    <t>10,59K</t>
  </si>
  <si>
    <t>103,98K</t>
  </si>
  <si>
    <t>1,21M</t>
  </si>
  <si>
    <t>178,66K</t>
  </si>
  <si>
    <t>9,87K</t>
  </si>
  <si>
    <t>532,07K</t>
  </si>
  <si>
    <t>14,83K</t>
  </si>
  <si>
    <t>23,46K</t>
  </si>
  <si>
    <t>18,04K</t>
  </si>
  <si>
    <t>623,57K</t>
  </si>
  <si>
    <t>666,60K</t>
  </si>
  <si>
    <t>482,61K</t>
  </si>
  <si>
    <t>785,42K</t>
  </si>
  <si>
    <t>475,12K</t>
  </si>
  <si>
    <t>1,26M</t>
  </si>
  <si>
    <t>959,57K</t>
  </si>
  <si>
    <t>178,96K</t>
  </si>
  <si>
    <t>275,25K</t>
  </si>
  <si>
    <t>572,16K</t>
  </si>
  <si>
    <t>433,20K</t>
  </si>
  <si>
    <t>219,51K</t>
  </si>
  <si>
    <t>932,40K</t>
  </si>
  <si>
    <t>701,60K</t>
  </si>
  <si>
    <t>588,26K</t>
  </si>
  <si>
    <t>1,47M</t>
  </si>
  <si>
    <t>381,84K</t>
  </si>
  <si>
    <t>175,02K</t>
  </si>
  <si>
    <t>75,40K</t>
  </si>
  <si>
    <t>883,81K</t>
  </si>
  <si>
    <t>419,39K</t>
  </si>
  <si>
    <t>164,79K</t>
  </si>
  <si>
    <t>154,40K</t>
  </si>
  <si>
    <t>271,56K</t>
  </si>
  <si>
    <t>369,22K</t>
  </si>
  <si>
    <t>166,18K</t>
  </si>
  <si>
    <t>427,26K</t>
  </si>
  <si>
    <t>216,93K</t>
  </si>
  <si>
    <t>94,18K</t>
  </si>
  <si>
    <t>66,05K</t>
  </si>
  <si>
    <t>323,72K</t>
  </si>
  <si>
    <t>213,64K</t>
  </si>
  <si>
    <t>312,44K</t>
  </si>
  <si>
    <t>689,73K</t>
  </si>
  <si>
    <t>470,73K</t>
  </si>
  <si>
    <t>408,35K</t>
  </si>
  <si>
    <t>564,56K</t>
  </si>
  <si>
    <t>250,71K</t>
  </si>
  <si>
    <t>534,06K</t>
  </si>
  <si>
    <t>61,83K</t>
  </si>
  <si>
    <t>871,92K</t>
  </si>
  <si>
    <t>611,72K</t>
  </si>
  <si>
    <t>171,69K</t>
  </si>
  <si>
    <t>197,03K</t>
  </si>
  <si>
    <t>634,93K</t>
  </si>
  <si>
    <t>200,42K</t>
  </si>
  <si>
    <t>150,25K</t>
  </si>
  <si>
    <t>227,66K</t>
  </si>
  <si>
    <t>382,42K</t>
  </si>
  <si>
    <t>38,63K</t>
  </si>
  <si>
    <t>212,61K</t>
  </si>
  <si>
    <t>41,83K</t>
  </si>
  <si>
    <t>643,78K</t>
  </si>
  <si>
    <t>381,90K</t>
  </si>
  <si>
    <t>575,31K</t>
  </si>
  <si>
    <t>101,57K</t>
  </si>
  <si>
    <t>469,81K</t>
  </si>
  <si>
    <t>232,61K</t>
  </si>
  <si>
    <t>226,44K</t>
  </si>
  <si>
    <t>979,41K</t>
  </si>
  <si>
    <t>290,94K</t>
  </si>
  <si>
    <t>188,00K</t>
  </si>
  <si>
    <t>62,40K</t>
  </si>
  <si>
    <t>271,99K</t>
  </si>
  <si>
    <t>69,16K</t>
  </si>
  <si>
    <t>123,68K</t>
  </si>
  <si>
    <t>85,52K</t>
  </si>
  <si>
    <t>24,40K</t>
  </si>
  <si>
    <t>98,44K</t>
  </si>
  <si>
    <t>121,98K</t>
  </si>
  <si>
    <t>395,09K</t>
  </si>
  <si>
    <t>42,42K</t>
  </si>
  <si>
    <t>66,60K</t>
  </si>
  <si>
    <t>107,95K</t>
  </si>
  <si>
    <t>215,47K</t>
  </si>
  <si>
    <t>404,59K</t>
  </si>
  <si>
    <t>284,64K</t>
  </si>
  <si>
    <t>58,43K</t>
  </si>
  <si>
    <t>241,82K</t>
  </si>
  <si>
    <t>746,65K</t>
  </si>
  <si>
    <t>724,01K</t>
  </si>
  <si>
    <t>182,99K</t>
  </si>
  <si>
    <t>296,49K</t>
  </si>
  <si>
    <t>775,48K</t>
  </si>
  <si>
    <t>198,07K</t>
  </si>
  <si>
    <t>348,32K</t>
  </si>
  <si>
    <t>96,34K</t>
  </si>
  <si>
    <t>81,69K</t>
  </si>
  <si>
    <t>588,38K</t>
  </si>
  <si>
    <t>313,80K</t>
  </si>
  <si>
    <t>162,63K</t>
  </si>
  <si>
    <t>335,47K</t>
  </si>
  <si>
    <t>215,97K</t>
  </si>
  <si>
    <t>633,90K</t>
  </si>
  <si>
    <t>181,64K</t>
  </si>
  <si>
    <t>98,80K</t>
  </si>
  <si>
    <t>126,13K</t>
  </si>
  <si>
    <t>331,17K</t>
  </si>
  <si>
    <t>244,18K</t>
  </si>
  <si>
    <t>363,99K</t>
  </si>
  <si>
    <t>60,48K</t>
  </si>
  <si>
    <t>118,58K</t>
  </si>
  <si>
    <t>108,75K</t>
  </si>
  <si>
    <t>155,05K</t>
  </si>
  <si>
    <t>30,15K</t>
  </si>
  <si>
    <t>216,40K</t>
  </si>
  <si>
    <t>213,74K</t>
  </si>
  <si>
    <t>24,90K</t>
  </si>
  <si>
    <t>266,73K</t>
  </si>
  <si>
    <t>113,20K</t>
  </si>
  <si>
    <t>126,16K</t>
  </si>
  <si>
    <t>118,64K</t>
  </si>
  <si>
    <t>156,73K</t>
  </si>
  <si>
    <t>106,39K</t>
  </si>
  <si>
    <t>178,84K</t>
  </si>
  <si>
    <t>394,55K</t>
  </si>
  <si>
    <t>840,45K</t>
  </si>
  <si>
    <t>57,02K</t>
  </si>
  <si>
    <t>1,02M</t>
  </si>
  <si>
    <t>217,22K</t>
  </si>
  <si>
    <t>72,76K</t>
  </si>
  <si>
    <t>73,03K</t>
  </si>
  <si>
    <t>1,72M</t>
  </si>
  <si>
    <t>238,81K</t>
  </si>
  <si>
    <t>328,88K</t>
  </si>
  <si>
    <t>823,44K</t>
  </si>
  <si>
    <t>190,27K</t>
  </si>
  <si>
    <t>135,78K</t>
  </si>
  <si>
    <t>70,75K</t>
  </si>
  <si>
    <t>136,52K</t>
  </si>
  <si>
    <t>670,65K</t>
  </si>
  <si>
    <t>464,13K</t>
  </si>
  <si>
    <t>30,24K</t>
  </si>
  <si>
    <t>50,20K</t>
  </si>
  <si>
    <t>87,16K</t>
  </si>
  <si>
    <t>108,01K</t>
  </si>
  <si>
    <t>91,54K</t>
  </si>
  <si>
    <t>404,08K</t>
  </si>
  <si>
    <t>94,35K</t>
  </si>
  <si>
    <t>112,31K</t>
  </si>
  <si>
    <t>65,58K</t>
  </si>
  <si>
    <t>12,16K</t>
  </si>
  <si>
    <t>68,42K</t>
  </si>
  <si>
    <t>158,89K</t>
  </si>
  <si>
    <t>85,10K</t>
  </si>
  <si>
    <t>129,17K</t>
  </si>
  <si>
    <t>120,05K</t>
  </si>
  <si>
    <t>68,37K</t>
  </si>
  <si>
    <t>442,67K</t>
  </si>
  <si>
    <t>47,50K</t>
  </si>
  <si>
    <t>57,17K</t>
  </si>
  <si>
    <t>287,33K</t>
  </si>
  <si>
    <t>83,43K</t>
  </si>
  <si>
    <t>61,70K</t>
  </si>
  <si>
    <t>208,28K</t>
  </si>
  <si>
    <t>42,77K</t>
  </si>
  <si>
    <t>183,86K</t>
  </si>
  <si>
    <t>578,95K</t>
  </si>
  <si>
    <t>521,16K</t>
  </si>
  <si>
    <t>53,44K</t>
  </si>
  <si>
    <t>85,88K</t>
  </si>
  <si>
    <t>90,43K</t>
  </si>
  <si>
    <t>36,74K</t>
  </si>
  <si>
    <t>166,01K</t>
  </si>
  <si>
    <t>464,22K</t>
  </si>
  <si>
    <t>184,22K</t>
  </si>
  <si>
    <t>185,39K</t>
  </si>
  <si>
    <t>50,45K</t>
  </si>
  <si>
    <t>114,44K</t>
  </si>
  <si>
    <t>164,44K</t>
  </si>
  <si>
    <t>443,34K</t>
  </si>
  <si>
    <t>235,82K</t>
  </si>
  <si>
    <t>428,63K</t>
  </si>
  <si>
    <t>197,00K</t>
  </si>
  <si>
    <t>70,58K</t>
  </si>
  <si>
    <t>364,16K</t>
  </si>
  <si>
    <t>313,83K</t>
  </si>
  <si>
    <t>759,38K</t>
  </si>
  <si>
    <t>412,64K</t>
  </si>
  <si>
    <t>132,94K</t>
  </si>
  <si>
    <t>84,74K</t>
  </si>
  <si>
    <t>633,82K</t>
  </si>
  <si>
    <t>364,34K</t>
  </si>
  <si>
    <t>1,04M</t>
  </si>
  <si>
    <t>105,54K</t>
  </si>
  <si>
    <t>124,47K</t>
  </si>
  <si>
    <t>140,12K</t>
  </si>
  <si>
    <t>76,04K</t>
  </si>
  <si>
    <t>165,51K</t>
  </si>
  <si>
    <t>214,27K</t>
  </si>
  <si>
    <t>101,43K</t>
  </si>
  <si>
    <t>124,99K</t>
  </si>
  <si>
    <t>10,20K</t>
  </si>
  <si>
    <t>33,99K</t>
  </si>
  <si>
    <t>715,64K</t>
  </si>
  <si>
    <t>709,08K</t>
  </si>
  <si>
    <t>1,32M</t>
  </si>
  <si>
    <t>102,70K</t>
  </si>
  <si>
    <t>624,69K</t>
  </si>
  <si>
    <t>36,04K</t>
  </si>
  <si>
    <t>1,01M</t>
  </si>
  <si>
    <t>65,42K</t>
  </si>
  <si>
    <t>42,10K</t>
  </si>
  <si>
    <t>276,46K</t>
  </si>
  <si>
    <t>732,91K</t>
  </si>
  <si>
    <t>1,15M</t>
  </si>
  <si>
    <t>403,18K</t>
  </si>
  <si>
    <t>206,43K</t>
  </si>
  <si>
    <t>555,79K</t>
  </si>
  <si>
    <t>618,62K</t>
  </si>
  <si>
    <t>399,34K</t>
  </si>
  <si>
    <t>484,87K</t>
  </si>
  <si>
    <t>153,43K</t>
  </si>
  <si>
    <t>274,61K</t>
  </si>
  <si>
    <t>336,74K</t>
  </si>
  <si>
    <t>516,12K</t>
  </si>
  <si>
    <t>1,55M</t>
  </si>
  <si>
    <t>96,14K</t>
  </si>
  <si>
    <t>386,62K</t>
  </si>
  <si>
    <t>175,99K</t>
  </si>
  <si>
    <t>219,73K</t>
  </si>
  <si>
    <t>239,01K</t>
  </si>
  <si>
    <t>260,67K</t>
  </si>
  <si>
    <t>214,14K</t>
  </si>
  <si>
    <t>132,56K</t>
  </si>
  <si>
    <t>166,51K</t>
  </si>
  <si>
    <t>60,16K</t>
  </si>
  <si>
    <t>119,37K</t>
  </si>
  <si>
    <t>413,93K</t>
  </si>
  <si>
    <t>316,38K</t>
  </si>
  <si>
    <t>361,10K</t>
  </si>
  <si>
    <t>185,85K</t>
  </si>
  <si>
    <t>210,16K</t>
  </si>
  <si>
    <t>607,74K</t>
  </si>
  <si>
    <t>323,37K</t>
  </si>
  <si>
    <t>544,23K</t>
  </si>
  <si>
    <t>193,50K</t>
  </si>
  <si>
    <t>220,35K</t>
  </si>
  <si>
    <t>306,78K</t>
  </si>
  <si>
    <t>113,97K</t>
  </si>
  <si>
    <t>154,36K</t>
  </si>
  <si>
    <t>38,72K</t>
  </si>
  <si>
    <t>2,29K</t>
  </si>
  <si>
    <t>128,78K</t>
  </si>
  <si>
    <t>239,82K</t>
  </si>
  <si>
    <t>363,66K</t>
  </si>
  <si>
    <t>897,63K</t>
  </si>
  <si>
    <t>1,09M</t>
  </si>
  <si>
    <t>518,36K</t>
  </si>
  <si>
    <t>279,96K</t>
  </si>
  <si>
    <t>88,58K</t>
  </si>
  <si>
    <t>723,06K</t>
  </si>
  <si>
    <t>249,03K</t>
  </si>
  <si>
    <t>577,24K</t>
  </si>
  <si>
    <t>623,61K</t>
  </si>
  <si>
    <t>948,44K</t>
  </si>
  <si>
    <t>142,42K</t>
  </si>
  <si>
    <t>135,92K</t>
  </si>
  <si>
    <t>168,17K</t>
  </si>
  <si>
    <t>90,86K</t>
  </si>
  <si>
    <t>1,27M</t>
  </si>
  <si>
    <t>746,59K</t>
  </si>
  <si>
    <t>483,32K</t>
  </si>
  <si>
    <t>506,47K</t>
  </si>
  <si>
    <t>144,18K</t>
  </si>
  <si>
    <t>821,03K</t>
  </si>
  <si>
    <t>163,20K</t>
  </si>
  <si>
    <t>46,53K</t>
  </si>
  <si>
    <t>3,08M</t>
  </si>
  <si>
    <t>114,46K</t>
  </si>
  <si>
    <t>318,35K</t>
  </si>
  <si>
    <t>364,64K</t>
  </si>
  <si>
    <t>261,46K</t>
  </si>
  <si>
    <t>1,36M</t>
  </si>
  <si>
    <t>553,73K</t>
  </si>
  <si>
    <t>718,01K</t>
  </si>
  <si>
    <t>2,00M</t>
  </si>
  <si>
    <t>495,06K</t>
  </si>
  <si>
    <t>138,78K</t>
  </si>
  <si>
    <t>34,29K</t>
  </si>
  <si>
    <t>778,36K</t>
  </si>
  <si>
    <t>587,99K</t>
  </si>
  <si>
    <t>136,62K</t>
  </si>
  <si>
    <t>222,26K</t>
  </si>
  <si>
    <t>40,89K</t>
  </si>
  <si>
    <t>37,65K</t>
  </si>
  <si>
    <t>22,20K</t>
  </si>
  <si>
    <t>754,04K</t>
  </si>
  <si>
    <t>190,99K</t>
  </si>
  <si>
    <t>26,47K</t>
  </si>
  <si>
    <t>133,00K</t>
  </si>
  <si>
    <t>850,08K</t>
  </si>
  <si>
    <t>25,53K</t>
  </si>
  <si>
    <t>274,00K</t>
  </si>
  <si>
    <t>86,39K</t>
  </si>
  <si>
    <t>91,30K</t>
  </si>
  <si>
    <t>69,00K</t>
  </si>
  <si>
    <t>345,65K</t>
  </si>
  <si>
    <t>472,57K</t>
  </si>
  <si>
    <t>502,22K</t>
  </si>
  <si>
    <t>52,72K</t>
  </si>
  <si>
    <t>220,48K</t>
  </si>
  <si>
    <t>2,64M</t>
  </si>
  <si>
    <t>103,53K</t>
  </si>
  <si>
    <t>297,67K</t>
  </si>
  <si>
    <t>99,92K</t>
  </si>
  <si>
    <t>130,74K</t>
  </si>
  <si>
    <t>107,71K</t>
  </si>
  <si>
    <t>1,10M</t>
  </si>
  <si>
    <t>832,54K</t>
  </si>
  <si>
    <t>1,71M</t>
  </si>
  <si>
    <t>233,34K</t>
  </si>
  <si>
    <t>204,10K</t>
  </si>
  <si>
    <t>127,17K</t>
  </si>
  <si>
    <t>60,34K</t>
  </si>
  <si>
    <t>121,23K</t>
  </si>
  <si>
    <t>219,38K</t>
  </si>
  <si>
    <t>197,04K</t>
  </si>
  <si>
    <t>94,10K</t>
  </si>
  <si>
    <t>Media</t>
  </si>
  <si>
    <t>Error típico</t>
  </si>
  <si>
    <t>Mediana</t>
  </si>
  <si>
    <t>Moda</t>
  </si>
  <si>
    <t>Desviación estándar</t>
  </si>
  <si>
    <t>Varianza de la muestra</t>
  </si>
  <si>
    <t>Curtosis</t>
  </si>
  <si>
    <t>Coeficiente de asimetría</t>
  </si>
  <si>
    <t>Rango</t>
  </si>
  <si>
    <t>Mínimo</t>
  </si>
  <si>
    <t>Máximo</t>
  </si>
  <si>
    <t>Suma</t>
  </si>
  <si>
    <t>Todos Los Datos</t>
  </si>
  <si>
    <t>Ultimo Año</t>
  </si>
  <si>
    <t>Clase</t>
  </si>
  <si>
    <t>y mayor...</t>
  </si>
  <si>
    <t>Frecuencia</t>
  </si>
  <si>
    <t>% acumulado</t>
  </si>
  <si>
    <t>Etiquetas de fila</t>
  </si>
  <si>
    <t>Total general</t>
  </si>
  <si>
    <t>Suma de Tasa de cambio representativa del mercado (TRM)</t>
  </si>
  <si>
    <t>Fecha</t>
  </si>
  <si>
    <t>Último</t>
  </si>
  <si>
    <t>Apertura</t>
  </si>
  <si>
    <t>% var.</t>
  </si>
  <si>
    <t>Tasa de Cambio (CRC  vs USD)</t>
  </si>
  <si>
    <t>Suma de Último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</si>
  <si>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</si>
  <si>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</si>
  <si>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</si>
  <si>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</si>
  <si>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</si>
  <si>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</si>
  <si>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</si>
  <si>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</si>
  <si>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</si>
  <si>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</si>
  <si>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</si>
  <si>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</si>
  <si>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</si>
  <si>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</si>
  <si>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</si>
  <si>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</si>
  <si>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</si>
  <si>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</si>
  <si>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</si>
  <si>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</si>
  <si>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</si>
  <si>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</si>
  <si>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t>Patrimonio</t>
  </si>
  <si>
    <t>Promedio 2016-2017</t>
  </si>
  <si>
    <t>Horizontal 2015vs2016</t>
  </si>
  <si>
    <t>Promedio 2013-2016</t>
  </si>
  <si>
    <t>Vertical 2013</t>
  </si>
  <si>
    <t>Vertical 2014</t>
  </si>
  <si>
    <t>Vertical 2015</t>
  </si>
  <si>
    <t>Vertical 2016</t>
  </si>
  <si>
    <t>Vertical 2017</t>
  </si>
  <si>
    <t>Panamá</t>
  </si>
  <si>
    <t>Column Labels</t>
  </si>
  <si>
    <t>Absoluta</t>
  </si>
  <si>
    <t>Relativa</t>
  </si>
  <si>
    <t>Tipo Variacion</t>
  </si>
  <si>
    <t>Variacion</t>
  </si>
  <si>
    <t>Sum of Value</t>
  </si>
  <si>
    <t>sh</t>
  </si>
  <si>
    <t xml:space="preserve">UODI </t>
  </si>
  <si>
    <t>Argentina</t>
  </si>
  <si>
    <t>% Var 2015/2014</t>
  </si>
  <si>
    <t>PAIS</t>
  </si>
  <si>
    <t>2016*</t>
  </si>
  <si>
    <t>2017F**</t>
  </si>
  <si>
    <t xml:space="preserve"> % Var 2014/2013</t>
  </si>
  <si>
    <t>% Var 2016 (E)/2015</t>
  </si>
  <si>
    <t>% Var 2017 (E) /2016</t>
  </si>
  <si>
    <t>FUENTE</t>
  </si>
  <si>
    <t>AFCP</t>
  </si>
  <si>
    <t>Bolivia</t>
  </si>
  <si>
    <t xml:space="preserve">International Cement Review </t>
  </si>
  <si>
    <t>Brasil</t>
  </si>
  <si>
    <t>SNIC</t>
  </si>
  <si>
    <t>Chile</t>
  </si>
  <si>
    <t>Cuba</t>
  </si>
  <si>
    <t>Ecuador</t>
  </si>
  <si>
    <t>DANE</t>
  </si>
  <si>
    <t>El Salvador</t>
  </si>
  <si>
    <t>Guatemala</t>
  </si>
  <si>
    <t xml:space="preserve">ISCYC e International Cement Review </t>
  </si>
  <si>
    <t>ICCG</t>
  </si>
  <si>
    <t>Honduras</t>
  </si>
  <si>
    <t>Mexico</t>
  </si>
  <si>
    <t xml:space="preserve">CANACEM e International Cement Review </t>
  </si>
  <si>
    <t>Nicaragua</t>
  </si>
  <si>
    <t>International Cement Review y FICEM</t>
  </si>
  <si>
    <t>CIFRAS DE LA INDUSTRIA CEMENTERA DE AMERICA LATINA Y EL CARIBE</t>
  </si>
  <si>
    <t>Producción de cemeno ( Miles de toneladas)</t>
  </si>
  <si>
    <t>EXPORTACIONES E IMPORTACIONES DE CEMENTO POR REGIONES ( Millones de Toneladas)</t>
  </si>
  <si>
    <t>Region</t>
  </si>
  <si>
    <t>Europa</t>
  </si>
  <si>
    <t>Norte de Asia</t>
  </si>
  <si>
    <t>Medio Oriente</t>
  </si>
  <si>
    <t>Sur de Asia</t>
  </si>
  <si>
    <t>Subcontinente Indio</t>
  </si>
  <si>
    <t>Africa</t>
  </si>
  <si>
    <t>Norte America</t>
  </si>
  <si>
    <t>Latinoamérica y el Caribe</t>
  </si>
  <si>
    <t>Australasia</t>
  </si>
  <si>
    <t>Total</t>
  </si>
  <si>
    <t>Exportación</t>
  </si>
  <si>
    <t>Importación</t>
  </si>
  <si>
    <t>2016 E</t>
  </si>
  <si>
    <t>Paraguay</t>
  </si>
  <si>
    <t>Perú</t>
  </si>
  <si>
    <t>Puerto Rico</t>
  </si>
  <si>
    <t>República Dominicana</t>
  </si>
  <si>
    <t>Uruguay</t>
  </si>
  <si>
    <t>Venezuela</t>
  </si>
  <si>
    <t>Otros Caribe ***</t>
  </si>
  <si>
    <t>FICEM</t>
  </si>
  <si>
    <t>América Latina y el Caribe</t>
  </si>
  <si>
    <t>ASOCEM</t>
  </si>
  <si>
    <t>ADOCEM</t>
  </si>
  <si>
    <t>* E. valor estimado</t>
  </si>
  <si>
    <t>** F. valor pronosticado</t>
  </si>
  <si>
    <t>*** Incluye Barbados, Guadalupe, Haiti, Trinidad y Tobago, Jaimaica y Martinica</t>
  </si>
  <si>
    <t>CONSUMO DE CEMENTO ( MILES DE TONELADAS)</t>
  </si>
  <si>
    <t>Otros Caribe</t>
  </si>
  <si>
    <t>CONSUMO DE CEMENTO PER CAPITA (KG/PER CÁPITA)</t>
  </si>
  <si>
    <t>International Cement Review  Y FICEM</t>
  </si>
  <si>
    <t>CANACEM Y FICEM</t>
  </si>
  <si>
    <t>ND</t>
  </si>
  <si>
    <t>Grand Total</t>
  </si>
  <si>
    <t>Sum of 2013</t>
  </si>
  <si>
    <t>Sum of 2014</t>
  </si>
  <si>
    <t>Sum of 2015</t>
  </si>
  <si>
    <t>Sum of 2016*</t>
  </si>
  <si>
    <t>Sum of 2017F**</t>
  </si>
  <si>
    <t>Values</t>
  </si>
  <si>
    <t>2.013</t>
  </si>
  <si>
    <t>2.014</t>
  </si>
  <si>
    <t>2.015</t>
  </si>
  <si>
    <t>2.016*</t>
  </si>
  <si>
    <t>2.017F**</t>
  </si>
  <si>
    <t>2018</t>
  </si>
  <si>
    <t>Vertical 2018</t>
  </si>
  <si>
    <t>Row Labels</t>
  </si>
  <si>
    <t>Sum of Valor</t>
  </si>
  <si>
    <t>Cemento</t>
  </si>
  <si>
    <t>Concreto</t>
  </si>
  <si>
    <t>Agregados</t>
  </si>
  <si>
    <t>otros</t>
  </si>
  <si>
    <t>Otros productos</t>
  </si>
  <si>
    <t>Precio</t>
  </si>
  <si>
    <t>KE</t>
  </si>
  <si>
    <t>%D</t>
  </si>
  <si>
    <t>Capitalizacion Bursatil(en billones)</t>
  </si>
  <si>
    <t>Tasa Libre Riesgo(T - Bond 10 Y)</t>
  </si>
  <si>
    <t>Prima de Mercado</t>
  </si>
  <si>
    <t>Beta Apalancado(Constrution Supplies 2018)</t>
  </si>
  <si>
    <t>Riesgo País</t>
  </si>
  <si>
    <t>Salvador</t>
  </si>
  <si>
    <t>Re</t>
  </si>
  <si>
    <t>E/P</t>
  </si>
  <si>
    <t>G(PIB USA)</t>
  </si>
  <si>
    <t>D/E</t>
  </si>
  <si>
    <t>Beta  desapalancado(Comparable)</t>
  </si>
  <si>
    <t>Kd</t>
  </si>
  <si>
    <t>Tasa de Impuestos</t>
  </si>
  <si>
    <t>%E</t>
  </si>
  <si>
    <t>Producto</t>
  </si>
  <si>
    <t>Calificacion</t>
  </si>
  <si>
    <t>NON Default</t>
  </si>
  <si>
    <t>BBB</t>
  </si>
  <si>
    <t>BB</t>
  </si>
  <si>
    <t>B</t>
  </si>
  <si>
    <t>B-</t>
  </si>
  <si>
    <t>Default(P)</t>
  </si>
  <si>
    <t>L(Tasa de Perdida en Default)</t>
  </si>
  <si>
    <t>2017-2016</t>
  </si>
  <si>
    <t>2016-2015</t>
  </si>
  <si>
    <t>2015-2014</t>
  </si>
  <si>
    <t>Resto de CLH</t>
  </si>
  <si>
    <t>Ingresos 2017</t>
  </si>
  <si>
    <t>Ingresos 2016</t>
  </si>
  <si>
    <t>Ingresos 2015</t>
  </si>
  <si>
    <t>Fuente</t>
  </si>
  <si>
    <t>https://www.treasury.gov/resource-center/data-chart-center/interest-rates/Pages/TextView.aspx?data=yieldYear&amp;year=2018</t>
  </si>
  <si>
    <t>https://ycharts.com/indicators/sp_500_operating_pe_ratio</t>
  </si>
  <si>
    <t>https://csimarket.com/Industry/industry_ManagementEffectiveness.php?&amp;hist=1</t>
  </si>
  <si>
    <t>https://data.oecd.org/gdp/real-gdp-forecast.htm</t>
  </si>
  <si>
    <t>% Participacion Negocio x Pais</t>
  </si>
  <si>
    <t>País</t>
  </si>
  <si>
    <t>Ingresos 2014</t>
  </si>
  <si>
    <t>X2</t>
  </si>
  <si>
    <t>X</t>
  </si>
  <si>
    <t>C</t>
  </si>
  <si>
    <t>EC</t>
  </si>
  <si>
    <t>%</t>
  </si>
  <si>
    <t>2019p</t>
  </si>
  <si>
    <t>2020p</t>
  </si>
  <si>
    <t>2021p</t>
  </si>
  <si>
    <t>PIB</t>
  </si>
  <si>
    <t>Crecimiento sector</t>
  </si>
  <si>
    <t>CONCEPTO</t>
  </si>
  <si>
    <t>COLOMBIA</t>
  </si>
  <si>
    <t>Resto de CHL</t>
  </si>
  <si>
    <t>https://www.fedesarrollo.org.co/sites/default/files/prospectivaeconomica/prospectiva_septiembre_2018-acceso_libre.pdf</t>
  </si>
  <si>
    <t>https://datos.bancomundial.org/pais/Panama?view=chart</t>
  </si>
  <si>
    <t>SUPUESTOS MACROECONÓMICOS</t>
  </si>
  <si>
    <t>% Impuestos</t>
  </si>
  <si>
    <t>Tasa Préstamo</t>
  </si>
  <si>
    <t>% Crecimiento de ventas</t>
  </si>
  <si>
    <t>% Costos de venta</t>
  </si>
  <si>
    <t>Depreciación y Amortización Costo</t>
  </si>
  <si>
    <t>Ingresos (gastos) operacionales</t>
  </si>
  <si>
    <t>SUPUESTOS PYG</t>
  </si>
  <si>
    <t>2022p</t>
  </si>
  <si>
    <t>2023p</t>
  </si>
  <si>
    <t>Gastos Administrativos Y Ventas</t>
  </si>
  <si>
    <t>2019P</t>
  </si>
  <si>
    <t>2020P</t>
  </si>
  <si>
    <t>2021P</t>
  </si>
  <si>
    <t>2022P</t>
  </si>
  <si>
    <t>PROYECCIONES ECONÓMICAS DE MEDIANO PLAZO - Bancolombia</t>
  </si>
  <si>
    <t>Gastos De Distribución</t>
  </si>
  <si>
    <t>Gastos De Operación</t>
  </si>
  <si>
    <t>Estado de Resultados Proyección</t>
  </si>
  <si>
    <t>Vertical 2019</t>
  </si>
  <si>
    <t>Vertical 2020</t>
  </si>
  <si>
    <t>Vertical 2021</t>
  </si>
  <si>
    <t>Vertical 2022</t>
  </si>
  <si>
    <t>Información Financiera</t>
  </si>
  <si>
    <t>Información Complementaria</t>
  </si>
  <si>
    <t>Proyecciones</t>
  </si>
  <si>
    <t>Supuestos Crecimiento</t>
  </si>
  <si>
    <t>Tipo</t>
  </si>
  <si>
    <t>Ver tabla Superior</t>
  </si>
  <si>
    <t>Se toma el ultimo como constante</t>
  </si>
  <si>
    <t>Valores</t>
  </si>
  <si>
    <t>Cemento - Volumen</t>
  </si>
  <si>
    <t>Concreto - Volumen</t>
  </si>
  <si>
    <t>Agregados - Volumen</t>
  </si>
  <si>
    <t>Cemento - Precio</t>
  </si>
  <si>
    <t>Concreto - Precio</t>
  </si>
  <si>
    <t>Agregados - Precio</t>
  </si>
  <si>
    <t>Impuestos</t>
  </si>
  <si>
    <t>% ventas</t>
  </si>
  <si>
    <t>resto CLCH</t>
  </si>
  <si>
    <t>Total Ingresos</t>
  </si>
  <si>
    <t>% Part</t>
  </si>
  <si>
    <t>Proyeccion</t>
  </si>
  <si>
    <t>IPC</t>
  </si>
  <si>
    <t>PIB SECTOR</t>
  </si>
  <si>
    <t>Ventas</t>
  </si>
  <si>
    <t>Ingresos 2013</t>
  </si>
  <si>
    <t>Variacion Tasa Cambio</t>
  </si>
  <si>
    <t>x</t>
  </si>
  <si>
    <t>Análisis</t>
  </si>
  <si>
    <t xml:space="preserve">2017:
* Continuacion de obras publicas - Segunda Linea de Metro, minera de panamá, renovacion urbana de Colon.
* Afectacion del crecimiento de la demanda fue dado por el dbilitamiento de altos inventarios y por el caso Odebretch que afecto todo el sector.
* Precios estables en Cemento y Concreto. Los precios de agregados disminuyeron.
2016:
* Disminucion en Volumenes y reducción de ventas y aun asi se mantuvo el evitda.
* Ejecucion exitosa de Value Before Volumen y una eficiencia en costos(Aumento de cemento y disminucion de concreto y agregados)
* Baja demanda del proyecto de la Ampliación Canal de Panama
* Aumento en la tasa de aprobacion de  permisos de construccion a partir del segundo semestre.
* El sector residencial fue el promotor de la demanda de cemento en el pais creciendo el 3% anual.
* Proyecto gubernamental de disminuir el deficit habitacional.
* Base alta de comparacion respecto a 2015.
2015:
* Disminución de ventas al proyecto de expansion del canal de panama(-55%)
</t>
  </si>
  <si>
    <t>TASA DE CAMBIO</t>
  </si>
  <si>
    <t>TRM usd/cop</t>
  </si>
  <si>
    <t>Beta Desapalancado</t>
  </si>
  <si>
    <t>Tasa de impuestos</t>
  </si>
  <si>
    <t>Deuda / Patrimonio (D/E)</t>
  </si>
  <si>
    <t>Patrimonio / Activo</t>
  </si>
  <si>
    <t>Beta Apalancado</t>
  </si>
  <si>
    <t>Costo de Deuda antes de impuestos</t>
  </si>
  <si>
    <t>IMPUESTOS</t>
  </si>
  <si>
    <t>Empresa</t>
  </si>
  <si>
    <t>Market CAP</t>
  </si>
  <si>
    <t>Beta Ajustado</t>
  </si>
  <si>
    <t>Beta desapalancado</t>
  </si>
  <si>
    <t>DANGOTE CEMENT PLC</t>
  </si>
  <si>
    <t>ULTRATECH CEMENT LTDA</t>
  </si>
  <si>
    <t>LAFARGE HOLCIM</t>
  </si>
  <si>
    <t>VICAT</t>
  </si>
  <si>
    <t>HEIDELBERG CEMENT AG</t>
  </si>
  <si>
    <t>EAGLE MATERIALS INC</t>
  </si>
  <si>
    <t>MARTIN MARIETTA MATERIALS</t>
  </si>
  <si>
    <t>Días de Efectivo</t>
  </si>
  <si>
    <t>Días de Deudores</t>
  </si>
  <si>
    <t>Días de Inventarios</t>
  </si>
  <si>
    <t>Días de Cuentas por pagar</t>
  </si>
  <si>
    <t>Supuestos KTNO</t>
  </si>
  <si>
    <t>Basado en el histórico y con una constante.</t>
  </si>
  <si>
    <t>2019</t>
  </si>
  <si>
    <t>2020</t>
  </si>
  <si>
    <t>2021</t>
  </si>
  <si>
    <t>2022</t>
  </si>
  <si>
    <t>2023</t>
  </si>
  <si>
    <t>Cambio en Capital de Trabajo</t>
  </si>
  <si>
    <t>Otros Ingresos</t>
  </si>
  <si>
    <t>CapEx</t>
  </si>
  <si>
    <t>Flujo de Caja Libre</t>
  </si>
  <si>
    <t>DEUDA</t>
  </si>
  <si>
    <t>Desembolso Tesorería</t>
  </si>
  <si>
    <t>Intereses Tesorería</t>
  </si>
  <si>
    <t>Dividendos</t>
  </si>
  <si>
    <t>Caja Inicial</t>
  </si>
  <si>
    <t>Caja Final</t>
  </si>
  <si>
    <t>Comparables CEMEX</t>
  </si>
  <si>
    <t>DTF</t>
  </si>
  <si>
    <t>Capex</t>
  </si>
  <si>
    <t>Capex/Ingresos</t>
  </si>
  <si>
    <t>Otros Gastos</t>
  </si>
  <si>
    <t>Reparto Dividendos</t>
  </si>
  <si>
    <t>Balance General Proyectado</t>
  </si>
  <si>
    <t>2023P</t>
  </si>
  <si>
    <t>Flujo de Caja Libre CEMEX</t>
  </si>
  <si>
    <t>Operaciones discontinuadas</t>
  </si>
  <si>
    <t>EXC</t>
  </si>
  <si>
    <t>Variación obligación financiera</t>
  </si>
  <si>
    <t>Control</t>
  </si>
  <si>
    <t>Otros movimientos de activos y pasivos no corrientes</t>
  </si>
  <si>
    <t>capital de trabajo</t>
  </si>
  <si>
    <t>Obligación Financiera</t>
  </si>
  <si>
    <t>Otros Mvimientos de activos y pasivos LP</t>
  </si>
  <si>
    <t>Depreciaciones</t>
  </si>
  <si>
    <t>Deterioro</t>
  </si>
  <si>
    <t>Patrimonio EXC</t>
  </si>
  <si>
    <t>Activo Efecto x conversio</t>
  </si>
  <si>
    <t>ebitda</t>
  </si>
  <si>
    <t>Interes fro</t>
  </si>
  <si>
    <t>Blance</t>
  </si>
  <si>
    <t>pyg</t>
  </si>
  <si>
    <t>Saldo inicial caja</t>
  </si>
  <si>
    <t>Efectos por conversión Propiedades  maquinaria y equipo neto</t>
  </si>
  <si>
    <t>deterioro de activos fijos</t>
  </si>
  <si>
    <t>Variacion Tasa Tasa Cambio  USDCOP</t>
  </si>
  <si>
    <t>Efectos por conversión de moneda .</t>
  </si>
  <si>
    <t>Proyeccion Efectos Conversión Moneda</t>
  </si>
  <si>
    <t>Operaciones Discontinuas</t>
  </si>
  <si>
    <t>Promedio 2017-2018</t>
  </si>
  <si>
    <t>Toneladas</t>
  </si>
  <si>
    <t>Conceptos</t>
  </si>
  <si>
    <t>Precio Promedio Ton</t>
  </si>
  <si>
    <t>PROYECCIONES ECONÓMICAS DE MEDIANO PLAZO - Bancolombia- Enero 2019</t>
  </si>
  <si>
    <t>Argos Ventas</t>
  </si>
  <si>
    <t>Argos Toneladas</t>
  </si>
  <si>
    <t>Cemex Toneladas</t>
  </si>
  <si>
    <t>Cemex Ventas</t>
  </si>
  <si>
    <t>Cemex Precio Promedio  Ton</t>
  </si>
  <si>
    <t>Argos Ingresos %</t>
  </si>
  <si>
    <t>Argos Volumen %</t>
  </si>
  <si>
    <t>Argos Precio Promedio</t>
  </si>
  <si>
    <t>Argos Ventas Colombia</t>
  </si>
  <si>
    <t>Argos Toneladas Colombia</t>
  </si>
  <si>
    <t>Argos Ventas CCA</t>
  </si>
  <si>
    <t>Argos Toneladas CCA</t>
  </si>
  <si>
    <t>Argos Ventas CCA+ COL</t>
  </si>
  <si>
    <t>Argos Toneladas CCA+COL</t>
  </si>
  <si>
    <t>https://datos.bancomundial.org/pais/Panama?view=chart
https://www.forbes.com.mx/panama-crecera-cerca-de-5-5-en-el-periodo-2019-2023/</t>
  </si>
  <si>
    <t>Variación H. 2014vs 2013</t>
  </si>
  <si>
    <t>Valoración DCF</t>
  </si>
  <si>
    <t>EBIT</t>
  </si>
  <si>
    <t>Mas Amortizaciones Y Depreciaciones</t>
  </si>
  <si>
    <t>Cambios en el  Capital de Trabajo</t>
  </si>
  <si>
    <t>DCF  Calculo Enterprise Value</t>
  </si>
  <si>
    <t>Crecimiento a Perpetuidad(g)</t>
  </si>
  <si>
    <t>Flujo de Caja Libre Proyectado</t>
  </si>
  <si>
    <t>Valor Terminal</t>
  </si>
  <si>
    <t>Formula Descriptiva</t>
  </si>
  <si>
    <t>% Var. 2017 vs 2018</t>
  </si>
  <si>
    <t>% Var. 2018 vs 2019</t>
  </si>
  <si>
    <t>% Var. 2019 vs 2020</t>
  </si>
  <si>
    <t>% Var. 2020 vs 2021</t>
  </si>
  <si>
    <t>% Var. 2021 vs 2022</t>
  </si>
  <si>
    <t>% Var. 2022 vs 2023</t>
  </si>
  <si>
    <t>Variación 2018 vs 2019</t>
  </si>
  <si>
    <t>Variación 2019 vs 2020</t>
  </si>
  <si>
    <t>Variación 2020 vs 2021</t>
  </si>
  <si>
    <t>Variación 2021 vs 2022</t>
  </si>
  <si>
    <t>Variación 2022 vs 2023</t>
  </si>
  <si>
    <t>(Todas)</t>
  </si>
  <si>
    <t>UTILIDAD OPERACIONAL</t>
  </si>
  <si>
    <t>UODI</t>
  </si>
  <si>
    <t>FCL</t>
  </si>
  <si>
    <t>CAPITAL INVERTIDO</t>
  </si>
  <si>
    <t>Factor de Descuento</t>
  </si>
  <si>
    <t xml:space="preserve">Valor Presente Flujo de Caja Libre </t>
  </si>
  <si>
    <t>Valor Presente Flujo de Caja Libre  Anual</t>
  </si>
  <si>
    <t>Valor Presente del Valor Terminal</t>
  </si>
  <si>
    <t>Valor de la Empresa</t>
  </si>
  <si>
    <t>Vertical 2023</t>
  </si>
  <si>
    <t>Valor Perpetuidad</t>
  </si>
  <si>
    <t>SLoYkPQu0APGq0MGAJtL/Znx8FCpo3cRlNPQCK/SFyLT/B4QTyMLOyBSaZwWhemND+QaxRaqbaokYwzkNEKoudMcp2llkonQIJ8RUhZJLOcPf2KwlDB5vgyLtFsNjh9EnCdjI3bdFnNru3MQvVP68pLjTs1Ebhh5aWEnoJXwgMOw5JbeZDEVdhYD46hUVw72MNXCm4OHn5FUt0yizOnv/5k7zgfAvSDwVbFMJfZ63YCXHvAZMaDyEh/pSAs=</t>
  </si>
  <si>
    <t>(Multiple Items)</t>
  </si>
  <si>
    <t>Basado en una constante</t>
  </si>
  <si>
    <t>Basado en las notas financieras y se asume que no se podrá renegociar al termino de la deuda la misma tasa y se usará la de años anteriores</t>
  </si>
  <si>
    <t xml:space="preserve">Hasta ahora la compañía no ha repartido dividendos </t>
  </si>
  <si>
    <t>Comparación Argos vs CEMEX</t>
  </si>
  <si>
    <t>Esperado</t>
  </si>
  <si>
    <t>Celda</t>
  </si>
  <si>
    <t>Nombre</t>
  </si>
  <si>
    <t>Variación</t>
  </si>
  <si>
    <t>Coeficiente de Variación</t>
  </si>
  <si>
    <t>Asimetría</t>
  </si>
  <si>
    <t>Curtósis</t>
  </si>
  <si>
    <t>Percentil 25%</t>
  </si>
  <si>
    <t>Percentil 75%</t>
  </si>
  <si>
    <t>Precisión de Error 95%</t>
  </si>
  <si>
    <t>Número de Intentos</t>
  </si>
  <si>
    <t>---</t>
  </si>
  <si>
    <t>Acciones en Circulación</t>
  </si>
  <si>
    <t>Acciones en Circulacion</t>
  </si>
  <si>
    <t>Valor accion COP(Ultima TRM 2018)</t>
  </si>
  <si>
    <t>Margen Bruto</t>
  </si>
  <si>
    <t>Utilidad Operacional</t>
  </si>
  <si>
    <t>Margen Operacional</t>
  </si>
  <si>
    <t>Ingresos 2018</t>
  </si>
  <si>
    <t>Variación 2017vs2018</t>
  </si>
  <si>
    <t>Suma de % Var. 2017 vs 2018</t>
  </si>
  <si>
    <t>Etiquetas de columna</t>
  </si>
  <si>
    <t>Variables  Simulación</t>
  </si>
  <si>
    <t>Cobertura de Intereses</t>
  </si>
  <si>
    <t>Total Patrimonio</t>
  </si>
  <si>
    <t>Utilidad Neta Consolidada</t>
  </si>
  <si>
    <t>Utilidad Neta De La Participación Controladora</t>
  </si>
  <si>
    <t xml:space="preserve">RAZON CORRIENTE (RC) </t>
  </si>
  <si>
    <t xml:space="preserve">PRUEBA ACIDA (PA)  </t>
  </si>
  <si>
    <t xml:space="preserve">CAPITAL DE TRABAJO NETO (KTN)  </t>
  </si>
  <si>
    <r>
      <t xml:space="preserve">ROTACION DE CXC (VECES) </t>
    </r>
    <r>
      <rPr>
        <b/>
        <sz val="18"/>
        <rFont val="Arial"/>
        <family val="2"/>
      </rPr>
      <t xml:space="preserve"> </t>
    </r>
  </si>
  <si>
    <t xml:space="preserve">ROTACION DE CXC (DIAS)  </t>
  </si>
  <si>
    <t xml:space="preserve">ROTACION DE INVENTARIOS (VECES) </t>
  </si>
  <si>
    <r>
      <t xml:space="preserve">ROTACION DE INVENTARIOS (DIAS) </t>
    </r>
    <r>
      <rPr>
        <b/>
        <sz val="18"/>
        <color rgb="FFFFFFFF"/>
        <rFont val="Arial"/>
        <family val="2"/>
      </rPr>
      <t xml:space="preserve"> </t>
    </r>
  </si>
  <si>
    <t xml:space="preserve">ROTACION PROVEEDORES (VECES)  </t>
  </si>
  <si>
    <t xml:space="preserve">ROTACION PROVEEDORES (DIAS)  </t>
  </si>
  <si>
    <t xml:space="preserve">CICLO DE CAJA (CC)  </t>
  </si>
  <si>
    <r>
      <t xml:space="preserve">ROTACION DE ACTIVOS CTES (RAC) </t>
    </r>
    <r>
      <rPr>
        <b/>
        <sz val="18"/>
        <color rgb="FFFFFFFF"/>
        <rFont val="Arial"/>
        <family val="2"/>
      </rPr>
      <t xml:space="preserve"> </t>
    </r>
  </si>
  <si>
    <t xml:space="preserve">ROTACION ACTIVOS FIJOS (RAF)  </t>
  </si>
  <si>
    <t xml:space="preserve">ROTACION ACTIVOS OPERACIONALES (RAO)  </t>
  </si>
  <si>
    <t xml:space="preserve">ROTACION DE ACTIVOS TOTALES (RAT) </t>
  </si>
  <si>
    <t xml:space="preserve">INDICE DE ENDEUDAMIENTO (IE) </t>
  </si>
  <si>
    <t xml:space="preserve">INDICE DE PROPIEDAD O SOLVENCIA  </t>
  </si>
  <si>
    <t xml:space="preserve">RELACIÓN DEUDA A PATRIMONIO (RDP)  </t>
  </si>
  <si>
    <r>
      <t>RAZON PASIVO FINACIERO A DEUDA TOTAL (RPáCT)</t>
    </r>
    <r>
      <rPr>
        <b/>
        <sz val="16"/>
        <color rgb="FFFFFFFF"/>
        <rFont val="Arial"/>
        <family val="2"/>
      </rPr>
      <t xml:space="preserve"> </t>
    </r>
  </si>
  <si>
    <t xml:space="preserve">CUBRIMIENTO DE INTERESES (VECES)  </t>
  </si>
  <si>
    <t xml:space="preserve">DEUDA A LARGO PLAZO A CAPITALIZACION TOTAL (DLPáCT)  </t>
  </si>
  <si>
    <t xml:space="preserve">APALANCAMIENTO FINANCIERO (AF) </t>
  </si>
  <si>
    <t xml:space="preserve">RENDIMIENTO SOBRE LA INVERSION A NIVEL OPERACIONAL </t>
  </si>
  <si>
    <r>
      <t>RENDIMIENTO SOBRE LA INVERSION A NIVEL TOTAL (ROA</t>
    </r>
    <r>
      <rPr>
        <sz val="18"/>
        <color rgb="FF000000"/>
        <rFont val="Arial"/>
        <family val="2"/>
      </rPr>
      <t xml:space="preserve">) </t>
    </r>
  </si>
  <si>
    <t xml:space="preserve">RENDIMIENTO SOBRE EL PATRIMONIO (RSP) </t>
  </si>
  <si>
    <t>Producción Colombia</t>
  </si>
  <si>
    <t>años</t>
  </si>
  <si>
    <t>Cemento gris</t>
  </si>
  <si>
    <t>Metros cúbicos</t>
  </si>
  <si>
    <t>Accionistas</t>
  </si>
  <si>
    <t>Numero de acciones poseidas</t>
  </si>
  <si>
    <t>% Particiación</t>
  </si>
  <si>
    <t>CEMEX ESPAÑA S.A.</t>
  </si>
  <si>
    <t>FONDO DE PENSIONES OBLIGATORIAS PORVENIR MODERADO</t>
  </si>
  <si>
    <t>FDO DE PENSIONES OBLIGATORIAS PROTECCION MODERADO</t>
  </si>
  <si>
    <t>NORGES BANK-CB NEW YORK</t>
  </si>
  <si>
    <t>FONDO BURSATIL ISHARES COLCAP</t>
  </si>
  <si>
    <t>INVERSIONES ODISEA</t>
  </si>
  <si>
    <t>FONDO DE PENSIONES OBLIGATORIAS COLFONDOS MODERADO</t>
  </si>
  <si>
    <t>BANCARD INTERNATIONAL INVESTMENT INC</t>
  </si>
  <si>
    <t>OLD MUTUAL FONDO DE PENS. OBLIGATORIAS - MODERADO</t>
  </si>
  <si>
    <t>FONDO BURSATIL HORIZONS COLOMBIA SELECT DE S&amp;P</t>
  </si>
  <si>
    <t>VANGUARD EMERGING MARKERTS STOCK INDEX FUND</t>
  </si>
  <si>
    <t>CARMIGNAC PORTFOLIO EMERGING DISCOVERY</t>
  </si>
  <si>
    <t>ALLIANCEBERNSTEIN NEXT 50 EMERGING MARKETS (MASTER</t>
  </si>
  <si>
    <t>VANGUARD TOTAL INTERNATIONAL STOCK INDEX FUND</t>
  </si>
  <si>
    <t>MFS INTERNATIONAL NEW DISCOVERY FUND</t>
  </si>
  <si>
    <t>FONDO DE CESANTIAS PROTECCION- LARGO PLAZO</t>
  </si>
  <si>
    <t>FONDO DE CESANTIAS PORVENIR</t>
  </si>
  <si>
    <t>FONDO PENSIONES OBLIGATORIAS PORVENIR CONSERVADOR</t>
  </si>
  <si>
    <t>SBS SEGUROS COLOMBIA S.A.</t>
  </si>
  <si>
    <t>FONDO DE PENSIONES OBLIGATORIAS PROTECCION RETIRO</t>
  </si>
  <si>
    <t>Otros accionistas con menor participación</t>
  </si>
  <si>
    <t>TOTAL ACCIONES EN CIRCULACIÓN</t>
  </si>
  <si>
    <t>Compañías Subsidiarias</t>
  </si>
  <si>
    <t>Participación</t>
  </si>
  <si>
    <t>Activos</t>
  </si>
  <si>
    <t>Pasivos</t>
  </si>
  <si>
    <t xml:space="preserve">Ingresos </t>
  </si>
  <si>
    <t>Costos y Gastos</t>
  </si>
  <si>
    <t>Lomas del Templisque S.R.L</t>
  </si>
  <si>
    <t>Cemex Soluciones S.A.S</t>
  </si>
  <si>
    <t>Cemex energy S.A.S E.S.P</t>
  </si>
  <si>
    <t>Zona Franca Especial Cementera del Magdalena Medio S.A.S. 2</t>
  </si>
  <si>
    <t>Cemex Administraciones Ltda</t>
  </si>
  <si>
    <t>Cemex Transprtes de Colombia S.A.</t>
  </si>
  <si>
    <t>Central de Mezclas S.A.</t>
  </si>
  <si>
    <t>Cemex Premezclados de Colombia</t>
  </si>
  <si>
    <t>Qualion Asesores de Seguros Limitada</t>
  </si>
  <si>
    <t>EQUIPO DIRECTIVO</t>
  </si>
  <si>
    <t xml:space="preserve">Nombres </t>
  </si>
  <si>
    <t>Cargo</t>
  </si>
  <si>
    <t>Jaime Muguiro</t>
  </si>
  <si>
    <t>Presidente del Consejo de Administración de</t>
  </si>
  <si>
    <t>CEMEX Latam Holdings</t>
  </si>
  <si>
    <t>Presidente de CEMEX Centro, Sudamérica y el Caribe</t>
  </si>
  <si>
    <t>Eugenio Bernardo K. Barquet Becerra</t>
  </si>
  <si>
    <t>Consejero General CLH</t>
  </si>
  <si>
    <t>Alejandro Ramírez</t>
  </si>
  <si>
    <t>Presidente de CEMEX Colombia</t>
  </si>
  <si>
    <t>Andrés Jiménez</t>
  </si>
  <si>
    <t>Director de CEMEX Panamá</t>
  </si>
  <si>
    <t>Enrique A. García Morelos Zaragoza</t>
  </si>
  <si>
    <t>Director de CEMEX Costa Rica</t>
  </si>
  <si>
    <t>Yuri de los Santos</t>
  </si>
  <si>
    <t>Director de CEMEX Nicaragua, Guatemala &amp; El Salvador</t>
  </si>
  <si>
    <t>Billones pesos</t>
  </si>
  <si>
    <t>Ebitda</t>
  </si>
  <si>
    <t>Cementos Argos</t>
  </si>
  <si>
    <t>Cemex</t>
  </si>
  <si>
    <t>Holcim</t>
  </si>
  <si>
    <t>Ultracem</t>
  </si>
  <si>
    <t>Argos</t>
  </si>
  <si>
    <t>Toneladas Millones</t>
  </si>
  <si>
    <t>M3 Millones</t>
  </si>
  <si>
    <t>Patrimonio  / Activo</t>
  </si>
  <si>
    <t>Deuda  / Activo</t>
  </si>
  <si>
    <t>Deuda</t>
  </si>
  <si>
    <t>Name</t>
  </si>
  <si>
    <t>Cell</t>
  </si>
  <si>
    <t>Range</t>
  </si>
  <si>
    <t>Number of Datapoints</t>
  </si>
  <si>
    <t>Mean</t>
  </si>
  <si>
    <t>Median</t>
  </si>
  <si>
    <t>Standard Deviation</t>
  </si>
  <si>
    <t>Variance</t>
  </si>
  <si>
    <t>Coefficient of Variation</t>
  </si>
  <si>
    <t>Maximum</t>
  </si>
  <si>
    <t>Minimum</t>
  </si>
  <si>
    <t>Skewness</t>
  </si>
  <si>
    <t>Kurtosis</t>
  </si>
  <si>
    <t>25% Percentile</t>
  </si>
  <si>
    <t>75% Percentile</t>
  </si>
  <si>
    <t>Error Precision at 95%</t>
  </si>
  <si>
    <t>MARGEN EBITDA</t>
  </si>
  <si>
    <t>Indicador</t>
  </si>
  <si>
    <t>2014.</t>
  </si>
  <si>
    <t>2015.</t>
  </si>
  <si>
    <t>2016.</t>
  </si>
  <si>
    <t>2017.</t>
  </si>
  <si>
    <t>2018.</t>
  </si>
  <si>
    <t>Y</t>
  </si>
  <si>
    <t>Left Bin # Line</t>
  </si>
  <si>
    <t>Right Bin # Line</t>
  </si>
  <si>
    <t>English</t>
  </si>
  <si>
    <t>Spanish</t>
  </si>
  <si>
    <t>Portuguese</t>
  </si>
  <si>
    <t>German</t>
  </si>
  <si>
    <t>French</t>
  </si>
  <si>
    <t>SChinese</t>
  </si>
  <si>
    <t>TChinese</t>
  </si>
  <si>
    <t>Korean</t>
  </si>
  <si>
    <t>Italian</t>
  </si>
  <si>
    <t>Russian</t>
  </si>
  <si>
    <t>Japanese</t>
  </si>
  <si>
    <t>Célula</t>
  </si>
  <si>
    <t>Zelle</t>
  </si>
  <si>
    <t>Cellule</t>
  </si>
  <si>
    <t>单元格</t>
  </si>
  <si>
    <t>單格</t>
  </si>
  <si>
    <t>셀</t>
  </si>
  <si>
    <t>Cella</t>
  </si>
  <si>
    <t>Ячейка</t>
  </si>
  <si>
    <t>セル</t>
  </si>
  <si>
    <t>Nom</t>
  </si>
  <si>
    <t>名称</t>
  </si>
  <si>
    <t>名稱</t>
  </si>
  <si>
    <t>명칭</t>
  </si>
  <si>
    <t>Nome</t>
  </si>
  <si>
    <t>Имя</t>
  </si>
  <si>
    <t>名前</t>
  </si>
  <si>
    <t>Número de pontos de dados</t>
  </si>
  <si>
    <t>Anzahl der Datenpunkte</t>
  </si>
  <si>
    <t>Nombre de points de données</t>
  </si>
  <si>
    <t>数据点数量</t>
  </si>
  <si>
    <t>資料點數量</t>
  </si>
  <si>
    <t>데이터 포인트의 수</t>
  </si>
  <si>
    <t>Numero di punti dati</t>
  </si>
  <si>
    <t>Число точек данных</t>
  </si>
  <si>
    <t>データポイント数</t>
  </si>
  <si>
    <t>Média</t>
  </si>
  <si>
    <t>Mittelwert</t>
  </si>
  <si>
    <t>Moyenne</t>
  </si>
  <si>
    <t>均值</t>
  </si>
  <si>
    <t>평균치</t>
  </si>
  <si>
    <t>Среднее</t>
  </si>
  <si>
    <t>平均値</t>
  </si>
  <si>
    <t>Medianwert</t>
  </si>
  <si>
    <t>Médiane</t>
  </si>
  <si>
    <t>中间值</t>
  </si>
  <si>
    <t>中間值</t>
  </si>
  <si>
    <t>중간치</t>
  </si>
  <si>
    <t>Медиана</t>
  </si>
  <si>
    <t>中央値</t>
  </si>
  <si>
    <t>Desviación Estándar</t>
  </si>
  <si>
    <t>Desvio padrão</t>
  </si>
  <si>
    <t>Standardabweichung</t>
  </si>
  <si>
    <t>Écart type</t>
  </si>
  <si>
    <t>标准差</t>
  </si>
  <si>
    <t>標準差</t>
  </si>
  <si>
    <t>표준편차</t>
  </si>
  <si>
    <t>Deviazione standard</t>
  </si>
  <si>
    <t>Стандартное отклонение</t>
  </si>
  <si>
    <t>標準偏差</t>
  </si>
  <si>
    <t>Variância</t>
  </si>
  <si>
    <t>Varianz</t>
  </si>
  <si>
    <t>差异</t>
  </si>
  <si>
    <t>差異</t>
  </si>
  <si>
    <t>변화</t>
  </si>
  <si>
    <t>Varianza</t>
  </si>
  <si>
    <t>Дисперсия</t>
  </si>
  <si>
    <t>分散</t>
  </si>
  <si>
    <t>Coeficiente de variação</t>
  </si>
  <si>
    <t>Variationskoeffizient</t>
  </si>
  <si>
    <t>Coefficient de variation</t>
  </si>
  <si>
    <t>变异系数</t>
  </si>
  <si>
    <t>變異係數</t>
  </si>
  <si>
    <t>변동계수</t>
  </si>
  <si>
    <t>Coefficiente di variazione</t>
  </si>
  <si>
    <t>Коэффициент вариативности</t>
  </si>
  <si>
    <t>変動係数</t>
  </si>
  <si>
    <t>最大值</t>
  </si>
  <si>
    <t>최대치</t>
  </si>
  <si>
    <t>Massimo</t>
  </si>
  <si>
    <t>Максимум</t>
  </si>
  <si>
    <t>最大値</t>
  </si>
  <si>
    <t>最小值</t>
  </si>
  <si>
    <t>최소치</t>
  </si>
  <si>
    <t>Минимум</t>
  </si>
  <si>
    <t>最小値</t>
  </si>
  <si>
    <t>Faixa</t>
  </si>
  <si>
    <t>Bereich</t>
  </si>
  <si>
    <t>Plage</t>
  </si>
  <si>
    <t>范围</t>
  </si>
  <si>
    <t>範圍</t>
  </si>
  <si>
    <t>범위</t>
  </si>
  <si>
    <t>Intervallo</t>
  </si>
  <si>
    <t>Диапазон</t>
  </si>
  <si>
    <t>範囲</t>
  </si>
  <si>
    <t>Obliquidade</t>
  </si>
  <si>
    <t>Schiefe</t>
  </si>
  <si>
    <t>Étalement</t>
  </si>
  <si>
    <t>斜度</t>
  </si>
  <si>
    <t>왜도</t>
  </si>
  <si>
    <t>Assimetria</t>
  </si>
  <si>
    <t>Асимметрия</t>
  </si>
  <si>
    <t>歪度</t>
  </si>
  <si>
    <t>Curtose</t>
  </si>
  <si>
    <t>峰度</t>
  </si>
  <si>
    <t>첨도</t>
  </si>
  <si>
    <t>Curtosi</t>
  </si>
  <si>
    <t>Куртозис</t>
  </si>
  <si>
    <t>尖度</t>
  </si>
  <si>
    <t>25% percentil</t>
  </si>
  <si>
    <t>25% Perzentil</t>
  </si>
  <si>
    <t>Percentile 25 %</t>
  </si>
  <si>
    <t>25% 百分比</t>
  </si>
  <si>
    <t>25% 분위수</t>
  </si>
  <si>
    <t>25% процентиль</t>
  </si>
  <si>
    <t>25%パーセンタイル</t>
  </si>
  <si>
    <t>75% percentil</t>
  </si>
  <si>
    <t>75% Perzentil</t>
  </si>
  <si>
    <t>Percentile 75 %</t>
  </si>
  <si>
    <t>75% 百分比</t>
  </si>
  <si>
    <t>75% 분위수</t>
  </si>
  <si>
    <t>75% процентиль</t>
  </si>
  <si>
    <t>75%パーセンタイル</t>
  </si>
  <si>
    <t>Precisão de erro em 95%</t>
  </si>
  <si>
    <t>Fehlerpräzision bei 95%</t>
  </si>
  <si>
    <t>Précision d'erreur à 95%</t>
  </si>
  <si>
    <t>错误精度在 95%</t>
  </si>
  <si>
    <t>錯誤精度在 95%</t>
  </si>
  <si>
    <t>95% 의 에러의 확실성</t>
  </si>
  <si>
    <t>Precisione dell'errore a 95%</t>
  </si>
  <si>
    <t>Случайная ошибка на 95%</t>
  </si>
  <si>
    <t>精度誤差が95%% の信頼度</t>
  </si>
  <si>
    <t>Cola Izquierda</t>
  </si>
  <si>
    <t>Esquerda</t>
  </si>
  <si>
    <t>Linksschwanz</t>
  </si>
  <si>
    <t>Gauche</t>
  </si>
  <si>
    <t>左</t>
  </si>
  <si>
    <t>왼쪽</t>
  </si>
  <si>
    <t>Sinistra</t>
  </si>
  <si>
    <t>Слева</t>
  </si>
  <si>
    <t>Cola Derecha</t>
  </si>
  <si>
    <t>Direita</t>
  </si>
  <si>
    <t>Rechtsschwanz</t>
  </si>
  <si>
    <t>Droite</t>
  </si>
  <si>
    <t>右</t>
  </si>
  <si>
    <t>오른</t>
  </si>
  <si>
    <t>Destra</t>
  </si>
  <si>
    <t>Право</t>
  </si>
  <si>
    <t>R43C7</t>
  </si>
  <si>
    <t> 8,5%</t>
  </si>
  <si>
    <t>% Crecimiento</t>
  </si>
  <si>
    <t>Total Crecimiento Ponderado Proyecta CLH</t>
  </si>
  <si>
    <t>%Gastos De Distribución</t>
  </si>
  <si>
    <t>%Gastos Administrativos Y Ventas</t>
  </si>
  <si>
    <t>Deuda Neta / EBITDA</t>
  </si>
  <si>
    <t>Endeudamiento Neto</t>
  </si>
  <si>
    <t>Deuda Bruta / EBITDA</t>
  </si>
  <si>
    <t>EBITDA / Intereses</t>
  </si>
  <si>
    <t>Intereses / Ventas</t>
  </si>
  <si>
    <t>Ingresos a Dic/2018</t>
  </si>
  <si>
    <t>Total Crecimiento Ponderado Esperado del Sector</t>
  </si>
  <si>
    <t>Ponderado2020</t>
  </si>
  <si>
    <t>Tasa Impositiva Ponderada</t>
  </si>
  <si>
    <t>Ponderado 2018</t>
  </si>
  <si>
    <t>Ponderado 2019</t>
  </si>
  <si>
    <t>Ponderado2021</t>
  </si>
  <si>
    <t>Ponderado2022</t>
  </si>
  <si>
    <t>Ponderado2023</t>
  </si>
  <si>
    <t xml:space="preserve"> Horizontal 2014vs2013</t>
  </si>
  <si>
    <t xml:space="preserve"> Horizontal 2015vs2014</t>
  </si>
  <si>
    <t xml:space="preserve"> Horizontal 2016vs2015</t>
  </si>
  <si>
    <t xml:space="preserve"> Horizontal 2017vs2016</t>
  </si>
  <si>
    <t xml:space="preserve"> Horizontal 2018vs2017</t>
  </si>
  <si>
    <t>Horizontal 2014vs2013</t>
  </si>
  <si>
    <t>Horizontal 2015vs2014</t>
  </si>
  <si>
    <t>Horizontal 2016vs2015</t>
  </si>
  <si>
    <t>Horizontal 2017vs2016</t>
  </si>
  <si>
    <t>Horizontal 2018vs2017</t>
  </si>
  <si>
    <t>% Var. 2014 vs 2013</t>
  </si>
  <si>
    <t>% Var. 2015 vs 2014</t>
  </si>
  <si>
    <t>% Var. 2016 vs 2015</t>
  </si>
  <si>
    <t>% Var. 2017 vs 2016</t>
  </si>
  <si>
    <t>% Var. 2018 vs 2017</t>
  </si>
  <si>
    <t>% Var. 2019 vs 2018</t>
  </si>
  <si>
    <t>% Var. 2020 vs 2019</t>
  </si>
  <si>
    <t>% Var. 2021 vs 2020</t>
  </si>
  <si>
    <t>% Var. 2022 vs 2021</t>
  </si>
  <si>
    <t>% Var. 2023 vs 2022</t>
  </si>
  <si>
    <t>Basado en el histórico y en el crecimiento de las ventas proyectadas</t>
  </si>
  <si>
    <t>TIPO</t>
  </si>
  <si>
    <t>Fondo Pensiones Y Cesantias Colombianas</t>
  </si>
  <si>
    <t>Otros</t>
  </si>
  <si>
    <t>Suma de % Particiación</t>
  </si>
  <si>
    <t>MARGEN UTILIDAD NETA</t>
  </si>
  <si>
    <t>MARGEN BRUTO</t>
  </si>
  <si>
    <t>(Utilidad Operacional + Depreciaciones y Amortizaciones)</t>
  </si>
  <si>
    <t>Adquisición de Propiedad  Planta y Equipo</t>
  </si>
  <si>
    <t>Utilidad operacional despues de Impuestos</t>
  </si>
  <si>
    <t>SCENARIO ANALYSIS TABLE</t>
  </si>
  <si>
    <t>Output Variable:</t>
  </si>
  <si>
    <t>Initial Base Case Value:</t>
  </si>
  <si>
    <t>Column Variable:</t>
  </si>
  <si>
    <t>Min:</t>
  </si>
  <si>
    <t>Max:</t>
  </si>
  <si>
    <t>Steps:</t>
  </si>
  <si>
    <t>Stepsize:</t>
  </si>
  <si>
    <t>Row Variable:</t>
  </si>
  <si>
    <t>$G$40</t>
  </si>
  <si>
    <t>$L$33</t>
  </si>
  <si>
    <t>$L$31</t>
  </si>
  <si>
    <t>$G$43</t>
  </si>
  <si>
    <t>KTNO/ Ingresos</t>
  </si>
  <si>
    <t>(Utilidad Operativa - Impuestos(tasa Teorica))/Capital Invertio</t>
  </si>
  <si>
    <t>Ecuación Contable</t>
  </si>
  <si>
    <t>Efectos por conversión Crédito mercantil  activos intangibles  y activos diferidos neto</t>
  </si>
  <si>
    <t xml:space="preserve"> Análisis Vertical 2013</t>
  </si>
  <si>
    <t xml:space="preserve"> Análisis Vertical 2014</t>
  </si>
  <si>
    <t xml:space="preserve"> Análisis Vertical 2015</t>
  </si>
  <si>
    <t xml:space="preserve"> Análisis Vertical 2016</t>
  </si>
  <si>
    <t xml:space="preserve"> Análisis Vertical 2017</t>
  </si>
  <si>
    <t xml:space="preserve"> Análisis Vertical 2018</t>
  </si>
  <si>
    <t>Explicación</t>
  </si>
  <si>
    <t>Días Año / Rotación de CxC</t>
  </si>
  <si>
    <t>Costo. Mercancía Vendida / Inventario</t>
  </si>
  <si>
    <t>Días Año / Rotación de Inventario</t>
  </si>
  <si>
    <t>Numero de días que me demoro para vender el inventario o el numero de días que permanece el inventario en estantería antes de venderse es de “X” días.</t>
  </si>
  <si>
    <t>Nemotécnico</t>
  </si>
  <si>
    <t>Variación%</t>
  </si>
  <si>
    <t>Variación Absoluta</t>
  </si>
  <si>
    <t>Máximo Valor</t>
  </si>
  <si>
    <t>Mínimo Valor</t>
  </si>
  <si>
    <t>Variación Anual</t>
  </si>
  <si>
    <t>Comportamiento Ventas y Producción CEMEX</t>
  </si>
  <si>
    <t>% Variación Ingresos 15-14</t>
  </si>
  <si>
    <t>% Participación 2014</t>
  </si>
  <si>
    <t>% Variación Ingresos 16-15</t>
  </si>
  <si>
    <t>% Participación 2015</t>
  </si>
  <si>
    <t>% Participación 2017</t>
  </si>
  <si>
    <t>% Variación Ingresos 17-16</t>
  </si>
  <si>
    <t>% Participación 2016</t>
  </si>
  <si>
    <t>% Participación 2018</t>
  </si>
  <si>
    <t>% Variación Ingresos 18-17</t>
  </si>
  <si>
    <t>Información para Correlación</t>
  </si>
  <si>
    <t>Variación Tasa Cambio</t>
  </si>
  <si>
    <t>Análisis Precio Promedio Tonelada</t>
  </si>
  <si>
    <t>Variación 2013 vs2014</t>
  </si>
  <si>
    <t>Variación 2014 vs2015</t>
  </si>
  <si>
    <t>Variación 2015 vs2016</t>
  </si>
  <si>
    <t>Variación 2016  vs2017</t>
  </si>
  <si>
    <t>Variación 2017 vs2018</t>
  </si>
  <si>
    <t>Variación 2018 vs2019</t>
  </si>
  <si>
    <t>Variación 2019 vs2020</t>
  </si>
  <si>
    <t>Variación 2020 vs2021</t>
  </si>
  <si>
    <t>Variación 2021 vs2022</t>
  </si>
  <si>
    <t>Variación 2022 vs2023</t>
  </si>
  <si>
    <t xml:space="preserve">Correlación de Variables </t>
  </si>
  <si>
    <t>2017: 
* Disminución del consumo en un 2,7% lo cual afecta el PIB del Sector, lo cual esta dado por la disminución de la demanda en el país.
* Se disminuyó un 1% en la participación del mercado, el cual esta asociado a un ajuste de precios.
* Se disminuyó el precio promedio del cemento en un 19%. 
* Continuidad en la estrategia Value Before Volumen, se estableció una estrategia de contención de costos que buscaba contrarrestar los efectos de la inflación. 
* Cierre de planta en Bucaramanga
2016:
* Consumo de cemento se vio afectado de manera negativa por los desafíos macros enfrentados y por el paro de transporte entre junio y julio.
* Primer año de disminución del consumo de cemento desde el 2009, en al rededor de un 4%
* La tasa de cambio tuvo  una devaluación del peso promedio año del 10% aproximadamente.
* Retrasos en el inicio de proyectos de infraestructura gubernamentales afectaron la demanda de cemento. 
* Aumento en precios de los productos
2015:
*  Disminución de volúmenes dado la estrategia Price before Volumen. 
*  Disminución de manera comparativa con el 2014 dado que la base era alta
*  Devaluación del peso frente al dólar.
2014
* Aumento de demanda de volumen por un aumento en  todos los sectores(residencial, auto construcción, vivienda formal).
* El sector infraestructura permaneció como un importante impulsor de la demanda dado los proyectos viales(4G).
* Aumento en la aprobación de licencias de construcción comercial.
* Precios estables
2013 
* Aprobación de plan de gobierno de 100 mil viviendas gratuitas aumentando el pib del sector
* Entorno económico positivo el cual impulso el sector comercial e industrial</t>
  </si>
  <si>
    <t>Inflación</t>
  </si>
  <si>
    <t>Se calcula basada en los ingresos y la tasa impositiva de cada país. Ver Información Complementaria</t>
  </si>
  <si>
    <t>Basado en el histórico con un promedio simple móvil de 2 años</t>
  </si>
  <si>
    <t>Promedio Simple Móvil</t>
  </si>
  <si>
    <t>Valoración</t>
  </si>
  <si>
    <t>Basado en el histórico Teniendo en cuenta que en el ultimo periodo se retiro la desinversión realizada para no tenerla en cuenta en el promedio.</t>
  </si>
  <si>
    <t>Participación Controladora</t>
  </si>
  <si>
    <t>Tasa Interés</t>
  </si>
  <si>
    <t xml:space="preserve">Amortización </t>
  </si>
  <si>
    <t>Acciones en circulación</t>
  </si>
  <si>
    <t xml:space="preserve"> Análisis Vertical 2019P</t>
  </si>
  <si>
    <t xml:space="preserve"> Análisis Vertical 2020P</t>
  </si>
  <si>
    <t xml:space="preserve"> Análisis Vertical 2021P</t>
  </si>
  <si>
    <t xml:space="preserve"> Análisis Vertical 2022P</t>
  </si>
  <si>
    <t xml:space="preserve"> Análisis Vertical 2023P</t>
  </si>
  <si>
    <t>Efectos Por conversión Neto</t>
  </si>
  <si>
    <t>Costa rica</t>
  </si>
  <si>
    <t>Costo de Deuda después de impuestos (Kd)</t>
  </si>
  <si>
    <t>Múltiplo Ebitda</t>
  </si>
  <si>
    <t>Valor Acción USD</t>
  </si>
  <si>
    <t>Valor acción COP(Ultima TRM 2018)</t>
  </si>
  <si>
    <t>Promedio 2014-2017</t>
  </si>
  <si>
    <t>MARGEN OPERATIVO</t>
  </si>
  <si>
    <t>CAPEX</t>
  </si>
  <si>
    <t>CICLO OPERATIVO DEL NEGOCIO (CON)</t>
  </si>
  <si>
    <t>Tasa Libre Riesgo(Rf)</t>
  </si>
  <si>
    <t>PRM</t>
  </si>
  <si>
    <t>EMBI</t>
  </si>
  <si>
    <t>bloomberg</t>
  </si>
  <si>
    <t>Beta Apalancado =  Beta desapalancado * (1+( Deuda/activo)/(D/E) * (1-T)</t>
  </si>
  <si>
    <t>Resumen De DCF</t>
  </si>
  <si>
    <t>impuestos</t>
  </si>
  <si>
    <t>Fondos Internacionales</t>
  </si>
  <si>
    <t xml:space="preserve">Ke </t>
  </si>
  <si>
    <t xml:space="preserve"> </t>
  </si>
  <si>
    <t>Cambios en capital de trabajo</t>
  </si>
  <si>
    <t>Cuentas por cobrar</t>
  </si>
  <si>
    <t>Otras cuentas por cobrar y activos</t>
  </si>
  <si>
    <t>Inventarios</t>
  </si>
  <si>
    <t>Impuestos por pagar</t>
  </si>
  <si>
    <t>Otras cuentas por pagar</t>
  </si>
  <si>
    <t>Analisis Cambios KTNO</t>
  </si>
  <si>
    <t>R45C16</t>
  </si>
  <si>
    <t>Sensitivity Analysis</t>
  </si>
  <si>
    <t>Statistical Summary</t>
  </si>
  <si>
    <t>Sensitivity charts are dynamic perturbations created after the simulation run. Sensitivity charts are dynamic perturbations in the sense that multiple assumptions are perturbed simultaneously and their interactions are captured in the fluctuations of the results. In contrast, Tornado charts are static perturbations, meaning that each precedent or assumption variable is perturbed a preset amount and the fluctuations in the results are tabulated. Tornado charts therefore identify which variables drive the results the most and hence are suitable for determining which variables to simulate (that is, they are used before a simulation), whereas Sensitivity charts identify the impact to the results when multiple interacting variables are simulated together in the model (that is, they are used after a simulation).</t>
  </si>
  <si>
    <t>The Nonlinear Rank Correlation charts indicate the rank correlations between each assumption and the target forecast, and are depicted from the highest absolute value to the lowest absolute value. Positive correlations are shown in green while negative correlations are shown in red. Rank correlation is used instead of a regular correlation coefficient as it captures nonlinear effects between variables. In contrast, the Percent Variation Explained computes how much of the variation in the forecast variable can be explained by the variations in each of the assumptions by itself in a dynamic simulated environment. These charts show the sensitivity of the target forecast to the simulated assumptions.</t>
  </si>
  <si>
    <t>$P$45</t>
  </si>
  <si>
    <t>$M$33</t>
  </si>
  <si>
    <t>$G$31</t>
  </si>
  <si>
    <t>Rotaciones</t>
  </si>
  <si>
    <t>Ciclo de caja</t>
  </si>
  <si>
    <t>Promedio</t>
  </si>
  <si>
    <t>Rango de Crecimiento a Perpetuidad “g”</t>
  </si>
  <si>
    <t>Valor Esperado</t>
  </si>
  <si>
    <t>Límite Ingferior</t>
  </si>
  <si>
    <t>Límite Superior</t>
  </si>
  <si>
    <t>Growth "g"</t>
  </si>
  <si>
    <t xml:space="preserve">Empresa </t>
  </si>
  <si>
    <t>Pice/Sales</t>
  </si>
  <si>
    <t>Price/Book</t>
  </si>
  <si>
    <t>Price/ebitda</t>
  </si>
  <si>
    <t>EV/EBITDA</t>
  </si>
  <si>
    <t>Price/ Earnings</t>
  </si>
  <si>
    <t>CEMARGOS CB Equity</t>
  </si>
  <si>
    <t>CEMEXCPO MM Equity</t>
  </si>
  <si>
    <t>UNACEMC1 PE Equity</t>
  </si>
  <si>
    <t>GCC* MM Equity</t>
  </si>
  <si>
    <t>CEMENT CI Equity</t>
  </si>
  <si>
    <t>CEMEX LATAM HOLDINGS</t>
  </si>
  <si>
    <t>VALORACIÓN POR  P/S</t>
  </si>
  <si>
    <t>MINIMO</t>
  </si>
  <si>
    <t>PROMEDIO</t>
  </si>
  <si>
    <t>MAXIMO</t>
  </si>
  <si>
    <t>P/S COMPARABLES</t>
  </si>
  <si>
    <t>VALORACIÓN POR  P/VL</t>
  </si>
  <si>
    <t>P/VL COMPARABLES</t>
  </si>
  <si>
    <t>VALORACIÓN POR  RPG</t>
  </si>
  <si>
    <t>RPG COMPARABLES</t>
  </si>
  <si>
    <t>VALOR CEMEX POR P/S (USD)</t>
  </si>
  <si>
    <t>VALOR CEMEX POR P/S (COP)</t>
  </si>
  <si>
    <t>VENTAS NETAS POR ACCCIÓN (USD)</t>
  </si>
  <si>
    <t>VENTAS NETAS POR ACCCIÓN (COP)</t>
  </si>
  <si>
    <t>VALOR EN LIBROS POR ACCIÓN (USD)</t>
  </si>
  <si>
    <t>VALOR EN LIBROS POR ACCIÓN(COP)</t>
  </si>
  <si>
    <t>VALOR CEMEX POR P/VL (USD)</t>
  </si>
  <si>
    <t>VALOR CEMEX POR P/VL (COP)</t>
  </si>
  <si>
    <t>UTILIDAD POR ACCIÓN (USD)</t>
  </si>
  <si>
    <t>UTILIDAD POR ACCIÓN (COP)</t>
  </si>
  <si>
    <t>VALOR CEMEX POR RPG (USD)</t>
  </si>
  <si>
    <t>VALOR CEMEX POR RPG (COP)</t>
  </si>
  <si>
    <t>Maximo</t>
  </si>
  <si>
    <t>VALORACIÓN Multiplos EV/EBITDA</t>
  </si>
  <si>
    <t>VULCAN MATERIALS</t>
  </si>
  <si>
    <t>MARTIN MARIETTA</t>
  </si>
  <si>
    <t>HEIDELBERGCEMER</t>
  </si>
  <si>
    <t>Valoración x Multiplos</t>
  </si>
  <si>
    <t>TRM</t>
  </si>
  <si>
    <t>VALOR CEMEX POR EV/EBITDA (USD)</t>
  </si>
  <si>
    <t>VALOR CEMEX POR EV/EBITDA COP</t>
  </si>
  <si>
    <t>Valor Empresa CEMEX</t>
  </si>
  <si>
    <t>Multiplos Empresa Comparables</t>
  </si>
  <si>
    <t>Valoración P/S</t>
  </si>
  <si>
    <t>Valoración P/VL</t>
  </si>
  <si>
    <t>Valoración RPG</t>
  </si>
  <si>
    <t>Valoración EV/EBITDA</t>
  </si>
  <si>
    <t>VALORACIÓN Multiplos</t>
  </si>
  <si>
    <t>(+) Activos no Operativos</t>
  </si>
  <si>
    <t>(+) Inversiones Temporales (Asociadas)</t>
  </si>
  <si>
    <t>(+) VP Caja Final</t>
  </si>
  <si>
    <t>valor de la Operación</t>
  </si>
  <si>
    <t>(-)Obligaciones Financieras</t>
  </si>
  <si>
    <t>D/E de Mercado(Damondaran)</t>
  </si>
  <si>
    <t>http://pages.stern.nyu.edu/~adamodar/New_Home_Page/datafile/Betas.html</t>
  </si>
  <si>
    <t>IR</t>
  </si>
  <si>
    <t>Valor Acción</t>
  </si>
  <si>
    <t>Tornado and Spider Charts</t>
  </si>
  <si>
    <t>One of the powerful simulation tools is the tornado chart––it captures the static impacts of each variable on the outcome of the model. That is, the tool automatically perturbs each precedent variable in the model a user-specified preset amount, captures the fluctuation on the model’s forecast or final result, and lists the resulting perturbations ranked from the most significant to the least. Precedents are all the input and intermediate variables that affect the outcome of the model. For instance, if the model consists of A = B + C, where C = D + E, then B, D, and E are the precedents for A (C is not a precedent as it is only an intermediate calculated value). The range and number of values perturbed is user-specified and can be set to test extreme values rather than smaller perturbations around the expected values. In certain circumstances, extreme values may have a larger, smaller, or unbalanced impact (e.g., nonlinearities may occur where increasing or decreasing economies of scale and scope creep occurs for larger or smaller values of a variable) and only a wider range will capture this nonlinear impact.</t>
  </si>
  <si>
    <t>A tornado chart lists all the inputs that drive the model, starting from the input variable that has the most effect on the results. The chart is obtained by perturbing each precedent input at some consistent range (e.g., ±10% from the base case) one at a time, and comparing their results to the base case. A spider chart looks like a spider with a central body and its many legs protruding. The positively sloped line indicates a positive relationship, while a negatively sloped line indicates a negative relationship. Further, spider charts can be used to visualize linear and nonlinear relationships. The tornado and spider charts help identify the critical success factors of an output cell in order to identify the inputs to simulate. The identified critical variables that are uncertain are the ones that should be simulated. Do not waste time simulating variables that are neither uncertain nor have little impact on the results.</t>
  </si>
  <si>
    <t>Result</t>
  </si>
  <si>
    <t>Base Value: 16207,4551383635</t>
  </si>
  <si>
    <t>Input Changes</t>
  </si>
  <si>
    <t>Precedent Cell</t>
  </si>
  <si>
    <t>Output Downside</t>
  </si>
  <si>
    <t>Output Upside</t>
  </si>
  <si>
    <t>Effective Range</t>
  </si>
  <si>
    <t>Input Downside</t>
  </si>
  <si>
    <t>Input Upside</t>
  </si>
  <si>
    <t>Base Case Value</t>
  </si>
  <si>
    <t>O7: % Costos de venta</t>
  </si>
  <si>
    <t>O14: Días de Cuentas por pagar</t>
  </si>
  <si>
    <t>L7: % Costos de venta</t>
  </si>
  <si>
    <t>L14: Días de Cuentas por pagar</t>
  </si>
  <si>
    <t>O9: Gastos Administrativos Y Ventas</t>
  </si>
  <si>
    <t>O12: Días de Deudores</t>
  </si>
  <si>
    <t>L12: Días de Deudores</t>
  </si>
  <si>
    <t>O10: Gastos De Distribución</t>
  </si>
  <si>
    <t>O8: Depreciación y Amortización Costo</t>
  </si>
  <si>
    <t>O13: Días de Inventarios</t>
  </si>
  <si>
    <t>C7: % Costos de venta</t>
  </si>
  <si>
    <t>F7: % Costos de venta</t>
  </si>
  <si>
    <t>L13: Días de Inventarios</t>
  </si>
  <si>
    <t>I7: % Costos de venta</t>
  </si>
  <si>
    <t>I13: Días de Inventarios</t>
  </si>
  <si>
    <t>C9: Gastos Administrativos Y Ventas</t>
  </si>
  <si>
    <t>C6: % Crecimiento de ventas</t>
  </si>
  <si>
    <t>F9: Gastos Administrativos Y Ventas</t>
  </si>
  <si>
    <t>I9: Gastos Administrativos Y Ventas</t>
  </si>
  <si>
    <t>L9: Gastos Administrativos Y Ventas</t>
  </si>
  <si>
    <t>C10: Gastos De Distribución</t>
  </si>
  <si>
    <t>F10: Gastos De Distribución</t>
  </si>
  <si>
    <t>I10: Gastos De Distribución</t>
  </si>
  <si>
    <t>C8: Depreciación y Amortización Costo</t>
  </si>
  <si>
    <t>F8: Depreciación y Amortización Costo</t>
  </si>
  <si>
    <t>L10: Gastos De Distribución</t>
  </si>
  <si>
    <t>I8: Depreciación y Amortización Costo</t>
  </si>
  <si>
    <t>L8: Depreciación y Amortización Costo</t>
  </si>
  <si>
    <t>O6: % Crecimiento de ventas</t>
  </si>
  <si>
    <t>F6: % Crecimiento de ventas</t>
  </si>
  <si>
    <t>I6: % Crecimiento de ventas</t>
  </si>
  <si>
    <t>L6: % Crecimiento de ventas</t>
  </si>
  <si>
    <t>C14: Días de Cuentas por pagar</t>
  </si>
  <si>
    <t>F14: Días de Cuentas por pagar</t>
  </si>
  <si>
    <t>I14: Días de Cuentas por pagar</t>
  </si>
  <si>
    <t>C12: Días de Deudores</t>
  </si>
  <si>
    <t>F12: Días de Deudores</t>
  </si>
  <si>
    <t>C13: Días de Inventarios</t>
  </si>
  <si>
    <t>I12: Días de Deudores</t>
  </si>
  <si>
    <t>F13: Días de Inventarios</t>
  </si>
  <si>
    <t>General</t>
  </si>
  <si>
    <t>Number of Trials</t>
  </si>
  <si>
    <t>Stop Simulation on Error</t>
  </si>
  <si>
    <t>Random Seed</t>
  </si>
  <si>
    <t>Enable Correlations</t>
  </si>
  <si>
    <t>Simulation - Simulacion TR 0204</t>
  </si>
  <si>
    <t>No</t>
  </si>
  <si>
    <t>Random</t>
  </si>
  <si>
    <t>Yes</t>
  </si>
  <si>
    <t>Assumptions</t>
  </si>
  <si>
    <t>Enabled</t>
  </si>
  <si>
    <t>Dynamic Simulation</t>
  </si>
  <si>
    <t xml:space="preserve">  Minimum</t>
  </si>
  <si>
    <t xml:space="preserve">  Maximum</t>
  </si>
  <si>
    <t>Distribution</t>
  </si>
  <si>
    <t>$C$6</t>
  </si>
  <si>
    <t>-Infinito</t>
  </si>
  <si>
    <t>Infinito</t>
  </si>
  <si>
    <t>Triangular</t>
  </si>
  <si>
    <t xml:space="preserve">  Most Likely</t>
  </si>
  <si>
    <t>$C$7</t>
  </si>
  <si>
    <t>$C$8</t>
  </si>
  <si>
    <t>$C$9</t>
  </si>
  <si>
    <t>R50C16</t>
  </si>
  <si>
    <t>yT4aQgtNzws5Wohc7EkK08HL7xhIS5U0rN2KEEfXln+1vM6ILrypmcHzYZC8+W8fYWCMvOCBvI0QX2xfy3D8pShwdHS4pgJ5PCbjwUmFk2F5cT3syYJgO4xPGTVI/BilC5zq0OutKJmjAQnjk7tTQS87OsVBGjOSzAuwlB1qEhVJr5k7A6gS0A/64ZedsE70WxDvhESJWQyk3rSkqomFvfefddXymhHvq8w+J9vlgell0DECQq6Rv5N6Ghk=</t>
  </si>
  <si>
    <t>X1u0e+vvakBNgCcrgcnikGdAok4/i+Q8fIJSZrNVAT99nWSKajjsPiuGq8I5HCoGt/+8+Sd+eSRbdXD5IPzrPXD10Sw/ktbcmiVx2S7sAhwK1M6uKI59kifMC7LwQNGNg7sroKQ0HUSa/6lUoI+Pg102AfNO1KQ+E6ErLqelD1i+39wkgGbdI2L/GDoSEFbDvDku0GJfUzfUwt4cJCHnnwDGqIOUB9WTLduLarxUvx1gFtXgmyOqbbe8lFk=</t>
  </si>
  <si>
    <t>6BQ5bhfPMxL8U6jdrXHN+ItHVV+DRz35Gug/gOU9fHj8+h69Ej77Z/FxC8jTCitlvlYLT93qjN2aQq1VUMQGBPv+fLADGPS+fh6x0qx1WWptRibubppckIU3aJv3zZSZc9V0lgiBoYp/QS1ss0dKsQ3Zr4YPsT5cWZLStp77ePkGfRWh0zJAPhA2zQKN88CzBlizeSCrnIhO0DHEAp8QsAV3cRSde0yKwYpB0ZtVw9wX/WmC8QpPGwGGnd0=</t>
  </si>
  <si>
    <t>0B9+2c5mPvM5v6LUlr5hnwirq6pgq727EtEqoI22Mm0zblzsMrDvZ4WV+zD/Qb5e/8T6DUqlW7/GJLT6gb59Ak+amdRkD8dvqx920QCCBZOhYGUGtVNufOQgz/jndRIPvJ5hjwZb2m7hYhP5Tj9uBUOfzWL0VPiANRM5jU65Sr+D6FK8oliZ2hcL5qpJ7ixiePvKCvlncZzJt+YZRksblMSLMyt0Bc+ze4zpCSfkkAM917BoPBN4QmfED4E=</t>
  </si>
  <si>
    <t>tL9uMUNs4hgaklqcJeZ1rh6SY6xweWRSavb+Un/y/UBnJlP8r4UG8qoZo5QtK7k544nWojRvBRIeZwK9/lmzK5XiRH9x/EavB9j687Imxnl2xc38m+9R0qqvXHAr6HuKC1aYCDk2V8SlreswefCdTK6zX3FUn/nAIPnWaI4uOmqkVM3E2S0ewP0pkTwIHMTLrJXaz9nC8IY19J4kxINbhbFUDAeDdLAcn8zY9zAeXvvDw9O2NS9ESLOVXM4=</t>
  </si>
  <si>
    <t>vUXUd/f5hhQjVOzVMOqU4RmQGQx/djrEMQowNjwF9Flt4V0nRYIxn1AKatGSSi9TyW7kA0IXvpHd/+A8m5cWd+4DF/uIWevSoXFPLMQUK08g/h+PnI4jDi+l/UwPpEV/Ppg2jZoCjt4HDkapYw54UdydSOhQCQc6mgwEzVLcuooVgAZ7anIBr0cV3mQOyYUJK2V4lqJ7OC8+47VfGMQDAEzoZnmWCiCJWkGEnFpGBVZsfqNMrR8Ph3o8tkw=</t>
  </si>
  <si>
    <t>x9CVErw1qt94C5tJQmLDs/29IJYfVk2RCK4DAdS42bYPG7ey8q8iRJm6hoi8WkYeyWSVZn1dlEVxClOQV5/YDoXzFbSajLo3Kveb9lyynwNBRnR03jAljX5lDaaN0oVRpfzv4VldtbUtwXkEEnE+c7taAjrcgN0Xwxt2l5EC3UOP2fN4jFa8rLXYqM+Tl0v+NC0OgjT9sfoUFApMbYxlPA2GwlkGmbFkXcr3OyZg9OHRJNd5JnZYg823eb0=</t>
  </si>
  <si>
    <t>VH4LzQpr6lxE0M9fr9NFCD6aEAkQKP+9NhRzeCiS9rH2jQUmLIuh8E6rqSA8Q4vTN5SUbV1YByLNKctEBQEpKAyvKT1JnB2Jcad2iAiOBDDtN2v0OXHjU/St32bU9n6DZ6XZW1EojW2XxootUQNR7OZg5WOkEAlqBLYizRCRGJZZB8ixwuDgv+5LavsFSKUWqN7++btiSTIocxvjN9zEhYGplKOPmxwc3ZIjqmnKOEy4fAAnaku3WA0NNvA=</t>
  </si>
  <si>
    <t>z3KHHNywkjiLkvDlIJrHOjPkUJSlQR+2Btv9KD1TRxyn11u/pmET6roLNpHwY+f8fxscD7cWlzn2JlZqRz/Os6mS1VKL2YDIFtmeAccawtJ0fR4jxRR7kIwDCnPIbEIrOF0iBzHZY3IwKYzneOljYTZud8OnuOUpfXEvVmBu0u3LzM7aT9R/u2qNwS1HrL3BhirlvJmLm3ZSLtkjflKvsNZvZ/ivdtO/gec5zCZqZagjg1xUPwHGk7KNaEE=</t>
  </si>
  <si>
    <t>N161elfDmKgKfsdzdjA0hiQl//Wug4YltI+fvjRueQIlWoWnsylrI8TXTc3aQCAWvHK9DsLCgjEpKZCwdAG/OlFtKI00tufr8PfEw54kAAumCboDBr2T/9q61f62jrkg6iKI1KkTamPGmxshX6sO/rLNAxvAH/DDoEVyzlBE9waJbaaIDU68Q6AXW29rXbHJH+3hldjapo3ODX+pt10RkwDyFO1UlLPcwHLdPNRe7J9cN/sreCJHKfyuzhg=</t>
  </si>
  <si>
    <t>RgP7+EqJEcH1kkvsMIXJpqLbRG3UcvHQ+OMjtVPqejifkHv1Pl4Dt2rGM9j76OoKnW0Vg3Z1nZ2rOIJKDqi1AUH3G9LwLbjyRrkd37L9uVbS46L4UaPOLTm87Q2pEbzOnUbzW92/jZ7yXlUVn1NLTemJTAez+xj9Hy4zvP19sECvvlAvj8AckzjbZzIk4eGWWzjDr+jduhvaJW7MOlpFHIW7UMgzGqkD2Qh6nm8hsGhPzG6VooEJeVZ4Ejk=</t>
  </si>
  <si>
    <t>Tm2tIxOeyO8kfvoiSIAuubwdg6EHyGLxV2gzuCTKDxJ0EcQWJX4ekdp8I5wduajaQikr5RUqRnHIkG3XZ9mrbYM6ajefOLKp1yez8H4PiKUHyzk65CMeDOG8RESHODiBwbR2sUB2eDqwjIk1RWGmQYoHNVYXWLw5iC3K8tOYKZ/JUyjj6J+59Bwf7CvPkVMn+NphlZLonNV9k4qxZ7aK02k77G7sDg6g6BFUgq3YQN1OAlj/z6LmxfqCmww=</t>
  </si>
  <si>
    <t>A331XsT/xjGaHex7PHnbU6eoQVZkHIlaqTEovylrgce7K9FLiJDvUGm1DDGqwzPONoRjRrT3jvKhEJOO4QbQRzuotl8+AoPZ6eVcSZfAicJWRQCZZvb0WoTHEFxl5RiaS3e0sBbi3YXp02CUwml206Kdt5CH27zG5IdzuNPHeTElu/6gSJoySsqTeTCDnCJEee4Bz4LzuwkdKQ/GvOUjKYqSGImSkPbQxehtEjJei4h1NDBc3Mt79Nx9PHs=</t>
  </si>
  <si>
    <t>CDqOtBJVMufzmgnSdZoi+1TpOQIL+RQYCl5/QqKps++Myl2TWkF0c9YdBP0D5gIFfsr/3vUt1cSdhmalHlo6P5m6K3sLlDvkIdYL9DYJaoJ2NbBApGgwRtrbV6pHU9KmzecpxqHbta+4eVMTKJcNvNQ6X8OQR1ccfWACsNPrmbVQM2kZY3oJorKgEoTLXH/jd0BXJMckdvj85+y2aqI1x2ofXExI9XfeXQ9Su8rWHenXMnt+2xvu4IC4naU=</t>
  </si>
  <si>
    <t>rtCLmNhvZfr6Ez0nmQBu6S7FPtHfTnEOcwTbg3QMAkk7WXmTZ3V1I/UIVaqQv2LgTeK2Eh8fPG4bAJB/bHQsMwq3XQh553lgwAjW+quDLghrwqKfkHilY5Dhzbb082UCqWtYWJAHUQQl/VRjZye5yJCkDFWdONY0GHbuTGNGiNR8lB0XAmbx2C+xpVTakH1w+ET7y9IqGdksqrMZXZEucRobqGuRkzapExtgv4T6vbfMrNOkgnp75eSt/xM=</t>
  </si>
  <si>
    <t>XMtyij1Lq/+5s8uEY8VVf8vfSTWMmJXmLgacU14yvlT96dflO08vT3KfjV6g7QE8tDC3b6UEFmFc+iAUVcBe8lWj+lSCxPbTO7DhE4/bmwEH6477FiiGnAEXB/h6FbC5OnMyM0skLiJ0lAxieixQ9MzDxPsygEq4ay7V6Q7PBOowY3RKitG8A3Rb8WjMb0DtnqbWAavxxPYhiSQEDxsJ9clrBQiZzsisZhxcQC7WjTc1eDgkaQhmjy4Rpso=</t>
  </si>
  <si>
    <t>yYW59qCc5F6jYGcO7EiO6pfJQWoKJUwf426cNsn9WcMvKM+NPPuymVNC73AYEZHN7xbpDdtbNqEDImZZen2TivSyWLd3FVAnP857TPvbBhBdd04KMtsADg8ZCvWTpUlHaSwOZ5EYbxreVgAFjf1RFX2zCl1HeCuQ97+bRZ8K3irjgO6B48oDEk0aihbO6/DRSzKe1+AgMehBNV4OrmWeGVRNbdR/NFXhC0gWA8iEJJJ+VI8178CwY0ZsRW8=</t>
  </si>
  <si>
    <t>OI7Q4fYVcPkJiXtk8Cl9lXGAzVPSoxCNRPn3j8tU+Iig478/W/8snPnS2lqyx6nDTh7ZuSyCoq7DNVvmOvy4qIrlhrVy0Q1xItAYLpIivaLdEiJgZY80hAk108hQFqPlPG16d7ZVcDAtmRv8BIAf7UkRQh4FCjHPIM6G1TQNPaN6Xg4Kt4CIIRum8thqPpPwfNxqFk5gWc5eHKmryQNZewdkQ/1O2c8ziqcx613w1dC8HQ1R9Qp0r9yAbCg=</t>
  </si>
  <si>
    <t>oK0DOHNlJCRWOaWoTkidBHobRYHmhNimftrWGMYdSw/cQKklS6Oxr6/gSZqpp8VaSqtMEQQ+M3J19UWS4QMSzxH/f3RyV4ZzqH0i23CjBAbRjcunQ13SgILbir2s/aqGZedutCisi2cK3BB7+PBTLweuPmAqI17de/1YMKKlflIWYy6pqMEl4Ng8uP8JfIi4N01cRyHo+7qaH1g4Sri6yzmFpYdMIliDpLfeLqlop+ALxr5jjEHtnWcewbg=</t>
  </si>
  <si>
    <t>OrOQyiKwdm1YA8G5vSzgdsyHIqn6OWPKZtXuefg1VZN9jWdDS4rWslwJyJ8CSnx/3ZxeYhoYI0Jv7YXypRn7XHXVd6+SgwVVylzI7vqmeSz8OF5/1crjE1kovqmb2L8tfYv08Pe868XkDxP4kGd+8SE/2X6myXiS5oPKYnNfGFKIXSUotFOmJSuuglrPMhTsSCbWbe9o0knhKNXqidNQR9pP7Rp1Rno7od612xDbX/nKsVix41EHvEwQyng=</t>
  </si>
  <si>
    <t>u7S/XQeKPOwtaGFfwB7rtmP1TO4AdPD3bNY2DfGjtv+VkU8NW4XgFUhNeLNYgEt5xPmqG475e8+DXgqNDpkADmEuLVUmqvI1MSnVXTCINlpQEWlEmkne5JMJGumqFe2bT3Xh1XK4QTYj6n0ha5NRtDTYQmxBsoCXuCy92WwgpxN/+hRftMenqNkmKsVL8oD6laMcFCjRNZU1jeM39B58idmBLGLi6HbOasFVs3p44HRcO/sAlz2d7/5DMBc=</t>
  </si>
  <si>
    <t>fuCSstFcVpK1rtv2QEKxbaZC1EfYsdjMQvFrRtZST0jhCnz4/S5ZWpMKGaoGnYu+VxxRo/JSWPb2yPbesf2n45yehOHFdUk83FAdsxp2V31Ig9W64SeOH/lbZPlNuG3aAD6Z87kS4cTueq340LmzwgB/Mbwa/8ZLBPV2/BjaRK41mLRN3FQuyhfPn+2MHu+ldEFFWIAN1r47+LHi7aDCSheMftDHh/4rdpVPRc2CjSOPeh8gN87zeatJHLE=</t>
  </si>
  <si>
    <t>klIWvs0PU1IFnSSTCG9w5tzI/V2tusvbYxsG4diNViDcd6q5YFDGOTZk4NLht9rtOQ6N/KUG2XHrBTEJlErDY8oRVeqneBxdfW4KETAbVvjBUyMXNfkyiqvB3LeT9ZSNPUBPjKsuQAMN9RXiSE9IQmpiTp01FCz3j6mWb0DOikVJOi6aR9mg1Ugv+22+9qdhmlHM9Qcy259l3teKPasYUW8UOUn29LxZqToW1xhnUHptjuk8TQyLTjEKU1g=</t>
  </si>
  <si>
    <t>NDYfPqqqrGA8hL1GzjpJlhEItWipWysd8o3O0ovnJrz4W2+MUXEz6CzeceJOwI3MreZYMwnTpQ2ABNxSMFFFqAyowo42SG+z/jrsdg87H1LmJUEDzZOhuddy8CNySGJAunSLOvzX53QdCieRngK/tCxIenVUvbdM8+DpiHvnXGn25qBq8SLfWpG6qBPLukmOiJkIlpXQOCS89llSwaLTVrG1Vm85gu4ye5+zVqS+P35zBZ6Rz8cs9QaFEhE=</t>
  </si>
  <si>
    <t>yL61zUl4d/Ciu3zqd2jnjhVcWM2Kk354eE3YGtiG1QpPml0GFR6VjPuiT/PGDqv9k74MX4UwfWYJZkcWxVQAqmA81eMcuelOK7JxhkJ0JQtA8SoHgJfE/eduAuZwlKpQNYKj7/ssLCxtz/xSe0Y5n6hYufyAkZ7vhJeIoikQSP6TwMAkx1ylQaNmoWrwDbWoT+gsV2L540/53wx+MiGtrouw8+TKEmdqgeaW9d7i9zEdFVGHkvLtoj8YS48=</t>
  </si>
  <si>
    <t>tnUNujq5MSAJkHv339nejVkk3OToik6Qr6ffPLP1yva3u7J0tEqTNJyvCtk4B1iBtppOhK97HykXbAdP/zSHuPkOA4dRFjfvH5Ap76/2zVqsLPcEgDypxy2pruEtk6xIKaaOLxlR0J3K42q7Z/FHm/7kKmtp5C/ehwBlXgUf1Pq4tkmpMmPolttVuJhJ/h1Q028u/qL9gBNGXI5tXrKKyeg5eTiHaVer3Ami/N46lYyhsOFg7rXGgkU0dRs=</t>
  </si>
  <si>
    <t>+QF10YGYuBZfDpRUMReGzIs6MLTof5H2Y1pbaG400w40vsut+GQ3vyxjGt2i0HouY58UUj3GcQ+ZZe72PC1TP2gTLSNA6fczQ98wrcSm8yIdo8SNUbJHSSLT26sUZgO7+kzAdILvVwfkscRz3970m9sxBiuvX6a3Q8lC4CXrvSM8BWp/+jEv1G18zHl7B3Pqmj5vqfsgsOXSFmdSCkmYPrRMiVYrOqYLoPi4Kcd0U3KdSrzzSU8vDVkWVDU=</t>
  </si>
  <si>
    <t>oCxb39fJ9bLXGN9UTOfOPDZf0MdVd6LQKuwSYGV88lCAJ2MOoyz++cNNZ6u+aLFwv52ZwTj2jj6SpT/eqZoyD50svJA8UH7BrPqViHDpEsjrIo7Cy6hY76+mPpDyMJRmcwUmL36+bU3CqspEJ3swUVn1LThz5px73fHngzMe2kB/UHfj8DHi5SJlqtGhXbLxI1xpE0ubAdtsITlttzuzqyh+Pqv7cfqG9MWFMtYheKyCQu0d8RPfwQPG+NI=</t>
  </si>
  <si>
    <t>UmXYFgcwmRyBHvAMFYcTsSz7ZsPp/aW5M6afTQPywDvOSdVbSb93iVnVW9zoei72Vfp2oeXjrmDr1qyjzMnXNoUs8l2W0oA3SszkoZJbY0vsHsM2aTa/aZcdYfD2y2p/6QnSSQeXtT4ts0GRSi1RNtLYwdb0oewesB+P9RC3tj2+fHYEkveWvw6S76wjxN+IsDVeGA5GDOMSFgePwmQNFoBiHqE8XLglmE3xTQAuofIzhZJZbTY28z762Dg=</t>
  </si>
  <si>
    <t>5CHlD7uN8G/B/4RG5hA7PkWNjgHlwNq4rjoDjacYO07xa2U7M7/aWva6n+6EJTfx+AhF+6A0YnQZK/NGjcKnIJkI9kroY1uVQxiZz0n6E1O/LX8dtW8DU36Z20XBqK45MBkIVkJWvUYD3S6Vt0WfE39SqAytCJkC5hLVXxhSxDgZMPeaTNM8ikvF+q563/oG5pTLY+PH5vG3gGVc41bAj7Dn2oWHYIb/VvTo3VZR9LVlToB8XQrKzKFaiUc=</t>
  </si>
  <si>
    <t>hu0wbL7V0GFiV0gXvx8vxMSgcjBOXHlda1Q17+5biX0TY7OuwhFR67xra3dARkGSSDARAxLtGNfxtymYjWDC4TFouJ47r7yVSBBMZySf2uI28rAb2Ds30A+HaAGOq7iokCP3hXgdatWOwY+PJMuOWduCbdQHfkxFpEU5KjmrcMBgFBiEVlU1C4etbn6Ta0/eShW1BQ1YjBuH/c6frMwWm8nrXO91QzGpnhpBYhtXxXs7NKHD1KCWKX/y7T0=</t>
  </si>
  <si>
    <t>/PVATv9TdlSdWEKk3Y5QnEjl/S/nUQHdzxarbdVUiIOSf5k+KH/JhqPgncl29p1MuKXIzHzGh+1zoi6bO4nOXn5AXbsvUQoIfY9SBwdo88yL1FfigOg0wNbwhm7xLy+utMSCHRYgUj/WYR79EyPQX+ronqFZ7MQzQGnxjs3tbl6TbvkHGkrG2KZIvmXMlXCPWdWM13jmD615aUeSWLjaf4AyZ+5sr9LW6Tdd+NVheULo2hh+j8+HoQ/F8KY=</t>
  </si>
  <si>
    <t>tI8s5+aibeBhAtJflvE2wQPovP9+JwNZsOI/xDfn/TvQ8L2jgTqIUazsvVL5vLhLYyi0H33TMYFz/l0QnauqJ6QtkP50yI+BO2nAaNWG/8Yvvpd9gpDtdxK6Bd69pq1WKzSbrBfYcIvrFSIDH7GcYwwZknb9f91pskTHejMcuzS/vkBq+aCIiMcN7XXZPnngCyT6GciEzu38Z5Atm1TmDluUTJIS99W8lpFfIYrNbMsrPmYXD+lclPrp+Cg=</t>
  </si>
  <si>
    <t>lKUqS6W1O3ErqkffNEXpuGUK/Tgw5QZ0E0zs6i1dq4qc3Vunht72oUqYcYiTzOWqKmcXK/ee14O2ZTy7V2l8G4DBt/f9NbuJmhezusQ2ECr51pcdtFl3bG3H8XZ2Tjbzx/sAno2CGjweFPJrTAOvNjxjHYyQOMJWCtZUb8mNQLoxzss5+lJpacx74gnrNrLNdOvmOP/zgl8YZcicauBKP7mV8RB/Ag+a+cyutb7jc3mcKjatS8y/YMQ3yzQ=</t>
  </si>
  <si>
    <t>rUrMFKIxwnk+Hutl0Qh+Tw6NOwssPsdqD8gOdWSfbA3nlDE7zpG7T+pDpki8832lIhI+HXDLGQPG2jjtccyzOghkmQaFjPjh548p1XLJa5bGDerc6XVZf6PFdS2uR3A7CnW34AZL4dGCvpCDojnkpoXu5Agp24ut48HK29GjqBrs3/ikh93jz80y4yZ2v7NB7C281S3G/iYxfn0wj6lHHABCpJaz1xr98nNFZ5MGsdlmCX47dk5gqfWL7Z8=</t>
  </si>
  <si>
    <t>+UnZEDoSVsbnUadLQPl9U2Mxgw3hhXo/nwvbd94qTA5cLlt7r/AhZ83ZSL6FduxP7CPMYparJ+hmQJECb/jBYLXIHLYleY9jUmM1T0FX1zK1jM0l8GbTsGcXi5AVbefdKMMRvT9PigKDS8YdZQ6v8+K3hWDL5Ed5vkfBMIH2MQ0Vw1w0ZywAh4DHKjRMxXMFqxUu2Chaf5b5dJh+yszqq4/pYb/xBq+quE2Si2Mbryejk1OAHan6lVowKEU=</t>
  </si>
  <si>
    <t>7qkxjgxezWtQFR+Ki5xcVgaG4FCW9qHNnqcobRB88BjyjYUes3L6x4MiRjblNas4EH4aSgG67gmylI7OFPV29AQS3ApGnw3gMj2oApjIVh+r2ejE85MsQTvIelQy2wiLc8kYiOIjMCc8ek2OMurHgWq945pMA42x1BS2OJeWnKk/Pzv+zqgD+jeIRufITgOmKFTkIi+HtPgYdi6QxLhivLzRiMJd7hhqTW9BvuKVRtrGBI3b4MaAhT0xSjo=</t>
  </si>
  <si>
    <t>ipKU+bXtsH8kC1KOuQJxaV+iTg5VG7lhI3r+b/Uh7lMGvHyP+lY2/E24D9i02QHb2N9xGW+q+VQCtJ+bFd79rU51y1T0Y/+A6KXYHnpiBqSvAb2hjFQ3tJP43Becp7X989O1GvQP6kO7p1YWYWeBiEB2Rln3YKRLfeTRf/TllZRofajaPgGfg18+SYUDK9+R1xQQ9Tb5+G6gP37j9apDnPi2t8FLJmLUGFO5A7HQujA5JnOcwGDMIScp8C0=</t>
  </si>
  <si>
    <t>caEnf7wfoSndiynxIDsHOw7j7u276yawG9Z8v5lfk6jZChKRBewqpAMOPuc9edpwzRdXfxAUUdtbCEV3+igeUNnX/+PJT+yiiXkKDDcU5t11lwHDMcls9+WmfE5e/TcsTcSmrVQR8wjPpNnCI1QFw6zaPI1YJYZv4DW4Q+lurWd8x1GsHWPSeKQobi5bVextblpqX4WI9mU0mZUedsMwgB9oBMPZv69jEXa1pDcAXQKvlXS8EqxmYscc8Gg=</t>
  </si>
  <si>
    <t>6012BFHWHfQNWHLoOXbCxQ3DZmGVebVLBaCVlP6/HawF54s9B180a4e16LH2zgSLTXlAW6A5keMy1UWGheiYwhw4vYYp0s40WqikRaso9FF0WHK9V6fo441FM/A99f6rKtM4/nvA2wgoqJlwfq5LRgliRnudTLf+ZUmCctjIOy8M1fQ/KwHFrNI8ijHRvpbkwxVdHTwXugDJJZsQ3mA1ntU2WWaOQBTaZK+CBzUqYuZm7ByitoHF0oW7Bp8=</t>
  </si>
  <si>
    <t>G5aRvfPXnkAQRP4rw8p66I6mzcBMf/Qrp0HtUGRPWNn/Tr9Dl5Aojq5AGcX9/iabe6+ysEcvMmzA7Y7Og9Hlvi+oYRhCIQB1g6h1nicfSnpTXKsd56aZSTWz9RLSKCC8LtJa2o4gyTN0mKOfMj+1dNjgrU5OYz7HCIkGSSWTnT7Zm69UEM8160M4z1egeNy7wyzhbJkfCMbpItSG0paSlUBkcGOorvlyuNRPCccXe+I6v05VoTdveSHroZ4=</t>
  </si>
  <si>
    <t>aC+IEsjUY9zy8weWDsNeNxAX4rG6k4rva8XzDCXUn3XhS0cX8Ogsz2TjqOppP7gDRQiuHt4449GPT1XEUwUPONzIQCbhBxlhBM70wTexvBCdye1m3qzLlC4T+KGfnDm0a9XXMF2nnVSEiDl3pR2Fnkcc7nKdnxBrDUJ2Pzy+NApyqKcRrbD1d/hqo88cJgIVgzONuslf/XFbFPdFB+7NJaaCCAqv6iqbjhKRmmeIPkwXVFTLTKDkKYZYyLE=</t>
  </si>
  <si>
    <t>/xNk6YcS2K34c+vZ0oNJnub9NJv5XpzQoyKHNAaAj44ksVr2K/vu1/ZRe/k/hlR/3XM1yLJCH8ayB3XaS5KDv1QDshY2Nx74lf8zs4LJ1Y/uoz45sRaZAEuDqs9sLOKM/EROtsCP9NUEGoR/PO9fA8WyVciUG7afLnFWHfOw/AyT/QJrzl56p0hiWd0L1O0nZNueQm/8+Mxg6dpUaouXlTkAupcz7cdXcCVXJMX7aWxGIeIUDmNLFAR8Jc4=</t>
  </si>
  <si>
    <t>i9Ow+dxiC404rMmhJhTlbaqUlCdmlJFPnLddqYYU2zIW2l1n2uwuHMIZvKv/G9UK5s0Zf9HNPa1UxFTQEF+fYJsv+/ITjhENXGI0G/1MFSt3sATJXqGV/kvnzWIvS8O4QJLDdmCtMIKPXSv895tz2t7VFi8ZyYql6OuvfMVxTW4DD7nbWJVpcVCS89ku6vpP+PUkCb5HeOxdbxIuahXTzar8uK7atoWcgl3b1miJ5e70OnqLgzJQlCoW7ck=</t>
  </si>
  <si>
    <t>iWUGdaAeXWkz+8iR9amv/txvYp68ysdEf5OFlaK0rLdLAtzkIIvlBsQuEL282aOLAfi1F2TDCcxz4RgC8jmXS37Qma+EKVP+5yw2EfWEPVhN+hGUma+8QrJcVsIIEZw76DoPRFfOmXLn9e7K7NtYCDIHr2WiXWZEel+ChbQ/6HzkpB1hVEXufpc/BD4AUmc55+0ZI/DSL589xSTRA2K3SkJwwd/KPhOcBHp7OPOyGfLxezc76C1fqt+Pc7g=</t>
  </si>
  <si>
    <t>JzqJLlk45aQASA6XWCD4DfTFBVsN7FWWjbj4jcLE+xhmUmbR3tneIqGxGwHdHddAyVtQt29Ff5cC/JsCSIUltgpChqmqEpO4TrodqhAe2QfBERchZS9cA54e/8EB83p4onZ9mlF2L9O3PyeS/0gc5H2FtdQPRyvkxL5KtJzNp07AstAlkAAvBhTYbZO/iBTMncmFaX/mrZ9umNF63pDANsJW/kU6G6Fr0u8gA+A+fa02YC7TBlnGNA2r9fY=</t>
  </si>
  <si>
    <t>eHIe3aLZXwJHhh94ZMT1WiZ6/Y39Q1vI4das3mBMlvSUbOIBn6umFC18rDtjU0/mskIUMo6iCotbefPMFxq5tDJiRKR5qntpZAa/thwLVbtVT8328eeSieERcTUoiwKJni4Ok0MqLKbHgmOPG/qQBCrP/SUyxlYZ9n+9UvWyDIizQ/Ve9E76HsVqW0jLuvHqLiYUE8HTH9NX3YKutruQguxqQmCroq9+DCzAycIjzFbvzehRWB58lYU1LqM=</t>
  </si>
  <si>
    <t>79f68lYpcd55mqniQAYebu7JIWVTZg9gzPTrAfVuwDiUcdIMsvty+X2lZZ3xF2DqEn8fNgGM7Hk5+HBQQMc+7JMeWCaYhdMJDtiOhEBB2V2lodt/OQTZCr07BLuNC4FfzQYJ68Z1wsBJcFed7M6iJ8GsK3hkgEYNAkOKf11xTxxjIAaS8Bdy2HDzYXA4v49NIgMC58qpSlHnCfRBr6HiQfAIA+05s1Bkp5R4phil50G0ZVSW5ItHrUsZbsk=</t>
  </si>
  <si>
    <t>C7lyQD9z1iUMdGbMHWzTK9bzs1GcPWQ9NwtrhL7FwNm8I6z6ko8+Yl7uxqf/FEAw3E0389XgPuFJyrkcBMSqd5+qMu7RoAigO+DHcwmCFH1L5lMXCi6wWY3qzSgEa7WRNzVvj3p2zy+Bxu9bAYSNrs4zf2KbTsFxmIiikFp1JyyqR7v1ObBlbNOSJCBfBCG//41WJb8DlC971sP0NK7AFQAykOi1ZN4CS3shTscKK7qOKSrPZQy8Bu+Olf4=</t>
  </si>
  <si>
    <t>3AdheTWmZDSq+FrN7dnwkrdsRpcDWr4nbF6mN4nY55/f2WAY7z5B/2iucJFlSDljAI/WkuyaT4a8Ov7EPhP3uNA/pEYNjKltPJVXKxYLVp5/geVIg2MdR5XduxF3r24PhihQn9ZUxbRYQbd9ZiSlsTrjpMQsABNKBGFogR/vPmUd7xonSby84IzWG0h+BFRdTpv3LAZow1t3Sxi8O4jdc97H/1g3yogVePe9Bo7LWvSInNRtpGFYcjkwiyo=</t>
  </si>
  <si>
    <t>XXJ1rIrVhAX3PZ1OHLCLNDO+RLUWKQg5XYDF3sG+dSafdjbMZRQqzcyACL64GQFLDrLWuJFoxj8+7hEM53CXofLRWZwJhv+qgFDKW4GrRmkg+hJX0JbWpdUPbyT6/gGccaQCUAxHqnGAhVZVDtMFVaddkVuyj7SFY2Z6UZ5U0Ghh0rCbnVI3wdfnZ6pjXDjqPdm4w3s6qXhFFyAQsWHrvEtyXz8WeoqCuzY0YuCQmxjjMrG70pJqDFH/5ss=</t>
  </si>
  <si>
    <t>ui2ssr/uDOxSKapwmR0bU7HwreOBwuClYUzZYp6nHyak46JxZbMutTAXb6R4T6P3s8ZwseIWisxgdq+uuC3fK3YEDumzkKUKkPP52prtvSfrsOwZVHMGOCnH9B6C5VfpCQ8iJGPBK1wm9a0HIdtKJwF3jbkcJLhos+eNICRHXT4ZvKL2jXdaBAZ5JbbLsZLvReTyf4xUNFApBrbpFsPfNEhJXC1Czx+Ea0CXlF0NP6Pml5qu/DSOlsFMgAE=</t>
  </si>
  <si>
    <t>vrkfjpJiiHv4KjXPM4vs4/923SXkHEC1P4ByL/Zgbbey/Bfra+EURSp0RNeh1NDt4CwBupamrab6q3ykUvnsWOqux39+OT7UrbyreEM/13lzFD8z79QkxvtM4vC/tNxCjH/GK60F4okP5amgmYWKsqFRgxUQdrhG6cIxfUF14e0VhX32QGaek+LwQnNA2NRJ6tYWrWWZaRoMWRC906/yDRfLHy+YblPk7TGHQJlz8xWS7KgZb8KCJWmJrrI=</t>
  </si>
  <si>
    <t>kZhpjG2a/N/9eZh6DB8HsQMOdo+8ss156n7alzYo23wdzRgYMkEicYg3neugPfmsIKw+KNEaNcA/5Cuw/H1A8aHeqiUHafJ6yjKPQ2f5mtJithUJmFHjgnBhwl7F+9a8/Ow3Lu+I7D+YWAk0nnDxijbGFBUByhsjl/szc5YRAdQeDvupPp2hgP+rDVKhAOQQoa9UeRP4Flo/OCUdZGuipSsEyfXCWZ2xZu5CDKbhq/lRBisMCLQdwAmS2OE=</t>
  </si>
  <si>
    <t>6X92Tav/s4jT6Z6Su8LPpZjIdfvFSHZ2F4jqp6rzUovmbOQ63s+8nYzcUplzelMyF5KypvNL4enu9a+w8rZivjAKcwbeNTc/dEGcTkD3Bqygjw7nTyUJVu5teJVO7pqMD7ZlIFab1/INGwbXl4Y0eNpTOOhYfi3z53RsgdRheIUf2Y0BWGPdvP72TgXWoqQ/gEoZ4ritj0H3NQPZpb3jvud66skcHQWAqubD1GhKMmPo85/XXzmT9/QUB3c=</t>
  </si>
  <si>
    <t>0glVYyibPtktEyDLyOv4FDfwZkL1T2Xm2QNI6Q0mgA5rEfgw0K0lSkg3ca9O93VIgCQDUhJllrsCpjnW1Xz+sJ1cv7gDYKhu6K9JDpxNo6GFi38A72D3PInTPLdrOrRaxRxSAwbyiIxol5Kg8zpV6Z1UUq6ysKsbJKFQKI6FR2uxDz4Cdfb49aDTfCqMfvzn29ZlWf3e2pymftniOjcf8V4lVw33tslnM5NV2TSqsyYtTDV+U7sZ21Pv9Xo=</t>
  </si>
  <si>
    <t>t0f2LXvKJA08DDff8fOaTXzdIzWztyD02GAx0aQlF2W8d03WYwW2/aerNwDx9j58k18phxNT1+kQtV9mBfKmttPh74iD3TWGRPhVkNmAoQjFu2fpl/M93cQZJhF7wwDnOzOwkMrWaV82E8k3/lokUXmjI1Eef6POG+faFtf51OuoFguUTkMAa2u9ASThM6sperJxXTMPyY6P7jOtHS+j2CPDUTjcr0053sQ/4ASLkA5A41zeXSM3BK4RsnM=</t>
  </si>
  <si>
    <t>8k5jnOALnJ9PxcIgWuxudZ9igrFMwvB9qQ6VhgfOI/pwRDutzz3VMvOil3Uou7AiSQw2qnHqvi7nTu7N5/LEkyzytFCDwn85oYiMP4GIof7GiR/ZxFN86SFFSe1PscwUG1Q6dxQ7udYylXUeH4Amf6p2T2V+k4+2mFmEihoega0Ainog82Q+roH118RvAD75/XjC3AgWZgZlUzt1xdy/8PWuZEwWgEVsUh5aaHj5QoHQrHmUKZNji9u6Hak=</t>
  </si>
  <si>
    <t>2pFXy6u/kTrj8AAELGvYoHZxzcEJkCbugivRqerN1ZSdMLW0PQPJjP63HN2mCU/zg+RcvOh4gccBVO1SkREfMJGHvTFkH1t1AbPutylRmMttKLAIMef8tCVJu4A+GcPYJ3gXb02ItfxJmI82NruVyiE0h4dPZcGgL076o7/tS2jP58As+k2iybuNqGWaiKhLSs3RwKDh79c07fhjkCPzoeIXsuxu6Le7Ge1sYI48+XU+T40DLAW+1vUZdpc=</t>
  </si>
  <si>
    <t>xLZrJEjKnwLzN9351HPessF216w1RBZnokNSel4hMzimkcvAZ8WtDZODOPrfMCyd+Oj/tJcFLTx8MwrX3p7niz2qbX1Q73qjiSx5kES6s1uKEafh0xKFjNfiTayTOKVQtr/AUYhdZsI4lGyJK4ixvY2LmvzA8sJp/APe9QZXOI/YIOmofLd/+SkmtPvD70O5rv8hoazMp3iEs63/7i343dC2QlJCw9345ntkPcDe5LVhmJM2zgamC2veC0I=</t>
  </si>
  <si>
    <t>Lf4oyVPrAxC+6iBmwmIrShWCHMP8Q3z06IMS/tBKSzCLDy3Pg0HZ9OTKzNNKulhQDiMLDp8r2DpHfncHTKWzAOojhT6iyMIwyDN3gXffVJcfyfrAKnQjz8pPUbccBO1HPcRdseX1J48Sf2vWZN+xG91DAoJYhTb47K7GnMzOd6rl2DrkpMnO+fxMWEq4yA6GIXHvBsBfubaeTVi/69lAQbDuHD4LfWfj3iLEXZU1QOagbvr/IXGS1NgjmzA=</t>
  </si>
  <si>
    <t>JN31whBHW8dV2S4ZPCZFhcNXkNsN9Kmm5NX3tWYFqKNxy5RElAhZZy8f7uPJ3xPN6YN1rxzL3LLxAcAdijSxNse4/QQ5SMaGsontobqr5wde0/kzoPdaEHyANhkgaHtz29HU9CkjUR7gX+SK2PknGLboDp3ZcsgykMCzb5O0i8NusNu4SBRwTKuMewD8h2LblKjl3tSZn+k9cEB3MKqS0CUgUIJzAZGav+dVC50D1X5BbKTdVFGd9BVnids=</t>
  </si>
  <si>
    <t>BHYrHgcYRNlCfj4PiOec8iZ11ggQeQMz0iutI2UhesI8qSI9qzycLRB/iiCS+OgJweAy6yGbuMQptuLBrbirmC2m+Vt95D/sS9kDvPlx8VBjit6Rcrql91MJ8xtC2Ib3wVBxnb80g6dSMXYK0j9Kvy6FJL/1L6IVp7qwfFsP1A+lyWND9iGTPkYEnJ4GieigxpjmE1jQFiliL054hVFgo1uBKX+u5JtNVuZwTJp9WdBBJwh3LB8Cpweh4s4=</t>
  </si>
  <si>
    <t>rhpT0XOQUPEX4LEB/xCDy4FXEnAQL91SZqdyhlRck23/0/TZLkFmt5FeZcFFAprzzuG0e6oiZDJ8tmU0AlIuyeOQtplDOD2QYS//T07LBxcx/iJPPE+R+WWiv+3PMXa1Z9QVn7ricc+hYlMcX7qCCOwZUR8334THM4gBGa1vxWXhJ6Wpuo8BmxaQ8JfnEH3ggTiVjcA3cpTy1CsXOO9gj3nTeIWZB3JZzOkDDpb1xVb6z0OVcfls++LRNRQ=</t>
  </si>
  <si>
    <t>x7vYMTTACaxVYFZrJutaBu4m57/1RA77dhvKWM0CgUnB0i1F91H147Zo43YzKJfQ3/y12OmG0Pw0yh3Tsqi7vQFrJ0FmrP1arFmPzwXmBiiMqW0ayghGe2LY3cJecBvMu3W8C/QphA5ke2CkQMD5zmZbbOtN+hHb7Kh5cVn/GFBBxSiSXPQhbHxSa09RHwMDSJxCLUNMsyAH2h3P8W/aQ0DMoOWOkfYhe1gQHeyfYEaWWR2/Kt+SP2URkM8=</t>
  </si>
  <si>
    <t>UrFLYt8XvmVi9NP61L9RDjD9ZLhTcllRiiPvOLRDH8djqDfj479BNVZSSF0z7BEcbYnZhT6AiLHcct3cXGqvCXqf0El5pb8fuuZlHWLvtQTCW5VhY9Rf03qwoYUJU6tQ5RXjPlTfQxQQaOiS2YcNVoRZ8U6uYEhwP6bAdZ6Y0MSLW/+MTn20DglacSQga0u61uW3PWGjvt341grIctzzpJ9zGoo09Pfe9hN7KFKH7UK5ZeKteCFSVIEGQKM=</t>
  </si>
  <si>
    <t>R8YKFHFDk8/OOUHCLOaZ8poLj/ZkbLO84UnsvQ+jNJpXvcD/oAhMdDd4C8EGDp6A+bOZ0+Iu/y/owY2sBX1MPCVl/HPgm8rXwMDHlIuF2aBUnWbyxzpwYBZB3Zh8vGrLPBtqpWSUIwIRDbzrCbszLnzb+/bszXnrb+8NebhG2HCVd0h+4D6opqNuKV8xitowPxt0rHoz9CRS7sUGEoqGXzB3lhklzG+jL8dqUJkYNzhN/Dj/0tmro5VWOfI=</t>
  </si>
  <si>
    <t>amb3A3UHXi6Q9dC3CzTY/m3nQYuk1mm/cIX/nBl6BItzZl3t3lJ7flPyMafD3a8SXbsBTukHioTghexA5xQ4E84migWNGJGLc+xNPKN+s2kE1/ARejK6IOoUwVAPjLEMEdsLSCd9bqhE1Mjy8LJUNLptqampBalMDqemPUXcklrpCNap+eqLcgiZ5M85fR0dIjwb9A4AspPYR3NEzyo5Jvnp/GJPPAxwhq+P+QpE2fpuQE0VE7DGe8v1wTY=</t>
  </si>
  <si>
    <t>X1L6NYQ4Xhb6nrqeWA6X9vherChyeMtcPoOVmfB2sousjCcbOErffCb1htE44V+SIitlj26kpRdbZytSw+n3Mj1YUTchVVIXe8kVex7AdBHkSne66db1gUOAW/jvHX2wNvMhJ1GTC56SpnVS3CxtPXiXbpU8Sg9+Z82kyfRlluQEjgwMuaqsTpakBUC2V8JrPfG73zNlMOwUfYxI459bGK24VHB9wzAFIfYW4HcnmdZqIT33ZY4VR0xbMg4=</t>
  </si>
  <si>
    <t>dXsj4QUcAm2UQrvdSuugluGPBbWikgsmVBhZ8d+ByjTMhrxIcLAgn1P7uS30Kfz0WHtrrbWW758woUfNwx3EqiXEgaTwovG9qJJy3HgKJRdU3Xid8dp47uMglpU7xq8fmXClRltA7xFJU58wJ9QyM+oFal31zqoc1ETLi9AdMU6ZhbicaEE8yWz3eCWBeDFDY/JfdreUrvFFVpNJGgANkw1Ni8YFYY7omXPP1pRVAyHptsbNmT0uQ6Jihkg=</t>
  </si>
  <si>
    <t>Ns+XGvPK6Yz5XPWizb0pqsbJts7ehr4ENTx6oQTxWcRtF2/Ll4RuEZFnJqNLSBJLxurPZidUsLnW/Oyh4lBWhgjXi1bKutMtilG8F7r0eV9/aq748eN9K89imZDuCbEIzpTEt6CTxPET56FAflEcdR8M0+hv/OfBW5wvhwYRNLmlDuw0/A7rl2Q3nM48Xdg3uDhTarG23n80WtTAIonCHTUv2vHf9gr03DDd6JoLUlqwdCqNQb7ZVGkHXUA=</t>
  </si>
  <si>
    <t>UX22QiXyRjlMfz122jmbP+3rvnQvlG8dF3tiqfCMKM9oIMRZL0hdhl/cuNQApP9TQwzdobwMdfNi/y/nylpr44p0z43ESz1qI7An94/TkZnRmel/VcDXMbgU9Q8wjkLWmbiPLy5cRM2X5pE2iAJLZYI/9M1+zJspCc2rrvv/pqr2RMNm4W+c9Kgc0f7xclJvAZUGjDveX4CKXakbvHwP+62Z7qbVp0CEE2GsXmLVWh9oUP4RIi8ilBcJSkU=</t>
  </si>
  <si>
    <t>FfMslGPxubpXy2T3/QV2JwL0ckR0CI3xHToiz9AaTR36DuvWF7GsxD+DbGVBtEEJmbC23cBSxTugco6grMw2C/MqukqjG4bVF2R93+gGTeOC8PIYDsqYahfWyy7SNpirtRZXduIyJUGqbAiNRhPhh6jBrtzwBRXFTJn6ySy3hHL2OKTo163RLvSV9dtnrdAhr3W5b2SfBFR026qD5qrIK4mXf/J0OK/DyZd5ydkwh87eWOhz89J74b8xxT4=</t>
  </si>
  <si>
    <t>sf+f6iUw7DqeELHN0pL6I8bjLGAcJmKNsCtn69SAYHCRbomBYP2pJuScrIjUl729UruvfZG8aUDYDsmSbasdADLGrqvT+nDNRAxZ+jjjrj99cfcDmsa2cazqUzc2VoiJpG0kIWjtcUg4gPmDfKqsxGNS95/oF/NXYaoiN1W81M9o7itEkdgiaYaGh0v3QybWl/GlEmzw2rTw5lT7PdYp14rxp2E7c7pHIZuq+FQwafb3L/FShKXTyRiHU+8=</t>
  </si>
  <si>
    <t>NNWAX19ELxwU5r+SKJjTlugqQLedoCzdQqmmC4/M9wbQtwSWEjihdjUowq140X9lYMhZGHjqhbsatF+dRxZtqsCbHRxWjxaQIW7KjhkAJZAr/QwfVDKY5y1KdEUl36yrPf5/s9zOI7PnxWpIksDuZanzolLIdqLuym9AYB8cmCk0HaH+UE0me0/YcMtq5Q6CGwCLB0KeKGBkW4zG8qmKPZzwEnNe7iWeKc90nglULJaPyXorXwowfU4aKec=</t>
  </si>
  <si>
    <t>lJREL1aLZ17Yf1PwdGtMOuLnFhMd6iTEGHATVZZmiy4g102RXbcr/b42w6bPvQ8jHkJ2p2v3O+0x7LjweRrT/7Mk0m6DTQfwHlaG3Ryo5Y+PlFAqvuMLStPlgl4fpdzqM6hrSxo3ZXpUOkAKDTEQ8FarG+Czsttrrg++J2E+CHN44gW8Qe82qBNfO1NESzm8uw00dutqXtTEBq8xtMBQ4tHCAhzgexus0uqGhOB6wrPunO5LmfrfBAxyqqI=</t>
  </si>
  <si>
    <t>jirNb9sN0FpVYgyjSEMRsKlaqgMbdtf6OlyZ3Rkq9TUvgezDBVs9rWiDlbwguc02gcuEdOLZmF85TfhD/qB8iBZjm501tDXpZJQ9Yeocbl4yrR551EE0Ssr1diWme64pEcRVCa7xo8mjFrWESflLY3D0mqBJEZpHSmw3gA/Nt69GA+ayg4oc2sCwmPq0i05G1UFF6gc9W8SP0LeGT06n8VNqEIAfqpKR1YEAPiqxLVHVLO4FamefvaNFWkg=</t>
  </si>
  <si>
    <t>Pe0nLJhKqNkhHmM3Wt5rCBEr8efTJDYCX/xARdvndB8jYm4nf/r/ubsvDt/d73XyajvUAvYSF7v7otb73lZFYvt30uadd1z5lOjo+tPOoeucQo6PSl8XDjllOrPUeIb1RqvHZNrjDtH0zrM1AdmTezP8FR7X7hnudlJakLtMEF+U54FhozWeE/1DBQRyg0eWQBVS+ZboG8CiGKdWUIwDIreiuvhlFGj5tGy/wTG7zNoutX+sR+LG9mazO/A=</t>
  </si>
  <si>
    <t>Hrj4WWEPT9A8U+1fBfRauchsFmp9Iv4glZ2o+1fYw1frDG19k4mx046Io5SDV2Odgy8gyfaKcXmE8vkEUuOugmzYex8o4vtLtBEFXI/3/iVrEPDDqczhDsvlr5wE63NnXGw8YOTylyktPVGv8cHOO2kuJZJOCHbDFjEs11PkF9XLKrFpM04eAQ7KTKC8sXBl7orSJ98CNey+zhnoiQaTEzQ2dgaQgRLgWCg4OEsnneFrocLdnIONWQ5l/MA=</t>
  </si>
  <si>
    <t>NcIrnjiL+Axoj9rHIjnywUyJTrBilvJzTTkwNPPqaspjm4RIftAegjhAdgfDX7GrFr6/7oZim8PICGrNik8i48fyqz2xSIzA5WtJl5RZ4tLhVm4Luw7zA1BtFhk+LIdk9bPhpsRKY7vqmelGngl5bXg5qYui9cB6LBihpA1DY0zbJNPUqRrzLd+A91x6xFsK8gDOatjExCNkaY8SVsHCZXV6d5vbZZ25ZD43WZjREHY56sbsofbQC57puJc=</t>
  </si>
  <si>
    <t>3PZ6FFD71JH123/7d42+DNb8oVxmYVeEiqwgIl0vl2QZnrvyWiz3gXMxvAMA+lVK0zap+dTJLCBsDRHkQjcdcusm2bqRnGROmVySQKV04aMX6vagxmnJzcnuM4qYoKsVATvRSO2iRaOvzwHzNtogKKDSr1L7exoCNvKq3L1/rLhTnjfHcOdgmi2eXyKpLTrLkK08nUYGjftxb7Ss+fnXY6jrjB9fC+bXgHr8zHTlNv1MGdTb6XFByWydBWk=</t>
  </si>
  <si>
    <t>kFlCgXRW5kPUN+e5+hZNz1VDlcu7E/GIQbBNwgai90YjUl+DkxcBkgPc0nmUSJ7YnU816MNLpC5TTMMmHWCRVe+yGcgBSh10wrJWkrG6qu8ACCopcmwZjptqsSj9FjKTTT5Ifw++CLOENqa/jH6dVVOGwof7+ZpgvxUDw1yATRxBPijByKxIWqrTS7TQt+u3+vIeMguIy5r6hrbkS9Z+zoZH24FTXjMq25gt56YLp3G5+JtD4Wcafs3MNus=</t>
  </si>
  <si>
    <t>oWoWCOZSMylTd7JfmrsyMNIMIPlO1ErWQnbvzmKq5f7OyYt4BWtrZ3/mUg4sCxjaNZ7SNmeIN2aJTk9kXvHsWC6ELGgl46hry+DINaiqwiumUNvXHHNlUKaKkNSPQk0Txgos9HNH+1buHuy2YzV8YYw2u08rTGJD1rbtAueFS6stZzkbOkl+ABE1yLxD0cL1liXo2zDsk4AO0ynyCuwQkFiwP9bDXjue31/vtmekFhBWz2vQZ+ZweOJ56lY=</t>
  </si>
  <si>
    <t>kCsGi6e+j5ieL/39JyYjm0D1KbEeJPEoZHR8Ub5SJ+koU5sQA7nkT7a4S7VSzpcOnK2sU0kMLcB7I7aOdb7zr7xdoHlQF3klNqhcEF2uAXAj9xxc+pdOQA3/sQKm8WISXjOd3DNvEaMnfp4SZBABEAQKMZ13IRLC1b2X2/Xagx1e7dODEmbUdra71iDVhcsxOlSBoRpJebxQD+iiCYwVoMyH/2esiXH3oJg0GLiKeBv7/znKW8BYKEVmsuE=</t>
  </si>
  <si>
    <t>oHs7cfKIRiuGiK7hAHy39FjwTeeF96uSy/bn2ViKVMY1Rd4CeknVrw6Ke13l8wSwcM4xh6Y67Cn79iiD0JzvZUXhzlqDW2I+zE3fbELISzl4pkj5R+53uRce38iHJLwbvwjVQGRtKlwoYUgk4QzMn3bHNbGFZkPxo5C9MqcpBuPaVQS9hbj7VweiFsanvgW+nUNdhXA+1hFUB4qgxqHvnw7vrAnAjwxYHsWEf50tLq7QF3OgerubwICTHx0=</t>
  </si>
  <si>
    <t>K911t8f7MuyhhL1Z7W8TtHg2JLcstBswV3zudq2Hr4zGE2rLY38sN8T0GMwGywMGGd30QS29zzEdpVFyfmyPyRwqiW4Cijnms4zre3xekZxlh/9YRVcenUrY0GEV67CQn0p7jamEjSRdT7fkGyOFhJJ9AFzKkP3euBAIfDx1G5lba2J47/eMcw/5YQy0q3i8zH1esWIWj+sj6HZbxZWzdgfKPErR9ztgH2a+M87oSdZdBoNeRaQfs9A091Y=</t>
  </si>
  <si>
    <t>7Far6GbQ2EpzeJEt+ZbbEhg6hEkiHy7JBB4fJBpH9WHKGsYk8OrGQhabOTSM0/bNE1Wo1GLFYUfhQZ+FCbvzYrFzPMtA/bm7lmEgyuXDmYHXw9q2hUt1kl1WW+YcQy9Re5dqQOrN00Hh8LkV+6LfsXDSvLyGAP2t7RfQj3poJwL+ksFLbowVlbrXIrtUnpSL/Off8A1s79Ep18yQ9X2O8QR0yQzaxVAxPw30gvMyd51dxtMXaebUw/uO4bE=</t>
  </si>
  <si>
    <t>hbLqKHCH/Hppyxw6dLTIVdbamofXrQWtAyBo/VQ9vr1GKYzXSSRNYo7aKorj85eS3nJeBS+Hjnqh5s2eu48py1+2+YdMUoo5WxCoxIoUhkZsGcYmKnGfpHVngLlj6CskC/8sQHsvoKj8bSEJMs4Dl+l3G0wQ1lK+svPwPRZacILQkYBRoqQMdb4iH29IDt46+PJwMouMd5qHfHmdGEyjiO9vLWJPbMKtJbvU8dAIKIR13DCERFJrpW9Kksk=</t>
  </si>
  <si>
    <t>436ttHJ/owB5UJR7cPj2SYOuN4vKXAKBRU7ewISVy8fBNmSebHJ8Uz7msCokPYv4I0zNWZXFPrnewXyFzF6IeNBOexHEI8SYnYWGMjbVr6NU51lZVV41zIXqoDDXb9gpE25gS+kwMjiyuXATed+vzurYiAW1QaG197Q+cIPePYoaubSuns59HM8hKuT0qlMdPUzWrxYlU6jYzGADc8m10/ZmAGamI67TsgTtOVPuvjiWYybjJf9/Qj8dXS8=</t>
  </si>
  <si>
    <t>fzGz5eF2F1dq62PddlKScEx4xE6Qr5T0bd4rOUYRVtx79Ai+CZ4J1q96UhqpqmJrD9GIYvDddBy+g/DLc8qrEFQvCpEJP0sd3Sahtt7vK+dkYshrpFW+wcV1Hu6avkj5l4bC6G/KbH6aPVnb1hPgjWc8aGPlY4lTludf/BPWzbgE7RruwBE5cHNag3kNcMmCQQjCwgJmKQPFlRANP3rgTwmIuJTFQ8/UBlWIb/Iurdb9zkQavu+8kIN8XHk=</t>
  </si>
  <si>
    <t>6q9cwNCByROvE5kn4A8CmB5JqTCYlPCI7rJTKv9Vsekkvbn8orHcB7J0fb755fZ3c3SeNwC51V+T+dsvt0H+Y++dMVbdq1jHFHD0MKc2qZR/w/eDy964LJbOSr6rB7EEDjdx6CY5/jD0l8ajD3NWjcxAZvdxmYQXL4SllnMaIJpOi65SiTKTGvOwAb89X3ikRx6sNjT/QkTJkop6o2+SSvL89DEvLPFav5vHHiSi60NB3dtY7cjkISZYrxo=</t>
  </si>
  <si>
    <t>fSd38nIZynfWeelspx2GyAeaZpkNlPjXF6eeECatIFbzySCCpgYb5JC57B4SLUyfYfofnYarUOzeV5F4u112kPkHBzKzO9kdQegVUkNsZbphF4CIZMZ/me0nlYmO8Y4gCk2GBSyeJv0k+me1RND96Fhx97xG1HAUDJSHYs/Yi1FRjlXTw5E7suaKd7UlbOm34jH/ib5ENaNDVca4JcnNNJ+I3gh+FrdjnnCWyCT5M/tuavigkHbjm2opKgA=</t>
  </si>
  <si>
    <t>Q1ZZmP438MmurTBLpebB0VQ9Z/RWxtUbPkzVsrGFoQhNJWMnwFzrou5wpLB0BvV4lz3A9AeQqj1mKSeCdH+k+jlEEBAUWJU/qzqWhrxpCQOUJT3r+TtBRwA2AnHUxh/Y81nUz75pAVqyrmRbT+MUzCzhrsxlTbSkUWeEW3H7Y0QRLyxs8Z6StIq7qnm7Y6P+3fK4yrWQRfj5ZV3elw3G34MtLG9iOoDola9vuNru9eKvShW74t9HVACO2wI=</t>
  </si>
  <si>
    <t>HD4gnKN2vcVcWfULUf3fraO6jHmtbJx+58qR3i07x0U1/zaLVDp+D+z+wMiZT//UP7AY89ar4QWxCVzFWyjridWAl1O6X7Y5K1PXGmsgoCvCJlG1lBafYvyonCRexbCOCQbhbVsDgMfLR3rIHbv1DRTBFeYXPvD8WRM9S7O31ZiycsiDxvBcyRw6rEBTW322pEJ9xeO4ICc4Qw2eLSBps79i5LoNYDOMh+YvVSpsYuwuS9SqSwkNbe4WvJI=</t>
  </si>
  <si>
    <t>OJNoxbDqMsP+xqC4u3RHP8m4nsbxKsopdERhlx/StHKkW8jKopLyEJ2xXc9IUtS4MTulPJMEomiZ76y6LZyKPp0nXUHh+cTpVq8q+2S5eXITyD3Tf3Y63t8NVlpwHVxseN1yRCgE5V2Tok4u0bozPCT1lS7MOImtpkpyD+FBSJv2Qq9RwxDkn7JQRDcShzcK9U28jFE35Hr7kHusyCiLLf12awMxYpMLc35KeQU8UauOmUw8myUmKqGT9KY=</t>
  </si>
  <si>
    <t>w3SCs+fSUIcmiAuApVODmKhY//uOxTV+kqetiplFHq0GkYrr4eCFF+vXr59PBBhsVkVBfGHkpbltLox2Ubaudymv8vbR9TgiX5pBRVp4VQMm8YAao58qyCZvkVMs2xlXUKY56n2T6hrfSy3YbyO+2LKQY+eeS6KiTn0ZqAZFdLaJQKHS5RjDT8GlTR4mkEg2VUeCrMKv7YDAU31tKLlKGvTm/e/nfKPj7uFBam4AwD/ZwJLtDyiYU8fIMbs=</t>
  </si>
  <si>
    <t>bg4AqJvGIyuBBulUTUULZ32cRw40TE6gg7tICS0zp2KT+BM0ZgNDwjcoqmFiOsUPiwDzNu/JySZQMX3YEt4zihzqSqZryzdPE9JIr21VhHQcxO2Zpd+tNtgH1Nn+Ncn4LcuWP6bN1sjKBmF/rIV12Bnl4bBMLwjRuiUYQPgoLHG2vKrD5Tu4uEM5836sRSFHWr7uLEieurquk8sRb31PFqR8R7IepE9kCpbvP3oULrAwcuMwggWyMZmTTi4=</t>
  </si>
  <si>
    <t>qgY46fzcd9vXdYhZxo3E2YTdyzHm+HtoVEjqLjBp2eg0U6L8ZMjpzwtPSOGW9fH5J6x0OTKZQ+nLfeuMsQHZbod2rcKf6UMD5iYZm/kfk1FxeQmj7nEsuS6Y2v5ROkiN7xiPPyIusmXQKHFP0JZnLeOckxrBCSxSMpmsnSAA2tfYtQbcFlEn5FrCBZ3/efbUUCIE+nmXNDd0hPKAACDOolfU1gVT8qtpaImDYd6CuEEfm1GNPJ5jb7UdCD8=</t>
  </si>
  <si>
    <t>zheY1ia6baETTD6a64QasokOuNkUmueSFDnZHwD+V3S3dWTC9nCgJ0pzfoUnThbGkQJ0N21Z8njIX03e6xim6qAN3zo6xSL9jbax/M0A5s9xNEeaQ/lWCzJLrGKwgeCggsspNYEIWOVjscY2eclNnmDFQQbfwKOzHB8CvYAkLYPjJ+SAbjpxrEDYNf+ZR6hsz78dIb7orAbr0MDe3B/YIdR+asMbKymyywVQm7c84GqOcgrihDkgGLZbnFo=</t>
  </si>
  <si>
    <t>vLIcYrEhgfEv6AEEXxejc16puq4BTxlc523KFFB14U4LsU99oZmZQ/d99V41PjkMLuMfOLkb08Z/je3Q6e6QseeFUmHG+tuPne5Uu+vcIGtqmrk95Do8IZFPTzxWXJPSgYUhWOTnbpR25nX460SmOBggGP0WKytMDpysFeJj9LcUJ0RYXm8TAmW3+Y/uvvVzgX1JFt5INnV20IF704hS+He9/sfTpS1seS14p660N1csXq+VGc6QglWGTvI=</t>
  </si>
  <si>
    <t>p9RQ8xRbRqLmkYoDoT1gsvHUO44bxhp+79Dpot3HsaMy5q3UgiZAjsVPj5jTfakeF2Mi6awrdybY11qMIczqRl74TJpA7MHR2hX4IRyS/sEwl6bK8ndSwaOHu9PszWXKgzwKlmqpImr1KLjW0MSNHQglHJ0Edo11qIZi7u97kyt+qzwzd7e4WGI7uYArd/zDfH+tT9AmVDR1AuHuUbn6jJhpt7hQErT4G78AJxWm1BUTF4Y9cRqsRGCX1Zk=</t>
  </si>
  <si>
    <t>iW/X2QYn3yX6zwSlz5qZmF7x27svOGEDyjXK9OS2XmGBVtpF28XPeOsi6vLDx/Dr2Slb6YcWj36M81oLHfTSN7r9eSho+/vuiFuinFSeYnUFGvIALtWu4AIykhlMCGesbTqqwI+qPS0r5IivpAv0Vbh03PtlVJrfnz5dVJ/RQGupxkDgQ1M13RFMwul4p3WbYgYZHMAL+NOeZy/HcbIOZ/CPiY73ZHwBaeTS1WCxP1lnt3NfAfqQ72Ae54Y=</t>
  </si>
  <si>
    <t>moFMT6slR2Br77pweS+xHIVJ0aYPmwBmZftYc7JXCmjj+USsYj808rKHST/NDK2aRaeShyyCKdRe7Kdw1ZOuAn0xOPEKZJTpgf5YpMQy/hssiIhxvjeAESyqS0Yk2gYD/vP9LgCtoXr9UR48ufd2pqVudW5g5usoSMr4qW0UlyKsjM8a4tTQvVrA3Q+cFDzh6IBdBBnRbn2FjKczEiSlyA8zOUPoa64MsACgWWqUhWzI/N/3xmNECfKfTbM=</t>
  </si>
  <si>
    <t>XIXkv1NUhTNpsVfyMkgaA5fX8+SDWjMzjbKWWcgA87F34n9vf0ieJGNAgYyzFnHSG54h/efwG3Og5tuJ4fL5NfLDARfKwqR58roj7XkvM4wdNxufAvAPCzv3ivK8EQ10HYLLN03NWVail0gzyBeTKdXIToSO93tURtkz9CGPnZQEe6Ne6EDbEEKXHBMt1IxqFXlUNGW7Y+i5sAJz+pkp1WXt07knuwGyJfKVz1dp4oDOMzLKGzJYL9AHJC0=</t>
  </si>
  <si>
    <t>HBCFwRI4xsW6MndLtoLO56SjXjiduVM98rJySUS9t5pwXaXksVhryft4kpD1YXsfKvZBp6eVFE1PzOPibccUdEalCdv7lA2BqQsK8iwJCOMM78ITspDdZsOi8hWyyEY8uhvJMv0/Kwee8mVfWRymWJBRLHYN7GXpsCbg0CVwX2sT5Kto6PYRHT7jyv/MjZ7z87TMVgDgv+0ReI08A684TZ2NNzI59qdMxCH8Bb7wsAuUYAxoPdLVM2J5uMY=</t>
  </si>
  <si>
    <t>gObyFJ7maVeR0wdKHN4CE8x7+56e0dmn3hfU8yC7kfHIEfW4dGE7+of3CdlBDeaOFoXjHypDpB0wwtiEpubFSYcV7zeNYTtKz7vCbdHkt6lAhSwvjgkzfPSlzjE2tJjaInxkRXGcfcyiqopdtBvI/ZfPDP2KZx9WQMRD7dcUnoFy/4dzTxYqhtn2NYLSqTU9vYFhTM8yrlHjP2+VuabTv7F59v8zYLH3/dR2zpEflB5+27bEhVLBbRm7HOM=</t>
  </si>
  <si>
    <t>uUTDdFyuxLU5T230ozaoAGt/i5rLUxD/0WE3/rS2ZeYOCxaQ0Q7fvpxsXAkRN4SMgiRh/7FgpYPmDvpkjbO9PbuzTn3+wr0ORX+8fzoakbFrIDKJJgitDNTsyuZFvpE9kwQdbOHLqzojWOF4sIQLhsNuVfnjuwKTOZsCs0j9aZZBUm9N6ISwS+BFEDWRKyHKryMXvFs0X5NxQfYudS9eSgyvMp45s/jfQ6oBGUWEsojLeYOQQn9iU5tVRYo=</t>
  </si>
  <si>
    <t>5yRdyycTItbOG9J6EgylDMHH3l/2bJsvCTO87ej8nYzA8oy0SR+1hHZGycO3X1sQ9SiiC2r4xGWSjRcuc4f3qIXft+IDaa64YpmU1jeJ9TE2ttn9NJlM7/L6zQQGKjtJcb3Z3W/NK/TT2LBN2xMvVR0L+lqWWCthi/olgAjUZfwXqYdJu7mX/SBOoeOHkxXTD++jyxXAwd9xlvKDpFp11p6uTXQ09SxtGgV9vUQTaMASagVgiaYxirgDmPA=</t>
  </si>
  <si>
    <t>mC0c0nfkV/jzEZkez4KNp74P4gF9iU4CnSk7Cu0IFnCxaO3NTg90VgbqppCRGqp68OYvGJArL+q2DMP3PpnG2TRfzArUmFYQRxXQciebjnm37gs11J+6152aWxvRHSjoYvioeBPlqSHf5ZfdhvoIXkOGzxqDeaSzmJ8+p6qwikKjRkGz99SBnzmv9t9kZd9Q0MSXDi1vPlEEo5j8Klk/nhzIgxY16OFz27J2bu6s72Iwu9EQsJWwy40nTLM=</t>
  </si>
  <si>
    <t>BFx3If6ih8hzJEHW7t4TgBZrks+kDH+HMi5FRVvYe3ArTBy41Q6iwUOG2E0eH+4+axwuKLhsPcCG8GF+MXKHpd0Owxr8SP6jX3CVnUTDHp8/CuZiHvSXWwmmEAwnZtY4TAsEBpHiOK0XL9QcH9OPaxeu3tlyQyeBQL5iXTUgvMTmL7manNimzqZZ5Fa3wXFiUwdW2A1E7PBsuyrvjR+elXwWr5LnpmE0xycpdCS0yqyTCx1yj0TeJ/KzYv4=</t>
  </si>
  <si>
    <t>W4G25dXST94IysP45EF1eovoqtSww5FJb2zUXnwZrjQpaRPM4orx/ISlGiDRJdLAhaO+3tIf09z2ARIsdjs4yon4TnX/2E5iQDcTmfJ5unfIifHUYRvHyswb70Zt0YCVMl2vFTwKoHXcqbjuLFi40zgWWNcPFNDF5AJKsVSVeUnYzU3d0GS28j7xyncz1Idqkcxh/9vVYT9INAvTI4RmQDnflvfQaX2Lwc55aessk5OB8qKtFh3cTnY77ZY=</t>
  </si>
  <si>
    <t>H+IWszS0qEaV2k8iMsFxtKpHyD+/AzXoczBoH6oo7cHo530FYJq9w3RmXTCgaf4P8ShgW15rXapj2aPoIw/vNXMTjlMLt9XKrLCRUO9XW/FxVxjBQvEFv+B4cSf8iDmfaw4yyqlI9cKr7NNdeCHKI8/wxiNF7+ob8cJSXsf4ar1LPO5IahpR0+E8gnmKkRdjFg87rHSfieO3Aix7IFvH1jsmm7zamfvGNvcne6qA59tHh0hMnVs8W45lGg8=</t>
  </si>
  <si>
    <t>qi1OBfPK+SbCz1QODa4NwZBfucpcM80WN4YBl48aJq0fBieHk73n/D1YHMCqwJQLjGG/+2hto5m5S8saaWMhcNCme/dH/D6lBscAXWAwncXGIYmnxmDQC8/Y1XfE0AHO7Qhb38DujLRM4lXEJRY0Ey6+4QmQI6VebTQul0FJrWqdcGhkMHG3wueiXB2ChVLxqfwk3Dvo/r46dOCBdG9H4ytuMG6GVi+RxPocSxPiC+3rFP2+3iq8yWbMYQg=</t>
  </si>
  <si>
    <t>j48bc/G/1K3dDkVxlEF1YvcYvRufeF3QQwxO/6Jg6vEehZYcSzEHD5F87tA6NUFk643Ss4viiTZ01UGGJSFTicVpVUuxMC39+ukK+yJQ4kekgH1JeC559C9OeK1UkhXmjKIWyw2HWuRU95GjW+GrzS2ruIO2Pux6LsoMTucwwjbM4HUQfAhqBnlo12k145ZlrshQYYhPPIqVTmt9Z9iSBaxhOaEr1eDXEeWX38OoxJ6GrXh0lGmVF8alZTc=</t>
  </si>
  <si>
    <t>kJ2e93+pDXoKlkLX7LQ0JvgLn6rD53meWeudf152RLGIgHBV//zVuSv5o33UF+qj3DvPM3KB2IpY+hbqCMGO5RhZD+dcbk60DUHpML0l5m+FqTGzvVJedMpVQDXNVXuw5RjR1/gmuBmKUkH++Si9lJ+LhB1f3HHYpfT6Ai1v63bnhi4kIlxb8swK//fF4s40xCpAXOib0ksfLTM9Af24dwJQNoHbPjnV4fNK9740ZfgOxGxa4Fn53/iaYtE=</t>
  </si>
  <si>
    <t>VkPjK94tmVF4HkBWO5kz6K7Jfm8lpBzWMEaSrCjc0E3OEYo1KAJV4kX5f/IThHlCfj6J4xVpnshuEMiK91RKc3NMdY6jZhyT2WEaM3PYrvtraEBy35yGpckLWqFdcGE3ayS4u2Obd/3sJN3mJGpJEgExR2dysa1Om5cGc6Bl0Q5bhJc6wMVHwytE69WUoUmxB2GN4+rQlT3n6EV4dHcfMUAtbnS80VOjnxCd07gLwHIFf7kl4OFHHoR2MDk=</t>
  </si>
  <si>
    <t>vvsyyiWRvF/0zEuc2aO6cAndZlsKeFecqOjAx+paiCUQwIfzCPt8q+ojtnSv2KqBlSXIjQS5oX3EYLvk0JGzf441swSqIwUgZLTamSGPbUmwIn4/3aIyEgZXJEp4VQexx2cKykd3u/OqeAWve3atGTL1vsN7a/BZQ5rvZLAm3Cnh9AZKY8UmGc+PFfSyZjNoD00elmSLDvDY1SSzJN1khgsZYF+I6ZUaLQvoOsVyR4sYqtNXJrSYoSmxg+8=</t>
  </si>
  <si>
    <t>mWcBCoiQhLBezRPHe0pXl/gh6WFcNRjtzjkudjizM7Wu9r1rQ/kzAfqQTFBeiNzSJU9R/7VzO3oMuPiQhcaF2X6Qw+4iZc60mysUGLddjFWWD4F2C48Ie7oPNe4ANUxji6PyzF6HgRCQH7z7k3PX3F4cQTStrMZPGn1I9nu96DBhGWp6pRWJySCEH6X3OtO1uAsfw8KKObIBPF3D6iDGropZYeBkaceFGgALsXFFWFNbgF9ig1+2/QUySAU=</t>
  </si>
  <si>
    <t>pja5o7XyKXih3ywdIJyYUbVXa7bmOyKIpSF29O8MyhbO+hQbdYRiw8Ae7hQEuOgpWKIsRYLn9jbJdm+GomN2PWKGMh93BTOKJUn46IE8yzEJTbeQP6+K+ExzbzfHMu02Sz1lA+tUgA2/HkwTLVMqdAJYGojqTrvIWVjgZvdB8nxF6YcnBrzWIIcUO7aYsY1vGn12mfeurDo94r/JDUrWEyp9fwEfUhiOk6fAgA6+qiCZsMgKH+TAM+LTqeY=</t>
  </si>
  <si>
    <t>8LIuXViXCut7x7iVO7XqHLJniM+KuJqKMY1H7uRcrPtVw2LAqmaFoGLxX2IlINMx5UgXjj7inCWDbDn7MxkHh6CcEydFjxi0N5S2RBeLxMk9BaFMfZ+MWt6kERe+mt+ecDulayxuiJt06usIcnS692ANnfHc5QKj4FVYUCBFwN0js7VtBEvsHdjI/iD0t9ncuNdc/9/A1rN+znRqOHUQk1P2SnYPqtTFfVNZPXWpVx19YcTRHRl4sS38ifc=</t>
  </si>
  <si>
    <t>+l8WNLZQgv2Ci27LIE/8UKbf9TirO3oBJ3MS17uNoyo1FFeCA+YsVIBGbP4KBAB+0xQbcs9acFzaYH8KQvh8frTvDnwiCZSzF+LD5Udz8wM/6LKxM4yEbQQRpw5L/vq9G7A13D2WpYtjezSTRjEbBRDXURpwjU7xKzTWG9yoVxOTf8S9dSiTEg3n8TcZcBIXOw5dULSehGxUUzayWtJE/i5noAhspX6U6NHtlWq3YcU3By1SjdF0L3+jsX8=</t>
  </si>
  <si>
    <t>OYsWfgcxH/RqAzTAdM3s4EWDLlO3Ey4+yARgSLBVO3B8LwRrKSxA+834ZSt5y95sxW7yc2n/I1HCq/vXhDcAN8Y5eqa0tTfya3Wyi8S1Ie7gPjKlg5A0eMAg++oYEUDe4QPpsAEqWHxQ8/MlSQBQDSUgGewmiGz2Hr37pi03Qec2sJlOW6hYZtfMAL1vUfjzjOm5saO5kg88hJT0qh6iOadK+DC8raTfE4/9T/vCYAFpsvD4s4icEq7NnTA=</t>
  </si>
  <si>
    <t>mxvlvk4/jCXNDL25VTXCYc2zAPnGCZT5pfvD/T3ejfwhxZEI2BqXyaM5761mFTEMR8yygfti0qCWVGX/9FeUb9kI2wzxjVaEZ6t5lXvfYseCXpWDzWfJqXw3pTaCgBomPLjDtQSjP6kr5FvZkCFohGHKeoMg2FYymSxedIoAhhC3zfeNe5Mfx2wZJlabLo+7D0U3c0b10txSo3lot9+J0GcV64j9FAUXRWPFH468lVWq03xmgkbfUyFHfi0=</t>
  </si>
  <si>
    <t>CAaKcooKpqsXPY+LYOsX7KDlPET53IH1cK6igIF0wGRBCpBWXn4T9MTs2B/sDXpwauUtoERr9aoxJF16Ja8jgmLsPU95lPsSHiMGnV+6rdDmpjEYX84jnuaggI3W6aNcheX/B4pP5jHszkkweLoBTW5BgRE/3mft/i548AcFMDZw1gRa0V8ji2AoFcsUoWfYKz2XFAt3kD7J5eN2US4q4A66IXGCXRm/R7af98BI8tQPx+Xia5lENToZUl0=</t>
  </si>
  <si>
    <t>h6bCqjRmco2sNxrJOP8GLaQ1Z8ZCFyqvXVumsRZnOdLbqj6jDQx+2l4sMn/HXECvV0h1scTrkl586Fq0nC8sPryjubBk9E/2UPmogPgAk2IfFKdhf8ezsHneMz0QkoVnPyMMuUi+NJoyeQfY1BFacAeLFsMDooU2JL7SMGGCLvtTFmO4LRCItaqL3I77W/qZ+MtWN+/aYj2gjYp+FQHWTtdrj0+6pbgq0luSYJxVICXbGeeo2LjDum7QcMQ=</t>
  </si>
  <si>
    <t>FQgUrOGgVismwlTpJm4DXq1wS3wgD1l9sEo/C/dNqOypWfX6VDhgusSJ1ZwHozJemEQAc7/boihrBITXzy+UG7bjxcoKZhC8R7aQ3PWShROZlzM36MpK6QXzhMzE+juHaiFw1e7uyELUA1OCFDSzIQo9i+3r+siSx0b8dp9snJfSoNDLvTRk1TKjqhBK9cSwqsFbXFN/pvqHDrobyIY07vu5koGLnW+jUZ8vM8R8AZFYBljkzm6U2U6DGUs=</t>
  </si>
  <si>
    <t>xB/Gvt6QGN6IsjtHwSsQXuLSiTFta9/ekZeEX09YuBqYjZF6CVlskeGN/XPHjYpKRtmozW2w2u7TvSZ4huZzEIABJki0VcvENAbVhM04EYJGusKKk+y7ODe36Mq7gcb0UrEU4vADVRZI3ElRxp8Tvhi3yz8ZM96Own/C0pggBLmHopnTqOEq64apNOYqb4cZ7OJ0gf7aGjW+cscRYhTISkUdgIloptl+p8JDm02xDQ2LRU1ay6bgLVkah/I=</t>
  </si>
  <si>
    <t>42HOzchVJ8Ab8Wfw/1a5o0iNQPGWltj/lnApvapStjeyK+Aruno3zKvQuh2D0v5D7FLu0dFjtLIKGl54PBy3e/orBcIzJ/O1YQB+4RYG2HRrIHTHAtA4z+hvuIhnad/BPjm3v5+Bj6hrTWSBzQY/TNH3n1fqIclfIKixrkpyuD7pZ/g170U0yBN3qLoNOTuTyp+3FabJE9qhutX0J3u2oN3MBzkUeXjd1Aa3qKlO9viJsKEz39OxLvZoBn0=</t>
  </si>
  <si>
    <t>QaEzJ0Nz4RALszoblu7WQqnkuwiglWeLwYm2AdysE5YKt1TXWtdZgA4Tfy5NHWj1/8/glwNOYh1Mn3tBJtoHAqX8Sf3fIGm6sP2oxqH/nt8wkJCUYl3x5wg+L5Ti1Rjc8q57LtnVs2aNz+AYulCKYQbE1yWHe8i2dc8ks2qySyYp4mAuCPJmHFPH4oqkYM9R0kiZHN9sBBikKGvMj/hOYYo3ZHKmJ9U6hmE6j/HKgzg8e4An0DFAACgPcaw=</t>
  </si>
  <si>
    <t>v984s73MJvPITrAJh+dcJCvkAzib6w/hPQ27Dl+9PkzHjiZrMOeSCnAJVwPI6p1JbTIrKZfhFHgi6QanzgyQ9BxWbRDFn+eqBdf1ka+KPbtTzCNMYU4gkvozO339N2foT+TsuiCQXspIdIHgjnQS6PjmZEgDteTGEvC04MqTJwwV9dgqqb10nGxDsxL0PCIQhdX5k0Xz6jDXtYRUNuDvH/SxU8WcavM+yluhTWo3WAAs6GSal5k44iLIAVI=</t>
  </si>
  <si>
    <t>sePzKx6HeWgQgMBVBx9KUBYObqSbV3TVEWpQSu97eZE46Gnqi/6GL8p2eYgMHmQk3Nz16I4vFIf82dBtwbAHmeA/P7NcKfXn39tEsymgzan2roKmgeN+6bEAbMUS2PJk3+xNvY3asgCzwr3DL84jwFh4vNvu5P9dGe4N/7zU0oxb2AIFveNldKFUaN8FI6OOI+29LfnF6y33k6tpOGEN4Fm+dhNeLECtsWpdT+iqe6aVGzbKec+UhlNV/gU=</t>
  </si>
  <si>
    <t>6PXS6ruNpVopUz1dm/qbG9Fx0tmMYZLC+FmrK8ah+B2fnBdKgEsWkJws9n4RwOPRgrHuLXPEeFmoB5nJEaR5nqQFgdshFW+8O6NE9mpfLYrIUC5rxFHxOduLi12ez+2+SnJlrOgrWTLlXNWTHKTwAeD9CraIDt1KfjnA/RMdzEkSakjMIFWA2O6gk26pd5uFc0dAm3BqAi+evC7vaXgu0UOC7riRjmDTnnIu/uoXttQqNCEKMmy/S5Dlgyk=</t>
  </si>
  <si>
    <t>v5ZLyr2BRsZaquLzbFUG4BJUfqRq+t8jKYsUQvh18C1p2+HBwjZ2b9Oh15fSsfZ2Z7bIT5owhYUSrMlx/QOs6XC4nuqnUFaK6bbufwlb6CBaa0pHe+ngEU1Hz9qVKEaC/NblT+JvjiBUzA9Q+O8fbVJKkt1LBG/F/CyI9chggjj5acxfvv0ZryeI5mZAKjDNXmgQontFVMya00+kCW4Brqei8Ae7SM49/JiqnPdxKG/5BRZbz3yFSUdM4Ho=</t>
  </si>
  <si>
    <t>BoC4/JC+1qqTa6YKOmn/3Ux/HUATR/DYAy591XUBI7Z1EIDreOGYCQhsPhgLZWH4wk1PyX83C/UIYUKLta+y+NNwVcb5LR06i+5Ta9nGC2mw+Klq1IEzTjtv/atYIP3B3ak/sgPXf9VnWhImWYr1B/J6jYBTShCRh0EAdmr4q/UUr8wPP6+kB97u6oDJzoP+MfAsEmmb3NpApV238do6pvq2IoMKfA1HprYiioPfOsaIBNVPz9sKSUgzBEY=</t>
  </si>
  <si>
    <t>Kh8xYzmVSC2Uckz1tTvkVSAqCRCRmSakax3PZjs/f1KnMlRzAKjmQMDpCiByjDZ8Ww8niZlKdePXxybZJteckT0Euk+LcveXlIBFmmuXrZh+PTYKqoyc46xpqA07DVi1bDuDlDZstmCEk1Yy2YEZQr4JtWjuH+RJF8MZlhYdOyn9GPsrza0jz+5YOe8Ru7CCJebkMz9OtEot1znnmwgMPuQaKUpIylQM1IwLaIFI+jC1rZg//6u1RRyMGjQ=</t>
  </si>
  <si>
    <t>9oXm1EN6BpBmbKdRQcVfcKQGfCD1qTKFDMaOe4qF7Sbib7+rzjgCNWtMF/acyEsIzUQjTcu1nXqcDXA2EJ0x1RnJ8xbsbXCoW3Vlm4td6O0b1dK6yc0ITJTpn/SXQLu0M8DGCTY2sCwtcbkhiUDopYrA3QqdlBUB6syJuDKTFekyjwyq4PWp82E+19UIb27U1N5tezfT74I5yr/FVzELdCRKKiPm6OZHdBz3bVsWURE3Rm4OkXtTTcHtDQg=</t>
  </si>
  <si>
    <t>pRXQWnfho7MXxDzcPCjujJuKiAADHnimo9TOSuOMSwu7mrQSXzFQjnxFhvwRbMx71kazxrOpHGeQT1U5nWk2XKCrb5bSkHaRGEYKl2MThy024+D9DCNkKQn3dJDON4rCaTWRP4Mu2LgjAhw5I55WXe2RwiSWjZYpCXm42xMygtHOgMnPn6rMQB72GuAYmslv/B+yrtTaZTNMsvfSamcZYy2GU4xz4ZoCjVKqDS0sUwU5b/mG5ulQZij61GU=</t>
  </si>
  <si>
    <t>9ouEUyHf3tHwMadLIXBPLKESS+9R293DjhuKJWndpYOknnAcd2ckZAuDAJ/GwHdlWwId+gmbGqa0gH/bGzHiZ0CVr4/67p5tkvWcQby1kG/YWj4UQBMQCWsf9FhlkT9/UB8B02W76YF0nWSVuCNfa1Cy05hU1lworvHngnY05YlVaj7Yts++UwmFixj65BA8h3kExS2xOwRPuMNFJzCDOR7Ge+i0cQ7+vHjQWOyJyqt3wlHK5+ed7pxANcM=</t>
  </si>
  <si>
    <t>o3wnxvmVcp+j21nlz2enj2lE0lsuwYDACX+Xo0vRBUWflXgJ1+n6UJYYBtjTb2E2GzAIFld2E3cj40DEY9AkO45acUTtILVQhOHDAzuEX6w457gcaxC/q74g85CqPQCb2YP0+lfdO1hbtBXPMb/Hdz+hVC3EIbLZMn+0WedXqWc9XnLxFLzj7BAVuSlpGr4aEd51y8ZI2IZnru5l8WdSO+xBJn3ftq5hu61TUJiBClDPQKaJ4pgYjE50S9c=</t>
  </si>
  <si>
    <t>TcAvIy2kDS64ym2eruPwhNEIe83CnDsVFERfapRofeNajTrrMtHrkqOV6c/UMTR2J3XvmVW65MwMPQarygVUGeIVRpcxUuCMjagK5KNSyg02OQZ4Fyufk7KH0Z7TTxHdR+RqND+60A0lGlhMRd0jxjZgPRNu1xT7MVnqtM16h9zRoKM4myHNCnFcg6AxCV+uQsPP85YT3cHnX2lZo19h7HH+loUYY2b3xD2weM8/4mFmQFItNfxBKEDnbc8=</t>
  </si>
  <si>
    <t>7sT0tLYCKD8OS/QndfukccDw2/g7n72D+qgsDzcvkoUr31gzYQSgUbyBwdbg5edqTGQQ9NI8A+ZHs9YyaZiJJQN0N5MTThQ6EHd658H6E5Ql5g6YVBWhP9nHjG4WN+9v/OXzzA2hF/4knAwl8ExGKLWvZOsnuRVptgGkvt0V4LXNpdFLuAbNFHmBKZPLREZKoq4zCjbK7eu+w+MsAxSdzKHAVU7jja6wSQE4ARDMqBA9OVvqACgNvg/Dm4M=</t>
  </si>
  <si>
    <t>dYcwNqapEWsFD8IWMN0Z4dAvlXMai82hlVNq/SxqkqCl9KO75IArdUhcqzMW7dK8aUh2TwhfT/xzoGRqoeCVjk/7HhwxhBDFsq4RlGNllDCodImaCICRA5PlDgeDFq3kHYLYn6SJ+bs2YEaUcqED/YIAWiIsNezd8CHulUty1ccC1tUhIHl85Fx+kYzCOwXMI6cQ3n+tDqxaujRG2ilWV49ANUKhu9grvwm0nQpFFLxWm4LvJHVkTZheVWM=</t>
  </si>
  <si>
    <t>oAQrQAlndNSMGkIDlolV3DuSSuMiYvKTbqFFwxVBTG350NayAnGbQ+lVGuolFdYgkLxGZvKNHMrr6X4Yr77bqk+Yfti8j68T2LLQcJpIszOMFren1z4kpnEMangFJWyKTnnQcey1HGzXr7YT++TGPIdvXjctDmj2xiHrfyww3WQbMTX7jqyaWGN4FtVX4px4fdkMXyLfww4+n9vstl8LM74264bwfS0q4HP4lSoLlWmoAzFD0eNkWdUiYTo=</t>
  </si>
  <si>
    <t>zRFDcAM6fpD62OZ2hVOo2YAM0QTv5zsU4V4DMUw1kkY4WESzz+lDJcJDPRiQTBzbPUwZQfeVYXqzSe17Ms0HIBVXaUqkG0WzK5ejOY+7UuR9lowBzv6aJgzCxnDJnnwYDjlSI+Au//9XFLdBeKr14sJG9xDfVWRYI2DfPWmN9UormpwwGZvUD8tOF/gde7BNVZ5mQ8Lbqpc5qLEI3EiBuNwEZ4YgjzMlIdOwf4cs8Y25KcYvISl6GKYqcR4=</t>
  </si>
  <si>
    <t>+Y1SdhyelzeOUcbF298ri1h+KHrF/9Rcq24X2L5xEhFyM8gCS1ai5fDAJXiOhofoQ1AgSEGBoIzdOc71Hhx1bHv2UbNx44zSe6m2vCI6ieZT1G5YARx1rdvYnCFCqQdrk05YbiQLlhEXD+O49SrrvVQoMGxHdUTCPcv+1gHw2E7wr+sV+H6z+cMRXXq7LL/w2DZctORdA0WOx8W2NEDQVnR7AnjNTK2lsRIkLR1UPGTlYVEWw1XiF5MrOaA=</t>
  </si>
  <si>
    <t>cSrYvngLlL6c/UQxW8b+cXf45xUx6UT30BrvybniNw7kwgm5LtwwH2UMUJwnWQ9KGUUKFjLpDI1TzDJdU7W1a2+7pes2dFE7Hwze/r3MQpUJhH75CH8jLJV+B+g14NY4J2JBGJewoaYylMaRwg96k02qq8Dpqzb+mCpfPVcg0bCglAqR6CECNLyIbh7U9DshaS9bZelNYpzcXia8wIXDWLG7sHhCuLvhbDqBrRoZK/TC9z/V/EL8P3TIuuY=</t>
  </si>
  <si>
    <t>soz0Of/UelP8pwqQkqtAmPQ9urj3CAvS7SAuTux8B/bOJlNQ7xDNET6kiYrvC0CTnZXKA98dcuNn4zxBZHjtO/6liRP8O7ToUgi4WFApqZvsOBu/ceCF/URxOp+vR6eNyOz9P75vhVxBCMw1WfJ2Q/rN1fWUEK+StdeF7iwj7dpsUCqp2BN+Q5u8DHtEIrAUOLHtlH+sUgtd/ITYRH4hqSCbjfVSV4eugM5wNlm6jxk6UBNuhwyLWMqNOFo=</t>
  </si>
  <si>
    <t>z0DIf8AnHKr8UPkGaD9T6/s2qtuGdliL6cHPYK1wTmdmd8Lday8G6UVspqEE7zm/WW2+5bC9f0HzbGr6ZfNxexAMuPz2cnc5/9V/DyvbEGol6D6Elz2ck7u9zIhuqcBvk/M7HyAzqWmIYkh9dv7rGf1HcMjNfQQ6bnOXEpc+7qEmYfr341RPhNI6B955LAk4fvMTHpsyG/NA2rfJjbMQYgnF4JS0L0jLyFAa0+ALGWmw6SxVrIaCpqyIp6E=</t>
  </si>
  <si>
    <t>4CLi3x4Zo8h4ZgkgH/1EQyzYx+e2G+nkLb8K0f0GtxAGqUrz0tVMP1qt9VJT5c8h0ifaE5jPx+vMSprUO3x84UdapZ47dC3c6J/aq/M41rhSG3Zk63HptodThSe8McmvMLeNZX5aWj5X8ok4RJE1mac/MjhUv/iJHhtERxRXlgjDAOzdLj8cc43RCueGc8LkqiBGqevkXTipG37iv2Kzc+7eZkTlIcHsJ3Y2d90DJA6MeufknaPBVK+saOg=</t>
  </si>
  <si>
    <t>3W8D/nNRoaLwFva4nvGD3wJZkFKiBinitxE4Rt8MRuW/PzGQ551CJ2K4jzAC4pcEcXE9oOuW6Cw0WPphMWNzEa/dYENcwIQ6nc1P1oFm/80v++aOxdzo7+cu0ROys+MQc4AWb/ZKvYvZyj+LXzf1cqlXzcaQCGT/tCX0jBQ73vMD0Byx4LL+sSiZz/bwmC2j0hxxTEDutEr6lyTXmJ4FhQwaAFMMsBSu3EajS6dCLsKzcWXhiKKZw3Qx7Y0=</t>
  </si>
  <si>
    <t>fMqjbt/8VbFhoU4flrG0jUH2FvD4+OtdkWRoLf92mm7ZKeDrMCN/gi9on0vTiuSDG+mVeLQf23gx8/i9GkjR76kK84BiNCygFy2FEZkZJoaEf04ORc9LIESgACoP1C0a3x3q60AobKtfEVdKk+HjAsUcYIHWcfuBvHUTTk+jQnsk4qrg3WR+ZVWC5mcYQYvRIuAYm6S4EYvk868StnGPhFpAkd+NMnZv8wrBdCsHcSO+99AYYgT9nnSQaSY=</t>
  </si>
  <si>
    <t>8veLCF/R/Spb2ZpNDIz8ZvqQZxLgwU2laztLBIfpWqwB2qpidrJGl5Jqb2E8X7ZNZqmnZun11Ihkuiq55vvOb9oxmLfXs9gASO1JpjA7BGzKT2TfKGmnBZZuWJn4qjNmMNfGh9s8PlYqM0EcxWZS+VErmg+C/wo+roGIGKXIeVs3QmHiG6Z1X+KX3mUak7tAI/kHon2Ua1dUF3pnfmN8SZQoKEYPersAsfp8n0dBd9TWI+cufJX1P7Ei4es=</t>
  </si>
  <si>
    <t>bGwDfB3a00TzAfywPeYXyJjkcXa9aHhVLcC52et0zx7NcnmGQfsCSXqD1O+nlTLJk8xs2i4sgN8GkACNx+oU1AdWbsbc4B21SxIrn4Urt1EjdZRqVfH4H/WJW9knkC2wY1FhBWUiEPEJQ3amLqQnMDc7E3Na0YmRcz46XEb61btNnhgKDF+cHTs3SD+vWzAONwiY8RSnHW7Q1cTSMbkUTbqRij2/Lk80YRrBOTgMtPL0+AscUbenRPuQLV8=</t>
  </si>
  <si>
    <t>pf9ZHPT5nlqFyDMMo4OP1jy09/TbJ2fdaOjrnK7n7VKNEEcahfOJP6bJoUrElO3x4s7offEv/IanbUM18fwNbUVBula4vsqz1WVNtT716K6w3caOsmhu1uOgXz8VWz+XCsZ7SAfzeWbxA1WFQaxXGX7qRb75MLkEpw+BUw9knMJcJkixjeKNPho6xcr3/86fThyYTHSrbvRveSun3mlRwNBUHrnCf4Wbce+inM7FGpZRvqFv7FOlcC+BSNA=</t>
  </si>
  <si>
    <t>7kY6sIuCook2uN2GoJw/cV2IGGao5b+oNzajvz3sZ9ieykdnvpeBCAqCjYcl5DQ76dxR81LgDxFO1Sop7Xq5R+fMYOUBzllMBKydUXdVP/xvu3UAyOl2tj/CEM+nUtMifVI8aDfu15NgUm8FrFhKjN5KCgjtq7dXLTtMqNUiy1S2x4zn7q+ljD9mFWw80P8HtxySb3wo19RygPaQYrnU126dPFcmvcwZiGd687nf3HCZLdb53VB3toYaWwI=</t>
  </si>
  <si>
    <t>w6HWYA2AhKaSFPSHvaTUhR91C+ViBMbwj3ZS9KzGu025nmL0s8ZjjdURjqV5k/FdMNBybnaiBhKmeFGI3uWAQ4afeFYc6xYi5TvcQnkfLv5RYnda/AJ8zVvh8LnBiP+07ikneQbGiMUSDmzU0WOqdq7jPqvLK9JP5Uvpw3prHoHPw2FRO6QMe9rmktQRbrpLaU89IzvxL45qdD4/nbeKPIz3re0dLxwthgggqhFsBechNFZ4cG1DDUm3kAY=</t>
  </si>
  <si>
    <t>YNnNeDvk8vowxrpbvKRdLEeM/E+1SOHvnG/H3L3NprrBcuhzCrmqU8UGQ9DiWaqgJ0y7oVEZ5Fkusd4pMS5ct5Nf3cooocH9JLtwfitQetw44Aoo/AwSnlTm/HMp4YqiV+x1DcZryoYhK6QAzfiWLQY8HZTl/oOTy7la0AUx1XVhEtXr+IpKZfgXqlJ1COZ1R/RDCifoZsXMvbNP5MZ+rJOcWGf2r1ivZTIYoKSqYdSLdRWT9nMkcPR+ViU=</t>
  </si>
  <si>
    <t>MToOdrGYkIh2cEAHNn8AfmVQ/MTUqWPXT0vSZRwWciA6WNhRZC9WTVipBbcsLbKykzCw33quHTwWZpm/3z0JKEi6iZQc2AonTBN4O3+SiFYF4SVnhFM1GbY97rABDBEMLSMUZUjX/MTVpkJtDaf/KpkOjDO5nM+3yEKxTRldlfuhX4ocQzylkZLAzzcrSlzb3b2nKmUvAdrdmkHK5fO7VpM+zqzZcsHmVx24/9r95f9+QoQHB7zmFysw4hU=</t>
  </si>
  <si>
    <t>qPcL7y0dRKb3oDfu1KkJZb5lEzYOxKeqctaoVMyf39SEtoWYO1wP5Y81K+6ne4CYw1eel0AB3oR6jcHHx36poV8cbLm+mZlUjcmi7FXmBJ3OK5cZ3jE4O6BpVm7kHBoE2B7Zm6ngY5FhZILAp3uWEzcG/4mupjjoZeZFqjev9pv7XfHQKhmMV4O3RafxkffG758JxvJavXhvZPLPfLnnQ4au/QPxPy7Sg3jGBOqlygcjjrHYfU4dgcbM9Bg=</t>
  </si>
  <si>
    <t>tWLvSTvBBTdynfvtSjPo7jPhvMb6RBKT9/+TBEknf90w1Ji8rx5DPdxemcZILcd5p2YontL1zCD2N25Mw7KV2cYKMX8PHh4cVgtDABvU32V0VjvCXNcVyBCkShSaOENB3sye12ancc6pUIoEvI/HZCdUcZITHJj6rBIwnJB5PSL3kgESKKBqkf4Ty3NqzUnaELXRO3eOXo+PbMeLUFA2lyHS+aXffTtkji/Vac2JNRcjF0YKs5vuVCJ5Apo=</t>
  </si>
  <si>
    <t>gZVyPlzA26YP12R8QvDQCMBFGKKTKwhap9Xzpr/xvm/2P5uAvzsAzt9NEfyfc1oDJxEp+nGlVjvXDLH52tzO0WSm2lYpnCAAX1nQnwMW9GF9a5+FW3j9wgmQ4A111ZKcB2x7axknuKt/IXHsmmLg/V0CNEhOHhU6eycb2qOvEjEp5AVTuTfPfa52Rj8J9w2ji/YXG/UlOCWDLpnuFuLogyfsJG+kr+Wf7VbaiTHtobJhTWq0InjtPFa0IFY=</t>
  </si>
  <si>
    <t>OMmSD/CFbr76clKA++awMf0UtxF3ThDe3h4ZlpjlKBStve7RW8lkj2j1yTINj7iYMQ+2FWwo/bNyY4WBdQWY/ZQkI5d0VA+gZwfHvxIqKyVrNMxmXqStPpKbyCaPWvDuUlvVrvOKKduAB1YG2qNsHrXPgWM6mo5vGYNP+Cur7nXotkZApVPjkJwG/5ZsnNxTCYGHf6FUj7W3wEE/5m9RhPEtXVeaogZXp/w6VWsaqCjBJBeHWaN4VewVvdI=</t>
  </si>
  <si>
    <t>cTgJWXNFIykbmvkCfe0aT+zUSxn+St8x234ssGi/ATMp8+ARWtxly5aQudlvasjmlaCchl3kcGDLtNRp6cFoRv0lddPCIRvcewEntOvuEqu3pEZDCtoWM2X8nyihhxSw76hZJU/Sus/BnGHDTsDDbA+Yx1jJqlcpduNtM9HQkgpLtRHUBxH05+JpN20FlteSKY9rCONNWhHR7M9DtR4fDqfeC8/e2q22K5OvXSKIey+TcIVWwk4GdKx9Pjs=</t>
  </si>
  <si>
    <t>8t31VEVI7lMH9X6mQGP0Dx8aNnFz3Z9JkALOrUPf7edE/h9y96/GJK3o875gHbZl50NiEIYgASliyDYnOkoBQ3H9u+DaJX8pcP6a1NOHynSkVP91nFFZWSAmy8XWzck93OFmwT1IX8363uw6We8rszReK+enKu8QF4jwjbfY2ELWbP19vZ2f7DU4hctcWwr4fTwGWxHIgBfhRFq0/nJFU7gqHW4SMTFblWKmsOZbqs0GWQPtOcA5BRvAvP4=</t>
  </si>
  <si>
    <t>brL3UqWvKXlLjycixtObzqcdhgW9dt9eHsJPnduBGfK1I4b9ddoSNARHG3uKcsKz4UM+mCoCoi5KS5IvYtRXT60XVdc86w7m3XVyBPP/8dXbe+xWr9SbsTu6o6b1/tPrYWe51qQF0bpqOWiKbxdTjU+sQLHWBRhdk6Iwa9D/LgC9UI/mMOuz93VjIUyrPtZ9dx6S9dHBAVYU6me5ll3wxuVTJfsTxNEIsj+3sRD4SAM9OaCCId5d6fMN7Js=</t>
  </si>
  <si>
    <t>BjrbRVSpoCn4u1o5BqdW+8fUxe5de4KIWmAVrtDKtwVMDOlGcpqiccL5pwSmNQ84iCUXm2v8Mo7l1+2PgRb5xmJy5BoCgSsApZ+HN4J88xyim+oo5LpUhiqRsV05ZlyxlFCUpXjHo3qrObq9OSnrH2dlOSrd0YvNQYtUSHX2eTlA9hgPKUTcKonFs4x3+Xzdd2Ijfzo8DrZ1N5WgWs1CaClAx+PTpN/HzeWBi1RvMpV2cstbSHUyXSCYcQg=</t>
  </si>
  <si>
    <t>M2p7rgazfIjvo23wt1uQtoevldbpEExafOuJMu8J5JclhLtt+4pDF+GTiup3xEz0S8AMy1pYmo/c0/pCX5PlqePrkWEBO1UJ+g0CupvyfVJPHNgo1HIOBRFbCqbOW0Wtq+3Nn6yd+AlKAcBpujpgAK8A/WSH65wlkk9HamtQNx8kNwexrfaShZK+exdTgiFJJrvPOf6TobhiQKQ9OUbr5TsjBnYPZIAdSvQuV3f9UHF2jc7yiYNltQMKarE=</t>
  </si>
  <si>
    <t>5hOdAYAEuKsxNAcA6yV1TJtAAJLiQgKZcZ6rQpGPuhjKgXzbhsbZPh+ajO1jleQv832q6iwwPIkh4YK52qrjgvWQ6rt2rsS87cZ4HgzApailzMilE1I+pd18fpr+7TVnzlDHZz8qN0yrB1m3G6wh6NVmpyOfQ8J2JRLCAFHtgUCNLQqafewgVw0YtHCulEP+ns70tD7LbuqCEee6OzDq4N1mllGFHf2bPBP2vuH23BB8aMUvdM+9G69ngeI=</t>
  </si>
  <si>
    <t>9dGJpqzTlWsnsviq9XC7+IUxn1Ht9i7TZiWMHPyNMqq2tVpdxTLNo/d7V+2nluYDGIr9IJ3ZwEX9c/ZQqJLjBvHgHuGBtacicd1yEka/9/y3Ud8jxf4TturXt1FmgoztEuqUIMzhGJ/45sPPld8Ot1ejA+PrBl1Ig3SSe+K0mqTvmE/CO11FcCle6O0InR4EQVD12FW4fauqvj0cfyY2cImEduedescvPjiQybpoG1p99xYvrqNazHxmNCo=</t>
  </si>
  <si>
    <t>NmO5zmihXzjw11hjS2Pp19ijDzlhUhmO9rpLuVBqHbjXEfPw8o5QKgxNXp4l65uO0hFAHN666Y6+0d2DTT19aoFZzxMVyw18uNlagQz7LJqfnkyja8r9kUzaHsrz/k0juADVOrug0aRLCBEq515PXo6yesG0kJaUaD6ErLIwqfMFDYoJrsuQEcUTZ43LDOdW0ZSRLUjcg9gnaBy81S6fQuQ7DXbOwmpZalj+B49mGWTWlUFSVUSx5GWUFP8=</t>
  </si>
  <si>
    <t>Ml6XjIFULShxKBBYKI+UHKNoHQnKe9zAr+5ydk1T+cdmgWRqyavMvVxgyf/vanFb5IQpMLYVJSd1ZsHQoh9Iv6Z9VfPPaS82hje42eL14AoRVNGSqIydJAIl9jq43ZgmeZJLdujiY4gsCHRqQ1Rfm9uIWJ9EWBJScjdxN3K7AwLGftL5hg5AoTkAnbdWH3zJuT+ZyyAvs/DYlnh6inm+/ucTcMBMkfWNCgYYSqmQArWnkql5pQUbPE0OHog=</t>
  </si>
  <si>
    <t>JND0i3c3Nk8LUxOq+XEbItN3WN9nU8/ZmpUAE+Bel7LB3Lq6NoEQxk2pcheh4o4Uxc9vFN6sNh8Rt8whKQDYkfVcqgrZcp2lP853jTIeawmoL1T+tPlc8osmE3LDvyrU1bfYmugOCGjbDxdLNxFqHr+5oMItrK9lHKhaTBYd77d6weN8p5Fu6WR5QNvPwfA/++MR4RBVaC/0XinYgO/QmDPoea2IcdhysQfVKKIEHnIjQhPjIJvvLRFYvQU=</t>
  </si>
  <si>
    <t>Div0YJLdgKh4ZbGcUrh0AjlXokfjFJCMelz8XcbEu2pVX8xjqJNesNMr4r4AcmEt1GkWe8EoL4SUfa0p4x3VycSK18cG7Hbb4CC8hEO9i2OQ1zRyE8yrKuQfmPt1tIiv3cWl8dAQil5zrqF6CX7a1sOV9rTxm8VvFbN+W9R9lM9CFGn5ruKiSZr5wiVM0LYDJUrmHteVRtYM5RroaGKvy0taRYb5TgT8MjAmq1CvBq6538qAZcmv4WiiYJk=</t>
  </si>
  <si>
    <t>9ZM4tcDKuKIwXO16tlTnyTtiUsN6k1zQsAVoB7ZzMZIttEW/hQ2OrQqZV0EEBbTR+eFTHKMGSnBps32wmt6wsyU1okpuFuodq0kT9diQaIxSC2/SsVF8mBklDinWa1sHWxLm9CXDFatItVF7YJ3PSJme3B/+L0WbzwEuiRn5yTIeq0WmPhEbl1jC7q7WcWq47Ho5KICSwpLttcpyfONCyCgiUdRUVj5xP6i0q5RcxhxV2hQ2qpnfKAp72j4=</t>
  </si>
  <si>
    <t>kvvW9FHZ+M9rTiASABkC4gFsDpvspkxAv9jiH/y6JtQbYTwI3ADkG3tJZADTEieKBniMH54I52O0m/uJwvaHswFvmz267GasyVWUGINalbKDA7cz4pOdIcrqtYyOzD5TpOdWNIDtf39NvuYKlYX1HuyLQQMVoenrFFOncczXggEakInLy0Bp9NIYyWgZygyFJRal6yda2fhqXB8KoruuhoBxWzeUbvORCqT+bAu0M2uIF+eraqSuV9Oo8P0=</t>
  </si>
  <si>
    <t>6h6APpVDjuNuLcEBRPpGw3l+hccXSP1DqExWiLtT0nUQohGIwDOwzZW60xedZYjtHEwYk24uVi8YcqvtbZXQbpzxgPvvwLQi8yEVvzc/XeKYeONRsPMlvFNEgqB2XwbVmpCkzVcYVe+Jc2dUSPvoP/6GmgMo42UZDkf8etYozsgAY60jiFzj3A1oAnbytGtowL9PWzjaTk05ChVn/HywpEg8jB+RE+nl4c0uZPOR8w8wEugs8/HExTrcRP0=</t>
  </si>
  <si>
    <t>+M9tAuigJxCvQIrekCK1A5/phcoZCBIBWlA8siZOGXVD5/dEKcEu0gyxFnt4kXmX9/M38uBdb4vtEJv/RMH+cdbm8arET6fL7iWfaCFFE9AszDeV77J9TjzrlSciXKSgwOaB9hXpIoqFjlWBsJhjuRJRtw5uH2dx/uxQaJVcFOeqQ9He8F82n/2SqSxYWZUlmhgJBNWhMfmZ40KdHhMtNxNW5ZA7BSahRQUMdYiMFMvuaS0hS3KTlEXENYc=</t>
  </si>
  <si>
    <t>QT2XYxoq/6BA+uuTzvwmZUo8OdddeZ6JnbewZeNHx9ihkFxkMVLahqgzcAVQRVwCTfPiyxeVY04O6369J+p+tidxeevNVNuIVIt5g+cuSGU820RuG2tnsG+SMsTzAeH4lEd2XYiBpb2fJEL8NgoI2vVC/butUw0gvIcNIslseG8SGRe3yC15gWF4uGxLP0rkfjaYzKHele4Md7bBL0L2pCbrpHkp6qMpHv19BHYDF+DQdVw7sdep2aAtPEs=</t>
  </si>
  <si>
    <t>ySQ0D7szab9DDvlu3TRpZjRBs0Uxyj9uBQRwvSpTmgMYzJkzTIOc5/4hHWZo/CZxp1FeTebV0/YAaNilvBFnZgCianpv5gIIyP1VnM7JWlhCzRVSh2r8g5RGvu+DD7yBXCiPLnkQ8Eidjox5v04aOONJXqDtkBCzC1g44zWASP8cjqpVzu3CsODaqWfmI4lpaADCiA91j3raZqPXlg1QZyxLL0facE0pHFE8JBJpTdlsKHQdDRW4qyKpBNg=</t>
  </si>
  <si>
    <t>IMmCPN2ilIMw2vPAQAAtay9aAdEdM0kTAgm97GVqo2hcl6BO2gm5cuilS3/b0Vx5eJW4f8R3qmyrTqQ9YFutlHXX7q5w2zbrqUPIZUUrg7rgTsm8yOEdGTpvrODT//LkZPuWqkbv7wdyYc7btZJurpD+LqRuYj19NX6k60u6zcYjPwgZguyZjSC1EMegGl4BwGspwDyWVaEj8sjNihF+LGG8eBuVRBkvrdYxt59c94EPbPzQeM5SGtvysiI=</t>
  </si>
  <si>
    <t>o862xOE+IEbvlCQBIJDgsc13BS0rJ8A0wQd2kfeh+QNa5RWaODX+ufWPAU6xgcAHPNIF/ZNKaTYXh2F3xOqzXiEM8YtebL+A7SGrVt05wHGSiDWbpuaFYm5A0PN10exusyeqCTb1Nap0/CDMS+olizDEOw4OrJjHrYQ0SsP07tsrIWn1am0foTf8avKKsYS6rEcv1wDnlwXfdK775RRdy/F/v4QX/QjXEdeoem6lfi70Yl95RImKRwcAAW0=</t>
  </si>
  <si>
    <t>+ohSzJzUv8pQRYDzoGSJy46WCv4Gn0dYtC8Hx6+gF2jcs9Wv/62R7QYGyPwGD4VWOK7Vr1Kb9rg1y67BY7t+HM5BkmZ9Gz/fvQk4EFIC88mdhns5orWbD5dEnfN+y5Hp7VfUELVBNHv9RLt+eZXDI+BiircFqsmY5g8u83g/pSDIawIVhv8g/hOANTM7A8tfsW/NaMDnMzUOnvanoI78t0s5tVBogXkzFpYnYpnmQdlDknDCLU2XofIYyio=</t>
  </si>
  <si>
    <t>nFH6l79lP2D7AWIxLoYc94uGMydivnwKxGxRWRlCJEunFrgLpNMnwkJsf6vHXSuuzxu5jqsITgE539ufVSch3DVj8D8C+dkPWg7+QNCemLxUFCT0X0TBXARoF+UdgGnnGO5yMkQ84y5OHKB/aapZzutLwbzrReJg8MI7cMAMb/L55w76jnQymZhRjDyjnHfs44V2+3uZ3DlHXA5krZQIfazki2NwDRK9JNtuV3QgWNV5y+UPC5ZYNfaKtRQ=</t>
  </si>
  <si>
    <t>W9xWlgfvfmeokX4G/o2NtlMcK/TpqfKA3kbMv+IBFxtQn3A6kGJoxujdzSvKEyGIflVtAk0NGkKzMsl80/jCfVPlPVwSaeJ/tz62n96frQ+DJJr591en5aMvcUXEOXzCof2aelZbiiMplbvvI8TPktIT6OKu1hcqpiUNh/B8KA6hOWvWsqoj5so4LLLNNZpYSdCbkpYWu+g4JAWR+v41ReZ/1e6NgBNW5/Zgh+LbUaKCs417KnYaIjHzYm8=</t>
  </si>
  <si>
    <t>VZKiHueUgHUEJng1mV1MqHC/+5UIxwgF5a5hs1tMt2MKqCoan56ZL8Ve+Trd7xmLLtZp2nT2rwd69Pmta6s3cEJf4s3ZL5Z2Cyaj+DEatnPAz8rcMFGSS4CbD65LNbrKjILlMP6MW48wVCJaPVPri1OAIEHE6Epg7gBaWWJ2yTNS8JnoN+Zn5OVEDMLrq2/1j5hQTni8v8+r19AMvOfcoQnOrVSrWc94ENtXYT1eSgVFN2rAbIDil+6h8kc=</t>
  </si>
  <si>
    <t>nmXQ9YrBHYZbkPGbdmWC6DCkh2HaqpPz5Fkog9eiudwZsud723rHmbhWeNZJ2Oj+hwUPGwQwk5Hh7QCx+YUbim8wMg97k3ODw3akNfGNCXMUIDJdcQj6sH4aXLDB6bJLG9H2hZeyi4b1Xfcqp2gxID0TtsfF7rhRWgHxOPk3YN0fa9wc23qQGD1nQ4WqKVSgEMADc/KG6o1s1GVdwqjb3hyn6Ezs8jKZoFGzP1Bo9RPGOb+bnUmxMIWYbEs=</t>
  </si>
  <si>
    <t>wRHY5ZMXE3fq/joP74kku2jNrNGmvp1/+IY9ameBM2Hhd0pnhQnuy/OwjhHdtMBo/vnHQXOOWV1gxTFkVnjBTrTJ/SeJDFEDlR38k7XkKLUJ5iDD0tXQ6GYRt+hmZkoFZQVZrrBTCVWUYE7i06/Bontnp1MEleTFpRM+eJp+XnQaB9ricD5TXdyYRw3DBdARFiLhBLcsrZl5RsyFRAsXjKunnBRZKTlAydYAAk4VYJ0ZHsLvCeOv9zjhUOI=</t>
  </si>
  <si>
    <t>3CYq3q0/0emS05NxyA3PbekSUTL3qGZtSswdpErFjnzDpVGg1B9H6mQ3kjEIjQ74SaJU9LbWitoJIP/bjRz3uLupMIYMP20A+Qhupr7eejWwdvFVvVd4vHKapbDwqmQ6Mw4uWDX00RUnVADtt9+mFabODs6GxataIBOTtlI2rn1IYJd2TqH1pomNJXqGyhm3b53k9NT0Ff8fkV34w99YFrevweS6ySCK0vwdlEraF7o8hj4jjSY+B/O++uQ=</t>
  </si>
  <si>
    <t>K14viMZEEjE57E+m2lHzvkgOZiNkI4iNRwnwPPQx5bOj3rAodtf9HeoFQrj+bPQdr7eRWk7Ct1bJPGLM84RDLuLVnlULJUOE3zm+hB6JlLUbbEbk2aItSl+2xambUPtmE4B/GJMHoU/EQk+f0Rq2YsvDnfe9QZi+lVtiGbeioviNN1sKKO6Mb05rCUV81lrOrdj8kZvgIJCUNnDJtj2/+9EztSnpmfBaNdrJT4uFRHy5ort0qhBrPta+kag=</t>
  </si>
  <si>
    <t>sm/+Q27N5JT2bucfG7/W11ik7bwOVR9LBOCnvJLgHR470ddUixivzacZDkK2ymslq3tjIYgyUcGFJy9Wew9WqHkgEVVmDo890ibRnvCssXlx6SFcsrTLERiOh6q6xwIlhaODYx9a4rwsRDDd/szELkjG4nFAS/ZhEIGCY69zKTSzgVFCEN7zrr3rdLWaU+nmulVbE6v0dzpi1ds0IQMQHjRLSOUEES4t8pKM3f2wEnvDZlC19g8X+nyI3Qo=</t>
  </si>
  <si>
    <t>S/G4CTKhpOl8VyjBf80vbVxDl64rKZT0z2cUpTEWNlWMLcVM86oEJddIpZhApsB9ptcp7sFfRSgglz2z+yFF5320jYK5U9yCKVRX7QtaxlXnEJx0eAzcRWJZ57qqyZiE2R6wBO560xCrmt34uKvv1dGUuN2RDarwQSAQ+FxUR7kJU0P6mqRq1zsLlRazIYP8KwsMHdD8zvp2zRaLRNQt4vypApoXP3B/DmgtLvPbti8PEw64ZunpQOhtolM=</t>
  </si>
  <si>
    <t>1jKrnfhVmgdff2MOGjzFRpvpXZ9hfUL8ytQ7051Fw/6fOpjABlJC6S1K0t7s37LfCoGG/0/tjR9zl0ayeNRB+XquxBrCiFjPpKPzzGK3SLHoneANuJsA2one6Bp8BjHNxoC3ox6LfKA/s5EPoMp42NM5sK+TTYtEyEPTlDBE1V3t6xGcxJ6qy2a1gVUz35Me+I5AQDDJToCXVRL1F4jF1dmMXW/6fq+3IMn6B2uSFz5cVP7/KF2mU3sps84=</t>
  </si>
  <si>
    <t>8mMwua0fhdI2/NQrUr8SrsCFBg6OabU6TuPmcQij12Ik1zi4Q1JhfGGAeYEBCzUCJ8BM3iLnoIMf0LErh3MLHeG3+lzWrpzFKU5ygIJsQnr71qWktVVJ1lVrzH34RD1f2msgGsDs/xZYqh91qhU2pduSIeGqetc3F/9mPrLD42SeJPMra7vja4vBRhiLJX2hF+6b25Vif1ERDJE0JN3HGdkSaLFdr0Aq9UZfLSqLxl4TeAyzC2MiHyz1BYQ=</t>
  </si>
  <si>
    <t>O/xDx7uJJmf9kSm7pIjvnvVmy1PG/+jUvmXNkVzobsIBeDvmtKmufotjvYcGzckPcpKy6MQMhbtbwThtuKMlz+fJQMFuG+hIpXQ7AW4lheqjD0ba5Uw3xsaHSPCnYh8TVVVoJL9YWn5RIcnti3lu4ksucQn1Es9gs+cMuxuo/J9g1unn5m4mOzlOBRS24ipkNeDZ35SIAZumlfBP3KqnvTb1D5pNtWo26hcPtHGyy/0mwuo86H5OmnGQZS8=</t>
  </si>
  <si>
    <t>Uvm2r/6a1zM84oiijV8ZpWzQ5kuIKL41ac1m+iOytaWNZCs/QIrOBZnRNSSUkQgb4BrWuyHozIZ2YTqbXnVxsiHrgqx9I02nilhGwImnCVTKybEQDaiiWuc7HoWA/ivOodi+dT+hgbFCW8OzSsMwRnOsaGLH5GgyYXZwVuRbmO5TE8mILAHf3i7qkjnRiVovhnTcMkug1PW4Q+cLnJvSBCg83gaulsjRaTPl/SV9XWlECaxs0hVyFLbUYOs=</t>
  </si>
  <si>
    <t>FSDOR83RoM1crlgM2ppoU1VSBC9sSTOjqlTNa2QO1Ked9kJz3L1LfwROg5SK4TNZi4Nq12sGfGJQAi4ptfyVqbYqEH6UFbFhThrsS/5bPTw9MRjNVxz7o8r7ekF3edlMv26Z5nTd7RwtkpfdVqm3SxitpEp8ttBetKvfDNMPyd+kpLqH81I7q4plp4o+i+D7ufR7hvgvRh9rFivb2Jm7AcCy7ADAJTjepRUkmJP+XES9+OvsIk32fyg92yI=</t>
  </si>
  <si>
    <t>Z1L51Q8LIcouiMSLxpEeo2hzvUuX3bZPVa6YBUUxPeDuFZDg1h+NYW8w7S4j99W1/I2yBo4FWSjv3iv/qP1MYk94RFBOVkOabzRHYwBqcY/TTxZxnlGFyenQN+tSOimXxcVFQAmZSeqTiW/LWnoBQtRMJAlPy8W4Tr9yUI0V+9l0uBkKJyEjaXi2/P0X321tIVRE7HfsfYEgssaIN4VD17o+pz2Nv6mK3wTzofvpGoJH38ADk7dO20nnnFc=</t>
  </si>
  <si>
    <t>3veA5sCDN+meOCgqSD0d+7PbVh5WqRWURFc6E5y/MMk2WtlLm8NGxsKKUZ9QJ7T11E5Ijb1+U2D3Hz8vY+RqfUSFvhiFGIXwpgqt/DMQZfUhskTB1ARfsxCFZvTamN8t19m+6lvW7siUKVTyYfEElTZ7RrjUYspALrsBz055paFZ8pAliTeGYOpd6CDhwaqwoMn8UrUUJhLXEr8PzHF9LwMiGb6IRgZCxkEXWQNZhx7vam/qqTrkeKllZGY=</t>
  </si>
  <si>
    <t>B1VO4doLLUfdq9Lv39INMUG3IOohk9yIp3PsrLpWNy9nbazJbMAlbKjFTBftOB2dKFsZ2uC6oxdbpKMZmPVoI1mHrSd7eHOxdyDt8ajkQWbzGOwOYKJ5zFinXDwB4NYg9JUG7yTYbSUbPSNorF6WUcIc/wo1sMN1lqOD1VRpw+htdtSNpp60LmTfnKFRt04WezOnxXKUDxe0o6cy9gZq51bcfKw2VYnuo3R8xxhh7QsdL1EKu1BwwUf7MLo=</t>
  </si>
  <si>
    <t>eeJUguQ6f7KnCX1OvZin/zH9I+6Z9pQZlDEe2equO/+baJHGs5cVyfY4cUJ3UPOdnRfI7+5Scc1iTunOjdcYyzzgE32GPgTwG29ukfP5+tog91pXwyxAYD0eX/O8csVGI2QNJUPS0gJ/2pd/LA0nPk0F6MS9KfAZXG+Fvy3H9ibrtyr5BnpBGL5DDynFtvdfEJJic4Hn1Bb2Mn2N3/qhcj9onJDXpbCDeySiVWq+FZDgX/djqBIkV7hs9Dw=</t>
  </si>
  <si>
    <t>5ZriwVmgOgEklhbAMka8JTYOXpqn4PqayOtUeNO8Y1M5Ee2dKJSzC9BmLfNiX+hs5mlXTZlvmz1YI9LzMIoQ7fz1VbsAnuqPe76QtnNNjUpzbFSA1LFBkTL93Zq2WM7jksZEz9x8CKzfTD44b1JLsNPrl4yPWPeBRH20999x4sk3SI7oOZa+1IaABDd2hN2dGaY7XHvzDHUyBsrT0NRxU+bS2pKYFEkd3HD7wEm+jlCVl+GQHIbUz+W5tDo=</t>
  </si>
  <si>
    <t>O+pDRKFvUAwzQbLhQ1NUiLjXGY+qBPgty3iNNN8GNYNK/V5a3NnE6IVhLeVqoCK5Cb1mfO/pbffxZztWWFN7REgKgk8oqcIi+t+MPqJJOMT5TB95h9depAPmuKvR09dHD1P9KMfEWMnlD2v0xjI/YJWzrgNmImnyzcK7APS27PUTvIy+jL3Spndd+8vcOsL/XQwVIOUsa02FggU2VyaLIcqs3juT7KoNy7vAzhPfC8WwEYGHL+DLPWF7Gic=</t>
  </si>
  <si>
    <t>vaHMzq1iQh9CpAALakVMaDErvj15okXaCJJtOkRVrH4+vYaBz0LDw29yXnCiSWZBQGl9FSclp7AsZuwaEF+CDqeW2zqo7QIJCRi4xrHWek5duFt3Z6smEBVXJgSh3c5xVFWdAIdkZrEAA5K1AbvHHaEJBZhj0mYbsk2PFuR1XaRqScY1iXgIT20UO7x0SA+gZtEdg5RwHVvtMb9LPWuFtKaKr7KPxx1wbPc+B4+t4GC3xLDQ4vjEaysBq5g=</t>
  </si>
  <si>
    <t>fakCrGET8gKpHCkII/muqgkVuBJOpOqL+SRhuM78cucd2Oknj0CzKQITXltQSudFKEPFwuCs/vSPD7FcT7Hx0LZCg9TB1sC+AHGkLXb9q059/3O7WDu03h8/OZab11VjCwJHOkbsQFl8iBmy3hmmvvAyku7rEANZmYKghfMwhaMEJDyH6uxP9gw2hXRV5Cfu056FDvE57ejew+jVJcx/zLCj7GyCoMGFAkd6lXv7onLLaufPDYItQl+CDl4=</t>
  </si>
  <si>
    <t>6SsSp93CXG66947Mu3bbHIaMLgrY2QhwXgETSyh0aOwWjiSM49VkuaB3+68hyXKq6q2jqsdpBaigF9dU4Z1Eg9XLxjlT7M/ELRziIEL7nZ1Ic9gAxDu1K4mRundmy1odU3x22CFLa4PnFx08/oY3k/pUf1xWqgSxX16p3gtSJZJTNV+mjmf7hponOp1R/AYpyZvaWHQAD1Xce2DGxzZMZZs9MBvxfYsG9BzFDlgrrJw+sa1r4lEOgMf+etY=</t>
  </si>
  <si>
    <t>5eUz6sY5PHV62fZsuu+4cKYocLSHZT+Qgks0amouBozd+3TBkdwPw3KrBei4HuAKXYs0Qzu4b/LoQYd7mXCF2L+It3tOHdXFC1pP5le4X5D2cYTgIM0rnWfBTh37HmJDfNMqL6Y9H69r3YGm2bRai2H7y4lKvuaRlNbYa7mhch2vRc6jpV8yfBpZpZ8W0/zgwGZ3wxBECAgSwt8QC8apcF6T2gW1N+sIGzQr8VuazB000TmrjgLTDYkNRcw=</t>
  </si>
  <si>
    <t>5NZeCT9uQ3y7T55MLDBwWjkGr7cQKmM0q/L36LMxG1JysBe/llsK9kdd/VYumhxBW+E5SajOtDq9WzjNtfYeviZw941c2sBqYA81jQrg5ZP3yXBE8T2yz1k9SUndeyu7yeTOLc3fGHpxn/SuSxKLEXJo2aM3tuc25U8+aVEsWeD7PhKP7T8lfF2B3LglwPOMr5TPNONgmLwoxewNZVZXhjQMyEIBxUPQcpRRWyG3v6PKMFGlD/94wiDFGF8=</t>
  </si>
  <si>
    <t>P4tbNvUPg0KiAidvursaXUUETjwTq6ya0n/gLX3p9TLA15HOwPsgG5y4boWSi1YVf1ZO8sg7vDhkm4sxDDguEEzncmXmf1/a7edZtAvjM54S1mQqXhn1n5t0fhOEtkFEVwvVNTGL/Euno92HyS8nscbkV1oL55A8E+4F8pIvejxKKGooi5Dg2mnXhsYJKK1cRxGB++Ao/Cq6eVcNQTCMuHAXmUPVdoOh6HuCZggnqcULWXJia7XuxQCiCvU=</t>
  </si>
  <si>
    <t>9atPyt+i0FHLfzvE/U2zRKg2M0StAJ8AR8Bh+Pre6rSEnqehTsg+qBe5M0mvIfJaIlRZV984gtzlmJVSc3EFMSRiWUmalNIY4Yd7uPlFPU/29+i8WNo/ZeECWmiNaC9hMbnrNdAxcYg/OpRN0pK05EoE8O6rwzbVoCTM/w/viFtsJ92cXiC9FSDV4yoXE02AB254d0JLxoa6s+h/PcWMKnU4QhEcblhmZcYgI0VRyAVPOx2Og5TLbFafj1I=</t>
  </si>
  <si>
    <t>Th/b40Meqr75v7zju3eUf+ueWmHuegrqVq1uwIwLSo2UJiLmQT3hbu2vU6h7+2VNNAN8OUeOS6tZABqr819OS/7OLNdhYQS4b0fjY5GXUCITrskv3Hmw+biIVIOa97Dgha3xE5hz5iLp4JIzW7rj7UbxERXXhHDpembnTAAkSv1QfoVniDYl8+OjCRGqM8gHMJ5FOq0Et74U4plqfi4AuiW+DAtOKOCPuNyzGLX7KQJ8Ov0gH3AHTBoKAps=</t>
  </si>
  <si>
    <t>E/oS6WAY93hTfZEPVoYBxkIVPAGc8pY9EnhVGUJHmiddovUPAQ4jz33f3Ram+N1xaV4gaXkWrbZoccuH2S4awUSIhkNub8bGWxJ7HqBIipd3xmaM178pEaibHmFZ8ML+NRXPRrf1M9ndopGweVPMzI7oReJXATPzS8b5Fpk02Wmg/Hy7WsSaLIf8LTKIa2Y6QjKOWOmbaazHPLzXhtHXABcqD2M8zi0klejhbO4HISZOhcIt0921ZWUa8eI=</t>
  </si>
  <si>
    <t>sUlF1qvzaWVZGt/hHtxZx4oK12X7DD9dpYFuh0dhAgg8Octa/8CEVSBHRTIQNS1r/RkQTdLly8bNLD0q/dscGAOfSF+2Hc5m4X8A6kZ2iqrb716+Kg96yJJ14vHleNcrruevPXHK/b6UQ38yDerAN6ZSDkgQQ3VOW5+xDO+N3danS7LYqp2MuqDXvSiO0m/XQubcBiLh0L2UtY4wO98Tv3Ia+F+utolPSXUzUeyDQodLnxcqL5eD0ppGcZ4=</t>
  </si>
  <si>
    <t>Mohup0Pt7I2klZ3VGYeBB/YbWp9MTj8Eo/0HwMBCSxQhgpCephaZjXEwL0fBvNHdwK0EMjyLvi20YbLHDBL+O3Nr9nxDJ4o6EpJHD9WdKVTyGxtYJ3I4QamxqzpMQRGzEJm1cmAmwxee6XFevdId5RbkLDgYKgyFn09OUt8uZoeOGy+dbLaA7vUsz2sFZ6Wf0KsoD7L7qxaWJqB+npjKYZw0Co2TibL54i9Wz6RYz6v4vmTQhkgu1WUszZk=</t>
  </si>
  <si>
    <t>TnT4ZZDLnQzw/i7L4oT/d6P4sHOZ4xcVz2zhX2sU2iiAuB+/0ioazlPU3yNwXRp1yxCO0JLe6DGsSdoLm0zZmUbLKmKfHUwO2Gf9v6pF8qwh6TpaUfIBjjNTYgS0gr+oCvcwIyGE7zFr4YeOnQ4M0/9FGYetMnyAOemXYYqWj4mTx+Jsaqmy/yayACXPyVhtSX3YVgRB/5OfWKF0k13eAPK5x6tyxC36+hNjqcmudZGxyajqaA8xn4TZfnU=</t>
  </si>
  <si>
    <t>JyVSVrexnL5hTNhNc1E9xNVEkcUTp0ig6z8JeNHiaDnqPRdFkm0FidTBIoWYI4xKgtsUo1LejnQjAyBE4GK9lqMO9m/eH0O/hLmj5mzvnjLQSPcUNJuDfTBCaLdEZODkMrX88x9QKq8inhe4A5dwrVi5lo3QLohqOm6k5yWKuLrqyhPegI23VXbYKy6tHx4ySBJjPntTQ0/4zwtZEFkEyOcwC2HqaSJf3eej1tpQ2n0Q47X1kQsNwts1uwM=</t>
  </si>
  <si>
    <t>Ep505q1NSuaBnbRJVT7axV5TInXoqxxPE4XisefB+wHGfqJQ1zYUeZFI5MJRCsl8SRQnxWRH66knZ/tqmUc+BawTygqgAkPg9ClHHUiGtE2asLyGYya7M2teaJT3llZJq96pBjml3A/UVayw93fSFEN6QkhaVUHOk6zbv4g1NyRFCDrvAzx/gb2i4nFUJDjY6gmpwkkeGPM7ohCdpQFLW7hxidvjFmm8zXYKXRMq3Ea2hy6lPJJfZdU8IiI=</t>
  </si>
  <si>
    <t>IutVnMoQN0RmDI5RNjMUKrUGiqzZ0+rLKwNvLCaTSRO3hFukwi+NSt68pxQCew4L8wHmrtkIgAOZhgIE6Kh7p3HwjOX0juVALu0gG2LI/5ITKncDgQAu9cI+CqUjne4mwbGX/4iiqDiOia0rh2pVfow28mUuCkhCZC0QlHm+aD4E6EORWLImDpdDT1ZfjjE/GvASIQPQZdYA9E5+bAHQYO+LpvUP1ecUny1YLyq0AUrMgOH3Wa8//aBnwl4=</t>
  </si>
  <si>
    <t>g28abQy/kcg7qjck6x91QOha2kNyKW3sB/rpYQosBIALsg4HQc3cr79nwSFd4g1GgyToMogBEqOMsLf9CBwstLoPXNQUG79/wHl020vi58cBeboK2b4++TkN6rmfU4LFQVmK9MTP/2w/tBVSpyv949rByNvQ1ZrFj7S519L9C94uL67LGEMSelX2kbbplVB6WeCQAs32SsfCeTD5cDir5CyL67z8dXWSCjiX7+kZfCOyKejpfQynF3NWmi4=</t>
  </si>
  <si>
    <t>+PFfzsBco4sXZVfTX2tmEd+x9tQR5F+fYrB1sm07wxHWThI1HiYNers6ggbYUgszEgaDlsvQeOMqdgH6or3mhlP+ShEYLL8Og92jIB05+MtKQxQBMl4dnBEXJwgok3gQvirnftnoNLQHrCYh3r653MI4j5UuG1W2ZUa85xhhZ2BmTSWD5lWc7214XhQ6TwvIHofOqC+xhqNmT0w/cwyowSr84G736pcYps7E3VCgf+J3jjkrLaYoSJRfaCs=</t>
  </si>
  <si>
    <t>fZjbY4eAvh/UJjwsnU7gIil+kxWpjSUXko/hQDO5riIjKAnFieDfLgDnTd3s/d43IQKDT9KDHWRXgh7hdrhwnMyi8CxnnxXb17fMKpg1YcColc1EFK9HbC5VvKtzZL6ymk0NlyusPNO92NSVYkY1WoaWlo6u4q1WAsj1CazKEmSrVAEa5pIoHFIqV/iZ/N/U/GPbRsskc1SKLfiahfJDnje+RIdQG972yE220jfHmUV3+RWxJuUtFDtPMHs=</t>
  </si>
  <si>
    <t>0O9SUPaKyJYQTXUrAAcToYxKFMEFSXhbEH60eJn93/DqyAXF7JOO6FLaE/h5H/QMRUcrOSER4Fn5T1RdAu5g5SEHh/NvUWNpoYOpXwHfPubRMubjXed0r1h+k23sCyCyO66czOBdjViDNSxVu7HPaAd1Xd1lQdBTXrSTRFbsKBa06cyh44Olv9rf4aDoo5D+qcIGDUbOrAETi9XH536J08z4N9P3bCEKD1tW5AKjm9UZR5idZ/apJJZ3250=</t>
  </si>
  <si>
    <t>CWUHn/vmf3VBiSozPoR2c8Li6S+L3Y8iWZb8Lh1mbp6R0WtmQ0mOjPxxt8xvhXVl+ckD2i3ulps9PYPBfo29F4Xk+qM/hfiFEGgsn/6psfz4KAbD38GhcY0SzTM3zVfv9z5CySkeWOwEcbJevyV2evU48Xnn8+CfyEFlUm8VrTbPFKQcF3Fm7ie3pxiAdNnxvKqgowrygMoC3ggvJzAn26OjpqmG1DSi4SClVCx5rKgf8/bIRb2zDBgtCEM=</t>
  </si>
  <si>
    <t>Cyg5ruX70/Tr7se1hiaJzQwdv8eO2GHM+oqMLNY1K5rYcwISHqYcPlHnp+ByMtT5cxW5o3ge33pZRY8e1NW8ntp6/u/o6A/DrxABI8t7vRxya9d6/alY+IWEdEA4LseTVttOttL5GZenf10yduCORKg0e6BPStxYwuDDHc4DO/8lhDA7AjzWrEKIS5iqujNC8t0EL3+ru2yeFjjrJFdIpwoxvPmFLKtvjpQY3SMPIBwV2PiVlo02pnBIATg=</t>
  </si>
  <si>
    <t>TlfrKEyF9egUMZE1t8X4iEq8pAN7TYt/IfTOxFsRifBMVqV0LHNX6kcN20B5X5D4VDD4frLiWqe3NiptEQGqePnO/ZDAsZxotLoJQTVAYoprycpO2EqB/XPVGn81ikHFk3u24tHOUNKiT89VsRkpyoP80vo46LZq/Os5m+XhVCxyCy2SJxGUKhZq+n9sgRkVMh1Pbc+LMZApdo5tfVRQonpLaybrjqMmHP61EqRLfrL+1+JypeqSJfcngYU=</t>
  </si>
  <si>
    <t>DZNe+xjhUjqmBOGYfKeZ8BzLx5PFlriA5HGvt5l0gkV81GOFHRAcnxs7WSOvQnyYyZtov+PxWomf0IFq+kePDY/e3rIdHDPZDi5HTvMI52bw/pPjeUK9JisU8XP61Easr7806ZlAoVFe/I4AF1SFyJnbJ7eCcmMuFwDwjYCi0A1L9tB0CpDS0YaDwNjQcjkTRTo7/QZ9GTfOvaiI1X3JxriGCqWe6ME6Fy10qEUiui8rNTHgL+2HRjcIxYo=</t>
  </si>
  <si>
    <t>auD6n58LGnRKVPKGrOyu9VVuuVvRYU1FE2ZMtPPjXs8+lD3L9BuX1p9FTUnk2KPfdOWGNblEyDKqz5G4nJrvo+linBjTsBibZVex1CvPf/NlKQX3TuvtcW0Ls6MQUSR79NwIEZHSQoQOi2gI27th6/9Z/vZ+QT4q2q4LxBqiDKrXWa+sfSg0UXkVNAVJRNjGYX8690Zl0WaA2ZrsrZimXAhtfLM9QTlFfYkLsHTX9LwL7l2lfHYky8VdFOA=</t>
  </si>
  <si>
    <t>2ycJWLKrBew2hOIHhywHmeU0h22/PLY2TGUJResPRUj00sFmsAU31r08iJA/9revz/FbJ3YIYiSvV+4ZM7XQnPbMj7K3GHDMrE9/VGyRdoy3moQEAImZ88s8e7wCe+V6sioJwldBEF30NMkATjUMSCfCqet4y1Mt07NvWz6LL91esLOFvvMYvp6w4mAFdfuD5FY3KofLiLwbylqNw4h3WG6COf4MWEu8p11xe0fJ6mrq3bZEicHapgpF4ek=</t>
  </si>
  <si>
    <t>SS5r2kC1AZJLS8IWt69wOavoqmT9dLsU3Z41y4bpBUMkAVlJ9l8tdegegJFHRzWF+pJb6dNM8PO6QmVCo1kWJCMoF1N0ylHMnQbwKnK4qMyvMcyISFvaUvl9p+mlE6kyv8PKUHBM2chrHA53PLjRVsSMfUjC64JMkC0fDxCaS38YcYixHCmTzBcGSTbxO4Rd1lUP9lqQvnegBsvKVPlj23NlRB1DMwu2ntRlh7XCZFbp63gX65djun9Qyjs=</t>
  </si>
  <si>
    <t>wn+4KoWTktZKusHMuT44o6z+OY7LF89CIYVzcmxosLqc8JiJ3C3dDC0JIkpGYOCKCVtSRzjHtyy83uvRo23r2TTPqTyyJYyRnmru7kYOQIFNAaF9pIrTqE1PE4TkgUvPtcyLjrAbkb5DxS84nMpkkFexX1ndD5qz8l7i71uypwN4yfzZhBHpi6TqJ4hUQE+uUZBYV8j7FELAxdSmuhwJ5DnFoSCIAeWiBMS0UE5gpXQGSHmJKPu8VniFI5E=</t>
  </si>
  <si>
    <t>sCy0pHZ4/TKqLFk5WuRt7/JYsFofM02sGS6Fns1OyZpS1vOdGYlJxdp0Gsldy9Ol1xXwrkuc87D3zXnngMyfPJmjcg7Vo0BUEbWzMl2b8JL6A8YxXzjvX1GGkiah3WpbDTnJu83ADFnXqNZ2su1AyHuNSb4wfjKWR4/GHvxpU4rZsRdECJBhcC6/Pmr/FWWBwOCVcB434QwBDaIcjQvZaQjRZ39Dhy/vNGPbZ1Jokqtcho04V4MGft02VuU=</t>
  </si>
  <si>
    <t>GCWZ5Wu6Jrx+WIyKdlXJmQ1NMrSinuiLw9PZ3/mMoj9X8VUypeX8zcl2GYAw9yYNZPYOkPJ2uGjpr8+kpq/THyVx0ZpiWMpVd5tToptTcZVIW4HXfD4wcqBQDF8/dCPJlQXy3zx6Aj1gwLayZbPHELXAoULAo5IHIbF8TAOETr1gTauP962lq8xvErU8LlO1wV9oqE8Eb1f7lS6os6PVnihzAB6feJTBsyVJKlBrdRzbVE2R0l9N53/mHdk=</t>
  </si>
  <si>
    <t>Rkw5pSACG/Zj8f1rQ20XbeglGzy+9Goxm/x1CpeYJV+SXVKiQJMVdPJFASKbBkv9GdzIdFLry3r6Krhu5XpFlc8yk7wUQS7C7LzVcA63P2CDrPtnjfNz76GJf6ZYKVexRQa0nmUyOQutbva+nkQGyox6H5qMpwAESw87zRjjg8nWiRdLcdpBzijR5PzvOtKlPVsYYTuO9IsvkvjU9rHQ6cnqmGnnPhPcWe95422mIyUvGyjCBVpz3mKMeZw=</t>
  </si>
  <si>
    <t>P+XVsJ11PmWo+JMTfShGV8Jg+Lv/Hp2M/2t5uh+1HmofEPE+64hAUhFw+t5WBEk4hf7BCBD02tqIBEWOjLuTa2KfEYYJpAskWUIFyziU5vKpHr8cAIja2WVO/UKXRtQ6Dmdyrl60v0nNGYbcX97WTr840WbOcjFwj22KodxvDPQAbMckDSUuvmSnsZ3xST/jlAwpzXs3OKErrMzershMsAfgcv+q0K3ly2aUQuQRG0cAeCvL3hza/cNun0c=</t>
  </si>
  <si>
    <t>LlJX4+QWfjD8nV0heP3IT3v7TK8wzvoEfAL8FfFJPRJEFpksV6SeCPXt1I/Um28IU1/pgExV3+b4aOTDppGhCJSkZ+KUQWD2/ZmD6tbANxT1G93uKNTow4icnNvM37C/TXTx3LOKFpX+EzZ6RoD7VLx93RnXTUmymGJPgx/MLfr1kDBH7uNqq9SptmYk8E6+nYBMo0bD3R3NvKtMzsYisBQ//+OIc1THppc2mlo5e3Vb0zn5+GFKILwL3s4=</t>
  </si>
  <si>
    <t>T1VwSOyRF6fpoMqJMiWr8Puz/ephPQJRyQLsRDl1jl+zWHPtsYutaZm54CLrxTqWs5n3xrvOKVpYx/5j0dpK2NxzwjCDUpp/0yNNUZkzT1OpCo1V0eiM1CAdOK5yfXSoQHL9aaz2Z13Ds5KPnSC3/zL8fM4A4aPPSCySZasGhPyGWaS0BsWLbx43TZ+G0u9LxhZRJU6WiZTYCnZIzWhIa1JLCF5IFt8c0NsnTy7A/vPrfuEvcOtRUH8rBkA=</t>
  </si>
  <si>
    <t>Ns3AVHBYEbG/M2CnKdJXE/k2+IlJ9mCw6/YjWw27AnvjqI38ZGurxWcnVKGULXgCRzNe5dVBXihVy2shS6lM7Al/WHBc1rVCgit964hPspdxmjyssZSJ/Z/tVVGzxOQvvMCKYVp/FKYyarSbbtQMFKjGnAanMJjCzGbaNNGOTHN22Em/QxJdYpqGvY/raCQ8seJ3wnrglQxB/98x4y6QgHnWLmO4jUfRUS6jWTcmkRrKVZzi8Nbwhbbswj8=</t>
  </si>
  <si>
    <t>uthj1YtgZKHWzjtuU+PwjwLiPzi1MOUX7lfIpfKRYwauuTRfQUgO5bddU1W4H5C8oX9YAjUtJHrb66OMgRgSbDJzNcIA9o37L8ZULI83INxALufNxNjSsHQRRF03rQ+OEMfxEWFEtgjVhr08BIXWI6WXGNIU/wmJnyTPAC1qweQCzP61TveBIiCEPrsOem7lKvoTO1OnvZbdCNId8kjXWptYDyD/O+L7fba1JeWGUFI9iTUzSOba/onCSTY=</t>
  </si>
  <si>
    <t>6yVGRBVzerMFO/DJDpXM/NqFC0jRrnaiZ6AgiC3yctl3KBCp+URh61uQ85kAWKi/axfj6R/l2sVOgDD4Nr0DKiTOxBmJpDvQOeh5IctOoLA3xZa0/ZTcwXPCM1to0pPBOnpLpDBbvC1oajtOgGfZHqTyKfZ/iCLz+45N4FzxN2yNSijwijU/061g7vqa1MF+Fkf7fwZNUAmD4SfWR7spdcA2pWgwbK23BecwFXnoFpDQOiczeOSVXbRDRLQ=</t>
  </si>
  <si>
    <t>GC1RXsZhXPCcCqSfQm0qqb+Wb6yR9TmKBdiceQH96W9IuJcOapCdjcB554mD9hbsCRowG1QxUxwMFAWcPgAvQF4Se98OU7TZAaQ1IFAI+dfhP2mhtDnboBLyPv0ygfQP23uNdgAFQFbBwSLxsjhDoY+F1I1c7OspMN1ECdtWM8U9aQ7s5fw9orKe7pxBSqYcXLvUtvGS6p/OnigiiCU3Mr2Bh9lWonXcw7DwS2zdRWYOm0i+UGRMfAHJ41g=</t>
  </si>
  <si>
    <t>xvRVUzWPTTqAc7g9pmeBR92ganzzBAipGd3s6hCDvkhXUZwvIXNKLqFkG1668Z/NEuKzirRRze45QRRXmoHtldOGGhDF+OAA2x6rn4/Vu8x4W3ZxEtg0cmujAlI8goxmwCf4WtenZwyVI3lK2NhiMtTCHTosJRUdspOE2NyQQDUBqnOMJEoPyrfilsJbcPGszbGtAmTMqzd9FOIhiONQoaQN1Icg8viHNdQCWfbWRGJDu3QFU4qs52OtHoQ=</t>
  </si>
  <si>
    <t>oRVv3zL+rmMAQX+hgGZ1HD5nVATMU8yofBjAiZAT1PeUGCXCyKD2kAZABX19EetrKtr3SkwyG9KquFuVATVtif3RwYrM8F+yPkWf7Kko5HtG38RFbHXbljcJBm5uQVXq+/1nzDLOLgaACAoevYMMaRpbMpnzz3z4zeg+AIuNDOIHcsdbqW41Qe0kOy8uWSPH+B9AP2RkjCcKCFGPaJMxqEeSzZsLhvWYczmCvIrNJ4BL11ZU5HRBNscB1EU=</t>
  </si>
  <si>
    <t>Kg3gsH/+gUBxKoVEQszWbaRRB+K7Lae+/lbm7d8a1EZYOQZukFF9ldzVfoUOunFbuoQoW0ej/lK8jAqJ+NvZSsj8lM5Su2yKVsamA/Dx0xvXRvCcThu3yXIA4wql1SbimqIkJdjpF0Z2onGpcA2S+1cO4OlWP4lXO7BaYHWF65mJQtPN2uTJx0yiXCsvH11Z17u8BJn3cKRQqsSWOZOPAve+plL3oOllYO2XwSAYbZNKteByW4MqgQiAnMg=</t>
  </si>
  <si>
    <t>zV2oSF1HwFEj6mpc46jsa9VEeaHeNRENDqo027CES6MQLW5fZQqQfPWviPMC09d27YF5sJoj8xCkBpInM9WLG19I0jC57Mj30fiOVSvVXCBjWgy1jgIfkNL9iV4vLXQbsCpPP4TYmEpjc4yAECWkyD7nmqznoPOsuMAhFRhe1uwQZESAOH1OOpyhWijl4mC2V2z2rr/yIl4bmWVutJGSSZPTYIluGjjmx5Lm52sEagkH0j64cXxzlWR/00g=</t>
  </si>
  <si>
    <t>h1KgZzDozvX7zXGrpncKBEXp5d8/DSH0hoBtoBwFcsPTwEqhabKrxFFwJTOQel58wHF6uIaC26fMyrLHAS62FOwnBT1urOChEtm6ROGhkFG8Itp5fNuRMJZyFrG78vqWh/S0dvXlfotCjQo3988RNoThyXPvQm4mHEw+r7QkppIsNORT0q8CnBssOPozx390d0DGOPqfrXwwgZh9ozVjKeGBe9niq84wyrh8hyJPAv0uqYWPjYvYZVhIBgo=</t>
  </si>
  <si>
    <t>eCwBjfLyxch6BfRrvOF0AuBH38eHDpK5kV6FIqp4VstWW1esjbFhPK3kPoxvCM12UH7Af1bGKfEAv1TSNyX2IKpd2KWodaE95zw+sBlYosdaGQ1TrHCYJh8bTM+1TLUdW7MhJ67MAc80FrpStgIb8prv/iGGr/ruMumByeeEUFmLcmje8aBFgjtVJT7CnLwYMCpug/HMyZpNk37hZC5O9v5HeLTXH2aUOlCC24qKg0WHAAsEIOXHqqvYPfg=</t>
  </si>
  <si>
    <t>d1MquKyMZVrwYtg3HltYGa1CgnSe39jg/t/AGhN8TIrW0EFstYA091Iy0xSnQTnJo+ln6V0/M5OTtEL2CGjkc5YZPig/url3JN8/SIjqWgxWisa91NVt+4b2SAzrwGlF/1A56M+9UfpncjckY96qLsnaidBGfo1FHd7OCF2zhSuqswzBwyJg1bcU56jx/irz6WztAXg5dMDPrY7u3HYN8Xr1tWxz+Vjwwh2gxdArn1fcJBWbj957oZwDiSg=</t>
  </si>
  <si>
    <t>yMO6dvsSrd2Y6XfnEElqCV6Zg9Revic85VeS5Eqh/jgNLm3NJ/enAw5aYqasdud0AGSSk5/W7Ue6oUjdJAuG69mtV3gcFdPcwihtZL5+AJEJawb4QD/u4Uq9D0M244tSIarFPwgiW7WlxKi+MWpMGcFtAdTVmuDK2tcpVaSosYOVlJAOslLXp/WtVIGYfPZs4lOvnzROS4zi8RZSWFgkT0OTdamwXnbWe/38OS5botJy2febGsYvw4SNlnw=</t>
  </si>
  <si>
    <t>Gz8/+D0w53CAmfMzDl0JOzum30ZBaxqPfoVYykH7rrPHueOr7GH2uQ07TT+Cay4f5OVHWbQclyDH2gXMtN3Y0VunN/Y20eqdfW0TWegitA8AoExdZY7bMEk5VIXF+KuhwRruRorjomoRBbrSk0GW2A46RYECP2b+82nJKSXyLLCX2oKujuAPwyyszKGkN3yagW/t/Ez9cEZsjtErsQg3sYUMz74I8RaqUAfgTzqXGAde/RHi/BRWIb7UHPA=</t>
  </si>
  <si>
    <t>uiHj73dnJ6nAeSsk7ebbneJfyHhHkgMMxwxDIDokBHEa1e/RTKNsggiDDHnRJDICQ6yfMKmbCOUk/r/kTYHOVty6ctPyYwDURivQdHtL1pKzEyYkOxbFX6IafYiWSd01xGH4rF9haTUo4etuBDajtoOkBrf/jxAR3ehS1Mhu1vAV91WBWd2OORN6G9aznWHvCLPICozm5ScxpeCy7dran2DDmgYassZrksdIPZ0ECVqSTaXJQ6+YWyRUjc8=</t>
  </si>
  <si>
    <t>DvZVnqAx0mH7xW6XQEk+cMfyz8TbwUTd6XPnJXdC/aXeHqWNbRpiT3uDHpYm40Fc702biI9fy5EzrenMQ00F6KU34K60ATUtOfr1sv/7mBka0pUuzfpFT/WKlcwyWN8IyXf+0k9pEXzNegA1lmFl8+gKkasLMUQBYOhQxii36vVyyrRWVpQuOrTzVLeaD4tKC1ziy77Dk1M/05t7wzGAqQ9yANmQ1fnq5CEOw3N5jK2O6SrFcvkLTkgr6Is=</t>
  </si>
  <si>
    <t>ce/hYz12EJsNf7nKt1djBV45M617g0FzBZ3Uwy72pmL5WKw6rvutZIdRjDMi/VPJ2MCYkSPQb6X6F0WdHXtWqyfkp+Jd4U9HqZwdiv3qzmUiJrVAdSaSkJDLTPvyeb2S6dEvBP2XZxm21Jva3q85ZAdjhRngtYwTOmc9KfFzRGbl4LIAPJmy8J4BSZ6O+W2ZgWgvXsmDv+q5Wq55+GXZQ4MCe3dPJW3Q6k7HUA/zcRYyadngT01sC/CD60w=</t>
  </si>
  <si>
    <t>kzgQ0uymPl+vI9V/E3w49VItDJA1SZEe1kHgQEmySYXRf55uj+fuLg2upU2+FnwKaHMHYumkNkWvBzCferQkjSdFQ5wooMaeXXVIgbVM4lKQRjXKU2sUz4JPQDVfU02MpC2zkege23U1pI4bSCV0sbOtQo6n/pHFxPtJGqBXiAz7J1ix2YFk6PoyTbMCA5SohTtwI4HUC1NbOCdQpurRSMOktxMMu/mdqbHvTshntgVsiiJ6VpcBR1vjfwc=</t>
  </si>
  <si>
    <t>dEUI3RDSCNgQT4S7s35CZnmpbihymFVGp/o+TbleVou4sQIQnvUdPRYQMBbVgw75QK7C1eVroqzMNbFESh0E3s5+fOdvH5z2XyKN/yVgogdo7QvFTmLh0H11IgWvBbYii1Jd7bkz9JjTHqEMNKI+a+HH1daUuPeZoWkwKoyQYpdNY5SkuA24uBLlcAulpFAXPxp2CXoIBk6bqdT9QwsAliiK0ywcdhUWKOdLtX+/IMCbErdaRfs21xuqeS4=</t>
  </si>
  <si>
    <t>/vf6iaflfLeNVaJuOaP+oRkOVRqMd2QTButftX55uwOc9eBJZ+TnE7lmlUmgZvu7ZVwljWTA8W/vqshPX+oD+LmRO++Rf3DIKsxVo/bDupKKk/uEGWJrpR0/784RXJ2AIPLEvrEFvP4sLp1CeD6CaN9Dec8Te4AEHUZptyPhzHQNk5WGFKjXXcAaoN8lYoBGcgpxQQ3kAYzUpPTfRDIAu7mJiYfV41GlMMnce5enxc87iWmgXdoLtlfbYvc=</t>
  </si>
  <si>
    <t>4kLcMtf2ZpIBDDi4+1bM77wl//9X26RwfnkNf8V6pSLlY4enuVtx4GkImBDI482R51W7FZ8Xl3nLcIoKNI+/gujVkgJDfB6tqwYoU+jehES7t9sQqdyFIcb4BSdjxt3+WxOvs444RtY3/C04lIj47btUhICTqRqfsFsVnpJRBF44EFs205/cEW0n5ahXjd4bJt2+SBkBRiBBJMw1rGjeEm6QL1hDXLY3Ku8jkokTASckpVDzytZlBthzNaQ=</t>
  </si>
  <si>
    <t>9LXsbPJ/yuWVFBPGac507hiYNFx7WdlCvfm/xR7Osx8EcgKj96xLkSUv/8aH7QVWJnbR2A0yaQ+nb7+cFcEP25sQe67RhMzlHlggF8cFNA2y0w2Xnn63dic70uB4OMdH4O+kDUTXT5L8S+lNztaKKWHPXFJrhh1tczATLDSH2/fmK8G4n8aDUMSFxmnLACLYIDWmp+UA0srdCdTWhkRIEHREMNcjeKZxuQ3NY0xTuSywhXRlCeXHcBNjUxk=</t>
  </si>
  <si>
    <t>y83ADr3BnzDWsrhDrrfToQ5wGnmMnNGcdkzrx3Lf/D/qL9JBdvvBNBYxy100S2MukayyGp4iMilWaNk7o3HZuqTD9LAuhGmDYKhOmg5Jj0u+M1GFV51lsXohvSQSBFvDHJ0W9HF9lzcV+R2sYCh6Oa4JPovyyxExa/kOc9VVD+XRxgcuUoUILy/CqeaMhLF++7oXW1hSQBqcXSuRkAmIbEncAEDl4OiLCXg5hcH21L0KefRPNQ2yUvBPMVM=</t>
  </si>
  <si>
    <t>KF7dBOrdNi7p0fYs7K0OF5jGvddVNscrCg893+tDIhLDRzLJcJYU0QDlrXgRW5vkwsteEbRmdWcTFJffRjncp6pS70NzvZQKKnzhRpmOF3T5ZSuQ+rxwVNMZaWzL+ifr8V00AUbR6hRut7vdE3zNdCW22WL5dV4QtX4SkDrjeq55Im7cT98pcy16RyQmNAYrb2iY3iTpSuWihuWChK+iMHAKi/rHDI04BgRvtdWlijiOCfKcB3NjK3djUXA=</t>
  </si>
  <si>
    <t>QiJmWbM1Q//X8TJaTgzzqBtoUucHQYakythbPYtE4fNL/3nt5eTKKwaFYPRy3e+l0AIcPakn1QSvD54aaOO468H9h3FFjC+OybEzTmibIjY7ojFHyj20nFODJzxwnnl9DfAnjWueABXYvOVDr3m6M5twT7awmMoFNo2UvWP1NYn+GkpMFg2UeCSb+cktP1cJBXIpCfWjEQijMQ2Smjji6riIeRBgV4dDJge1XTEvoFakJ/L1ELuFnQOBcbc=</t>
  </si>
  <si>
    <t>I/GDGiqeur1lYODxmp70ua+xw1G6rxpi9h8XZrRe1jHG3AGQNPs5Rk+AYgivhmGDiihrQKZEyISNNvxyHieQVGwfWb0bSBbYgCudJjZJ3qse6cps7S+D1abahz7bbLNqtcLINNk1zQEwXDOwuvTt6zc9bhTR3UopeFl2eOmRbYimQUso9GNgR1boBaxf0mZQiFuF7N9pv6xPFpb/an9zQ1eSxDgopcxuc9rn9oivKqHURHNK0cHCe+71xMo=</t>
  </si>
  <si>
    <t>TuJv8t6sH5sSB+J335Nc70ZPJ91jpCtWIUhP7fNzhgEGSljfCc2ef3k2NSDEXTrYAns/yrTZq74TF+M0oP25/EwgX4dAehlwFdUWvO4e/RjxKWkhNS8jjlWKbrpM7RRyRF7b+WQSWFgWBwqB+XAqMr2oOuuNBPn6L3bjiS99va4KS3YKJNdl421bEfmYawPhkriv1JL359ROHY8f6KkCctpK9J9r3GKqBe42cBrz7DSXoKa0WkLk1lKHuUA=</t>
  </si>
  <si>
    <t>3UiO1U+exqKFVg/qm5hO872LNzqz67ehWtQoMB8bk6way2VkYELS3hp0tK/l/jSFjKAGtqOl1EeBPxDsnxoRzTbw1c6eUmotOwO+dBBGO04M0yDDEcf6AVwhacVLZWex7ZIVwDJW1OodfJF9ZLfRvyvkmHxcxFg4OoLAMmdaIhbVyXjc4XD2vM7F9PBpvL+mTUDDTxr89lm1RzqYcidtiHtdzMc24S5sRrScUK1IQ5AahWiXzy4nValCENg=</t>
  </si>
  <si>
    <t>dOEDJQiOWMgZT/3t/nVdL24aRlqwIi06bXrLc1dpf7n99184Pb0CeN1qHENlLakzfzJ5CCkFv+BDUtfPspmcON5/W87qJIj2cjQsKebOxgVhmcmMkNKKSV1ra5RflIlEFnmh3M5jCE7VZM5Xqft1Lx2CrF44jY6He2efmQ4Io1rzkkeeDYOBbeve0WBA1HHAY3jcngUpSg/+bdtpdOcw19INfAUud77wFJn7IzZ72fmwKQs8rn+UPuGrzDs=</t>
  </si>
  <si>
    <t>B1a68N2SFrZjQ7+qArBEfvFQDsInxRYKfe0jHoqQ3kKJyiowDq6VGzaAwT7i7kcIcJfdXxVYrBr7UlFi2/FLAmPeuvePIsxZAQWbto/LAJPxrIchm2iSXE5vIq64ckBlWJm0YkpGV0gX/JvR/plriTJWGs0yqoYk6Pl3FCcBbUcTras+IQGbstq/+2f5YfsFYxcRDWYWRERgxfeeX0tzO68VwolAddeF/DcflwfzkYTjjlOQIcZC+UWT7yo=</t>
  </si>
  <si>
    <t>bh5utVAem67Ht/pFPGol/99VHqMPpl8fCdyJvc9kg3TbHFlF1/p2uQThk2l1chKAAga/QucJLE8oD4an0y2gwVGaeoOvzIkgi2B6hdXiH9ASyTbRQEstpVeEy4zX3tLJbLf26fUMW1xObaHgmBsUf6mgYunQSudI+nNtyDDqRNXZIuOq7j5SM3v9V/mvc7n/R1DpHiUsIreyesv5xIx2AEWj54UOsIZE7KUnLXcSAR6o0FoFMhLonDi4vNU=</t>
  </si>
  <si>
    <t>DcY1a+y1Qzq4KP5mvTnqcDXjB0PMrDQxmaJgHAHHS6klPjLj4z4dTsYQKjWGK5DflnVNaFpCWGRsVsdwyaPnK1p8Phzogl6vlh7n3zj0zJp0nK4XANxVEBPWCSwcx/0doq694nvtuc0tfDYWyvPZ/+hmrj0la0RIu+wKjXnJKkjgKeISfhztBR6DzYWswP1uEMT4nPtM102b9ByVEyrjfzzDQvve41OPYas1HR8mXuP4IAyYeeQFdsADpc8=</t>
  </si>
  <si>
    <t>pVjvSgci25MedeFyIbEo01ha69Jv1jJgx7FVSXtrkDKJuxlZIpJ1Ly04RH0hJw5xQPMXwzCZn/FdwlnlrvA5lby/LHAFI7/BK2ZW7fDKp2VUA8Xd5qvvAcDnejpycx1gFeu5yQMgh+arR/eNtmSlcQH+dmz8dMGP4xhYZ2adtY6Fet7i6ITXDFkXVIOaHSFar+LEzpX2E9QQyrn20+rSMmD+n13NOjLNDrgPYvZaoAm1qvaYfYJ2Y/Yk7gE=</t>
  </si>
  <si>
    <t>uTds7Hl7xuSh7h0K2UdkWGnQZ0moSl93lwmXrV2V4wnzf14ZWPiW49cMW2o9fs5me65WMuhK2LEB+QyiH8i5RlTQLm0EL56EqWpMfvZCZKWEPIfEqTq12WS84xPlHRWtc/fvVR+lXeOS3RpQuiO2fDZwVvKeb/UH+y485p5Sta8DDjxHwnFfdNy734vVRKpvFOZIe7ElGmdLzSnaLJskhvG1PePZLpDBXZD+T02taZz4jVvZuUEZkoPVO0k=</t>
  </si>
  <si>
    <t>5BqbI0eEdh44jk+iiX7DREEcjQiEtbZXzyEy1ajeO0DgjrXtaqFvfhypUMT7pz1ZNzxh8g41JHJ6H6NW14op5APK776+YvXrVrdb5eVJmAj8/WCHun2bqzGGP+uCYnhildeupUuKTaNsc5XOicrxiUF4NyhU5xViLSGExxyi51f+6cgUJXxQwRhNRN25OwC7vhm+lpmPoroBGM2K87RmEMZupMF4zaqPiEwp3YGX2JtJesCCn2pC6o8Af5Q=</t>
  </si>
  <si>
    <t>id69P1mFTNyiJlcNV7wMf7hYg8Tzc+2chJlKA3SgNQSN05FkahBQG5r8k0qxluVNM+EH7ekjO0dvfWTjZ8iCNVLytokzeN7+AJKbiWdzDAcINW3gpXeRbsxwvrn0q+DsWMUhT7Y7N1e1Hg4FiPrZVSBQu9/rpHCHNJr27O+LGb4x1jRZ3fEtlnvwuojE/goTRaSLYZLZQbPze9GhDMunE3h4OsHu982KHVqZmQyQnifw1lw+ozDoflrML8o=</t>
  </si>
  <si>
    <t>SgO22Q6/lr5swaoLuGMHoy31Qu1EqaXkR4D+kXWORQ6BCRZmU33oLwhdYeG6eF809D27MzUpFEhHh7z6DicgBXJ5UQdP3cHJGhBs+BiHFYt/W4hNHSVqudqqU8iJPyZ1LvgyeE2NpPmBbuL5bY/myKZTdAhapd9yxdMiVmQGC/DGosAPfOlp5TAHCwRzrKIzIyE0UtdSZ29tFgUf3TRiwUMzKufHynAeK60KYVAowka4pHM07pbpus2xN0A=</t>
  </si>
  <si>
    <t>1YEDclk2Zsl3aiD07HDBA3Mhz37LhK9y9e9MkqPjaEfmatNO0brfvfR9utZONR1WdF6tR6axQ8NjVssazjzsIW5yiY0voyoQ1COzTLfrM6hjc0uFabOs8srmzDl0eOEWcgTd0Mt40QT7Nswax1+tWYiCHF6aLNjhtkKU3qRLtDJoAcdG8H7q7Zv1iQUwia4xBttAVhZNJl04IHrv1XTPzlbMxsuaouWsaQKYPubuz8gLM1SmwfwiaEoffjA=</t>
  </si>
  <si>
    <t>N6gbBUIVsCK7RHN/qiPBtiAxKYL0KAWink5bcoM0FfuE/dkz2KHgSzQf+PtexrCCo3YhiUe1sHiGcP6uP6sP7Py8//LeygfZaT1fD0eJQohmIRcBEnTiY9t7V7TXLi6DzJlW+X3BD2ZIlmwsfZCTPj1XviPXwaSldE++bWcIslAzxmk8QTgeAhO/ro1uLFSez9q9XQOF0VjYbnX9QoN80QmzAVPqoUKCY5lw7sYMPoxWdxN9FtlpyIAN+g0=</t>
  </si>
  <si>
    <t>bpyBCjyfhCjPH9pA7g119caz9lsnQ8rrpHV7OLM8hCY3ebGst0ed/FyRmxuztKg3+8m8x7PmugAARREMPC+fXIgto1GxWFTrGC8WXN9XYg+Q9AItIF4cgDM3Hxh/vBcutPoYe5ZEIg1r8N0blvALieiEtYnYsyw7mDHhEy5FxTRypTLiioJIFNbqGoibIQfIwTTuZZgrGyqHd4VCCLchQfzvYa0+Y6L1pg40w2I0x4kXU648voAP/1lMRJE=</t>
  </si>
  <si>
    <t>QCs58P7TmPgI8Lm5cjAJMXtEEcBsQgXmvU2vME5GwlePFIQO8ZcwN4ObNMqx8yK1255OWCNB/Tujpb2BdOcTV7RIAvkF1IqKn/XGBLTpHRAXlMDGbWLyQoThYYFJ3bQIM1ZrxUkLyhjCFiYv5bLD2Qvrf7VAEUE+JERmLKUHsVK1RUQ0lASd7KpPQkPMlo+FE6A/VROE969ED3l0MDDRfkAg39r8MM+beiHIUBijb/sR7najE7y0yKibzxk=</t>
  </si>
  <si>
    <t>FR9DjR0Vu0hZHqLG346Eb7IDOZuIiQEKXDyh2y1IN2iQ+BI138nmnluR1YGRl3fmSCUnc5iKnRDVJQmQh0oVt19h3tDoq1pIps1C/8k1oTry6Qu8xK1lnUZ5lzo+IhghHPjCjpKFPVdozEQ0R1LT9CO5E3S4FajaeRgMAD+OoD9IuoRXxWdBljzUU899pyUrf0e4D/2uQCBNB36C/kbdRDwkfqGOmPOWSdJJ5QfMiL4cyYKsT29/8eVxD5Y=</t>
  </si>
  <si>
    <t>OiNWNlwkJjIpVxpJp61G8JHwUMWpwcAcXH/c+FAFNDOiCQFzE/jcNUVl5To+MfmnXsIp0cU1Fn2FDv3wzZna2ecfJefuDP8/Xn57guI7mUEn7/L8d+RRbqeRXJ0JsTKKI36uXt1gJo6wm/7gigd8L/paDdKUlYhLezsLTph5P7pWeY9rL8V45lvZWejIPkpzUPbTHXJSzzE7zaTK4KwLPoq8gGSTFah6ZeMg1PqdcqNo3fh0tmBnvYrA9Tw=</t>
  </si>
  <si>
    <t>53/L3DMTJVvE6TtOAU56L7VlVtn7L0h3Vv//XT7poJtV+FUB6EMstMX02mncwmAPLyijyIVjNlrzWM9MUvxKge6H7gKtr/vFHNfBcaTmHLJS8ZXZCUaH5UHRm3Y6yRoTxt/fVOEfnOAmx4Dv1CUyK7ZX16QqzeLPNk5Do9BybG9N3gobdite265c6kICtX2kQ1OB1S+dcSKv/hW4grksF2QSVlr940w6iJ6qma6oM4EpWT9lLVb3WmOUeG4=</t>
  </si>
  <si>
    <t>v4okShfcyYcVRs0F0A/mB8jErMX3J0VouULSr/uL0jbQsz/423gnuL4KgGc3SI77cEK3drkyTrX1Q8prJ+eWa/ZV28n/kKY3v0A7L5fB97LZOfIHD7xrytX+f1e4mCjTCh8LHtv0e7spidto+QVlXQE7Zk3MuaQFs+9UcpkAOhf7Pre9kOjUqpRZGeO5t2EGzGGRx0kKV7/AQeGu3mOcwUtbsFozw6ku+11YNSYoSSTu8nHZ0Fx/qLn8iTU=</t>
  </si>
  <si>
    <t>6y+YAGLFfJyVYrn81VQqtdx4z1j+2e8eNqL0MC9/CU1U9g9Nmf7tjaAm/cB4Q5KnyGfwCF4hh8rFLg5PD2GS034+N2YojFLinbhfuNi3wNOqqMrNzLBiZvHrM/1OcgJrBrVB/81HyB/ZSSa02ITadOu+hptL/lpIkE04ZIr3/5zX27CgTi6KwaYNK2Knrv1aneHmrjU0IRlu3Pf+yFpFf30sbuD+Wd0HbOYf5NkVjELnR/wpebSETnBW8NY=</t>
  </si>
  <si>
    <t>DG4srW/4Rdfyu6w8WsSPv9kInrHyCyEbDx98ouXHp6XUOTPrVVVJzy3Ek9TQ+4xcYQbOF/cp+BYOYQeMePRah6PXTYKFH5x402hYMCn1ZURZ6bxttUboZ4f85E10MdA/DO0DfpYyj95T1WoUEEOzGJSsFS3D3zfDjnw/ufQAT3bbjGqKT8FNWZGF6A70++uj9NZwXnQ3mvf72lG8ib+bUxA4o4mbn13BqsFdtsSWsITbZmknhuUFbVEER7k=</t>
  </si>
  <si>
    <t>PsRnTk0/rVLW1vpDS7zDZxwdfvqERwyP9ekFWD2ex/RTx16LKewO2mCJ6trlk726ORkPriWNrR4iv67VbimbAsZP3IRcpq1CJ9+iUg5cW55D2ERgOXZw9mBo4/6nF14kppMf9efoaz7KP/T5KQ2dZ3gwwIQfO/OjaOonKnrCyiupLxvYY6ncFe4Th3TZwAqwYNDFVpJQ6CWsceVy9zZBfYAP8vVhAFhoiIwjtaUa+f8ble44HRxMPXA1JRo=</t>
  </si>
  <si>
    <t>8WCPkNFfFgGhzG5mzZ+JV2YSFHQO8mpB14q2ThzTjsYAZE/ksH5euMbh1NuHPDnXkw01JKkmu2KjM1d4fPiaG9UKquNRCfV7yYoKX0F+r9Sz7Qp24DYntFJYmawkufeiZJSwpuArutzBB9iQyqDZKqj2hIoO4TWieU1SA+jchDqjtuQY2drBoUOy+k7j4R2ClivdAsurJzb0T4KRpz24FtgnJ4KNOU4v9obAb+sazfn/BweYn5ncp0Gghvs=</t>
  </si>
  <si>
    <t>06e8M+xlTY17bFy0afh624f6n9igNJAUVLnNtArtOddcBjKvCji1cISa965CZ3/eD3V6JLBtf/96KPL2s5wURvjGRDOD/9de6QZMLjO58tBGRhfyoDx76bTDAOYUpuOJwLCpcF5undzytSuouv3tVE5h7Bg0CA60RWe2LUFZM9/vDUofX0lXtkM6UuTABBF0El5hQ3tQR0rb93ZplBT8ZVYIza72FIB4hjC4zRiUCdRvB6OZu++7RGbV+ek=</t>
  </si>
  <si>
    <t>WcLC22ddRGP2+9SP82j1F+0pNrEHr6VMtX85btaOLy/jPhT/g0TIjp+30o0H5Bd9V1dRKvOqzIzi9lucBcTpkNM2KnUSQgvg78QTw56UwNOhGVbX4rn6Vg94APsGtWdNk3d/5c6CacYiGrcJevIXFuuvBu3sW0EIgBA3PIETI0vDqkSN8IfuFtUF90G36DGGoAL3WlJMUZS9IPmLb+pVP9N/TeONhNqsmkA7/Ad4Uk8Y9ePqyTJqBSTYM/c=</t>
  </si>
  <si>
    <t>Giq5n9eHf1PKW3HZ6P9a+/rdAlLyapIecCCvXVK2V7Pth9acSkXwNaZFJXA0VpgZliGj7cHVlFm2936zNFwnlUS3tP//aYCwH4xdoNzqQ/GL5J4gpB/fa1+g+7tTkqhBzq6FfAEg4+UYDcSX4eT/KxMnw1zN2Jy8yu085KJkK0klPX82fSle+qfja9OPziztebtL8JG5In5wmzNimTjzD2P81JxK0CF1LC0w7/ijr68r09ub1cOUC+NP4+A=</t>
  </si>
  <si>
    <t>K8zV4mj8qJG741rBzoZZzSoL9ECCHdDUFgmkvdFNBhl+c7atHiero8yp4HfkRPjbBBc0z4nNxbxo/QUIiKTtfa0y/rGgY/JCIhrR/tElFUgttJ5cXuGySA69P/mxTjca6cs204zBR532zrzYczWliC7xEaSAZUNHAA0nR/aDh8M5pWuPijcya542rz3tSSGilimH3b2SxYwVWvQBeLwkJOmAr0RS8Mn+7i1LHLpJhYoLAqHwHn6P5pUc968=</t>
  </si>
  <si>
    <t>+Xcif88J6PAtmkU0HijZ3oQcV0IxIOWS1mPZzV+OpnxPTcdFCgmwf/skT0nh/F/e6QAvN7/rD4I3jQlu/B1QgeBL5pMa+nctABLHawL+M30rqeDjqTcy5DPz7pZhBdrDCEwzLFHFnG7cso/qr3oECK2+zgH9gXD3bTlvOVCk/5vWJHd7i2acrYUxkng1ywMpwNgjYH2b6gpPsoyYH0Qdilckny/NlS84bqYXo6KpNKsFPtpK0K1lSzqdXsk=</t>
  </si>
  <si>
    <t>jFnUAF5U3G9U3m08Q+MlDshAEJQwmWUD1SJulgAw+yn5afroa01xLzhHpjFG8dXATkQPXPlST9nAzzp6OtXVPvIQCJ8W6Mifa+bQKsHXn6dW73UB/jUeWop++ZHqjd8n4hEMqvCuiKC+RzEd90xAQh7YTWvn68Ucrs2vDUCxL3wB0Z7gFs4KcLS2lw4RVL48bqtQZzKRNELRMFIiGlNjTndhk5cQeui49QIu5Rs2nL7c/F3280yUVaJPd9I=</t>
  </si>
  <si>
    <t>r+qEzQPiz1cKJf4aWrrhc9J7cRAfajetBo+leM1t4t7pzTi8MB1ctyuq6ZJBQkuvzxOU2xaELFxtTsAFNX2MtEYuISQTteROyGF+/tHyaBEECzYUQ74EO+aex0JNOwhCBpcz58hqHwxltNHUU9l0j/G21PhRl38KZZ4eElwo1i7/Imy05pmW/Ltf82xrEa13t5cV/SQpZs93+W6YYpfmvxECvaB0rbM537LdvsPUWclSex3UPn99WcEovhI=</t>
  </si>
  <si>
    <t>O9itAgGwMBU0OqdohPtHJTUwpy6+qD5Yv84+6XXAUF89qW5gMMQDjhq7sATT4jUIrXTe46z2GwE9wcjdzAvdcFiV+b+eu2cEolfmzhrCdVps++Og+lbqLnlFqaXbuQtIM9nA1NOT3SBIN+WICoVTKaBdmIbOLOOTrrdvq7gEqS6YL6tWnDSIO5lm/jMvu3/wDQfFz31uruaAFS/LPXqP6Z7kcotI8XQa0GoqiM61j4vWz9U9bsTvLNxEpLE=</t>
  </si>
  <si>
    <t>Awgr2/tdH7BhTNQobAowqEu3UkVpCYdHcynGFo6+gfgcsUFNoysT4tQfAYuSCMcDgm39okoFudDzxUghUob+NozJkcncQ8gqUt0EaTCWZul9lfYa7wcUv47hjMORA4oZ5mn6lx9fj6UMiWTc0LjBIaqPrYvBvDpelTREmVbvBWFzjHXf/6EzN4aQAjU55NMn915yPC3+uAOsPgZ2X2NrBxNAtKwcRGDBU8wh7hD3qpTw3b+JcfRVEmgP5P4=</t>
  </si>
  <si>
    <t>lAdY+lCal7CefS3WqooOaJfwBhfQm64+8WiY77DxGlW0hTFaVC7rf0+4VZHEtZ3QIR9re3LOUODe4gIy7O/3b4jRvd5fOv0OGzauRytjg7qmdJ7uI8ZmJQcmZIgLfGk0v1Nm+W7rUZQPSjDvg5n4m7p8fc5vBHeyeOU1nmMrZ5B1qHJBCaa3QmFFxUhUfBeUOGpnMlIzb5TSy/9Hax9YcqFrNIo5Bm6KugvzeuPgQYTIVttiiF5SuBIduDk=</t>
  </si>
  <si>
    <t>ORpVKDXqfGp7VDEZ9XCWareRmIadrBs6+OhM2pIuqduc69IqXBOP3PZdTIIBRf3TCPLYFw2aXQQRzCbvzoM2ynWZQL4ka8sjJ9IGopC0B6kwAVhUMfhXjJfAgJc+TLQx3Le1D6zasjMS2+xWQYw9ppKuQ5/yqE0qKK5gvfnH1PtYNcVLdc9DA6+f7zI/3glaHvpmW8VK5tcCH6N2RjbG1PoxREAnB4r3B7hVVqSWCx7WA6PUohnowaKUazA=</t>
  </si>
  <si>
    <t>UPZff7LhTi6FiDF3zxoeWTphT9yKmsrshMk45XnDa5HqY0+C36jwud2HFQm7x1c5GtsQAHu9WjjsqBd7c91BmJEsgkuxFX9Iqm2nE67+/gfpuTSeoDp395L8TYerVpHx5TY7gASXv6t/QLx4R4qW5bTd4kOieCHbLF9IoFYLmdCBwci2hy1Y0Qb/+6eBZVkcqaDAuUAcqaS4UKM7EFtFDEWDIQp4JOGDuFHwP4HlEAXeqBV2obbgrstIMTs=</t>
  </si>
  <si>
    <t>A/BZagqx7r9zDv32OBC/Ssjo9vmSf6VL1ugwY2ElnQBBM1LP4TTBbJ+u4T0x74RSHIKmn+g4aAmqvGb6JCMa+hj/w6TQomUTqCxHAd34nliF+nXv0wJE3+NmTp/gSd8cLvO18brDj+EMzlOJZ56U7JrYb1deyAaapzJc2BABnXlGTyu8kGryBI0vjZUe7mufip+vW+jIpptzgYk/EMEalHR+lcb3mMsJp5c+oAN5jyY1DMQk2AdFwdN4GeU=</t>
  </si>
  <si>
    <t>hZswDWk6nJ/O+fu3zoHs6TH5jTNKCYOqNtrWT0I3R3bskT8DIHUt7RU0kZKg3zFR6ygjrCUXu5YhiNzMP+2j1bBh3tYGuNtEB4rLBHuXED8sEXtRMdunKLBx0QbCOKwZErXJPidVUQAVwlL678Z9mIkaEgKnL5X/Q7h3ZcsCmVFoEgJ1hEyDykM6GbOX8kkIckNDNiIv+At+RGcw08XYpAkNv7voPXTsTI20EZwLRdHGP31dIR6nny2J8pQ=</t>
  </si>
  <si>
    <t>cQwgRao+Qo8THlvuT1GvHah+CYPbSFNgApoePH2LFjovU2ycPdAZdEzRcK6qs98kUddn0e45uOvovydrTUxiSkYlfJhwDM5rjagITpoST6KmyCq7lpm67ZBz2UIC8FpspyEU7fC8bHNYC1EyZspQ7cO8ld01bB7mjbi5zr2WXvK1U9OPRzh8k2WvWql9Q7EdgCYbpW5kmRU4xGH9jh/RABYYs0zUScQgBBHhTNXE27faW8hOszJCtmamPug=</t>
  </si>
  <si>
    <t>gJpD02jVw8TEEHqLgx5GsEO8LkQM8g8QGrpggmULyx0qDLvnXN1LBuBAB9U9Skw/PQ7QfKMAYKgKGEuIyfpYGKj31bV4p0l6yxa+fL/2wdnOcASzMCCtZg6dC+PMrvqp7kL5O2QzFirbh3AJVKMlGwEx5HS0mwtKxkCQdk2pGkIkS+V+pCq3iOELvt4ywcqFDPQHZi54Y/nkE/9HbmHRZYu1QlrGkogQ5oykbiyGn+1Sa74K1nml8R3CDY0=</t>
  </si>
  <si>
    <t>vXJNaR4FaDwAp3hjrdWPW2MyWOt8F+uxVXID/RDp/41PDVO1jNm++Dqlj1k5EClFRxX/ypMvhqa2Tpt6+dN86DhtI6PDAt+U01r6DxfaolQX6SFG5c7a8eaa3/GYY8Lq3uFufoasOcYavOPJH09Q5MAQVHFWgP7dJVWNIpGkpsofmxMFQnqDfHUCzWhSjROPC/wpUE54/cawPuvt3i/6kEV5EkwHzdSOc2CCJeg+Z36z6xd2xhNJvl4lNBU=</t>
  </si>
  <si>
    <t>SgH9sCrJ4ZTVfthxlMxZ03dQBqhpZ4bgqdO+3pCUBTEJMb6JctZqNaearYDTj+NjJ0tuXRskfKsfUkdD1bN1UHdNy9AYhmzoIkv1sgQaXqhbOJbCygq3RSr2PuMOBpPqjH3IRFXoT1S8zwNelqO5zUcV02vqla5LnOnqI9TNkJgqlzC6SBNN8FW2mYDQWR1WjgT8OfB5Bbqozxc7Tt0ekYtx7S2F579YC2St3NdDfNLLu0qfa6M+c7w7W40=</t>
  </si>
  <si>
    <t>O/UR6om+7azL7u5q9TfzHsnLiHCpa57qey3JNfpcmzPB0/c5XExjAFrNCB1DHGiFWM7pcYW/12ebu3wEpwYWIqn4N7sfFkjwqe28vob5gZdOwWSdzhrpZe/ZVWivEoZAAF17I+k23i8uCk9CLldXwv8oIUT5D1McAIAG5rcsNvI4PAiPaxpcXk6tjoWXOZhyVeLmncf2jmXPnWbccL3otc4MaTAQ0Mv9inggcMCvpjYy1+myft34pO5vgeM=</t>
  </si>
  <si>
    <t>AY1PMPRh6pjN3pgb90A8TuoDq8Dn6cK+8iwdbKnLRC7FT7BlZd7lKJ9kTYUYubD5nmrVcKvF98zPleOpXdPnONEHOsnWjdQNceNRTx4BSwqArjvVecZtcyTaoss6R3QGdiu3GeFMAEIwj7IUrKedU6zVjKbdjYIZV7jo2eo763Q7sNGzkFoRuQ6sSufm8/zH3OcuMMyPBS2qStyDyiJfgBWu/2ZNdTLLKgyzCMlU42QpOcY9CIMaZderJxw=</t>
  </si>
  <si>
    <t>CBYltDdMXOEJKxTolpM+9BC9DTYh1P1W1c8mqlcsc6Oi+R50RWUMkT3NpUhquAUVWi4BHfbbOOiD20/35/Jnkqj3bbjYi+KqLXIU1M3cLeldP/Yu823xotG3s/DOWxL0Y71xWLrMVpLVM5Oqw91lh80JfBaUSRtcFAbWWuepZ+yc5K+I0EEvOT5j5LDKHvNlo412Mrs4MS2McRb663fAesslfsjzmy4p3Uxr2gLU3RsI6lsrA/O5AkuYVDg=</t>
  </si>
  <si>
    <t>1Fa9uqWg4jMIqBn2DWTWQmjD5TfUQcUoLNsRZNP0O1Rp/D3k1fIsSDhU/iM0RfSrmwMeOQx1Y9wUDaGsd0OSHZzH8DiKmd4rSFW17j44Dqv37V8SzgpXM5bPn5uOHfHX0H6HMIX75oGXj1B9kjMklAB51lKhcWoHowGY545TFggSLfb2Jl99ZXvmKz5Zd08zl4gF+0bF5rS8qFtKBj3e0fyFX2Qo1vJxN2DL4vGAz/JOAf/khngdl44U5aM=</t>
  </si>
  <si>
    <t>zuCcVm5EB9kaLbehp47bff/8BDiE+z0fnqtmgXdnp6Vl3cCgGHyVjukTvF76iSIbZ6qf5PdOsefDoTwfl4QH5Yvr0loKysQVGzOLfrnOAr8thhRh9Zmlw7Mtr9sxXFCmdLbsikhL++9oop1BbOkoTdLF/s3tbEdwX/d1eQ4XxG5ZQEE5ZoWFB03UEqYYgjNxiJSWXovvIYLjDsOUaiXB3EoEe3tTmoOkGrv2VVSwPXgXVd6Lp0D9GL5MogM=</t>
  </si>
  <si>
    <t>2NsD5PuvzjuJXhPxbOA1vhjoBKxZQMWOl3+BKKbakUqKaCsz6/V+YjCTG1a9+WP5oYMkixysKIijhheJLu+F+m6tkJ3Iub6/8Y+t83LFKZ2I1LheulC0jtEZhY37SPqdGdY+mapwXoEp9F4EME1uYkXkDpz+TUqqVtWFvrcEV7PPmu//LUGOfGwDRAPEdj0M2gAFkIA+DECfQu92wEJXvGBn9td08TEWMHKzNC8+OH6kkp/WuovEv3vYXsE=</t>
  </si>
  <si>
    <t>RpYF93/GyelCbCoUqqhoBxcpynrrgv1Y4eVjumlm9en1k2D1lGiHkpohAY8i+ojnbAVOT79L6YRZuJ6gTzAwdRjwepH4JPGu3pszEuJVY5hsGudRoiPXChXgzrJDtJ1ofa0oYUU+oFuAOoYRO+Vc09tEHw/kiuv8jy3JFAzjuQ/LE7JAbwbPt1Ca4zynfOgzranvupL7DS8HDpodDCw6Xez+wjm9oX+1RIkpALWlM/EyeAZv5O6t13IberA=</t>
  </si>
  <si>
    <t>utYYRN28k+dgsFr9+07vPISs5lj0NNiQgS49puW0hO8EiG75rtUH1FKxUxU4w52ghrCQKCnIkyB0JlHoYCEgGJkZwUIvoHIVnkqHzlCvfDW4UVzJu42H5o2Kdp+JxhFNW8bmay+AfUFG/mlwHdViXIMor05L37y3v/bsAugTedX11sIJFaDz0KW0pUXwzV1uRNvZGdpDmlnDxPRaHoI8Zv5eW3gaJ96NuStzAs8hv36IGq8ynfO3GitRDG8=</t>
  </si>
  <si>
    <t>VSx0s2B/4cyimM/uqjp0ofwC5EwQmsbOu+ROkafqmNO2plvLhq6B7kJ15fpnDebChoQh/II4Opr/hU5ADwCRZoOtag6+Kn623ZT03hbZI03zjOKsDCSs/ZFBWszWjaDo2EvlJUCCtwtRZUshPABm5g53hC2/h8nwMBTk5w5QXWq8OJ0POtTCaqdmELdlQbmSKF0JHiMr5yrjA6VLI3NOLZAY2u1xgrXuJoJPQLzYFbaa7WZrO49qZ/GjhwI=</t>
  </si>
  <si>
    <t>amzGuhF9r5qbB80IK7Ru5hGwKWdqPPYWXuuqkC43d0MukOsY0Q6wtYf48YIxfvyhPikCdyB2zk+X3BzMMKK/1qweBW6oMvuDgz6sOHJBUg5lIlmODJJ8+OyYCsEkwMyZIAb2R+5ROwdw9g5HpRAgJDBM6NMaoApHDkIAfRUyKmpY7AZ/jnwAUWEb8M1qk4F1qXzFfkuJgIXU98WHY1Dahi7TJ8LyFNdB6jOPz+IMf9evs3UXc/7Vu6E0Qgg=</t>
  </si>
  <si>
    <t>Ptv0NtRMLOHEdpYoH6x06ikqY/F2twq0nqryw1igx3WpGWnYDRphnamH6KsduUDfmjpwg/UvAiRbuXEMJ3p2cD3Cle56XaPJApyXLYlY8mn6/HQi9exReO5PSDqA8BLvL4eUvlv0Dowu2gPAp8ZZCy/GljZg9mlj6iMMz0WCzwBpgUvfK36ZzmRI1RtO7JmgtDRUPj8LpERkBwQlJNbJ8bXnZt/QIUiPTH7N3chmxsO16h/ObSlG0nUIu4s=</t>
  </si>
  <si>
    <t>47RiTy+K34UpG0dZAdkvWU/i23Y5x1AHeRZLUKoBoFf2ogoDJAxStkzCaHeIC9ox6jok+y21GZk+sExUgyoIZgdYNm8CJ1g76lIQoKanU9/KoIcD7cPGfDcFshKookJrau29OzRMIVkUvHp+OIi2/epRBkhHPOa22ZvGswSAAp83BFScCvwmlBHu7du8xHXSqMqcjByv+DJZ8csU0bGbdhcufWZ2dz3g41T0Zj5tL1+UWAgsQhOM6w4WXAs=</t>
  </si>
  <si>
    <t>ZypjbXBXDb8SQAFBANP5Tm+X7W8bzJdNff+ewmxN4pWZDlrbWXazYp1Jc5ExD0loeI9zu2BzTysq5KfAdBfBVbl7P7VDgyMiWyFQlnQ043vifNHQGHbdJ/hgebnScENp8L2+LtZIiQOYx1zfh53Yx2IIkle2qoyBNljL6uHJdcJJ2wK4FYXJmCmsdD4GXawCd0jiDs+LQN9aXYb1bMN+GswJ70FYOX0hN35I4fVdeyF9VW/XheoI0rsznkk=</t>
  </si>
  <si>
    <t>LG3DLTK9vH+FxEzZ1eCoZ72iKXv3iNhzvmQ4Mz/TIuPqHmdBv/tLj6uAP91tpiQAnYc5CL53L5IYFwuRw+7xjbCyNj1OH6wdLIeDZPERWiiG6AdNt1WHAlOU0BEWXUVNm4LUcIgYJv5xR2VxhXT93Jf6s2ATyQY0I+3dxJWsyH3jnoZzQvW/j2Ss+rX4a5KrvM4o9UaffAT6pTaHrBJOul8e6ocQy2XzvTLahGdASkmOM+xQYGp1zKiRUbg=</t>
  </si>
  <si>
    <t>Sbt5eCpE55VksicnO3CPfRQyftH1VfmV9ZIYUBbQfrvFcy8q2/9GjHnP5W89pZTdcbFbdjpikplpyKTX93CYyddF4nUpK0o0pSit2Y2Jxa7IvlpZNaOftiC5KVh5PMtYxyIu0ed5hRPivld8L6DYt3twtD6Ew4sh48mnuyOsvTe/lbYzBO5mlx+MXnZIesv86fieLPQkNuJiNuXhXwoNuS8QWZXX3M4KN1U4ZGe9j4eZDLn84XirEdoBm8w=</t>
  </si>
  <si>
    <t>wVLqCuopl22kNElYtlcWNDsO7Mn5RKzEr2Q1wk7EvBGdqxcAgS0jEiEqtxkucHSrOdbB5Jhgw5ZNVToNFJ9BXELXjw0Am7hawE8wBlvsZSW+eeQehRbMajx3/Q/Pokj4Z8EIrFlhqFGdQtte5s5OFR4iM2PG4OjDm2AnDjeGEQHi2YZBAUO/Wv6EwvnW6eLFdHIGWboY6/t/BIYiRvORb/IgrbwedjxsUkGuFnRE12NAexIHnLmuqV7XrEs=</t>
  </si>
  <si>
    <t>6/EZaTtVtfrTabLOVoWfvEnvq4TtVgkS7OzBWvJKrxVFCTKQKJqVbqY+PVp9I3sgruunz7JMKvEWDOJslPRvio8+9ZNzXJkUTlETZ+vKvfjkHBHBEXYhPlts6inlIJ+XFAlZw2bMnOsgpy6cHZAf+Cn4vJJ1CcTCuXHAsNvw5q44tTLE0E07dCicl6jk8Sv0SvOb3T0t8uC5OPNIeY29bzxKMpkVyVlQFeOpuSX8gDKjuEb7nQwhBJLvMdg=</t>
  </si>
  <si>
    <t>6CyyXyoUC5yrzAPOeBFn6Ph0RQ0N/GkYGPh1WpYlvzi+9mq8cFPQUjJZ5oEnUN1BlDgA7w3RE9UtgeCuAKgP/O8FpjrRbmOrSHP8RBAmSgwDiYjDlb/Erdm5v9YsFMSw0pgBK71xMRa3RSkM92F1Bd5+AZ4UJjyxdOwcVqXz49Ap4FY9TL9aHk7hnGjqCXOQHfGwI4kor4fkWHPAIJDcIB1XpZnlumP2kfm7b3WfCc0CSIi8d+4uBjuv8a4=</t>
  </si>
  <si>
    <t>TteTAsZkzJIbdHbEM6VPDygLJe+SqfD76IAC7UKqoORQTFysr0OmMFpydpCMW7v1/LmU4XsbJBa5SPpTh9sp5JzAz4JRD3lMw7k5Lg3REmrt7RqHMhkVmihG5KJJBPy/giyRtazvt/aXsSplRBGXywEQLyG00fQCgAVM+7Nd4OvfV/1dCtcPzeRj4lKq69cFE5VjmqOiBUzEga0XeXtQJyBEJ1Vz8oyEM7OyI68JNe/njM4l1GKZIPJ6bPc=</t>
  </si>
  <si>
    <t>NEvUlAHvVDpNtABjeohFJOEYYUJXF5+2klzKlj2gomESD4ZGmdttZIoWmgQ7ymNBlvSD4Uwao2H7HPiXu+yf2FR2rLoUC2lk7zu2QTbZKQXCcWLb/DXNjim9Qg2X6bDnN8xwc8q/JOhIrzYJP1x83/VI5jJAQE1pIO9/SnXb3EhbftObVrRjgghL/mQ2LsfAMaoAG/WYdOOW/5URo0J1H2GuOo/mbPMAZ8mKKitKI/8zcSA7DPNQ9UeaaBM=</t>
  </si>
  <si>
    <t>gO7auJF4/TbjySz+dDU3ixhA3omawFVOV9p3lZuBE+K+B5RziNVj/SOOngi3M1QbS4ZrDF8gTghwH9ojGUrCRIGVFjWlWhBHnWHNUa4yoUu/y5sf4U1jEMhJDU2J9L8JjTVEUXjUCi1dUnfCPWoB7Hy+/WgzZvVHHSAJCVeMQ+sdHUK4QD+6DSMnIah2FbWK9CO0TPDIitBDAORhlIxmQqluSzIbof0tyJzdRp8Om3wxJbV/WXYgGNFlPYE=</t>
  </si>
  <si>
    <t>IaNIy45o3/+LdoIJk+w8U4ZZT0fX4gIPaVaOS3GpAXQl9Ij+WSHd3pGvWDUW8qnyPfHHcLkUu1f1STmvFz/WnoMhKbc0cbPwfyXhYNZC23FOUGfax3fT4JHebXdF0OUQg33oitQG3+6ybxzeS3s7/AMi87sjo4lse3fehgAzNpX5nku/XLjKgCU4gV6Jk+Ds8W4XBXLd9ZNV8dWQt649bdX4okWh0gBeIMA8YvmcxwWAvaBmxd62zyt8Sw4=</t>
  </si>
  <si>
    <t>9y6SKSXJvftKYiN8oTO1Z5ipNVuRM+7UNcts1kk0pXEGsXrcaTRUX/UQZt31Uweyt3UPur+mvHboSRMdJa4I4+pyaiJlnzDHuWk6cD3H4XzYPZrz7vto3h4n+10U3C+bgHB0YJciFrV+dmhpEGx6+OD4yWPXsgkII6CtaZut3IwaAZHuXG2KjAf8CCLIpTP7Tq9Z8uMAzsdi9gtpNVMoh7poTMSfE8wQsXk7Aqpvjy9QGgvvjgR9R5KZ+Zo=</t>
  </si>
  <si>
    <t>nMdAxncqFuixeU0kr5u4Ywda4hfEqOVGWnIu0874Np7eukghuZJqq/LJaSfVUDLOayBqw6lkLrHs+i/pGkoTjP0M7nkHMKM438CE2QgeZesL+TsxDrS2CXGkezamRVUeUrLYBNuExXseN3qF5KFU1IsEdzg7fGv4e8uQ9RrIo8rU7paepV+6ahFgz+YirKo60Ytsbyo0WQjuEKYr8GKd8m0rq2stSNdP5+DUzIZAVI295Qj3U9NI/XoyCqs=</t>
  </si>
  <si>
    <t>ZuiliyqqRBNDCoP2nmiWcbmIFA4+V2Lnj9xPiZTdrrzaAcpP7TMtA1I1HoB8COlL21cwbRLhAtShVvOLq9ylKPG8lImzb9gKhX2n1hSrGPtamWGyeqJQnIHvXTciscMGofwtqTommslvAvAvvkOKt/W07W4oA/hapj25yLPbGDkN1AVwPyPEu3eUDoIA3YbwMJdWBaZXZUO5dW9CFxHagYDQACzYSL00j+Z90mNuccBzn7Xatcd9vWvjpYA=</t>
  </si>
  <si>
    <t>9CpTuu5cM2C49/bSQcNKEl7cz6X6AhoeSCTMucdc2pCIy8eVNXlah3vwZbXrMnCvO6nsRbiXB5KOOXHrho9RkJ6JGJrqc7nEDdEmlUya5utiMqYQYANi8xDptziAElW2ImB+bTfgVV7iwy8lrLht4okIO559vE+hcWlp45OYfznDv7wMEWDk3X6mfaZFmKEZTSY/x59PAFhY7C0cLAcNCbbsdP1Be0FzCRBkwk6kCmkwppus57A/9+yezGM=</t>
  </si>
  <si>
    <t>Eqe4xJlcTG/uZL7znbf7ngUxwe9PC10LqIrJ3oMP1W4XPYztiOt9IqvglJgsF+toNAVRAdmgwbLFpnJ2+5HFnTWsJa+3iO/zzR2wWdFBamGd6Xa6y0l/SOW7BUmH9uXjPq+yv6ZKEilYvhFqp3ROCzYzS6jNEBs6RoNTnafuoNRHe0mI94rsHgQb9Seiq2fbe3kzen6TW1S+hM66+Nkq+mgH4lSUvIa6YpibftWQIl6P0NtWARpAwlYMtAs=</t>
  </si>
  <si>
    <t>8f6noOZo75kCsIP9PKWJH5z+8fl+xgNTAxIIzTZF/rU9NVJSvS6aJUCiLAmKy85P9p1Fepr8eqj+hovxbGnj7Mnn5SHdOtA7seX0ZoCI0T9OVUJBpWV3HO5hgfhmaTMVzXtQqh+QlVHyBpAcuEfAhlwtsQS0xoOoxePHbcDBOoLjkeXLO+wsuw5lfPPrh+YxjCrjwdffne/P7U3jD6EqV/ENuBbczuYQXrTatQp1IulxjZcc/kCnsLP4Ftc=</t>
  </si>
  <si>
    <t>4P4EEfz0rj8QaVJ0hu3B9lxWdzqZUAadMpTJk2DTiG+cDGyFfAo2jbDxtxaIXX8FDrDn1VYZgT94CwPIB6a207r1bmBp3OUqb20GZpWkxfj3iSOrIRkbNiuLo4C6SpRA1+teUy6diorYXCF6P+mY7blGtznpL/j/Q2XQd9r6yBvcVkYgFmkI23dfZON2zxWvSSH94teR7aVR23U5xu14BO44aMKcAAMySls1DqSWsEot595KL1gC+W9g+Hc=</t>
  </si>
  <si>
    <t>oT/mrXIRO4KFQaTyzbUNIGAonhsPZGYcThAzcq+EHWgBY3iLuVlON16Fy2qpeu98MjoNSkfUEqvZA4WN50NtEbQQZvyON5sSrsevg2F8YWEOOEYTcAvN2Yb6RZ1L+vgt6jDMOAcJijczdjoKkfypIEy9sKpL371JfJGqrJP/2OdQtGI9dSjc/kNHAZqv/HRtHvAYkcQl0PEg/EsZwoBzkJ/ANKGREaJ47V/N08MyQxm9Al8rVviHZAqWgYA=</t>
  </si>
  <si>
    <t>KtthaLlf0z8BVcZvlpDB3BR9isuAlFWxFn35uTqVnFsmkxidn43XDoOqKz6qyuscUc1spv5kdawhzdG9jr9u4kNscAVIbldOP1zLwW4djuBWyzL8MljFO3ve3LCunp3oa7jQ2Yu3+TCk93Wi1rJzjrLFurrOj3Df9NzezXwmTdamU/CfLTcxqArGjzPrn2ULxgyNRNL0cWNsfTF11rlz+gruawtTaTMqy2xR/wTyDak0P6jo4s6wqH5g0H8=</t>
  </si>
  <si>
    <t>b49IaUTBUxg20Fhmd9CvHoVCiJbuJShpWj2b5rqYgDfOhuKFbMsRQyOMFT0NC40lAkM3twakd9SIucvLg3ufaNrRj6B3przJ/ZUIBgrRQgR9KAZh/XzDQVIlNpkzTHj9aXvX+LMcUDaDUbWiyqaXskZ29rmiJU+VUpRXzJbHWqfMCQ+Ns8Qqgsh74wZiSzPORQRs7SPygNVM2sKtcFHMPE3kX2APDd0wfi6QHHOXupXa8GcG+S0w8NzIbpQ=</t>
  </si>
  <si>
    <t>wROvn5W0GUXuIQCqqMvOHOuT0SuTwI4tl6da+QJT3GqcuDg1178uR+BIEBwetYcF8LiTyjZobC1tF7NSoOTfRIFw3lSetOYNl9TsbdaIBYSKKvn4t37+aXRdlj/STE8ivtI3UIAnfNQTomVbxJM//yliXnuEzA1SA/HC/br/5GWRv8u143ahjuywakXSb7apRxxoYH5FvdafKrJeoOTHJkppyWbVl619Keg/iEwmrieeufUxtUaQdGX8hWI=</t>
  </si>
  <si>
    <t>cPoEHtXBJ2A/rFIU/zHvYowwakPKgSpzsDLLCQ8XIIFdowqut2xpduPwUZz5NQBD5vDw5rsCqbLA6+txjoGmthmkeEXmRRcq++f9OqUpNsMB/EziU2pjecbxFFm9un+mOCqDKLMFsvGyUQ0ROar6Wne1QSfH/hmLtAx9b49nQgITPTfpa59Kyx5dVdpaKLGD5uiljlcZSwXu+z/b2M2YiInRx3U6C8EqYgxME7zQKZmQTO+Y/HXwcNa/ii8=</t>
  </si>
  <si>
    <t>PdNo8Zcdfdp4GdMtbMAomtDVUucSVaS58hJKtY94YmeFGn9Yn7Dt005PbuvmB+VuqTZURHbTnFGCSS9fnoEQuhrCAZ/jXQYwxPBcju8u3+ItE23lVroeRFQDdNsL0ZINzi1vRjBXes5AyLoPXpuhsSn5HZis+YZ9cZUJP8ElrxXdZ+qFq0IaCJHbCrBtGs4UT3PQfFEhn8Qfb6gzmIojazI4eFITc7QBWhZ7/Y2Qc4E4KP3eV6+D47/v/7s=</t>
  </si>
  <si>
    <t>OFyOR0I4cYdTW1dD2TsfLEtLU0bY+mB8uX31OXxPnNrTHc3uAsDj1snM/HtI1KqjrroxnF9r4pW4D9oxFKM9Mk6uFjnz9KcwcGPjiPaxQOcPMK50aGPHE7qjBMS46qGzsD2UwEXGDEitVVHCoPA8ws6IP4ALcKW00ZLvHroSyweEYAA3IPk7ifjjG9RCdbIRw9IlD/S3JEE/b6zAXpGP28yfiyMF0ccm3+IXJuxxU0Lrwh3aavNGg3/EEAY=</t>
  </si>
  <si>
    <t>jQ90Sps80RNW0Hf8wlrnzhlNo69jfe7NGb+pxrsjWKJ5tH4m1nuR4Z5u6duYzHA1sjnGmFtBxZz2DdJXFKPQL0z44Ivfkz8rrkl484jJI8gh5sGQdepg0HcPwHUrw/R8PpBsX9DEYLwA3L9g1gT4OLhrCXHU2bs7JC5n80vgiuWaxKXMb+2wvBgf/wTGOrYOL6vFm+kEgVDWHtzggf+qCqvdmKqLlMhCaf6dMVtml+lWMb7SBDylTo/Wt5A=</t>
  </si>
  <si>
    <t>gII3OT3M62Cbob3kbOWEDVyQWk5wnlTJQ2UeyCmyTAEYcMolWblo1u4wZAW5fzGfsS0DPqwe7ci6aD95xhYIL0W+x3sxgC3Z3QAv+4wvgLb8U+fTHEkhgkbHBscFHyiKWE6X7tVLCu/TAsO7p68YclIkmz4+Phr9vKGpFyxfIBEAUIlHwZ2/MUQJeA3d4t6jY0kQEkg7qG+ALHcNJREsaf4g6rfX0Ly1qH0nTy4BKh6MFDAoJd8n4ykuRNQ=</t>
  </si>
  <si>
    <t>wX278y4yt4wjjb0QoRLPUpdFrALcFQXXfPZnzaXV5DERij+Lf/WFeL5cfB2URgs4RxWXRNsrrK45smXR/UWk9+80ZEJrPv6fa72HtGvfZFveMpaklT1n34pJm/j1OA4JJ/zww8lews8q9ASeqAyBoUnDLrR99uQvVipJwwE4OPwRB5x5ryVQBPo9IYsZd5L7X4pLN1N+UlN/s4a6Ct8srvTrco1lXVJTjzsYyWlRj45QbtXnZE/19Psw9r4=</t>
  </si>
  <si>
    <t>+/tDwFPgCmwZmLXaRKXm6a1Zg5zE5E7PZtipBL232udHYhkUp/1bhKwOnmJISUfj7kqDABHXXN8IepTkiY1UApFrSRxcB0jAxHmGLOK0GLWPGzW8ySY1sPrz3cfyQ8qrLsfu1EEy1ZhENG8fhIwIGDYa9g2sUmGnbXJXOviUpcfwMPmYPlbCWHhvxlQvuPyXwNNeWTvE7I7yoOo2Aah8+G1L7IJUgBNhu6SMPfhLgoCqbs+c/ZhKP3kByT0=</t>
  </si>
  <si>
    <t>JQnuKPFfZ+rxzgBvdykKNTS0q63AOsoeFZlPlOkEbzPXhwTXfNzwV6ltJdXEreKs09cvbgHXA5ftL4JEeGzoWm6+W+TBR0E2c+bn1h9uxppxgs8Hk33iYRuV7HjXrjYR3aCxA3OL1ZyUa7K2Cztfecpp8lEJ2sN3osyTPiBRL6uA/rUMara6Q/4RwXGAlGzLRnVVJRN6FJz0p3Zge5Jir8OFMoogb/3wCbn+LTAsvHwYvBq8PsqDd4yQSu4=</t>
  </si>
  <si>
    <t>7CJCgd0NLUGUAlPctEB4d0K/s9w4vZFSux9s1baK7tVm74JraYqEixmF/Gw7Py4xI1SnTdb6hfpDJRja18tUXSdWXeFHlxe9FAEdQnNc0f4Anx3A+Lu6Tik1p/NWy++UpniaqL7CQx3zlSIl9/hCZtpRHjp9InhccNk4GlKNgd+ATqMQXF4uq7P+HzC0vAMQF6saeTthiSPrfJ+UKl0AmC3fTnrfiMRWIbJSOhxCIagp4HMmvp0SCpfwpik=</t>
  </si>
  <si>
    <t>EUqv4xNHxwZiL+e7xG7euXG4ReI1970JSOzGKUyMRDZu4I8vyqOVegvaAheFwza7dpENkRwKd3nZc9L4bofs5OfhbrPNAf3BLD1cPLdlG2wg4JUocteYZT9mMLN0b/ojpknXwNNrslBUvWYSvkpCTOT2u3glIb6a7HRolajV3i1xXN9fEqfECuAyAuI1nVywXPqTA5Nyzv3h2PmopU+EgqyjovHeTCiABDKzRvNdzVr0c4o/kawfZQTwO2Y=</t>
  </si>
  <si>
    <t>FY+WDRCRIXcT6ZoilrUJ7jCj26EvN9V2ZNeIje4x7RJWgPGFGLakI9tHI2EzRVPeGkGb74RWz1KZhIvHkPKH2jvAXD9sr8d70w0RA/P7PJWXDWGNaUi+/XtkTUd6NRFbajBRowV7wKsF+9AnvyDW1RZxmRkct3PsgqHL0Q+zBUlPf2emyKfOrntajxT/IfAT3w1vvjJPlCdqltJnYPYSDV58a9GzjsJcYPlIO74wBUqoViXsBWAsU2L/OP4=</t>
  </si>
  <si>
    <t>eYwEpvtr0/X1nDdXdIXTFljg8+RkN+8Q1yc0JgtvF12cIMvA0XUPdt8yXX8iomOJs4H5RTdCHSUDqydx7LEeJXcyVoeOIMyn/vYoq7jRtBxm4CANiDIT4vXazle5MwrWaBwr3nKxlU2CUz5YXZpp7MXfuhP0e4lxY9aNU8f1XTZ6Hua/nSsoVnE5CBTZmWX/mm6I7Xfl4AnKBDkWU1orG4JSZMW2+GpP6emXCVh8IanT1uQrWD2KqcAnLiA=</t>
  </si>
  <si>
    <t>3Qqf47hcXWmSGKaXPvzowqabiroPjsrS3JLbeETWtxc9YAmEp203+JCPpSxYODDf0lCARiO5wCMBHjelq2buJ5CPqypCgWwMZ9FecSZ/BXSfM8dNESwxAhNRXQ689lUQxL9DXouNVL9OKlgIY92raARJuvELXRbByJyqPX/auqPXQBuAyjqIEusrreVac6CD2SbOt0AF0iFzehOMgleuNCWQUx3r8No0fehErRhuqAy3yri47ksZC3KjwZk=</t>
  </si>
  <si>
    <t>0RA0kKToZTnWkY1zUgrqV5zx4Q8i8yG0frDi1oPB7RGSQgY1TQQz1oA1YB5XbAbvqMf21AMliphzo+w6fp0fSVe0bM+L4pU2psMcAuSdDFggQtFAlztwdTGIjuVu14cG30MCWjn5xqYXudMiA73hX5DlYOAfSSgDm47u56XnDGbUTS6aYALiHBMX92Vr4CvlU1T1Si1SOoZxLTkslwLCt9QlQl7eKr1jfZHh1uXr98hwzBuJxFXb8WVTpZw=</t>
  </si>
  <si>
    <t>/QhoxWlyohGjq7VFJZjLdDup+1ShZjvFmRQtKT8vF1Q7TEw1HrbW+r2uVP/Sx8ZVfjhmB/rUO4Qw4S8msndpHH1zcuMMHDBU3Bz5fcpUOGtf7Da2F/gOFhrxLvyfnOb613Mg5KKwQNIZY4AAp8ws2pTyv9K9c4ZnRL5E4o4x/qpvoYgEN32oGt4EqkT39JqIzM3mmOhZ/a7imY+7zQoT8Mr7D8X5Ogy+aElGPO7h+xgTS5rwHz6LtrtXwpY=</t>
  </si>
  <si>
    <t>aI49rnGiwRIhu+uVTRgqn5lVs/+3gLgbqmuBlQXuilOS0hRgztgl9qc0pQYLzkHlBRkQFkdasYwE74fKOWJVcG/jgwlZqVsYJd26mHkFgMt7rsQQgyZCN0k0lPpJxlb3vmAY3n9qgHXyJIBCWKQfp8gQQ3PyXi4YsihvQ7rIqha4SuqyFUzMiMHG+6N9YaWt/TE5ZkbLtE03lPNs0VxkyTkp5Iva9PjLhqgQ2dLHW6cNwkA5kra+juinLeE=</t>
  </si>
  <si>
    <t>DDOuX+kOSQsEOP4p7G4lKETHrL+hy2Nt7bdEMSpWiCr19kySf/mLJ2+VMkTFO9zXmY9yOYyORjjJIW3oL2Iq53PQB1BAAZUyEnlVZbfPUDUERl3Qh+KZ7tkt+syahesu8f92abaerYKEx0Zoaz+UwfofV2xD/xkjLKP5wGwC7N3jVAsmMjDKKplYeDob5Sp51ddVJmTy4m0LMjxnbVz/BeBfyjeWuNEmiFZsi1nSKvmmorZoC+SSURG2JSw=</t>
  </si>
  <si>
    <t>miP0MzQCyYYq9IrzWYrs/AFH/y6XfdZAZzVdTnDHbrEHRNnBnug3WAX/xUil5rOOwatNWFh+ztvrHE9Dt2GoIvuDeQvUVfMIJpW6dDeOQ+jnwCleMmRDC73MrKzgoa86tprBxqEHW80Ij71225o1tcUrFzmI0ioCqWmu9q3o83YZ4NCzBtD8VJWyhfvl9e4tMQsdaKbcH2YTC+EXIT6Gc1qF87oWyIw8APEcLsfWAFCq+XWRXQcikvQ0eK4=</t>
  </si>
  <si>
    <t>EWWvc8DivNbhPG9BJjRTAOAm1qA2K1SI07yWqMRwnCODBsRmg0cYj1nF8P7nQf12JHojAAMhtolUZ1nD9EuqdFpT6+bwmhaEKS0D9/ISH2IxhUp/4iW90k+MQOufSiOC3jQU8w5YkIX7CGCqJ87ldmYmI9v8VzBSDyPUXpJiLlS+hv+OXqZAxYevgHmB1POvCCo7PREDv37mzlL4beByinfxyGJ+S309kJ0KkDPkOa4eerchxTnSjF0QEMo=</t>
  </si>
  <si>
    <t>k7YUIja7M40yRIunliR75KrCSsLMujBfXR1uW8hmUCbb7+FofWhhGBYFXWDAIxp8HZlqwhjOx84kUDxxtmdES9i1dr3R4V9WvYzJE26clPVjbeH83UDEHvCiTp1ExjRDA9uDk0Ps47RGbbCj+DDmRPRCuHPiDB+HC0UlJMaclY/3vkVwprTwuszdNmP0uAW9ibd5c+DQBCSeBpa7ZbJOFJSgQAkL18T9xf14HOOia4KDzjt1Mw6ZJMC4aE8=</t>
  </si>
  <si>
    <t>DDZ2LX2hxo35RJx43sAr3uGIeXP6MZtVeM1o4xAaNrgXggHCe1fuqtehHzTXUEoB4jJARBexmT2lwoikAmHn4jx2zsCVIGgBuS0XVMW3I9cOEPkAIhiOR3B5+C7PjPwqGHKMNlq2zjYMxFOpug1Rf8uwGkXwn9WWD9MLxoK6FbCxUEK04zTqRy6ugJDN43BWZJGZ12tTIyTGWFUhhXhFBdoT8MDrpgGJd+ZcJLP+Tmbg0qwiAPaJmZLgNBk=</t>
  </si>
  <si>
    <t>l8pOX4EcF7FuwpYdtysIknbceKkDwsZhTE/Gc3WkvLejS6bPKXlKhUl15xYZBbxsrmPWxPp7bEMidOeDvbnzxxVBSREEbObHPVtUwK1orExefM1wmKgr3bUX/GVutBwVUBN1gWpfKPHdH93QhzVfoZVHz6eNfi0sBxAmG9ZVplGT38TDjKBEaQoh6v5y9p52pk1dR4YedBC66sHperqxIPfduGDTyabDgWDH6jNyY5UecRPOEoV+MJ1iLMM=</t>
  </si>
  <si>
    <t>PZgV6A16qNte8d6qxusHq8930VdO0K0bYOW1VbK3ZnJ3i2rkDJ040jng1lHbolRiYnbDomQq21HgzLOnccV6seZc8VqSQqtN/TCanEgPtixl2JbjSeuNOj01OTrgoRNdPDJMHdrqVq2ryLV1E3/H5qWFoc6SE49cmLSxznNRQqgwgwlCd8DPmATA8W7Uv2AHFEUzQK5jWiuzXGJ6cjk/qVOuNOxRsHsrTBVhm1YVE/N9Tjd0+v987VoSmG8=</t>
  </si>
  <si>
    <t>1ZI6wXmQLXj/zxEovdAHiCR/FAOVuhU9U2mCUGmAwaKyoFUPdtrofn3eyHj71x8FamCJ0jtq04PckTWDtasyOMHEpDqYuxKiFpgiVkFCrBEzP7b1Eqo7/jhbP0+rL8ZMhxs1ThDzt8ELQ05xKR6svOX4nzBlzulYqOoSJdhBuy+PF+fi3zKh7vlmJKHRQRPWlgWVhQEMQ/NNtpK8d4Mmcxb6rMmvgJjXLwWaSUsTMbl0L+GoNNzYgMeaSUI=</t>
  </si>
  <si>
    <t>i6UAC4qE0OSidCvr3GKukqmeZP4psRDiLAVL6ZuKqvKFieE5aLulaRu+GA/dQdhqcx1MryyawsNtoRyVmRqEopEFIGrC9mZxM2Mx/fRC2A546mCh7zsbfVo0LV80T4oa4UCNJOojj39pa7pBaL2SrOtCPhR/WiU5JGYC3iH5YpQYXQxZhV+XbvHVjS1yLAL1cOp1snTu0yiFfZrhJvAv0DgJbWZbZbNxrwDSd+PRMdoO8Sz8NIKj4xdKfM8=</t>
  </si>
  <si>
    <t>GnUvH24IP//s3W/pdTWONZC+hulD/LwYuJErBd0ADHAeQtLZaEJyL3qJBeGsc3yQzQDYP/7zKhpP75ur86RG1fSWdaW4uT30wsrsPMHKIGAEBAcpMymacMUFuBb+MZVm4XkmHB2Os9BjjHUHLFjq/QvwhvqrOgoZjzgdwcMJ7WDXf/afmLP7nHVRBZWGqJ5VyUz/TW2XvlO32muzge80+gUsTJ9m1uISejfoKyRkhpkMWfvuFytZmgsToxI=</t>
  </si>
  <si>
    <t>q9Fgk1mITyNK3QsOOv+Y6QiuxgeICplsaJBb7fHNOhhKykLSX/CBy40qLpSTvzE+y2un1w+kx0NQnDj8LrtcAGkxVHLKw6OadZciYf4IAfTQNGRXiosifM5ogTdii/moiSxE6ZDkBITbNOiptU0JHGlY+S2sxhZ/cGIH51OABlyBIGcAo0nbi1n0yv0gSi5QWttrqjfPEaZPcePTMgLz2mC9aIJqL34XrXVmWlPUCW9RF4EX79MjE9hjO0c=</t>
  </si>
  <si>
    <t>XBUMThFS7t5OfejE7XKKMwjsxcu7UcWlXzNA2RKekgADt6qSicuyibr+A0l+hEl5PQYvDA4wqwOeW2Bty63imZemVeRvjFVBzB9VxTDaK2SLyQTKbwckS3G3VUW+zSTjJ9pormaZoPoGNlLgC6X9WUhUNI8kCfYXSk9/muvrk41/YbfmOuUk1DdO1hZWWREojN/CJO1XEnDu3iiTSbHTy49UQVZZCGl2wrhyDUz/Yj2VYEFE51/vj61iIpc=</t>
  </si>
  <si>
    <t>xlwCQWF5Hvk6UDR/NH6csq4ipAB3NOt11kPRE/tNjqBP+YI1ZEE9ClISF3tbut0aHEvxssjc+RaW0QlWNrHD6tIelu+iSEKlC+xJ885C73BH9T22+MByTRuUITBOuw5i3I4fHY8OT1Xhdu6oCYQjqyYzgwGoJbDT00ZhfzDTvLnd26gh2Ye6I2CoKpHV6CkUzWdUxA1LXDzJV8pLg359Ka7Mpj4FJWRTtpETxPtfQJad/UQf++W6J5fp1i8=</t>
  </si>
  <si>
    <t>s8QXBYcK9Oq1a4o60/AAZeN9FdInUCSJPMU/VN0H/67RwqU5OdkU0PIyZNxaaa/d2B/STkvBf0rSm2K23e1ihkk0QHhlbOJXLSiVzvl1O1kFiVJWpukvuMCz0Fn2hiiUxexZtNu25xTHw5k8E7bwnCcEAL1uv85pK2lYV/ioPcRkqMQ8sDdAjo781vFMNaMLaZ8iCyFLBKDAQ+zwzmg6/vA4pnpxQDF0TOPS+37h/yD5xw9N+n46oU5mk7s=</t>
  </si>
  <si>
    <t>JpURx+FOEBstOCBwWNWgaW/boUEEUjSi/sT/JI8e8xK6yUomhP5SKbFor3ea45jF3csGF/hr7n7BFLc1nOLcSRMGQOO/vySCPIuZC4spmzesKpcEylwXXQmeLwyz3ONFvad4mOQqmO6iPg2/t4wbjgDj+8X6X0+tq/8x3fdSFs7OZr/68L9BHU264eObkxcg+/00+0iiihPE4M4k4dEGI/EflHJecQVTF0p4RRD5tj9sx3fzRQ/Jpp1nc3A=</t>
  </si>
  <si>
    <t>+Cb7a8+i/80ohqA3JAApdvefV5db08/9VuPqMC0eSDKIwHxA112ltcMqseSUKdqOoXodfJVSIP0LG0h/Umk1CJ531r371FJ9zkgeq3RnBKGvhl+2F94gFWYr2LQNk+UVp2ivMJrtEfsThANj7LC8BlzrWYRMhKYPqVIutFmXccn5D+e3sFxnFYS72mNoISAXvVofpFL6wAE3EQTfUUaFKnt9t5e6yPhLvaF4eRDVjdzCQL1FNxcivGvlxs0=</t>
  </si>
  <si>
    <t>6ESUsRwvglrpTMjDCthsdsJKFOZRF2oHzqzdSUMpLDiZj858g1tMWr9BzmTafrj4Sq5XUQMW6nOXBxwOJasroeO3HocolQPdh1+WLAddOjoNCsxBUufJamqgpqDxiPVWxi/x53nx8ZucPDTcajqYNryvpBGBwn1y/dtbr3/tP6Xa8MAVqY9TPCE/LkzUFtLBkBcWflwn/iPIpUejGpxn8k5MnMTg5k77duN/qsVA19BKPWzRvM/xowYfFtA=</t>
  </si>
  <si>
    <t>Nq26rXNlLdbgdx0l4fk1O6mKCzzMvxhNnsAYzi2sT/K29yKu4Z59oFxAYWYycdcArPbIHkv56SyrshSMl6HYHT8S1shBsjaWRMp1Y6jV7IuKabeSImFxSLsKrSBEvNXOLYHz9PcivZljOdtSH8bUJfSHvsre1WlAi6jnUPDzvrMLUA2qVmM2SlYpmx7srWP9se6NP1ofmX3N+oFycEV3LEW9FGr98ChKBbg120GBhFQeD3CAhOxqvOEQqs4=</t>
  </si>
  <si>
    <t>CEWGrchHnJzClFFFv54LD6uur4Ovsoj7oHfL5UohNh2j/k73ZxTVQzJfEFjgboE4v+Luhc5CH8IWH/M2HSiz7z3mlY0fBBhpTeIZWA8+ZKiTenwFkLo+MS55WIvTeIhsXr8WuvQO1zGR9c2Vhb9Crz+fOki3qzV2nbqkTyJOIQmX7xRQ5G67ejudvOe6pJHDA52wS8nAomNBljGgZjyg//jaMWa4k1nbyg45LYmhd0EMAZcbEGsEVPdwibE=</t>
  </si>
  <si>
    <t>egz3V/X18xS2DBoEQKK+zB1m8BWiJqPjn1lzRO5Hot5/PXk3dsOZQ/MsNcctG8HKnAcYYwzUY9Qw/c1V1xPVWoc7cRsy9mASu4v/Bg1nZ9ME8BOyL3WiJMtrvxeBb570cgH+M2dlpe7Fg/6bcbWlR5o5djGrRbehco7c99vwMWBaE8lxeFRsy9iSeii8G/fvIdq9Obd7fL5hn2PUXCckU14V7HTrj9Vhxt/WCU9jRREXWSAUiYQ8Fo+ith4=</t>
  </si>
  <si>
    <t>3cZrnQEcdQvEPVauzgD+ofJfeiE+6metN3tA4R6Nuz5PD6uuoGk9kFyhtqnzXWHCQkQzt/frKlCkBDAhc0FZFUfYjhrz+T0gEIh9WIXvDTe/Izpx9ywAFHNaHazdzx0vCE7bfQtzlEfhxVY68MvkoaVHdBGv5sEe80PphWFueS2cDJ8bUHGSuETyQn8pvHNnvhxLf1S1GzKMo0jc8WfsSoqyLfZNOv8WBSbyGRNmnAgnMb8+J433Uanea0Q=</t>
  </si>
  <si>
    <t>8c+KjA7MVTEDW9dZTgP7Vl9/vX1ZVBCCEUFrPFv472FFOCGlRWBh8bBIHakkdbF82ZTxYAQbUfEq2/H6Agx9LGr/p5ucrqd2V1yrJ3MewEqrj6vAWQpoaait8tWGCHSxzBCoTLDfMBaG88c1ZV6ROBH5l33aqp4sBTnG7eZvp2DIlPtWVPwOmOEjplQChPVZnWUL/nAB3aaA1VK7F0G3zxHd6FepHqeM/JK/V418V6bwEr+D0ObtfiQRwP8=</t>
  </si>
  <si>
    <t>NA0lM7U2CDEyIxBXUAwNjCYusF42O1SP8TjCGVvOOuaMvkCb9E83OSsVf+kvS8qW9V7pkbhkSZEz18f3pMNMPzew75ZZa2CgiUAjL9W+ZYs+cQsmx3bMWAzds0I/6frJShfQ6unnpI94p+OZ3XoPjPXL9XztxAe1C8/qJR2w+GLj4NzKEUFvvaqY+KYREIw0B3aIiftpluXtrmbUqp99eG/M0KqNVc0bXMmK4hWNZqeAw83Uylnnd9mqZqo=</t>
  </si>
  <si>
    <t>UBc+WTvp2QV5a0pKYo/y6UPN0oAF4+ZBX/JDCtKBK909KkEI5m1ECHNkVidkig51I0qjdQpV3Iw0pfYaWZzdgaSLHuPXPjn5F9YbAdPg/jx/A0dZ2ZclKNpLbXKv2JE6i6g5ysgwqU0H3qiq+Yn2ltw3KoUPjyRcMgPQ46arWdyQW0s+4m2fJAQP7M4wnUZymciv0RDAFliwj2UQYPtu5X4u2QyUGJrnOD0sf2EvZ+POenzf7yBukEtVVy0=</t>
  </si>
  <si>
    <t>1NchSAolbmxIRtAOaz81Ny/tAGYm5vXsrh3lulk4jG8H53RXVOd5hDX3DTNcfs+s31jaTldu1HrJm8MiQ0y1sey2z28Ha8dB1OnkyB0pgGQJLTcAMK2sQMUXGkZqmytM2EOVNcHpjX39mJa++rpzNXQ/5sRJc7y3Fyto/7LZ8hdS2OkFEY23Gq4XRSH6JoZzP2At1HAp7Fh/KKPH5nNi72kSqvffM9jzL0ORPg0Q9LZ49sbfWGkGiwxYM8o=</t>
  </si>
  <si>
    <t>D8+ToIy0boOYE6igzOsdkyPLTlKDtwioHEslelQiJcISa7ztGKXQkYTJoIY6EHosjZUAkt6ec99WUOEc4QIanLVN+gtxiUKhox21YEyXELqrIZwVQU8bhVNtq8Gt679WILZb3fhffoWI5u5pJ6NSEDcncAHUr9A6jRx9tZhwa7BohalpZZUnlYZQl/Sje36EKOXpYfNatD1raI+0JnFOA5yrDuhIS4kMN7FKwbcyoc+hwd1p3xy30pzTzgA=</t>
  </si>
  <si>
    <t>kbdMLbH4avBccblME04IU+cRIihjDlmveMbZsWCjVmvaM1Njh/ijw6T1kZ7WlJbfX4y2UAGB2LUgh+rzKHcSNvHyzXtdmULHjjbhx9DMnf72+uYP3Svsxqed5a5a6jnWUWXrUjvykPS0/DmBq/tBwWoBbdV49qm2kf7rCqPg5BCraR1yCUrsiW3mbVa8E0b6BotHYncAZQ5ry8QP/UBguRh0vO6eJHF66fK9G+LMuKMMRGHX4rRQcbEGafA=</t>
  </si>
  <si>
    <t>IDtT5XGKqLtVuwx2PPJ4B76+r5HJhBZmTW491vUAqBMPjGUN9Wmi6yx/NsyNDfVGd1u89D849Zi5uVlPJ5L3Ew5++N68xI2PPn4nMJkV0975yXMIXHCks+Jiotj7EXG+W+82LOSF+oBfS+Rd5ekVgSHiGlytEmTtWNLLf9uyfwVkn6+EcBAo7F3VdxKHvJEZP6WbZpkvsFwrUeyWJWNXlVRoeY7KGy0KpkCx95TT7bZt7Z8coU7a76FUmNM=</t>
  </si>
  <si>
    <t>v9uptFaNa8HwTB5LR4Y2hO7/ZvTcOC7gPpT3ok9yvqN+4hsP90SxsXp673odADZuZR0IPwa6R80ozR1lYrxVlZzkSAnT/nd7yfhjLhEv6a6ZrQzoGeM7s7MGO6PXikmYP8EkE0Vrs7jnWxb96v+Xzxg0Cj463W8yfokBHgHKcaHApB/C4TNfXw1GXCALUABk6F5kvFRpQrVrGqOLEoisnn9Db/GGIAKohTOCdyd4hCXp+/nd1pVL7wd+yd8=</t>
  </si>
  <si>
    <t>8a5fhOZ3GpvKv1M08Sb4ft7NNCrqrHco56sSJEJ7WLiUS6jionnPh06PraViaE7Q3sjh4CbLVb3xAInlPOfBfF0+NRZ+9AVan7tcTGWgSrwPo50F7CuZ4OHvDeyB7FOIO07BHj3Xf1xEfNNHL3KQqfsrM3mMYFRDE0ZGFMhOUaliHGebN+Jh/YXCmwnlyTinptLIo/z8qs4qmkSFU41OqORyWFB3QFGLpAbHWaLTFgEzhXjOKVDH7ts3+LE=</t>
  </si>
  <si>
    <t>IrRHO25alW/DaddXG8tWZzND1y2FL2+t6VsAdZg+1Bm+mZ3xuAN+1eCVCxCx/iQibndmoHLWtuttuynn1HaTXjMSYqZ/mhISCpmNCGoSZnF/BNkU2IIgJRuG6RsCa4SuprkP98xOvaj9Pdtip33F6B7C5kgMHt+be7DO3SiVYQS/mVTtbrWsdvx+MqoAG99scWKJhP3mrw/VILd38vio4qMZbVMmQkWkTD/AIn/Z0fF4sLTHe+InZTaldps=</t>
  </si>
  <si>
    <t>x069cWSRJNNbrbOlPz6GFEzGh00LUrpU5eOTvIGb2kdCyImHi1ZOfu++Ji0AsDJmiSQoAvlPgtCGZM9deaMxl4Qw4sjPh0MiVDdCtCIBhfY52+usPO1ZFCCmtyT/kEuVuM6gwbSLyEgcna1XxaP2kf/e1351MV3XlkPwZiGJcfw0BDTpdn/SUR4/siU+KnxpoKS5UJP0yD0d7WcTbvnlZKrjZz9T0Nlirxw0B91giSL41YJQ+SyhG1GQJzE=</t>
  </si>
  <si>
    <t>4iCEmxYQEDC/4NKKxrRwP54cIAC0cbRMDUL+r32SUS5hh7L8EmTz2f2QKipzkVvECcT1L5EI+6le9CQn7YSz7uDgV5RkDwa6XJDIMW79tRb9ZOLZhEksES45Ecqe9Th7VbqxAZfWtxc7CfswDQvlS7jce4dJj/BNEDtfZ80/J7Nxyl0UfF+TTYz/OD2edx9OWzB1TVdGIkbOVMSGc5Rpx6utHORW+/4EotL0hLFm9oeDHibbF954L8bTk24=</t>
  </si>
  <si>
    <t>ksJ4HQ9bEs6hC9VMEO8IGg9eo6BWCFA23uV/HrpModoi4w0MOF0HpDh19JYfcw5jTCCHtQOGyQRHvkRqjmUKJHsXaZHMx3gtCyDgT8AYyzI03QxC/Ldh6+wAZj0vWYgxUgUWYRBAmAryAleflSy/BZfahAl5MHFOp/e4Ybqufp4zQPkdKxnhuRNYsdAQigIQoNaq2NmyGjhOmyEjvWpY8CFBal1XxYg6iQyRW8uHNNdurIo8V6Y9Nn7c/Ks=</t>
  </si>
  <si>
    <t>BwN9s4rg2WjJ5TjzhH4k4Au4SUXNoiopWysWoRlSB88HMWgYY3MEvfqs4IfKFxbiS1e47xFnQ/eH17Z7ZNXsDHHBkOA+3b0qugkK/MkVjdreyxiA8eUHu4CDTVNoq1aeVUXs3rV8a3Akd47uL4o2XAT7WjGk4jkW9Th3/JZPb4rBfuvu+OMOS4ypK9E49tKhUalH8j8jLFZTa4Ci+C+oRoEk/fllRotIFes3krlW6OIRwdhQuoemQ/YZDMg=</t>
  </si>
  <si>
    <t>m7oMQ/gvZfywuDjPXTitjUD/2mpGoXKndLD/DWcWdYhHnq0rUhQBEBjyhKPvDAD3zj56V5iKE3yhHEiM84XmC3MF4Bf4JNRLDdQf8mJR9iuuV/kxCDvPA5YF/TOeT7N99P8WQvnBgw5hMQArOlFQSs9bU5uBjGN87nyltpTeP8JG37cCWuSeecfOMsQQK9/wMKpn0D2tix+dOhaMhZFj2KY3KfnUC4FMena4kiS8tQPHgB1nGj7o6sKgKlo=</t>
  </si>
  <si>
    <t>cRDY5dH6TqL4mNDfcexJOQ0FW6F7jyQCAoaRgWwILmjijeAIMXXUpWzcEymQ4AbdOJ0Z4nyqOduODYJEZnYKkMJZErUVzbljfj2Ag7HEZPDMJZZegzgxlsFYkDDx9v71aLEj2ZP21qSkcWTXSWjxGJ8G39AW+yackkQFE/MJ7gNapu6RYVE9C7KWfXfDBnDa+kili8pyLVyrg7AI1anSqptTTqCtE+zHpHXzOMpdPyDlmE9EzTQCb7BVIaM=</t>
  </si>
  <si>
    <t>fI1a6/SruD7O9l+0xDBuHYX0Afi+L6pkukk/XiBWs3mAMXWYzExWY0BDPeGMMzqhLN+vIqrwsBqs4kQbGgEny+pRcAtvJw2tcVltS9n8lGMg7YlXJ9IOTtM5miwZnAgdu8uIdlukx2F/wGztdwKkcYQIsbC6K6hsUXzWBxglREV2q/jRqYDIvsubnqMblCDnqGfgf1IuDwTK006tRtz2lGk7/7xjruQGzkXMs8mr0juWOY/MSRh7jKWIXJw=</t>
  </si>
  <si>
    <t>++Oyodg4U42qUkvP520PN07vBfoCmzt+b0KkQVhH0l/DBcdenrW5FmfH2yZ+32flKiD+ZpwWEX9H2fNxIaHf29EcHajv/02t8UKJP4e5qD8WY4jXspa136ZkM6emNSlpYHxl+NijyFeSESqIcrqxarYQEPleOZ7xyH3IKS4bMDcwoqHoEX5qYMUUQz/lTs4Gh+c/bMJFWIVbmRiT3aqaN6TEL6eKYxxX7hBpjVTIG298PeyUBrThKjARtgo=</t>
  </si>
  <si>
    <t>DfgXaCzhYt2lphH32Tyu1kC5lU4+R6/imJyqRHCqhyNMon0BXAQv68dRfJelUaXk/n3+mSXZzli+172f57c01H+kuVNs7o3Z+v9Mc+mDOK8kDv3p1KrmaUyZnrDdUP6aHXo8cnEnYAvnSyWvEgvJPZltDjk8+CPd23Lg+vz9gdaYiDCShN3MTJ5MfjsNkVeBWZ2t4Q5FZjH6eMYLRCrvkspmlW78iRNPlMRcGos6xTtnupBJ5M7cqFfxj1Y=</t>
  </si>
  <si>
    <t>wIKRz93rhCcCxgUGYu1xTutV6SqM7c6iwMGEvxYnkru/QXopHhak/036/a3r+uif1bF4sA/bZkroBraq7ozsD/N1eOkak8xIznb5+rPc98kt6mDD8shLVq+bpTjot5YXj1xJGYtzckxsTCo4YWv9Ow2irDwamSca99SIFunm50vY7JT3HegqYM+Ixi5hIfm1PVCOlky3yRvanY0xL+PgdGTIdAngeweQdMjJHZcjc93Vx9HOri7jO7PqW1g=</t>
  </si>
  <si>
    <t>k240eawnhPsM/Hnld9C1L03tkD8f+AgxfvJkVsX9Q2y4u/ynS17HUpc1nOXmM4D90qbaTJV0+0QHeAQ0sAateZcqD8SCeCSxg2GNAVa3ADXplMyU1sXMUTHHPY93vc7h1FnsD2+S4DhLRi4fyQGM8IrwsFLgOFUdzPpgCL98D0oovr3IWxUZBQ3zqhMIQzyrfZJxop3gbWJ0m/vnOJjKJgDo3tlZxcQdofaRME124Lbl4Qiz8VTUIzjU09Q=</t>
  </si>
  <si>
    <t>hwRXZtCaGk9B0Z6PqF9OTwTxz9Hz9DmIVJlmOsXDu5e/oM/1RyZ0f/Ef+jMae4+obXsH8Ih+KX06rsKHrUAPIE1qexK4/WiaIzTMHif4qIZ2xtxXJO4sd9ZfshpEIqDoz+DSqgMsMtsRJknIR+IpMbu4EbtgFzcVCVzfMEAAbOdF8+wfL/1h/ZV6egtPJ3OpDF9509f+bnD4EN0+dyCjQhIXGFxU5vQPY7vwBTjYyOVkmcdC/jzL1znZLwE=</t>
  </si>
  <si>
    <t>ycM14WsBGNYBQz/TGA7ZDUCvlTIFJhjh7zI+N3EwrHmL4m5PMcitBQd+Pvx0w8c1bKT0vUsQ9FqZMV0WuHh3/AZpWTbfZj37lcjTt5+Z6g8JpYJ0ZdhXn5AQJzFaVVU0VjodzHyjxhMj4rQ+TxiCA+FMDOvRR3AvLWpffiigVmka3U22ZzoS8MwdsttuseMuqCARk/6ApdbQ4Xqff6g9yVDmxKG6Lrp0qzb0HJIAVwkQWC3iDfppxH60FGU=</t>
  </si>
  <si>
    <t>Y9D8Vfe6VUGIJRke2fHgdv1zmMn9y4HgeJa16VwF4kXM8++AP/okYPKfKQqlJ4me//H3B4v1Bj5ewwfbms8Tc5aW7hxHgN0vzMRD/EgvaxSbzDYGvTU36Ur/mEMD71ASiaeyKxB70S+6eiVHItS6zrsSNd7tcP96wTqxHzTHqS7g738Iq/3p0f3o+Eo/rzIl6sUTniH+usBKDi6boQv54GdGlmwn3qf3DDlx/epBu1VspKxSZT/dEXLx42k=</t>
  </si>
  <si>
    <t>XHqNPSkMtZ4tIF4zysjcbcmE5jWvgsnG4aYmD2C57KghSsJefIZXimYolcqCJQcIDb3YwJljaVULkI/5NpXv4+/n8B2VuwC2IQsg6CHGPlvKlUj0Ts9ipK9+7xPzh4XXGVO9UNdRIZRLrnuuz7/7aKOfTW05AEAk9Ymka/K8unzSAapfrXFnqvEoSP8D6leoKM+C5T2t4B5DlV/U3vlc1KDbDuwsB8YVfYSwe/1Dob+95bLgRwnWplR7hq4=</t>
  </si>
  <si>
    <t>/LrYjNbGUU7DTAdDZdGJO111MAtr8S+WRuKTSDq5pIzx9bLXymLN0X/wSLuO+T4DqilPU1G/5zSKduc1py9kFjJyD3kjE1biUAFZw/0DozufjQN/8SZMA4AhVsK+TIsymTRhhgGJusHoE2j8qgUQTIzAlBhl/zCBpOhAwL9y27/H+phMP/A6DPQ+olLBOROsdxgb+TIJ+OSlXSxkvM5OJzLYe3Q0HWMdL8jwwdpKvl1soTr1zQVMrOUDaqA=</t>
  </si>
  <si>
    <t>5GYBzfNKzm/x5pENsGWam88aUFPcF9G1Z8HxTHe0XrVSsE1OzyHH4Gp8NEQcZBupqh1p+hln2PJvM93a7fPeSsx1c3LJgC7fCKLJLIiAioec5vEz3EW9ECd4k1iGj+skCdBRDKELpJiuWfUTXElLc9kIamD32k6rxRWybuxVN54ew3CRRgt6soKOvWvwJHQVDQBHvgbbvYsGTYe63rAvp3zbjDq+p5H9Y5Pwp3+wwZ8NvuFR2XzXlwWl428=</t>
  </si>
  <si>
    <t>0i0oaGmmpT4zJGQqroEx98lqzdfuRIXbwt8h3TwprOeHLZiIuQ5KEUpUcxejRlWrCpay15927jjhwYxCPBEmtvSwCDuKZuiyd34z1swtBH/a5f73q9Yp89IJvQtUxNO5u/IY+O/ugbgUssXnltg8l+ozz0Pq+gWS17+TKn6+NshHJN+wUAtC6sCEJ+p5cwEb1sO2AupTwKSvUfVviFe1id7Ky0GEdbpJdu5jg/MFR6d54VD9uxeJxX6bUaA=</t>
  </si>
  <si>
    <t>1SS1486rjFCAsrkv72M8sGG2IxWC7U7f/V5AbmxsY58K5IDEKEIoD5+Z8b7DCAMeuUVu0jWoaLNoiD4DZsfVMUBYEMO8TFO2PQ+iFOhFyHBXkUluPIIiTFkwlHZAEDdwjd2QZZLtdnxc0nlFAmMfBNLQvlZzDaOkaLElsPNZFKbRS3xPOpZ5vKgMc8IcjRXweb8kEi/jjlrSv6SwkrKNaXHh7JkzDJT5teohHzDq58+Al2nZgH0T6N5Rbqc=</t>
  </si>
  <si>
    <t>e0LcyQJVnXq5QH/FqFEWRImyCnGChlGV3M3eG0BJcgAcLEx9iCb5qMLJvPDbxVgl4gvz0g9ypcIc4lz6I89hmdESUOaK0ZogvwcGSfRr7GeGoIVx1FVrlxQAKKeEjgCt88cktbMXYnbB3mPVTjGPhLLzFli4woOYOmELCqDBb9m7NpnqsXJLBQHeIkPgLfO5pOiUJfvxDWYlYhjRPSOU0UoXjMTg52lrbdV1Ak73HcDcxtUVjCMblyVE8Rk=</t>
  </si>
  <si>
    <t>kRnVjm019CgaThUUebM5AOyB332OBAnaO2iBD933q1CGl58yFVGfvuLqmXv7+RbUN/NHsTkY76A5lctgeVxiXc/e20xnjgXzFOia5A5Bj1bmZ0vdBhLfb0zCML0j9teSRSNoqnz6Wu5Xb6te4md7/AnHGbRhJkdzezSpjKTxEFP8x8k9YiGpnvl/QvYu2Q+w6KrppUNLzydwJ9N/gFzaaET4rUdgiXy9Fl4EDP2hmZ/P+wUYJJKD3LwvLwY=</t>
  </si>
  <si>
    <t>4RMjUPPGJqVqe4HdNUvT6ettmELgtWy9f2Q8MGhq75QoHmng/dQak66/Fo1NkM0asvZMG/MChmTppH3qZfkMCKANCt5o4VhyBcL9Qb+olAKo8R9lc59bXvgSKNtqcxDELFTFPqb0goxAAGl+GfUSrxs3rm3V7T3ZMR69Y8xhEAtyKp3FRo7ea1RqO4iasKTDwX/edha+drraImEQYLAiMh0IlQ3ytqVlwh5tQSaGxsDC4mcqbetvxC8vMGA=</t>
  </si>
  <si>
    <t>tiaBgEJ0vsO64TuJebTygOaW6AJMx4TGWWHImdW5mtwS2lRTdvWQWeMtC5tduJf6hYvThv0DGkqTaHh3j6dc5aa4amfANRhbVxOjVaXMOz/WN/ZWRWXfNAxIFo1wnUUt58rMgDA2rSpoXomw4o3S2i+XbecCHzoJhxlRvPGygt9FSFPGG88yUGOW4BqIK8I+TMkCTpKvuKIZhmBU82cbQLpM9g20sX6l5fXRxt+KOe/hJS5i1yIg/H9AR8k=</t>
  </si>
  <si>
    <t>1zKzzXWwB4tBzhpYFuzXTzbMmumfVkL4Tir1+mHmZKnj4tEe3qMTFiXzkFUNN2ktFnvFr3WHj4nEM/NB4xDzaHKo73qF5Y961LR3GVLVFUBZL7Ax8HAdWstDkB6tUyh8uo/7784s1GBbQmy2mXNyVZXSPdyIrM5YK2z83AE2E39zchDRbP0uth5DYGK4KcSfQkrQSl2bFYWcY+5CU1PkcYyaql9MxK+xZpcsvvCgzaZ2UaxqOuj94FIBhKs=</t>
  </si>
  <si>
    <t>svGOuv6R54huP5ACITRkWr2o95O+v2cNdt2C4RGtc2Ti0d2ZB3XU8JHGUutpxj3TbKlx8XJT2R8wU/HUWSwrK38GKSkacjyRaAMg7lq3Bby8tN74QymKLcbFzHI+Q/xZ7aTviIKDAQvRjmtPoW2SeEgT5eG4yvrysJlxGxxGYprXPZqnum/OnbsoiL3wORDqbcngs3Qzy9EwgSgA4YyKKPUo3yQOHkZ62FJloBX6fI5JIUcDfgpJQZEHB48=</t>
  </si>
  <si>
    <t>E10DYr+ZV1wzsuDFDbipe4Y6e+7O176SYSvXjndWDCJqMBfeyoAO5TtJE0xR6uB5KITLteqiYjypqlZaB1y+bGHjKgvOZQn3dHDfl+SVPkHSoDIVjiLcTFocu3tlzC2+2HuXm9LnOIzz8cd99qcGseE8bBJJy8IM+Pzc6kY0h8wURkQ07W5msgjUFIloqmRu9azW9NYTNbWFpIwQ4M/1d922rn7HhG6QM7whaAYhxQMHjm44It2M7a2kQIg=</t>
  </si>
  <si>
    <t>CA6McCiSbC8SmkebF4yomN7mOssEVm1qkwGojS1O1x1+20v02H7HXMglLUhq+l1LIppPKkBv0FydvZcdAM4l5z1n7YrwD3GbNrAmxKjnk/Qd+xELfH5Rdhimv0VxaGe4S2MvKa9CBocMbpV8wFGTzDsd6iX4BP/V6aA4wvUQ6yFXjfhwHdgREfcmAE4sp9T9CnrY/8IvRRkTxBN+potKMKkpotHqs73QHzrcqBJmqa2bMRd2ljwv3UsAPbA=</t>
  </si>
  <si>
    <t>XRCJNAEoK3lwo8rs/OMSL9CJpaH5LY0mMMCN5oc80nC3j96E1P5Z+qUQi5rE4In331K7j7RneC8te588NrwslzV7QgptAMrQ6hV+gMBEb6Jny8KJA6L9tUHHBpWcaomwU6iblN1D25QwKiRzTAnXgoaBffKDJ6VuB98oA2rkoDM7JwcNF1NWopWCMSaF07inndkjavGultY3f4BpTqFdmOe5zXnal3Q1djP1HutNuIqTSjm8FqPwdyvZmcQ=</t>
  </si>
  <si>
    <t>nAMSrBa5dobFeRwzYTHrQUgQS6iRS0P/dKhojVnmPpXIy3NqbHvuTyB4vOAfTM8YTaQI5NDU4KwI3h5v3P7HMalD7TDa+rPrXalvKZzcCBUbZwi9IEaTLRHU8HcOa1F/gIN7nxjwstl80D6MfwFUVyXTN36i4WzPeYItkw68KBPc/3aUvkBFW7dwagmdfXqG8YvWbK6Cxp1EAbuaYRerj0UCIfbWkOE4RLWkuEyN6eTHyd6PhMCR4IjSnWk=</t>
  </si>
  <si>
    <t>ZfYhPGVoKRxQL27wzqpiuEhQSYzeURTL+By0STDV94ved8dOE5Q5Ixhmo51vqVnDL2VWwTIOsU28/hrOyXaCYUjOcS8OC89UM+ruaZ464rbBzmttrZivnqrU9N79nTn0fllmbnVfbp0paxfhXuBd28yTwWK6AnY/6eug2xzAAGTXLX6GSt7sggSAzy3P4xGLLDo8jB7ekD1phIC/d3WKYpxhLWa1kVMYlTwOJu1XkjlC/evfgnGDT1ijc0w=</t>
  </si>
  <si>
    <t>NBBhddmp20HghzZmQOxUNU/CGK7/qc0qZ/82ymTY0rE44zM0R84+WCxh3bqJb9K0RGNz3sHQb6o39eBBQ1HQPn0n1EamFbqPiyUx/iZzzucGnokycGOiI3HNjC65FSE2Pj8Vyenlk1BTK7PRzJNPsGYez53xTAm0v8VTHkKX35IIH0+jasqWqYZJcce4/tfagpURooqkB2eEk6ftmBuo959aDlGiqadBQuuQ3tEWUfEpvjbAAZXJ7cEQ0c4=</t>
  </si>
  <si>
    <t>2JD3pAgdQyE4IJ30z8jXbdmggBVdYZHuhwI+7M8KkWLLX4mBhW04btYC68RXntlRuNoA4SY+FAmcgOxpt+/2BBc1ajs80krsDrOBDK3UhBObMtxvdzV32sgDwGvuapSeS5xCMe8j1cGgd9Zm0JDqVq87upfXYa4dL2Ggno3DNg2p/8Nd/TenQHdp62/6jZLe2CELCBxTo7ImyqnRZgWAb8lMrCZt6DHze1Oq5KR8za/s+uGs+/8gCwwJTGU=</t>
  </si>
  <si>
    <t>u1zgleBv3Q1GdYcKBLTR+KOYerQw1S6/ljN/Vtj+S4cpSOfZpCZEmmoybXZu+f7RpvEj70K0oS9zV+bD4fQyoBXkq5B1XBV7OrFR5+Rv/2YDli+CLoALnIK+EEYnU9O0frUTJBmqZSyFk9nJ8AT6zVXG5HRWyBJx+j6w+YoOo1ki5map3XgeRvuI9bw1y9o1UxXcy2cHBOYIsSaUTS4ZLf1RxVng15oR4gtMYvi/50rTZ9DAuPwWAlNVQJo=</t>
  </si>
  <si>
    <t>4FvnrSoKAKdzg4Ru/od+LGXokhFXgVVz+Xthq6bifZWwfEsexzL/2olkqWBSeFORCxUWzedjUNtDRsRZlIVP891EmeWMyF4t4+GidJQW8a5fHlsypnYQBMiB/IVHpXBBXz/i2xlGzsZP5+OFprrEEB8dJEXbnyTttWEQErtTwWF+Sy1NVBFroe4DWIHr+p/HVL1whUyfWGkOYA5UMdFFW711vnlb1QsNSDmuY68V+tfby+7+gcbIOLVDu1w=</t>
  </si>
  <si>
    <t>C/uqCMLMOwJDGyQ4VGFauzlmA/lPXS9hIigkqoaHLZNEB4XA0ASMschYy6sYd6rRLePYUCHBBzgVLNJeAMAk9IJdEFMtH5MHD/MbU5bL6KK7l+UXB8wckRCFJH3ByU4iUb//gSP0zDJPq34JjisQnVGtGla6zd5uQiNMcElP4tz9Mp2sP4SR1+A3vOHRh5McZQ0kskgW0CRGDvoDotpTb8Io7MXwK5687XK1sPGuZz7Ta0BFYN2M0WBCqSE=</t>
  </si>
  <si>
    <t>PckUHX0grQe8RH8RT+t/WY7YCDMCQE9i8axUMcPj6VszMtDNrDiiYRohPav/INJhi6dYL86Ay1JtthaUknFD+DHe1OvTE5/0XXWYK7HPO6Ouh8Pu9ei3LmNsCFsex+enBvOs4z8PQhiWwGziUAlyJQclU9hWDm+OczHVB+RHZ2j2D/SY+ArnFgBmoWoVjb9Kkb4CF51myCG3EhihPip4PPlfC/4FFPRFQAB9FvIX/T6/k4KMU8mzFFhVnKo=</t>
  </si>
  <si>
    <t>VoaxpIAbrcFza6QxQ+72/nBs8RQGVkmEQ0OUn7RthfDRI+yEQ7eZIf2kxVlMfiVkV8NZ1IXUGymuwfoOb7wJkoNJnC+04A+UsRbL3jPVpBp6fh81LsWgI9ZRi6u1wthTvbV14ZfwjcXcdDuATEe1jyx35Xwop2IrImp0q5BxoeLYMQC2CmAHwwy16PYKyprTuJeh+f55eD0DEWTLgv42Dqd53uW5UV5Me3H1yCWtCfge/Bcul3WyjoeqX2s=</t>
  </si>
  <si>
    <t>3X/xtg44c0JfiJWeUaAln1A/u0vXF3T9uz/+VAAcsUUEcuRWtIGGqTbJLMOX0dmsFozNf3VzjqmUazWL/7/Wr4z/JHC3sbFWR6mBy552ikwG7TrJNLrz+GEseoJgmtyYxbjTc9OS7nFMPusyq3oPgedtFiN4RKm9vfK3MnvwNUMeQd0eR/lkoAASnHk1RtlqobpNbRJgRAPEtJfAzvn5vrrXrSkVI7OdiLOTE0ir9pTXmCMMCkkxXmoD9ks=</t>
  </si>
  <si>
    <t>SAkqKP9jS3UFuhIPzjtAAtxTzXI8EgYFPt6CEgkjdj15zYWMOOpwHOVUai8N6wmkFg6u61d5D9Tt3ewbegSm35aC/przEQeKFN+WJbfIqr1rGHjc4CwIvkW9a4Xnel6tE1dQ24ugO59aeVxB15G1XRNmd195XKMekLrQwkhbOTCHO52cKzSUSlfvYhx0Kgm9E4s91/FB8Ozwt1UiK8Xaqp8jukdHoq8OPO8vuC/fDf731XEk8mIBsvB4Vw8=</t>
  </si>
  <si>
    <t>8yalmFSzFhpAdSzMD3bJ9e8QhxI3jq3XAxpShKuYGS5LITwjNimZ81rkorgXmt+73taLxnYkZoK3YxK2JQPvORoY7FWatTHz0s4LpJL7ErNIbdw7olJoCXBx/N4w9Xu3jiWcsIVZ3LVTXxNi72BwV9sxR6ZEq1+5oau6RrQ1n+QgumBnCXIBBVIPDIJMMyG47pkUJHUdivLw6a3O3noMQewg3SLpzdjrVkj30g2vwDAEs2klZkbodjGi2RA=</t>
  </si>
  <si>
    <t>O56NHd7tmheAVMo2UqDTLiGbSxLhGVdE3qJfyLn/FJw7JFAtQOCtj83WXjtjx0w9daTtaBN+VgsG1OGzLyUALAa28sZtElQTrbYb3d2gHIKzUtbS1hX+lQOA6sCkAfgH7A7F/rz0vajlA9TKJDOZ2ivUGfxu1C4o7I6d1RL64ZnBwyayAotEGxiIW1yGKXo2BWISBhXROvVTPjPQNTJ6N5ygY8WA7A6pHMoQtfTACGxJDcqShzztOdFdIn4=</t>
  </si>
  <si>
    <t>4r5Y+UoUMTMIjXi/novpupPD/DdUTl/Jun8FF5B0OLcUZZ5aVNRsP9GWVBXPKqYAWqRbJ5s8fH+esWHUKFrRKMKeFkn4F8Vd0S1edp89XSSP8Lj6ck/uDEB8KUqWwwJz9LUpFilurKdCepcHfrts9nL21tVyRZ/vW+xyah38FNw654TjjTJb8ijBa6a3OMFCotpdjN1WHm+O99oyqZKfjmpNbQWIb2unvjR/bm/Qi6jDWfflfOYcnVVBpA8=</t>
  </si>
  <si>
    <t>vHvx8QjsH0s8aFPJ15XDKwee0eK1D80Rq9eATaVBOSuNBoF92aR3IYGINc82Ar8KIwuXxnxC5QN3nlUdfcDCr8f591cRRjgH5Kp2XbWbE+fBFtTcVhe/8vya1c2bgqG1VTqpyMcUAuCL3oT6HvM+qmdzyO6S/+CAx3XV6bfveaXhEriIY0KsApgz2O0BYQpDFr6s7K6x1rRC71dp4GV28mXPYfKMt/hh6+uxzwkqpEv9Z1Hz7LGNUTz98iE=</t>
  </si>
  <si>
    <t>5J1OyeOqqBVH9svV3ZxOXQG0LtdSFwHG3ZGrF/otFgT1H0LC1VDvMPweD/0n5eUPfJ0KyKDLG4uXKl4idqr7uodWwO+mtyGjREqDyR6PfIhFFAa/hqxWqRHqv4TFPgL9kp9knN3yQ5Y+MeE7/+WIKlzCXVA0Z9I2WmeoBusP/UpjjECRlrl8uG17Mf9shPZAg1+fuyDEjngpMoqmyVPoit1VFZ/V5jZJrnFnK94/GyZuE2ngqODbkZwsyUs=</t>
  </si>
  <si>
    <t>mcAjaI8gClkpOOscdO/OyoRdFqngyUuxoyVMTfWAP7ibtil4SavFjoc1kpZoc28+eZnvlfzBL9HdExytFP5A72PNR8i/3x2LvSl5A/1J6lx8CYZkz2WCKbbi6aH7pTwjkSDc9p+jDZDCp7lDFdE0pD52iWNcyWpCG2oHq0dChEz1Wlhz3IdcORDE9SM0CYmMn3PcoEY2ZwS6Eih0HuzpFy6koUpYix693ARvByaad6gzcfQDb+cIFixtE6A=</t>
  </si>
  <si>
    <t>9NHQVDOHDLx2DwY0LxvDFVtNEtWU4434KshZDjwjAGv/SLTyP1VeoZP0eDMyjjH7Iykf/C69R+4LdNwI2X8o6cNDyPbr2vfjy6UyVig4mCFQNkklph9EbhEpNiTi9A9Toj/Wdtpy1JE83gvevPm0vIzMPYQe/xif+0M3Au66XXt8K8CP5GDkWaqUvfOpGRKrkpBGB1PKRheWZb36R+cJy9WdFLTvTSnpHEzfICvRrfiSrlk1Dg2aMhFK6xM=</t>
  </si>
  <si>
    <t>OkA5w5Mfi4cPqKhoF3y/dAkGmtsOcLCGpUIehZ4PXPd/Wcmo1MHUjmVoDN78O8V1w78qqTBsIfYg0g4XyqLsjmlQz7KqgQMycOoPprmA9GpqyiHdEx5afTPxLEQBU5jB0/WOE1rhPtfqxRt+be2TdIF1VCvbr0kEw73IVgqTk1Q3uAmlZaW+moLohV+9KO9un8PSKyn7bK44vh+tAXxtsN5DKYQ9gBnupyoc8PA94s37jLP2KX9VkCnrzyY=</t>
  </si>
  <si>
    <t>FJ3X8erw82oNSe9nQMWT1FSOuo2AP6wP9sqT0klLJ9ZvTybUPfes2RWo8+mxN7XTL7l9LSGUhjVZL516UMoRqeL6qMyKtPdPtKDMGBRVzmkv5342nGNva7BBPNfYkbNEnltvMrY6B3+mJBINRrI7JvKaHvORoORxprQ7OrdhgkiaeIvOr1Qw6f6sHM0hYG1qmzzLfvhINCq1ZYXQBNHphge+KgsASdtiraaYohRqsenN6J4giPNyDuZ1DrQ=</t>
  </si>
  <si>
    <t>L4xY1432JXjhY33CLQJaDfzavjVUXps18W60Kkt+3D1BqkgOric3o55Yjl6BpaZ7+zaY2OiY1fB33iDdDcGZmcOJyKCsRGQc7EB2pJ7R9ijcAwevOD1mWh40/AsKeMuy5G+xU6pWGerDHFjIMPImq20uHygBKviG3qtfoXzu4JCAGyLsG4jB4U20b0L8edpl9iTA0AqufdL/FMOFlfuZOQxi6pLC7bdEtxtm+EC7uTEwQ1cSqwN6NWBnLoI=</t>
  </si>
  <si>
    <t>/klcnCWyhwi5+C9rWuD3Fw+W6paj18qyRwPMs0zuEfyYXBX8KrGjZjcc9ns79FBEz9Xr1VoqNWYl5uHbvn1QHCWGRTuX+sgZPugCfc9N+0OEp28twK+Tb/euUUcJ7pCkeUxeQOXh843eWVRUxUuMiOnRVWgY/b7l4JO1/TFX9s1RIu98QCyE/KhwhyzRlnSONGcn9lWaB9gkoje1e4wBhogV7b8qbCBbcOjR5mVq7YpjQVkk5MFrZFVdyzw=</t>
  </si>
  <si>
    <t>+2JE9NdNqgdyGA7vRiuHE/XO4bRvnu9LMxtbPK89BevitX1m6kNiTmU0jluYyhHfO9CmUp1p4X1fac1OqAb10gBK3Q2B6XTpmNq5pcQjf3Qu1FYj04jYDfxWlVip2Id4BAhQNpXmxOde/XOhlA/SzwoPIqEs15W0lkJp3WyL7foyc0Iti5oilwoPccQGQGmPLEZGOTZ9kWt+6ryzlp7eJ+FTw2OI9ARDf2PVL4XEWfW5G/9fspwOR1cQCJE=</t>
  </si>
  <si>
    <t>5XfqT5ZTc8pxjd8CZ8P9u4txYH5vAlh45LX3c6Ip/HjelRK4Yca4OsdAKtPt+1ZFOV36vXAnGV6pICgIOJkE6/jaTO/yHWpznGMh7W3Hvsj95Uki2Zw6IfYFxQsMxzfvfRJ7ZhmBtGtoOVjrklGWaPi4N/9HwD14E8VkjVZAGTDgO4aVFTFqXQXHoxKS5bYps8s996epdCaH025H0m9+DyDUnQUiy77U52hgHLG65rCDple4nK5Elvbq5dw=</t>
  </si>
  <si>
    <t>923s97R+JNLmPgOkJ4OJH5NK4DBWBHBSyjlYYhgJzwtTNXgPiuDq+R4o39wg9WrkrBYjdk5VBSdkEowYBss3/2+/RKqedtKrHHKusYlcOQBs9+n1mY/5KGa5XyGLOvbd2ncUPxOCZwAtH8R7POnPw1lGLk5ZQKw+6PKLl2I9uuNf2kycSP26CrLZDfVawAIDxz7zpDaiFuOTV0ZyhubPzVZeXFCYqvW1lfjL7zgt0NIt7QAFzD/GjpXmMew=</t>
  </si>
  <si>
    <t>7zMNH8FBzXZ4tpEv2vUDSOt/kBZo6LUp+eP5m2G95x0cRsluyc9gnKrA2wCGfCTKHAfkY+wveO5qm/57rjpQUbPHU1gF1Zk95cmxT0BjMnsteq4xCKEX0lnFvqmCZgKQG47Vp7RO06RsEdT9pmAAhu6JE3RyK4KSymxtYlERUch6VswOb1i3rDC9rlQnXEPFkgmTNQ7GVDvGtHGAgZJqWgFNT1/EaoSHyrZYUMMnYxcZL3YxsW9TydXXYLg=</t>
  </si>
  <si>
    <t>xtyMJA2J+x4RCEcHXx0Kax4HxNY/s4uJf1q98maHOeWe7PqXserIMYz3Zk8B3y1rUGuzxKKq/8S6Z30nJOMFQ651NK5HozqjNznRppj25amlimT7Zh2EurI2plI5EMq+2nH2F2G5t/McCB41pizmHkXLv2eJe3iDvV0ny7KPWl5LhWn2pF5TtSQqhO/FYT6PFA5ZtdwviNw9dXUOdA7E60eG3bWw2rjE+HKfIe1QYIKL1By9H25+H98iprY=</t>
  </si>
  <si>
    <t>5ITgNjLB0BIsj4iv16ll1Eeaf7AYNMAoT8HSV9O1Akab/pKin5hmTWRLCqh17hxN2DD9FndQArZyWRX1W058ChMLFgrrklFQn3opwrSPqSquX2z5LzRihyqandalYBVu7cj2kNP5XRMmCOTTcy8h07Vf/O5Os1Zf55Y4bCox3A7M0pHUIPysJPvXguo8W+LQxl9QdTNVbqQ12Z35AGfh04aWJtDPaEAs2w0iHWEA46nghVCcIagmNgXaxEw=</t>
  </si>
  <si>
    <t>PvtdCRfexNJ7Km7rhrk8gavXRUjC9IHcgjQehQUPI+Y7eNHvEkH+zGxO1VKcAvKilXXfk0JUcdTN8pG8xhPNm722vgo6hSLNfBioiJIxNMSTyeB5el0uogwFpQPuRe86E8s2mBwgwHmjmIzXHPWK4bf3Ki1c3mCUFUTxqR+F4EGmD+dYJ2j7FDnnKQkfCeprpAmxXyNKuCX4nOgIywAHVT+0O5XuaeNctBg+HvmojebGSfrSW/wK1ewFx/E=</t>
  </si>
  <si>
    <t>rCSsEDRfDVb43SuXmQhix7EZWaFCPOyA6y6iqTAwK/UJ4G3zk0Kb20+EGYGU3IWapndesqnbGv8Jlb7Mm/wTawAL0E4jWB5EHP+zbK9i3Hy3BSexu/0/+i+xLNiMWK438y7zdDvo03BCuMnGwAXhZ1xQzFdp/EowVOZHAi7+7yEZ5wyaHufkDb4ftPr4SeC12F+vaHcbQafnmhEmcdqyqo/IHpuhljXyy7L3n5kKc49fPmmXxdusoT42Ylg=</t>
  </si>
  <si>
    <t>klEQ8GqSzFB8DKfTE0dplxlmCajScNOmjrrwS2GYTykXhYoOANkPHGbArr+u5eYNqAELY3J4gxzULMlpVHyRwuqN6dRBcJR7J6MUdrl0u8i2PqaW1iY2IlGRA453COuB6WwEqYLvXti6xGT4Ih4BcyNrY6m7k8nXj+5O8IETPSc1afEdVO21Nzt4Vfc4jjHaoZSkmaxb/P1N9w3Kzs61kANrJvm7QM0OGlsik0LkYx3Ej9c1rRMtemKtJdY=</t>
  </si>
  <si>
    <t>5+JomzC/1upKbSlP8PXOg6O0ZGUvQU4Y2007gYKPhCIOavUcK1KyzvbEvZq3hhploe4Q/5l90GHqvqVuOQkCRn28CwtSPlp0ePjhgHRdJiVclUxjBw0rOfyDCzgCrauMYJi4ccLAN75tRfwDxvMuUJ/aBjW0HbaBwh6y7BJIs+zQBkhXvP9LFzwPa9XVebCvxyYaBxxfccUznJQ1mIrbkKYHCJ17NpWH8BiY/8ijWPWSA0cISzV17cNpMmM=</t>
  </si>
  <si>
    <t>bBsxBy4rDZpLVDDRswp1qY6uDiYWFRk+1N9ah2YRvAz5JvztVtPEmYy0yc8bz5Yk0gR+P5ut5bro8dMrzeeZfe7ilvT4+UvixEMSYPut9SyNC9i72KahpRSlpEeWbCl5UiGMwcM1V71M1Rmf7cRwBH39yf+FkKkWgjmgONQ4+GIlKUSKFHeGX+g7OiVj6iN5VTUrVMZhwE2k0V7LKa2g+3rmTQqq/Ebg+nVxlttrlkQqQ1nMnq/QqXm1duU=</t>
  </si>
  <si>
    <t>msb5/TqbvcpfFaofhNLkGl2sF4BNjOooOJCl9/cvjNuRC1rmo9FAgNavJTCRKzBgtI/b574559BM0h5g40JWJY7xOL/AIxdii+oKyxb3/AKwqyvzr6b6BxvRyA6VtkKvm59xjoW9oD+mYFxmtZwngZyBBR32TV+3Ajuv/dQIrBB5IVOIsNPgK7yVW+zeuP9Pzz2OoYT5OmhFC008/T2i9mv+xW8nVJcXr8VjRYEEwwIImo+y9lwbpTKhObY=</t>
  </si>
  <si>
    <t>4iAx8ARmo6OTinOlq6nJAoNlmFeOPfFzvOvPQis3kBWHojr7C0GXi6bZrYe+g/dc2W/6ACQ4o8U02IrRyZyvdrcvQ+MaKL/Vw4J0tGUPkirXj1fQ3W9TpSan0/Dtys5vC+gKtYT01lfGFeC8kyB1H7NBBCX0PB1TDS9hZszA+ZKm5CCl4wWiFGtGtu7CpoCWt6A1X2/9taJMwIOMb9UPRHy4CnQ59dG729GeS2NKJVwP8z/FLxgDaHXgSjs=</t>
  </si>
  <si>
    <t>V2bhdnIiGl+6m8FYI+6RkxlL32mCuAGoQhTL15BBK15ykZQiOKacUFopwAH5OScgzouTGeTC7ysSywc8uFVV6ZXFh1/KxpajJxyivlEf47094JCM6fyDfYZhK3FxZYUVqx9E3PzLu6TnE7GTDLxvyW36Gez5mTZ5Ms8HofAVFGzT6EXhpi47r3JQhVV0E15i/5QrKb9DWYp79CT6tUmOVgMQ1CmUsvlY1UGAoaBAZ4w0EQgTrF0kteQmvnI=</t>
  </si>
  <si>
    <t>tTG4kglwmP8H5ceSkSj8Gk6NHDEMBJB0uAqCDJPbQlEVto5pGl8hT/Sy7QokbaPPc/+s91jvpA6oFsgXT8eHKDO8BtVb5P+VOS7KJZ1I34krjk39zq/IN4NEt7waxTN0VVQNWiFjZvLrdPHLkb1OkIUHDCQurgoPb+uVvIyc//UJHnbtfgGLJtpMvGVzVyqx5NfM3rXjMn6dS5zE2H0gTgC40YRsE3Qix4jDRBBeT7LkapcwBq7z3BhA+B8=</t>
  </si>
  <si>
    <t>XMHN4CiMxEZ7Jf/FOPTyc0cID0yESIHqGNxmWqIDAjQxuthZKKnMtbrLIzYCsUkNFEoLBcUOnQN188/FQ5+gKr12eIRhJ/hhJEP8wifAIXWJHjIiosgyiu3EiDdnjcSG3xquQi8aq5vEXCe4LXAR0fPVQV/bO/1cZ4Z7rBK80tUMY1suKzKZ78cMoUuxU2nmmS4TcznpucSzpTzHdGYB66zsytpDnSfCWkNuCjGRUGsMWwK0cuKMLWcplKM=</t>
  </si>
  <si>
    <t>eflDpXapD16OI3hrGnKlYBVJrArv4p4NoPEQcqvgsXXY3LeMfVjhHdwdzWPedFJVDjDAIKY0G+L8Vwp8/wh3Mqby0Kn10bdV7tUYaFsNtN3BK+24yfCT/zVGD/DsY976tvfEONCHMeMsUjEMQXRvuZx2IEOJLUPF7AinTHRJfLVoJMq212B8kRFNuvbuyJRwbXklb5za4eoDc/c1NY9hSoN+k3YGX6vhEA4oVxDvLG1QpUPezYeQxt8nf+o=</t>
  </si>
  <si>
    <t>mxp3nmgCw/kf05wdddMhpuVH2bVOvtbqYlvpgz5vJqCoW10cOIE1pPn9mrysa8BffX1AEaL3k1cfCYGjyDTggTlYEZhnmuzG+u9Ed+sMwwC8PbiLPqU+198bsuHWgvwDMeeWo+hMNm1wO/njbF80y+ZDxw4xEYOC/kbpe1gMHUbZaaxD9qqPYfyRHbBZ82ohIcwkNwLY2I9KgGm4noakLv8sdbiUt/CW7So50e4iq+unYVmTv9fMbu7Zfww=</t>
  </si>
  <si>
    <t>I8xzwdv448rcvkEdG9/V0GVHuUIs4uCo7OQ49tsFp5DVgl5C2gw6MTYl0ROCPzfsM6SM5Zt6wVwPxDwvP28slz+VVQ1VHMaXu9d/UOA+7bPmj7BtIJ/Tm8pO7INgg+imduS/juV0k22L67Ov7Frm33FUlWfyWqqr0XX63oTbiJrCPMtqnmLIVfGZM/5ntlYVnSYKGuifByRMWTohbLgSSLazm61ECJOvjfRezyxr0GV47MDC1SqKRiorQE0=</t>
  </si>
  <si>
    <t>aGWal4h1J0+791k/lWimQZX8BdLucDRWCBCXaLJlIqtpBylrqRsBoKeTexERBGLMSxDbEQngmEO03iBhLMfkabx1/MVMyFu4Jpkyfk0ZP1O2xF+pW4IJ+pNDiPgaYI6RX8wrYNLET5fFv+WobZ65MHGorIHYJlnapfrFj+I2v1aIJoM/1Y/ARAXhSIwpdCjz6AEcQ2CKDKqUP+QnKWVJClhD+BAUmU9pBMMvGdPaE0wPTp7wwM3mCyIwq9s=</t>
  </si>
  <si>
    <t>c+v1b12k3l/R5zFxHUgN/sS+c5NMPVJh+3GDu0r+pFfwSxZ/g2+NafDn97n50WRYOECmkJz6Fnzh2cTWXFHBBC5dsbPAdhJPnXqXCYNhVUgdytqI4cxx0f0XAQG9zqWInp5yoQxVbvRuKL22Kmnu0ol9Z1Etowwxcm323VlCwIDnZVUokzPs623XQvJAmODg1jMJC81dH8uEurxUwny9Ud7NdQy0JGkoxFbpeuTibHwcvWmfqQDuRykU0Fk=</t>
  </si>
  <si>
    <t>g7dgu+u6/j1xjFGWJfmeMDr1zCbIPuNvHxS95l1iO/K7+hYKiKOYhosgeeOsU2uDNzhOyujAbM5T8GYFWMhr8xjnIkUi/h5/G483crJgQvN4UPfVYnf97csAJbq5/kVZyleEwVNm47LbiTL+IoG/X9Wd79b03T1p8Zepq/7pRWwhUxGsoONrFsFHeTEMuGo2EbM9IcEg4SAK9xrHoTn6FtOt7cJxm3wWVgyro8JSLe+ct/cXQSay/2hVvhg=</t>
  </si>
  <si>
    <t>BDX/5mdEQEk1fsqRxxb90lFToybKBwPQt1o1+LGQmzCVHDs0qLUkQtFFymHDvZAbRZv275UsQJFq3GXeivY5F8N4sxgG/2q6R1TAkTpTd1EMEmep22DLi4V+6vM+CJq3XlXEME89ll3sF7vFpHhOf0xgmX72ktdQp4ylyBOcEd3qhkEg099Eky6+20MT1w3yWCmU6yhGEvXObDU6RVsnvBEI0Qz+Hf4K1XDSb88YFM64vvEvJctLzVFweCo=</t>
  </si>
  <si>
    <t>1IH1OWHuPKvRnDW0ZRe6EfN/3SXWMQLHRXJdl8hMAXgCx0PEFXIWUn81HJteZ5Eblbqz5Ye5eQ01CdtY3MLkHWIc+1xbRE3EjUsfI6TVGYb8TY6ZKBqcWuSldqvsUTgmh+mSMV8llYc+M3ylku6cSpFibg0LuDNLCl0BvLxNVHaGgIn/HhoOXT3Rz1bgNvIEn70XMyB9YafF4iCOtbinqSUHUxbyTQSLGPfacW0qinMdQu8808vJoLnQFiM=</t>
  </si>
  <si>
    <t>aWIxuvYGWaiEWGoH0oNMAfPXcyRtQYA/0kGpReMw4r/1hhmHpkGngWQPRgIDCgZzi4eZxHGgy3wd37dBNnuWr9bUjt9GihwDtb/QqZJ9PAB1xoig6R8O7cqnthU7/ZwigHIUCFmr6mUWUkRX2yddMZ5CpvDYzQbfQX1BgrX6ne/CKEbsZVPEJecUw3w+j7cLKmZI0/YLPOcd+q+t/QnTGg/uywp+GcTxsNBKAErJSMQtNScVPIsXISmNQ30=</t>
  </si>
  <si>
    <t>heaw/z22tQbcJ3RXaeJAVYeAH0U3dRrOUMQPaoJdeG8op3qgSkT8ARXU9YmumyS5/Mhe89pYdYP3ON8esx6/BbofnbTl5vWQpqVVAMyYOqmVW93qd6S2MrOaO9w1q3kM4gbbJ8j7IGWcRThgKpOQtSJZC6O8/ivl6pggqBlrTD+xyVXoK7S8wioDIv4zgAtX/h/tZGUGBKrUXDnROnMBH92Ew0Ug0eyFzwD4tCMT26JNL2v1OkpYaYInngg=</t>
  </si>
  <si>
    <t>An0rf9pn3WLmbeRVOOZsEYd32/+l9TNvgrb4WnRFjYY+xAzZtjeXvDGvbp9lGiUFRKwu7zWjLcBsW7jkDSKyHwSH8Z9qot+CwNb2SQGMTCDfOLAk5FsYT4whZ5EnCJIPL91/k7S4iTgQAwnqHyxujnDG0Jid1/SygoXJW63vS2TpRakti0s/5palpZEb0wiAV4RvopomBezLjnJfyrIXOgiZ3Gx6Xn32qbNaAtgmZPeueeHspG9bLcNJNxs=</t>
  </si>
  <si>
    <t>ZwvLczP+XcFIhDkOntZtg8pOQ7SZ4l6W34A25l/aiGjSpxVo2aFsLHVQMHTEKwwo4qBA6WukpVeONuDxNwqLk6aDtaIAjVNGnRixsy8agADvQqBzY9PXHARKa23M1y9+xKWYgwoMU07TXooY45QRsJZj8M5FAifsgzJnGKn0yeH8wO33Ltk9VcNzpB3BoVk/trPlNDodfpM2lIIGx5O/FH1AjFWWwNyrqmUZEdMO/BIHlEvzqEVPNCEXIXQ=</t>
  </si>
  <si>
    <t>xPQebE9FYUopP08Scj9ziXmZygvz77IdqVIcfu2tfvlTJs0avbYNySVX6Tk2eg2l3mnC8M+fkUmdh0vg2T8+WQ+fmrqOrElHVZHe/l3+yTqsSDuyCfjN0nI+Dv5D3cKjhiHleBzkr+TyWqHvYJsHQEjNYf9U6Oko9mhGCcFahcNKc10wlMSMUtJgNVbfFvVkBxpHrsfiF0aasHaOo5mZBzv/+4Ln9tPSvhi234Zm68vvpCneqHu34pAbzlw=</t>
  </si>
  <si>
    <t>DTTlkMNbjL1gYWiWhUbVvdWgmblqLxFEhKhR/34vfn6Jsfj2ARUTw3XRUh8CWWn/07mLXiBYXX659hDM+uNv1LK9KVTNKSrIh2n3Cu8sDRp1vQgFRNyrmBR7VoqRikWvbdfdZ39NuHNX8vV3CQKci2AyH/S/L37dhHqQwgOm/ooX0Q2ctpVU67hKyolSssESopuz0Nc1XUZ3JIDITKjKSSDZRsCDW7/8oGLozCdwDYW3eKk4Lq+EmWcyBNs=</t>
  </si>
  <si>
    <t>QECnv1jjlX9+wIYAyImD2y8u/zfyAm59yZsPKunGLgi41Ss+6C0xSTtnX3bAzxTaSHUGmu3U/DFSDPbdw2JH6kM5ookRJYKB6XJgiLS38pELeGqYzyb40XfE4qsiHAdYT59v3IYSfwFgkhkbfhLvqIPiL64+QQSuDdYMQBGcUMEx/JuiKuwFzqobxR8ahM2XJvNal1yfc9vVAKsWvQKuJgMV4AGSGX8d6dFZi5GB3N3vqXt9tnlB9QRCjGw=</t>
  </si>
  <si>
    <t>J5ZtzD4tkY72Z8cYgxy5bxAjuHHh0x7rnjK7jvE6iPCzoihRTlbaVr+rcmnbkbDY7IGnAiGLOayvZZ+ymQvw3uZ+qBDgn9O2ss1ox5bMcxrOYSqtfkA1gXT5h6o+a6oops0665uCGHinvl0cmrdREMDZUapR/jwg8RbE2+5szx3CCfaE4ushNr65sE8TMlESYMwjW6toqQsOKd0t8Ynhd8R9e50/WWx1va/CQOX+L3MGSO93fOLAlW0PSgE=</t>
  </si>
  <si>
    <t>73TC+/CRtCAuD4wlV1e2cMbh7/gsM1ZPrGkyDTq0Nnmy/B0EDMbO/Ns7QBtsjk/3KxtvHGCclCABAgK6YTsGBM6XKtyjbNXxzHTyi/Ab3cywWBWedYdKcsCoDqSVVJgIhpEhh+7DImoYRvdb+8zvmZ6Giwv9spo/EfcHF1cGE5EMEYxfVuijwBC51/d0F+wNUFCDL4SWOo39fqHYQDwrCtzLOpzitNd+LPT2dw97krIgxZ8qS55zwLGkDys=</t>
  </si>
  <si>
    <t>lsK6ia61NXRQFEzdnSUjybAS8us5Ci9zK+4QKUZ4qtY9zbIkkMNkg3vVMsqVwbX3md+4g7i+4EDqflLBxfEWUPr/hto3ofUQr+0h7eSxQUCPImxjurc4LgZYoMyGqpoojfR33mOZeJyjUIYOQKE2kcv+u/xjKQkKRmY/ZFjKehg81oGmHD6klc0rfnRH87B1Giuu4YGzxoSe6mLthD1S0PKWNsOqPxb4IQguc3ink92ZKH6JSIGAnD4zkU0=</t>
  </si>
  <si>
    <t>6iWCtijXiS0iWToNYiTimgTI9APR2iSvHK8+1a7sQw/fs+7fJtPwhM60UgguNNI7DxXAGEDM7RQ3BWh38T825fAazB+duuFtcxhDU54Ni6BDT5hORaxP3RwyNL7ncyOFG+KjKcEXiu5DtrA9HfhbEQO7pTWhsW27s9ny5BHvtNv38pJfsO+9kt35dm/WsPMD23Gh69GOUI7shrnAGRuqqTNi1M2LOCx2CaZqh0ztezyKNsGyupoJN2h0NnM=</t>
  </si>
  <si>
    <t>sEH64a8XWW2eEks6jqBZiJmkmR2g44k29WsZT7mtm0mxt+AZaD6iQSGjEEaTqYXBs7Lx5kgF+9DPxgtgWn+n1KuhoOVKyy8DN4jymliASJ7soFUEbJj87kFb2D/iRMmHZwdbnncDowLN2duGe0AviF7yPO/Ee+3OEIdYdsiP5oJn49X9VWpfE4pelh8va7jYA2FQgXPhqq5ZmhA9zE5U8WLH0xdR2LwuSIfbjiS2To17LizU33NDQuZ/dOo=</t>
  </si>
  <si>
    <t>zjZs7WJ32o0haKeicues7fPxtn9LzAfYagyljjbMbMCQLgHElXr6CFVhvKUeRMkaV6daVs8ssAtikcB8Wg3ZlQFOyiU+zSucwyBAbLIghlTBwFFWQXhEl6mAD+NQLelLAZ1Pnlfrv/wsYLMQH+qqwuJVDQFHi2eMVbJ2CTYiZ0yrZcbB7XgA6sXcnUx2YNfmDG/f9LpV1a8CwIEQBbRs9YXWvJQvp2GStKEG1Duh4l44PRv2+hAWoqspulI=</t>
  </si>
  <si>
    <t>FEnwaONK9wWPe5YYTH6Lg3Kmm0ohleOp4XoflwTWlKmCmYqLQaCPSr1UumgIzmBxZUtXDBYNuO/bAbOiioFc29IO3dKTK7mL9sOdGxJhUDlHeaeHKeuz4+GXjgipxCiCvu+TFic50Oz6mTjEOHnqxjaE7BaSkI6H7Bg1K4a2WYL1X1HQ2cxDouLxFnpFGKrSm1YFKPLbWBMMJsjXKY9K9Oq4Qp+HsxD47tvXQnXd1OQQdTwRrt0YH9DnlYY=</t>
  </si>
  <si>
    <t>nqsnZad0GZtFnNeKsMhDm4Gj8j3A501ge0nQ7OXN68IHLqngcRk2+/HZOtzY2k+kLyL3SCue4daAUQjA6mFQxJYc51G1taehkwsN32KixDG/Dv1T5gHYPj/r6nNDIVhx7UG49XRdx7xm7VgDaTre5J4F0HfmP0AMFy1NRReNwzwmNsVyqEvlVL2nbm4oSAg7TEgFogR34h8r1D/MPIX2v7CVJX+/4hJoNhEUU+VcZRCBs6rIUXfDX1mT4mw=</t>
  </si>
  <si>
    <t>UPlBHHQpmzHH7PVHfLOFeHJkfDlAcngWRcxKnTnf9uU1stEqbwUKY8wVBjASyEyZ5o/221sHzL68M8xUAlc7IB37dLDfZmNN0A9LfJA5dltz8qqF8uvbfSxu7u3uCboE/UB5gW8o62WJUg1BvQagFWf9JpQKjekw3RJs+ZJFiidoHTM+XbSEeSBBj8x0NvzvkD6PXsJ3pYfT/WzowN31WdT8F/MJeMB7vTp3wb7LSGO8t/kPsvjetZ8m+aQ=</t>
  </si>
  <si>
    <t>LPL7Qv9y4Zpiy5rrdTfAyEnikICaUNMZGofBZSfDPOi0B8uCWyFYI3NPlHCaZs47A0dC6wojaHKJj/US+1mDGV4sqF7X+QdoEfT39kgEwlbYugKhBhj8gkAB2WSSNScDYviPNfzUalXAsmwkEikhw30EjeM427CmTobTmNv3kmNL8frKd6sUWco9AHUWIsnjlVG2AcfGpl4T6QO9EFVOxIDrVsLyjQnwdE0ShrF+ysp4r9Te4oeJonN4lYo=</t>
  </si>
  <si>
    <t>ZHs6BnziREJ/Imq/QlBdlmyOdPm4OUU/7PT/es6nBgtapbxXOOuYbkiu28aryCgfCl9OeFZv/PHRFuj1VfkYypQEBCv7n8eABqQZSzY1bKNWiyD0YMsSdpJM8g7xC00oOnQzd3FV59NQ8eAYm4JeYUfHkkuAN7JDzOLZquDmaDK8OGg55cND+xsx2XndEU+lnkXIBHrW4T6NNdEQNTdj55BBJZPaw8RpzxpvQuVejG9QtycDHeRoYWLqiSU=</t>
  </si>
  <si>
    <t>QgWgBVVPOkesCngfRlD1vmNKE3LpRfgO6kOPYeJ4A3CKmbyYTidO7KdNcS+AFottINzNhTpAVyYDddossVihJ7myrK+InS4HMxLCJnnHpe9kTx5wbdxzxJYLHDWVLwsyMNyV2XHG9cX0FKR9kaS4z95/cV+Tn+eoudS0nFdHig/+4n1EMD9LJW7nNY3oAQ8uqcYopqXyfFvifnV6TqhJGZj4aY8NuSW0AAljGms/VFo7Qfq/LJAJl73JtHA=</t>
  </si>
  <si>
    <t>GkO+rmOvEzcQpXNr9k2d1BUTFmFg+aydZWXCWS5mI96PS2eyhqVwSQcCpfuoRcbBvKXCoK0yFU8CWQ1geTlW5MOsFia7XOvlSRn1WLfBnYtL+x6LlzAX7XjuIIRq6UjvPRPBXN3R+dUysKOyqiY2dec7pr+nzkQwWOI2/pXgvnbA3EGBpIAb688nyPpIF1/5+eitmLLRAuxse/s/yWNmnuzAo3AXRRMlQnAZ2FgApKnbEiBwoKs5UaCSr4Y=</t>
  </si>
  <si>
    <t>/+Xp7w7URroe65PWknvRY+Y+La7Mn1HWxgh5KpbG52JjpOPhq5Tz4oQkww5yLbkUByYDcAX9NJnwWqB9k7J2P2695fnqC4gqzR9tpWo0qtRGT8RqZuWwM4WTb8wZ9GvhIp5DGl3fi4/Iox6Iov0q6dOxyOfqWpdkA1Lls0kaaLbYDiP2/sZABeoj7B13jFMl/iNqGveWr/n5TrRe2q+bWM+EiY5RxxXYvHsCx+en5xMqhQl7o6E+Xbj4q2g=</t>
  </si>
  <si>
    <t>jv2Ltwdzk+OaOxrBRhdHoskvm/kx3MunOV57UdzbjLmUkeqFdyKVHLOqDBs83vr+4ul9kfecFVOgXvh+gfXm4tuOHPfUlPR3cVo0tzkvLJQpU7GwYhT9YyGqsBeJt6j8gvY4VbcEXMUpXTBqbN51l/7+ZY/Swtx/qXwpPrtUWCSNjWlgysSWKkRdxH7wH5s/QV3J81OYjNo371YtvXcYDFPQanIvs1vYsvV4wXpHokXMeP5LYCe2loZ9D58=</t>
  </si>
  <si>
    <t>jTIMXabcCa9nxx9NEbNTG64gS7CnabV4OskanytuAvNG54Gc7cYj0RK8vrtvKaW6k6HGrqnVzhalryWfpLUpPXWfOqzpwVhHgsIqLLCFWfv97jguIytJ5ALLBQuEHX5NglMPJQUMzLO/Anqq81lC3MioGMTNoWc4Kwa7ZQl/IZSe/q7miSuemesQVsrTHzb1/HcWdp22WhoTz27CYCkmleAPoY0THRRnti/mnNOGJzud6Xf5qtKq0AbDh5I=</t>
  </si>
  <si>
    <t>pLRCCe3c8D1mekpzoUvKEEmt6Qw/kghG4crT8c5mUiO4oyAk4QyLcFahMxXwMikYp0l4+I8kcxyUoL1FsJavhHh85OjBL2S5M/urfCoBe8+X405tdsnPBbuBxhOTC8gB2pa85oZAYlidjkMuRcKuBGNZAvBo2yRvrC1aeDsG2hzV0f1JR9BevIcZSI4M52/j4kX16BtTgX6TTY/JhYMDYrBPSrXIFP16k032E49Cob354t6uB3bQGjRu2No=</t>
  </si>
  <si>
    <t>UZap35USV76m58p9Db1a0NYQa50MUKw3vKJlC5mk5V2wvJqt5vg1GtOhcNBrFCaQ53NMvz+KN0E4H2paLP1C/IVBSvreKu0q4MjKCSHKAI48b6p+vqaURWmh1i+Iz90MdMuJASvQsUl/TNioqPsBvPkZj37igBr45HBFKreYPuzW+eli/qpiq47jOzVGvxIzsva1xEfgrieQgd2/u4du5/CVNZ3W18+0MVqrHk3Q/jJ28KpToFvL/2wCiO0=</t>
  </si>
  <si>
    <t>Rb5HnHQ+U9pg6B8G/axn4PM8+YcS2LCV4roC2Ogikcm4BOplUH4KoP60s4R9Ftwj77MA2U3O8Lg1r209jA9FgSYJa9a0sgyjX457h1p1QWmEK+V9/cbDVKEGwk0QfexOcmE94Kqiz6FV2TPD7+b/gSbAdezSkl90ALIEK+vzhqkHfcNs207jmuUJTOYUTs+l9aByyC4vRw10gZacd7H5aE2re915zLVdxglciZ+I1hj8Xspa9qH+1t4a6bQ=</t>
  </si>
  <si>
    <t>d/HNdaXPBpSqsuZHF5xRQfT++56LxOsY2JsHlach2uQliZLXIAyAY8GROhY/PVsb/qKb5pUpKW8EzyF31v6Z4OeIpoooOR1okBlVnc+RgeHn8R1sW6Rfu3rknyd/beJZGGI1ShVEzNtOrKpQZ/Zz+aZurFyM4nimjgz7S1peHnSQKmb2Q/pMFmAHKWIjyIhlwPNQQvcLEhWMZgnetXMltcjidSaLyZ1lPMBzTLPxfO9Fj3IoQDBacWew7m4=</t>
  </si>
  <si>
    <t>E/EVkyU5HJtobKcrhjX33oP45IuUBtNSyZPE2k5x4hAvoKIj+WCCX7w2MpyQx5T12IlY2iwlXszUUFtNirJ2FYKRYR0pYs3XgVh1KoXeOjtS8fvVjs3PHrAxIJXwXlaC3JceoTTAA/x+w3hqqxEOs6WPYgW8v27tm6djMlK1NbdOt9RZHkYTgnWFnqKp71918J+NWgLiQYi9ipnR7xGYqz75V745Bv3X9cKA88WzPS5Dvgy5BMgRg0PdiEc=</t>
  </si>
  <si>
    <t>Ncjc6WsElqQtaqZAAsFCivUiSu/xl3y0GP5IZ7/cDMalLWnI/3A95yv7W6htyHni4+E9LiucjfBKFBdxjw4B8Js8qI0y7uCGEEYSy8gf/1yaaoA9pbf3JtDKktPLzlxq6UmdF3jVvRRrtXwbKnF1CoGhGc5lqRadIvdKNalEUVd2bwdN1wvIqfwI6cBtAGXXthLFA0zyocQernMCyXLXFIYnmOJLfmjSSryhC0xZ+Qslu70lMU08codD6vY=</t>
  </si>
  <si>
    <t>MyTV+gIqXJcTh+QB+E5OeRMAfHdgqlagCOrIiT7FKqkfy7omfFkX1mfeGqCiijntAPZlOegBYK+uRc5JH2EU6VR5MZi2k+U5hIHboy38P4mttR1Zfgm81766LKEsPURozo3cv9hviemqMWnKAbx0fqTDtoSRQjyS1O+6nFB0bK8RkIXwdCs+UA5yuJ1Kw7jHV1w/o+vjF7gODXL9jFySUDQBmCF7Y2NVR0wv/KMJoOuaoo02olQuUOCOBKk=</t>
  </si>
  <si>
    <t>wk5sNw4Ke4HVB440EPLERYI3RBR96iBtNPhWxdkhkli6ViZBYp1UZNSWhFFXLGMJelcEcE4xbfh8CmNA23duNgsvVKcPk+NnBKfivv30havHrvnXTwqmwrsEtEoycTfHel8fOzmqA0Qv+qUJhvsRXm0baryEp3UwssRuelw7z4js2dUtAMcKru5Rd61T1dAN01TArAnh2TbolpkalkEOfuFMXm+p8UTPOWA/0gtz/izqGlLDsWKHMZrnoOM=</t>
  </si>
  <si>
    <t>fFiWsWVvBsZIomxZQOoCLr5XYCZvrggL11/QB9sYQC28aGt58jg761fcywue0cUpm3mqxchchLGAidp/HEQoMJVGQmQT0AakrYh7SaDbvGpTaL8+8srViZi/LvzoXrL3B6zRv+xZk5/NtsuSOzqMGvtv1jsz5G/gua2R9aXb5PzO+zg86BbvecUDxBa5X2uupJ+mh0Jgo+4SahRHpVQjWB9IA0tSN0+DLvu5y8ho8qQj8MR5cmv8ckvngsE=</t>
  </si>
  <si>
    <t>QuuDA0vX+jsg4ZcEkwm6Y35Ya6sURljRGlTETHBtylKSmw93rWfL7HamtMnZjxL1ecijcotdaEKZFUo1Mj5nRg5FX25oBsdiwXYI4TpconSWBwRM8Twjgy1OgayIxDf3mY1pGlxaadncX2KpOWUCMwXWPmtrmmg5i4NJ01JGks39BtFOgK7orX+Jmrx8ghejPNKpTfhod/AaPlQQZmJMKC5tBLOXZT3VrOMjgTAzSltkZ3JU9+j/MViseS4=</t>
  </si>
  <si>
    <t>fcqmQ6K4bG2YFqQoAKTV/A/Jox5/WN6zYmp0UAy0djJH9mZ0hpXaXJrxIm3dtzD6fxWs03lPktMIFVvTHHD75JCtzNw4nUi+l5leHRA5xEa/7l/5i5WWihcfbUZhmYnnDJdpKB+EKW3H+HPvfjBnPPhLzXZ89uPFZKsl+z/EsblqVCffLphI4+XaJzcirbUNYU1FErNTIgmYZM3Tpg7aoaZJX2Ynd5kW7hRB5gaJ/PtePr+7jiRkYMK8VfM=</t>
  </si>
  <si>
    <t>XIliEU6CYKxZV1slgMmJTXMzVQgp7FqSZhx+EmwQCU3icPzB7rIOK6bmgOFjnK44I8wlkVXu5K1pd3arx1AbHGrahoFeD+cLHYeBBr19gDVKoyyjTv0SaA76CjqMNwHaZ2/CB2TMmrBbRlwD/5xR/83hvSyddWFUDBuLZXw+aoyKsTPjg4cfrUB2xNNmFHZDE993cur+OIInRqCAOLXXBc5GllBBpcgwVgwmW5qXQkj9LRBc65CkF5/91S8=</t>
  </si>
  <si>
    <t>XvXl+KeroFBS8lD+9+wPq/qy6DAEH/Iea6wPy2kIBNC8nRoFhJQPxorcuhvO8OrRsWQ2nVWSVPCWoUlDjE0HMlSzPlwIqjFA+w1guJXhwQZ50uTMLZeIzIsT4IVB5wFRJ/TfO91+VAs1hm2ltjRXtV7kpDxcCOoRqR1ipUENJ3KwDrSgTRcJNLcXWPG9uwQb/Pql8GxWtA2vNDyIQuEPNUFvg9jzYus9v08n/XqZhHQpMLLLyB4VTrSIN2k=</t>
  </si>
  <si>
    <t>p0lvlqfjnI6j+rSvuWtDuc6XESEgJbVykqyua/UepOm4YgtlIMen3o7Mpg4e838xUEAm700Ja1ESXAmnh18/9ylaxhO3ohBfldOqkbl8l9regcw/Y+3vu4m/iLUEaaUs0e8OhWGPCe+G17IYbTO9O8246C43opqfkh8LppVn8pW00LsQbK10egsrWBea+NNoo/FLwOiP3hDuNBJNguuRA1WyOZ34LaNsGNQ1ERg+Tu8BRgwm2flhlgVxmlc=</t>
  </si>
  <si>
    <t>Zt1sRb78yAXXQjboAiIqNuk+f3hL4AexKAlezNozyBpxvWqe4lm2EQvPJNSXe97OjqJl2R5pdFyvIhjoCb6LQS0im6XNHd05rhU/IaA3GipKVSsJpRyRiFWnqEDDsR71Bt8dHIdmIT1LEJ/EWIHiR/PfaEIWVB2dbhjEJnroRyOs1huZM9q4zX2IlbE7uTqVF7ZKXm4+j+uo+hTnAXIe7HFctZJ7qNOPHq8PpehfvQpDnymZz+LXuWeuFdw=</t>
  </si>
  <si>
    <t>F59F+V+0NCIhpgl2wJ98o6JSoe3d4z/2v96skDIc/0KP5gJj32gxQ3aQspOq4DUNjr3sRnPORimTe5qZlNU8zHny4NCKgEpsusHfL0uyj12gPfF/PkyxsPzhrGGt7vvVuJqauGAs2pC+KLGMtdz001zVxDoS0YZ8YAWQ6tSfvtZWblwSyWIrCZlGZ6N5RRFM22VKNQRF1yYrg8YuYCwolAXyjBG1IDcp7NnwyqK/qMFXzrcBs3iUMW/TE6c=</t>
  </si>
  <si>
    <t>MfkP6t+fMiq+WFPk4yz7CPYj+XIuQXzDV/6xQRRA6zGxRYoFzFU9tjEURlnOhQ4/qbcqZuXT7WDggbUZlMMl/VTZUC6i0sYIzQ5HrYPPv5GeQx4fve4qTv+G9B7fmT+scJAeUgyytX16WfZ7BJH/LzbNzcCbJXTrVGeiGAI23PeKETMC6YEH5f1kMyGsqVd1vSXDtEv5mhpceFry7X2JaLfEDe6ezw7PlC5z83rAx9zmcbP8X0uf6kJtDDo=</t>
  </si>
  <si>
    <t>yYBs/dSGn86RMwIRQ2cEaBCBJ2C/YRNE16LHa1dk6Bg43xZZ5yXeDMPd77Obbvf/1Orv24/Pj9J2+4k+r/nJP2KqLmHk3zpn8o31r3UTukq0wBG0ZEzDWkaKC/wEr/p2Z4oV5+jYK8q0GCVEY+sDXj1wXSfu93Om5KvYZk4iWjTtfNSyr9Dea9lD5QI8RWsnLet1F2KQFxg50N9Qbd5PHsfhfzBrsgIDlXr5IfUnyfJbUTqTECsJ0zJ1Mqc=</t>
  </si>
  <si>
    <t>LURTuh6e5mtiq2g4/oZORGAyfmxy9+oNHSq9u5Th/0czjYzhZpqsnI4/bQ9maH4Wjr3RObxr9LcTTB2LSx5qSNzYrGEZLTHbt8r5FTt9gbU1TgZn5VxFhBuVvmR3x2nh3sIu/2VHCTxaHA0s+VtT7X4Wb/6LmZi/zni7Vv/qfgmu3/5JsiOAmDuOQRHEcMVYBrYOoyAga4aoQVaUrFSs2VM1YCdEOk59L6IkAigtL42mz4DtUUnK0pOfdMs=</t>
  </si>
  <si>
    <t>+HRlAdNK+ufstmLinp0mHaAS0SOYu6DufwCwk+YpwWPFIUr789AF/k4fSGaoxl305l4TRSvSOSwITI3QtybZVhv6lJctp46DVxnAJu+KbhrMX9smiggKVc0xPCtr37whWSLavqnOzVgm1vfzM8YnqgM8QyeMYWg44P38xpM5Mg4KlkmcmGh7z2o7CkgOsqdHXrPq/0eY5WqamzqK5RiZUzEshVjPxzW3uKS+pXgW0iF4Z92xDQZcp5TK4kA=</t>
  </si>
  <si>
    <t>Szo9az1QQ+oSSC98y/rF0bMiQceEmRpb5pyCDg78JojMlzQb7MbbF4Mpao4NX+3ZmwlfnMxfbbxC70Dht9uVCbzItvy5edjFmvqnmtndlnBrzOjyIH46908lJF/uJxTpPWNvma8ONa5gXchnU1rYie+j2KpyQXTPc1LCdzUGeGv6NSXdDIWvYx3sBCZaLoc7Ow4OGB/qrYULmxYMVN1P3yYNkLTzb8acW6pMn1JVm9kQObmgjdT5V+3pVWU=</t>
  </si>
  <si>
    <t>yfp/JW2Md+RQ6JGwGgNuGmxf2PNNJkrxP4482fqlcvqmmQ8S2V3VqS01FydMByTnZQmVuzBCCULSpHsqQn32aq1nmWizQjQ04+NgK0aEJa8yVGaoFjU5LNncA1/W5rOUwsdLbLbmsCKM6ai0mkRNpzydC692TdziVPOCyKZaSskPuXqkMJP7s4fT0ftTquN75wDLIZPrSF89wpA26VtN6TMbLOJvqVpHZLxp/ZwvlM07U+svoEdlEroNRi4=</t>
  </si>
  <si>
    <t>fTdsAYhABPfSCdC8AkP+VgkPKvmTf5ts71g9vakNNWKNBOAYn5OD72fUlig2yRywFovMYJdHJC9eGn9heeeHH+ovscAt7ZN4kB4p4QS/4yxo3hZVyDzKfllU5vDA89lAAzXzg2mE0EuURw0pNzHwYwetkLWZUpdu4gqY6ud9zZSzfdoED8W1DFPaPNiafJlZWhRVox/Ieetcimdif7nt4ZOBahwOFxgasD0DipNfA/FP4IOIV8e5bThRczc=</t>
  </si>
  <si>
    <t>0e1qD0UnDvb/An34KQft+StUBDDbxEqMX3d9ljB1LuSiS0lcEC/V/uokQgLRz0/ZTVFQJ1hOXGd4w90DzDFIN4/4QsOSlQkIxDAj8UnpmaHwd6o7INEv3iPklHqKfeDqgcv+jXBljJQnhKJJapoVvvQxFdVMcfivvK893eqBCKn7hjPN+hVN+w4yEqkFvDe9sA+iViUKhY7jBNSaMWD1Kv81Uz9XvGa8UWEolTS7pvQ7/pKM0PXBfoJ7A5g=</t>
  </si>
  <si>
    <t>/a9Djlcu/uU+HVV3KQr4K0qJvfC8XTN6/z3G4a8fCTfQ2rRUE6DW9hYomm3ep+X7/5f7qmPfo9JOz2XT0Jc/0MvM4+EHWufNv3KM8YvsPPNzbR5sgczYu0QnDrPqabwRiOvudlYym7bIw1HBPHN54GjStu11tHFwFqExv0sKbT/JTE1OpliBa6X9xe9G76ADmAjwg+TD3oZhuMcVTQukOb/Df9hnGYqvpuAuqGuYeF3lB176dyJv0E5omnA=</t>
  </si>
  <si>
    <t>M32xYzDZIhT8E6IYMSvGtoMKMJvqrgrLPu0VK3fn9NTjlvEKBkgGJ4LpR/boinRIpRr5TC2N2ku8tf/9wYWISQIWiWejKBnvrE+Xt5KaDHAsTZ2TjsrEetZpycy1/gJgPDFv5KBJ/4dSS25TmAa8bdGDT2039XUbgkKDQzVKO6oneCdHkDPsnveu6Jg7Ty3h/GxZqPzdzjPfsojw81F8F4lgMFgx2fisas/SLf2yvDqTtAAqE+lrLh2kI5Y=</t>
  </si>
  <si>
    <t>HDBLKbKKeTwhDYb5Fdp2t10lJM++rJc8GHqsYLwldy4aNFDom/vhj0GRAOqFEyt5IVCoQvHAqsxsOgZo96ToVeBRmMV+0oTMiPjCTzqv2e1/o7Q+T9KfYv7smGLa1DkkF5JZ8A1nChi9vM1IRnKhD6Ez6f1Xzi49WobixBCcrLDgLICzjDDCBTsAk8G0JptRpf0/Y1cfcaAfQlVNU7KnB6+EDJnHYvjPP6uXaEUm5J92RQda96fOXSC0IU0=</t>
  </si>
  <si>
    <t>1YYP1cW3Pmier5GBv+R52ptqhyMkIcBCDhRNo0LGDJR+yT5HMoMHL089WJnlQYkBcVrJ4XuNoZg77MZ5iFWy14wknSquvC6JoQmw8QZSseOb6yUSO52l52ajZIg84hhHctUW79drYfA6SfErgFmScrnkj69IPM602MjA39gtWyxQnbIVLxgx554Adht2XY/W9h8/res9CEbpww/B02zWfKTTvovVXbVPaG2D4mNG/c4OeMxleNXF2bG29nk=</t>
  </si>
  <si>
    <t>M8Ty5WkTI6cmDakEj6w04+YaYe4eWXTbhyDvNMSgdOPngizqAfvA+9rnyCqY4RrqZszfupaYcW1L+I3ruoVeh9JlUsDMRJO8OJSPaSW4nkuL9TS5QTqq9LMVgUc+aEBwu1s5xLiROvLTf6vnN6Pk9uI+w8O5pa3IryVeTXwCdjbdWMvYidUJfWQQGbb7AlHR+UYcQ2JpdMQKxrchg63/DlrCeSZk6WjaCD5NjppBwg9WnwHN7TecIbJxNgM=</t>
  </si>
  <si>
    <t>t4U1mRkyNVDVwEpuFJ0vTRoFsyZtYDJFSphEl6aP6T8uuPWFTawB8P3UnMdHQ1PUyj0Wq4nQmGxP7++E5776UOVQfEn6LOZ6jFLAdRJ281OdgPKk5QwztImT99Rxal+883YteIvKwfQ5H20BqNYLb6FGwPly4qqsKhFscJVmW2BO2m4FAFis/TJbR3y+EquN18c3I8fsPQ+bFQXupiyl3HRbML8R9KZicA7JnVFQbnIbeLeAq4Y4Yk3Wp68=</t>
  </si>
  <si>
    <t>WOM2bdravrash823pFbYy5hw9NTVo5sWwRKJ4dUnfnr06yJhcGyM+oYXf/MzPylD+z8J8WxoZwT5UYGqubZ87AqmoyMndnS2rNzz6YwWHt9/RTs2INXhiEh0PNz2RNCVLeDeaSCr4zOGEiLgyY1ze2ep0GFkumlMSLFOSAKDyFpwFQogh+bZ0z2OW/eslBmRZ10XrzvTGXXJ9uo0kNSTvJq6hc3ZKzeoC2vB4eMw/6OmadMGrRLNa1brm3I=</t>
  </si>
  <si>
    <t>lvUdf0PGQ+ekxjxpqIrRUqF0szTP6KsHVTs7dCubkn/z4RNXb6mGTwY4voM+/68GcjNbHZCZKUDPVg8kOhmqtUFwr3zwZns69zePMniCaMNeUm/xwJjeIZWZd8Wvpunglo8KFoVeMeQoRh1XEaH9hJqng1GIpyB+wghlYL0Xn/EFL6YJU/xqly4GmUMtPjQP+qGQM8WfzgEhO918SzIzL6Qybsg++mD93eBX3Ti4K76++9DOG0v0CvFm/KU=</t>
  </si>
  <si>
    <t>hrv4RTi1bCu4W+Y/6l1VKbazYJ4zbeM7YTPWg4O0aHAkvu8VM+PhUkotUt6ggdQLjoOfdiTnKol6E+/nEZl0bXpmKdbun+BQzn6daoQQSToEGhjCeWLEbvfJLm9T7VLjAByNG1CDLNr274p7wuCggFZOWOw0uBkhVSlgPK2dxvaQKJyaO0KjHkrtVJ+Vc3aUTz4n7hQW9+S9/NnFZiiUhUdSfnURJH0YPW1gGeWbCx58XExLoNiD3MQQWNU=</t>
  </si>
  <si>
    <t>0lz8/29cz1nFwjSKUWON1HmVJKIKzBJSkrl9Z9Nr4jfBLNjvbDhD37JwayIQT6ypU0kiqPbVJo8JR6kxXZcnDgObvyNwd15zU76YYWhP/HXfsfv3/CTYqBhXFXJa2Py4m2mhaLBfM6j4XhylpCH/s5zaI/HbfX/rWcnuGRleWZykGfuNSa3zTjQmkoxnRHcwb011Dg9jNGfQ7uy1Xd6amlxWTRA++ilqSi2o+7CDOeMh0SVbiKE5sHdZAkE=</t>
  </si>
  <si>
    <t>VpHZW/+R2gobeaeO2leZySOdItUATR3B/sLc7mdg+OpJz7W5hp1TZJyr31rATLS2rV7s46ofi675lKOp0nAu6OWgMbt08RabtSVfvKPmdnvTlojb28HzeQqpKu6QBtcI2MImZ/o5IFKhGCe7wY2bmogOw+qO9jQhAvyAZQYVClVeemzVxtSYZEJ56zsv5qN4ErUGH4O882j4q9PLpIX28UpHu0D2uR0E6Hb7IWTDtCINPpHrF6UP1UGX+c4=</t>
  </si>
  <si>
    <t>HQ9a6J6qvdArIv2HqQ6SE3JTMYz/J5O6IkyuhQSFXI6x8zSwCIid0u67AtiOEXfCMxETAaHrKtMs4eMNCWwZVxj80fhX5JPrc91DWVeixJZV8cpANBub+iOqOTq9aNITQ90aCv/gGnNzEJN0jGP7ynLDCZ5DZhwGo2vXOASlPKbE/z/GfrD0GYxwkSAqtGHnUsPkRj1p1RZYTRo5ifdnte5oojMWCkmJ4iB7k4fLoEeL/wMfhB3Rc1ra0bk=</t>
  </si>
  <si>
    <t>z0fDzt7DdDflFUnmhb/14Gsjlrf2nf6F9FszHV/JtzwOAgW2LTPnGp760tpW50OjA2oACISJjV3CANkxCysLM4denyOQAOSAxEGorqb5Y/vySYEQtQj4SxZJWP2e6qkVawfHdEc64VXDz1m6WhJknQTjJwO7t58Syeri05Q6fyuxgeLhe1o6ieyk8gNBkUDMKGfm0PRboyTcDNr7319tidq1Mir0HzuZPWY/Y7DlntSvpm2HKCEOeUVG33Y=</t>
  </si>
  <si>
    <t>VeMY6Kwc5gk3aZkEX2I/jxJ9dXBsGQUydBqkrgXSWsD/b/XVTQSk+qLIsaRNl3OVUaiXh2KA4PLgaViVYcmh6UWRE+EkbEh5Ss8hGbXjBhfzgfaXIKZ98FtAI0rxLExCeHsZIZMXABp34l3NhLrUSUdf6g46G9IfqzqMzi44bo5v5rIhNWclTcZ1znNZtFy0KuZKdEu35vfzyWnasABfdg68iyCc4NHBgf7N9IVslPJ0Jc0zg0giwXoQKDs=</t>
  </si>
  <si>
    <t>EzQTupjNHOH4bEIshD1Ueem22nah1c0/MzDX4SfVINKQhQ594LrjXM5Ux7rfrMW6Nz14eVYfRQcTBRS/Dc65NhgVZXU1E26o3M5IivnYd1S8caOfp+3gCnlx1EyOVOPF4IXlTFz1SFzMma/WOzzFNc9b4YMvq05POJluFiOMa2z4uVfRppDJF2QcOBX8Wq/aKNq8H2EdEzlRKBpcKPdx/Pj0wUbmyVyIAgRku0B4fqJoNSaxzwUF0W9zT4Q=</t>
  </si>
  <si>
    <t>ORRYeA9WYvORfIfEj3VAma4Pogf9F4uS32hyX+nQFIeDv48q15659XoAsUA6QTt7VaEd9PSzamLbKv8YWlx5nhhhOv1Adn85ZUQIhFD0DgLgIfVu3/wkep+rOQgtOBLn4WQkXUdtL5/hK2LFTw7P2vG+aaprJJtAlAvVvAWr/7vsOTdZoJeB8JHyEJHx3rDlPdPZ8Gnk01nWrUZLi29GCXmOr74Wn8VNVzPVEZnlMzeHj2XJsGPaPkGUaN8=</t>
  </si>
  <si>
    <t>wmqWW+V1yTOqKv5w2EiGlqrT9xaQRJwSIOAZq2qlICpCAS6NbI8GgguNPffOvT4izgkGMhpItt08+d3t4TIUXSrz0oP18z8gNY1z+T8GJn+MVSo4dr6ZFumeTTB7wncjPBAEolHDy6i18IzzEhK3hkQEcz2kdNrQevQMueDD5r0O94TAISy7SpDc/A6hd5uK1PsFXENIIaUXOEedg6k35JVAsbCrls7NYxwZzOcKasbdwj2ljNSTUzeuXd4=</t>
  </si>
  <si>
    <t>73czb6P1BnJGRAtevoPY9ruhjnDt/0fcc3oT6E9v7fNO0cM/vFLVv/7s+w2m4As0SB5TUXjKpwcv3GZtMBqXJl4jdXXUa0ZjL4aGufy7byCMJ0JZRCoWwJW0W54f8XTSmGHIyI5sQIJfetsrhmIWgr6tBTzkcwnnhgrITPKs8wKUUVd3LeB/Wln0c3R285Yr23/WFH9VEF/9vpFGvINVlhzTOIcfkBj85fF0ZqD80uiNdun7avEarwSEulQ=</t>
  </si>
  <si>
    <t>r7fPebDoHZcjAuVC9fQXHgd8vgnuxWiWJUnFy6PCUKswjSLU9Z1JD5c2/aPz8jVl8Wi3dNV6md0m9RKo55+DH0YerM3VaewVXMT+E8UapS4TworTG1cZCOez7iHaTlPrZsD9ceGk/PbFDcEKSTbDLQM0G924xGVx7NI3+T3ppXfQN4U9a/J8AVRXkbux2I2jw/2f/d8Sf9g6lnEs4rhHySyNEdWA4JsuoBzgw0l1mXbOkhMAWUcW/H5Jgoo=</t>
  </si>
  <si>
    <t>AuuurcRNYqRhNffrBPS1qoJNmJ5qFZTgcs4stakxSUekLoxJAAAkPdR+w3bPuJF1cg47hdeNpF8M6e6UNQY4BufNOBJgLy9SUP32GihYhDntLBjmlPX3oAeCTJW98IN3/tZ0qlKQHDx8ywrC7NGV4Dah9Xf71BSf6cxHOWFF90AhRE6j1Lcj9Qt8m5B411eISxkekSLob5AvUr42+oLQkMkSjPiW2j29sQDASs6KQZfx7qHYEmCDnl5UHEo=</t>
  </si>
  <si>
    <t>yGQbIlwOTP1+TPlVFoss+ah85OYjrC+scPamu0K/m+7uXwJZtNXtTuYUbGfFBQqg73rBok0fUjWdSEpkI9c3AQAUweLI4sDp0Sh5TGtCg7p1lyzW9SFvKxqO+QfRWA71SJUFgxk7l4UKwMSTK+R5nbYJbdmw6U3sh4LgK6ceQzKD7djjGtppd32rkyqiCtooqFQQh8hKe1lh6Isy9ylNVlZDpSaKzO+XeAD9lx4qjj0BzYjtozVSa1ebbVo=</t>
  </si>
  <si>
    <t>uGj5rHy68XVf3Fepv3JTgZFNw0YJsqP5E9r5WhETLI0Z8R2wkFX0Xpvp6uXTG2DBkmB5/cHzFJcuTiEMPd/PMXBBgOw2hnRrZ3E0HQQc7JD2tSu1nF23TkcADaN13LJuI+2IJdaUQc2BUrv2q6nCpJgJu+Hh/AnmsJ0sJo54G/zs+VeTmdYZhtc81Bir234TPtXmpN0Smp+MSAgUyYD9W2Ed8LMz4iq/frvIwx+Cou2dOI+9XB+YMBoo87M=</t>
  </si>
  <si>
    <t>3SYoVaXtjYbG9o0y5whPcRNyzHewTzamMeYVz7RJxpYYPyOCqxrnvGB6MalGrfdMDPTQW5ZxWorIu5ybAaaarH6YeR5AUGiCS//V+xHSe1jV3GD0Ll/3JuXGRrqLLmcCCE1Hb9UoA2r9+QHs1Rw/zwc24iixLolL5aa9wStG/Y3QGx5JeKK/t2kfyZnJrG9yigpJ7YX4HTISjz5qhoh+nF8gcQ1gAE944n+WIBuuWemITHf116SPSdWwleE=</t>
  </si>
  <si>
    <t>eAcorIXM80pgcY2BNxgv+zS2eCVpmSV9F+xz5sirmA27hRYeaHWoXKpTFsXQAS1fX6mY58H7MbqX10mAVS70VFDpjPEEJ6Esu4WRz7DXi4OO4LT1HG9+waRtnAtOqtGrXLri3L3ZzHB7NG520hM0JMn9wtRF8TgWNYBGA6vCHSOcpAg8CXm1yZaaV5IUhrNKsu2HPrjE//ixDi6lwUalX3Pa7iEtGFsmaDKJzZ5hMrGkZKmsuufk8lo9tMU=</t>
  </si>
  <si>
    <t>iM+fhp+uS8yECYex5iXznR7oOMhUpfpHt3RVLPWY7/L+9crJbgUMQI919JZ4K6xafyKkVuk/1taajLIjLe7WCoMVHIDOiipLX5+6raVv8ECLBnW1V+hT3mzZgbQwUUDAHE/DylV8IaR1wwMc4XjKlamjYfdxfleTaha5traLItx+fNrtCj1L+LcCPIMOj+tJPK675RlpJzYYfDZkTzB0It3sLs4DMh1tmRdISNtDOtjFBVrKs2Aij5oZ3Dc=</t>
  </si>
  <si>
    <t>MvWYQYhUT0Y++dDu66m+l0HIMYzdXUDbMVZCI3AQLb23DyaaBesI0S6EWrtTIQirykess8+UL1zqr76sIUjfzaj9NTik4NlMITiRuu1WF130S6+DAnqzTQnayE9rmI0vFd/xKenp/grBYGPvvYzZOjhydyxRGLJzJKhBwsjgkDYunEzzc0TDShMj/Qp635FAzb7N60214F/UC62QGKw7qiSV+20YOHnogGhFYOPPj4c/SzYpC38PLVef0hw=</t>
  </si>
  <si>
    <t>U6knv06cuUBwB04JwYLOptEzSIiBgm7sOVixZUoc6TqLXMX6PXw4vvLSsQQXSgbhDh+wqd6T4mBuyQCI/brfcVj9m55WDHqsI2qt/Z8lQsfxAIJZEH7sQ0JXX4wwSE+Po0zRVtFv7NfCPeLwxnMCO4VzANWqL7AVfqb+HEqOmlvyHmFXvtQJEeLI6jXha3PX/gs9zIJe3X3KukjngZfMm4tG3nK6RsEKpKlZ2ynESngxvPK0SLRipSv/f38=</t>
  </si>
  <si>
    <t>PUFZxo34HeVEYEJycmbUeUwBdY+qHL8p90FduOV+Zi/BS1zLaDO25laSyuHF/XYWTrOsGx7U3+g90cfKS5BHc7tg72pXIFsK8WWqTiNOr6NwgRUTmSm559aCunds/YKn7X+QfoVt7eGRB360ucrbucslhFKc/fFf2Fu2rNs8QZoHsPg/diUK8Lzv4ix10mZsy4W4zxr/55S3VXeLASS2IMiILoJIOhn4AuvnxuXHUuEFe/hrL2dTu4dBk/Q=</t>
  </si>
  <si>
    <t>O/WrU91pxwqJE3SOXOGafQHKPeOkMhBTWu0vvE5Vn7sZhzK9X1ruiMj7o+DtRqQw8DgPvqZfzIs7WLUQJVDjUKCk04pcU8UMiYnm6hXhy8GfDjM3msG6NyGiXM8T+iMftaCEPRx4q8McNNM5PHaDC/Z6JBfKdcglpUEd3e8idycZd5b3d+GRRetM2WOKzfdFM6eQDP8UZKanp/4zpFI3TM2hupWH8KKYVP+W5knjQzBDLkok/4rvCXPn7gc=</t>
  </si>
  <si>
    <t>QwG/cR7YDAlnd/76fibaU9NxD6PtdYbyBlqyZIa6LFq9yfS4s2yDz5sZD/k+Ji+DVVJmhAVnyiawYpjgU9GND63eMAWyTd6Z8+VBI+1Ryw5Ox5jNwtpMYSw3hUI5Zq0mwWotuyncqxHkaHmcE/zRLGg2T8kxdFY4IzrBAaRBHzSqUOsxuvznVQ9X+oD09j1IKm40sFG/69db7+1cGRraCct0b3xpielkXsqgaT0kKyvj9DiKLuMZSlIJupQ=</t>
  </si>
  <si>
    <t>NERNwdMx7Wdux+B+f3nF6vgXAcKVGBW2Xnf8VawcEGdG77+SMfT/UCX1y24knfeE3Bod+uwL7YrJPevjfEvrFDvIh+k7snKBFGlSdtNW+EC/AqUPQ4AGklEEfjWeIPwN+UV/BFjMr36+6TyPHj9ZwuKiNpqe++koVQxuG89IvHdABUpUz7HQWx5FVFtlM21It98jlf9vgSBiIsWzVJhRUB4k49KEdhsQrGLmk1YJUbZ5DalzuvN6MYAYnhU=</t>
  </si>
  <si>
    <t>agQSuanz9HW4Gn86Z2Yll3DrJLSRNxoAqi8ZwVNdhM0CS/0puS+yOnybDvH0Mh/uclImBbGk9UWOxZEPv6UZQ5xhS3Et6ryUxEyfI1mdrktCqdyErndSnhQiGrY87FRIYUEVT+5mf8fzzTOA6Q4v/nYXEq+5NtQAESwZ5Yb1iNVtwoW+r/ZAHby0bwtzpSUlf56G4d1zdZWj9UzrDZDs504SJ9UlSRc7ICxbTCQSXCWSwc+kubV188h4vKM=</t>
  </si>
  <si>
    <t>hBPaiw61oBsTw/5u0sor81nxKrUj0n3+N2saHYpIa9SQwvfgPKPl8hhzsPGCllVTgSCBBz1pKcJPYtKAZXPMoUIglPruD7YTZoU6aB50JwgpRWddm3e9XkM4ocO/WCFCiiBGwdL4Ve039T5AtnucYyM1tzQ620fbkIUoY+uSb5cp6t6LAFWqIQjJBw3UWOSzH+iaoJdS/rxQyrNNaMG/KvmadgiuWraYR6Fh4wTXYThZQ2FoJ74dwXkwITk=</t>
  </si>
  <si>
    <t>RB/uIH09G8oipDnal1u2iTxUUy95ud8wo8Yfovp5bXPpA2ixlgFF9OJg3+gklPhaKEm2C1R5Lo06tKy6o6MiiYhl9WqwDMVIeT+HQG5Z/1MNgPto9ZU3D9Z3NAckfLt7pH8FEoSrDmpnuZ+aLsxoBT8lxR9ouEDKlDCm4HE71YWh0/brY7Rzz+dF5O+1GhS5NKTp3m7l+n7O88e5TgEcI76Bf5EBfKplP2VYr0cbujjrmchWa60Ht7C0WEo=</t>
  </si>
  <si>
    <t>0WO3RX0C7FfQVQ6NOQdI3L2inSwSiX3+BmftqeuPHIBV/3+XID6E+vzNiRSX10kpAOpD6zpNbdUUFI5jU954BDJC6IxyIAZW3IcYb7yG93eSWyYWra5L1g2yLZeu7NRekD9/rMcnmR0pzQ4d3NdPW3GVEUMYcL8niqTQ/z91EKe4f1w2A1Oqu15nTZhmWpY8xxbAKs2dfsmKosAMSf4/Zy3jdXW5tgxrDrGy2TB9DUr1+dG1gdef//ktGCQ=</t>
  </si>
  <si>
    <t>IdX7B9jX8dOG/XQieduHge4r4iaqD3zDn/mBBKdFNVcO45FX//UAhZzE/jQHXVORwPKSUfQhewE2VdKUb+OqNrCZY2+K3D4kZl1r09j8Se9meJaExpnzR4uvtqLCdyJmXQqtAWzl5wGFdlQmXggo/ZR+ov8ITAOOKI0yFq/XB713oMXE68dVdP5OlmiRgztgGggJeUcrx4WXZWwIMVTItZZFgjhnMzFBxlrFhc8S90JgTjgJWUj4wEp7+hw=</t>
  </si>
  <si>
    <t>ZhpNrGMSek2xM4cHPTFdUieMKb3d3JJFQzhjbPyW+IAV7zoAU4tO6jQX+K/LzXu7X82SnGJBouB8PY5OKd9kjXXzpgIRi0l559L66zxZkWVN5DLD8HJ7P7rhp0JcPTUVyGbELCfRnPn/+jjBc5okatCEwVfbHz8YS1M1sxSec7t1pevkNXKT0D8b8HwzEBbKZcP6UA6qsI7ozr25dfOOXWjcf8/CjtGb6DJvV1OTBxORz0CzuFqFus7W+wk=</t>
  </si>
  <si>
    <t>DvQrIZtJrtLR0vYDrMWDKrhl7T0r1GtcVCzrcHf/3xVudo0I2aSq07jLZciNqqNcGZZuQeqDf04bDuvyZsw8uz7qPyXGPzjp+0QDdU40CDWsXQ/0zsM00585ISycNv3HIiiJTt2Ftusb5cJz7h+aErfoeyAsdwpeQ2uXuFjB853F0ocmIbbX9GJEP9YO+ajbxNxrihG1YDXwPcnTfx2NkFRzKu0Iw5Q4n7CBiE9rPbGHu1k3vUpQPGgvPso=</t>
  </si>
  <si>
    <t>u9241K4CPINi2DCTWsDwoUOZ73UgKXJOa4AbH/5oeN2NsTBjr4IQK/rvJA5i1/NBh3vsp5QVQTIOksmov544dTYk9+beBHsQ/LIgRkQqlZySh6YXCDxo1FxERvYhDFeYSNkHMVWmNRz3He1SA6LYh5yFpBaJJMOJ3vqOVb4eGl4ikvjQVSdoPOOt71PU7XNM79VmT3fFZCgYwT8pzpIdJleQM0/YGXTZclhFRl3al3RRsiLjFoK7enyELR4=</t>
  </si>
  <si>
    <t>ffC4bvdg8MqRvZGhKPueM4MBMFOym2QZ0+Zwap4V9eh7wNmum4Wn04ucXH/dXJM1n7QyjjBO2e4lthTvHkkYOcrQyytHL1/j3+J2QB3RrPTmEOWWUpl02eGH0aClyq3qq/ptik5LAbP0W2K3fzH9QkLp1KbpGGXl5ZPmQO3X6dYvCU19HJH9qlQHKDqJ6U1QiF3YYIizeL9/fgyeqcLufu6gJx14pAfdh167VjUH+oqSb4PMaEQeOhO+2hY=</t>
  </si>
  <si>
    <t>gr8x6EBc/p7D06uVVmpH1F8yj5u+oygvnd4SsDlxL/twYTMb0aQYf1OHLmsqFSRCj34gDcRlwWntmAEyB0MkB2a1qMFgl1lOla35dCdUiQPrzgphIKwEyuGpqiGyS5VZNxcS2gZX6HIxZLfuqfJ0yb7409rq+6cIkjX9uQleNrMNez4Y/k5OU06ueLDv56dRcHpYactoXfO0oV3P0jn1Iggyr293Thd08l4L+hHSfac9HhwuJjSBqrY7+9g=</t>
  </si>
  <si>
    <t>5fCoxVPBxkkOzxxjMLwv/txdxPaSu6bJRbYWBpVrsroIRgkQ4HniY/PGQ3lEJvaAMJkOs0Rt9r6UWDLKa2yu2lL7500T8nUrwKwX4gWAg/rO9V+nsvevO4fL8w6xqJHhp6jBTDe+uNbRBUySl0XphCxxq2+HUNREsezJVggv/LleDNiZY2qoycyRbol6LDL4tGk/ZYhEnmcWAecAB7LCjodkj82tIEjLhLwccXX3h8FcCslBnBUsFxFTR7s=</t>
  </si>
  <si>
    <t>jSdGdcryhbXBjthSQJ6GRiNd1HIi6/bBJCoOn9L6CWJU84VRDuBPBKVV6e20U/KQQsKJFYVf25gDIBc8aAzxMrgT6Wf+ZRkdgXilcB73NzfrAerJw4pYEaHEgHQu+C8gNEuTAyBduUl4foUDtFY8u3QewaEkGA2K1wL3E8gWKv3ta3DBBs2VASnKkkLjEMQ/Jyo9sxDvL0pF7aDja5zsilc+6CSZQu5DM9j+Kqf6kC7MFs8+18SNmDd2PK4=</t>
  </si>
  <si>
    <t>zLxM7/tdLS5cew7gQ0onqVaYm7q7U3zfEA4JvpAv6Mo3hV34xhfzlyiM1iItHR0Lc7u82G92Z2cwzEsHrh/lDKulZeCJ+nJHtIk+yGil+2zsPP4mNcPPfp+fSpSAUmXHsoolGg9aBqnbn/ef2YGACemdSdET0bk58iAcBYp5vHsU4XWzH/q4OYMz384/OtljdnmScIdI0q8wdt2fU3Nl7vcC9IRIo1a6ZEqB3j7HpiLS5YpCOohiUhSQgFc=</t>
  </si>
  <si>
    <t>2elrlqMZLsDZ1ZnQeJVJXiSv3F7FYpJpB4VHzLtvNPxp8cD6A6KhSYS4nj8Eg7n1j8GNdqmk/jdho/4qOCBHAs652uEYZvv/+wBJHO76JB5IFCK2Xlx+q+i2FwvvwXB8CsQfERbtjKMcDMBCYoKiVGTy4uqB/LYBkT19HjXWYYq5Q5PUdkPTWb2Blp/Cmd/EuQN0T9sIApBhKc88zrr9ntTf0slg0T9E1Q727vo7xaKxnaWM3ie1kSWkmjM=</t>
  </si>
  <si>
    <t>gDmwYR3gnQbqDw6hxXE91cfKLwsk1P8tWOSzsNPm8SnTjVx3E2C/X7otIEs54d9xTZbqGzmK0woMikFIIdvWs+3I9GSVXRj2rfvIkPxnAnzISzjsRc4e9sK9AS4uhlkDCmMUrkW9T4KHvTVZlVAttcqiT/uDb42Ed8hjbLWsF9rP/ukn0z0KsK61SxuzthGxNBaTLpWaW7rX9+VsnZtYCxqaiIEEAGXoPNjkYU0dgnWLZZ3KXfxJjLTeuIM=</t>
  </si>
  <si>
    <t>QFovXDPZJlUR/y/ZUFbr5I5OMlgg7JT6MFkYB9VIn2uqM+kFAJR96uoY+CvjKj6SgFaJmO7NserOjl41Mtmhc1bLXsiuD3jlubvAY0SxTmjdBOl/mioyvp2ev0HeydcbeFtJyYIB7eXhjMnUvMz2H3PYjTCjiMKX6a1USRiFXXboPFugZbzVpjipnbDiwb7au1Xq2GNbklWfsvT5lAX6cCQM5DroI2wA8FCtzzZ1elJiDRDljaA4Nf0XVh4=</t>
  </si>
  <si>
    <t>HpxkDKDaG/+K7+c+NQeMzR+AfFsdM+ar7AZKF9zNZY1V1gZI7wRv+So88KdUm734WNTDg6eVZJWs4M+un/3grT3pzLIITNU2hAiXfs2vbbLt8oSSIs6r8KuqtSgfQOW6IQ8AgnW+qJo/OLh0E4VS8fJtGTXyVHYxHiYlwUOSNUNDJy07lmJjTI526BOPbv0ktC9fKl+txVv4A8n/wblTmPKCzSCNmji/DyIbvk7oagFK1lTqtlXcZUCuWlY=</t>
  </si>
  <si>
    <t>NQckc5pfrYxjTzds2tENiQ74drJNts9mRSliVGfdYCdM6DCYtiLNNpZpTUqfWiOvYScAaDm/5/3iMbqDErr6iiicADapF8EwA14G/fGvTqi7CwiE7FjDsSo22GoiBQzinPFGhc6i1V4d4TsaBay5VizhZXcPH5YS5tHDKZ0XCunvxA3TYD9JklDIROAKQdruenqea6lMglON1qIW5jNIX0k3oF8YyeOEXsTQX/O4KyUZcW1MohY2TPrHIb4=</t>
  </si>
  <si>
    <t>DiIJ87ct0JXvMMBLXfVu6n4Cd2RdmVEoKTALPBF89Viou0rMa5mnGysx2tKtuVCJfbnU1zUQ/5W3HMR4R/Ul/wwFnyRNNF1Mn/0U9tg559eDCYu9Br+SC7W/Rqu4bB3+NF7SIeYT7OrXHVunKQB9iIZM1KDctSqGnlL2EeDomATdioDwEZbUErQbVCfr8A6c/nPjKT93TDVNiISFhK7Apqc3G/wKCJDnSvWal10Io6ZkO+0TpXJHTu8CytI=</t>
  </si>
  <si>
    <t>e2sb5ocomY2jL6TkR7A86AgthqRHltgPQKQ6sACOAIzTtVJ7GbVwv2wWJcpvAdeKm2e8CmzoiRh4je8UcnncbYeffEO1rmyH1fTSyip/HF0Yye4KUgYi1hTWJe/F92YEd6S0Pmv0b+p1xDl+y/+saBP+KKQX1Yp0gxsjUfAPoZXQMu2MnXl7K/dhtyrKEyXyJjbpDLtS4XW+1ozVv6kK4USD6224lVPi0b3nkDmoVnkQF9XDLN8k1qk+duM=</t>
  </si>
  <si>
    <t>emTjuAS5oLgcXwagXSCRbLrfZZlOlP2F62AGF4knuiDfMJ9FN2k1+TYgl4tvchb7t83dEnXl6NweaeDUMDsm62nWVs0hP1K4heDvCkFZyBEbW765nWf4Yhq07OO9wcZTkSojqERuZGlZh3IlgnV1qUUMBtF4iK6i6TsA0A2MImS5Azvfg48MgOxDZPekS4tsB6mrU7ztEQHS+9YrF643s4vPPDdYEsD1gB9ULpJXPMkrIAL9XzgzUdsiMkQ=</t>
  </si>
  <si>
    <t>Uko8o/wTaaAz1/o2vBVEMq51e9HwP4eDOikquebwF+cgJvuifdIMm/rHy2MMTuZXA2I6icnjNKWBjhQKnQ93eyGY4FDuB33+Wb/C3QyuzPoFUPF+rxjLnPJUvuQFKa3HbbCYoCbu1F7XaaEthZ2BAiwQAB7/U1I3f5qI+da8jNahxHF3eMcedLJVKVkG51xIELWfJXLM+aJXieYJT8TrTDzfbxPfYxOvFJlSmseT1KFUp/KueiihmDBoUL0=</t>
  </si>
  <si>
    <t>wNlLx6hRCd6PXgJHVSOZ5icCdJaBOatFWqsIP/R2YaNpVYMbp/27dUewF+ynQtc41Ivq7E+zjvlQI/kHXytLTuFXAL4bgE4m5VHDeHo2uofpF/d3x8ChiFTeF6ZlbEDxxKKq3yVYt3Io9Yiv4NfFaxhJ0bF0co/P/ETqD7Xzp8KbWDB2s81c61CTKJGsN6eLGUsxlqrMwTMFJvAMW/GDAK1VCppw177dHtK/fjJ93bT66fnaVjGaMHRaZJA=</t>
  </si>
  <si>
    <t>EecfyII8qr+aBgj1naANr2qhO+PH/TQvM9OnYVTKJg3ZPE/OU+ivumXgwLW/n/zaGjeA92FLfcZtoBzxQ6Ziy0bEEyKtn7ZHr/CGCBtr0UoU+xBU3v77eWWJCOYNS4OzKeAcMvoBDavf7ABczQ/AVBGOPaMtjHG5j+HvWVPuE3H7ETDcHt4tCe3zLx7MnmNStt2GiKZcEhBqf9fiXS8dMQ85qPvTIRiOMTTApqxb6yS9KklMsnA7axTE5jU=</t>
  </si>
  <si>
    <t>DRswawQdKCumRCTOv8j7g8WCVVig0XxroMULQx+tzC3rklm0KwgOc40ul5/9MFDKH76LC6vz1pxtP75ZZZuyrMvl9yJUF/HwmsK9mJbQoM4ZAhiPFePMYf5oFvBXgjbydaBmDJCP84s5G5B8ncvgmhekmt+vQ24KzCn1+o+0OjYKmdBOKdNfFM+ytWRVq2/XFYePK2BFm/b7Vbf85dNqLksHB4Gi4oduyZjCjpIOpkPPCY6ZQkF2NFW0+qE=</t>
  </si>
  <si>
    <t>9Qs72PfmIsvipchHtpC2zpm31pyOGQrhS58aRuoydofEqs7g/NXiPUBmVxS2frrMhQoqhN2CqEtDS/36BAtsnzKEvGNBTqIAWy0oLBUixUmjVc9vUz3Aql51M+5NrFGTQx9hDFLua06U5uu2qovsviobaucy+Jo4yxFpwuuFs0q1QPYc5KZUGhm+Vbiob3AIsdE2zmseUrzZqkn+a0ZMFevW6D19Lp6GJJod9Ui4gWkvLNS3C7vZ5RFTSCE=</t>
  </si>
  <si>
    <t>7Q3ZMtP+B6gW6WmQw8WpuavNm5xewOjIYNewQ4qqf9XBCQZsGR/w9TYuL91kEZhOApgIX/lxOITR7c90P21swDu0bBnLLqKFcZZFtY+RT1dk/w0d/6AiRQ8b1+isep9GUlrz+HRwFE0LTdiyXoI3xFJWtuEr7OsOMxQsqjDKbtVWkC2ewWu5dvPG23xD42IPhlAFeQllGx5+d+Y/a5CguUo39Ttdk1XCcdgMZmP01IBzwAk7gcUsFqITTag=</t>
  </si>
  <si>
    <t>j0TCImy963T3/wlyCuxRf4vJ+h0W7xGIDdb8wyROf6G8T+mi/31p1K5XIC410gW3lZYwS3ty7IlM48RkJk+tnRTnIfOL5ES/WTIO28Ejq9VlvwuTUFsdeC40ljLpAKBcwMZ28/z9KBNG0A211frLCNDg0JU3xmasmIUKpMVSd3vrhteHrSsRRDKc2sIZ7LDjvAXdSUCPFVjTqS01azRnIi2BXSAT1JrPwPvFgw0l2CRI4NDKgKzFdtDD0oE=</t>
  </si>
  <si>
    <t>ewsWHdyK5cxDeOhgC4ggONIsukhb7ESZeGWx8UI34BvDYIECGI0fAuxEuxSPZiYI5jRXE9IK2xKgMJUNIsAuOaDkqegLMESy2vxAsB7+o9/huyzZr8c4xywNUop+FbML3epWfNNqiml3cWdiJit/MCpu/Ys1xgZxLKif/pl84wus/Y9Cbngjms2+2QPgApLT+OeY4qnXceqPVYFT+NwXsv81MURKS82N71vwcO761HEELrfGYabcZS+FzJE=</t>
  </si>
  <si>
    <t>94o122N0L1hZRoaS34miFL1rPodrZPuVRLPLm3AaNDggQDtZ65DIbj+jI8/P6QHYMIHro1/th6kO6tcQRPhVzz4BN8Jrpfnvr/RUlFGaOj2EDg9cSas3EYAYzT93IyVEWy9yQMsBcFj3NOMSPMg2k1fq/l+M6NTWwyXXuREipa5ywyjhgZvPD2BuweGAXFq4fdNmkMjz0cohPGcCvsTgLrsTeYfwbzBTgyAzoQUkFpFJaRwswJ7eQhPpX5I=</t>
  </si>
  <si>
    <t>sZOOOhthoV+qULWyRkE58lf+89HdrCgq1YEfnUdXBgzbBxgLqGW4hX76ZEcZ6L6MqSn5oZ84MGo2JxGwKNDBPASx780jMRA41f7fjxt4Le+KKGGrJMC7um1v5bIUhQTz07JxTnbJf5/wzPqfeYlWkX+YofqUS+I0YQD5cv+rmiBkuSL0vWqDJ5P8heJnVw3Mkkjhla4wdbdwsW2zgJowIGS5XLSlRWwh/PJGF81/FkqWQMmOYfoITSE2ACY=</t>
  </si>
  <si>
    <t>JSEoCCCfcc8KDAoEYgLokb3eUOEqkaAPWx2RqzDeTquVo89kNdnfDxOaDALVZCgKgsom/71EjnLfYTvvsshkrY2KSUkTTaIehh52HqKSQEhb5db3Wlf30ywH9fk7H/XT1rifVP4nGu3eVjG6Id/JM5YttLaHSKda2AbaiW7zUJOqgOxy+Szqi+iRsdjccTBOW1/3s6IL3qW2q9M8s+DQOZJ7jSMoCogX6B+y+QQn3KWpyJxq9ODmY6evoJ0=</t>
  </si>
  <si>
    <t>D9twCbF6dqsNGlDoNDXkpCgPaz/lUoApiyXIh1t2SpfZUUjRp62VbjKr2OMXzd+vP1cZROYJTvadBLq0Nmz7IFZj8JJGaixapY4B4/zQ7J0mceHB3fo8bFk6t0sWGKdBE7Z0jXM6qYtx5Re90bu/93qy2ANFg/zmhbtAp/v8UHEpZLtvG2XcEQsL6a0kW57CMkxm7pmh7GIU1e29+7piu+K7icBobT/1l0nMJnAvH3Q1lnnqXuvlZcRJ6Qk=</t>
  </si>
  <si>
    <t>WYzaZAwqZ1oC3xh1SIY8hHGpNrUBSDU04a4O+L/NqKftFhRaPpfG3oFOZ5b0KoDxTIZOKTzIiUkVN8A2T5Bpf/c4QmTriwz6RiD3Rpy1gJFFIhMsD7retIQKw1E2cPc4G3ugh+lAO3xMySwfzNKz04VWrJ8eP2J6MvuCBrZZ76hlNFMswdCb996++5uQrdB4gs8jLyq6OdmfplGizyDBgDt21JvhGWnnPke2mgoniioYfo2vPpmd/EcPVEw=</t>
  </si>
  <si>
    <t>glTAC9DWmMDO+0NWwjqumy0WD2O3QoXDWic/eXbnWyktg7qc4y/7fkD2c3sK+bMgvnNIDszmmG3ibtlt515vY57tRw79lQCUsYANGeo9iZPlIOitTWMZJx89R8YQ8NgdSy9Qh7FSogRbLiMzArTyxvIJsa6TxQKG8jkIKnHMFkKS8h51GBzbmEZ5fQqxVRV5EQ6U3mwmIZf7lQFGK5if7cvqbCLk9n9cGV8jeqSVOIcdH9zz+4kjLYyRJR4=</t>
  </si>
  <si>
    <t>SL9pmIhmRSsU+pQlbgWUoZx03zbH+c597b9UklZgQ3IZwEJrZWe8JgJvlC67VG3G6VEc7XQLZ3YEOZsIDnswA6Tg9qZnWoRCFtp1zCiVl24wYau46/zGk7iPhcajmb6eVpMWZc2os8lDFlw0s+/38tAPkE6wfBA4NyLXiHZuuYOIgZA8/EqXlmGegHBGDoRcJvIN4XKMqkNT0T0hdQIoA5UCmWAACNpcotps5//HPHjyY6zH30FSdCPZuV8=</t>
  </si>
  <si>
    <t>BpIod+/pHtJOZVA0nZ26PVarvXK3VGzF7IAKONUkvZ0l1Cjbc2vxlB141Dsl7UdTKelrCapoHJZJrZN/oMom53e2xTsv2gJ7I2kcr6RpHsC5gu9N7yluT/gdoZwYYGLs33RNJhEmy3OuTPwT8FysYvJ7bkulr9p3oSluZ7x/dUEpPG3ezBbYl418K8RphwLM4PiSbLZoEU5y3vuviZSqFGxmBBcTnZ7tWvNQLY3EElLe2LBADX3PVW4bsTI=</t>
  </si>
  <si>
    <t>qpkvPokkz7b/VnPV9/8LF0jNMl4NGPxqq9E/VIsxHw8l53vKLhydVkTDWyxosK7TEVCo6yLz9mgBvOdgzFL+uSqKNgBNfcrmS7Hl21QuXv1xHSbWZipKnwzC1FpvdgS5GMqy9tq7SKqhO7yEBQCKelF5UAj0xbUxGNTnuwuvcyFOU6aYyfw3zCgdzMx20O62KsRllI5wbHff1FbRwBgiaveZBBz3SAa9cTXCF6a6/22QBWykxb94maQQqaI=</t>
  </si>
  <si>
    <t>7pA4E3i1iU6BFcW7eCe17czeWX2eVLODIZZb7cl1x/dHKgPTOL/mPlhxF5ws0ddxJ4XG4xa1sBKXq/1MmbpbiMr6FpeyBeSAFgrVI/xuxKQw0tkjy4RR5oeBuzTVv2tGKVI7+dPzv1gITR3UUNNFSKmId7NXVWcFNTd1PHJdoTMsGPrWMAD2Ur3oUlLj9WyZIhWBD6wjwkpA9COVZ8t3YnwUFO85Ku1zs+YEcQ7or22EO9g97+zYhu1qBcI=</t>
  </si>
  <si>
    <t>axya3Wj3ZenCSsgzifTJQVSK4jA/+3mxt5MZU4nxyP3pMWXN2N/rNCkIPTLnwQIAh0d6Qj0And+Z4X++8pa0K0J/lGQV5V0Oy30kJoTg/KCOA57CcPTF+7w4nxgUziN01LaDZMLNjAkOk3a8DatRLJuA0+KAvcxNWCTtqX9y3VixgB4rSidlNslW9IgocMJ4U83LCoUhUmmBxs20YGxRRlNxKmXRdqBTomZv+orSSRo3Rh/U2xJeZyT73VI=</t>
  </si>
  <si>
    <t>gU0Y40ut3tqeyhdECYRRCQgoZzMWTNzMWoOAtXtujxWAzIrCcTq9UW1fnQZb4CAbduxtrQ2lU4SVoq3m+Lf+u+V/VPpSaa3cEHUxM52SKCxEX2Ig681qsCE/50j6ma/O1RBcYDnMLaY1BzWMjyxUjl/3UQ+rXc/5AQqVM4169cOb9KT76dzuMEIxJ8j1jv+fCFCpwik9VxDvybZgb25p6SxVV6CTgcyCMAUe/TRAlWssSIoMUEaDri29+vI=</t>
  </si>
  <si>
    <t>l2X4CF1rA+pdQhpA35t2DBp/0DkCxjvvScBuhawlH1GGmxAEaxLGU6MuG2Y2hQCOrmSNeXOw3uJMpqPK0gTwWHgTlJ/Dht9lJcOSMTNQ/SxZmrRAPvrYaOEsf4jIN9I7wcgkherDxPi11CY8l73K9GqCNh2x4Y1qZvvQtRCQSTvPdos8ZN1+zLChzlgFeegLfdcjPHfL6uvvgcxJO31EwUwRP62aTnExtPpcEQiVf1Lmhj1EFFS2k6T8e+s=</t>
  </si>
  <si>
    <t>oK/VM0cScAtnHqUFRkIKSg0RP0Ar6l1D+UpBoudrlCn/HqW9qCyy6vLeOep8oOIaZ6AohNStU5Rxxk+/mb4CA5kEebEBkqYYlSuBTvPfAfrMvkES1ubnhOloXClGV0OZOVUxjT5pAakEVL5chAiNCkYJWQCt6OU4ALqQ007G/xUFYCKHaTCwX1HABYWSoV4Wg1sdWDkVooBkTDhaLUTQFfJKBivhQ4OG6DR3ECHJSSywmksW+UVrk9AJaXM=</t>
  </si>
  <si>
    <t>msu2RlSZ2duUHNoZYUifEZc37/OLYCsEky2FTggY6MoWaMXVj63fGJS5WzGi/PV7QYjP8llHdNcD/5okvAdnothUbljyRuoiMfjCFvt7NtKrumUUhXcg9B+oHMASs+YwLDKIM+eVr1ZzbE1SbR8MRGAynpPPFQ5L9/hXPaztnCxCIa3pdUU83DX97ihdvhgDayGHf+gTgkosfL9SP/pPAJ/s0VBO5qf6ksQAVP6qi6qt2mCWQqHk9PKKfas=</t>
  </si>
  <si>
    <t>34vONQFRdmgYHOA5a3l3kILqPGeieVl8FOEzlXwHeLqP0m/dClbL2kthGKc/3WrotG4RhGWo/rp+oQUf7xZ8IcngWIXmCSpHCUUZr/PVRT8evXaIBUPJXgvRIJwovCWveS4bVNwkDRkE/ORO4dVzI3LcdzTknTeIr4hi9WbPFOXb333cpB2oCXw8LTkO4LyFe7QgKK4DgC/yA2+xjsCJBZrzrPwrMHrQ9eChNZRrd6eK4Ei+XRi9A+eIB4Q=</t>
  </si>
  <si>
    <t>oGM6B+4KHL0D9Zcs2UNgPg4eTI+7t4IeetV3FG+3dzkFSBJ3cjcxeO+00CdlE1xuzoJHnIxttObF0NsvJBJRnRTb+pzzBLNBZDVzr+RCtNl27gyGVAu54pRC8uVjbshnOHgaaIdq8kgDSh8sLae3djLzR5vt3yGC2gptLcUMK9UYgs4qhzwup1ovXZD4nteq06GwRns3DBeKzAN9FLeqzLxWu5YHvoxA1HmTO/e1rWD/kpgZaCiONwf9Vgo=</t>
  </si>
  <si>
    <t>L9upyBa9dI1rGnSlVx8j4nMwgXqxLgQz1YuVv1bBqw31Ojn1jSk03jmK/V7QiQvOZ5nEPpwuoyUMMq8vwnM9K4MS3zCEnNZrPfyjXDUcdSxHg3yJrCJnlJ392TklVWPwU83KW8ENaxMRot+sfiDChI4/EDRwmmKdQ+nHld5pQWZ6AcBpb2L5FGp+hQaxIRmiun3ksgKKVXN8JQjt5WEVmd4lPweaZ7//QlOYKsNEDt8BUSxeP2QfHatF/3g=</t>
  </si>
  <si>
    <t>16uH40Uq8GgCpU367U3YCqILE0hYJgNwwJ6LxDABoxJtlndNxxEwWhlZMVCe3mfWXMpngLCdUuZpRg6UbwO1H8Mb7egIuUS7iTzIJQZIMpddgfJyc+weBAEmXgqw9ZSjxHpKp+kOc8A3WwhJq8rtKGPR7d2H9WXRhSX+oLhTbRjF4/LHtDQujaUisDB3onX86txl7gmpgQiO1ck/6u4RX2uzIBjiT+gRt6BcUjUyAuqVpnHlCrNE4KHu8Ig=</t>
  </si>
  <si>
    <t>gtRJ8S+02eMhmHMJ7mePtURHpsyej9d2VTPhDNtIrmcj2zxogoS6aW/0Md8JpH2FIDl5qEj1+ZqlCihyO9Xh0K+uL+RtAjfpvbhUCqaEth0OkweHLhf72yjUv0qIFtAHYIWf2mQ9y/r5go6G6PJMoFm2iL2geCSeCKiSVjNTRJyE57RIv0q1UdV1xESv/TSrgK6y47+Mpk5AKRbuGkDJZ6wawSKTclJGSQaB3IVjBkGT4MQD2tej1yd92lo=</t>
  </si>
  <si>
    <t>2kJ5sSXtWBq2W0ODjL8s7KWhUGjs2WgJLba6OADF+0Z3qqblQXF+pwRZLVAzB2WKjzSa6xkW5dkpY/rKXrZi9vppMTOnercMgx5qaMlMBiwisuQPpftNYmqTmELHGs1zi2rVtsLpQp0jdPY11hzy6ginvpERPS0pCJepyZpnE9z6gIZfdiacdYt+mN+1UbLYh5NN4UwV5yq5fBuoI3r6hj3nEM8JZ3CpWJSDBZybH/eykCbYIC0rKvvHoqs=</t>
  </si>
  <si>
    <t>M2fHU76RIfKggEg0sIjGL1HmvEL5Pm7Ndsb4LpTPlxHOJqgH9gO0tSdSe1G2yWlj4nBk8CbCblUYA6o/HOFYp9MV/qt9CvBEulwd6dJUyFi0xoQvS6MiqdYzLkdZsyqhhd4GgThS7KVWLkxcSJF3K6isj3ZOps2k5vmJ+Ph8kLMzEhLlSk1s5r3QpduL1mR4q/fj/6bzrDPG1spB9ez4MHVOI+HpFRLIn/z5q8HL4fLecl1wDxmjckX4Gps=</t>
  </si>
  <si>
    <t>RDDLxqE/h61z7m+Qc8S7NTkI7xIkQwVPO9pFVNuUtCDflmWSkeu1qLN4yq1f5MCX+mI8ReMhQKzVXX2hny9VP1GsWZ16M5nYNmrnxVTMLLftNv6L3+QzvCc5lLDFYC4zT24W1OS3U1rT+UEljqN0jpAfouHh7J3sFBid9hQVNBLnsJQ8/2EyhuLR8Lzg+MfbJCb0tqqspvQ79suT3a7GXXD8W2A/3mO0bpX6ukUfN9zNmwKpl8CsxtOZf4I=</t>
  </si>
  <si>
    <t>8G1O9Qwa+cUjOiy5+blSOUWP9Ig5BUjRqZy/L3gCpr8R6pkn8zOHfL64LqDAhlACu56eLRYaNqDeFO9Ag5ZNu5kwZvUa43HlyfhzTZb+UQgmPcrELFk8JLCRMLz2ZrTXqKUsCpBudyl7II1foKCAcC9LiNKFis3zqmLSYAdgA9MGPzVr1kWar2LKJ9zqkIf+DylbVzFDYjCa1VK2fwG+CThZNVVCmIX43sDTGtVzgrkoH/OfY3NN7m8i07Y=</t>
  </si>
  <si>
    <t>5bFGKHOdqEET/1ZTcGO8Fo3WXnUtzoyTp6Wr/I4F/WtnKbIyRbdtQZzLkIuygVWQ4R3+cyHeN73hEsTZBi6xKcLdgVLC+GvuTKW8+7At85meZFD36Yb22rHBTSct1BekicY2OgIiJ2iq8KowMkS02NUFo4urYycS1MB1ZfEMDgMJc+pLW5eZ/qSCtS19mxa0spxyHlqLxlksH48QAdXRuWeTzgA2/wJOkONjmGCocNjCIHiwCXFUy0PS0ak=</t>
  </si>
  <si>
    <t>WKNzAYk4nyfZpTlq/R1wnLmVGPN0cX6/FSHgBXFKwYrP1EKobYSJ48QTW8wtlGhgo4qR55SSNpok64JvfdTWERBPaDdoHQeNJADS/DdbNn+VX5y2OuZFeXzTT/oZYg/JoyiOuWjMeohS1g0U1/CM7DDykAIT8GSkiVY9qMcFoELnRnBkmJF3nqD2s1N8HKQGgdCaD3iDXFuL+URY3hipN6b6mnjkfR40vb87vSClJEygzqW3exSjjw/64sQ=</t>
  </si>
  <si>
    <t>/xzLtzi8s9eGAH5fw7Uui6WaymNcnudUqjAgyHcBGzjE1ulPmIlrM/g6zT6cPuvGnVgj99dckdmRuf5KuA7aikKoHKPh8bAH4p6YjhaWVi3QsTuheUgVLXMxwybkoq64uUNGMei/QzyJQyOfAfi1oAbJIFY0n4ZEji8yyXzMUFAkBMwbA8mgSLY6iY3q0Mf1BNq1dcYvxFNyKgm538BrUEv6RcblXj/beVY5OZG7TFgx7mhcjwGY1Px1Z0E=</t>
  </si>
  <si>
    <t>F5dqOJ2+7yBZZyMWvCep4khwdHQjJcwEkPNP6Y0UqOllxCyzdDvMFRIuP1i4AZB95t2rJS0afI50Y4Yi5wuikXPwnPKXzuYmkT5DmCKNkQ/8B+osLTShn53k+KFNRAlvF3xwEAAHp9E5Ffh7dPMSGeXz8pPR7PDg+1fN4nLauUMBpu5lTyPZdVL0sKePGHBmxkDKxVtlBW3LCYqlWhaIPBnYqaA3VqTGgnDgxj4XSruUaFdLak6cS7GW6gk=</t>
  </si>
  <si>
    <t>t8wEW5vQT31GL+xZp2NIFuay6X5OYeKR25BmMkkQRIHDKYlaj4lP1xzFHj9gzxfxD1z4yke/5BsO1u7z1KnQ9U0JtoMrQA6GUjKio2Y0t7kQM4XEsVHWPeOhgl0Ntu6v8n3TfdLkWeyxltBTdVLNB8tuD+LtJ8DdtPXB7y5gnUO1Uu8zXqrE4C8JRJU9s0L7iNoUg8hA4pl+vTt+tP9sMwAAdGi6fJvlx35HP7Ln9bQB799dwDqVzGC7uBs=</t>
  </si>
  <si>
    <t>uOgOJqsgHB6/qObTdDjhwb/ylvQtQqAK8Agg9aG5umC6l5ubmxPwA5TkjV1ykVP+AOz5qcfA65UKtwz8rhV/qgnDtYz/jY6GKw7tNZGE+ZZa4eAriqhVbnmnlax212GmVwXsoZ7kN9vZI789S0Wagb+DDiWNQGjKSHl6hoao1z8IXUBE8UK5FoIs6Iw+/3edPm6rwDBZ9PaBe7i2SPoUUoDP13iO0dW+agZXQlF3M4+5sVv3FnyXQytqqzo=</t>
  </si>
  <si>
    <t>Kmsf2C4LaTokkbrU5w4Tc4O1bDfr8zYTXl8oGTwXyhFbCSL0I/PJwNt9NxXlLwwQIscHX+JdR9iwmD6FMURariPw4YqZ9oUZ6x1eSbSe/VAjBkgI1fNiECd8c3rWlCFWbdcS12oGcXA1MALK8jxbQyBHvc87B2upcwCxUULrbTJpUVEnBGXQ0iYyvKSyWUNBa3bh8eDMnYZBKigCquZqamg32uF0hZTJt9Ex0URdR9DQNT3bl0B7QOjghyA=</t>
  </si>
  <si>
    <t>YDNCu/3VXX6A5eZr+LWjtUKc7RNuH9uvJR692+ICTYhxG5Wt0cE9GB2U5veyco4oKEW1iUU76rqw81JZTIkZQtMrcO0V3lcte8rQzluC2e5WyLzScpA4xPzfas2rGSwj0/YSWRiS1zjtBvC0yFr0z+VxMrm7OWqWKeZX/2JaGUeYIz/+xO30cGyiMoFap0c7tDKVIng/KvbSycHaKnCyifnxp1Wj9hB+9MQDc4WlwfTlOIeRXDG36QLN0S4=</t>
  </si>
  <si>
    <t>u1n5FrU+zVV6BxgvYotsvp+PV/tcSS7QGg2d/ctly0sEBO3gXJpZGn/srzVY1Q/5mAvK+dMTpAdihDdMUlbERNPNb193ejiFQnETiMKOD1ihV+spvHsHMYymaVN2/kmp+dIkMXraBwSn9XB1ERTARH4QZXkMpfBxvUeQLf+qU3ytYPWPKW0rVh7Qxra/0WMtkL4u2ozcXHiR4nUhhwYdW9KcQKkx/5jad0580W1b66m9oqxziChLkNceQAc=</t>
  </si>
  <si>
    <t>S230eFqKkv9MOLoUTFQbC/babdrVh0yH2xMtjBv+jowVInvzRrZ7V6LFBKfcBWD2srU5zxgN2PrgYAs31qZ4Ts9Iez4FJYUK1fVRBm5lQf1aLX2hjbmII2czh6v/0P5JdW5olEN/LGLPZiFGaHnhTKtsE/KqzzZB4YHTJfGpIbK9aOgYL8eTPVgFKAM1AYGK6b54YYsa8vrdbdFCP1/veVTAJc9TfBUGdeggaH99q/aqkaG5UAUw5Bq/Tm8=</t>
  </si>
  <si>
    <t>yV1F3QZQ9k1HQDH72lbUtLi1ILJn7uTCmaNucAUgdFkVFTYnk3k8rjfSJzxD5kPRswR2Gafx7M12xXSYH8MQe1LqDgGJyx99c3NiSWdm1M+tzRnEIB0C5Tmk1Ql3bKIjhx+do4kZI1otfITTCGFkZ4q46fJ8BCNWnZ1r4FLrN3BkI0qGtyNMoobtqnuJ8/6hyFAQFLwlTCNmWa/66ItT/UnyGx4uLft/xdGqoxXA+UpcInQQzj9hhokQYf0=</t>
  </si>
  <si>
    <t>VTbH1iABLZyF8z7r5EuvLil8cRS71UwV2VwNwr+knP+2uKABkQcwmszuG70sAKun0uiI6ofr6RWqcK/dKOYTeAnRsGUaqzTcKf0NRIAkRbr2SzDERpDGIC/ZCFiEWdzUChDwdv4Ju7NlrzXp9nCNcsXKIRpJao81swRrHlqgi4jpTarzd1k2jq4etJrEQjGWvj1TwUVcUxel66Jzf9s276GcWdzvXWAUJk2dvqOc+3L0dis0c8ofFHzN1zs=</t>
  </si>
  <si>
    <t>a74fdWfIcNoy8X9FKJajba7cMg0fNq/nSBPVQUMLCVESk/P19A5Gw2PyXAID/ktU1LHThr0T35yOAhrSKoweAMheKUcKPhODZcKHnWuGIIWY0oq5JKgyPfHDcgU3kg4bmGnvoTKwFGh+e6PF5ZWjhR5rwnvsaNzvJChSyZ5r34TKMiy89eg1F5PneIAqidTjcl2oN07uQwo5XR4wLXFEACJUe5HCkCVF9OvrHKyoHTR7joNkiLdxzQkYXyQ=</t>
  </si>
  <si>
    <t>Mvp8OMZQUvnePmOrnN3dEKBd6Ot9/ttaH1E7r+MUFEf220jXkSDJOOEWStiKU/+k1CFBMvk3/2+W3BAeeCfT7zZM/khyW+5ZiyrBOYt1WbnjM0oMmrVLOeYwP2x+KSWgJiqPeGNcp18NoDUtTF1rUSw01gm1no1rZF2UFYgBWvXjNoYNFmZwfnenaMRVirHOOX6VoI7ei06ycz1QdETzMM9Cpp6VnwmpcZlx2UO8Fr5dfor+u2Lxs3jr3d8=</t>
  </si>
  <si>
    <t>hkJiWWT0TFQkJtn3EVjQtSWfGcB+vcS8iSOB+EvJlKHWG2cm5WYoyYlISSt/Q35/0CDQLvT6EpNo7ZWvRQL2F0wvT01AI/QKOHQa07s2GkmOydp5Dsm6s2GaIXaixyZ6JqkQ57tPlfr+903jRx5ZkLCiEpPGi7Y6s/mfcuVaUei39C24hLhWkYZtRfj3YuDUYAzROucBH56bMCd5PgIx0znXeSSUpzbxMZKHg2flQYdzX92FJm1CnzKrSx8=</t>
  </si>
  <si>
    <t>g36JfvmX+AwDrEUtPfb/zsig6nzo+wflL6SpnErX6iuwbgp/WWz1rvSGXtdBfTKNJT/AgnIKK9Np9CpFav/o6y5qDsVVBO+ALKW7dNE2AwzryC7xi6/doZV6iQ6cV61NZ7Qz252UwSi2q3FRBcERJ2rCWyrUXtQydpoCpKP6plTprG/8gJiDpnfJIwf9lBd7MBvpbathUpCJfu6eUibv70QWZRHRyPS3s242ZJJDJEE4MtpMM7kvXvu3jGc=</t>
  </si>
  <si>
    <t>fczSikw7FTV4rqxWl3RrISvDp8tMVOdTP4ODAPrRnNLtzYgqvncBLMDl9xkViFOzokVDYyjldo6mrTlScoLUwWRYVj5E2Db3sgOc9kjNcSl39TAfsJXgMXLFTYSvtCmWtozKQ7CB+kB+5pIO9KD2boln00ZPwtCoa5vwYm5hh4TkOm1HEQi8MZ2ehU1+iG7OqELKiKho4yTsQ6Ab2kqtNYfna2REtJb+QmdfgqEY8Ki7KwVNe1tpnTz5TTI=</t>
  </si>
  <si>
    <t>ShqVy1+dUP8tNhMXiwKOI07iGC0cFquGIsBSN/eW3WPvh9SIg9977rYFCqAsrbMtdSAiRcGAMn+oT8ZVsvgIYmKKDodqD1FcmI2/zMii9VIgDigyNTlE9ad/a9B6pT1xXmjqrVYUssamAOlXa5wZT4Rp23FDBgeOTyqH61LWiYw83/Tvhw+COeAHKcL39sNpFRKaTgDHfIKe8kYJxeWl/lmLhTehW4FQqHkTJWePAm+tSh9nDIsGv05resk=</t>
  </si>
  <si>
    <t>nFZa9YFxDUlDcE5iFaliNmCED3E5hOJygkOgcyi0izd0mmKdJEeosItXP8VDxNLnTqqHW2voUjLCdvPqiG8odqR3vKm2R/OcoXlRFgZtUvSG4F6LmD0R2wrsPV1kYYCLZ87CZB2h7/KdCnesG4ij4i9MZGKBQky4b4SsIVyE9jwUbW4g0Q9FjMwq+fHqH80K265Bw+C02sPHJjPX7bANn4kVWXxmjdbxo/lcGIa4TkvzyJ/jYTdZOp5sxLE=</t>
  </si>
  <si>
    <t>oSM4VF93nyU74kX7Fd++pE6P4UYAYBb0qdzMolMN2CLYi6kLUrAqVuMcUJWxY3NgER/74vz+FfFEt+JGSfjJjVCbBHfaixLpZwoXNHVZlHMFXZgqV0m3kGGKKTsH1KUjaoR6fY9v4+Dhw1BFpTevlCeR39cM3tbDAEMCC2Z/nJGKnScJY9fqOHdTEmidbSyqlXC451EsnTkKuaprOutJicA2MZTjkOSLW7BhNvDX0zYeLxDuQ53k4gXx4YI=</t>
  </si>
  <si>
    <t>Gojl+guctdQ7GOC5nIqSqgAvVD3+eFfQ/+cxdvUYAFUjRR2W/JchMf3TzBEn7/rfJYcc7PZVwmrIXzx9OtSlYI9rCGBEryosGktaAdA78Xz8OvsAA+Z/35rYMngYIU0EmpoLEHQGaqaLkeXFidVil42GfSHPHe8r6HubfVKZmI1Lb0cAsOqEXK1ytP7Bvj5WA4v+FV7ajRoxzw7tio7QHlJTMLvzedRFQogOU/JMemGuDrDkRdPXWVQIzDs=</t>
  </si>
  <si>
    <t>djepD5IHKxi7j0W5YrScw5HGnWnjUpDkkVXLbHcmfWIRC37CwJdsEqqt2NhKB/VOyYpA9OKlgHKDJP226wf2I3008u3ni5fgstZt/RRVKQ+/pLWe7mFShY1aqYymbpZUoX7IRKyTutu6LgNixHG06ZTEDEeJg8E1CIjNOwdlogLyudn0KkzjfkMrUKI1LIzoJgSLgP4c1vnBZVcAA8bdqHeOA3K0qwL+0QC/8chXw1a/C3uRuCpKlHxRmqs=</t>
  </si>
  <si>
    <t>q1zI5oPGXLH8BiEOqH913FvUBtMwI+sJ+CgcitpJJTSKMCMp/8oHbS1bqyl/cqyGccxsqWBlMVwBD3Sa3qwnE/dcWNd5jfnQYm0qgTuCO0s04B+vSBKTcKOkvDe4qpBi6aFxhMntAJ7CKsHLGPWDUjPCtEpM6iqZfGrp4j8fmvXbzBJj4pf3B+VQNP32i9Lr7XlXFASZyV9EonW9q3eIZaqRazeUwqnqzZyg6gpiIem6YDaZdBaAIA+u914=</t>
  </si>
  <si>
    <t>K29jGBL6GoZPl0ctUcWPTWzFGgWQKsEJ/yT4GM1RbnRCaX8f4xVnfTQt1CMWc60k+Bo9jHFua/AMhP453B5FfpXAJxxbgr8u082PAJ6BMbDj1/5Z0gn+PgULJkpGvnYwWN5bSghWM0LOKlE/+uFApHaC1syIgL55rZgJYzFuzhS/fhK+gucNQgo+ORNvfK62/GICVtCuWndB387H+u0tMQARzRF/dvVlsAQHJfn8hJOHg9OqaAXSEkMwy9c=</t>
  </si>
  <si>
    <t>nDJ5APuWdougk/7eUhFDCGfpI2dasaRm3KM+mO8KbaVYZsrMKbDcr+eQH/Hcvs4tAOhWo4vRLm/lUtHExbTqbzTDzkQltSOhL17zJPSY4Ym03bLIefPmoFeSvEh2M4ebaaBDhWgArwkQjeVci2ngt4mA3+hPNXZxr8MHEFBMkcs0v+AvUULmnTVj8xuN7BTuJbo8IAGb/KkLfLp+bRGKU+wjbA9ShayFzds4LrStmlGDq7qHdm5xRQGnbHA=</t>
  </si>
  <si>
    <t>SmPG2lk8Ub7MSYKTuLaGniRmMfpOyfxEGK0EgXqIL1BRgMMPgLnk1t4Im3TdLmaJOsYkdduZMP3bu0KniQjTgo+djMFXwF77H40g/DyVkDAVum7NmLxkmvyEYHpX2djtJ4DxZ6G+LLSpVLjb/AH8s15sH8Vt3XG3uzQ2mNF9/4jk0C44cCWKp5R06I6yx7I7qlEgNVnfgXNlkh9n/15jM+yHAenWgFygydWEm8oFfKU4S+ij6/ozFft5AnY=</t>
  </si>
  <si>
    <t>CVs0Z8M2Mbx2FTOfCfVTAAKOFSeyiZqUI2jk5WoV2zDQyXhtVDcnEGjFvqT2b+LKiGvaQJidhKx3P4Fuum1ISdNDyMjHDCDSI8tr0dr+TKT0vK+gMNIgX6Bpj04o7Xu/Zlu/s/DYzPMpRLGjg9wdaQZpvuYQeG5bkV5G2mYyUd0zOMJQJifZGGu/Z4YarqEoJhmSGoqWBqW6cfg0JtZQLnZGJ2bj0Nd560Zx3IY7cQtmA8R9gaBJleR3ACQ=</t>
  </si>
  <si>
    <t>iDFtWPxzO4DHGde64qbHhg7v0U5blcLjrhNossT4/lJ4GYdSGtZ2WxGNdkX9lDCbrKbx/LCEOtvxQzk6ADEFna5WAJK72Ne8TMQCz2MkCHG7ansMB4P9jS1lGxEP94isIMVlXWD8nJpGzllxcCnqccvSnOQidrGSieIjUpnOHZYivpJqKjV9xbtnmFp2cdkuVBjYFT0KxUiL6yONB0yb8BO3Xd6TIMJms/5RWqLP7hEQUGfjjjOs7hEUBI4=</t>
  </si>
  <si>
    <t>WfR/k9qyc9xFHEE1J2Dyl1JIriq8x9XGV8Ypq43woA9H4iOZwAABQH/9RshScY8sEyuCoz0lsFZdxhcf9mAWnFgmBjwib/qGq6hsKkecXwptgSpsP6zUz5xGT3/bSlPRfRGq8A3IW1rFcfETtUNzrmg35ikANVifDzuYDDs6ZtiBScAuiWRlBpTjKMdr7Kf0CcwQ5nSdP97ZeYGSLjPTd7ZiRYSCOe65OXDUC4jmrVltzPvmdp2GJS5rFVU=</t>
  </si>
  <si>
    <t>8ibG1kDV9ShFOcboj1npbtUcrBthMS65Ceqhh2a18l+osupAdc9LK8sQxi/Olz4KbeUW1j24dPLeUTd5X8+u+ZUeMcUB5cc76Ibc3kGUbFV/xfLlQyp2O1Fz8Z8QkI47QCOhZbNU+/jfgQWqCt1b41TZPaUl+GM2UE+8JDM23BMVAf/+m+dNBB2q/VJnG3QpH9k17Vsiu3D1wmLRkZP/E3UrCyAxb+2CsAjjQHVc3hkt9UWQ9TH28LOePfM=</t>
  </si>
  <si>
    <t>zFqlR1bm0A1uLKpWWhpvCNkg+Og6Y/QOn+cTRa2RRLCWZjQV4kuZYpHqkBdMK75MaCpM52jsTCIZBD9+Z42cA/p6SA1wPhnj4+I1IaqGA9i8Memfvuoqr85gD1oBClVpfR6DFFEZyjVsw+Lur9buXet18fyY11lokLgdzLLDYfDopszpVksTnP6x9HkLnwin07OFY4MkJ7LmP+IIsk8iMfu1K3jufTfmNnMGMKThun+Tx0//8NmWeDCsvKk=</t>
  </si>
  <si>
    <t>nXm2nVnCR9p8YdAAKHtFraZfDVkloXYOAUlmhxojgQ6SQNnrMtd+DOsrDflm6zsvWiS1J14d57mSfRWchXP4hobcxoEOSb9dUWAPihfQdkwq9z1jWlp+qkNT9mn/DE96cjcgX3bmuEkIi7mSYzgbavGtBVdZ00kMez83v1cYPRz/aVP4N2sjgESnA1GAqdPd4a8BXkJocifVh7PSrOIC7tGnVR7j3IOTPil3a7hMpvmaERualBuMZYppoZs=</t>
  </si>
  <si>
    <t>gfppuQy+4uOAHJVC1sW3LkyJDfWKMAcxxD9yvU8E/B0r+73y+pLTeTGOGpE7R3bDIT2KqYYyewFLf2+9vZCarKk4SWOywbe9wuk+wDgueJhSlvDZKY/SWQJMt9XSYAI6F9grXFt8UypwzNpMWEFn1/d1y9ixpISaiYs4ltlCDPrBaROmgXDsnAMiZej8WUewlGIlUT+n0E8eF8g+OzoY71LKtc5gGO5XFi0d3tlhKsGYolJlrOCgGm4b+dk=</t>
  </si>
  <si>
    <t>Cd6hL3wonK/U95FdCvOpWbl56Qw1lOUAjOvFT4XETURQlTa4NBaRkRwBaLZz9MBheV7Y5FWnLjIji6PP/4ny0GnqGO522iqsnp1xS1yU2Fz+l6T//CjH2iuM6vLWfvhwoReTfbo9Ftia/vYVPUvt1wPpTqHp0yW+1i9EtMVS+g874xuo/GQKqekQGS2RkKQdsxagVxhair8hjJi0OZJcC4noqUFohEm1FMXqcKfSBBSE2o5YxccHVcHvzAU=</t>
  </si>
  <si>
    <t>JVsmY+VyZnTJKXkPNsfu+XSDP8jcEic0AaSXKM38l73xYhZehX5VNmgPYwHBl3d+hPOycsnsBzp5mIOy/IW3USoUzwy97707/hj/uJe/PO49ITFA467uQUuwVqaBUNWedKuQYqbbyLWZCzfrNRHPXFpqRXKr6bfxeUUx98qcL4px59wmdnQUTuID2JhLcNbWtEiHry3I6aUtWXc7NCPznKSlc+IJGDG4cdKzJbqYdpeRDxSu+qioQeh3qb0=</t>
  </si>
  <si>
    <t>iZ8bjikqRuEqjccn//Pb1UpQBVp/ty6EOTkjEC1t6PDW6ZdJTg9Nu/DeW2JFMGrbgiBzU13vJybBAqvANOpQbGchB6Bd3XKSQ284VyLrip0kkPNMu5YVeD6MLgpGInl1nKCNYTcLvPBlpA2AVWPy2R5su6ks9DHJN5mOEcHQW/gG1zuWmZFpL+TzoX2hsGiOYNR9048VE1UXc8Mj4vM29opJtEyDe9BM6WuNZvjrw6G2wdbTjwPecrUUw0Y=</t>
  </si>
  <si>
    <t>LXdCrGIkrWycYGDxR/tqMvYj0wOngBSixI3hMPlpS6zDdK3k3ZyAKH1AeZJ2mB60zOrBI4mIuN59M9DvSxjjgJ/yHna0r3TKmPSshhQecAEFagHjRRAHokyj+8orWK1JPhy26l3nncx7KQiAsLw2OCI5ccp59TIdh5CT9rStuqj4T6IjV2Y2cIacqPWiZ9TrZnPofuo0o9vSvSnrjsQM13I/n3MFqE9nVA68Z2rN408pMDiVAUzPlk29i8U=</t>
  </si>
  <si>
    <t>L/VWrWtnLhyX3ao+RDrxNHNZNG8zVewtIuKAfxT9g0bC6oSFtUWK97Lb8JsekMLOZKUXafVyrXgTFjST/sg8wAwFvfBDuefjcrQfiriiEiWMNiJt74wIYhbXCiMCkKdSoh2Mfp7L12gyes78M0Gczzu/yynTwU6iFdEor1cjcpE6shhYjXYuoKvvVjigEl6dlm8+LY3I+/tNjxUmCI6nRVluKiInfmK/vYmUJcv1BjLnf3iXzHpT/gx45Dg=</t>
  </si>
  <si>
    <t>5sLornhKCn6ey7VjYAf+YST6f38n8Fdxw7yRwfp7961HK5CZoyXkBXA8vs1JFQXSpJ78Ywtfz2zdNVVVUVKuykCRivs8h/p1f/JbnTrKDcBbRBAhsNh5K1g2ACq91Dk/+b8PlBp8nhw4DGxit5aJQyebrWulxNtQThn5m/lLUlOS7inrA54m5rmiaD+Bj2q0Ja+H0/OaE9Dh+bMpWyqCyjSW5bi/WxQyttsO0zhvmhl0Lt8K/aoEygdnoa8=</t>
  </si>
  <si>
    <t>15Ljp2T9AwPhruwrEEcMumB6aibiY5mETZJ2YteXNbdvTZ2UtXfdynxIZCj6n/zQn504q5aCvYhE8QXTk6jhTjLDC9Wn93UHouMNeoqdawRjQbYsynDtIGgU3G6kji/UOS94u1ELIjBZn90BUdFFbImAGWvSDQQiuSmxlwYhnHjGo+mbWg4zAXTpfKxFWrhK/XKp9vv2jYFx6tb189bZ8w1syQh6EhENoySWgP0XF//e7SI1sqNVWcSlQ8M=</t>
  </si>
  <si>
    <t>d+ub6O7GwiiECo6PadmPpnUDiooiM+pY5Y/YtsJyaRcTRo8vbRnw1SYXMKUnPjCDPz0VLCXKjW40ExE78bOjsUFqsOkQefJywYeVjSVBn6uoi3qbeDFiTYCEeSK05pq2nQkGlSA6baT98XEM8FLgb0AO3dKuTqWQK4sjR4015NqECiVWEkeMmPbYXGivRfTEhMaIjaDxgXE8oS9oCvG7nJe83uziCJWXiDKln/QN6hw0sSAe+NVEj9sPuWI=</t>
  </si>
  <si>
    <t>eCtc8lTKEPiJKIPeM0QmJrxlMfXN3XUzxZeXbUAOXe70TO38ftWFlT6qiR+riMAFR7YCzs3fmJfWEIZkU6qPkdtc9TfMJ8qfgdFJRcF+yCgzGikx9U2p/wN7JQU/qHVJv1ekYbeDMAzVGlkA42DODto4MRzTCNW0CSPh0HmbkTJppTLonhj8z1yU5QQ8kN4ePcxufQHHvft8oUX7WZnIJRdPZOdkL9+XyQ+pRIXxy4IXRyCsjcbJxWUpaMU=</t>
  </si>
  <si>
    <t>jmMlmtKk9OWmrGQLgXhEx+HkJ1Vbw47SbsRLC+D7+qLgiATh2UuwGfNyDmxPTa/rVaqTwnrfO6aKSXftFqyA48Xy7hwRDrjwhobHii2gqgRDZcrB9oxeaLKXk/gDjWebTlH0mQSip3NJ3y3oDUy/sX2NRcsY8eHznWPZ823wiB4x21nRcjH5QvJZ9Ui0yUkOqM80ek4fjFsTUjI93begjeqVUb50BjhbGcxBFxkec7UTeFOJvtasQHW9Sec=</t>
  </si>
  <si>
    <t>s3VuoKkGrbeLRieHldJZXjjQArC7RcbofsmJcplmQmf/OsURJb7pbyUge/UpuRhtrYtqIiM2LaSProi6EK9txrJF2fJBddl1tEp7eKkgrwem1JdnAGCdW1rnix0aVCO1mdb7rAQdJSEVDFmN0LTupYYfVKiS4UGEeeGgpPdSL8aoh6mF1WS+7tifA3XkoEAT04FfeEm0YV1dxKp/od9h17TKuGPW9Osa8GDnc6hUkLNkoHfXiw9feQDVHj4=</t>
  </si>
  <si>
    <t>nZZGi7kqdbN3MtedhPtf1Kpjm3JIjpHCK9yGp02RxJkVVEGPwj132mT052xpq6Fq9bg9eetoZjzGTlZuwrdUB5V1Z0X1WAWp19SGYgHEEMo6ZwcV31Vi2nfKWvlWTfkDszH/ceSyl6re9MzWm6HvPo6fhhIl1oNdtOQgG8TQVBYb/9/8Son3J7U+qZzei0VdToLXugg9ceQ6jwW7InJtaED0kf3B0i7twC/fCN/VTAT/OnmUxTPBk7oWxzg=</t>
  </si>
  <si>
    <t>v281LWsaHefKqKr03cIQK6Uv6FZZCr68gjAI/8oyAEVVQBOdmFMgSo2og8+OGaP/go6dphvQUX15eXUO2OPnKBgR1Xhj/LM5XmwLlAgA7eLacw68oJW5RCDCJ88SG927owLmG/jSKvQqiBbfVIclTWPXnxP3aPnHKmkookwA+8f66ruZI2+sDjo4DZcUfxaD8UQAE5ER3uRUp0MKsPgBy4ExRMvH5zJ8qIQr5rW5hN0zrk5qe05HrW09GX0=</t>
  </si>
  <si>
    <t>M2Glmn4QqHPnRvt9+HW0tCH5+nafj8fg31eLnXkBGrdkSoiSyX+N9iwoKv1cpsNdm8djqBZVplFFQ1pDnPdWyP79LhVzr6WPK00FUUUMTut5BtYZi8uA2wRoL9i7PRJtR4z1YoDw7OB4UJfehjLa3UmEvYaqua3/qXnIRlnMmZTFTmFQophZwiBiV1ssvJcY+uMl6kSM1j8d9n4MP4iLEDNyRW6qgRGWVdHjVr35ty4YnyJQ31sJET5emuU=</t>
  </si>
  <si>
    <t>AmhVQ81S90CaEzrMzNZGXw/G2+5BqCAH3ljV9uGFwzza1Fa4f/LdRXPunb1xRZdjwqTx78DekFBPq0xlZdz6+BP+STnibXs0GOhmLhrIa9dnZI4zIhLblAVr7CYC1ay6Ja+n2XtbERmRP0KnLUCK8gsp1PHlZVMd9568Cev0cuOLvyOUGSSzkprAevOVSFWXl1f+R3X8NVFyq1gW4+nREHfASxXlB5mVglPGwaIhaZ1zXlEp/SMUpMYxEQc=</t>
  </si>
  <si>
    <t>OiR2YxSLOJN3m43dLApDpVGcn8hwZaNa9R20igbnCQaxOHWdDS30aPWLA8BqcgbRLcBVTYamnKayn1ECiUhwYPUSs6U1H353i6ziY9r99MdrkHXV5ndvPwLU38L1h8UwappAoXibpVVda2EOdC/jfPrkkW8uOQmp5EvDKXRDOkQKdyGgc9l4/NP4i0poBjPkCkd6xSkn+kjCI+Q/fHyslPsFXlORsm6qsTmTTYwKs9FvmMpWp6OhfbfAjl0=</t>
  </si>
  <si>
    <t>LwtlJYIkt/jzJG2tlYzsH7XcjRGFayoLUK6z7D43cUziDDUZmNisRE0fYlJ8L+SILtdHioEwlJ3Sf/+jZ73TLIzRXEur9gqs4xlDl83wf4W0FCpdpIqYenG07cnYniT23ry0j1CnsBPIRV/zu8DW36y17MUBKhFi8GIoz6RvT8RF+D0vSMtIeS/NCioNRlewM3OYwm0+6tGCFo3DbymixK1hnQ8gQsX1LT6vDPYhcrDhrZCiodSrv3GXxRE=</t>
  </si>
  <si>
    <t>omhkOf4Sjy2E2BdMugSZGhr0fglj6rZ3qkzyVqzkE6xHgdKr4nFskyFV5S7gWMWSWVPpq3Hdc5PXTczMXJVj+yuRilEb+4pFPtzfZsZzAMYFCpF/MXHfsSduuF8sDcWJgB8SCD4tKXkPP1dfz+REKUlQwrA3Av4cAGkTElxE+7rKSm7yq0BYlC++q527XX9LhUv3Q1eGrD3fXLPhs0cnD3gdityXxtsPse4zk1gdQpfy4TRxQVsXqbOdWpI=</t>
  </si>
  <si>
    <t>7LFkHcYVByeDuOwpE2WEG/MSrh8CRF7s4XJjETNvRq1IKo53hkxmg+FWWo4G1WdKCnMwpY48tNW8NdUDdkznm+QHHWaYb32SJZ76W+/cCWzGevSTXzod6Z+aoI1Is/9gWe6UQ1yxXHDVTEeZu7bTI5ntUSbtrVrqAgFHl0MduIC65ruCSPdzRn5gahs8yXiHjeHIAKJbDGoZ/bnXwoNZqkw40BnwUUqgJ4auy9mRXe5GlsuKX4S174O2u+o=</t>
  </si>
  <si>
    <t>9qIIiXphtTq4n7sj5YEzZTZwViidIgQtT79xkmirkIjArep0uCU9zp8miUercGsl4wRsAr/6l9ShtQeYZuBb4U+J17QSyArswFUvtl8u89o6WajSBV5eETagQiZhXykj5u1L34fOaRvzmWPI/QiRE2Fg45TOdkN9suwGFq6NyWuVB49tgOr7mOCME3ehrMK+cQc4m9gpVW2dO995f/WwFSDZqPVzXZr3ij4iOV3Gi4R95CX9IRJQI0ji/k8=</t>
  </si>
  <si>
    <t>eQhDK6oJGmTx96Gpj2BuyTfN+YtFGwIJwIfWO6WdCDeHI7ajdRGpaN1bBqTq//cidil7zfS+Q3fetg/t63OdKtBcD7z6e8q1hqNVNYy3pF10gPAaTUQXzs/i9P2NPpyPJykZm4Ig/sB/wMtrHFgR3nVPZT3gALx7srYjYC5xy0RzcPthbP97W4cS0F0gTs3NzsxJ5BmiixOe4l/e79BUfwAyORo0JWH+5BvTY3nCIa7fBThsU2o1bxFvqDI=</t>
  </si>
  <si>
    <t>H+Sv1Y8zZR2shrlKH/Km7Rw1F0eiCUg9aEIbMDM1loNNcGVlCpAUWblj2fPGYK6V+DZFYPS/QnXMo11v+OtdRRWHG7PfFw3daIfpNw16TOQPpU5eb8Nlkrmmr5MMPU+KQlD3WymHSVqEg+kOUcACym6ruPgNUtvXn52Oa7IzCz1pgJih2kzOltyd1r7WnxQdUvyd4iRB0+hyf0jWtMCx4XTNMgbbVJnXibN8JLcD6P/a0i1qx/keXYqwSAA=</t>
  </si>
  <si>
    <t>/cuRJtvkYzwy/YEdPh57xx1BAhVkpteJNEVq8yW43Qm9voZmZanDxC2RTdh9CNZtxxy6BAo3nfZ9SaNLDbfTGJSVkM2ptumhVmvoZXARnT1mNeZt3qKUpXt6ltABhchfu+4OIzbM7xmInj0sOfqT6nHCa9HXjC++MMVp33xCT6TlT43VSWOTbGWmvGW4cC8OXP/Ra2CqF7gW/yurLbQTXF/kJBAb+XrQeFuU7m2M/sw3dQIOotrNs1n6svs=</t>
  </si>
  <si>
    <t>MxUZZVpA9YmcJz+M7I+n4+KvO2uOUWy1xIEVx/Z336Ennb65F4/4yBksy/Pxt1Ce3bipLgsxZApK48YHt8Kq376qvPehzDImQm+OLGQ8iYqq5mVxfoEjmZ5C+GZt4h9W73/jryh50/hHJFp7AMV/8841IH9obtjrQQBaKqdXhRtk0DeNqAEb0BNSIQiD+lTt8wLoVjMkqeDfTPc94QVNeEHpLxjzhS70539CDp4zUIy7AXFpbfte0rXF6+E=</t>
  </si>
  <si>
    <t>2YUZDyi/zNpMRpG3ybZ4eZj1aNz5+lUOyFrf1hbzQrHLk7n0FQpz6oyY/bkngDNhkLKIQxJpu/P04ZBYX5o+aOhsl1TTuDW3g8Dv89+mELBOZb6SwdTDBeIJYAVUMEdXi5AqJoPpquNe/ugv0ai2A0RCnFcPyWT0paFSxpoV4s33M3AbyHrTRLXqs6qcGuG1sjokABg/ccOymA052u4c7ZJQYDS5IWLkS7C1CjRZRs4/mNzsC/Q+CEhaEeU=</t>
  </si>
  <si>
    <t>MKhR+xzNwGnW5a16N/0rzPaZSu7H2f8IXj+KNUgamVtnbITHq4tR8qaYSn8Wthd+v9YQGlgGIP8Pp2nfGAwiCp1tOKS9BZYB/ngcyFYtaQC+UY9G7BG7PvDVS6pb1JS3jqGxNv/q+DHP6hLD8LEkSkB2/pKvRR8BQhuK34V1lV/iQXeWIM7iirEE3IF3meaWUhIZvLtYneuFNMO706YQSvJFFv+WAOsES++R/OnfZA5KieNBQWqovmTO1zc=</t>
  </si>
  <si>
    <t>HdRXPXPGklSZSFQQGVpDpkxaYuo6mcmwo5/I7vT8WIWS05lG0wwez1GJ7oaC5XFs9HLK/VjQ1YjXBsr79rTOKqEm9x7h9s42MKEkeFSdEMb1gEYXfooaeU5aTi07Me3kL2jGLE2/U+nzZ2OYyfIhN1hTysDj45bbHq7e4ZCTvE+CzRVEOj4jmtTJkl1QPSN8vUyaokW14huYttcVrqUbBLuYLGNYuCXQFbBmzf3UnJIuS3Nk+jAHCNDW30o=</t>
  </si>
  <si>
    <t>4lBbvrAtykuP20EAJcSBELTVLnLUxlrnbwjBsFSn3ftes9c2hHt0e0hUEum4TZFkiEBH1661wrxzoSsH93Aa0kuohxPtofzSW48eoyyqtR2aaRjTkN5EYnU1lvHs/GLK93huVZbI0SjCdy6Buig5rtubNvryJIBRuvxVxUAvmZNinEUbMg4AJyApkcBwKoEQEOrSWIcC7atDKibIO38T9uQqIp+4nII56oG7ucpecLQRECP+A2c1ihitGQ8=</t>
  </si>
  <si>
    <t>TvusnWw9TUe9Z50U+0KiqnPipSfNnTEEkbsVlEQ88ZXbOERwJQAjMa52NeescKvZXSAoHVit9snTSj60B/sq7WLoYvZsvbbfmuKMidfUPFFbyKMHpupDdJtv3GvXR54L2MdcEnko6nEupuepcgCdOdTxMAcdzyGhxcalmuS0QUcwiXmu4bH6NLgi8IlwkciWq1ztju/LjcY15W9mS/3nby8JAFCOOhOzZg8x0+OQsGujZE8OCYFiGR/CSkU=</t>
  </si>
  <si>
    <t>JSUO26Dg0nG+pufok4gZv+fB0Gf01oVOcXgYs+Xv53FLLUo2b81K52xEIoywIZTBiKtk9qvDOdkTK3nZrU6hpvzZmRBowoyKfvM6nDNdezsj1t2KYxKdMeqsd6nGbfILJG2YNzuVjNl1e6cqilpgWGjHypzKGHoo47eX32eVi0ly+zNXmf+KmFx1IKVMWPJMMg3reKbgFq8M6X65I9+bdwEXpFc/kvAQF8qeyN/d0UbQn6sd8LXkTQ19Ndw=</t>
  </si>
  <si>
    <t>5srYzGrtxiuD4UBLcbU9D6rs68RuE4iSrqspn8gIx0t8hU/+kIxg2EgI5/ieVdh5mPVdIXdyDmwCILHIYUjqW7qrEN4DqawTwLcCwB+FOi07Ik8w2KpGGh/isll7cvv7V5w/a4GCEmSLCfjKEiUqlDf0vVl9ls6kpOdP6DDicbhljL3i24VU2pm2jrTIXm9dIKtYw7fUFAVbkAYbW4GbNN57R9vZlg+AmGWFcuiC06BxlSS26DBARmCPZgk=</t>
  </si>
  <si>
    <t>sSyJa0wqwUeRBeFkBR2GyFP6jVxYjJn5OuT72v/5ukueUvmBUFJHx9o7ehH+P9uZkZUKwz2WS7ZMJLNbMnSM0q/TDXmouzWAb+Dgdgff2+HUToPH/WYhCGNdJv1lMTZQ6FUvJR8lHU1BTWGAQYfSnj42b4hIS6wNlq7eqTEM/ZQ9ln/cmv6/ICltGbNt3smE7Qi1780oeyt7RSOxb/w6XJq83wedZR4cG+JyxfAOYwaGAGv0sv41oqeENjs=</t>
  </si>
  <si>
    <t>2RUZcXJHdPzgKKyW653SQPqi+fj5/nwDB3oKLPpkCQ8PHFUctVU8l7mB07a+FG8hNqGtzmqoP1nA0StUB2+l2Z0aUQVYZYKs+sJ26H9NbcO0Mwfk4ch7LgL0z9Hpz6r/q/FyxBQFmPLJkq/kmOjxtZxQ/qF3UVIo6h+bt4CnbaV0sVYROD7Jt/OS8+Z851Z3p++FEX9LccFIJjalBzbgtgys5Yys0gfmF8AJo17ubM8u1ILgc/qj9UQTs9o=</t>
  </si>
  <si>
    <t>m63zjOWSQI2hrtH4BIr23vuQh8YB/Ug1QTYWzxwvbJSYamq2z8ajiISk0VJVlDyWWyHzb7hvZHq7/HEtovXVvyxNr7PRN0BMtDawd0H6LcGJ6p45GuFvsMJ6fmEsnbc/M6YC7RC+d6SSR/peaDBOWGQ6znYvnk7jC5DdhOgCgI/G3GtOVmO/Kigs2nCo6t6X0Q/EVDR6VQqgq6mbpuB7W9NesoVeaH9Oly+uXXWRbhDmV4Ovdssf6cUyWq8=</t>
  </si>
  <si>
    <t>tdxjEkD+4nQNU87yJ4tjym7O9YA3kddtEHgDldWoU2odbn5JRS3cx4F68TUAB4/3wFvW6LJc1VrdCVqIpAF2txH6PXBFNeubaJt91EQO+c+lgGTAmXS1bJEcMVpm9EY/qblkCFPrtRJNrW6tXrEn91EqWsyvt70P10XPary5FeGlBZbvbrfpU1peOkSYAZWkxKoaiADvvBguCunYnFQ/tT9aY6AY2wHa7lgZsSzH99S9F/d7IWiVYKjiwJ0=</t>
  </si>
  <si>
    <t>CXSZqgzFSNea3pGfDOY2aSdJJ3ydr6Sm2AADQIXLhxePCYp5anCSLRVPfHKWQ1kIKEhb64R+wcpud1hRdxc4BQ/58BvzGWrdeAyNEWa8b3BcjcSo4GSD/5VfuKKoCULsXJNUK7tT+XEsJ8oU0LMrFU79BYNVgKK68syiBxspfXjZT1PqnrSM2IptF8DkYtOhY49RjX/+H6ULmNAGUtEI97NE3XPLsqYRVJJ1pGFV+RyUyi7NxQrZdFL2lQU=</t>
  </si>
  <si>
    <t>BLLZJ6bm5wC8Xf38S2X021X4L+tMfL0mnYap0ujV+9neKMGZl5q3AjMdI/nL2ujdJ6Lc0oamsAap9E77diKzqe1OA1HFB4kPwYk0fJ2HQf640XZDNccXc/8o/pgMXxKRjcyB5g+EgeDQT7W9RMWI/UGTDtnX6j2f3zkA1wmUtU3NQNwohisYrTRrUwD791aoh/FaKlJr47yECUrOuSmesbZSIRQvBU8GBVrHiPfabZ+gNcf1WPTSql7eS38=</t>
  </si>
  <si>
    <t>+karTf/T25X4fO+aJy6yvoZC048vFfPPG+98dA3bdwePAVrpqV4YMBOz/veHpc0Ke84tHD+DjWrJi9e9LHR4qaikGhHML7VRsULfpjus1yvFTkBwjpBdq6St6sFv9CbD5hOohHIuURUnrC6Td+hFl6IFHmGWhybGN+K/F7aLOLD9MvQdGLCh5kaj4Dcc2YUkJUuMH1AQIZuccjkn/2kHSbjBIruNJX8Nw0Z+MUx0zNqV6uVNscCAtnvKceg=</t>
  </si>
  <si>
    <t>rlQtrC6h5Y47AWcwaTdiOstRkb5kf7DISq4Vk6a+G6k0xNBCBeV2DCn9MN14IcxUSXug4OOUQWKDW9/zqs3t0GP6LKYuWrwMHkYxdHSA6aHfBjgezedJbg5ab71+ka+L9NMGj0VBKCqLeYlTeBN0hhVm6rRIwe5N8rYWy9LmO6Vk8o2DrheTJV8m3mb+cQglRymJpqg0mTTS9Pa10FHrFaQdJ1W7UKEPlLP7URCEwF7Dlw1xj6//ONlMcJo=</t>
  </si>
  <si>
    <t>RTwlzwXIIU7DLTG8vNIhUUHaW3PQ9CHcElqA98NQXX7enljMG/Z7Wng5UgBvzTQfj7HP8iSo6VGuQ2hbufSEtms7GKMSNx/EhMUtG9u+4ND32X+m8V73nK9H6mNrs3/gyppYWwoOdfY1FtnbxmJvjy8svVlbE5QGXXbD34SK1ok3jPbWgsdMXIp25EYqaaQS9UEWuWk4HQ6l6oSkt2FHeoBYmJLKh1NS6BcJtXHasKZ38ocE8MBgzMcfF34=</t>
  </si>
  <si>
    <t>yxIDcmGuHtZ/JXx6CAsTF6LutBUNOaTUlJ9o6elan+Zh3IbvsFviUZ2qDP6VgztV8jLk36/Ag8NtzgdyVIWKKbyobkCAsOOeTSxaXAiojZkPw/mIo9GhYQ9jCxlNK8s8lltimfkH6/7C9AjDvxGf2kFPtMrhh8XXkVVfWsxe7dXPXlsSko3Y1au+wLB2ju5TvrXkgtYCm3S5+CL+u7nXvgKc3Hqv7ie8B05jV6akcfhWQguD59z+k4NHmiM=</t>
  </si>
  <si>
    <t>UCar9FTjwhwip7V2mBg4DAvWkyfmN3gT7J6YsZOtlGZlgFUgeEA48GTBhOdkd1OJ58RTf38Sof+k6DU0Sve21gwChcPsq7NgSrt9oirgP5GTfBamvEw0BwPXSZvDyF3JPlpbUxpKyxWUjNDfAWZskWxeApExYGFLifKt3fFMPw0d+Ti9LBZQLKKrGLwsTp0wC7ekSZQsaro9hc3vjKkXpyNrka4AlkD32MqT3V8A9nYcnnjrk4d9XwlWSI4=</t>
  </si>
  <si>
    <t>s9uzYpQKfZkBPbLx2LP3p3sL3qQbbrmdLvJC6BeVzjpvu8JifxW5Q3jFEMOZDiIUv999VFnNeWD8hCg1NtqmTOBACJyqHMXvrBX61y+kuxwFZ59xDqHpkK6p8b8aoaLi/urvQgemPwnYnWT+fuLyCxUMZ+NtEJ4bT2yhV4dutgOgWDufr2v6HqRdcYqkyUV3AWPlW7uwS3t6jAWvGk+W7Kh7N7z3QSSU37+LXqj3DZYQNuisUJgtif80ops=</t>
  </si>
  <si>
    <t>4jrLrL2byAHzYLQE34pGzH8DhsqZnnlhFWXoWU+Q7SxTC7Xi1+mCpDAODaTEeFkzaUmKV6cmvrccRen/7DIWLrztrlex7I1bEEQq43J/z3G8VCfe3SsvNQohUCvzkjlUQGKlQunbw7VPIKhva7Ynd0+tWe7JS0JfHXDO7qJ3Jdh4240pCQaYaLZ8vJFLWVWjbDxguIzmJGMdfTTql8siuRWGPJPhQKN86iM64zEVPVVa3UeOxNYM2lneDMA=</t>
  </si>
  <si>
    <t>ODeHRWhcWWqQ3YSP3lKL3EVRr9ZpdzBz0yGwjK7Nkv5xbTvGvyz3TaiqEN+amO3bXwKh1J/kx52fd0d8D36tWkyiQaQLsZmUwRe1ZDSLrE475PvruBk/XDTgotBKea+GTFsmj250QveqQKahQ/sq7C/ZUqzSmlS1YdvPQdE7IA/YXbqwYiWIsc6oMOaKz8TDiMHtPIhbt97s9MJo3r2SYXtZrBG2TqOr5wf6AcGPY1NhuuVzqTWXlO3g9BY=</t>
  </si>
  <si>
    <t>TcJkkjQ3avHznIDdp69FK8mywqZf9aYI8ogESjgKf0aaVcd/pl9xORsw6w1B+nUJp8yin9/z3x2mdJpG6usjjFrP77Dq40ZRWjz1FdVhmoggJqgQBtt3Jihf+Z8nFil2z8jJ5bGmRVc7VWvmQ2n1J4Z2rHI0Nj/CcdEa4GTyIh0mtJ+cLmdQxRADvTFx2nXe7A+++MEv6OZQo56UMdpB1meFJzJPSdqFumQNu2/AJ7lV44njO9LfEJEKjPk=</t>
  </si>
  <si>
    <t>gxe9JQPX0kCRmVUatW7S/AcoFiqFHMG3NMthWUXJFk7rRqoIH/F7COPOI8PjNXY3ZywOEC2xQ7Vnmqq5Ak76s+crAyoNPkf7WkT7u9ZSX7m1eD/wG+EsHee7uuZ23JtQouQgce6N2CiCOi3SiuLKv7VvtkuYMoMLE3h/u/Oj/1/2t9bc1md6vuu6fy463VdT8rxRN7yHhKUp0KZrZDwSYM7kHQLwYTU1U4Cx+Q2pqupAqeO6dZx3cjNS6Zg=</t>
  </si>
  <si>
    <t>5lLaisFw6p5Dr/wD/3XzdWxVefJZ9DovMaqsGS9WQ0TvI9mnQJ+4HdgPlG3ugZ7Tfq7yGhgRukj0Lgo+GhnD/t5VcbW0B2vTUzA9EGdsn+Sk9+9XwyNmMrk81npO3o9F7YLWQLiko6teydBBJkJe7DtJ0S0TvHQTS/2ExpxPOrgd9ITAnPcMmFVS2jm1wGDLpJL2SuhIFYU+xaFFGKiimYtOd695FYVITkprM+M1R+jkYKgSbbe5s8aH7w8=</t>
  </si>
  <si>
    <t>Vr8RNJwtXrAiSdCZPKE/m2wphcIXtCH3PtB/ExTw7w1TMq4uMaCbHeqrDjwstNHOszhMP8L26VFbLRbKRHh2Kg/9l7xdC2gUfqB0pgXkFlmq0e3Y5OTdvWmJaPr/VNaDOnt867rFTrFkf6Wu1kaygZQmE7gLuU+O2yOnVHhfqQvcNEbve9OjARkDFLRWXdpaTjY7JJ7YsDjq07UD6i+u5i8JcmkpobDhJa/jR2I9ezxe6yy9B5mVvsH5jOs=</t>
  </si>
  <si>
    <t>dVHgp8K++KBPY5GVHh7514JFdX1nFyIFyzAb00ta7sUyT6DkbCp1K3jvVRbW+nZPtm2PFbDi+PCCm/mRSpfqR3fDYUVD6OxkUypNvLCJc8pjeeZjLUbMEnZ0wwyglyEEVK3sGuY4NUuWLLzffzRK0brxQr5PxA2TEI/5wJcZ+yw4k048K7yBFpe679dsbqZpgY5N2txZw3XUZNAyuCM640KXYNts8nybx6kD+ZI16KRwz7U8BQ4bLyhG8a4=</t>
  </si>
  <si>
    <t>AYiTQaxdBHMN/kvfU5khW5fgsYpw/Q/HIEX8g8CXBGxwwwby9fF7AC9ZqDLA0UNAjwm8rZJnnqm4W1yrOXR9+C4ltSU5hUWO8sLwGoRHq4QQdYKNQeKpHJQCQjydqqX98oj/cnMZmXzIjQ5h4qbnHTPbNjZvml86fOSH/SQPJomdJMvp6ZAXMNpLAN1CW9H9YNUbONIh3QxY3Uh0KS6MDrdd/nBSrr5XsrUm7jBD6Yflgg+6D6E3ZDafmuc=</t>
  </si>
  <si>
    <t>IY+fg+OySA3RYfdfN2hsB0Pvba+sE9cnTbftHJoKR2AlWM4HdFLIuA8XEwpkFNBD+rFiCNF7btYNUL9EdjaZdf35Uf6eMVgnTfxjlkLopGd/RI3ZHPycxydLdyCucI35Q8EgFznv/idPYsuA67BC2lKwfo5NGsM72Gfja8khxSw1fFg9FsM6imD5SsQHQSOKVqUkUh2mgnrUv2w/3ac2AIcAl/i2ZgARphkBge0/dqWHe6Wwm3rV3W+Kcb8=</t>
  </si>
  <si>
    <t>rKHOyJm2SZZHiKPiRRPrquCnfVfBQozGf15u8yXPnTg1PTisPZSfWFZuvspwhQmmmlroFU3bZIwyTJ44qMhl/Fv5m++R2le3Izbn8dXyeXvvZA/WL0BD3Y4BqV5Jlxl356YrRd9KwhT1BagGlVxjBa0jB//9U0q81D8QK3mo+9ss+G8obh3ViIFPo6ZV7RCKGPJLb19wVRWFtQit7bYKy+LnDbcjg7NrT2o+g9bzVbrx4CRPNDl/s0y8i0Y=</t>
  </si>
  <si>
    <t>J4chIJFKd+uNfJrFQ8k3/LkDKIemjKvKYZNSJU9gx9SKn0ihW4UPU6Yutri57X9xJiGWhbAw7nIdPNK3LRPy48t2HcuCkcEcDoYGkp7Ih4gyVZmr7Vzz4Tst9YNW35OkkB15SY12TWYF4Ojkgkx9VPdOtUgz34283vGP0r1p2nNC6VHJ+BXcoW9rQR1/w0DyyczTc+x1bwEZ6EU/RnnombsiMuSVdfLSuqiIND4U5a4iFpu6iSGvAqODhDo=</t>
  </si>
  <si>
    <t>T8cYbHOBE/Q+y85gGJ9bYycWk9Tqb4sRFoPAKBdjILzMfwgABjtGfcFnSRaSEfPgM3dwlkxvwNEA6Odvg+LGO2PvSv7eGSMDowVIq/SlpRVxbeh7LL1nEY9umIFaO4J2ERLUplMojqpg2UzUtCQi72GE9Uo9ktWuCuanzfDUfiMIzZ3D0DeuMmSof7NOI3YTQMgR1cLtU6Um0KV59lSaV4PQTLj6wwC1UhjRwQl/Y7jXjqACZB/Xn66bzd4=</t>
  </si>
  <si>
    <t>qGWd4slt0EAxry6J2aRIxBdvhTnUmaP3+Hv4bJ3Y6W/djuSArCVQANTLR5vQA3bxZ9djgawjsTXld/upGEMKiLqwUB3Nd/87c8TLyCrDZ9hljamXctJ2R08NPMfhVXYWn+mIJUggMOg9+ATJaRpBszh6/djOyoje5RJ2qeEurcZXPIzZtnYQ0V3Ik2awVXjywpKuj0OVmBT6n5SJP7USSEqCGe5Jio7UDsFWjnHC+cjFNuhhq/iBAnoY7aA=</t>
  </si>
  <si>
    <t>zSATpWn2IImMjldOD+UsPLL38h8Z/JgtWXkGC6aZLAfIpvR8EBuY7Gp950HqxvLdDxW6ewK+BfZgn3SxZdAgcovS4QyzK+D4libzCAU5K4RsJY1ICTEffwmdSBV+hIqmhP11UV22TOBtCtlcqOsdvu+pFbJWYQFexNfwyviAoNnU5g9sIgG/lcfzeqL3hotUxQ1TDVXle2+nZrT7S3i3OoBy6p4wGN6krNVo3RJsr7IvJOr/S2ZoFH8rVoQ=</t>
  </si>
  <si>
    <t>TJrmYkMbIPpIS6ZQde6o/ZMJfdE6pi4Bek1bug+JFZgDFVk8UPNJ98NmkVTzCmtdcvm4GgtSSRQhGLaqdXnCUSUWsJFdc2DLEdSnC3o8VXDJLvjtsLBwwxuao2M5BiClgRRycXNE4V9xYnH39fjJa5iArM65jWIa6NfFNFKIRkFvMQbXpQxSz2uCMLFN1q1b+a37lsmSFAm0CmQIKrq3D9GIc2LdwEMt8Hx+aQdJ9zdBoAD6NJHz4pSvqjo=</t>
  </si>
  <si>
    <t>KUn44z1/SmnlkeRf7/Lf3RB6R+LcwIhvtoTHt8Dm8AH6VBmsIYXkmsnIDSu2i5FKFQ7CyTjqsG/EuBGxh6GWYcXlrZ2hl9r7e8j2rrA3E2PCtjrVhM7O0/GQ0ixY6VA+p9eCUCoPmDD/YePiDUATkyAs6XnlRW4L4+N5cvg43xjmVLwfiu8hIBakLsCuW/+gE18nMmEbiNmgDerrLAOmP0PNRJ6gMa7wUw9jXU0KID1mYqDCMqO1SfUi/Bo=</t>
  </si>
  <si>
    <t>+Ydpxl/jU0NRQ6GGtN17B5Vf1h+GY1ZrNfpi9oi6rXfJxKUnQ0BCBUiQZFtONC5mMz0+8rH6oblyoOjyLBml1arnuhi71ovwCfL8UDCEnfD/HpEfHFcFAtY9x/LV1bt1FohfrM2L38S04oJV7wrR+kYZGtN4B99u3HPnWon3UdYfZAXjee+RybWL/D3YsNu1Q/sipzdEPYGaOvFnEZJH5MTxjXuB+jF23ImHtRowvpJnYBEk10t5ewMj2Ws=</t>
  </si>
  <si>
    <t>8G82tx1e0L8hRduCgR6wSSlw/+fHyzVXumuLKXiEmx1QsymlVmCaPWLo3s/yDuWhXmOg70V4cKizxItqyOwv4Ewgm6gLJ8P+kkN2+z4TzC71g+81kKRxefTYhoGzpY9nO9GWxKgERSO8TclB1T17626ziI+mSKwu7LFYf1ieHesIif3bfFK5yhintW9rWG8fuvanvt3IJP+V59mO1WQksmIaHtRRfy7jgdZaSDvE++vuMxfWL5Kh2uQUmUo=</t>
  </si>
  <si>
    <t>pCM6OA3ZFLPn09p+ma+meu8c51LcWKpoW5dIPHyy6PBoiaRWN3z4Ju20xKNe/ZJMZl+ZMWGUioJekCnyxCRXiurKhErofSJBwO/4ZnzHm7Mx4Qz+43T680U8/vWj2puMInRlJjBvhQ7KMFf4om1V/kBDllak+x+FfNZSdgf0Kg3tLt8LxnntQHfZ0VbIQY/VLY8CTRe6KSJ7Th3VyOh8in4HLIDUozeYSU0F11SJP2JpHo6hXUp1jR1JsFo=</t>
  </si>
  <si>
    <t>PNeDCNzHbizd0EGbueymnYpLM6fWDkGUWDoJC+yyKP//NBupwzBrQb+6ybf8wsHxE2H46POGdlDTeQ1Ex4WDqRm5ulW5NG9VUAlKq6fh59ckunCRxfqUapoMR8hpXRG2hSnAqZBD/OHimfRUDAkK1pEp3TiMsfeSKts+p3aAz7Yr73alqpobohhFfHZz2eEMgYNAelM54369TNefyKjYoRgH0NV/u8tZ13ZFnb7kyjbRWD8uUijGAwdYsr8=</t>
  </si>
  <si>
    <t>NWVMdnd1JvUVmt/ADTdv+Id8NkK7jshMDTJligK8nVjxPjSzgGKmBx1ONu/X7lrmk9rPbwsxLUSTW9uwKQpvP/5EHnQDqeY/sv2wYzrm/fvLjJMkxLKG1e3jOK8k3uTclRwhg4Q1DVVIa/92M3Gba4Xxcid4dUp1oesGBNkbCVc2KCdxN1uZOJKG0CtnQFy5eADPAwTQux1bf5CEO23ZEqZBX3dI36Bfb1CgCItWrDKK+/wiSO5C5/MqbFM=</t>
  </si>
  <si>
    <t>cDA77zJ8ZgvEd+a1bJfN9lIyt9Q5elMb48i1UTb7oov3zxRCkOwIed0UbnPLi5rHyOSTBDbzfZ1Y32GftNUpzJRwFlHQ8zRxBr29jTv9vlN1p8cHh75mbENhgNqfrEJt9AEoOeMQ2tNm0exHx8bI8jGuagSbuYjJrkMBf/Xa5isQyHAnYTXooXrzEnoTOUw6DsJNrMDuoyIHcCnm4uLOCEt1X/rXMuAbmitP3B70V0yPKb1ojXjR+CXfnPc=</t>
  </si>
  <si>
    <t>iBqpwnb3FeOIEic4QR563YMcf7ru/05fxAdXyNF4j2ewiVTC4kc5qMv2Newl+THlYeEc/3XTXMCenX+cDVLLmy19WN3U8hlXshOeT4Q/khqPCXsshkgtU/6TowgBg58LWUEz88CA3/G3Z2XZHnFXDXJNv5r/8CQtfg9QOTEnAHRdMpWKHX6hKQgsXRezhf5tGxoqIlhQUZPJVKPsAoPsH2Jcj+YSXn8d1bpgSC1PLYdrHFmLrW6xsh9+o5I=</t>
  </si>
  <si>
    <t>31z8yLHHoRYyuUABoWe9EWH4CL5N7M6dTmu03j9u6/k/Oyc0AyPLUUQkyf+k6kCmcc0TS4LfECZLzDbJs+LDpmw0zp8AM9xRyuj227veiTlP5rRUnZLZzdx2ChqQ6/uW5ap49nCXKkpeviqkcm9oSM6+J+GImA2/McfZLu2CxmdGMkqZVD8wb6G+vGnwOHDH6kjuv+oLJ0vRxnUTk4spSxgHluZAVIyvPIcXbshGzGJAmxOCjgQ1lNETAG4=</t>
  </si>
  <si>
    <t>UIzMrhGwsv+fTmyMhNkUi26LCnm0cC9DPZQ1hRE1jseu1RwFfHS79+gV+AXT1j7VHhS/opbrSG5xQRZu67pFNxB5P+840MG7+mWp8QRCVLULLHsus1MwzARgY5FqeEebcCrbR8HQP279rzhGqa+HLCJC5bip6ETuEcZc0XdbAlb0wq1pCle7LxwkolVc6sMZzh+stYtnOCVb13puiuubVWv6XLB/Ts4TzoU4fD6Am/qMHn/aH5XLMtv9twI=</t>
  </si>
  <si>
    <t>+aSO8EIZDJA5SloH11IYf6f9c8a2GQD4xaDw8i8cNK3vRMXmnxjb1RM/Ce3OPeigmF+N0pvlrC470Rs7jxA0ogCKyeIRbK97Yp84LmUsK7EQ2JFM1ICzsgSacjKRGY+8TRoEBKh1gL1rxyQ3kSMz0t0AVAx+vumiGbSBD9i7lSHHHgEWr0zADVTMWjGmfpYlav3Dz3JmkelEdCnJ5sLV90cWTMbydLH5OmdoD5h32cg4bhitc11h6GPzhYk=</t>
  </si>
  <si>
    <t>jfTcUMmKzVlVnKdbsX065juodFpHW3Z1dGOBj+1FMQGT/uwHE2XHUreMgrt8WBrV+k7vMe5OSb+A5lD0jTDZC/FoXF85n7IIUexFdmDX58sihTa5ykH66TtG1xcOrmN6SDS4x5IzsALvMubc6BA+AERuULP3bIMwlmQWQMHXjVd5OziCphYwm4a4ODRUa2B1Ee8T/emSWbzN0fdWHI4k2eT6uovSyg0CKrDxhsYa8Rc75JU/a/ms41GVLss=</t>
  </si>
  <si>
    <t>6Vu6dxhgc+KA8QDJkkwc8T3RpsCo2Xs/UxlAtmkL4NLY3z0yKo1YWjR1fsXFYVIABvgVY5FLkJWRxIydBP9SCqLAkL0s2gysKEjQ947uI9lDndhrInMR0c/1KHGNKOPK5ikb+BBPnQaL+DbzuR14uG4Ik5J0TG+fbGjWySO8UjOrFXYuqhqgu+gy8WVTpJjcpryfRjrASFF04AwOYIFt+TI0BglnlaIcdMWEniaj7BYnE+uxGNZCesXFxwo=</t>
  </si>
  <si>
    <t>kU1gYmgO0rcXkk2MQVkTGdjm03lS/03UORCIyD+hpBlCqHvXW3hs6SI12rDqq/5GOQe5022zsiuk3+MhVFltqIanoH8jyPAXekDkaKYdDienDuA/hVOJhkUe/DfuAgHyefnvmqShIOny6vAlMrMle29g28xZWFRSnEg930UGUHJRnyyAnaxOLEDl9sGjmjhrQJ1uUG4j7pNL9q+cHSCgze04hkO285vU98GYNuAijtApgNL4wF57sb/yiVo=</t>
  </si>
  <si>
    <t>qGkQAhOx89sXhKXtmbNKVO6aJlUrkuDOWV4mJtMIkogLAZxKxaYWY0K+vv/Rqn/ygrLE6fdIwyiiai9IA6Q56zWyYrEuCHrj8Dq2w3zW3nT98at5j66o2KH6s20tZPhZXu+8VK6qmviJzLQyl2v1e7KsoCDJGLK4+Fw3oxZ9HDl8MlrTup0NkmifyCjJA2tj1xAvmU3YP3AW3cspvYveNs1StIQw6awfUDfAgtsS97Ai21IKcqKpAKMG21o=</t>
  </si>
  <si>
    <t>JtlfjQDgjx04tjUtXtAA7YiGTtPNIKIWh70eu9jPGlBgfaEZZ5t1A1LtWBAQ7JFReKVEAlcB365RPwjbh2PVzTXYA/Ar9tKyQICez1C1eLCsb1Roh6qJ0WEzmPRv70MChhSTov1WArvm9SbISOqham+BPti67YGkClmWfwiKjCKLzHeA+90eEs9+1Zbc7CrwponHFMPhBCx7JDz0B2k9+UA/DzsQf3k3UousFSsz6VjXjjcotxjpCXgbziw=</t>
  </si>
  <si>
    <t>gFXyJnzKQ81gw3ksU0agdephQljVYRJjIj+tiof8umbAkeVWQf06kZC0wJM+kXfGwKTTkcqSbjOt7tDANt1n+aZKWsgWdaWoZaDadgtdxsscGm/bmL60cnzdF/v4x1o08hzUkipKOkP+q8EV++pp/KAOkq5kzpcpU+l4V+JQYl9O/S1JOi7BJqCXZ2L66dBPjJVYZZUsxwfw2KpjLQYtrI9F1WTCcW9V42VHVw+z0qTmf/KOcRkWQp7qMik=</t>
  </si>
  <si>
    <t>jkijJlstjc29f3JM6o7XMN5jIGDTRRBzv9FLA4wOyNXh1/FKsijDiGgAi0ZKD+2dIBR3JopN011k/ps1HQ0T0eWm5vak5AfwUK3RFaj2izULY+1nhc+aTdjGRQCky/+09adAEe7OqToF5idwUDf58qa5fVLTzZk5Odn9cLRV+mYuFIznS+OgkvRyxS8kjH8t9z2Pjru3LNmBY30m8WAyGS2u/Pf2zgE50m+8x0BKRstRkBITeNTlGC6GtQY=</t>
  </si>
  <si>
    <t>vR5ZsW88N7y/5pVTshoSrBZnUdZVZwxkUAXcsImh7X62QGkT7ZL/NsAw+IrFsO4qCMUYtaQ9r57+xyEnzn9+1NSGHSlYKhbpkIkOQ0wAUq420wjRy1AziDueI2ysEB2ZcViHsGOdtv4Ygfmmji7zc2a44Sb9X8J317IbwOB9k9vsMmnu1i7TKYaMdi3SiMFUYVxfB0W84/xOzKTHiaz+brUJqGERfnA50xnY5C7s4Vs1x+zQLcHEQPZ1rX8=</t>
  </si>
  <si>
    <t>0S4Qc/fon/OCuluniG+sDJqwAIWEwfeiyIlN/UrZiPngtIKbsaYksR2SHrdH2XYcYQuweadheD6LPxcAXmkAbwBSq3Nu/15HhoMJ55TXKdFotLLfOR7D/y11qBZrN/mRhtgbq8ES+29sqhW+18Xm2YUeFORJMpeDSUMSUIVMJQrqV7gXXNiXL8DpWPSY2zwjpP5HUY/Utw6Qixp69X/Ia/ebKROzAK2hrkFohx1Nltl/x6ZuElqerBMec4E=</t>
  </si>
  <si>
    <t>txKvdAy86PViAEWO/wdduaw32d9ye0L4fs9hhU6e8knljWyVgwJeVHySqUe1LQT/JDkS5uKNT1ossfPtkrr14NCCRxQbzpvlcOshA+GXGHPqOkLBxOv9zd13r0QCpcf8vlcEgzhLaiWnWCHPTmATJjvwZB8yopd/+QxXkYlfTMJQPa2FkZKfabh2j1tbnwPNykZ2AuthloVuRsFe+fuEnofU1P/becmsFxoCIMa4YK7KM1dGVicw2HKdE6c=</t>
  </si>
  <si>
    <t>Ufe33g0tCf57HhbrHPFlpugA6LiJ6W9D0VUEzVdeOAVc45SUZ5TbYCk//aM+piPiMxmtPT1BF7QZDaS+vZSL1Gt7Fl0997xoDKqXPAhBCz4eIMZm0XWdzFPT+IhaWabfAn3FvtbSbg9IvbTsIxDzhJ3wpnGmBL3BocdBEFkAFABCFx5QEN1647gEL3kE05eEx+5RUYhmDHGH5zvP3NwBMemvdYA0Ecu1jBM2JeszefIu349U73/dZQSGV6A=</t>
  </si>
  <si>
    <t>zHtr1C9px/WI0jzxIpSF24jULCl4xHGJin83O7JExrNQ2UHl0cbxnqqdWxjOrrmVvc03LC9NbnbGwfrXLDC0BfRZhggR2UL11ck0jijogvhGdmhjdshPfgiETWATuAAAkDFPSmkmNwJl3rs2aDnKNEJPaHHfvKdb6JkBit/nUx5SGFuUtb+yfkzhAB//4ei53jd3NCyfmVlyLpRRAjHd2LGr/JUOBu8nt0Qo0tHjniWVdRokSvTdQMExniQ=</t>
  </si>
  <si>
    <t>EF9rqAO0g5R2cFEW1U3fzC5YNE8T60AeXCRn6tB0qx90AZwTyw2StioZB3UVJzFB9YfT/rAR8lUgggMsrsdokJhTLSAa/GESiUABJvZfDECAy1RJQmurqaLO5pTP+J8TC69dT4QiQTBxpcvRBpQabv/WlnrM2bmVRN6MkH28FnpHbVcklInf2QSmMuj2ewP3NL7WaPCfNsbPSqYMAjZu7JgmTiKd+G1/HMlKIbaVOKkpk27UQ3MA4iuWegk=</t>
  </si>
  <si>
    <t>tYFRXQPmQVxYRvD/UyE9/IMDFHp1UwxjhEUrBjQET0hfjRq+FDXs70zj/HRPDTlBYqGsLQH/vFnntM1Le+3XpQPPbSXh+R7XNqgtKe2I9ffdISDSeX1rnHm/xhZFEd0rNnfPUm/YcYSWplp8GpiTwXQakBe9AoFqsCFQvdAYvUmXJOnarCVN7kWzdKHQ0c/wJfNzHhzAEHW3WlkKYtA7tlPkXgFgJ95YuFoeJLFxhFmmLUJ4IlbyhIefY2Y=</t>
  </si>
  <si>
    <t>OMHS3D3J9c4SivQwVE83PKCGEVz8HPXkcVfHJM8rTxg06I2IaW06pSU45SlH48sB+4jQt+GTjdpG0rYG2Pgto+btuUfct3E3nqOwnQS67svcN05L1olSO+Ofiymg/cMRoe+9saANdKYcSjujMOf+kXnPbeEN3vKEd47Hi2N8cht/pMCPGcDH3uWYD7kbZgtyZrgeC5xbQe5xNUz+t4VpQZTXB3L0XhxWTMn77dqLE+exdtaUSdAaosJRssk=</t>
  </si>
  <si>
    <t>ydEUvpPHNXvjwvfmnOkIBQeCPypLhGXQDqwZKPtspmgpZIncNenCXs1JTdcxyg8i1JnGMng46RpUE3oUxfLwojhtjT4CJEC2nOfW7Dsh+rn78oL2oZnmSzzATgkNy05D9023kcbMEBJeH2FFYmMnBfXJQ3EmY7DtqlEFoMRc5mOV6fTBBWdzlZggi58UlzIp0hbGbIv5l4jGtVj6T8JOqFJSxWyiVSrjbS6hWYHQr3RcpW8lTgpuxZJBF/Y=</t>
  </si>
  <si>
    <t>OPI8WWLqmzTRsAXFZYFtX0mi/kV6jD0rPvc5DWmyDp5RSLP1uNs1qqI0/mvrb4rGSoqT466+7Mz7GpfIzI6lL8CC61l/YqG2fJN+ms++d2OYk5H8ScjAKzuYrbBiQdcqBFFaB7BubudhqegJ5hx1p+afbQVRohM90FCpNeHtGEoFbdfedh8jQ2MJdG7gT4Sf8uUIYebg9kh9xqC+rL0t29d383tWlVhidb1G/PcXHmxx3LJWj2QIS2fXD3o=</t>
  </si>
  <si>
    <t>P5+uxxMvCczgpk6D0E8zZDWH1oDO8zTQNloMyGFFs6AP2UUscqt0pfSiVScQKG296impj0a9WHTzAtZO5tk/Xur061Mo0Q5gC7dZR8V4kdcYhz1zmGWfvSGFZTgmEinukD/T/VPYALtyoo915fWBydHLqo8cva07DSVcL6Cq6QSZXc22KFKVU4QVCB72S5igJhNI2v//dPbIuntPqK0S+ANYz9pYo0REdoKQAR3FRhuiDS0EcLcGq9gXMtg=</t>
  </si>
  <si>
    <t>fcQJ0mwiC5hmCGqC0f/ukKMr30zhTyS/faaV/YtK2eyX9DXJ9vY77r/3b0YlIS7djg1aDHJkY5y8N3MU78jY6abf2yM4X5ZMcjivK9a8t9bT9oz+qRlj6VHNPWjVPLobFzp/ksvgPd9qa51vmbHR76DghcBtgcNVjvvgROfgjbvb0CeFSaA9R/gx29ZMAN+Xl4HIAVn7GUB/l2QhM3ofe1aLYJZwvFtqCKXu2Y3gUB6hyZfCWo2/kXOHrjA=</t>
  </si>
  <si>
    <t>iJOFwWmsO6UTzOjC6mvFr9miid8Ec8ZnMQU0tDiagOGVAKry9CYObmG1Dqy2EqWNSj94xuCwJXyAHlUlWeecp9omvtYZ86xV3XiAkUyR394Vmo/2LRBjvEH96exrCMTl/ciJGon8NZdYuZda/FOsUFZ3UzSqOMqOSpdLBV1mPjVXEcElsi/qlVf1wihaXZkZb60n4SwVBHDzflYW/TeoBisqUuMt+YpPM452kTAhBwFBSDMN4rLNflfzoXk=</t>
  </si>
  <si>
    <t>Z97QeuLdn6rPJMXU4cHxhKv6+E8L1t7FLphUDOAUWbwcvckPxEbhVsNievU7ihAWb3yhE1mXNByCHZQrD5V6vgkVtyIhski5Yu3wcffSYGJXka7xPcY+7As/W3mrwmsmIHvH67gxZelrZyU1cC/Pj3N+NDioCqpT1y+3t0r5fxx4pnKuV454UyzuQvaxjmTjf+lJGyMTnrFfAi14TlWmaZ7+P8uA72WU9k8TFt2u88TCwFGU9EWeYWqMKFI=</t>
  </si>
  <si>
    <t>+mmfowxyUXBH/w+t/OSEXGxo61jx85AO0/vyo/N8zwzAMfNP/fa9ueW+O/iB6008jsGwwe/zH60meanyD0DZH+/8N5i+1qd3BmevHjSrWPughMBBXrzg4I/coX5R+YTTevQxViQYTgE7SQqiwBpjKDx68iwVwiyZ6/TjRVGWspJ/2CVBp7EaXNbIgAhfJXLZfJNbkoFy98h6s/8wHuDluW2ZzG5leiPg8vM5nKjfWFTZUYMVd5PQ24wYNeg=</t>
  </si>
  <si>
    <t>46cAkDxmj36PzPPRkP+HSW/43eek0zsOo8c7uDN0DlydN6DcSTvDbYCUWpR7RWIrStIcWrVrGzvp6tTKhR1B8/sLbU5kiQ3AVoKbQeJmHlVaHmYdsb3ugsrcodRZrRrr1eoorQS+9lEQeXCFp94JwtlJhog2FCcdzX5idnO/obW8UuH28O1CtyJJ5HBgvJwOrRecnl3jHEz/z9Gyu7nSG6vAqSMN2QBIpE18JOHc5zh/dHQFzkr5+k8L1kA=</t>
  </si>
  <si>
    <t>Z+f+7pmW74+eudbAKc89XX2FRaLOYGt4m9byMCNzeoAvjTBmgzlK6PTo3fnjDboQCLCfC3HG9YZR9r3kMNC8zXaA5MYWOcA9FJcHwIEz1zGwM4s/+pp9ZBavUkC1Am2GdbRfvArlAfjRF6PVQYelJwc/1vVTE09jfS9f7WCV+/+yh3soxJvUpqLvEaoMbuP5Sw+p+FCNYvX0ONSIBe7Ut6DiIXW4W+9K9epqxs4lbYZ2hQWSSh7z/6+upzU=</t>
  </si>
  <si>
    <t>KO4hQpPx2/gPOlZG7I3uzemHXldA7IelOqpUaLaFQ9A8oVsZyWQzpmKi832c6WL41vB7Xacx7IXgURNbu867Wlq5GCYipz5SrcxOivYTv9xiI9f9mva/h4am1KGxq80/RA91oj8iFs83PTmzrGiMXtyZfDNHTQ92WBj1Now5BF+0/RQAgT6vEDTB+vsckOgIfY1yhCeusmlsjEiYeAYp5gm6PZR+zT1SNyYvXHcrfIgVMFS5Ldh5HiPlTSU=</t>
  </si>
  <si>
    <t>IlrByStLu+IdKdRbjtIddahSJTkxgOGAP8dBs5jBK0qq4HA5BsK2h0LB4Zt2tgr1I9wDsCiPglnKQyAbKiBKqqMZ/rkHtNy78+csnZkyfocHlm0bbMYpyd+vd6VchS6QWIAL4MqyhUS7s2dYEU6Zaf0H0d3/l0YeP9sMJlduycsNsXHEHlaLM3CzPO2GKoutbe0nnzT/hulQFAkz15MV1iBcn697OcZfCQPCE3W9gsdRtq3f48CHF+9KRlo=</t>
  </si>
  <si>
    <t>2AKctzSCCvSxLoStqHlsNfPLrXbi4saTfhX9Im5rnHvFxsttA96Mg+5bnYaz9mF61RS6VtOzxObIjmvr4Duj8yLZ6PL4mHEEl0CC2serEtMW9+G3Bjep+xoV8EFS3ZWFJFOvOn9EtinzYEEwQRr6GXqoDo+ifYophv3Y9ZHODICYJ/s2hblTi180WoTAv++bx8kSFXnR/XfOw7OXlRI1DC+tb/NHVutkWInmSZ7olO4gFvOwz9L1NGELrcE=</t>
  </si>
  <si>
    <t>bHK1AStyGK+Y019qp+UAgCN7YLRAmDB3SwBgbwNVxSAdPizNOiU1+dPfeYwbbqRRpb0pStNSnbt1AbxfCVeLjV4yLX8I+D+H9URPWon2PRNz4AV9FJg84e+ojHUGlUDBcoEzQaW2XlhcxLyJdbf9E3Hz4Cb+bJrdDkI2giVoJy6GZ5VMa5pttLH22Dnryo+sDEIYhPiiiCO+r40f30FK5ShX46rxtkjen/lDq4AROY+lmuTFEJmXC6nfp1g=</t>
  </si>
  <si>
    <t>Ak95yXwUNMajEGVvrdU8gZEy0Awl2FwvqwSH857W+CR2LsDbk/jZVsiQYlK2G8R57bHql56BYvV00eFnFzFHoB6aGNWEyzh/HWS32ZgxuULKzkgmInjUd/TZMSEpEtzXYSUDmi9nIksp1d87JqRU1Gi0/TfKGM9OkB0NbYduJT561mhke8jsJpZ1/5+xBu97dWxtbqveZaW6IKN7NOJ65zrz6/fbO2dX969XbdBuG4rMSOx2uAlWZZJyaBI=</t>
  </si>
  <si>
    <t>AlrfqApmamfqFyJZ9umxVo6R0DhD8N4JuXgl8iy6fjnAkzYbTLUUnYp1bZqWeattb495uL5itrInLPbjrROd/A22kx3McbfYc336NkkAhNfOh8bMVtlHLmYJxPcVK5QFeuD3TiRngDYpX/1M3BbuthZ4Z6yzQ1VcjcYd3sJd3Babdih9GJmX0RG6PiPhacVCM6Vq9aSEqzRbkeHJ/kAwpPB9iMvhzClHqhKiV05P7A5TUZROjrZuNFS1S3I=</t>
  </si>
  <si>
    <t>1LFT2io/Jcpo6PjPUqVguxQNgK+Ckw7IZswvPV7e5rKn3iBXxb+vNWVK9F11Yp2ORnTmPTFbOFWy96C7EpGg/XC+lDsiGiETtbcBcYLlD1G3ENwAVSALQabxY+4Li0XVHb8ZNhvelMAt64LrK5BuFAFsBINULfRjcVuMm1CfFq2I8yBXp5lBrpREzk/x7ajqygqL5WPLF59nq7CYl/aPex7jW1ybV+xfvjbACIi9mcRQAYtdh84J6HBZBzo=</t>
  </si>
  <si>
    <t>M7wNpRKtVv2nvvNGNyFU1KfCiRZRHoa+tWiVm099y3OAz9ZjOOD/JqhxUAu4Nmm0e3Q1ANet38sCozSJRfT+dkmiKU+I02gqYajGAvvJRF+FMer/rH8Zs4Sipv8IKwV4TxQSqH3BJwWGvcq0sGaZQiPazxZRKwdoiRU7MypbWFQI+1NQKoCj7hZg2Q61B5NwexKRDffsVREHAIAdjKrkmgXsQhioSwEFKmsMLAYgUUrqIrFYNViySbdxbzo=</t>
  </si>
  <si>
    <t>NeySepKnqWpdqYMkWHgKPIPv/Frji8ybGgqagZ3LyR1gzIQw1hRinCTHRYsAawJOjBpGWofLjJRIiRJjIeQ+EhSsqsyznczNZuOqihnEdqgc0s6JiBbNtIV8z2ojbrgC8Rzn4kLfnZ/AT8jaJA3vhYDbgC3RgkO2oTrzmNOFDqWP9vVJpx6eXTEygVg719lFMC/FQ/igHbvgRay4VSRdAq72f+7k/cFfr8+eIDAaj8R/a3cH5AxWks5I3n8=</t>
  </si>
  <si>
    <t>Y/nHL1y7dfMTl4g8VsG7k81kZYuqNDcqgozrFncgeYKTKEtWlCsSQWUtEPZgWyZ+B/+5m0qVxOWHJaSbNYQlVV1iCW5VwI4YhhZYyT+RHZWDX2dEO+oxDsYVuBCU2njciVbDr32cQEFGaDDHexxLWbnlsT+PqC8rgGXHcjPi5ymrdokrzB8VB5eVMZmUjpLALHEjKssNvNvAheig/1KxjPU3BhXz9NRKomla7WajMqXwImQoZZBVRGaC5Is=</t>
  </si>
  <si>
    <t>xVr/2X4oCEV3EKQWAO9Z4/vhlXCsiOCq6IHEbKnFbmq5L2u09VrFVs6krNmyg/1+c9kH2BcQhFk1AzUFVI4iTuc7vdpBLifpsgnU46jgc2r6QL1hzPJmUW6SRj2ktnZIg3+4Q7o9EiiKq7fAHgP1B2q44SRWkJ53Kubp+FWZos2Hou/Bl9Nblzv9cH77WWI+FHfjPBqFNvVpoWOU+6HRwXQr+UvSmKcePRAmLrQAHLfZTrb+O8ZdfTlaA2o=</t>
  </si>
  <si>
    <t>ScGM9zcUMd9k2cXkPYNPlyFDSXSevEJjGpyipfhX2+f5AZEA4Ipb/qHhyJHi0mgoYj6A55m6AkoRcXKiarIFMEnPf6ZeoTyPvBCaFZbmu6NK4phwmo5zEIwJwZ1lVh9UpfGfpPPEege+Ut1YsGroHN2/6MACVtpY8RwpgGLvI66enhZjtx6sQ02IGjEfa7niFS+p84c2Alp1LjPqbV7jQygOzwTOfgvG72n9dl2vXe470rxilYdP2KK07ak=</t>
  </si>
  <si>
    <t>+lLMSUg9MmvdMQzkQsA9B73doW4J13G2JwJs3KLnykhYaG4xzJRFSfflSBE6ggTSJkHukgpC2HJGUWur87n1Mytzux9TEXRtdiAB2i6iY/Nc2/g2HzhWYR9iDU0w7mjyE3j7Bf8QFCuf+5ffpituJMiWVIm7qwSl7X0EDbZ3wnFqG458LFsaDFBKqXOrWHYMCttezYtwxpYl4/xlzm0pnpLE5q8YqzoGCxOrTwbkjdNLIB/kQKIUl20G/6s=</t>
  </si>
  <si>
    <t>023fozongfC9lQVrhS1eRTBhHTzf+sa9HmpfiqrTZakrmbiONwRxQJNd38aFl+FXm3wX/Tbc5EM25cOZttna1AOPFHYg6nDCk4BLY9HKDiBqUYK1oxL57SXfIpfhrrtN4oYib36pdS4QFbddzGp7bfP6XYoBba6lR5GSLeXkRmrko5Fuq7oL1b/a1o+J0udKHNYvOjXyWOOUnG/X9AE1aeek0mPv2NuLUC5H3EeDapnp7arU29SdQZujZkk=</t>
  </si>
  <si>
    <t>t+ZyYJ9xSX7iutIImHUidabrFqAb1J+tguHkJOyYBBQwLv/rVaolUxWYZ9j629uZTZD2fpZle6EFJfEyiG3tTgv5OjZ8dkKjBjuEGIQMKTQGZu4+j/qzDneqiz2U7Gdl6nVJerSDHZe1Y7mX12Uy8ZGFDSMwWpXD2u1fcLZTIkiLZ3VV+UWB4LlTDDI9DTB6P+w7PlyK79VTW2Ytt0dGD2+37Yi/X4BSmaFn0XyqiXY4F6UdDFV9c4Fgmok=</t>
  </si>
  <si>
    <t>4WBcWa98XzCIg7qwXkzrtoWLzeYsAYq0ubjgtU1Zv70K0X+T2WxGNNt4XXBlenQIiPOYmfw8auUkxgfmSPwnrnHBi49tqWyZWqlt1ltit+Ua2hvHZcPHtM+ymqQu+eU0Vr8R6lCOsIIOL6A4GKHeJo8yxv1bOdz2pH2UVYrMV7CwB0siMzzXt+d4lM9ozzsycRC7U4nc52hTbeRnn6NrceDJVv5EbGA/qdZhcWuIaZXkRBj5Qg3dJjdp4TI=</t>
  </si>
  <si>
    <t>savPbAV7bp3pxLV6+J6Z4xWa0Bto3JdYWQTgTDLqku0AUwwyAvPwy49rddF0OeihE3nZrsqUAoZrSgjMCzXWc42ZqmGIbqhyA5Dj3Llo2pW42Du1b3Bn5Oyfl7yFSPXrPWfApO5k1G+rqBLZVKO8cbb82WUO5Dnl2m4VxMYFkFp8qB/pxMHkN4ik0ObS+h4yEqSbUjoejTHkHYYK2ntHJIq27vYSErjN9la3VlhxOc9aKatEOapanjMDUws=</t>
  </si>
  <si>
    <t>go0ZERSQYbMoQjQMNsyc2Sv7+XRdW0IFwI1IsJvaHRZrg8GxNC7ALN3r1IEgbjhL4fwHAtlqxvp8IJtOIrFjT6qTGpbABluYNe8KYjfiWLjslYdNEJ0Lt298LqlG+EScjNqoip2hLxqRfzGQPIx+HHWclb5ND3Qs383sAu7AMghKLwDDSnuWpdL2pVFWcdxWA4931McVbgj1H6sZ04JUleKedTfluoleAe0km6+P5NcyCTkNdiQItOVA95M=</t>
  </si>
  <si>
    <t>/3o3DTfc1ddmQt5p6UNZCqODwwzo5syIWdLG7W+43qlEenVbIdawbfK5O8BVMhTmr0xzC9DIYjP3AdxzGC8PCBRWsfKzQwArlblUeYrbPafXPH4YfMFZvk/LWaiyUbMdOKvETDKBiqawsEOJifp/Ed0xGZ0K8KmAhSVHIEJQpN8J2e00ZjujtEUfth9Erwk5Bk+CLMW++4lf0yKHeEAQlDuLP4FQ898j3TxRskV1ThMEmxf0xxiwOvEFKOQ=</t>
  </si>
  <si>
    <t>4gFEyr5bMqq9RCvBu9ZWR2jIuUKAwpAc/qoEwRDYGxTeB8MKtmwxg99l68NEkHD4uH/cpwf5Bx0tmeLyfT227ZAQU/5yzdvUhHh2whOmVbbqV5G0sInlexNr4C3MTEmYq1OKxrh8lBcJnKmUs4DYVtrJzdtObKJIGJFbmsIQMelDWxZHyXnf0oHeBCGP9msHrMceT9qt1pNQV3scrgvJt81e0ts0bpc8B2vokv+PPWBegSz7QfJdr3vHXnc=</t>
  </si>
  <si>
    <t>zg37hH0yMrvEG6S02bmo4U/r9vCAhlFgmgMUK7vuOmMpyt0BUE77qF0A9NLWMEZY8/M5dOdErgtsRm09nBGuBqbPmfO38va5c5ccW4Lm+cD73svQbozJuHLuoGBNYwu0Jw03KNhx+gZStvNdB5Cp+rk3oGo07QQqWVo9K4yIkFkFGJjfKWN8hQ7kcXmGRH+e+0MWfAqZg+g82d1k6FMMcu/guqgghYeWw0/odX2ZHYag34q9udnPa+rlc4Q=</t>
  </si>
  <si>
    <t>ybf0YM5keM/uoXn6Qt8K/Zw8sLMnH33i712LljweZjLr0uLJ1JMsCclCt0eJDETi8KI3DDXL4c1i3FwBMQGYylLI5gbMazRy9HQrlFbZxBiVn2VkcdgTPIJpANDyei5qaSGgtTO4lOtuM7M7TcgLPRIkr1u0LLPAPogrrHP92soL7f0xhuPfQumGHQyeGkrlOqOGisdWuWpj3xv464e6eouEjdIMBlanFzdoFoLIXKGy19dE/+pATLYxvAE=</t>
  </si>
  <si>
    <t>o+u6+noAAZuytGfZv7i7QsKruMrk+weDT/QL6gv/WCphaA9FCgGsBjwVxpz3A32HRhbGOlNbqoqREiQewD9YCk2Pg4NjeXdASC0WidmcpxXfRoGwfvOx45mx4y8otpr5Bgc6Nx2fXe2Y7KRcgV0c2PYRhugpcUMTSqzP/JbHRkEEmdVkWwLUQaecZHAEg0Z7q0hfcTP1DTyIoWxxClYUO7Z3dUxvvpkS7yRfMh1cVoFSAjvBc3jcT7tx4mA=</t>
  </si>
  <si>
    <t>VQWAefqVZtp70q4+omQwaPm3aRjZM1sTM9S5CYVmHAux2op7UpKssIKzlrUECmXK9YdJPTC18mhkEmWSMngpl0/VHYMDFoyeqTe3DrXkLF59WxL15cspifKdMIGLRPpAj6PvhALp1SE8vKfwEgBSUXa1XZI4mo71z3rVa2VrJr/Q1iy9ar40m1suesFYXGHCqWm7HUNIkflJU53fiX2au9Cm1lSJPMbCUGfyxsCetYs0EqWPMOPdmp9hC1c=</t>
  </si>
  <si>
    <t>TLV4ugrQ8ohtlId2+6Kv2hH6W46PSnaug5OjZaQ1c0sztVjQV7utTjb3oEVTKQT/2OwXulx025E0I5ok9hrmoZbpop5z7jQL5OxFIEbsOcBFf0a2f+aahseyQY/s0CV9IB5/9F45XVGqxAWH6LDYMxkTpRKwMkzHKFDX4ojm+GhqDlsIjj+SXul68g1YCz6HXm+XaLFDH5Qx35DPM3Xb9lBhwB6z+r2Lp/zv1Vw/66vRvuaPQSRWiO/CPxE=</t>
  </si>
  <si>
    <t>XjYVgD13VuPrYYpYf96Ocs2d2QbBd2kc2MIZHi2SLE59YBssFpMjmWj9UfBCpwE4s8Sg3tWoyAGQZrkcvFN4GL0XEQav1oeXrlB9X7tlH1o+xY3JpQfYlcyu+XXKMb9jXfr2//trGMjK5PZgJxXgSkBx02Smf6vyhaN6amoaq47vJZD0ohLR9QtwKRTG790m12Stma+xj1h5e0RQtYqR2G/pWgei0c1Z5niZpWmBElFiJ667LsIZMWZDUGw=</t>
  </si>
  <si>
    <t>JfLQvWO9R9kSEJ7DHVwoMauM85kAh1rxz2779xCjuZbDwdFeAu/Qld0t1/R2O93gG+TYloaAycSwRlZTjzAGEP18W6n09fzQpZau1xwsge8iHfPz3QUvtgKszWLPMCGFKFM9piNCwaEQpyNfJK8U/96RahcHsTnrOODzY+o6cMcN2WjWmRBTh0549PY8yUHmvg/DgACesFZAhiBboKbwERY8kiyHL/Wi09SR8m0f1vw191IxtAu2FH3EyBc=</t>
  </si>
  <si>
    <t>LWPOCtHNOwo0F+63OR959r+37Osb1HqVn136BIL0KQTKp7JgdlVphRnICA0JlLgJc+RCprsl5UNDIM6yY/VXJKJG/7jXGyq835ok/FrURhFDFZjgIYrURd/mdCwO1DzgQWgR92ooyr80NII6WrK9oKONCvYXIkVfD8UgUaUQh3xvbj1YyTR9fc+USpZDMAeDy+uMd+dRuj+ZcLPKxLDikEtFehi80WylF5KMKmIKIW71gjhWaBpELLNTlC8=</t>
  </si>
  <si>
    <t>KT1a2/svzBrfvor7pQ1hHKuw7tZiwNhbU8Kvjx9hqLUy4PCgrekTm2bSlGKtfoiKhRHjq9YMokFXHdU66u1wWG4LmwRmbdUTOQ3/0j8zQhvBKQ1tBtoUDWnyg81Og2MisL6NQ82hn4cFAkw4mGjWnmsJ+g7BD7bzxXMlIS/zdP/5gRj917k1jYHMAiWC9ISUPxhjW+FdjpDj7NKa0PDU3QCOdehVHNSp+C32tGfklGQH5sA8mp0ihgrLbYM=</t>
  </si>
  <si>
    <t>FUkldAH/PsrVLwxe4Y5hRcAZ2Ik6r8q7FmTGhfi0oQEjIokwX4Af1AJdOsHeytfqiPuzOTpyD/NCA+9TowyZfLPK4ki9FxVENOn4GZGodZ1vqY/CYWTTllsBiiHNUQCebtiV1flz/x/21uPZzZKdiOLpnvZvwL9KO9v7Zp9yB3IPaFQNGp8uIT/jIO+Sn7C8JfiBRQ3w6zMNoZNQkpi8tG0KriQzW5WDT22ej/rqKR37I5D2rSqNSfgKrJ0=</t>
  </si>
  <si>
    <t>rKQItmIS1lgVtEJrmb24YfqFf4/tzJ9363CGkach6JNfnOi/KFyHtgXuuynnDgQfGm8DOLhOWfV7zkx1m3D/F1J2eJHD6vLy//aAtZ9nD5Kdswc230jJSVpLhymYU1Y5DlD8Dk5W/YQjV7JD/N6qhCVKq6ZprgpRCyyI0ZBHclroZCMVyNu56IlBxq440P39ro9yqo8ir8WZShWFqXxhVTLOEu0aBE8HaQRfkqCqe4Ph20r9GrdtTLwtG+M=</t>
  </si>
  <si>
    <t>sARn7bQLLNFVK0c36/JK8kdBe5lwmAY0MWNBGp6u08nrkdkefI77xUvIu1HeNGlkY1juP3Rg0TJ108DsWtaNv8I0VOIEu2H8UuzyMLEK6/mmEuJB9OYTChfWN0hOxY3K/JR8SgQoFXK+nahsERtW7s5AoAeMZltAVpF9esueXw0DMFcmFgcDhNDtvrgmYyksMV2njNycJYOmrLyobMBKeGlZbkKmFJFYvL3fHC2W+wrnks5eGe7Thgmmy3c=</t>
  </si>
  <si>
    <t>m8l3COEFhSwvLK4eEg8kXbQ7PybImMyHh+aTLLQHqr6OOfLeVTfu5mAkJi0k2GRfRyFHHJoHGlonSUF/2xQxkwF+I25iGwdM0l3dwtR7GMVPl9wXAucQ/K/6AkM7oWbJ4+xexKC1FRzv0inBsRcC0cpduDqKLgLuG93674ktPWm9viQbSk6mytEZgSP4+dLIJndpygWja6oqJ2a1g6lVlzyvPnSuWLY4VwsC98tKK8PBa5f/l+ObPs4G82Q=</t>
  </si>
  <si>
    <t>GKSeqF5IrKAQ099ZcnbNYOUvDlOnRfLM3ylZ7GMocO7k0PVqX7myLBTe8dCBntlL5Z2cP4Eu2n5n00261mcLXEcqPTFd+mczvE2xdZPD4V0KBgoSQCGe2oSqoN9n7t9HtoDnP4TieKBp1A2/ZyKzdvs6rfieuOC8wTbBtVNK9MXP1ll+U3cIn0MMO3jhgddsQn284tzIaJ9i+2Y1Ahx4bIOXZC1PSRrNoBzSKx6bvSuG4pnnmVNbStBEXdw=</t>
  </si>
  <si>
    <t>HnPIDbTeoqBmOX7/NvZ+kQCKiqErpBiXSXp3j0xtaYrutdYj4XUSpJxJ/4+amSaL2DeP5ZlwZMY0wfz6AUlviLry9OnASf2YWiZMwDEdpiVMaKYCRukUzYGf4g9IuHNMTNSRmUAzBJLoqDtE3SYrFteNMt+j+PKnyQ7OQnAqwTScYVeVmRFssVTGu10myxXI/OAWHnWpmXvSFtHUj3Tcr/nmOuaiipK8u5Y1aI72iK0KsR1hARcEdnCWsGQ=</t>
  </si>
  <si>
    <t>KTtkQrSKSRnJkjfamuywbbSsvHVGE0yliQjIuMqDcJMb3sMRhsZ0RCjMiusHGlOUf8FrKo98rsmjJkZSYDNFFpg5qyD10+P71lZ5+487FM8fXaxHWQotkyjCymlEnky32+XhRkDdUz7yQ/UvNBaNB4SEanKXNXt9L0/8CsP1jwAuylNBjCGUnyrJk/sCzuzXXe8jhrf7q2DIWz4nHyIYO+JPmQbqzG8aMRFUtcH4smKDKX3HYIs7VJsc6Rc=</t>
  </si>
  <si>
    <t>1epP4FYaojgHWq8Mr7rU7WLqEkUtpFMaUEx6s4IYCfJ55Xo8exV6/3yQS9cOYDUjoiaPRGUtxnpvGoCTLUfs3g0HGGdr+rluZsG1jY8lbHopQ35JKq5BOTZmVQ1hUGa52K50Is4GkNqY3Q25HMVc+N42B1QOWWJc6COAMDTryTu22u2ivOZ6zxMHrHth+cWZ5Pw1OBujwbDbaT8Fztp9N7jdh/9HdPT6SN4TvV30+HVNOxlO9DHXR734YhI=</t>
  </si>
  <si>
    <t>qJyLvj+IVvR/UQmVrdb4SOKflbLtVSoJydCAi2S4e2xF0mJhlm47kszNp40BwnJbdqFcNhmg0Lti2X9uhOYjpfVUOwmVPyaiMxcOGQo+j8MH41bcAsu6Ly5tqcEae5ti1joj+M/HuIWif3Puh32IWxjiCev8BJtMcKbJMH9D1lguWEs6seMHiiM/1nZ8lUrz3aRvUPteIzC9vQ/5VxRneWXHWn/dcBylrVzsmvjNRneoaRWQV30zT5rk5Mg=</t>
  </si>
  <si>
    <t>6N3QE0MMBf2joMW06pUbUZL/FFRqDN1w+YVvh2V8agOE4BTBgdSi87RNKhaV20bex05L/rcQnIGOMot30umxvg1m+ZDnGmkDz4+X1NajsICNIgCwCwok9EsaGXr7cUoKOutzJ8sfjsPzewu2XiSrl3BQBxSvzL9MUifzd6ONry7nQqVK+VWiBiICfW6E1kWmmtfsUXt4MU3UT3h3Q5DED2OA27vTrKpJaTy91Ft3+KopGj/rcFT9kwEzKcg=</t>
  </si>
  <si>
    <t>8ykI7E0tNjI9gQkDUmDDPGD2Z38egVhlv5eXca0wpbird6zqi9qtQjKabJwHj95oQLMY3s1bK2q47874ZS3AwP9h0KX96Yx2QxvXfjeu3E1nixDnqBSzlNtGn7NbY19S33KHfUYPBMaWHEiXZDUHDkewWJmFlCNWyboRtfFuj5swVyn7+L3Wfo2Z47pcF4rlYFF/Eha0NTGAlTBsprDCfTblvpTd5Z8j11gFJ//Z0x781Dj2+JnABFnhDgM=</t>
  </si>
  <si>
    <t>FBdj1C3OtVFRbrx5xE8V8BZ84Km2vs7jVy6Vwhj9rfJMFo5G7L1tokZzcucb5PEPTLqlEpSYGZP88fQYiGCDpCfzSinYXDwX4ZPI6rDlI7uYo/a2nvuXQIa+x7hX45FpfXbrN9k+51/o32HoOamxnYm50DkwcBUp9KmYDYGElRfNwvqrJo2GTVeFwpPhjmCjkvQbX62AbjElWMadTIE7PGjgmHWKLxroUJJkeUUh69JVQWXXltNPJE2WonI=</t>
  </si>
  <si>
    <t>jYqzh4k+fseZdUP7o8ctR18EulHcrGgSz8yFEMAsHv/boTTrTFbMV1bLJPC3pBeNYPaXQuTnlGZ9tSyuFddwq0s4In6L5nrlhntDa/rs0plspbPIfx2Ci7wqHccQZQjUAOwVonSZn6eTeTjktxZ38i6jrQRef0qBFMV643/T+GMnm3IFH9YvqqN0FgizNH5A/ppbuCX0DaFuhi1c+A9C1YFn10QY9L0rc6rz5nPoPsC0DuLMGZ+7QNC/IY0=</t>
  </si>
  <si>
    <t>FsQ997Tz6O6DiSllnucJQIopMt0ZYCfL09GKso9lH0SG1oNihHCZlOamWXmbp1MWmYbPoE2z6quV0XPsToimisYaodQ0qCKVO5pScWC04y1+x7i1geqwkWX9/D6d+EnwC1I0AOss4JbHIrA5FJpDNq8pRvmwgK3IPo9AxAxvUQwBm48dl4/1XfHqVD0tclqOud14jrFzwiHkW552qikKRzbssEguFzyfEr8+EOD7oUBZz1CTLcBvSrlYUEA=</t>
  </si>
  <si>
    <t>0yYCQTnCh9nBFzxxLm72bwpiYbneYzRJb+x5r75I9UVGvJ6VVcQLR9L2xe5bGQcvTIpwvcru6dtg13W0ZJgSVxmp2MQCEYaiwSi2tuE/ekeU+5QDhmA331y3HCawa3OOTXhKLVw2QjB86YUMT7WbFxpW4cch07VTs8tJuWPPGf24aMuxo0OaHKk2gMIMiBAtxjMUyFi/eI3meguPn4ELzYK/waePYFPJd6u56/JzfnG8+q+M6tjj8hqxhXU=</t>
  </si>
  <si>
    <t>U8ip3sjKCMXItfayDS0dVjIYjDogDNgLprTLbs5ffJoAwgqPAnEnM4ggk2f4Vu4FhPFM6opkTs0ex3/of26JMRn5Fgym8Dd7wjY7/QuDaAD6NJoaGrGeaXZOnQqpn+mFk+qVa/xJRU+iEgd6AlWx7Irh+hAcK264AvqtjXwTrzlJlshn3yr7sV7/Yxdd5kKIedJUl0eHJHSaezxW/Y5j86i5iWQl9Lxbt5UfofDbC0NBX923xEeL5gDCCVA=</t>
  </si>
  <si>
    <t>QLTL3+y8W85CcU7LkEQx+tEXG145tvVxl9atXn4yzvX75TLoj6X7ByYh+q4/6yAHVHPO6ty2pwBFi8YiekH2DzlXRV6mbtJn6G10ml5Qu50GSSbcR4biLhzwuYQoMbGxwfSuTWAgc+0WrvH/9XHxkYCzeBIS1Bts6TYroHFAQ/gvrLE7xg2YSvDCFU2GttEZQw5fvvHAiOIo5cdf4QzL2mfd/6RE28eD6hTPYm6iUGuZV25Ay4ZckJLJaf4=</t>
  </si>
  <si>
    <t>P0kl6ooPMmJDVDWiU/EWEcK4QvDGIaW07yFVr/3RTCBCCh/a2s2YzYWm7Lk/2KfWlY0scT7VpZ04OqNHoaPbvCt3PcOhOfFc6UAPwgZ2vQIV1iTFDeEleSQ5/Q167UHsl41kjoSWoiHlwwDLxkpEpKENUdnWiQewI0fxkJgIoz5QVyzBpswZaSWjiZzMVXgNjQL++nY87NGyL3/CkJOcN8ClqEdbOdZrmqIcutY27k4+zohMsmYUlxw3/AU=</t>
  </si>
  <si>
    <t>9gzx4KxNm2tkwLrKlU7PyveI35oECZqQms6Khw4Whxv2ocatmd+6viiOjVG3P4yz+dGprFZ7OfsJ3ioS5C2WjmoWR2jLp8syOkD8ykGcbYJUcIVH12arum/Tl/pQW/WE2O48UvD6y3gUdCZlObU0a2ih8DxYSSEJ7jF2F9TTMaaFg3YRD+QskQZmS2AhForesKtsNrH/rF99fSkfF4vELZNcTjdDEL32UstfTmiJXtuZaY5ARrLVvBKj2sk=</t>
  </si>
  <si>
    <t>CkSlESJihaeiJSpSPzfJMdHVssHQ4bVCskz8Nnh98WZ/IUwNgxoAm+RzFbLRwudZA7+92H3+JA56weGfjK++ePl1X1EzCe4lq9tFpO5WmqJ9vWb9Qo3d4zBqyaX2g9QSarTWNeLSEM3VB1SnMD4b4bzQFF4s4sCsyTcxfKfyYuVnlmEx3aVqrWGh7F8L5u6IVQAuhD2cSL+eqVnZcXIuYNEIl5UkT8NKfbv7JzthVrGn34rCdWnGVkvriwM=</t>
  </si>
  <si>
    <t>T2HmhnLPlQfC+iCmwa2raKOc+HDb+bm+zYb+TNXVxICcnKq4kR2cPXxQ0OjmItP1WE2JxEp/bmAk7xgKtkWdxHzPGflLjHpgFFbvKYgPIn43QSmFvUURtmb+W8Fs7hWMTCP9jq60AQXDlPXf4sm5k/bDvC44sVaObJAh9vqsXQbNNmcjratGJTO/gDJ0rQ/mFUe38YVYkhEVX9jWAHioBGaUBViJUKWZgkuxWQoGcupU552j6qZzfHZrfn8=</t>
  </si>
  <si>
    <t>aGLBczjrwSzA+qp3x1SVzGJFjKoAYA55SENDZMdQzl7fytNOLLkG4tss2gzGA00EGHKSkVC2hXfCOyl2O+Cx+Nn7uJHB58w//DfB+mlbq0ahaASvfOtM9x8hn4KfHsBc0bflALGtjndkJGdLPTX7l+QBt23c4JqEkEbG6V6JQcuQmyOu5ACaWAHAn5DR4fCercttW08iBk169ywwojtArwRfGw3oQVMzV0XGZTE+AVotVo/7qyhKDUfGeKo=</t>
  </si>
  <si>
    <t>5RwmigejG0r5y90LMf77CghWY+SbG5eYR57yOYueI3SOv7Z73R5m+F0yfJoHdt8EOg0nKi3lVJS3uytP0Y/kGE7YOmh/NfE5SjyGez30cGFupzbVhw1XYhbLXL/BhKRyGCOJF7sWtK5BXwQ0yfTyrqgF2bIx+lNDpc9+X+0EHla6M2pjDHn3va7XaSCSMLzzz9stoGQAJQRSSOGljGXDWETPm/rro7pywCelJPWYrJi20/w3/8hsjG8cVOg=</t>
  </si>
  <si>
    <t>tVCMuceVgq2CI1WoP4hH/Qq1HPkZKi72oD7DWj+S2tgXpESn6OAXryZBJObc9c2QomzCIttX8SURb8Pft+rZasnETunFbWwvM1tkILY7i5dlzhWTxm2cxcMwvkaZUAWRVl7Vt0D8vGOZUxUrn5St3YhBUPX7VOPN2SrFBp2rEZ+nx7owwQBjll/f805TBHmbewWGcx8lnSnlgf30GLhg25eKv7hGvwo4PksedI92D3U8CltHCsmBhGlHzqQ=</t>
  </si>
  <si>
    <t>+A4DPAShlo8+vc66uh0DqtBnHEp/7nbWgtfYv1CoD5WqEGtnx1MnIuONFD+aTGh8BhNmGAi2IXXw34PS9TfsaVIuyPajnayrEaUSllWVaD/omehLlIz6zHej+1am/3fuSdQ76rdxaNrQH7JKcfk/L3VZYTOZf67eGQokiUPTWYZsr5S4UIl051GVfwdFLLtDctT+kRNhwC00DBSAPb/FaHmokWt5Jj7vzI6EwrkBUw+6ewes+excz8IwGWs=</t>
  </si>
  <si>
    <t>Juz3nwTfT5Huk1cfYQ7uNqtcheehcswE4xpnuqfbMvbcwAwuj/lt59C8s7hsVmuO9frFmJmRW+wmWzeSQXkZtoHBnhMYtb3Cbh4qwXiuVRO4Q0OkmC+/8HiNeSIDzAJmp3Mn8xHvuEBQVVuh4xp8twHDAEi78gYf6dbI9OoVfQlB98DDUK9+ZeAgsOCEi4rleH2ceBE/ky0ggGIVGh3l2thGi3qDoO/5IQXqfH4gCvAA942FE+c07cpnngw=</t>
  </si>
  <si>
    <t>0pCfq30NagJUmYsKwapDZtEBZJ/4Oj2kM4CIIoZQXjWuGHRs3trPA/GeGpv7NApjNkfTZb+f7eRBe6Nll5VgIAZEFaIDXwH7Fba0laS/9e/lHq8cT6VE1b5UgffKRg8m3pF7T8mvRpE0pJX5X09FtLhA23kLLsBRRYBcrpA5giFpcICAPvEnlGb4Ib5Tzca1OgvGREy721lp7X58pRXYxI5KubWv/+XkA/+8cELb/L7lLuuGve9tlTjQM8s=</t>
  </si>
  <si>
    <t>S14r7MKY2RNpawkODSn3ufaoPfL2T1ZWIhF8qKSThSy7ewdBQt6zTRiktQhnZal9l4X/I2S8ZIbjWTEV8GCszt49cRz8R905qDGn4YHJcovj7SBnjKKbRkF/asuUAORpJsWhRQGL+OSS0IjmcvzO/L5EujwJtMri4A5TwoZJg28USlcWYLKufOidzwpgQGT56QQiOmyyJfOD4RrUM1GRaN/w2AEuzVD7dnqTONteAX7m25xXNc+rvEEPPY4=</t>
  </si>
  <si>
    <t>ajO7zJfPrZ/gZzb+LVkk81Alux+7q08I79OthRXgJxqsZ5j3G8BcKfQDCneOSpeBB6oUYituomaQhRF2Nog7ar0OVv96pm8okMlkKWJMM7n5JZEMZ5n0IYkscpVEU/pG8rk7+lnnxNs7MCebtGLtAh0gi0JF7GyZeKVeRY71rscL/4RM9BukLZYfRz/PGsvyCEKHsv40fsHGTNbqP61/IPrI7RqOEoJZvCYUJhtmaU8rcB6Fa9GVpqmN3qk=</t>
  </si>
  <si>
    <t>zjEa0PFuoWTTHKVrcis3OjVPR7mg9C+wqoWgD7Ym7XxlIbTBmKv8RDfKuQoPppru50CnQkNh6dA4ONpCsUjYYjAvXaMNfvybPmChkcWd/8qcYvMVCQf/X6UN8FaOjE1yGBc3gpWULocZXp3UPzXs/7EvYAn3sP6jUeRdW6RItmTaAuEj/mZXukrrOv9VByL8uhrHpaQa8ADbsvOlRF0TfiEc7ENlpWORcl7YUdrsOElA8Jy/RiQOLJpZEcM=</t>
  </si>
  <si>
    <t>3kF6rmd9DZG3QYlcV3Kk/BhedAbwRygC2e30qvicg8T1Lou4ZLTlWd74qhNBshhNn1v8VSi6GDi6sYLp1rYtfgjspgrWN9xgqFqQKpqApJmqcDbwQh90AfWjsJanhvCxZv2Sp9Gg7nIA8F9QKlPkYL3q9pSm3KcXU0mB9xdoP4igA7UrcLAXU9/BEbtknrIABinnFcygQlsDCiGdZ/oMw53l+6WL1MfyJPJgpMxQrB4EJCRHQRBvg1uInd0=</t>
  </si>
  <si>
    <t>KGflRI7hqyysgkemhfU3OOmCZb6EsbI7/TqpXZommcPFqeKNvq7/wzBHy8bqhCa5oOdg51Jebjf37DiMMBuRaPc/R7LFepZ9mrIOFsKvyTQh+C2rA1Y399OO4TxYy3KJO7EXqTf6OXCgfiuf3OSSE+R4/BCUhw475GVXzAIEKw15nY6znS7ot/SWyJZGMNefHb55SITuqD8agK6ck1THFmnk+faH26qhQXE+0/ONw9JntzWbApnM5wfkjk8=</t>
  </si>
  <si>
    <t>7K22v094ytpNzeb24mbVTxJDP8OT4eRsYMUuCWJRMvU4d3XQjJXxLKPt5HFU33cWB46xfDEaWn3o0bGsdHVUnoLVARHzsxR5EokmhG+x/MvCezHSrMHmheh0PMzyBSpqaW+tS/oozBKkFVgF5Cy4n39+WHuBfkmamtNzuERsPsITx8CAOw1sV7Wp9OY4jfbP8y1VoO/fM6gMxa3hXMobwme5lhiYZTCfBjLCYG/oDaopACD/tAbmbR1PIhE=</t>
  </si>
  <si>
    <t>7gqQZV1WqRwx1b35g0IlIlw6st8s5+T4HrNi0onBvRhxwHFomluFqWX3WEAKzsqp/w0IyFgUdz5/MKLuWkebNwE7wD14veAQYzy8aISCjCbzLTQ+Xkljwks2l7IkdCrQQ1j6AjBP6sjOeRu/53uw9KFx5CeWOD+wUy2H4ITmYgvMvm7JsHS2e2I6PZ8TmqHKX/FHOgaGhxjiYzkFB9BStGUmtR8bzshA3Am6G6PhpC9026Vvnt2s0BPcP9g=</t>
  </si>
  <si>
    <t>wpQ5Oel9mbtIaIEtuLm0dpR4SGEFyk2LCzwfS1K/7wEz5jfp4TuCQ+2FPR+42/NlIJHE3B9/yd3EyoIQpgEakvtLbRYcEOXLzusePaGZQT+Sk8SSh913eaDgToJtjGigBJXxxRWv3Fj1emfgLDx/ikhHny3kY8Qs36kQYb2jNN08ThpHQ8R7pea8qYGCHSw75bHnEvG4cMCJxmUBO808r1rP21vWCI9xBUDag1oeJ/SX17Z3hupmcQL5Q6w=</t>
  </si>
  <si>
    <t>HdkZpCdI5aMlMyUROfxLBkEL/jOYnNspMOZaa3Vp9TXvo+wDC6xQ0QQPk2mmXX4eAuKFFSnKpJq7PyqXc2kqa2tMac3xOC7O3vPGQkp9OkhqtTGBn1YnY2GmFpEMzFP7YWBpA5SOAOffdtsM+SIkdMWo5dt0ojo8DpBObJ/sCNiKST7Rzzqqd49L1hIkeCOy1vG+mdwGkYwSA4l7sIQKeDGnYz3HDh4n1VWn0ABGxrCchyll6svxtXAKBeE=</t>
  </si>
  <si>
    <t>L+/FrZJDGIQN9nx3cLJz3Cv9MqhNVOkQAfCIX9ggZknFJO2nrLmQIwEUm6rTxL6oHq4C2seAD9nrDdGHsTwEKA8XUoqIXjd/QzqsVbihIY59wIJwJs1L+f28ksTu+hhMUTefbhPCh3E2QrNEpyHXF25yAmQyJDkMXx12VzWPjGptbKe8e4/cE+DU+czgs9LFr9+y/VwTzFVNXkQnfl7DJRJ3s0daBqV2LWbP7RYM+yPUW9U/RJhoLEoKE6A=</t>
  </si>
  <si>
    <t>gHq7ap1+cgEborHHqS3RYCgrwImtvueiPdXkoRahz6xs1mP46NpMxeF/AI2mjpJyxgMIe+ynY+TGXkCHmGdMTQDFDqpDlGKHti5xAa8Nxy/Clzc1DH+25tGrjRdwGAcVDo8ayJRfbBWbXFzsVKr4pUG2WTs2qQS6MRDKnxkh8L644o8tCYzd2Ev/UWcSCwT2xBzVC0M4n9jzJqoP1SWIO9+bcmoZWh71QkHDSTpSr2N/XRgILyVymgwnQw0=</t>
  </si>
  <si>
    <t>TFwxzTh8T/CePt5/tLhZBbgZ7OnDvi1xsvOEOQ6u1RhCgBTuiH6nMpjjhp0aFZL9g3vV9+qt4e0YAHKwh4/ixAcZ/3HIV/N4DCOO1UQxZgvoZ0zfVTYQGQohQdJmDQotHK3VoNTGBNoc8pTCWWxKw0DntKyA0dW9a1uEOp2g+JPMWWIraGp/LTZggMVet5P7KnC1FIokjlUdsUaPmhppEAkfds7EEY/3cEcus6JPYx5zQvPJgPhvCUXSmrE=</t>
  </si>
  <si>
    <t>/ZsG9hj7YEtZB4ttfyx2Jml9SGAUp6meZj8S6WnP5k/9ld50aRMDCsBeXh5/ipdnKjzkL4B9oaQ4uVFjDPAcko14Z8ZQKffbmiwn73g4bLgb4KXoV26br2CxwEBryFHYNI7xW5mpZoEAQeDNKYmLJG137yCjHTp8HHooq5gOhO4ZCB/nfKc6Zu8eEKWdE0TdJFv5GnHelQzk64KNL/dG1WjVFMVn46aHMzY0qAkZko2446x1PCuHGWsYxXI=</t>
  </si>
  <si>
    <t>x3RpE6Ep7TvdET7JvABxsRe3fk+dJjVe6lwY4hgAUP6xUmaYFejQiqjZqDdm1EJwXwzEzWCadwb6WcngGf1pf7xfXrXB7IMQr1uA81hP2LLbAtjK0aAHZjyrft7irI+kHZUBDLH8vzSVcWD+8eHQxWXLQswAhQUvyopuTu76Lvc3cmu8yAO7WX5j2EkwXGDNqI1zPnV7EQ387kaJk27oNyYnNtgNIxvLLRLzewHIyCNqOTJj2slauOZ+4FY=</t>
  </si>
  <si>
    <t>XFl/RP3tKCYteVNZF0X+HMc9gFLedEX7mbGK7KY4wr4K+WmGfdxPHQW9/vktbddIkWyiXP5RU2tSc7C7IRMRd6n4b0F0syxxfG8ut9ffP7Bpd/+f1HpHhG8yIPiflUaftQz7Bcv+zOM6SVXkT2eA0Uz9AYqhYNvk4jLGmCyxdNgBvv/VwhxFG4Pdc3biQ9EtTItNNj6bpFX4CLWl+2aZaAWYOovU7TC2nLHXPG9FEhOBlOXeD/LIYvs0Xn4=</t>
  </si>
  <si>
    <t>mKvcgh5/bMHnVQXtw2cPUcT6Jj0WGTmqsyzxruyeSfD8528RyJj1dcaX2GbmzBdt7ga6vKZJjR2sCG4EI5Sbbk1LyHTh5R1Pgm9jmMWM7eJJ+wE0nu/JgHeURv/iswboMZcsirKabgoVBp1DH+h0cNKTgStXaw9GdSBImR5BDvDVO8rWob77FIX/5/x57TBf+dpN3HXxGmHSXEp35bGj6a+YL7INNMs56e84E+tjj+1YSfZCMJ8wCy1H9u8=</t>
  </si>
  <si>
    <t>lJ6LwkOlzwlyDoOE9HjPoc/BETXWwIpSRxSEWPcRYuQmW/ioF0lRGQQM+USNKdMQFnA19aknDk8SuCgsXUAol6G6D7X49cinYvR0Dsi9Mw8zrmrCnUUfgLemIg3Fbj81CPIZ640B+OGqNTA7ZGbrp+23cnenD+H7qD3/GvQC8rqzo/4e5GE5aVAIP6nvnNz5XgrOchl0LOYp6aIkRFpE3m+oRGCb2K3MSh/EvBhEF2mPJgHjO4Dm6Jo+R+o=</t>
  </si>
  <si>
    <t>pVwEQn7mMohdiQuEUk6DHsUQ89USSnYaEN3+LQpg14hMfW4hS2LwgoizlpIzJrFn6d6kwmxej5a/wh17psj1Y4XvF5jGtJR0lcGBGQ06kjg+xrS1J60OHbr5c9BJS2prkdxh7/3+prxRxahc7tzbxuoAmiDpNRrIA04iT385zSV44YkyktkDW6BgKp4Hb7rt16bJgR1s6yc700WTDdqTQkRKcI6hxK2GsSE484E5QqZG5BOVJcLJS4UhjEY=</t>
  </si>
  <si>
    <t>0lBzAaC751jLUm1VBda0xBlPpcyDzH+/oSJWTBciJf2jl5VynjeLfkaaBElWjjeJb1lAQ6Mjw/cxz4vq6EFc9c3pkhDwcSOU3r86Km0On0yo0kDcTrwJOm9IfENDQeby+TQaWwMx09HmrGgfxjBQSuDIPbUYkpddZt4e1pGbLYXQrNvswbzVoYqaNqRnDNf7uZkVbuYC9RXrvpZotFGcW+Q70T4PA0rLU3lEef2ShmJQbFlmZefwX0zNNkM=</t>
  </si>
  <si>
    <t>xg4lzLP/55MtP7zaZukuXa1PzkgeeeRGxCb0XfYdU3i41NUx0cg0GSF5a1rmNYf+yDB+kRoLYTVdx+YrFZkBe1umw2ZX2Nz0xvg50sccbv4yQxfa5PMaGmOmlxHX9I0Vxhbd2vpYRDA2UCITaKyzH9+AEisvTL4i4BEgSd42k9rnjQecVSLaFoDmAnrnrn3dJyMtIyjUeEYf8IAkoDZKHGkT0KVU6F60fuQxHvjY8oz5KJSnvC3CzY9ta80=</t>
  </si>
  <si>
    <t>AMSrzwnWM22VWuJK3vQm7OA8j1n5nyLQMcYST5ppIKnf5CswpH7F/z7qpRM7OzhGaG04MjGnn/nsZVjd8I1F+M9lTizG917gxfl4xmgrQHZf1czZqEmg+CLZo7Kd0TAhbuqz0oefGVDWooHUDeUOfJKK+5TmJJXkYOpbQuBFDg8NRAlFIFA3uAzeMJZ4rE3jF6WGFEkSeapwierWFceXFucgxA+OOE6SSqflwxtNClFuMRoh+hHXHN4nRTc=</t>
  </si>
  <si>
    <t>X0ucY+YDHJr4JegwrGrqEmJgi59Yo+iBro6puKFQ4fcNKzW8CkPTuKpxW+sgFBzDl84zZx2AejBJdXfVHUeaAet0Bo+IEBiLxY6rtuELN1+WUDfavLhVtJHiMNXcJcGLPwjNaW2guL27JNEkj21kghB3+qaLGgcX4qvn/9NT6nnCO61wiafzz0tVoJvxyV+47n0vUpPw0yxKr3P7h39XqjKURKgkGpE0MSeyzdE6j8IZkCTptKWwx5eOSd0=</t>
  </si>
  <si>
    <t>iXFHRrKK6ppVo86o4XiZyph9T14Giz+2UsxUK0JS2IjTzuWncJkE1fy8s8Vd+IVHeUwBNRHk0mlwIMdy5TkAoc3m/84KVayR8IRwVpJFZ8u1KwMRignwBJTA5ExmwpWcxqtCAr9gWaBlm4h0jO9xhJYE1+t6sEB571QAInF6jpi5mFO/W8zh+yxxWWrJrmCn1FZjGhMrxz5laDAm54w/2FeA5s/5drZ8wSSYq0UmTtQi7xvwllt8JKvWxYA=</t>
  </si>
  <si>
    <t>X0gBOJ6UGM0/K/1yaQtAyEOjj7YYDkof5gptnPBQQgPfkc6lzyACbQaGQTyceoDzXdXFfWV0tD1bud1kyZqtBMI5i2tp1Dx2fXU115i0hvxnCfQ3MY8/uzkvz58dR1MTUywsGO88hYHmnpXsaL6atmW+iFdZJYAdoN3lQFH5XDA4mrZEiwVJrMUX84CKoz3V/rm1HlMGLNbMJjnZkySYO9t+6XbDSbc2u0qh2O0U9pKhInXFu5DdAkulXA4=</t>
  </si>
  <si>
    <t>3Y2Ie7hUDANMgAtaLqsjrcMl/6QNILARRWFI4DP3BDJdiRwgm2OaJSLLRaFR6dmzmrwjLdMTWmkWiQfoiwAiveKmnBll11MYIUiiFsheseMZylCcutmaTx04EpIikNHavoJyQdJ3++XeaUtTHkZBK8+pVR+UxQTI9L57vm3NHF/tvE5HG/vLreGFvrFIIBavuLNf709GEtUxX+a0hzToDmW/h8+c6EybDrq/PiS/peZjkx0Otk8dLz/HDeU=</t>
  </si>
  <si>
    <t>qipGWsWjSbU0DTTvbVAQeiM92XhHqgtS5vCn5ol5dYAEvmDFgPrwRNRfiyBSH393lEKfD9SVE4G7oBv+gTnoYvHZc+ZMdXga2vtvT6hb4PsqXwuu96VMglcvB9kciS4//61fBiSq4s+sZZA003OKLI5P7nWIaXhBhlS9AXyn9Bb9SmsXqyE7HwygdPhS+ox+UYbo5euXBVi6SXe3m6+uiKvd0Iatn52YX6pduSvAnEyV5DGXU8G2fVjmLb8=</t>
  </si>
  <si>
    <t>RuPPa6J6kBQpfurvRvXCaVPceV+gk1itcoe8c1SKRD6LNR4rdYAke5TXQfZHkqaOMdqLYcrI8KKTbkBQi2ONycXEqERFcbTeybgUkybKofdVQnZooMLWSWvMnEHPzG4jStfJEwEBNRH6OmPumU+ilOtR51hjcLJh5VRG4E3RjqcnO20ZF5XxrGHyXyrzsJKRaxVdlaHHBWdSWghqBFuGRiGYslEm+/L1sVG/iCk9foFvCNTni6DYMWUr1YA=</t>
  </si>
  <si>
    <t>WLTO0l0+vImI+XcE4VmV2wzKkNm3zvIZl6v4yHhIMOex5HN3syHSdO0FVsl8AG6oHLh1Z8Ix6FziiHqiQjWjnJ2Gj7m2Ijd/C+xKf6UXTflUMYJ0eR9KaAkP+ymjs2Qa8PoGr1MsfX6+w/MJwOy+uykQtuQ5jZFhlLFjx0tuZy8xuWZkpkEIEwkNaJXPoMpvL/+NxNB6D3k5RZzdTG1kXjpbcPaSGT2lFzal/jndwSmmzpozjveI/xqzRy0=</t>
  </si>
  <si>
    <t>OwEVQ8mvC17cKfljXayOT6UDN/keUbbsODBoyCZSUZGzLupy42EFhKLUFq9ZtmE0cGbbBfnidwFwv8Cdz3k/0lT4kQ7lWRNNO2fkY9og4mZawO1Ac8KC0rHXSh8ZzA7Hr9kGWJha8pIQRZ0XRBkGcI7VFSsROl4kE/kHG0XxMhS873BrYoqJzUBnnV1QmnUy+WXdgWMzb92QTxD8n66wwjv0eRKhpdhzYdo+Y5vEY4314HYIVBL2+MzR4Q8=</t>
  </si>
  <si>
    <t>FXUwEXjZc3r0zsTXRheG/b80uwsdsjD/ngrhtL3VhguIa32/HoroByb+t0MO7o1ZPxOXW0tTZFy36ENff04MN5RMWJFNfMufoQaoo8DIjGELbVJ7ThQ/tfR4w8FjoOepcntROsPjBUz0uSyqVq0JcPIWpEzRtj3HhU46nrx5a1jtxm8KhJuvcN5QSuSSdJzqlNAibV5YZ9qb++IS/+6sv5GdIDBkS3wi4C9tlwdYdaEXTfzFj6Z5XpO0+A4=</t>
  </si>
  <si>
    <t>oJ4WqhoZYfe83mnC2I24sG+OluuZQzVsERHJwCyGJZBsv8gsP2jyaegMFrlNMBkKlKxra/vQVPDXlUZCIEMMHstFYAnwb7/66ePhSDT6v8RAQDXrh2ykoWf/DHAgTAVzLO9cHC84y62UwAhcCUy6r7AgTPdovfgUiymMKLTzNTwVVO1eUXHN2uA+BzWO48n/Op+5fG/+dtGvJBcUrR79JAUguSJ2vxAmZSSoI7pk7VMZWk/3qKv/xlB/BX8=</t>
  </si>
  <si>
    <t>B/vpKAnnd1Fm7xmJFAZNByKR0sSjw5iu3/yrxJAK3E8NkPAYJVH3lp2fs3OW80j572YQI+gY9/o5KOlfGaSx3TVDhpRA9ozqrcbBNgFjsC6/ExHApfn8dyjQxb1NquGeMv0pou8gA2ySwukQQASscl55EPRLLqs0kakdAFPowy9kROxsKo7sx7jdLnYAwBYFxLvPCmVuPXmk2vIE7DqUPBjGX+BxRA47Xb8lcQ6DWqqTfiK9TXcacUi2o6A=</t>
  </si>
  <si>
    <t>BJkA46YyK3OtoiR7S4oCNcg/3yD0g29Ojx8IS+DJwF9mADdzmYDBr7In382u4gE7YNnH+fNs4Q5v1LPqfTIvoMlFzYmF85YXi/y4jFa/ofkHU6f/xY/LBtxKVgZAdAEdfhXAfdpQEdatgaG7QyRW9r4NsU+Lj+Omc4E6npsmVZ6EWifAAN1AwTii00hjzZY02/2CEVrm2vESdBqRxNTIzGa7Tg5Iu6X96RvHNlbHQV21pXChY54ycnmvFig=</t>
  </si>
  <si>
    <t>S7G1zHBUuWpjpojuXGWvt62qdOOaUo/kbC2lG4p+bABRsLEWDdkH7vVj94iyGK19G6wWerykI8hXDDVskEPclIwxPU1Dm1e0EAqNibTKzmUVPZ1IFIJR8su87onkJE9cjLYY/fUvLq6CEO+o7Et+HiGQp3pOKW9v3xsOFz220lHGF+DLT7h4FeOE0jJB0aQFpCn1y1/df7EBnjHz144dRyagKXKzjs32q6dFY/uHaV9B9NlLXDWQZK4fnHo=</t>
  </si>
  <si>
    <t>74pRIfD+IMRPRUYQDJZyF4ZTjhKiHAb1peJFAMJOZNW2Y6RTNMOoN+hdJJ48wI5g+wL4YzguXf3t8yETgGGg5kA3SMdmHCZzwr7ge4fG+LMIAlIytdI4OjCPRIG+37S7WELWjOjp2M8ckEH7g592uMz6x/m1rBXjhkqfbo6Twmzw9xdRr/8Ba1MjTbV23mGzAUimGMnorefuBbXHDM8Qsu6/biu+qEWoP64r8QUBwE8iSxx7mLZPUgW2O0c=</t>
  </si>
  <si>
    <t>ZPgGQLzjSE12yXA1uXuAdQaIA+CtVmrJg6RaX4AWLC3w8lU8I48dIyHIWQnY3xS2G6OyM+fu5IJsd/1WxYuIBJ+mWUZiZZ9/u7qnPg4lRsL1478s0aW8pvlR7WKAPxgWNffOp2oaWAHb1jAhVPgoBckZVmaHTpYZmSJETYA7sxagNHvOQnzFQj3aodLUmOQLaWb9AmCmXFLQ7Y2WOh83xXqdiQqNuNg3jc+Pk8aSz63ZcORKcb6lVsYAcoY=</t>
  </si>
  <si>
    <t>GNIJiLshddtviBTKRfHHmMnNK7BUywxNv1hXTtaR0dlZiYZ9bhFq953m5uagr0MlpnzMvXooPpmV5jDkU6xpUD1J5BBX6UUvGpIrIZ1O4RGhPxTmjjA3YjrUZNVQfzq6Y2MzHjhmIrQGB+Jx8Shc5eiBrrAxqviY1OZbk0emIo+Lc3joU5S0tTIOT0hB0uMUEGCyGJQ2jk+8ayx2Qf2fUL/SAhe9Ckdr4OQjqaOGmJ23hv7kD9fRJ/Dzn1E=</t>
  </si>
  <si>
    <t>RSlIB3q7SfbFIc0mclxPe4xgyDD+uBt0JoSVr9xe43oZySSDdkddMPRfEaOw1/a3Mrj59TJRrNlakJbRc9Mh9eaaW87VA6DHtZ4EQ5OownD8KCbuAIvnHZ7JnK3qf/dLjhqU3rthGL4sjASGv5YBD+8sdKQ/RlopMLi4g87npB23zokh8I1zX8jB6KJ/FygktQNVyP2eh4DW0SRlTI/9j5rjJjC+5q0/p76HbgZV26kmRDuLYP5l8mTxUFU=</t>
  </si>
  <si>
    <t>fQvwLm7XsYRYlDK2D625efcu/zvzgvBvlZJw+E+/nN9ZkeE3bQHsZlJFRGe+4eK1q2vt7joqbstgMI8acM4bhdiQ6R/qRE3qHe3F+dQkvm6Y5Wm0Z571nCKDH/TA44n4Fcbi6GEicOu3tO4sb/oTICA8JtjGbzdN1DFpgJl9ut5KlQxvYl6BARXCFQLaVCFPucdiochy2dM3TVzZRzgzdhH6yhB6HXpJ64/SoqxbOxeBXYm3p4OdsmbA7p0=</t>
  </si>
  <si>
    <t>Y2bjHtwoDe901wGpQcSbA8DGZoUC0gbzi1gR+cUPuLGGu0lh3FAa7sKqZcyrs6Y2F58jTbTzBAz7MdB/ydxRQNs5GB2rv9wj6sF8NNYJF60z/rxcVuNgwc3fVc38Ou5hseVk/Az/tBh1pCzLYfyfdIpdCRvcSk19C7TO6MzRhJ5iv5VjXebNt1FNMpcW+Mwkq+xRBnmMl/5wOIOI5qSyIbIv+nm7CIxFugf0B6mBn6oN8Oai6T4UenczTNY=</t>
  </si>
  <si>
    <t>kx18trXd1SFFJdqDu5Vay8RUr/aBfWSZMWXXCpw9PZ6yv4og74dBLHccVVC/qZouUxlbnklpdHQSzxx/QkSWMKqLt5nT62Gl+ZB1OS81S+3NmaBsnPeL5GWfbV/8wIxxShWlOkiX9Sh1NkIhj022Ig6ytVexlJAngYLQBZe4T5vd1Re0yHLz/PjLlGa8JCzSJe8LiZDWdv1U9DR4qzc/SdDNH8PCLqxcUqYEeiFm9pS4ai38p/Ymjp1rTeo=</t>
  </si>
  <si>
    <t>wfR1OycR3oC/mGIi6+/XGrZBPxtxitUvObE/yoyyfI0ayP0zuaAlsudWJMIbzSrZLTSRn9B/tr7BR8VwSYpaVvR38+EfcBxhKvOlXz7cSGOKUVjHwCwMdcQfV94iJJy7cU6BQkNhLnmpQt7rWRY0DsNYbnnL2jyHGcGwypozrEGmBlbiNWWuGwfHwfH/XgBLVpdYxeB0QF974pEsiPilyRxLXCyHN/yG4eW6BE1OcSsV1QfOfHd+RWBbqyw=</t>
  </si>
  <si>
    <t>1/nKgsvGrCefooWcbTcMOGSGmsDHVJuHystJjMH7bXBsxvJdDfaU9hOHT0PFUWNveaHyN6i1r090oQBvF0kTZSU6+1atAzUaqkgJO75rz/FzHsMrRsz8U+RMWAOClS1yzkAPeFQrVIAwGkK+cdayRGMri/GMFYDwaub+48JnmUPMtGP9uec24zgcpmoAGBg9doVTgegWW+b4bY8BsOoCanQ+sUScH2zZXT1qlfgV1uu4mGStxwwXhIaZD7E=</t>
  </si>
  <si>
    <t>hkNnu1yRKo3TOpU4wGJitzxMlprS9yqsExGS/t/uTXY1T62gofr337FDjjCQrF4g8Aj8hWBeWWeMII88hgy1wVySf1SQ/IVlgvzByfUv78g72soeVq++AF8ch8aOP1Vui7X9aXtsqKNvGKJDh1xNMyU9XUjY7PdzN+kkf8WBFqaAI25uD/YtMeK/hL4DMPNPgWLLXRHVx03o6o1RyTOCJigJWuhimPFUX9x5SyWtHQZogPFmhX0sff3kdjk=</t>
  </si>
  <si>
    <t>oiWREL6DYYLF/Nlv14aU2oNt1LeeB1Q4I9UXFjaKYFA0Un4R1Vl+DMNUOiyL/S28wr8cCqID2+GbfHhcV+KJ4zBkr1qWdf+cag/cMx1wXCxHu6goU0u8cwbaxXgPiufIb5nI00lY0HGn0vXJTyBTNol/klZ/DSVdO18o+xTMhPKrCVa2AcmmrxbbRb0hsHm8iPQqczGNWW1JYldEnQ5GFsBHwKBIw0bip56Kuxhn/LJw+TUAL4R76SJ5gGo=</t>
  </si>
  <si>
    <t>s1ZwjXSfTDinPVvx8AlMD6jZshMYGG8t84dLv+Kb9eoEsXwkyZZbJhWPbiIDoSXhRPROH+y3XFkkWWNcFfsPcIOLmelxvjFh0ETItWwsQONR66wiJaDwvzgj5Nq0Xtey8+UMSC1PCM1l6B+m3MTwF3roTT+zNHnxC2trbJFsg3MLqVnc0bsqIak0c8T7Ji1yItXS6ONyL/x3tNmbIUXowjn/01J+4TMgycNmlHSJCYeh9tQTgxKpVsrJsGA=</t>
  </si>
  <si>
    <t>wZiWmH02MZ6C1COrPd8Q5TytdO3LML3ydWQQX/DJuE5kVhx60OPnt5zeQQowO+RG+UoHX24SivcpRj7DwyCOaDLc9+t0PggbqqVkJvO/q8ggpKElwV1a7qD2/H/eC0/aU2giGEJR7mAoXUC79sR002NBq2f3uW+83lBiLjk5Rzc/u20kMixREO2hYDrug3CbbQNvVasFeVBkBpAM6AaSckRJG40sugyn7oRazY2IdGDcUJodymj91FhAvp8=</t>
  </si>
  <si>
    <t>zMwC84fxJClHosE7y9Ee7nGiqusSGPD4rLMVG37w1JrJ6/1CeRbMF8aQhQnHVZzOu3G9xc26vxLFOro9G2Cax8PLxFM/1Dne8cRTKRnKnQ2MnHIMbGu0IzuVG5kSDjinIIPtI+Epvptgjqn8URA4nhfE6EpMzRJ+SDWzjAnZOXDs3uGJCMn/lGrtiRhq/lofzOKFtStPhMCP9kUs/oLtQXhq9l8wy1IjH2HlsyUltVTEZ8Skjr5gOUMKZ70=</t>
  </si>
  <si>
    <t>h7XY+oFrmzQMBU9oM6eOQ0CANHfXn6uhjeaFvKviCqCS0IDiDfIAFUBCpa5l6guDa3vsR16JqwN3zhes9D5NOcpkSYXb1xWCsCD7UzpBNMyu2YjKJ4Hzqmz1VXYuxnNx9Bh7vzjoWMdj5RBOlqKOSenhhw7Wc4DIwX3fexSTd85SRIqymcUaec4lEkkGaNh4COiIU+3PRJ6FxCVsbLaHwQDz9MZOPVBM1qvJxPrxhDC0MvFXe4lIZf8WWWM=</t>
  </si>
  <si>
    <t>7n0odfZxQZEQxZASCrzIeVjzNGbTqznsI+2IIjaHZmuu99UwPmRWWPCtS49xTKqcu6IwVFwcDX1HgYiDTAqxdSkKb2n4QfG9ntC3fWCN0dmI80pEFGgbAGxCHkP4iT7F2cZzE4a2RYAtsA1RVFCN0YJNWy5vctLO2rzQDxsyHc9YGkNRDflDJEuMQnBaMU35JXAcXL1o7mpWRyAgyhlIklOnaPFrqOEsgUpbTnEAmTnw36DFgvWOvMapxDA=</t>
  </si>
  <si>
    <t>dB02XXn+bSmxODLTeYsx1/UsM7VxTXKl3s5VwHINEYadmPaGaevuSjCJyD/0s6Znl8VXqTnGs8dUa8O4iHrXV9dIi3OOg9vx5wHUTF2R0H3T9j2Y7x6K5NC5wLSB6DWNBM6w/l5LMkHacP4lZu9iQOKe3Zlw6YRhlqD1mBdxec21iS5LO4/Z+h0OJRuZV7+RHxz/x1geOAXs7yz6gXGZVEysZ7tw1GkuHc7HCpbWLJ9McrgUTEK8EKZ1tUg=</t>
  </si>
  <si>
    <t>wakh34topG8v8mzggkr1mvRfY5Rx7tWULgb42QnSMtVhVDjYGmwnrYwEBPoplxNV3xW0D6Ve7dUYRJiU8rQiFivKqvtmcEf8bh4Z+CKve4+1B8Aq0ChbnWkxurIh4gflOu9EwRG45s51R4vvSaB2xNiNX2Hy4RJTdenpbDGIqL0ArOMcD7EYg4TlA1BzP4ETmNOdDOtzIed4gMRiKuql0z9GRvR3WZeRvzpBkD9j6yAmiuQOupmhqEbe7j0=</t>
  </si>
  <si>
    <t>Mp3xGnk4OZjzuiIY4Job9H9VXqRWbyDH+epE7gAhPcct7OB8d/A2o3/r6UF/4mlnooftFHFKG+hufCQIB4/6qf6udNKnh9/s/i8wRekkKxTEvLz7tQ5idRxrrCquF3+iqevB4xreLfOJSLNM6QVn627xGpysvhWa6LMnOF78aIYRGyTYoq5+kv3P8tA+fcC5lv79+JAS2wvYTQxSJtV83ow7DfmXuAQ6NN9yIU5wFpu/hJ2e5gkOD8cNmg0=</t>
  </si>
  <si>
    <t>JhlEBQZaBxg8snQRRWmVNXVhYdfSniiHe0FzfKHtPGKhUwrEaZ8A0wBgEOKfp71s7eT89v81CMYKJ0CzFb3INsyk2KL/lOzG3TXBorIJi1rTvR4GsKKSIAv8/Wt99PyKdCzF5q4RbQ29mhr/OmGWvpio7P9FDtz741rQerZYqAAj2/At6gBAsRGFfobvi9sj4j+lys4l/p0/1Er7znp/ETJns6Z5VE3k0sKCvOG2T1druvpMweXFk2qBV+Q=</t>
  </si>
  <si>
    <t>Rg6F3OhCOhSbc4DKxcrfra7O7JOO/QNmRYoGPREEjWqU06IorC5fyYh31jfEgVfCZj8fBNxAprVbmGZuWWYalnlIS/wgFBV1PAn7bqZUk7cyKDV/QBcK1JAd9VSMP7vqLnIDyJpg+nXUoQN2wwKaYFCqjeR/EAFk3XE/JoPlNUhjaudD29hQxNJTYtZVO/f3aeuM6upbrtF1zAWs2Oe00gWi1P1wrqCCo0feyW1fEkfMFZNmwUfewUur4zE=</t>
  </si>
  <si>
    <t>/6FkV+zg5+F7a8qzUBj4U+0mea+gupPi04Lgp/9ArcBf+qOxmuEoZZd0+v6WCvoCPuXy5Q2BWOXsyEweojVZuJi8gFHRA4O05xAR2SR7ljfZ6OZwVigjDHUP6bN/kS3h0DlVkBaQaCjb1cXl8QePYEJ5Glj3iLCyRD79qvWHicVvRvhQvZeGUnkGp1JLT07k/R9PrN6kGs0qhmBxXhcNW1OWOe/HLtFwWkldiYD1nmvItasabvbd/iEQMGo=</t>
  </si>
  <si>
    <t>uCRO6xy4wDscKti1rtRyAsv3cns1QR3fJsTIHAt+XEzR94ET6qYkj7o13HFcCd89VLUZ/PcyJdaGbP6GUz+g4PGzQMOBqcvw/FrHDGwknKvVvyvoV98+jkbgSTje/wyJAUJcyTu/u2xFNsGnN6AtX5isM+7L1cJOVvjcFyJRomPR6H3Em10PWDTCeEIp6cg8xBKMUazQxNxHJdI0j5Uv7aSU9hiVZ0dxrjcdXH5K/ek+l7vjUCC5tqUZkNY=</t>
  </si>
  <si>
    <t>ge5RU+2KpG8uefROSdZDPf6YZynFm5V/+30MQAGdGbIOXnbjaZdVKJRdnjWLpf6p9Sb8NE8Z2oP6IAod+08O9UasY70oapTsA0zIf+6iebUlbxgN27mLNjMmTfeila0RfRed+/J/mWmLhH4hCXEW+4SGFGIV5T/Uvu0XlofFPuu4mYbx5DToLvi4u05TKIb4Dvp6oR/Ewza6Bn5aOsqF1QMHcVHeaYpha7gMk1g7FDnYYNhB9lbFL+egkKU=</t>
  </si>
  <si>
    <t>Bv+dAFOvcaeH6UcvtwkS80EXG13m6pMT1p6Q22ltxk2JzNVxjv2AhywgkQAmj5rlT1fWvXDbIEEM4ecVVbN9rwXRBY4nlzUCqNM7tl8TZAVzdIxOBRvfz1x+mx9HWoMsqR9MLHnUJ0PvjgXIO2/iqup2g7Bk3n3KYhn3qPDFslgz7XV7DIszJg7RCjUAReXTrX9vIYZ+vdSph04N4JqtnA9+gLWbTQ59iz2llQ9HpfSsZ2scBjsaYcql1d0=</t>
  </si>
  <si>
    <t>foUDyiwCTT3+XSZG09IwCrdfgBRS+4e5G1LeHkY7i0/M1phii8chxL8kbit7qQ1uhOndRHfBamBUqIFnnEGuZsUiT9ywaI/wWlmHw1mskzEsrxrq8F1sKyfr8BJaUloiV1hxEbuMOvFmnW7RG89NG805707qTezhbpj8DDhNoJdSo4CuRtryU1DNAnV3j5vJnOJxzr30Y8ga1DVBc4z2gnGBXhu5GR618FjRJ8jnLKxHx3hS5ybGAN6ZwPk=</t>
  </si>
  <si>
    <t>+1Mbw683nfr8RrPQ+XBbvzjiUEuaRmtKwDJadFr5AY0mN3XLi1wlZfyJM7gsYgNkcVXFGgQfIL+2PBc2KORPzNmAAtx2oM/CURJpiPiKVSGlGhoJdxob7ROBlgtNLfE2NmhkkotaeVJc3bFTIL2EX5rIoxUnWQXisdlB2azg9XYgD6peq3YCq8pJN4UOelF5FeJqK3Gw3KqdGLH8OfYRG0QBg+y7nGiYSu+5KU/1XtzDSHluErabr5o2k84=</t>
  </si>
  <si>
    <t>nAz5VVxq3D2BZm0wfpY36SWwYd5nuwTmdoe98yMOLXPBnWX9y0wkOQFq8r237vVeVEAjtMfxevmNQ+YIdv+iB9IPktHSQcRAy62YOvrM41fjv8H/KqByqI+63u+v/N3VU/VAQ1uz2BVos2CNnd01R5MQZwc6+9hQw9KE/HPScE/RLoEUm1KLYPHvGCTpEXEN6zVqILOtPLweNpgw1wdElIkKUE6sEvzE5b3w25rgYAXU0Jdwv8UiuoqDCFc=</t>
  </si>
  <si>
    <t>P7ZmMukIGR2bouqc6VAiqnKF0Vd9P2Z/2y2MhjNJAoo7b7Ayh+vgpfk5CibBe07ud7uZn6VVpxsLfNJSCSNNTvUg2ViGKtZbw+WhVGvMzxJD3oSc7Acfig0fJN9itUhMtzLpncOur+mgYhcwLyaOTfAAFY4aPzA7iIx5Zn/puILQJzKT3xHxCqti6UX0Yz+frX03ilQMFWAHDZbADjksBHWsZriZEP2jRf2RjUgOjrz1ZbB+ojZ2GXJ+bBQ=</t>
  </si>
  <si>
    <t>kzo/71ZepWl28VZUgRVSmydkJ6S81lUKyMiA/OI3LX1rm13/xr458uNnnNn2gBm3IIsCrtc/CVp9wAlRi7nf+haDMkjMzbn3l13HKq3IKSrXxtvwXdM/YoMx+CJNV8kRJ3C/EKVeSRKtPtJPqI6Tnelb+zDw6GbUf1ltycSDuUIRwH1s6DNr6Au4N7ENW21ufT+98cT+uBwRWb/IPkvpbe75RBxh0zf0PvHqIdFGS++NLNthktApxC6E1gU=</t>
  </si>
  <si>
    <t>lc7r15jx2t1HWc5XlP3mGVhISMHSrewfjD2oocsUcDIHwvFtHSupGTx9AZy5q52Sa5dvsdX497M7bcqFB5yNDhRDGA71zlakcJTeonPA7S1xrABzir+5CS9bOZDq56EIjPMYPuDlMN2mitlNZqDqwu7cMJi/YfpZIekpUFAH05DW5RbkRNQfMs7OD+Fri4Yu6faHr+zzwS3TK770WEv6l4BzgUo2QQhd/qTBi/UZ7nnejx/eUdDhm7Q6FHM=</t>
  </si>
  <si>
    <t>Ba2Pan3i+ImtZTLPowiV3FyRRtevVgdXACD70GWzlzFn7fd7gCiZe/1EZuhBr1QXX0X2cYLJZ5tSla0gfvgkILl9BbzNxwCmedcxYTVctkrvJZLfJGPiMbtUFFXhigS1w/+n+BKI6h+dWZUEvVvbtoF18RxyqzZihSMNwrcBo+HpRnPy7M+G+rJdPQBOmEvjWn/JgwOPAh7eVXYwY+nxnVwmymnbMuJqKezFwVlFgCMhLr07yIc35pzz+YU=</t>
  </si>
  <si>
    <t>sb41gonPTokIs736IeEIkfMlwkZR3KiaaFPKgqcfwmCtgQoVdSjNCRvOJYka5tHo/+2ap4By6wlUi0bEfTBK9GED+tRckSvLr1eoVMPCiWjudiRcyASfaJKP4j99ESp7fqoL8sYGEgAcrxZOU3Zszk+hVBWUUXZbj3oS1QqMUvSGEg4Vkl2MHW2adq+qID1oGeeCleeZhTbokXoXXVGFJnq6pTgmyJOjGPwCqu2u1nYyx9TO8G5Ccr7LKMo=</t>
  </si>
  <si>
    <t>p1CQz0zJZVU9BzqQ2/rg1bwzr0OrGx/i8zHJyE44VpPuu4B2kjwJUVnPsqHTm5shTUOOx49lS3gMWwBIFquLZkQSwSK/WeNLGpghZBHoWfAHWMM3spyY/BIuztRMObObBS+t0TnHxpSQmCgpRnZEQaTZ6WM/gsXbZJEj1TRmXmPFmqEIUEMGd/7ZBs0xlibz6ydHTue+oiXIwbaWsb/dA7HhjDTnvJ3JovUKIm95OcqMKCPkLHA8EQ9N44E=</t>
  </si>
  <si>
    <t>iP5n92fcuy0a1JP1yhiTWZBdBd3UoNz5SemeyZMlN4w1EK2Tmwhbo9K/oPGV0cip1Y30ymSa55IQqiI934O4iTaKRJ8UD8rJMWxK4JdGOAoGJncmB7JcVaR7c8/qyO8uZXpZjxQ5GtJ8kbHxrxauRuU6cyDghqWJIkYtGW9CvAAaUqcu5Ic56/yoW9Nb4Rjk+F6uDlwEJfjJmpNDmQoo59yXR/CRPTKZ3+7F5sK8BhmwH0JIxgmWb2a7I7Q=</t>
  </si>
  <si>
    <t>LiEIUBAA597gjq79afAPJvXAA6XQ3OBogupmd86AH8q6zRBzMP6FAaBVs85RoC//p83WzM9RoxwsfFkqIrpaDSdNSH1XUS47/O/uYemg/EZ4PP1dTiQVOA41vF0YzMyQphIopTHtWdLtBEKsrswF3T7CIW/YHG0wxFLmZzKsRKcThyFuIaSMBMjm/vguT36/At9zaAes/jSf5IKxoR/s0de4ha1TJdfYyCILiY4GoMLzUqMvnRTM73dyklg=</t>
  </si>
  <si>
    <t>EitcEV1w6Co1jeCY1RIw55SXIKbh21R964UWYsIFXYpNlMjtf5KLyqC4oaDworzuLkmhTJfBBAg2zgGk6DDRh2dmbUHc+IWmlhtK5xpAfWoLYGUT5LIM6iTF0EwKXtZTFg0tiQpot1q6/H2l+zArfb0F4mQ2rWfXb/79+0M35M0BcW3r2BKaalpS6l80cm6tcwVsGtKBCqb4ogB7dLVpKLcZcE6tH0AhL+mPGEM3ZkFd6cII9v7++toOf7o=</t>
  </si>
  <si>
    <t>pLfHL1eKsLu3tUlemmzQ2k/DcOdAi4gCpkNzcDTyOaCyXbj88c3SjxhPbRD5cKEcgsP4QyU8nhSI1YQR/JUXMM+k1Wjmc3RmQh7Jzbx6maPnkX/HQrcOc/bDFyzDPDF8mhC6CNBM12qSVgUHHI4I7tlBplpAnMw/LeVo/HdiUOuVccGpTT0q+uHkk1jsH0GbwcIWjvGs29M7Zuy6yykuBl72SmxlybMjxNnvSarAHRH+XQaUpwiXq1RSZQ8=</t>
  </si>
  <si>
    <t>zExn4Z1SBIaTspbWZUd8hY/mQ4t/+zwZofuIqHyHSseXDWsJFlw8oDU0nG0VOHzSfmOJllhmnlHn8HjavpgLC01PUkJ7KrUicyl6cF77/P3BBzGTIv2mD6S093R6QwaHv1gY6ob6cjmmgVq+1hhHfMobQF5qd8Fz7jWCeFBZzDF2ujkWP92/6MuT6c/hsvPQxIlzGDYWIpmcS00A801uI6Plk81B6XnMh6VnWHoI2A2x84o/qOkjiJJf07I=</t>
  </si>
  <si>
    <t>DC2Xu+a/EMMh9OpJ6GBs/3/hifvBQABIrPKPisaSFMbeJYsJa34DxKRbNDgVxLIPy0cmqqgi48KeDO+F4Mv4ED04q1ifyzgzQwPyuEuNNRb1J8RlFVkkIIPWx0GwFBthbbvUEEXWnMdtXx9AF2mUqUHrgXEzd41THmgwRjWQfzlIcLOed0MHQeMlXLATaUaYAJRqMIwrCvquFLO3Lu46DMVm0P0Uz1yc/k1YwKdz9lRdhSvZFVRYZI5noho=</t>
  </si>
  <si>
    <t>OKvcTXKqqFlXnNmaL4rO6DyLWp2Fe8uSWGEmKPH4f7pVmln09Y19FvH33csWmtas/Dae0wwYjpwZhiG9ihKgej+5oQadpbN8DOyBmx3r7+n8TpusHNKke8GFOn/n5ra1jSmA6ZAQN8yC/XTqh+090EfR7WuvYlqXihql7GY1LM7H/2XnDkmxrRcQ6iaV9P+H1c64YGLv3EjMVysGBzxCgVycXRrtlHL1ZpXh76dZe+0bdaGNHVMgQccyKTg=</t>
  </si>
  <si>
    <t>roMEHNtoxHhugfLhY+u3qw9IhSLgqq0zpUXBr4Qu/wIWdUGe8p/YDrzPsLl9z3rK52xiOUf8hmRtR/++5a3TgTLizDSc5NGgdtT4/CwvDshJ/siXFV3Mm8RYJFBT3fc0a7jVC49lA/ncAm5eK/K+qlxfxpw9j7QFPO24ApkSGPXfBOwAd45iyM4WKdCCbR6kjnLRAq+CkZZx+cb1jdpZ4xo8KvN2n4kmxmoTrq6jBpGtiveuvqO5pJKD/mU=</t>
  </si>
  <si>
    <t>lbnMcx8RsROxOEa5rEN1hbp4pXYTC2jKgmpzWrK0mvgcozjPBpbc2Tab5w5ucZYcsvYoW7X5pdC8uODXTezBKz9QTbz0lkvxIM/q7M1znw3gAfbAQCy0Ry+WyJQI1FMZOUBD/arbXYHIlz8yppn6n9ffDHKHHdc1q6Rngo2WnqrMUOzdxDEhblM5A6q1faVa+sDu421CN+LWBdfGShnzGDljz++6vKi7zq/2/0ny3nfVlE4fHLEu4R3Er58=</t>
  </si>
  <si>
    <t>f7PdZ2nMVbaMQWxeSIErpyFWkdnuAI6VwR3xSgyHDNFPHfguydqVvv/ZXCqOyXjtWlMpI4YlTbx0F64GNC/kst59vkefTh6pybT9jvStsAqB06E7cAsBuwGj7E/Bhn9i6Vi6N7byy4G0xBsq1lQYIKxqpSuhuC68HLyqlNWSynyThN1CRxEixpO6p1DTga1jXqRCc/n+m1SkukDPdcqch+QpBKcGIbNMfr9Ve0IsbGRdeRU52+q/MVTVot4=</t>
  </si>
  <si>
    <t>uN/ceWGzvoPoipGs3a4pQ1dfr4ZgkvLAGXB0kLer1PzMi/rxxjUaMXDu8BScLDKPCHkXvSUJkv7MfvcmqtC+kx6fob2ebTwAkwGcFO3ynvJNvRlfxQM60/hCHZiYyhvifTGfkZ6bC5hLfqjqEms3i+i/bq9bxxIOiV3fHW1nIk1mH69LttJJqewHJ4gcSPe9Iq/xeKSmbVo5P/gyXZ9tFpUwxUFUPidqdCx42zierq5YeaJgSQboZSOTSOU=</t>
  </si>
  <si>
    <t>c3kf9run8sZHiODw0S9ow4OoPoYNlqzfRyxyfN2tE3mD7UYsOhdlR4p+XApgwH+7CP+tX/qtQvRBSPgIwnOJ8jGW/mHhhZwr7SGD7yBXkxQ7/YVMjmQyQVmzX0f9pIJNUXl1vpuQkExFN+xD1M132ogVpe4vrMEsp7C/rmfb6/Sfr6DXVvt8QRs+EFNDe9VC5gloLXhtJdteSgREO5G0jB5CtAil9vBWpjmLcJp6De50aSjgeIDGksQba5k=</t>
  </si>
  <si>
    <t>vxgIp0NCcz4JaDwQ28OIDzObyyX+d8NijAPhJtFJYoIiOq0pbB4Nh8moqFzjKQCA7aYZNDnkYn23E5dZWXo8CqtOoRBN+TQEGlmAcbu72/jt3H4Oxvso0KUusk8XRUblkGOS1pqcBhPFVhiAkcu/N5TU1ubCxAPGRdCJbiplZw8lWlntcojQuYj762dJu6mx8oAx95UHtY/EbXoSI3Xg09z5EsDa0SoitnnIAM+jqWOk4/m3cUQgdqv2FpM=</t>
  </si>
  <si>
    <t>Zd8klhaucvc0QuGOT57fGqvx9G26xidB7GpsHNksq/ebYq7F3VPz4S8D32Prx4wpV5KG/7knSweVlTj2NW1Zz3jJyzGcJlRwNLhDxzlvjnunDYtc2ge27raJlsl3v/Rcvt54kkAcnrWxhPJOCeOrbrOAnGQ6iIngeG96uil0mgzIx644rPMLH5z1BByuLofR3wX/LF6DJ+0OtZFXrFyUCxwsoMCj6tfISINOCptB7y5j9TeEoKSwutyIyS8=</t>
  </si>
  <si>
    <t>wFIOSMor8iCayY50E5KbT/5nt4E+T/WkS8fCRrARrDEkfFMLQ40THCMTRzXJ+0VpKsNvhGeaTwPAZPtiJ5p7KsCKc5Vvbi7vLO3KmzUdfQ04hQ47uCVC18xf5QSM8RZ591zcfxYdnW6ks6JvVdoFwA+YKVJfMKxCHLVxDPwJmqpNqTF6s5aqKXh2uR+oc+fi3kEVWwa60r3FFXs88mOJysz69Uobc0TwrK9BxmR4508SOPXvZ8F2Q0c8iSM=</t>
  </si>
  <si>
    <t>IFd6rs+/kucrlvqZiPHSUO2j5EKzi/DXs7yMLCprV+rNswz6mHDYtPSfXuefBNlbM/rjgsXTJuM3Ntb5McFbAess3br31BNdZYR1Jf+lkTtBbfzd/JbOLzbJ7JdBZXH7iLJ7Ib9tO1ITmLDEAjBsdeQjhssK16HR+XW05VJKNssHZMTovrv9zvMlVkKYAfWMvSB2L0LJ9jc6McZ7uhp0VFbkEH/GPsGTTC/5bKsVAgB69B9Pp0OKgG9AePA=</t>
  </si>
  <si>
    <t>NqSnenZvPne3MU5UuSJSF3vS8cjnz+jYcgX99oaKMIzs2UARsZQCOKSPMo8FP5nkthLjjcU3Eupt70iFzr7YrVEijyIN9/IL8babIUbu4GUTG5if4Znks0hsiEn20W7n0jrYusbtDwRhn6gJ50o0ixxYb7+uT6cheJsNI8yF80aVjvmp5eiBK8m0q1z8nSffdiT9hcEbDM9mQ4gc4daAIogxYQzfoNDxMLxbXTHAZMbZDBvqAwxxiktd0Yw=</t>
  </si>
  <si>
    <t>Wqhs07A8qnJ9B9UEoQXG/5zW/RPdep0+mUaTd33wcVkhMnU2hcOPF5sgI0CumxHLSQR7a1GPv8+uuOePtfi+K13jZyB++MkEDyOeAHROahuuMcovif3SumTVNFcCNmI7WQZtd1DbGz8RBqAt73bl2w4mwRy0qV6dusqXUtfpvY3YJDKN7wM2nevcsxgWh9PO8rcXEEtS9XKFBkN59Fq1SJQ+fW9cWzEt29A43B5t42X4JQu4DEOWZdpjM80=</t>
  </si>
  <si>
    <t>+ZhYncihyLyByQMNL7PzXs6sV+QLoEa64kgZM2gxiOmZMEKfM9DJuQOdwTOd/KIyOpG7eqzyo0T2n+sen3irX1Q6UERCZTr9FBurxv532duwi5MwbRbIRMwiDAb2oem5QTmgV7mJE+PEys9TYIgwtmXmjn8Z1oswBqNBgC+GJTf96Pj/SuXX46aXo62gFyFGrbhDQwQPBSAMMyNqfLcfIV9Y/vTws4pXgYWf3wCdR4MLU+kRMXJQ4eHhTJE=</t>
  </si>
  <si>
    <t>w12+e3uqKBiJrJPr3JS4QdrbkVu0jvpa3p7rnG6+k17Wy7oLG4CeuiUdLVyjwzMsowQJ3RlX77j2lsbhvPO8t5dL50oC98e41o+oWJhW76wOvSuR0y0tHBw5OOqGzv/qNrS0uQ9w0piymL14Ov0QBrs+fiSv9flUb9jlceGXSXYTU6nhTYoGC0KuYSuRFTsiuCVqT8muqA+45BcfFRmuCG3MpWrLVgpJ0xrse7K6KGZ0y3SN5MgttOc0Zas=</t>
  </si>
  <si>
    <t>GwwFcAr8FV8fO4mk8zEGe+ulHHebnf6KP25R/CAPHzXoZPvCrteKb/rcvZf8TG9Wqh1BWRbU1eGImnbjyvGnAWGmmsa3oKHLVSnX+N5pNjve0y0j60GOvVjGmFGVOODnmwsdVp4wTUnO/Hi8jYm47t52t5XGLOqLibw9yuidGfyALOxjZeLhHt2HRvfhG7S/yqCaTeHpICwFsuIquPi8CVtyyCAaOUu+KBi4WLXWAKw2chwjGNWGD5TOT0U=</t>
  </si>
  <si>
    <t>6zH3/AVsPVOzM8bQGqHzKIxCawdEKJpIbY21SkRKxKJv+wAxdkY+cTm+i7ieSMJu39pzvawj4om6VuR/NmY+A7yclRNAAe3KXQ6TLKUnCFIXOXiCYI+d5H2hn5+HRWKyTUcL3s7iIMceakteKiYawWvwphU4HSfkyP6C4BDZBlH/9pCLuFrxIhqO9CJlB1JYn2xvMJQrEib3JSdca5t+6xpUy1BU3rQDhmqFXymjBlCc7x16C89iSKXjhbk=</t>
  </si>
  <si>
    <t>hlCGwm6CNfqYnJRKBX0UVZZURCdwYjskmDhFgnd6Ky6DCTxhTVBsWypt3SUcDFBZBuS6e249etn32qIW7V34RyM9d8OXqw/qAjS7ROYar4Rp3Pz1o/rCkk3R72x/EmKt1TnsC0H7Inao1GFGdNxvvwAIm896Z8icA7NieD3fXdN3q83JxQYai9KbQ2uTpitKVcetcYdQhfieJg0VdG9su0eIaMatLbyFrW9fbz695si94FgEKBaKeqYaeRk=</t>
  </si>
  <si>
    <t>IXjc4izEGt/3nC/RKKjKfk3VtLpEOB///et/+G3ep69ssNpRsbtg5M7m4+3qTCSjxROXhvC2HnXFmW8ScXuB/1JdoMpSfEXSFi3jc4fp+bO5i2o6oDQNDYVre1Q2Pceo9xIUuPLdzfDEoUP8cqIxx8LesmpoMRYAjJlyQkHgyxkuoeQGsdZl8qjPvCSq4a7o6LJ28alqIsQfZO1LHIB3aWkTe34r7PBlp+u0Pv3vcm+PSWW/iv+vuSc8FF0=</t>
  </si>
  <si>
    <t>1uTD6IVE/4mKd5BV4nH9RgeACtOa1aO7pwgmknbRaEFD+oDW24LP4cVuDKEkxI2DuTDVqZmmO+UU8TSw9HXddhQQJ39MNt371y6mtZG8YSLcBScR0dmiPtbckzAYXAObQLpG/CCm0XWrfBMiXJzy9acXACdGoqprtZI2T+h/wp6r+jJKW+znDNP/NTutArMbcMvlW1T5aPmS6zjVWMKwWSFj2V8dQ3sNLbEAcbCu1eCOIPYvXyrOgILT53A=</t>
  </si>
  <si>
    <t>YLM9MF7bw5SXauK9zPBawWV0Vhg6okRQ3XaxgtQ3gKc35M39EaMzjIqFfW86gH8K1Hxlx1C4vfLrk9dYWvob3F3i1VzWbHCO0OD9tEU0J/QKw/9DMO93HsMtD2OcmvpesxWeuXz60l5305pkgiNoT7dZ9cMNvB7/P/9pJfg3CwooC8Gr5b+auc4qVAQATfJVKQIYyvztoyEgSrdnb3QQAJYJZ1oN1DOr3TBHaDlPjiUcu0AGOyXJgOq70II=</t>
  </si>
  <si>
    <t>0C2qEDrk8loAx3voM39SzmjuZQils59E9Ym+Uh1e74omv7IO78tEbK7ImejJcD79ztHAVZr225+B+MHLAb6PSwwaxVqyGRsNVV9Z84tkMNt4XERVC8a0rd7dh1OpvbuRjOQezQzCffMytO1ivA0IDBWvkIuPG5l6xsozCc819pWxWygbnvCzpXcKgbikINNBv+0257MWNh2U251sdW97xve9BEnXSfMwb255jBd7GO/C/6yDrEGCkGQ+SuY=</t>
  </si>
  <si>
    <t>gJ/y9Y2rFhpEc5rIpxqZmFgncTrxPQmuP0s7XHy9B9zb2H11KwBSlxKCmucLIX/eqIAP+4iL2giAonPuK+kRPfq+YrpiOZghpNK4MJZgs4YRlWMZqOW6WNxaVX0oWYMikjV+Sc7Cf3l8N24LWIpBTgOE5GQjIiutRgoyjuFs4coLAG5ik2zFp8o7MrUaCQcWxBiBSulKWJkYfrd1gAEvG8XQGbsmdAo7GlnSc6TjoCzrJA/P0nDF9WiUsoc=</t>
  </si>
  <si>
    <t>GPA93fAfF9c7URdETZz29uJesh0qbF1KOsScJQEx4sMy5eHBisMqGo2K7mJKLflVFxghZX1s92F+gVyrWMYSDYgLnvrYsMHpaQfiKzXd1uuWdPKu1M0mAqeVg1OWE3bI7JWea5wGvu2sR0I8myuN4i68FkCQ9vaLq2QMpR7VgPpRco5Goewm9fXYUQY9lFauPJNJ7HyX/rXutNOKp9MwVsQf+/WEmm2ERaV9P0L39z7sRZzKWMExdjG0JWE=</t>
  </si>
  <si>
    <t>Y2zqS9Alln7Zj4jjkVANyrsrdJI7ZX4a07xgIIVBSE3mUlGALu2zeZ0aumhDj3Vnrom+mfEKwNqcGZH8qZ6UPoVj//AcLZuWsiMTkqr0W3LvtPCIvNNiLnO+5rw/GUQjlB/c8jvLAqhQyTGIFefyhGy7h4vxtK5etDphkkaquLhlb9pIHLdYDXD1pCY6ODFfVxw55zr6fwfTtfJDhbXq8I1wi21HKYBWSBxwxLnpp/dMpXaZ6hZx2jAvRpc=</t>
  </si>
  <si>
    <t>vPho0miD7qXcTg0u7SqvbN9tC2SFcZlZWN4xeXDIbXrPYKurKq3wZt4BYXRs0/BaqOLTdm7OQ1MKIB0px7dq2NoS57cw5BysiEJosNDA6/TVm93Q1+BTYn+V0Hq6BL3ym+J/efCiijkuTuc4h0INA0F83ZS+LJaW8+41yy/7wzq414uhkNG7FkRIp2Fz760rhYMxrmpapcAGr5O/tONj3I8QqynOnPb0zluKqCmEt4mb0B6REwDZ9A560vk=</t>
  </si>
  <si>
    <t>N+WgUnwudvKda94vkStFTYL1bzeDR6SzS9LYsTvJJgNP2GZvCeSfgM+XkvPi3J478uLwfl/3XDEJib9H/OudUfPu8MzD49F0z66ncJuDbwMqb/kwvjy3zRn7csiyiTn80Rv6ie2aOt0sWhrOkRQ4r9vFx5pP1JWwegHVJU3Ax/bZgQUi7vgHhVKdQlBs7EiWlHGWgLUdl8Xs2K0b8PCDEHCu0FNyV3mFuuAdsoQNOvONfN1jyDnHwiCJ21s=</t>
  </si>
  <si>
    <t>06jFFAMzxIVyLoPe7b1aACyqfVucnwccMqalIpzGRpLYeLnlBlAlo/riJVbdpQdr2vaxsfmPVRd4zUL8hesqHeTzMqcU2qTxtqIsG0wSuRzYiFlOROEPoBrcvCs+hL/F//HcKgxJawCtr4bzBnRd86gcaturQjOUsWdDLewPKWuti0sEbeoj5TOUu4CqbGyvW2FxBFo49FJYFk3xGCs+AkrbSjmY7h5ha+Np+S3APkNahXiidjYPLA0DRYY=</t>
  </si>
  <si>
    <t>cG7DH81vhsbsY80CZqjAMAHgKZLPZyZv1SqV7Bzzadrwi5C3Fm5BBtVtSVegWv669J76d0ZOjEJtEFLna/cR9ZEEtK91hUC7FAng/T99Ojj73GS+sC143JXT6e70AyTBet/FzRA62mW4KPA484afl0FQ1RgANKW1nNjywe+C7uPj2+/v1ShBGK2CZY1JZo2oG7fFnT/R72fPTaDhmiCyVTwSb59Cv56krqXeRckC/278bUZYNhMg0UDMkGY=</t>
  </si>
  <si>
    <t>/QhJ4J5Ky3mU+jGz5h5Z0HxZjCed7yzAu04JVwXCbezAP/k/pgLVhBd3IjF/onWRDqFtBL20xJxU4pSdV2HuPfQykDWwuayXJ2txyTVkEfVuOEPj6MQGCMI1n0VVUJoWW/KPhQcSlWDUAsvzeZZK8QbLiXA9mndLum+yzGckxopAkKK3DUI9bKXITg9cwi+XlZObAxkndplcL7RvWzPKDhAuz8e58RaIt+TKZDLwnJJq7YZ+qalXulPiyx0=</t>
  </si>
  <si>
    <t>QDkA8d4hJuvCaobZJ1RGx5oT4jxSFBXhSoZviUHtaXDeekSDfi8oeCwlO+omqe1ADS040Zh2hVxwj+J0QQRhWz2htD/VGorKMsPzG44MWO8yNtmBWrMphi29WZpmZPZi/lsh1ub2U2/Ut797AgGsZUR26f91FWDnuhkROrhQ0BzysVzAp9N0jFQprWOuVhGjroD+YVS533IvugL8D8eKxiLxaNhjF74WHVrqPYAWhXDytoZkWeQTgwu4B00=</t>
  </si>
  <si>
    <t>rfCZQCYUMhYK1ef3ifnxyxOCAEx9AaGNZddFoWUYbMiXmXVQx/ErolSbTjC270r4YYF5bcBuR/MqNYOIoCCKA9XpdGFqX8f7ycWNY/wzrpta2be0g//S5480NrDbMazEJssPmf9i6KpyU+zhu4fXd3d28kpkozuJx1fjeysx7vebupW27jNO7gQEHtRL4M3bc5otnNIPpRAVl+JnutYbo06ah9RSgyiiooImQxBfWywNFj/A8TlgRDrTNnw=</t>
  </si>
  <si>
    <t>CHfsUH97gej7eEl05LxkUw1PmUlWEgzFl/P39oOxvJ905KoBKgpy+YMAyL8/TjAaULD1I6O6YNIaSY1SkPQPSzvGXu9gHxz+mJRFfLBXC5/6tkIKbF/mC8Cr2C7UdbQdbLdCkAa+zcIYPgppNPHxRbZenyqw63zK9T8uUQDafdwxslMnHqRduCQgksFNXEMhhKZUzg5ULMO+g2sxcTsp7D8M9xdKLtkeET4x2NMCt5oO7HO6ztg2rUoVbYQ=</t>
  </si>
  <si>
    <t>RJ+IrlrHeL9cEdOcq98+graZvB5tOCIVGeVs8uKIksdJ8ccD8rTlXLw6zkemiUKlvHcjg5srZIQTUJFM98ROiGiUm844ti+NPn9ya9qML/SMvg0coaKIdnOENj7bDcWBrL32vuv9iI3Xr0whbd2L6D1Ek78U2SoZA07PmtMTdmLyggFlsacUFnvMEJKP8G6303tHzXCafF+6egzwCfPMXkN3Wi7H2JM7DRJvE2mzp7Mn71owG02RPnSkXaM=</t>
  </si>
  <si>
    <t>eAQxsBg7ff+lzZdDjW+SRrV5aKUCQuZGenmO1fwTSniwIazNB49qm83kA5FLKKTEfdX9tajnlnj+chYRyr0tl0GLuR2UJen0kYVAYljo/8t5zXjReD3AqfEiCja59YhjJWTaNek8Uj2uwLsJsDH2Y55h7jKGrEwibuuLZUuFvEtaPin4z13E4X4VgiDv5aSrd6OGyODo0lcz+FXPcg6UVALpO3Cv9CgRbXm8jTUDgVTVe/kix6bobLZz2Ow=</t>
  </si>
  <si>
    <t>LSWIkuPx/zoy3q8WwXY3HLoodPelj6FYaI62eCRNsw+39e1ZbNr4oeOC0GAZrgQF4CvnBMjK22RLjjLxzbxEPVtUqK8HuotnPSzAWjrZo0y+c5JaEUSwCLlYCp1vok8fU5VhIPy2qM8B+EvxmqOiaRVQFHZ4Hv4oH8FEsLUXmcU5TUCXAZC30R5B2v5SOazIYU3N21Re8D4GUTBehPEWKVDZ3DIUHGtez1K4s/jBNiLT/Wvb4Ydk2G/zdgQ=</t>
  </si>
  <si>
    <t>1UTxnZQ7/Om9Z5x3nQZuLac+RQzEPG0WXmXInHYxrRIet6MiOl20QQTD4vQ1vM3xTDLpuaFykDHtImjBHqpX7AQjsypD9r3ng4qhnGzbx9NeBdGPDfQfeJZHB7XVs2PXECXRqH5hwSEClwFWOwBPsA3m71aN5+9vyKfKktjSh6n0yAVwQPG6rKndJ6CG4lHW5aOhcaBXP6Gp6uQgvKCu3jrXRwe+SGzRFYiusb8ofmoA2+hChBafzlQSTU0=</t>
  </si>
  <si>
    <t>Vl3hZ0YQldaaBO4Sdick+swk69F2SWOnihNKUty5po1z5tBV74h6u1Ljm/aNYMcm1VqN1kBE+tR1VCQDZ+FPFVE8cm20ThSiSWDprUI8zJIHXZZg3sr2Qu4J0pix5c1Zut4O8ot43K7+vr9FXd0D5y6psjtzSkI2tdE6sfPr6DCvDDI0cPpD93969e8X760HPMKZvZ9i2CO8Re2nObjehAaj4huA1v+aYEz6Ij9zm9yYkt/1YtDmmWebsDQ=</t>
  </si>
  <si>
    <t>8eoCRu8grz7APEywj5l5ZeAkhkn5kJjZrW6bQkrEmkT3800/pe0QK3lTSKjo01MqrlNDHJBlKVING5uvUDV8mRZV80CQhs8JUnYMLUnETlmXA9Zcr+0d+mZXUUNR+IvUr2nXtZhRfLIeoFR+cJxWgiKN/DYHDpk4weqtROrJN5eBYFJp2dBhKqXDnNNcZdT9/gM9h0eqvCX3iHiNdt7Hm8z/2nGIXbNT9NdwRinzzlOE4HMdPUK6sYjc3O4=</t>
  </si>
  <si>
    <t>BwOn7ed0DDcCnZwk1n7TqLgXdnEWS8gboDBNiI+bVUV87LNUYfcHZ/Mu6FJxaYIW2N0C4mnyCs9KLT2PHQIM+UubYlLNwsB/G+7XDthzehlNKo++DtRaVsg9y/xgwWnm3+cnoBxleImgVyH0rPGHsADz85KfRZF18VUu8/AFpjrJSj3ot5sqkhWEGlpRLM03HdADZweVc9Da0t9nn+deN/8pEwi2GNOVzQ0fp5iD3EaCjTVPGk07bFwrZ7o=</t>
  </si>
  <si>
    <t>255gSgvlx3+HG7ivMc7piE7uH1gH7zgqOu4DFPhu41zjt7u7vHV9doEwETkFpyuTRH5owc+f7rQ80bpibok0BwOy8OQXtzla/zwsE/q8uQDDTW+l505kMvnfBn0LLmYcZJZjrwF/8c1Yme/eZYQk0V7eSp9z41yorSxOZ2uAIy1KZWX0R/zlgjU+l6ajiF8zaMeu5NIjOJD9fJ1YhbthJ5aDzDmzkON071fopF7xlU6fQB9GpszvHQiTL80=</t>
  </si>
  <si>
    <t>KszSWCDnew+1HRMMJmrPDeLeNDqe9accAg5hf/HOa+PnFeVWwGImaO4lNHB1FHeZPqsrXhIXSo9BKmUJ3yDiQj/idBB5S5xdxaZiAR/U7gd99zdw7LgdUkiyX+RmrLFMpAviyW2/VoYZ0GCUhzxdZhY7GYhB08c60vBcjscAfZgUFjndCsyTBJV7uIhuHfHt481/yNqWywHAGfOSSD+a5Oz5GhfrRhxSVpb4ZdevkJVsESryXUWorn78pcI=</t>
  </si>
  <si>
    <t>OI/fQee5GKagZRY7ImDaWz/XCzOt2Wvo5QmtV1Vtft8G/QmMrTtOXniA6n+pTksGZl+hOjPr4Sf/+6ikz1CrvwKdGcW8Et09Iy5JTQNyBENF7gKu5yyAJBrEahTlYtRrhgmFMsOjk5fWI50LuFwE0IqgzUMx1YfgxVyEZT1NL8R6fne9rC7dKKZAtD2PVbm9oHyx2PUOxJnru85Q8XUT2Cy/SqEeUSLTr9G0oXrcOHEwOkIW490Ioj0lzV0=</t>
  </si>
  <si>
    <t>ASlRRikrrfdc70Sh/FLYYux/oZoz08NDjyCy/Gk7w8MGBEvhcA1PSfrZRWGxlfIcX3uNNi/qdcJrWKVbQTEZU9fwQJpQeb04Qfn9gpPKKDbKZueME5D73h0t4Hoyo6WbUbkbLDNgo9AS9BiGR3x67NBB2v5z6mxtyUjkRxVn9N51gbBxUGUzTyXCHJX0jxb/tE/25qiRR9I8lA+CkUI9WTr3SBGfyq5v8rBQJ46yrnYtNHJVeSy3ae0XIEM=</t>
  </si>
  <si>
    <t>8lUVfDA0XsPFIVyM3nvFa5xc+bLDPuZqUQADR3tAY0BRCvfIyTuETcFfJACP4LBdK+hQ127sJwDZt9dc/fpr6UukmSbbtUvVyI8Tqr4ylKXnOxz3yZyX6++LIPTsu1FrBP1h0ac+wOBGppy8wDRXoY4e4dFQwMiq1kpGwX0jKO5Jq2YcCFOHfVXL8SfvVvH6XnqDRuBE+ZvXch3TDCbJugeIDTypq6g6Mfs/yu0FFnHIkLEWDkH/4Ri5R5Q=</t>
  </si>
  <si>
    <t>pgegm/4RCwGvthJN/IIw3jry0rqkeAvHuf2fCD/pviYwosscz0V75qiPccHpwhIs5F2SgZVIHqK2KAAtrixAtYrBcIL6lyqfrT861ouCFEs/FobI/Ns0XUgZmPYpY+gpnzkuZZhj1Y6iF5Siq0uGYVF7fCfY51U5NHAttStD2lEiw1cbyq0aLymtk/dkIO9yU2o8jLumjHZkCsNkIxSZA3gRy6jhFTzf+6KHs0VQQ8c8+rfyELQ/dX2JoW8=</t>
  </si>
  <si>
    <t>1RxuUZzh5t5xoDSvyj9PRSnCAakHY7RgwbSaiCjvxKvhzLzMwK5gnRsFZ69bP5crfEsaXC2V1J23Tx/cs9MCFPi8sLT3kxqGw2cN7MgBu6pekaYZWh+kvZUflc7X/Xs/Oda7z6uA+kmafesHCanZePhhGelDs62BpbbhkRp1DxlxjcgI67AWVxDGQiOM94I/SaN3Xwp06OXqzHcCf0vGpjI5/LrNF+t+bZDfsIZEyd/EXUXtXsmNu/oHh6g=</t>
  </si>
  <si>
    <t>fJvnr7p9YJCLJQjcq0F8Fcv3Gyu/hLRTBLPnBS3TcRBq7Ny3BhSaLUW7VVuEK3RYtN8E/UPg0RmTXZ5I8b9qOtCIou+Xv8O5+svzVh4eekA8T8qwEtTRU8Spyhe3XcTfEnLrCGG5RoqglS6CTRF0Rdsm+ixRxVJU7cTk4cjLuiyu6DIAWWprta900cuAarzgDc1HjYU0rCT5BodMNIPS71e/xsS7dKFMA8Gy8hNI0RbjUk3KynyG8oRbY6A=</t>
  </si>
  <si>
    <t>M0imXr3l593iUOVs+2nDWhlvHAmE7Ami9/2SCp2Qu148058B4jQ8Vn+BZ1DqPcfXF0JlFk1h/hb1Y+dJShdp5XV8d2H71B6HZQRPUKv5OLu5B5cCIDB74rIQRFR8Pmfwxfs1t3nu97EqRuz+Y3q4TU6/otXjhjst30Wj/prMiPjQvGMgblM4TWBbOIo7utuoZqHFUk60W5xZ6Q5gOThkoyi+gmxW9oOySCNaZgSXpz5CANND9d+LFIoFuNA=</t>
  </si>
  <si>
    <t>YR0RiMcxdN0daDu+rxLOctgEApMNeqs0z83RcWbJfzkE2lILpkrZorMbC4BFKUvKQm4c3/R9SpcB1+Lqi3NPVu4Af25xFHoa2ecEbdFOCK2O9WZTcw5Gj3ZfYpGR2VK0kSoNBDK/95eGLg9Tt2ZL6nr4qiBZQTJHGx4qt5xmEYORowm9oXb18BTHSsnB9wU1C00ISf2o4u0Oi2qwxCDKDdHaVXshfx4s7j9pTU05PjsMRsiJ+VZsV+tYSVI=</t>
  </si>
  <si>
    <t>GZCSgf6LNhKWho4v+HIQocWt5J2m72yL+IyfZgj5hcSzcpXy/exNOI/3C63tGMMI3XOh1ir/hOAsFV79VAsCl8S0EVT21FzKVshvLb7mSjGuFXA7HQUj2wx4yp5ExSqc3aIe31TihPnzSJLPeU2TQHGSdlMUbL+KeqUMmu4qSVYKdMYbqHJq3MB6O/I7qGdI0K4A2hzqwJuCOwsgn5eS7BZ8L5TjlL6dALWM2OmP6Rc+2ACA74NVO16VwSo=</t>
  </si>
  <si>
    <t>DQscf9HFl6JGUIiVopDI1UgJnIJMcuv/KuK2Avjc9OooB5zQEImP5NCcOpYEF8uTbSf1wsQfm3PeU3G0v+v2Q0glsCi5TFjQw3tyStgkfq0SNPZ/xaqr8k3rgUOuSaKAYlmibOmnGW6PWgXfqoa93LuwCFx7osaGmggfK/WpvqEkjRh2LscqBBmEJzQfpN7l/XlpNKOK23TpI6p1sNYqzpQyi/Xt6mj84k5KXB8pphVDx7zjlpilz1cf130=</t>
  </si>
  <si>
    <t>4PezIJEQgqGyKyvYffC4Y6/6GoQGVzo1owwn3gT48l3RQVFYsSh+UcD1Iv+ToHUeU5kd69z9j324hkEdzGLgAUJG3KLeU8zPiP8duSYg8T8BcLX16NEjo6UqZGabhfoNJhP2ZDJL/G8VHe2WbT/cadr7LUH5N8UM0Hcbv4hAUJQgSV4GS/1uMbycN8trKnm/7g/TVeW0SCiTOdsjBDn7+RCDLuAuI/fWmgvLucB2LbgUmVU25s2KiDxYVjQ=</t>
  </si>
  <si>
    <t>kX6S7o02FeYq02NIU1hwjuXA4HC9gjRyRYGbimHKK7/5Z/cV8WesYU7mywVHLx8+YHBBweimWYB2Mmvmtl8NrKg0VRaBQafGJKPaBTFJXTqTaeql2dhq0AkxifBUZTCBzkWPKdIzfH3YxFQS7AQC7gfp4xhlSACcdjB0sf7Ur1UvcbQINAsASjBuJgNy0nKwUGhfnGXeZd0hYEGgpb08e+O9Tnh+JxK/F9VoCtIdGN+GCMrujEzCxDRRiEY=</t>
  </si>
  <si>
    <t>38D6mVeh3gw5WIKfEAyI3rGtK9vgmpcKVyKOzJ9PD580QZAIFCfFVnY71TC6rrlH0ktMvl+DZzoJzGpLWfeVsXu91VUt7SbzAojpZAuDlUt2aVqptTjBkwqcuFg+9QVLcFBk5QxKy6LZQe3owYBzeP9+TSWvpkz4y3wcoLa2+lhOh9EBUs0mQRohL/xT6yqEUrTiW7lZ5X9roZtGW5AmltyUSEsEp2qSUeJH1ICZiLuqhL9kGnpecU6Mpdo=</t>
  </si>
  <si>
    <t>yaaLLhvTSsBHqXgF9PQHuVJ2RtcymUAsBgD011BwNqORjmb4tfcuixSg07uEUdd6WM3rRHvbFm+weM7GzMjpXvCOtha9Td+HViN9CO3vt0ZieyaGpzrfrFBunI3l4kO5602p4bb3u+qEkG9wk7DOuRzlz9NnQ/XQFJ6apNRZqrppGW1HFv0IIhtfDfktfuFUt0wIErBX/8axAO0iC2taNAdHQYXCN+PkZ8GfB9+YwjwdlhAm3pKImdFPAvY=</t>
  </si>
  <si>
    <t>+KG2Otc3kWTgaKCKqfRIg0Y4+eGM5c0bqil80e06XsqEg0OiXM5uouss1kwD3LJl8qLbpCkbhdvmXnGn0fJgWUGiCgvBjl5ZImY20+euU83lMZCUUB7POPJjKglUx1HlZENLjEczMuGZOXdghUh8DmvmALwyAWLhCs/HfRLEex30pgGFzjjqRTGwFHN0jhhksosDXDKDvIqsF8PdjbC7yPGcvtcOPVM04ocYEL6/GAf5yV1Uw/L02Q3SNBE=</t>
  </si>
  <si>
    <t>hMrghEs2sg+2oi47+Qhv67GeHceiuUKkELnvfC5SQb0TO4kP7DjnahC6vqNgDLIv8BVpK0L+xDjJe3eFobluzt+lNSBLEf0R8kkWbLydtZ7zZpSFMxr/YF2YcVo/NaReCC9jUYaARqmg2T10lpUXVBwpB7hhCcxrJAiADjKxHYlVEybgNJRH/NJ3xtUOn/Sg7CjJgc371LB7K1fq1SKIznSI9IOHOncIxmeNahN9BJvNUeR/GSCa4Q/Ibg0=</t>
  </si>
  <si>
    <t>ts0j2vtJeh6Zh9t7TJBZrUoa4DlMcIB+WcRA0DqekdnWSOaKy5iSlTeL8r5L1leMEUeToycEQ+JNOKQD9pjVolCCl7sHu+o27+uTdFLqXgAnkOoLYfGV/rpUdGZIqNrwWNVFErvSKLbq466zw2JfKWwBYtPSXxi44P8RnnSIq9jHH4BFsOsnd9+SaEyQmrP+Hs9fUydj0kNvkSm2FZf5w/wwDF7sHTtfrdTuxJ7APfmnyyd1g56vpjAoRxU=</t>
  </si>
  <si>
    <t>GbC0043qm8PKP5vw8EDSA0SAdZki81g5DtkzfI2dvM9nVPqTt0zBKLktJQi/WpjvWc9aUW69GWOgJvqTZkAD5IcSn2lJLO7Sxo8aoV+Z8Xscu62neHD21ls2fGUyWiJkcy35iFT2UiCzI2SysuCkaI4jX+qAtiFjyPkA6M+kLMQfNvr044yJ9lN1EgsIF8AdTIocy2LTle8GGXYutDJsbtxTo8+TUsgM0QPkgBM3I2TPERTyoW/CB6Imazg=</t>
  </si>
  <si>
    <t>QWi+A8euGB5ypurPSoT5F19TIjra/gPsyKtpv5vvuQY+N5Iob1jwhc9BF/4tDlZCoSsVhGj5A7ostxULt824vEsR70LZgHgK9hdoyu0vs80dYZUu7//vyKw38xUFhEGBK5jn8o8mg/5GiF/aYurQEQq3EmeJ9+f7WTzhCbvUEEtE43Z0l8MPz01l7U0H8pcPkchmG+g3NKxHPVBmqowRIbaIFnAkbFqPk6Roy1B/ekzASsVhPTcOIxMV5RE=</t>
  </si>
  <si>
    <t>MFOeWvINlGQvZQoxYKM2ACREHCBW1/Wg8fpHjNx9m/IXlrmkA2+a+9peIW3TqTZPM5ClKTp/19CffkToRAnSqKH6y0u0T/FPHc/LTtooYU++Il8NEI/OGmSJweoTxwFw3e6aWp/QEhk9DI4Gt7Q3BsjPZagC1R0k87uC5uPaIU2PK3v0Og5PbNZ9P7p7A6LxgIsMJE2AUfLYpDcNW5hNAl9sJbnOFDSMMmlxx9Ml/nkz69HT5GXijFZfT3k=</t>
  </si>
  <si>
    <t>4oF9GZrVasN2irRjYcRr1dt3iuSXHtlTWHG5XrYYEaCBle1fHsgEmOubBETkjC0YS282o8Y+U7UQ57V2EDIFz9ML+9OEHAs5g92GFvUi9Gub309WpbUHeVVbE2X2c0iHSC+ZkdrQCCd8/igrvRSVp6YJI/FjoW6otAQGkKLDUlzXiz3O7BO7svu8ztCGBwB4W04Ht3UtJzQi4MKm6XbF1yow1gH937PiIEeUTGItamN3WRlbYbPZvyKRQEg=</t>
  </si>
  <si>
    <t>1clqE1QjcfmeRfHoVL7KDIBuFvl7dx69vBXK/y7SxIjZUkh38lvo2x2Is97wIjdvNXsHhoAsLyG1mLxQqucP7SRUucnSiFqlG+XH5QeTwWNxxm5VLmYex4QWuPL75IA0wX+x5p88ue0cnmNmBG+ok1KGBQH5VZCQyjVtRu0KBrLfjwM4ZIyx6xLq5cuSApbOvCzoRjEe281Be9mjM3YreP6crUV9sHfI64/oH882Om+p4oBw8Zrqo5+U1LY=</t>
  </si>
  <si>
    <t>bcbJdyefEX4UPQWle6o4YI+ATgfI63XJQnRtoPoJzGTKhrM1HDrX8wCAVfJDPkXPN6KX4hrsrj9L6gxzB6aHGZ2vniWWJNCdpzTGGvvpp+V09F/wPALhpN2sethR0i13ZBsrj7sSBcU7vh028xGYm3+Z2z+V9VMZxHchHSCQQ4vkuiGVOevX/zTQRhlqEwPNVwz4JNW4I5YsjQJLOdasBuIGMYU8nYzeQkkQWUubDsgZl83/r1qPayd3cLs=</t>
  </si>
  <si>
    <t>LvgOMU6Rn45ApqVIMD8PwmwyVuDCtqGd6kdcOjWMM9QmYxoRVEmvZrBm43yH2rhkrqZKe+2laPRWwtWWf0ph35SqNAYRjFZsk2pH9GSCMOCQkZVTjXzQ3/8ungrkqiUMWd1hLg4Xr1MPSszHL8FAPUnb8T+0R62pba0+kxMR9MHxj4d1L9WhrIGMh9q5hUNBHY/JN/PaJ0atDMtr4CIyHIVW/Pka/P2uiUhPA7Tc9qlFFeDrZ/KDrRNsmkI=</t>
  </si>
  <si>
    <t>OvZi9B0+kDhveM0xs15sm4lXcb993XkBOpKTTBB5G6mOzbTkZe7IsoTHedrgkjB6ygJIengY89vL8WCqeIx0z2dXcc+/4S6Bki1SJgTODD0YUerEmNpCeCbR/cE3fREg2hGdBxBEi7FW/6Jl0eyHU4JmoM+2Q/HEcgg069Vb9XE0/JBGmu2lLKR7wAUgdq1QgG4kAXj62yDDV1TxN2mXOgBx8TLsRne/QiRE/GmQodJIF87z2DvCPJSJ5E4=</t>
  </si>
  <si>
    <t>ms1gNDzq90Bp063cimJvywxudpEv2crDGGEy2ljIzkrSYXjOt5/01jfrPn/U7kbRiGW+tdI0ORAQYaSSoJ7nOzJQTuS+hHyp3dOnL2Nf4sKRNKxBuHKCA2nH3ItROyhNRhd/pvyccJMbDhegVpd+NmP8eJAsI8txVfs2F0KcFEeNQiAr38Axp90in6gd01199s7CPecskpTTaw/qQoy7onNizcMpsW2uDr/TdZLoM7hLdM8xhjhxbxdluyM=</t>
  </si>
  <si>
    <t>nDDHC7aHxEoKzx8cAvf+2k/ED/P6fGbHYvkZctwLy7d8L+QfTt//oD8FnZCbJF0ucMu+h/yq4dk7Wqhw7u6NzrPMt/RMcLh2Vn840xXDl8qjWjQGW+ws2Lhxzo0TP8Mw3oLIj0vdmorGavJPUX9vbbNkZl9HIXQ/i2jZ8lW5T4hwYaU7RbF3PjzfKQedJIYmcAKbrpsv9Tb4LLgNBJ+Gj41hkVFZA+UsUIte89PFxjufdw4Yhfk2rUqqe5g=</t>
  </si>
  <si>
    <t>IgND2pOlLjm+KANIiOsyQrgHH/5TV3V3nTlcRxr68pjiylDxeAaBaaSyx5zkT+zKvuS+kSyFhJVtjoB8nrVxxxbFmsnJrwCxcbaTEM5E56ve0xvytXxX+7aJoEh+P0v6tP3fN2NKprNHBD9T0EbHdLbTgfaDJ2TywmYtJrfdcdxQgyuhotmPrmsCJH7ip8WOMjM2Jcjspk10G13a+a7MsoWYXnpb0pmU/2tSF3yN8v6CW7t5d19laAdS6gY=</t>
  </si>
  <si>
    <t>SVnVX0gHo8p+GNhJKsCiZZlpleccYnvOtXOHt1MddL0/uKZrBDbz7HqEprfkGT2VaOg/dWcgvzhX93PdeyHpgJXPEosT0Mm7N0NG/iLrRy2S0Qe1+ACwQOTypui5ljuV6pm/+KVa/IJ1mANH7rD5rhIjNUZxfbLOv2sNMwo7QjHsvDipungLFAYIVCXEf7yDYLuBGCQPyKyCMJo3JUivFtqrHs8k/0kDmBJVZVmEl8SEN19K2ohEk4DHlWM=</t>
  </si>
  <si>
    <t>3y/hG6trt+tz7m8bSiVaELmYaTZqEEwTYjZefzKlZZewhGmJB+RbtmRpZTRFSLl3JIo1XbLNyr4pt46j3SMawZfmgxFrll5uFxCU7J1XIqrkZsJdPsa+I1gniefF1LErAKmga0Ijopp0dgBY8HC0Lppo9HfWUox9yljRYS1YnLwkQIPytkeE8X1Jc2VwhTisE5PiH1EbYdEv7pAmU+ekMbggPclPi8OGFfd6eAlnC5YqBk5n9mJFTXlMe0A=</t>
  </si>
  <si>
    <t>VgJEWlr0fJLziefq2ytG4l/JNw5RJ/b7FYDB2aQ800WGEK17h+/ijOwPTeo2s39rnZQrXaqxHP6eeHGDwNp498zmAx3yoXlZOEfdFwUAc291ZeCflSkyCPdHtXSuh8Ys6E8JPWsigyil9GqEkqt9rzKAOxYPoNVzU3QQ3iQpVxjuKYkNg3x8c5XDpRORQGrPo+A5ecjsYligtt6BPP56KQBI60KJ8E1jzJb9REq6n4BqMSrMCqtKkb3bPnQ=</t>
  </si>
  <si>
    <t>hiQx+x0/jh1APY9PblDbpqRchOjr+CuLb7t0us5SNiU3K7R7o3pbJwfV/s0czjre/yWni31ofLN5YvyOhov+oYTF7676bQUpXULRctXSx6yG6guEAxpkfqhhyMc/t6/7/VYBgy+Y0omnwva7gq6+taoBsJxmkThzXXOvGI3UnOtNFS15iPWu8DAGJtc8d3hvNdNGnTkHHifpVk9ZtrLDC0n7koo12Ueafk6dIGWks6AaZ6pk1+Tw0EG4JoQ=</t>
  </si>
  <si>
    <t>jBU7IH+yPRetJH+wRL10Wb0M5JTUE56KoLlhWdOwnfTUzTJua46rhBT8l+5ilhZQ8o1FaDUUATxWTg9uqWt3ATiM+ByzUsZVz7GMdPa42Y1tfPbZdJYTzaHvJV9IGdsnMX2JgYLQV6ouRPh5h2gaftUujXnTjv9Np3cOq1gcPEGOVeD+sddQRHOs33c+fH5w/zjPZJJB+7iOsI58M3dcrUl4y1q72Ph+cR5pL6HV+3CxPZA/dV2/hDLh/LU=</t>
  </si>
  <si>
    <t>SN6DPtPpvZ5K9W/V8hL5+wba6kdvaCLKsAcPGXVoG4fCqkPpLGa7nJbFUoNWZak55IQ/qBWp9KCVzyuSaoM+55I1B7Ujfdc3+iUZfoumAFOLOoHoQ8sJY2LzAet/wVB0m4KDEo0w7QPbcuwypjLKS+dAO13tHMpinO0zstoYWbrted4FvL9LvEvlkqHNGVOwnGBmpUXksIIv7JFsnNeEJL4+d+4Xj/y9Yj7GyVt8RirqtVMJKDllTStkOj8=</t>
  </si>
  <si>
    <t>idBZf2n/lhVS+M1OrMbVdRlAYGDdohXDL+EP6Wj79qt8+3M8yURjgMN5dU7duSKl/RklA7DBSe7KvBb+FEAQWENnpQnzLY2NE+w/mgsEfzNnDb82fuptugBXOD4acVsJPSPDtP1O5JJg7AdHPlS9IvrrgNzD3VAIfezmV0bSWTAdN5yua9P37QkeQ0HTmy1lXbuX1Yr2P+lOT1sORMMVCwJgaaSlyUAlAudKXXMenejiuto+SEiZfbYMCsQ=</t>
  </si>
  <si>
    <t>yQ34Wc1dgZMk43wy+6PqHQ/eIFK+EBwkvxd6f9sVR7AmpkMSxB7EtqSrTkwBub0z2uJbaf4iBTQC+SnIu5wqENQ+m6RHuxQUjFqoSaNsOjo6lMlbxZOpoIsVCQVZ/7Hivkmb81Yy4sRg9ROiABYhEqQNRVR/UlS80SwtyYLX4kTnlyaGsBZwJv6chFd+8bJ4KZ/td46ZCCBLhTL3y2FP1VJSqEi5M+tS74RdzjbXtpvoWojMn1s87mg3bUg=</t>
  </si>
  <si>
    <t>STp6fy/DGCBfTgl7KhvqmT46NBgIBDZlLOgdi8RIXkT0ZAa3Qla7gyYue5HTjKGc3f7Y93incYNO5cQ70LLFTQzBIaH++j6B3hwKx0DMZ1bMW+JeFmrCTegDQqRrWWZzK6s3bCkMcD68C8rVDEU5oWb+53bSV0q5yxBAZjjrALAu1vooFbXJYvnntzCANGddOgrgzkRKWht24dWP20tYq5cmG9aExQn6AXoSus4PJNKA64EmXofvIfo/4vI=</t>
  </si>
  <si>
    <t>/4xKVDppuGSLbgipZeJCDvzpUsOss6VIbJBdwBmczBL/pMag0NDkr4rZQjmMQxUjW/Ix/O+sXPZ1v4xUXFkqrQppo8uBJw0VJlnn0tESIK7czNIC/YROWMYnXjsvabzLWnINyKfLBXRs1s0jOY8UOfkttvgOtBNnnt8zQGP65sQIvtgnSdeoeoZQf9s5FRYU6o1PfhbawUKWyg/9nKJhunPHH5b2BUbnWcnhwmmPgdl4xTs3m7AzWX4ItVU=</t>
  </si>
  <si>
    <t>ljDF89bfgZh4FkLE+qivXYr7Uter0oOgb8HpZAdMCClEePk1wwAHMKEs//p/vuUcw1UR2TXcioOjQ4tF2pIKXR8YsSb5aahXxWwuoI0A5QYTdv0taxOhFv0rfu7KQrdKd0K2MOwcmeqF0ukPmNysxAcP1KYM3oD8msXweiBUJoubot7XnY34a+iD1ucdEVLxhkhy9cKkZOOQHs79gmcKRwd9LqxChKa7fpL01dBD/3V+JhM46El1KR7TmHo=</t>
  </si>
  <si>
    <t>DpO1v9UHTLspHb/t/WaSeHDhnl/u7Df2AKyoLEl3m4zkMeBLaoJTERyo60105wFNdYh4jlk3JGy0JdL88nl992Hl8qjrcVrn7ImBsmboJ9f/qdf3W4qugn7CvwjDVN6loVcUdKQRi1fIrC+iqe0/s7yNXpf6aDWHIHhW4hZZnvipeY6prUVjuZdq8UfYgWnq5VabQxssyiJD/PjQ65/tpeJv4Pk85NckqTXhqtHKOHxeYy4JezXD6K20f5w=</t>
  </si>
  <si>
    <t>gK2W0h9+iXzXv/+WDnAuawFM9hLGfVSlajTuif0hktDGDvVAxwR/kDMD7vPdo6QoQrtSt4ZKF0pfZhzVkShhrmHBMKMvNW8kp43nkffkQrJ8yweeanQObhIfkDBcWjA+UJl8H6DvS9OLRUi0U9c+9TGOZMhyQmn4+kWpV2GubKk//I4+fg/rZb2/w7J/MuGRSyNG6SbFNMe1MhbVCiBH/Po4ZFHnMKNCtmcTutbPa9zpOEZXcIwRD1p1u2Y=</t>
  </si>
  <si>
    <t>w3dLROBOCQ9yy1JJKt1k1dT/wv+ofVRBFk+CV2JhLid9D27LnhjoqAVx5YhwnXAlIR5kDkc0laI9FG28SpYbZLTs4JfYxUtJhA0Id7IMkN3A836Jzre4thbmb1DMjkfRjPf3SMlDmd+eT5dJC0BCXSWUIrK1+PnpR7nxA82t9hiMiXm64ir1+lEOwDfV+7pWi0LWw6BeEph/E0+dfVT/k3rONwTEDqavttbol7abLZNgaIcp4AcjnBjDEZE=</t>
  </si>
  <si>
    <t>vlqPrL2MvrXBRO0izbuDBD5DUWV+oOB5XNjxtbHZC6bNt3brLe04VEGbZlTiMesoKu9KOCtGZEVszrAmvj0Dv6TOOJNVLQyF2e4tk7miWw8tRdBo9C+aGJbCMpdL2C/DCLB7xYT5rnGjNKeqcM4MWMnJ7Xo9zyVFbYuvh0zfV922J4uOEpUu47PA/K913jPKNuAqMeKjjHgTxGxWP8cW8aU/F3XYGXH69sWDsZOsev/h1nZjH949k0Ak2Dg=</t>
  </si>
  <si>
    <t>0fWPSui1Q+e4CZ/Z/2+QH0xubOUyKdMIJcTnPLf4kGc53F/a9Fi/L/E37syRgQU7+tjFGp6e01NteX171q+4CzmohC1/Y6RTKQvpbanPlr7nmG4yq+i9YqXkg8QtIkX9Fan/E+SUpX4V13Po3sHs0eVPkRWcMSMEqGh5pRmdC2swMtAUyf3gk8bQhpujd6+QIDHuPa92rI9XXYjXaFGX4kMgQLMzjpFewEx1EDH4SDE1lK8njwrTswqe87o=</t>
  </si>
  <si>
    <t>wl8dX/1pf/tWzcuhIFxyckNqHhqlywuUtflgfohyXZFGrapnxb0AYukJ7BrHofA/aZIPBcFLqrBCztWns/al3VT71fuGiFPMuElLopSzWIgnvwmYzgocxm6EtbOj9wcNtfhgePgo3dIzUbsSt89Wzj9INEBsK4Bvp9d40ohLnpXVYS0QPRqoIisFIKq+XPx1wi6pIlN20YYGW6j7O1ATb8HptFasnFBpZkrw+avtdvsJSDimz9LcwxwjAAQ=</t>
  </si>
  <si>
    <t>C8Y4y0DO70ofPoFv/kAWuMGyUO+dnlapOUcvDyK1HK589xMsq5vIfCx7mSYTVm6Fc/hTaUWGFUE+dG4gQ4YB1Z51aO1jvUYx78+msg1p1J9cUu6tLIP1/N4K8peOEP1DE8MNla8jHIF/Vinj8Cq+2TjcDi0C7UtCiVfec0VSo1HjSffdniqDodUQU6rnRqLgauddrNwWrizFEasFtheg/GMoF5Rzz1Y0O7Ym6wVl2dtSPm6NtOlEX8gmNMA=</t>
  </si>
  <si>
    <t>cNtz3TwrklDzJHtnhGGjPsOhoDJgu6Wk6P09tIkthmK2j+W+JArBn9dXrIG66Bsz2y3W3i+JdXg1jFQuhCI/SOOgCeLcKpkKd8Z/U82lMyEJ+6sgIYoibHebyfSmOGocBDeuUKfWw1AkyRrEQLQGXaVP8CctjErDwCFN1wPSbuNbBL50zmrK0btH8/uCWYCfEK/1nMIMZZzpzRoezasAAWgjFb/GzFBh+b/z3GQoPh5xVut+rASkjq1r3Aw=</t>
  </si>
  <si>
    <t>J+/t9E3cShFxLZyQW6n6snTZtpSjR9UzZWN4iLMXPy94c0xR8G2M52ifG67YkpCYIGaZUy/KvKKStcRHKy+7su4fwyHs14IJMikyT9eww+PoiKinvWA5Wm/oiJ4K6qztxKrq+ZehuD+bXQQe9vUAZcnLrVoAkj/wdN87NjsGNba+vqnWMFft+2Jnbl9GQoFBFQHqopLMitm+LUfMq0/RCMEecSxqtg94N7aRhu2PjXBi1De7izpARO4vQ44=</t>
  </si>
  <si>
    <t>t6xWdfhCVi55hLZNXq7crusiRU8iAaT3Nyr/fv36DfB4ULIaFyyj/s1hNxmWa9P7sku5vDG5szjxTRUokZfzqmG+fmmQh+ZKhK2SZYouTS7w82PjDP71teVyr1UU9dFRTXmb/XEhMFDnhHc5ScdtZt1eeO18DPHsE8byrW4Banq3YVhON20RG101D2ZBY+E9uplRhhPZODNaurNQG3DX0QZWPTu8ppolvZcRE4a+yJadWs/+TZYY1A+H1U8=</t>
  </si>
  <si>
    <t>BErzNdQyq8hoWcZ/zi828dyWJGo4W+EWFMLQot9fVlPLLs7hFYVBY+gw77aqP9qsMp18jApbrojh/nA6t4GN/dp/FAfqqmo6MRyZOHRzrsbiss9TbCxCTTbtBkD44GFeffECO2zfYtjorl7MCJhp1X4nDVmHEgVBUkDku7Ed3SlnCuXfgC9Bfpgj1E63Pe1yVrXwv/EdlMt38V2H4MSRk6BOfXB0k5cCtHzdy9pBPcsOco2Kbqn8JSY160s=</t>
  </si>
  <si>
    <t>gdL2z1hdklqNZ9p68LQTAGkzmpqr4R0fZz6YDhlMEybZL6wy0luEGgUnLZom0weNY2lQHYhOmcluY5+AaThkeeUu57EHCqKrzQXah7ANScwv4BfNAIIbwli8dMS8UfD5y/bEHd9eHTnGtaJ9tbq8NP0IrJIu5WtnPy9V/HNsyZBpFMqgfsQzHaQe6V0DuxJJHLN7AOfmD5Fc+FuL8lL/Pj2wQcLjRz5EyQqO3nTymPFw2bgKI85B68mPKLs=</t>
  </si>
  <si>
    <t>+JOYCBEHCveGcRBL6o1spIDW7rwLobJG48O12kD7hLvWFykwcu2aefroLOfBDCO2+t6Wp1xjjWzL4Lfyc/ksWX8OprlygfRqeA1nGgJllZhqSe/i3BIMzukrNss/FOaCvD4fpozXOPpVuSQ4RFvKk1x1Fo1a8fedT5y15skpufA0YN7hIaCB0T+G3w02+8ktHFp888jyffVLlJlke4Hkxae7lOFzakFjnBEnjGq4DQtncRXi3vPASRCibnM=</t>
  </si>
  <si>
    <t>cgvJBjkda/KN5V4T0lVUkziSK61mbzwdW5LUpySA4x+EDjr2JNqpjZIyq0D2JDWOSgPTnTBgUVUwSGelwKD0MtwUfGcr5w8UDO9tdVNhJnUUIpTRzWfbdkV7VN7Bw7MhZfNvdJyib270+wP3qvP8VjIBDqKd3uu2usaAgELJWgPjY9NTpU6n3nyYs7srKZJQ7J86deUGkqOAYNRXRX9zRFi9bh6/pNnOhZna3HONiI7q0D0JifV4ssMiobM=</t>
  </si>
  <si>
    <t>zrinwToygiouDNrwYO5kqY+2jyzgL2EqbXik6EMLwAIJ/GnYpG+UbH63uNVyBPjXCUYN0sRB3qwjlkfUPtzx8HDse6u1yKyZ7b1rNOh5W/IMQdz1yNAzoMQ5vv4Mi8tYWFrHjjG6UpmXAKua8lg4s8w4gv8LXtYg9s3sR32A8eh45yPmqOq8anNQlWxC4+XBNFOuBhfJ1316HH0ZjJXCD8MRpZZEkvcwQx/JZC051ZC+8Pn0M4vEoz60NHI=</t>
  </si>
  <si>
    <t>RtshmMrTiTBsq0iUip2DLO+Hcrd3KipmMupXGdfJwqkNFXgGK/MonBJn1TjW7QJbfJVnKWBWRQV9u5iYQEtZ5Bo8Sr6KVQRVlFIJmD464pMePBsF5ne6IVD3aPBw5aQOAVNz2su+UijSL/JWxQUiNnhFv2YeklXNhGUfR0/RIDnr4LbSZCBmXBNgm2n/fsPfqXKIRhKkUw3urkeLq+geUPMRFmjLinoykbvCqzHXeJqrq3Cj7akZV/MUZxE=</t>
  </si>
  <si>
    <t>MziLIE0S7Zi4IdceUlIvnlhP7y0THq61BjHwk+3SI3vl27abSnXO7rSkJz6CQTLhdJjIgEQPwx1sIDLVuDCeY0DzBZhDlWacx0pi7r8gMnn9fFYmgWeTQN2zYol520Olxnn+gT8sHh/hmxYZUvEum/+ZutfVkfoilPrDdd4qEp+s+IfhpdDei7Ii1uedO+y8qqL19LiWY1zvuVqFmyWouOed8TZ0gztgLINpyoFuAT8j0lDEEl9+NxcQoSs=</t>
  </si>
  <si>
    <t>+y+tBikO6LpsM0wN37g4hr43b/Qp4jXmaya35DotnZn3FYXVKvapQO+fhFsdToFZ+J7KEyqZqa6G0yLUZGG6EhFHH2t/SBO4zerPJOPVgYEzrEu8KvUhL43c/jtuQG8qnVHw842Lc3pxvhtf66zWagKy9D9W/HP6DeWHaYK4CLifCHpHYD9HxJ8ucHu6OvKaQHIakvX6/HycEp7+2B1QTPJUm3d1Gyia/nwxL7t5+SzeVLN60/SzqonB/vQ=</t>
  </si>
  <si>
    <t>ObyC/AdaQdS2pqHt4KpRH3ds3WNMX7V7BobLQdid55tURF1ydX9179iHPiLlGIAj4NWyqilJaSACG2chHdWVa5s8gkslvkLW8/eI/ZVdMzavbJlpGTZHISSYo13ij1cS15klBHEdQjhP6NKp3fP8vJ5OOZc0ciVmvt+vLrey6Ra+Ow96ri63qVhKUGWH2V8G8hpI9dw6iQA2ePCltm6s5aAqhuDb3pCNRZZ/95BlSG9j5rOZwJLIDzFVyYc=</t>
  </si>
  <si>
    <t>JndR++EPXy3fCy0EQwHv6SupL/hBHIh5oyM0+HNBCxiXsg/CQext0m52mLzVYhYetUxWmFYpRPx9B5RZrIWTOc5d4e8tVpHaYb+8k2HMciBXdI0xZUThiZgVhI/Ao0t3AqDqJRtV7IFDHbz1PMzNRESGzWdvdU/nLzE0mR/hVhs8aurmLcqU26eNwWCl3UpybIXb3dvK0xNiDWTv1VtOwRcbnXFY0T5Y4GJSaiNxeLwv25C5viKVoyfZXgc=</t>
  </si>
  <si>
    <t>0Zt4tynxsNB74Wc8XfoCQLfjUL44w+DXxEp1qeKA9xy4jk+rMfSB68WX9BmrW1SBjNEiaBZLpTVfEFz88r6jPm8bawve1Kmqk4cIOBPARXIMdl5sm9jv/pwp2/rcVc6GASP+pco2u/61HEVI0X5w4aqkPwkU37lXki8dUtSNVxGW7lke3WiGJc5C/ElNT9kt1Uq30Sh4F00zVAn8IulFuhakpy5uu1DxDkWb4PBuZOclhb0uxSY0be9dACI=</t>
  </si>
  <si>
    <t>R288upykp02k/U2AXZ/shpyV+jI1i3HUF4onCCHV0tiw24y6RyCRR4sUe5aPVJlXA5cQPpMqRwuhWNdyJqv5zo+o6CG0q3AYYnsvAmWT02iZpisOAmyJj9vjo8FGiDXlpCl8z0EJ8K9ig8DxEN4X1dDgHbZJnxC9IxG/t2KABJyZFHQ0/ASEbcl79vRsHRLg1XXSE05bUl42+Gr92MXxS23zAAirLj7zYOWmsMfEyveNpIuXLj0RUKG2Raw=</t>
  </si>
  <si>
    <t>Cb7jto8quytaslPTTvv38u5WI23rzYkX3F0Xyq0qNpecJY1wwnz1CxVUU9m50uL1MEJtqguzUCNu8fSoesZ5rTBrMaPde67Fp+Y+z94ljVjgqALgAdAqZgQKuQ0Xf3dFakjLJShVFLo6wGhK12P+K6sgftGoxBpImWkc1DtjsU4PXUB+jEyyYjOp4naQXBEojjpGTJh6XJuBJMckBQ6QKJopP8+/OiFq7dNY7jHXyoiZlc1zaR9mjzVCrxk=</t>
  </si>
  <si>
    <t>zv6hxb5kSTIIiR5T8pJW3i/fddZ85coIOdT1L1FVV2aRVvjGDJzYXmK8l5L++aYbo++E7h8BIbT9UqC/guwqBcpCPMkxq+fKww13h/JYJAdzIQ/0qztp6QU8N+Iz0zM0K1jd9aN9K6lZRQd/raxF+qViagH1/s1JfEe0EgCsvjZ9ZPN3y8GU1WmeCdcw3rXoIyzKR1HyNs7ZALz8lTBAZo2G0d3ak15MVDZLvFU79cV+zc6TZiiTm/vK+pY=</t>
  </si>
  <si>
    <t>sUJTv/Dp/EpEfuQ3Em8Kzl5PYwrkB9yRE3TJr43sYdMdltgDszgXukSDWtL134MyAVOIe8PxcOr15AC8e17CMdE/KT+UW3VfxC0QDNIXtY0lupyfg572L5XGYojvsBXUX2cjPEnN1YWQSlxfUPq4xQjcFKD6XENVidg9wLK7or91mZH3qVcTSFFmGSz0lofbf8oEZhWg5vZIdwPPuAkO0rqnPEqfVrVgNuV2ljMz4N6pwY7bAzVnD2/9OE0=</t>
  </si>
  <si>
    <t>/eKtdKh+baaM/V4/02wj/yP+mXtkbxq/Ih0YRKn8jmVmrPyL6dCeZVkUVyJO64ep+hHPCVXBwq1c8RfA6gbrZcdlWEcPzz57YTn3fbCWnIJ0dXvi6X2judRuMQ4HfKExD/gpwUw2Fmr1Knhm9QJadS/aL+K3wAidACJc3AFvW6u1nURLYl/le1cJmD6LNnXKom+ZKz57RfPvhQGxTExnlOglrwvsSzhfEREKGpA1+rS+yUGsryyDz+u7h5w=</t>
  </si>
  <si>
    <t>wKp97yE43Vmz0eyRGY/eMG9TJz3ucAUA6jCIh4IRax9y837NV5VlEc+iDEGraXegedX0KEk78YkkXzFrPBR5ctx5XzeqrG9ghmEZpF0d4SlbpS77EwB638fqZDv7tNriv+iTNDUBDtiT5zK/zLzdnXxdJgRdbNZCm1aJ7mGdkTQ/AyC4Zbn80B3PA+1L52IElf7rsb7AEYLs6o0jdwRHGojJ50RSN55E+xYw+LIZ31eXpwA0WOFjuidlKUA=</t>
  </si>
  <si>
    <t>CTwcKsMPIhQIrmeqHU3Fp8KH2a46IE0kbAq/S7hEt2imssrIxd6ZndFOH1S4EASSUomz5RmNZmcZ2BkFBPJLGXCuEg6SjCSx1vZCKZ5siYS/UIEl7BZkrKqRfPLst0IuHfFp5fDNbFRUonxVL7lfL/3Szk5nciCqUuzDVwloHUp2Uyo/0KVWkiW+u/slozknQWecN83yHTAvbOdjkxQSKN3pI0n8cmYC069bRVuDkrF3WwqvmwTb6Ab7FHo=</t>
  </si>
  <si>
    <t>1j5jBcswrc1lUZeR33UQb9aZ/Yj9DRawL1a1Gak5Okhr9XFH38Q46ezBKFrk/eUukbNLTMRDlx+ace2oqELAo189Rgpdx2bwsGGlUnd6niVgP/HoRu2W2q8sszZNosHPVBWZM51/EqmrRTSN2Cx03oGarFHxwBkpFVeFeLFsnmOwr8A3eKvpIPDNSiqU03T8bqcQvdJzjzB0OkOGhL88lm8kM78GAS7nyhONU8MWEefiHy5Z3ad879cgqf0=</t>
  </si>
  <si>
    <t>jZmUgGmo5SFsHFTWzwVwvOHUs9AFc2nxTJqVQUfV5IqfvQAQBYni4ZdT0Z3qehIacojkQUyO1qPwk6zb0Xb44dmcIEPKlCXF2uf7DyJXidiTE+k5/HCfefPbhPs5EF3JjwNsOeUUQIq45Bmat7tWbbNgEA4Nz7BP7nVErXwk0lxIimctvVdUbF9cb68Ecm4O8SSp123HbYb+wjnOHI5kXj7VUrVlV7yma32wN2cy1No0opVan34bxozcz4k=</t>
  </si>
  <si>
    <t>3qCeJ4Z9e6+eULfbnoh+PvCGG6wOlZffDLAGJYEzhw4R23lZTHc1JG7CNjeocRfruWA0LxadLDxtIWz/stkVDJBTxbkopahzZB64C+8S7WZHAHufl9J61qBub+bmkUzrWq/rIW+NWl+Zmfj3fVJbEPoMXDajFvQz3dLtnw0NCj+77r4NVhjiVK3lWpL4doEt21QWu6DIIDQx3tq6KVQIqVejOc2aUjkceARCdo0cIjy2d7Vvl8UAvZokCLw=</t>
  </si>
  <si>
    <t>PPCbcKIon29jDDuMGRKEKjoXMPC1uvROrksgVenkRbfm+T/KFmRd5NdpowrFfN2p4t6Tc7N5CMfapta41KhUESEVdvB7ZSIf/oP62Bq+LsdARE3329JR23UtWkCetlAFZV5gSjdxkiIBJvsG+o7pClgOvfIuI+6Ns1cnBWE18cR5B64bfutN+gsRSa2rQx6pMY0argz0jN2FsWxOavE0ClBLB2VbQArs2CeTUPSFChwbvnvCGO/cBjbtVHc=</t>
  </si>
  <si>
    <t>Fn3WuyqUx4XmMdXCJCwuiYSzy3VJARHCCHYdWzCz5Dz6DQRfiocW/yYDSiBu0+evwF0fK/VdU3gnZoHGDyw13HPGBRW5xiZcHxEokL5dppUyYXzCX5zSVqcXf4MOcSU5xcHr4O2W8x+P/4ci3W3D/6MSKBXiCuQDE8oGpp5+3pmfq4UGtfT4oz1PpC2Tbl7Yay3H8K6orE7io4tN5XTgRpiMJTZzaQViFMPLHo+287ZoiUsMwQ3suAiS4nA=</t>
  </si>
  <si>
    <t>sSS2+zIVChHV2H02vGpPJpNY2lQQTk45Ymw4Mu8/O3RYGpcEtjZubgAxdU650MWu21etijtS/XXB3K77/QYInreLDTecOxwcWyiZ5fdwIWGQDNjNF6nAoqR3YixGVwpBMpWRwF9NksJkZDdFLoJy33Ckfh9rqlVOsLeWZMag8G+/5mYUQ44hHxJAQYhxehX45kvDDz0feX3hzUznnW0Spu/yNr5WqP5POlgGWuKBdrDH2AW6Xnej00qcv5U=</t>
  </si>
  <si>
    <t>yUi82OOtvM+XT6Xpuje85E6a3d+rxYOSYJBFhBXB+yCTl6SDQhvZLOYA47bo3Y9RzlOEkbIvmZboMDswyDjXE+8fRPvWwPnauhBopxAq6RdajYd+556CcZj9L5OQ7f3jKEHHrslbMxtuj7+hbBZQkyUp+NOfrL0aa05Dk9PJbJ4xbw1tflz+zDDask/5YakMU1PG0jqRWdT6znuE974gVTaWsNaVBIfxtwEMj3dDXElPF2RMOVQ77G0qj+Q=</t>
  </si>
  <si>
    <t>d/oCanMZYOFrxwH9QvrMU5MJf7PojuO2MmGm0LBl8C+2jaE4OVgAPLCnt9nPrL3B/asugyNIuzdgit1iFmaQDI5fEQ5PH1UXuBefYgujgYo+KPxskx4juRsRVlT212d+KI2rYKTJMF4eaMSKT+4UM3rVDwBmExmPNz84rOY9WU0LkZP2J+4shV1W+G+xXYNrP+bDf8T+MUj/GWj45c0XzlI5eSy1lcpRllpMkVf99/spyPG/i40tASxdPww=</t>
  </si>
  <si>
    <t>AUxGNBIGvHwfknkp0A8HD07VM0mxfUMjSzsMJs3nvo3aiCtLf3Qv0r1GQ0Cmgc9kPZrwrjkjLby8BoJd47uXLwz0NCUOhuP/OJ+b/y9E5hxvj4yC7cvW+JMx7XsvM76Al/66UvD2jcMjlVjdHTzc/ZubEd8nEJBsJRX3oZBykM632+aydgN3IieI9/f5URb+EZj6Y2IwKOy8574w1pLRH1A7iQf8sTykTFp1FfhwwXXYx4exg4tBFcryrqw=</t>
  </si>
  <si>
    <t>m5/xCDK1gNOmjjpn8SdPHpEdjjLiU/zApVnvmUnv+Pw99Ph1Ax/4P8cQ0F469jJs6W64sKGr1GmYTW8AmIcYd6KycvZFo+NGDbWuiWjuOmUyoKtWHAU+HoeS85RCB4BR6LMIG2HGQSlKg7/DKUWgvLQXRvmUlUUds/ooOaKlxrgFGHi0LLgaP6NBwTXELNM2mpaKH0p/63JjmUGnG+dlV5NeS7NlMcj5g523cK3OTojJQC8AW3/pasjik+U=</t>
  </si>
  <si>
    <t>T2D9TW/XGE+nAoRt+4QU6sczPVngJDbKy4cTPz59nXkSlQKsfgtkpIX4qqXB5tvJGtIdeLdyGWPajfYJ6yDBCcNaS5jmg1piDQ6qWWhlvlpugf4HDfLd86yv7Oo3DJ82il1I7iFTBPwnqoI0cmcCMReG9wPq4RqNqMnpYY01hSLrgnZ+TMKCvWoMRumDbdvmdUjLJztzEiAQLjUM+W0B25Gw69TPJcyQTHL/b096OUqUqOE/EnRtrTxFeU4=</t>
  </si>
  <si>
    <t>NbfC9yba28rkXQ24C1rJGTJ5eUyC4jJFqFugDN6kkrcpePN676HV7CzYzDOpkW78BrwosrvGLTIvUg1vKWBmWXi5IQP25K4AiGJh+8UOWSmiJev/+Oj7KnmzEwMfJZfTEEgkaaCGKlmPpgB1Zt0YQ0sicerzkh/upTrzFeaPU29LFt73bYV+En2AgA9CFTExoY2kyRudx25OADu+F3ZtYPdJ9PNPLeeBNHgWfC8KF/pGRhZL46GKFYfP3po=</t>
  </si>
  <si>
    <t>MJkNDkrXgl3jDQHCDxIb/BWkqgaMb7TJ4Ns7hWO9awOM5mdliJUCAtkFI4OgCZBS8U8BLfyg6oYQl5Ai1M8zyBP8Gl6L/KG4TPtQAn32wgxsRZ61jmP0p96SBMtmuKBGzFXY+zoa/jP/Nuv5/rcXQbPNL/5/jZaV5KlcmBOVy68EzWehl0JjrIdhfqWf6Fi20nhziMhU9Sk1oo9rJz9CEy49SgWWrafcZtY+M3fQQgTOwKow3yXLckT8fUI=</t>
  </si>
  <si>
    <t>OlIfr3FGypvlsJyBZGQ1HqRBzZB9cdJKp3koX5XYg7ABYSZCSY7LVPNF4XMCjT6xgmcBh1/+1526UcOo9YVOCHZQwJF8kJk7Qsu9+InGvKkU9XYBDrUl43qzOv4ny62OT5RLyUZlt5saMMB3hIrZL3DMz/gby5OWumQC0AqIDUzGDpbrJY0qY6OHPtvA/zE+8s5Xj+uTXaUAEiJ9YzJ0PmeVFkSBwGQH6SXQgtvjYu7WBVM4Ayw6Wt4c9Kw=</t>
  </si>
  <si>
    <t>PHUAcWhzOX/fZOhUf1Z/kIoaPOatjCo7WjbxSx3EfthEOMgKc1oFLd9GnfWwkhap1RwxDPPPCu1LZEzIeC9VSiMqktS2J4sxiNLOppxGFsqITz9+a8gaaPkYnrFLMDhz/JbOJj+v9lI9WFMEKulMz/kEeJ7+Z+xo30LENdH8CwkKeou0TMFS6mwX85lIS2DoFX8W1IHXxYaCwgguntx/axD988mDpOoU45HyX72cA7k/bhwFk+Ckd7LEa2k=</t>
  </si>
  <si>
    <t>tiz0Ct7BRQ/fVBFBsvc5TXvsRV/s9B4D2dh8TdmEC7clwV8MIcXsRqVF1AaCnx/BhM5UOPVbrY9BgviCZ3Nrw3fMNd0wieyk47KM8f4rPVbtwelltqRJ3sfaUU88nfqo1LgH8B1X3hBwjhQ/bfUBPTyvFiJG7CWfgu/cLdefE5eqZ2hWqjjFog2HDDRZDj+pHHuFRQSgbV5tHJwKlIs9nC9sIVgOoXeVXfq7PvCuEK5DXFzjty1iPUWODDY=</t>
  </si>
  <si>
    <t>OTrLsnHu0zrkP3Y+CNRv70sZYPRRTdMRir6Ip6vftz5UCeAVtZzp4n4SDtPbe8pRy2kmsYG0nwzG3mlcNXLJef17tGvAgp6cr9HlZp53OyAOVRbT8692nh5uwvK6F3PUdVAiIY+zdyTvTBYIUqevSmhMAMcHPQ2oCTgTwKGOJMzYinf7z9Gzf/CjA9+RYYuWN2UrITYAu11pr4s/KdRig0Y2swZUY48I3XZJOq5tyELUjf6VQE7sZ4Ttw0I=</t>
  </si>
  <si>
    <t>4ktdjlJwTHhYO0oU8rQ4fF9BP1+6oGdhKQ2iGj/M62HYgd0uYJI7raG/DR7bkskJ8IYbUMbrtx0WgDRXZAapqDbVlIxBj3x/z0cr4BWd03FwKsrHwQ7sTyQHev01QzT89aHwsnSqTANCPEyyCBxvRWQRy0+MQH9l5GRWOjgiW71LmjHx64X36OuvtJpgrFbx/yeABVtfx0A1R0dlTklTp/tqhOaUEoLlE1Qw7eRr79aLg0DhW9T35YIBAqs=</t>
  </si>
  <si>
    <t>aiYzOe1D16rpElLGeZEBs6wgfjwIyY9pSVyxNEB55KjcznQzntWnQUOcAoENLDWml37tXEYnD9qVXY3F1VwLIeaf+gumYj6MpAs0vAyCnOzaZOlUyoD0uHYdMkSB1VPoCHRvGoIXXswoA2UoqBVQeeowVQPTJyGjXPlwU/7fRuaLlbWKxmG8MNz04m9INw7luV9zrp2XyM+l1k8BHeeJIuh4kngD96b7yRmZNFYUOKGVQjqtdaCVfLu9+/U=</t>
  </si>
  <si>
    <t>pphV64kNycLnkr1N0zz+QSrxM1CdtnC6stKP2bFs9gek1uUALjJ1NucDEG4Kzas0bZp2UIrFUOyzudb/zkUCwSxicYwTdlTNQqMZ0FCb+sF4U3oBb4l4UqK92yPSfEN2XIvPtrg0dTVBXYU4/SKhUZQdOlI5jHJVeMz+ZMwSntpCkTMxXO+DNWQpwrGn425g6l+hRG+Rev4kcJCWqTVappeySBHRFXDQyAbll468/3co1YO4m2II74IXV20=</t>
  </si>
  <si>
    <t>8NmqNTSwDz1SlTZwPvPQ9R9kfDh3lggQKIzt9rVIT6Alf+N4tcLY38Ge1Qoc/hs6J5eRcoQG7I0mXYe05bSPjPZpcOsSpIB0hDTyrJlQSKKnC8nS6bD6qVt0UgA7rsowPnPv77zy8DK5geZ7eJmy3hfz16i5sILArzEoZ9d82MwzbUh9U+v/TJ5U449PVAG18KFnk2St1CQNZVgDDWRJVJWCmu9s3n5MGpWP0ia21zyW4yH+VD693QL/3Q4=</t>
  </si>
  <si>
    <t>9FE+Bghw1b6vjYJvrfB4hXbRrqrjZrbF4s1uxOadOqFuyKlPZzy+QgSdVz3yVdNpQWx5n+yZa+5rEaqSwwl7U23z/HtRoJHGV9zT3Mskpp4SbhKkkX4kn4hqfQwdOxlFt4tYQDn+vAlcAIU7PlrXsAZPVpzS2HS9bQMyjR+7t8MmUmIkyGjAeJlCbDTUv8OmMDpHnUk8P3eONYSK4jesE5T3+hWmFp7aCZ6q9oVObdD+Pe4GRUQEddDjXnc=</t>
  </si>
  <si>
    <t>lSBY9WAZG0s/r6QSpsm8/1DrnE0hr+rAaJgE9wMReXLVqodB99uxImgHUZRZexMJxGGC9Zde9efNu8CUvnm0+JASDwDW8r/3pkae1BYan3vSidLA4O5hsazXA94jeAJw/0ih0Qn6BX8yq2otX/Z8WYbk/BiTTmltkJ6j00cK3KPlr9Zf5jXQFgCmizoOKNU23DGtxXOQJmixfhF8aZnTdornWkDKh8VroBf/E7myTg+cPVcRg8xMMw8EbOM=</t>
  </si>
  <si>
    <t>scrTgaMcyzQVUYWr6DfiOZT9ADaqNqWZA+P9Op+A2z2SxwHIFZqgkD7kUEUHEGpiBkGkFFN9bguL+ieFZnIkGgpI6PkXYMGmA4rM42dYWW6n5Eyz1UX/OIGWjTGtqJ/q8ZJfKl5ueHT2SOYZuop5qoHarybetjrOpp71g5ZiELS07ERZQAn2ehb/DPbJaJmXPP5MzCTGD43DG6G9/zuooIKpY0dRraJmf3sFyNP7Gg6shZSQJKRFMJG3WrE=</t>
  </si>
  <si>
    <t>/2EE+XJCIi7sqiT2ITsQZjKxbbDyxdfm0Uz2IGW9WD8pT+lk+2AOpAQKrFcunApS7IRF1LwjvyX8YR45WrQSWguK934y9ndsdsGQtc8CWk2/673RZyE6NhENp1irP2WDfqxX7Fn7EQpOpL4yv162TxbsL3MtYfZzDy0AFYc7Czp2FrJUUwWeUHlu3XLHRGYSFHDiW4jZX0JF3YzqL0J4SZ+LqdysUAYhfrsyQHE8WN8zqn2BgWp++AM0PGI=</t>
  </si>
  <si>
    <t>1Y42jzmA8eUNcnYamot4jSMjKLq+wg7IjkC2PDhSsTR4hWbI8QSyjkpwj8r8KKR6T2v9d6eqc8Bb/kYM1zVifFQyU3ntt+Ti3NPCVLtgpagvTjrWnOjSWnO1E4z35WGJ+t257WR8Po6mqF9MPjs3JH8l3JcXbMcQ78bJ4zrGP6MuYofXRSP6zNpdOXLbUcRuZUDCfJ8X6Uyie1DLo0xt+NEkX4Rki5qDbZbbbpxMv38K4fmkwP+awjTxZl0=</t>
  </si>
  <si>
    <t>i/k6rSdB49TncGytLw3HLptzUyCYvwHkqwIEp73D/oICs6a9BXLtYxnARdnAHf8pH/InLxOhJfLpSqHl51zUBwb56K95skXI5Ngw5FvSQ6KwzgAWE5HxU3ffXC7RzXTnd48D8qN2qjF9saOJAzFTINyQ7rHGc0Hxtlm7ep54fBlBQ/KkyXuL0e5TXbGQrvUwOcOUaddgza0Lklo9tYVs8iLzA3a5WZQWRseScp5L3EkKV+Z+hrZI/O2SPcQ=</t>
  </si>
  <si>
    <t>dQt+B8r2wM+gfBt4XgmzklW2KP1WgFARQb0eVNrMeZKHIkCIMwZKNilkX5eAPRxcqzxbIOAprzRBu//o5QAdeF/kevj+aXNG5b04+AgrPvETGhmGC/WhyWPvyQ2ctXTW8qgyu6S0T6Q8En8SVI7YYYjmOnWco6qeHOj94gtsoeVCzz/Z2RGD+f/+Ru2W8IlF4nv0TgusdwdRxbj5K4/F+N0IR2TsWtil80MkktE3DqdtI54nb37LR1otJxU=</t>
  </si>
  <si>
    <t>T6cSMHZhpWw41aqROtVHec3aD5E4tO9JQu+WMOVI+GmJ+jSmKODv1yE20qHXQjUjuuBauoL/fD10YrRRY8IQ2hSdF6f9fI7Cr65ihfc/usXr/G8D0PcIqAuIdwP+saC99Uqbji5tg/lrvqMJriF0Yp4PI4S1xQUhRQBu4C3Bl6DnYoXy80B3ulR+nyBd4TsOccCAHM5mmKqbTPLynQaYHV5INjImGbYSHSyLq9gkQL9ctYaPTvEaJZCRAd4=</t>
  </si>
  <si>
    <t>3IAifL2GJnY7Okw3WcAt4x7B6FDYTHdS/zSp45cl5LtATJKMliapRiG7GU7ADF5VU5zXh1pZG9XFZBrI3blxS4tJpuLoautIPBH8kO13mAlwCLAw4jyZm0fNZ4ZWjisoGG5CMCTqcoVx5Bygq5HVvbfcROTeevmoMsDBrrAAJ79eoXv2lKMXqYiJtk6Vohqv+/Fpv84PirunHsjhzCBFVx9/wlUoPW4p3BwXLr1iw0Rhh1njGTNZXZqtI7M=</t>
  </si>
  <si>
    <t>oubGwm8IRpg8dIj8XkiHVUwcz2uHXuZkCTi+t+mUcLYLhjMQxJNnoKu9oDk0Odd8r3VzBWkUwQzL0kcW7jHJYgPVcm3kkWEqXpAZc9TMNYolqXz3NFdvp2tDea1aFbyWfbpkzyL4TwS1loxLlX3e9SsvFABBxumvYHGepoILq7GoZg4caQQGRqFQ0gge2SNsjDmocq95ExMsmyEZzm21Bmte0PiEP85em54J1smBWjjqsJCuNRnEnTbnmwY=</t>
  </si>
  <si>
    <t>in/P4D2+bgqLaiX6GI7GnSQ7F17IN17dtmGb4u+s+I25YMsCczvcfcR4iK5OstFGWtB3RRZxbSMnVgzk9KKCKb2V+TVRNhGfumRId6JIbBqjNk0tUpcio6KDiGe84KmLkezGpDw8MCRfP6cSdkT02LzNnp/gyJ8dN3DXJdKYsdx04u2FRf8X4fnv+gp1prPOpqLy75Q/ZzUPzx/FxG+C5TPaZtz7X7Q0TtKtzPUf2gkHmeuizI5ws3zUKhI=</t>
  </si>
  <si>
    <t>p6Fx9LkAycAzumt1En7CjGlsRoqwYbEcCSwLQpDeb++kUcDM12FP79a/VKmk8C9bmjiPIG3zB7y3SMLaryDU6XAr9/ROrpJzQpgJCUbdaVDQQNt8Ftzorl6gPwizAZFsg2LU3OchClBwRATmL23P2ewYjJC21A6eoql0YwisUtY+hs08RkImLQSgKkDy5pBba+OHY3dMUoTXjBJ/MpKuj5loY/IgFfVOkAR4ccAaynrWSSIFfSvtS3ybiqU=</t>
  </si>
  <si>
    <t>tcaVmbty+O4FC1Sbh7vPVszffBZKtf+d2HP0m9J/VN9qtHmXy9mFRvCKK5C4OH8Uf78CRT0UnOOX0K4idJPWRoFIH2nIb1gNCqBU4QiSeqkOXe5jyFnPrD00xRki2+zu3BHcfPLPPve2J82FoatQh9f0EZLRmCEL/FT121FQxeKQU1WoiQ9/8WLWPn+AE71lr6eKwoh9Hpr7RCqdWOOgsIxPICropLAAHZ7OWDCTf5nNLqHzQmlD0H1Nk/A=</t>
  </si>
  <si>
    <t>n1QN4j7qx+tsuDPAiRtzNA5YuSKdQ9z6WhwQLLhs/hNyrcdrIci03+n52kEZPsYYbhLm+O0HaFLY7sH5m/9M4zmCAUs/Z7ejyepkNbLMgV6rkJSM4om8lursc/a/pm9SkmFAQAEX/tMCeVUdAw4NACuKqjbSCgxx3GI3XoSLgC6x9EKRL9Uf8rDVxaoFi9fen9paL+NPIq+RTlKmoe6nkfyLAeKipiL/bp5WkUczRMrMZUwkRuPT5t6tO8I=</t>
  </si>
  <si>
    <t>NZ6vQv1HAfRbXM8XruNAAUHURHOhF94rISRQU36uU0xcG36hXxA3j2hnYdGMscOhVTN94RXvDWxSKWoZLnXf6fBWLyMl7CiBcvBLAGSgjMievZlzZSQS2yJRxIjuGDCM0XaVYBdxLVXy1noT+TsQSUwkDSQQIj4mOpJWy4Wgr0Ref/nHpha+3/OJ1i2P28bjmZDznfsQqxy3XO8aZlnjmI5nuS10ek59E30m5gUOen/ePdseclEJvCmyG2U=</t>
  </si>
  <si>
    <t>qmMR7/7w05CcESGgugwGfp3ln+zfKIPDZfpmPMBZ5Yw8hbDj50e2rPdThmCz4aVQSNgKBCQ3kwWi5Z0Hd26W3fkcLEjReNwNNlVsLaNeawE2QWtJdngv0e8rwhzB42KeifGIZHr4sgGtopo3wqKyty8Pi7IFxxleSaf6YUtYyZQkIHhBN7QUFXJdMF2oHsHIyr5M0uqn3if5tshd82WaAZTvbN8/JP4e+P7328VfZw732gQWjXLtRaBA0fs=</t>
  </si>
  <si>
    <t>ZjOJgtaUObXXneWPP4ce27mMzeCPlXLxvozE76J9n83wdQWNJCKdgD6cT+GVJ5mLsoM3AyYqhKCOe85gZabI2/APRplWdq9T9Ts5z/HcVBlDJd33uF3CIawOShvqznvza3PXd9CzRBoN/ma5WfYaV2ZcnlHU90zP3GC4ZbONfyJwz9gQC6yKTCmAtRxpa0XgxsY4yC2CwtjF/M5GZfMrRtYD0Of6LqC1B+Aj+ClGx7pslKfGj9dqZX+gT5s=</t>
  </si>
  <si>
    <t>noXJIY++KeCPeF9Nkl9txrHaBvhX/9aT8jPS7c8QNsxfW/8O1vqgUzP4E2DIgGUzdU36GdnsqTjZW09mdUQFMHT5IKPktZHTec6e/6H3LQNc/SOL+IEh0XSwny1pWrk0PBpixPqVzlFjhWFJNwA9xox2MXbxcx7JtZEUowlfUUrgYe02lHKod9uBfBB2Y2aKjwkcfIb7gWSS3A2f2DtngpZs4B/gre5KzofxGU8G36DcCHl1B7HIOW4yjUM=</t>
  </si>
  <si>
    <t>jJjDVt4KCwjpHLuphykdDuMxiQo+lzi3pvCMeP/fbL+zjK3OzgcY8yEMaQ3pzlrZGlcflbmICbcFRAyGX+iQ65K+r1uiJXUWvPZINz99IM9SEYmSKLwG0arEooQuwausPp4tR7/iKQ8SvKNum30de8bcBSdqWMwZVrm+EFOMiWmnoHH5DWoGXyyOOaslCLwZHJ/3ib/S7aFT8bXWWo3b41jKPKjXBBsBbV6YuO+1J1glQHMg/zN9iqBUbl0=</t>
  </si>
  <si>
    <t>KnezipbUg2zsE8JhiXLLvB5fQr1023T4StIuXZ7sD7v4PWqLH2IhpG+9VlGsDW+9b/UJj4bLWEOsPDSIvWO/fkdG4p//iI36YfLTbsvsJMHrdgZJWdaWwmOiEm/lyCnsSeq15J/QtYbbeIHbS9R/pl5nM/+W5X+xGY0HpQBgNEWybbL7prdvNbrsK4e3Rb2jf6+fyHNd9SKB2Ejv8cT/fO0xca17P3XS4Ojg8o7j8u5H+THld/Ts1MajP2E=</t>
  </si>
  <si>
    <t>iY+Q4mg8fQPDd+BvlHszpijTQrsM3MM7jMEdD4qszVqwLc3vDO6we8VZtF1GifIqGQaUG3cC7A5ykJ8qCJzBowzYnpxxCTPGvCOLUovEPVu1YKgRx6PjsrHrVSQXGlnC/yhP02aK8T++QeVsustUbD8k//YAPvULH6PtNCcV9F/LcbsZ/k+FlPjLeog6PqYaHRCjIf0AvxkWnF6DkE0dlCdjBHhU8UhHdYgRa+C9Dyu/WUk5m4F0Xv4OTkg=</t>
  </si>
  <si>
    <t>71iBNObiblachD91q6fIxZABexoRrzy4+1xymYfZCnyQWmw1LEYCx/nXb7Wk9PAXXTg08qUkPDgJazDwf6f2zHkjXOIcEcltxpkbvgrfU7TgFIiYs5A99sFHcWhd9el4i32pMCu+tFSMzEHIfe3kUDD6aKCQUbEsJqr6aENym5IP3st3Iy81MseW/gxUcs+Qk5H3uEUaI29fasC4+XuoDIMc3Vr+h5APlunJvJsEFowpKAkRplOAFhIKS5k=</t>
  </si>
  <si>
    <t>o5xlqdKyH3B+P2iHzZNHmhU8tPGAt2fgGqDVzadKseJbf2DiQvYV+6roY6s+BM7r5Q7F/N5Cbyc7mXdzMB1eZ4bZyPjjgq3JO9TDHZlrmWBCa4Z04dI8tjrqSPS9r26j1Ysgrpw7Mu48it1WYXAsOcrcbb+aK2GBFbs5lUTzq5+ItHlKB0q92eIyEDA68w2dVoI5sPAU4FqEWhsqaGosNDSVCUReN9Zc4qdCk5MbuXdr8WHKmUYq88OXsTw=</t>
  </si>
  <si>
    <t>dpjBBvYrsMSLVBn8OhGdIa5VxqNE36R6JUN4uCcEEOPar2tc1RkzejWxgglRflrOXgRn6N3KI+7XBMKUalj2uc4xBarwmXAeZsMhJghDjBdmr9LNrX3MSqLVeG/wrb0b75Fxo9TfpM8py6e1WxzVoxNstgVuBLskl6dQU8/Q1zDCf/qKWw0ypTrKTLy9ZQ+H7MNRkDN7Q0v0HH12QbZMCffNHteZlhkgvZsuyf6Kxgndvqo0IN7yylQQsec=</t>
  </si>
  <si>
    <t>nSM1YlDoaSx6QbUiKVaacM6v3hpldTBC1+LLc2c0gQv7ktNq4OFKb8MC+S9a5jGLhtRsgF1DxZWmm2O+oeI0PBdHDpg9mw44185EfeRzQ33lllSXfkt13VDW0VbyM7R+6ic3vy4cvY+QttrDCtuHAdKfoTZXtxfsSuebupD3LfRoCfYkyMJbvh5XYN6l0fqb5Ps8oF3IvHdb6Vme+/A3Q1I7+UfX+zorftZa5qAfPVD9B9+Hb1ECkjylk/Q=</t>
  </si>
  <si>
    <t>vN46XAA2J3DGjkBphBqTxoZse8ZYMhsGkJDVQ+AUYj3sddNLCuXfR1CBmJ4pZACLo5X87YQGQc4wMmKKOpEs45xmvYwza8UN1WfPpTjQY+VWnWvHA5G926Z1kEVlIOmLlu5XwmP17vjQXKqYwiBuQijVz5Jsm952fuXfqsjhQIM25Xo3GxcXtgawRkNuUcniIxa5vbJaQIMX+mSv5LNKHVifCLB4ay/kxcx0yZ8MUn3uOykz9O/KoX41qv0=</t>
  </si>
  <si>
    <t>RL1giX5K32JQOmxznQU447j/KudvPgTFeuoXCaSNyZ0JJBzc4n5jchQihe6He50oyx8wzht/WXmSG2PclTABVP127fciXKpVe7cPAwQoBAy//1m6UYjtxUJa6/lOAOmpF3gWZDhI8sh21/RclUjjPfscZrR+Q824zE1uLzv/z5mEYGbgNjbST3OycAnNVvUybMBi485QM1lOvXi2PILQGhb4A+pOEJw4dlyr6AdfefWsyNKKXdyI3OH1SVQ=</t>
  </si>
  <si>
    <t>4AVlyWtEfDk24O6J61glfDLhbL8MoPmts/K7ys8xhdUv2G96vTwyfR6GbX58vIKzdx1jDl3/ldKDw9mLKHW3jYnMi0NhVt12caReqvE+ZJpzZq2QCNYN8LOsDQjO9yIQ/QkSAE1amzz7AwQd1jjgfcAsirqsZv3sTKaJpO1IwScfSKu+0S+iPEazisWSXYVreh/PiqyS8Ko6GcNtNKfiHEAMjjDoiXo5i0UgxtSuDORuJ2KwdNYGeVWPwtk=</t>
  </si>
  <si>
    <t>6hfmG4iWBM1jWm0yHMTtcF4aAeg/P47szp/ttiXr868ItF2uhp+barefO1A8G5nOh27SG1xTki50Rx9Gy0fFbbYHAYCTx8j3Z99pz2jUR5IJvAzZkbdzDmOZMmUJG5dQ+eQ55XU24Zkxkblc3enkWY2RA8ANd4PeGJPiYKLjegHqEvkev3/Q5guXmi5BjshAGRfykMxsuZ8zC/k/XTVuRdx6awHcS98A7aYyXOxZrwVTEpENJfKO6Hg58XY=</t>
  </si>
  <si>
    <t>4yg0HeGff2ryj5Rx5YRZ6Y6mkycvWxXEIDiqKpPPmt1rOYAdgwP/4lwkkZ3qlQW+jBJTJYtAbEuNLau1enHPfAn+dWsUuzLSa3PLt/hqHZTlLdXkBo6Tg7n6mtCQIWNvsX7F9MeK6L/je4oPY5Ya4CRFyskYu+CSuWUEbnkSQYasLSl+DsCroDGLO0qtn53Q5ZEehqkZJB0cNbtreBxYbv0jxYVvdMTBAvTdQiSMoJcQCovQ1mS5poKJQRg=</t>
  </si>
  <si>
    <t>GYhlyZwmCXNIbrRo66uthBpVCBpTrJcJHOeWht6WCX+8JV49plProT2/M20bWVjgk85NbLcmQvnc5DgvBE5giLAJ63QicGC/IIndUwf+81TijCGMOxMb8eiCa9XW0HYWwGPTTf2fv4GyvV1S6q1035+QhM4ay4JuRPf7HrFISeIC0LwPUYK4Fj6SJaP5H7/NIPJ3E3uuWTt7KQZSDPRdQhQGAG+yotmNyrbdRcSccwa9/pZ67C0tZEqpB9w=</t>
  </si>
  <si>
    <t>LobTTIWk9B99i6E8Z5G1GvWVdpu4OxiesWc9h3Emkm6Z/trMu6WkN7eUSwYHaVJAoppxNDrJ40sMXP5qUKDGayBPzL0yfCtonxvOq6fmjzcW9VESLTcur5wHrUu+eB+WN0i37C+mqkEXWCl/UthW1S8lASZLh6Cg6F79No/jIJUW40IX2NgXn6SgS197BkMj99qtcnoNwfChWQyFi6YQhQ8NAE1FlQxQmr1wAR/LsNQjK5ku+DIdAERqc+U=</t>
  </si>
  <si>
    <t>vXVsWHJoe8T12YF6vP9JZGV+eGWJD8mV+OCBDo+lUmOO06QxocfhskcgYGttpYF8dvhy7wAFOOUaPoJLqS33Z+zkiptI4zPgCB5VuNNhPG/yAN4ixSX83Ljaj4pk5TB000MmFw+EHyvv8Y9c05NiPL627fIDZ2Ed9OGXDxkMhNpon9hqeLDTm3NHRoeDcLArTWBfiOYB3Gc9mJ+5leflJA9a5+lKiVLLDvALUwPoILXc6tX8Fj0hIGjaQxQ=</t>
  </si>
  <si>
    <t>fpecZfHdt7YkNCSmVKew1TMVeRVGCI3AHsMkkvCzV+topYJZF5IGKic9V6vyoHujejYDXcLj3yfKFlR/M+dsTPUKUsOnvla4B0u4DwjXieT58XwOI3IPvGLwz2SP1aW0BdftFIsS/eAxiL/f/i+rsZ1+tuLLgZOBTLb9LJcwALTicZEbusE5EYj5NPjSfuj4sz79cd4JC2OPncJFR0NCmjZ127q99AW+q4uoc/FrbP5X2O3fOi5l+To9d1U=</t>
  </si>
  <si>
    <t>zdwWR5D+4sc0l4Q1kLmZOIiUwRhgBReegrFexObcnLrw2O/Gxzk665DlnYfR3XJIoLcBkm9ZMiEmyCfivp0lbZMjsB6SRlIurn3lbp/+QAhp+ogzxBMrnB1bnjiQDS52fZDiy/8FenaSM/Qh7HyUTbQX9oMZ/flaBk8SjwQ8Rl9ak3q146FNZxKtslTcrPMUjHvn2kVOmSxlWedIMqJ0QLWAQ2RJl98a5eGprfezGrlWjMeCFL8ask4RIko=</t>
  </si>
  <si>
    <t>GQtINs2MbdldyBLG+ju2jKM3VHyeB2t5qnekNdRTCR1gp2LLlq1bZAdXHO4rqxCRXOjbZ4tGilNOcfpCs++5qJMTILzHRIPz6HZyTTp28B+B2a6GHN7RzCA4YFDVdoEnq5+p/5YNxnTr83mln+yw9fugOORLF+rtBL9+Mbcf0f+lm9Y4sqyAzrgNrAGsLzUuBQGllP19jaJqA+s3yHqBFQ1XZfXorI304tUIaKaRbBSbyEMovnKU7TU2NSo=</t>
  </si>
  <si>
    <t>qKWyC+pxWfBR+GQ5mevTXyJwPp7Y3nJ0N3X28qAWNcxMWgqZRWx9Bv/CeL5QzQ6MOk73XBZk10E3fIqFKofPn2LPrNPBnLmlWSrXmwNDWIyuDFNZCfPNvzkap8coNrV9hkFhsxysg5wjUxGAuYzYscEUSOX5Iqgo3XfwmOv2G09o7IxfNlOfAXVTwxiecx8fYyLV39iwFqZb3Avdssm/cMJ9oNY0byYhoH9+Kz0jchDt25fk0TQGOu4IbbU=</t>
  </si>
  <si>
    <t>ljxCsVHz/wi3r0AJ+byPHsVoM9anLNU2X+HYjEvdUKgXa1W7Df3+VZ0aC4etHWvV9WUv8fQIQIT0E9VPfBBstsZ6Mg695FS3cDAtcIqfp/UlJR9luv+JEr4vNNzIZDEdFaDgJjMyjXZZ9llFkUeKJCHCTwaXXXwISFZAqKcsedlKQnFUs91Cuq9pkbDtIbL0BMcUIKchP3IO75pyWHTsZvoWLe32FdPDSUBsBItWN6bBOXkIr5UJXnfsYUE=</t>
  </si>
  <si>
    <t>s/92o726Rk9r5KCB+mw9sMHbUN2UahoWCU44x77kEeZ3L/g0hUssYrw89BMSuf3+9Njqb1BGPtZXzFBGZZbkhzpAGa8iYGRgKvmWCWntZ4Ox/XKo2ps5lbJsPm7VTH91LY8HgVkc+avE95Q6bVebr/J4zrAA9Sy+1SL1XgxliAnIE/7IyRPDHo6iRjBZceEDrVY8CL8RhG5f9nVaGg62s8HzztGZmWRCzsCX2tAEhHqzkW7UL1yJXB8mRhw=</t>
  </si>
  <si>
    <t>xrX29ErogHGzW4UJP85irHu6dT5Eal6jmuIL/XUm5hgO7x3jX+y+dHpqDj8bFbiPnqJlvITcvQN73aOU5YBYmciyGBIfnYNuBgyEzL6QniIn3Mt26fLFnMHc5uUilBXe/jFgGeQnLah0J9Hhlsen3xM3MT3yWfz3JcGL3+JqDfuibxn1j8y3tzqyJV/icg+03o6I374gwDWvVzvUK+BbOyv1+jQdlQFmuEcVDrV1lEv5t6LCMStr0j9hq6I=</t>
  </si>
  <si>
    <t>S7GaTKDAbOb5RMxGfhBdiO0x8vopThYK8r/T2f0KZ0sG5ig18kCQFZxO9bw8LhoOkp5FcYmeryI3vG0peJw/cSK832qa2XuLZEzAa4/1v8v/+I3EHW3nVu0jcDsKAgmI2dJk7pEvrXQydObq6XcNkDLPEIe4+k7equzO6B4WVcCdX5Jk/9pyHh4PuNI8HrS0d71QQ85qxP9g8gsk+BULhIZDAaZsTxtLS0oXcYPgzlXAkw0cvrwz+02pFr8=</t>
  </si>
  <si>
    <t>xJxtLpqHDxGGcl9tgfoa1KkFy/GeZi6RBcnuZhOzFlK5pjmivT8P6JCr6BgON1f1R/Kuqvemq2Y08ygE5IQNX0+IqtBEVQM6jt9kyzmSvA1NZwmDNlNQqJER/5KWtiHP/MRidmOS0LCDG2TP7yi0Z/2Qgw9i6vm5y/v/nPu8P44GsBnL0g46j+YATHJ0rsurUgDVl9X6mO+qBunaNLfNgl83fjq/BGtR5h1iZKNh/v2wn6nLNDFb5Jbu6aI=</t>
  </si>
  <si>
    <t>7IEZ70r2LVKrRcpg7lS+oBe+Y3d14GeCZOYFnu5O6hm11cerm4GOQHO+n+OHXqifsww3PfN2YN/zITyM/j5KKoZiCafQM09yhCmp2kv3AZt75huft2vORAOBqfLAqf4UEZM2N3xHpDi9HCNgth1yyBuGTnbWpRqI2rtjjRTpHKwq3FinNeKW/a4s7qcicLYMQiyUdBM8jdcU87pieo7tF1XQrsxLH9O/k9Z47nJwpBeKzd9bTj7rmrTslpQ=</t>
  </si>
  <si>
    <t>wjqqmQLz+Hx/o+Blr1ZsUlisEGMDAZrHtajlpmTQ7RJB+pbCMivH4+ePIrznv7NNYSTEHVGtjFR8tQ0km7EtzE6IKXoSQCGWt23IxQDVBUI43Gq/iMYrZC6tqkq7NotbFPQ/HcJ3R0eRBk5S+1sUlRHJP3oHDgM2XVdbCE02vYCFLOFpHXLb22Ykrwi3eKt8t5w+KMeyhylA8kLzGGKNKThTZHuPcpq5jWNgqwTcYeVgXoSHEl5Ir5wNiJ4=</t>
  </si>
  <si>
    <t>TsKQ4Y5EqXNojkcwHzvtPLfZHRii2wKUO8zqluOoPXXzlB+/TZhgvSiNHdb8RSMfbaH+n6zruc9WMJrXwQkjaxAAPi5u1xUtoxyicMYOICCzHWf/ITvaVs3tRwWgzsuTZ7QzQ3FvlFAtHOMvBHhdaplW9i9T4n4HX0KtYzkqWZ5dnSaQSx79DFCLRLZ2dYI7CyLxKEUMfr658nyRtcIeBPL5Blx4RQDTmf8ar2CXYeqEJ0beJYB3wLpx+N0=</t>
  </si>
  <si>
    <t>nNldS9Xag4+YC4mvTzM52tXv5xwTbol9y+FMxfST9ubdue2TnepYNHp/o0Bjvzo3njSwbWHbIXspqopZXS2/4Yn4ub/4tkCA+xt3cQfD7aNLYG42inGV8D2MGoD1LTOYkxHKQEOJOqcpJeL6n+2nbEuOLadbXiSnduh8gRWPex8Paz45C7NbI0VtgfOf9mksAdIBVXnWx9hGqJCJwzIvjp9BeunVPiI/OF1BcudKokOXlSmtFjUyuF1insc=</t>
  </si>
  <si>
    <t>lX4NUcipudie1t0dNMb56X2QaeaVR3PsnJcBXZ13KOBeMaxXfqIyLDhEdSlMOLSB7rlWjeLKDpYVFXeFKP9xJOjHK61oU1tSQDbJ4kI71hCBe9ngxQz6xcdYaPj26EpLb/wQByqhUxmTtkwvu0wNtTTJJLBa7gL2Ei71SCF+WCN+RaX6Rg4wGTyNwkZo4cJmGPmd4tql7ReTfVJab81Y1ttN8x89CnhiOrqrqUq+0yckZIisEBuoWGsoxjw=</t>
  </si>
  <si>
    <t>X7GcyN0Uqj5g250X4g6PREZFhV44AatLBs8QzvrkeJwcBWbQSmVye41PENR/d2sKGle48rwDEFVqJZZBsxLjNZ+yHxPBUqUR8USs0JWNv8j4vzxdzA8zq/tSZySDicctV+qFb+HoKfyuBt95qskOMCsICGrSLJYNtefXu8Dk3SaUiVGqb+/l3NzPLNnCP+QkJR59y/voQzyEF7Dl2S2lA2K03FD1u1PhwHAXz5anKZE5nnWkCMA9NXfdaqE=</t>
  </si>
  <si>
    <t>UwBcxjPdZfRwZlxhp2ZCXNP1/1zzDAi8PduQ6WgfN+sQExDOMexmLEuYxqTkCkfjSuMlk0nndjoUVZPzw5wrBPH+qJ06oepJCP/JcYX48pBg7o4RIShsHH0blQcTrFEfjhSL07AuySkTlp9aZRUP3VZbPyCYzHdFjH4i8jvHpnXuDppOkDTKqf8rUQxcAIjJE2kcTrBHks1tB8KTeUv6e/uVn3nvbMrK77Bac+YtNzYie/tG4Zu8Q8ceZCk=</t>
  </si>
  <si>
    <t>LC7UeWWhuEzQ9EzXnx8OL4s1PtH3G3Fmi18eNbmojXDNha5MC+2XHFERxUoeLfeUa4lw79WlEaFIQio412HsampYh6+m68gQCOp3aFTF9AJNLixZuQOsNuBN8leXpDYWJ3CXFeHptUE3Tv5GJAWsueT8CD7kKCOmpQFB5Wdut/TXmCDVKcx3JP+MUwTkvGCMxcT6H1omvOyS4uTWYVvxsOoeDMpngknY31xmGiQ21ljAtHP693YpWJDgFQs=</t>
  </si>
  <si>
    <t>jVnZkmd81qG2duiXOX8E182hdzgRi3j0DbJzQlqCkXnQDzkwY5Rwn4sZmGB+HhDYs8oeqnHerb9qGFt/oNAkfhQXLZUkcf7XkizMUe0npmpvkaH6FPZ+bqxD5uMEE2z8yYYv/CuquqJ0ovdkRoyICF1s5JjqTJEmbGAU+7IJ8+I/hOEetkBx7Wjs3YG8lYVT48oHu5OtBYQk2uIHb+cBrhcuIY4G3Fq0uvfnSyDujQfmGW1taL6WuJmDJxw=</t>
  </si>
  <si>
    <t>exJHEbv/4AiQgbWXI59Bq8Pa0DsjZcw/c+r0HderTunmKrVjOnuAzZAG5LqZXkCzWLgJppWZfo2nm2DEtfxpnF/kEMl4HYhQ2dJuOq241LyFc384uDeEEuQtzvU1sX8s5VlgpuhjhEfAV6+L/0RRclATTdDK+TtToCNKH5NNZiWbQhsPWhLDIOztlllsdgYeRbnvPxh/+sKI2bQIHow4euSBuiol2iLSKkKGaWi8XNpRhGbqpknUi+tL5PQ=</t>
  </si>
  <si>
    <t>PLCn0eqYYZe96gohPVK9MhlFRmWoZCTZlRaFEEshjCBxl/yZUK4Oy3kW8Hq1oesHLq5YAsKtcEQ1AiUM3nbV99VXF0FUErqk3DcrrZBzNOk2S73ReNRQmyyX80QpSJLk0Am2TSZAJkS+gC97N//dpLZg645qobh1Lbpz3ZetHP4J/+WRztUwCmmc/78iIKS3WOTkGgTHpTcR/nbzd/0MSC+2jLSfS38NoQ4zgQGr2/16vrWOOl1OP+BgDSk=</t>
  </si>
  <si>
    <t>mUF00k5k+KmqFWq/nz7sszbbnz1JAMnkntq9a7NoF6wf/OCapTGECa/qnD5GEklAi8QtlE/Wl302otvOLV1bXhfleRYEPveawKoD3wQ/u9qPqufghnzEttFBvtcvzCw8gJBCc53Ys0AlIcF3bTU1LF5xmJr2ke7XDr0DrtoStWVGc5uryzrZ7dnOddVDgv3eJhIfe9gDq3x7AsMInoy9oDHJ7aTVvLL/KncfjvzNisZT8ahPuZ01VRqF4f4=</t>
  </si>
  <si>
    <t>TvI/QNEkOURmf0UIrWt8GKtCTgUi15BnMcKoJ24iNJ6g/fNSZThK6F391ONdaIJDH4qNgF09zw3sygdyWL51e7pBMo41VXmjqqY/NW8OkLX7+0YKBQwFl3cgMW9uAEskP4carky4NhTuZ8eJrLUy33WKevhpASjmw1ztUizjnaoFYOVgNIrRyJ75RGn4f6JUK8fYfIzqU+o6zCuS0JaMbdIzWYUVY5Xw435XiAzMU9k4jljcD9wBnMDAH18=</t>
  </si>
  <si>
    <t>dwFBDfds1SFvZivLPrhqFQDOosaCTBsG1rs0oUVAf/+cQzZeyRJOSUweKXr5fL9zaI4RdCsWthTDGUkQQALHcuFpmJPBwaOipLYDGyngOseaBlH+gREB6u2e5vNilsOK0ei/GVLP3ElSeI7vNe5qh/RPt600dejkgDWhTjnW/OhO36/uyE/6rohjN0Mt/w/anetOJtMzo2PpoAiwBwoC78wtu/IQXqwPx2ZLN5y0soMVrrl/9138JJTLoKU=</t>
  </si>
  <si>
    <t>xNzvQvwVJxbIi+nChPDilNBxQwG6kEyF76K6KgYJLrFTdvqPqonSUz0mNtwjzMHMxSVpL3HDdJvRe0p5qZzkZN4I88PeAqkMAf6QoY9EkN4fMfH/Vm0Y471DGI7of15BpbC/d7aGZTdsTvHLbxtrNthjVR5EeUdITwKGKTv2+IsqB857U2uuoHXefvdGlCTDaUz22MnaE7lFTIgjnGsOr/R44Ep8ftbpykvVwuzGvpRDxscHX7ntXHGO4as=</t>
  </si>
  <si>
    <t>cYfr4ogBAidjzHZj5d2G/Dh6IdIIgH85tezabDIeyeuvbGw1M/bylYepcCOk+mnk097ABoGbY9bDYtg9L1s3kvO+6nbSD4QleaI9IIfhGTLHrnLI4hna4aCSBFzWb71DyydUH1CCtE63PZJVvkgiTQqE+ON6L08KrXIvjw0B97BFxyjO7bT6JtQRZ8qFkvPjMBeIxeGvAL1C9vNguPTXXZ0gWxkCC8Sm08ed6RtpqsFB709oMLi4xB2U93M=</t>
  </si>
  <si>
    <t>snfD3JLuRnMXcppes0UdXVLcLRtjk1Oz9rP6gUyRKuXMbycTC2IUOt3YtOXbFhSJIHgVvKBgJ1VMZfbGHOscWmXl7XkJlwGt8i7oUw8WSjiynuHA3y8vNeNLTZBcQW8OLdO0obanXJwC69Q/niGQ8gJ8GNti6dbgauGcA14CHICv6hOF71VdJrRzfpY4xbpyVvnEEKUDZP/Mrx2GOo31epr0Al092By7uETllwcFSQ2Qz61JPIA9KKKQv3M=</t>
  </si>
  <si>
    <t>zp+HCid9C1E265lAMZm7750/EhIcRaWJbGzfpKHbnZbeFcPkwve3v2+TyD88QBE9XcPr7drBYkp7SMZjdJKdssw5XMVp0W+lziqER3f4gzdtcbKAG53Ae51hcadrivqA593g8K72xsIOQbf3vPHZImzt95abhvgpEMSPv1BG5GMu1UamozQjY+OLegyYDCbCu6POXTePjdfZk8ZoTlRFMcLOsHN9a7ydAacmyub3IF2Eo3JsRdbAWN5t/zM=</t>
  </si>
  <si>
    <t>eM2g2g/5iMuNtWmmg/THi3JzsXbMGylPf1QUtmNikDIC4H5lAwJ9hGH6aO0BWU4Zd490nIFbBNjjiSHFmKAfZjH7cSiXosKnkAGHc9XTTGR6s+iw0onk10HzPBTtVY+rj/RjgHUhbuwKq/WkTQZgfqxLuTHMrkftK/EEkg5TdRHKQ/WzOxEHkMQR5LA4bcYGX7hdCNpnPAPkysgZIXq86oMx+E676l7mWrLIrvklaXYaYEZK1DkAxQmR89A=</t>
  </si>
  <si>
    <t>MZOQj5ksaQ547D84ylYVS0IT4rM+IHz7+ACBGXPTzdP0bhTwU56VfpiA0ALCJdYleHMZC9E5NrghnM+sr3stUilEP7QvFBGS+/hMFD0nD7148jflSryimjz+9bnLs987tVuyiqvn5uKunJJY3Jb53HHTSihK4UN/5OJd7oND2DqfCev2JWQ+dGV1HoekiMp11fwI9tfZqcdrYuBBBWt0yBf/z7VejMfHP5c3OdkaQRgEyjgkKY0MO48nGpI=</t>
  </si>
  <si>
    <t>x0PMNjWaNjURhFTMGu5KtMcpT2jFfzdJjJ/ZB0BGPp3imISllGmhFlO8050QQnyRwDFTnFBkHF9oYSFCtXSXsgbgQDAOvehn94mlo7/Ptj4FhTfeh663eRsKkjvBSzoyeA6PDdeAiIJ/P0602X3paDvPd7LACTGpZmaQMLkiqoardi3x0u8hmnHT1Eg5aI9oD2h2Su3qjGLP2WYD6YUhks80xCIDWSWPQTi/qtaNzFbWx1KTReCtSLe85u8=</t>
  </si>
  <si>
    <t>cO9gscBfdZ4Jfe/4ufTclecb2sIm3eru+STUyQdocDjEJkogv/YVxWYHZtCZRwoyWivi/xGt7hEg10iZZwPKBa4l2ZdtzcB3Sk5qH/wVYcxnk7Q/xyrDkDkHpZAN4tlvCyM+rRqB4jSp8cAqLpGzBNtIs/n+Z0x8ngOqa4ek7vKJSU46+SXX0SIsQAH80ki9iGcStD6jD39Pjh/kCVqXDTy+pL4mi19AHLYZfsWWB2oPNTWASHStd5NOxKs=</t>
  </si>
  <si>
    <t>fe1ew/axYHWzkLFZzRmyTHa1U5oBpTCeyTZiitqFceOvlhyhcCZWMzkiVHRTv0mdDfnZ47j7Kym7pL0Vo1/S4c1yWxVRgkNHZl/Nd2bFFJVY5s8n2tejGN5ZcerCFP24Utgql+FbxdN5p+jbylHSXwPFcW0w1eAh7up4OLmA0efRU0WxIQH0snMuypQnFsInQx+uTRA/uveP7nvwSCsOKj+TsHoGhgQTJOaR3bUgjTx47DQV/97W7pAEinY=</t>
  </si>
  <si>
    <t>uVY1/b8QpzIuK6zTE4Jh6xBdvOuZ6mhukeCC7oCwmoK04kk3nIXWhHeC1e5u6ch+4dx8FR7vKrkEAYyOzR5YIQsxikmC1ZWYwJLgXj0XOmf9nG3c+Oj4MX1UsOFBONQLzuZiF0QE/gPYsdy5ftpJNG1AEbihrQXSHmgF+i4/heHrcBdHm1nfzNttBn6ykphQrONAPIiEExC1hlnvwQcfDdBScibDbAr5ls0F90cHLlMKQqWY5peuTM3sfCk=</t>
  </si>
  <si>
    <t>VH3ScEcBhhsk4CgPPzVzLJ/sbkL3ixPIVutU3q9JTRr7dUMvMmEwbkIXJ5wPHD+I3kwkwhCw7tYhvUxRoE01SgpEZKQPBDrlSlGOIt1W9gm8j+hd0DSk9mWCbBOzvFDYArUvhhiOEZepp8BVSyjtYktzOeRqBeBYIvE8Stuk48XhSNDfBUQzbFgdUTyxxlwvIk2NGkiYGjNSQEYsYcaa8trvQK1/dPIyNlFlM2RchwHlzJO6Cs2lpgpNtd8=</t>
  </si>
  <si>
    <t>3MLsAMPQXV1PerhmVv6eCUwioOdFo1q1s0IH6bOayiDNhPcRVNvDUMBW7w7DTexZZJoKEi5d987566uD+4Nb6wO0puRpOkyH9kjC2GUUkcFIgWBafpRZXHg9wkW/ADaomu0AX7rTqJIKrjSLDJoShP351u9ZkMgrzDKbKgRWlx0HSqKGcdVvhCwuJ0L+evbA7/KyGexgORAJnRabFSTDbnucll91nq9vEMEeDwcJO4LzSB+SxLq2hOSbXBY=</t>
  </si>
  <si>
    <t>1d607UL4jVA9u61yvYl+TcOs4TY66IhTwryPsroLUK7FHaBYqCJ6WvgF0OIQbD8I/UvxdcfIOa5QRWAQDCzEj+Apigg9g+JVxkvTqadDbucX0DXVmtDnyH0KuAo3IZiRzoRiqzjAsPMUjRzrWhV2nokIJk/XrVWpMGtaXzdLg1fgKAoyrEISz4//pTGQC8tp3nSKRgz0GZwWGkUjzCduHpwFnH1Ybge/uzuVedi2n+LAoCl3oEH47d9qHkA=</t>
  </si>
  <si>
    <t>sy1FV/OgOC7MOFu7yQEqA+MF8+HWK3pTZxWKiUpuBjRQP2Sj2zxSmF3Z9v4u1RYHLOE54lMrCxVPV6yW7pjKzzf/ZTy3VEoI2rhwy8ieIFSK3n73fsD8NPDQ9DJn3EwrBxbIYzQcXoEIArY/I+Im4Lzh5sayTeoI+gM+bwJ0VxQaRmgKVESQT4hPtO+LEsbhlvWW/7hNMmE1U4RUqAe3U4D+ov8kK/1Z69ORq+KnH2egryw7KMK9PBlB7Z8=</t>
  </si>
  <si>
    <t>3H1Cny8VhwnC6wbJfBhcMBCaBjy24bEPVuj1LdWkIvV6gfEPqXbVV0uJmD/2nVtNQ+yufCAoMGQ1J9ALaTipDvXKgP860y+yc6PJD9N0NlZ6IXcpTziarTK08aW+L9nXK753pOdaN7rXVmrMOc12zjF6B6Uw2gVlYH1ShAdJfauzin+Y/rl9A6puRa9vqF/bp/8W6omq9deBPVjntscP7uAlFrlo+8cd/2OvXp85FhV52OETeZ10Uvj9CMI=</t>
  </si>
  <si>
    <t>PaU0XerUvc6ErUooDZGJCQtWvSbAuhBScUT8JBfmfo87hP3ex7Z05JoBU47E0CddeXsY7rf4zC3uqrOBKLIYWtSdlH+4WKhn84dDvHQdVUNymgtwoRWKjvyXzyvltk6lO4S8Db83mmBBEdiAI/B1JMwC8OfrUfHBbvzv6S6IJ8DjoBvbrc1ZcXENahTjxqGyxEmU+LpK79OeWXuFqi++KzNclLKlIv85VIizYybx8Qy4lcM7Ym5qodI3n1I=</t>
  </si>
  <si>
    <t>4OfpHBmu0QhEx2B30T1lFiI37gNzWZjn9mBY8/4VQsYEaQs7YvCQoI+X6s18eUNiEQbzgLogL27c6WsT0kS/G5mkHSu2MCKDgrwbxsK7BupjBbFjue5oewr5lvSbw6dvKm2edHUUpif6+XJ2cnKBJFxQrtdIlqs4msXyTFHQoWhYdeoJAhx6VdZJXcdVsYN+HM18gEdZcX41y+LaFHCuXyAyrnb6rEVEOVeJ6xDTSPt2Vz5hNKaQq/hWMBE=</t>
  </si>
  <si>
    <t>Ftgvz4v0XdsG0rHzfIKhEx7EjGS5Mlz09NpGCbritWXkQVS6qW54V3OIvUnwmyWhLOPSKMnV6HJKFKd3w4KcMpB/Ehka4f9yaleIFYxbnCaYAy9EpRg7/B5N9OgTQGEBJh+0G0x9DyHDJqZITDwychpuIzOwjIVO+cUhLCR9MuX5nOzXVBKyrLRK71APNSrZCPjBIN8SU8wtbKaJmqT+BlsS+6dBeki54NRsX3nx+cq3+eyBq4xx651mDdw=</t>
  </si>
  <si>
    <t>Ea2WUrxyh02L5BWtBYCYs9e1vKfPvOueikyjyHX/udD+nsd2HA+YLfLlzUB9DIrjdH7zSZWM17NTXBrD36fMWBTrS/OYFxS3Rz9jlvBWwbhCZIAiWUEczLY1TccEAHOU6wmHXtYw+KgiXjXj6Hlw98Wl7nsyujHCIyUDn+IWXYm+LDJjrJciukgocf4JoxLEBRTPo68+u9cdTqYbB+lxrPzNcQcu9OuieS//HQ5AgMwbgGWO7BZsTgTj4Ps=</t>
  </si>
  <si>
    <t>dctOdIDPxzvzQLCo5EWNaflyAb0Slu+i4bn/IKk6qBNXjsLSAQIwog61eR2lEkmp/0mhTMXELo9TVEsPcFqNfABIX+z3FsTo+udn1TPWhjqZfFtZhlfY8jfjqBg9Uqcw0/giehesMkXiVSA6sa3pKRMjfCQMZkJRdnTJ/RH9sLnBWX8+sJJQ5ul5eIqsnU6Nvz8UXnhZE1Z5sR4wkBNH+APuhTHnKAo9CFJaBG2Z4Q1N+1k93k3g+Ago4MM=</t>
  </si>
  <si>
    <t>haGnAxuernfXQOchTXYaixxiXgx4Omj5haAaVMjKfXMs9i5ocY4usNgHGJUn+zPDvbqNp/gg3xTxUFYN99VJSa8tdf3sC7dNeeUZtO4dp25qBhZY2WoZQV/QFkFmrIE1VG6D/sx8XKqTcGWPjZrrhIFJIqw/ybeX97MukHpB0tS7KMwGF+F/dX1hN/e7jv+ILiIdlrqmO/4YYepNrM2dL3Q8oZQQ6vnfoO9wdA6H9pMCBSTcchTCNjqZneM=</t>
  </si>
  <si>
    <t>43wdxfn68RzmNvWS7ckowssrl04ilJ1HhXhoz1tj46JVShzQV0yQY+XmrkMNByghTZvGRi32PoHILqBmcewdVPi8uaPi4NtSO9eVkjyDjqV62UF8EGjeRT6nQ909AtvjrczpuG3Z1KSdQ4pAouMAhUX9RnOoU8+4es1JawgnAlH0jz1OGI2xA+VTezSdkGkh5v9lJIzrTsL529IhfHi9+rJt0itOvDw1BxtaKq9KKF4Gn07TgtmJxVeRuhQ=</t>
  </si>
  <si>
    <t>HCU+mnT0KclBElngBB/I/44qO4vofFaLq4bhJ41Wgc2LBOeNM5lxRqFG+Qe0erC7+/kMsxWSMoHgIBAk8N8lN0lANNHgRdodCmYCuTyXBsDjD3K69YlFC6AUHV+6I5DubDVaUESAT/UZn8JAJ2qS3+NN4VZ83bnp/tO3L/k8V1O+KHfAndPOyzTgKQ7U5Kw/96cstZ6MhJiDNXf7Bhv5wT1P3K8Zgv/R/8E8uklsHRlaLvTV5PaVwkgX2Hs=</t>
  </si>
  <si>
    <t>XvdB4j76OWPi8A/dGhPtcBW+dkcM9JRobG7LflmpRFloORYVhAvx3QpMFAwESw8FcglZEofKMmwrgwFx4Ah+6MtpfhN8OeE4L5R0/OX8Kn+FXP0SLRT+jxEM1xYLgDDZdlT9s9Mnz5re13/zXPc+yE/h/yYmWELAEC2+p/T3xzbgLdefq5lLb+Q/RvpBHoK4Fsr4eLIQlt+M6pm/SlmEABuB5AoJTCVcxWqEMrzDP3jNsuAS+LnUOwZ/aqE=</t>
  </si>
  <si>
    <t>a3OrfCJ1+/IQHZbTA2ZjbmZEO0bMejOmbHbAmh3uK3bkhQOpiEHu/XGvn44/J0hbCijiObTLaeep2SPL37SG+PFxsVrCdS3AS7I2Suln/YqaL1jjPRaGppnu7lNiCu+somZnhCun37LpxZW4DjL+0SKAWQkJAKM3wYOQv9cAC3uHQRmN/bbBoFDfgj43nf0otxWsS3bKoWUw6jc3JQyiPBN1ISQkjiBUc5gepRnl4HfPUIpR3tWm/n0Wl8A=</t>
  </si>
  <si>
    <t>1GZIqVEl77Ys5LaFXKDLcXCoBvYOw9taRC8cZRT2rheyrabaNBjfaf7oL4/hNCr9MIXy397j7Cw5oPcSVvM/yh0sV6EtWPYPoQvMCJX5rlxRsk7U6HRMOPpw8obG+/hvLQto5igd3z70+3nDhzWTC/Pmjy/sbF6E1aclub2W6pLf6px0WvGAeKVj6CUHHEuo3eQd7yOAqRb1Re3svrO+Tc0ZHZRvY/AS0GqbvjDQ2kcrYrFYvYbhk5TZwpM=</t>
  </si>
  <si>
    <t>wzjb2ED7pdbXPBClHHMN1mJWEnhJi5EmOpoQNulpvhLUguxcUacics/8oTAO7TH1IFLBTVgkVhAn0SrBQCb8zgXAQOPoPDVXFb5ZfBfcEKy8vt56Zg3gVsweikWjbp4UOLX+l/ecOwE3YQdfYSzvWNZXQX4V5n5CpyBnYou6RE3jkUrmLzJmgZzcMZrosHMYNN414nvW4LejwvFyGI6o1LKV9/odyjawwJnLebEQ/GS4VXR73HJls/NHD64=</t>
  </si>
  <si>
    <t>t1VbOicvuL+snO/QOTqNmcx4aADdPDbQXKbf8MSJ/4Oko8I2Vi60XXTheqIcUws3VWaLZKTJXxqs31+xy7IPeOj6GqQcptmu0tbgFIPnEq300GaIc7N/U0b8ducN3BucAEUscPNQWvR4fb5Y103npunMplMxBXeA1fN8YWy8UoflBkoR8+ILNWBbS73VB/nzciD5qsLVJZabhdHPbVr23Lbrf/Ne602wBUHkdc0qveIOKb6Z4w77gB+kr/g=</t>
  </si>
  <si>
    <t>xvsR3MXZtuFw8yi2/C+TgHuPZq+wvIVrn3uIB5b91/KGYAic/N3Sl/LMLEdh83El/fNgRK5zdIOnYZpGEp1EZQmYSClDxGpdlv5phEF8ZVoqbu3VcU7XJl+H7cUD/s/tztkuVfr0H7GIR6f8Lgqb5IyaGzs0K7gtlCWXzDGkcMOP0ds6UwbE7VAHlKkHW6iZNIIh94qGu1f+hBNtPohaDabv7FxQ4qTRWnyC1Tcssj5mUyHCpPgLbwp3NmU=</t>
  </si>
  <si>
    <t>7NMfAlWnenTB/dFWWTKiplGuhV06i6b/SDl73J+SUJ5iLBndNfXFL8uB85kqaH5UWUKP6IYRHGxbknTxNHZkGQdDMMZ/6VsEzAhbibppM0wmN9l/Yry5hkJphFO8E/ooDup/c9+G5RCthqeC/h+J8H4HcXV+ORnkIpofRPbNMrQSfczUhC5uc1tKZbIIqyZcET0mppC8BxL01rcdR+jqt3dGbtOS8HN0giaBVnBNVufzDJVFw2Gw1NxwsbA=</t>
  </si>
  <si>
    <t>EkFPriZo5L33vOZYHRd9NLmP4TyYyUqHgJu4wlRuYVzMlZ9+7r1pCMGgIVa+2kKtjBBQh7nYZ0lOXGsTZS+pWBOh49ElVJrW4qjnao1HWlpO+4xg7B1Kz06BwORpTPrqqhyy13IDfYAYiL4ksumkmTsOlp3wshiQjXrgwqxjMB28uXBjKOsPFip+PgImO5+2oEHok1AQsUeiafnZKKJpKWo+4oyhO4IIR+5EcdYIKSxZZ0gc1cTJ2QJ4gUo=</t>
  </si>
  <si>
    <t>YkfP3FJeaqLm7YtgNM61JKI1tTasF79ibnCVMpvO3Ot3I95yGbX813ButtorPiDp7qFGoASG0ZwRMOoUfvRoYXlLDhVZejzp0tSzx056EuWOCcAlxJ1NPRu24KqZrraEKYKh7ww+f0Mt0Th+moe6f4WdQ4i3qgftXpZXjDgpvtoX8zuM7Lnj4E28BQvHVI5st9lOKVP9D8uxND/JlqLFP/TyIxDiv3fCSGxAiYMN2O0lOPaVEXkDT3kmOcw=</t>
  </si>
  <si>
    <t>2b8VxSBla3fWY5s3RBb9EJDsMxuFE4MCVj3x4FYcmebgM93shanl/lTE10RVJNaWYZay48jb22AdD1BVh/tQp2g3ibL6kuSOut7MgM+rmsLnVyeZ5LiPTXqsSs/Iv82CNdJSCFkun3M5dxFsWLhNfVTIbHvYxGon6iOS+RtldN4pkLQciGHOnrnDD7G5jt9ncsfd36JzzNOsFfXIuP1U/a//EP5BBwF8IZjGrBY0Bw0eOniIkA1X7ZamR3o=</t>
  </si>
  <si>
    <t>woHD6bDrVtU4DGg/P5gZNO6qPbzbjFvL4X8OuGgRvZktUB7CezVxOrFd/AbAyqriMgDAbRqN7KZnwWxFY0IrtErgF29U/mv0R8cczWdgBb9aCJCvWluVoy4QwHsOWhmSxNEF4imjDDyW2n3DZ2G4OIpa1ViVz3bENhRBrEnlI6A74D7pLfNTgByE/Rd59ymfziKEu3GRCG411GwG9OBE/5zD5GpvMZ52IAQmzrshoV/8DqGcawBmlgQ81vs=</t>
  </si>
  <si>
    <t>/uyo/I/Ek2LIUD7KjaxzZA4Ou8VCCcLsJ2y5V1f/kbb5nVCKP2CTbfZ0T8M6rK/2b9tZkj1u92xxpIwU7ad3vNyYtvUiOJa2wcVj1k0iPt/8GvbtEMPdXud/kPL3fb68VsYIwi/ZxkyHNrbT6M/lTX4g0xN1tr+riNFWXn9oKSZsnAhlKJjr2qwPKod/TI5K1YL7JfOtrJdJgkfkU4M9ckqqmwkxXiq99NNdBAPf2jtxqU1mTbCoygIHzwk=</t>
  </si>
  <si>
    <t>DOL5/SqhnJ1zvxVat9lfaMC9CqIn7O+rBhLjDUbWGYVBpIeSl1cjzocu2ikv5Pde4p3KGDW2KmS3fUX1MQ1WawZDXSg5HzzYAPwMpxreBQE94V8uzhB672/eHLBvK8i7QIwCFhrefJCkeca9NTi6h1QKR55ZogyCBJL9D0Mz89YOCFGxu+ua5wXifRQGul0v+exTuTIgn0vp/lisIXm1rCGvTzYXY5ZVSKuNirTTUb/YTsNPBbawE5gohIU=</t>
  </si>
  <si>
    <t>30CPPUivTPgmg9fK6QcEheL+KBzq6kqi2OqIcOLKLyce3U3GKrTw5iFwzcS3XEzr0hDDK0JOEO/tj8pu/RqmwjAGI/USzvRQEnUrI2T6YSXWT1O/w9A4t9uINPyeLFCPVhlIAZ94D7ce3u5Zuv12B1Sk/zubyOhjN56xoYrI0Je+eDOjjgsChhinWPMYfjIJyoJU2+CvG6y7exxy6vlnQQZw5F4ag1g9x4zsNcp99xdqnGbq82n9IgQFUlA=</t>
  </si>
  <si>
    <t>9/wtviZN1lKTqUc0dgTIHRq/YAGoUmJZetbwT9uVMHAiLyyD9GZPYm2Zy05eZnNpQNamBx4t3Wz2nhe9KjjeA6PWElP7VWul/XR+kc7g7V0ZaEpYOb7oYCE5wKwBM/rcWIVs7LcGpIdHn9k6Er71BYJ6W0FLPaGRbgpbI4+GWS7i8TdbQpwM0bReD7XqeLjz4bb4luZ/B7Xo4l9c8PXMnvaXzW32E/HBCR/W/jQZMxyfKeWdhomQhiba6KU=</t>
  </si>
  <si>
    <t>VHPeVLRae/3Pv/ekxQPAkfMBEfwDkDPxkb64Xg9ioiidwLaeNg9WRLyBZDNDKypkOPi+6Ikj0AeW0cxpf9plyxgmTzU/0DHdYX91YcmH8uN+c2bzctYQst1ATrN9s0dx92VXbrc3D4E0y7igrIAfCWJ2Sj9DjLZt2qKSpOR0YHmgboo7DQp/PlH1ny/j7Wl2x1YWh5lZSWjn61pfx2rInfyPalg1yLmiDIV8wAchrnT3EqtsYdm+Q+dEIdc=</t>
  </si>
  <si>
    <t>mCV7Z+QTk9RzBOZwVoiubYCH1XsKr2R6GyFMMnb3M4ciL0Of7eMwyVUnAjQUXrGrmEOYMOWUNb+go+hFEu78Yf3U0DkywkTFiDCsjhjyWZFeTWPdsZqqoIW7styfKop6vm++bD0cCvqrJBdBL7JijNn0bCPycutCvZpLSKaRJvQ2Eb2bavYQm7lhUT961q8F6FNL9cGckxiKZWe+eZ4UtvUhm/eE42TtNdy59C6ZZktc1oklTJOM0LKgLWc=</t>
  </si>
  <si>
    <t>uQPakLSAwbOHWUkp299apHvuwYJkt+jtND0Rt5sjQd/yngYvREwU/KueQonu3ufhnl3R/slC9vEuUxW0xLRUzCYPQhuAhSfMU6vFWfHeo6AtbevXRKq5v1XfH+sXCJaM939HM8MlH3zn3sSh8gA6VdE3gEipbbHTZOkh5YIr+6d4cNGjz1XK42tXvE6eWC8OVI8g/Xu/WikWNs0843I2ERFdBDtG7TI4/0q92DipOCOkoY5cXpZzyf2KtiQ=</t>
  </si>
  <si>
    <t>JE+gH97jLYwH1GOJ/JwsIz9kmC9VXyUx7grUWw6cj2uyqhH+cYY8invYUv0vooceM/ybrn07PZ70Pl9zgsvicxy+3ZSLoGnLQQazQ92sRqFGwTBXGw9CbHCAZVpeA5g+phxawLFwMxQSdS2dQML7L4lKZzoku3qdSM+SaiwE5Izxsds5EA0sc77YbxiP7hibBtgHpLoMm3ZJlFw2/NR2LQgIK4plP5Qqhm5RTaJSdqkA+HZ+nL8/VbZz4ww=</t>
  </si>
  <si>
    <t>u/lzj3PXA/vZPPWrqTaoM+mCRsCOMXrWa8U+HtBxG7ydnzj5MrO80jwEjTzabq5IoI3b4O/TRGUA81cB2fdPPzrdhqL63UNly2nZ2muxiHtORprs9ioVN+3I54LHhZD6P1zqVTptR9GLRHBVHAt2Zgvf6LJ+i1hLNHfboqoxiafDrBARYf3qeQVHXDfsT5uXmD+Qi3tWgv4VBbE/zl2NVuwQr+M/6Vuc4LL0nt5pXWslg3339Cz3IEzJZ94=</t>
  </si>
  <si>
    <t>+oj1rYv6wrkfIafhz+aobVV/WczV7xH4xTLxkDb5oJPOq1XkFIqIhqf9x7AebZEPUG8ivnW5ueWC3XL1JXMO0x88gyKquv6U4DBBzU1qvXRYxTNjlLl0/n0nfrQEG4cQzjRGI6254lo61tXwasHHSaf9VYp+QdQEeTrcWt4nrLGReDwizeQNjb7sSo82xUSNAaGEWBb6qdQdtJrKE0HAeuY5PSP7j7oejb7WcxoRr++dYdIvke+zchWynRM=</t>
  </si>
  <si>
    <t>nsluY5qQK5cSvUw/q4+6eihH7QLtNjHcVERvki2pXKSBAyt2um4pPSmUsLL8ObwnqiPC7EnSf9ppISLJy0094HsxtGHYVAfwjzp01O9F+tQFRO5BLY9NCjw4fz6uGbm4pxJVI7CzoEEqB2y736vnTl8JF9TFBFrmnHq/Lh8LiTIRwIrhfcIGudwgbAbYZyk824GIvPAA+iAJcL6GTPXnX4gGobOhOJ5rfVB69GwlLYO1jcDTnVjJEBQABuw=</t>
  </si>
  <si>
    <t>xwhEnP8fsyb+SA405tvLznNq3Zud4mWp5+CPBevOCwU74Y+O0Me1dgVp4LmGWvbx3fhuOhkWmRvqd3M2+JKanZg+E1pgPDmY9KtIWu+3sq6JJHOJeyZBnpJdp4nUj2/ptEGR3lLL0YBiMrt8knGBk2x1GbKEN12gTx/sAVxjpDJYlRr0OpOMNXa6IkCnHLAxQxU4v6JgsnDXz0Vh0yPKQTlfd4p4D4ypdYsUyJjfC2eofhvG0RKtYGpQWdM=</t>
  </si>
  <si>
    <t>VSEb8tIasJyea7mKbm8SfNbLXvjNbsITGaLuOZmwS/GPmNOGdXKYfxDU9eTTFjxSTJ28W6PRxAjDWGbp7xSjIrEykKTiUoMKYhhw12VSHarWlAq4JZHv4cGG8x3k6jKcrLcHdXIy1GHwtPj5qjPEaYd3fAdyjQR4MDEHJwAHJJbCRkR28rti5DGTRk9n+d9SO4z4pfx0hUanex/QoVx78ChBzUg4YuMNvhXQd9mrS3DNmgq/qHxiL+rOb8M=</t>
  </si>
  <si>
    <t>19ZvTy7Y057SPMOXaFvnijFgjtqMMb1Xx61DtWRK32ve0UXkvvEet2Ga0U5n4eAH5g2abHVRbAbChv5r2sfwlsask0goUahJXNAA3JFR/VSjCori46OSlDQ9CCMG2CNKBzilpmolGCBcideo9X9a+cL83jd8L9vZAx28Pwjx1A/L+Omk5yUtvH0G1QqNjDf+pqM7qJB6Hk9l16y9xj8c+J5x4M8i9SICv/Jx2SSywsKS0P0q6zGAIibu3qY=</t>
  </si>
  <si>
    <t>Rw+YPtImhoOsM/r4rzjN1pF2pbABGUPY6vszZNBSZckGkKvmKvSJ9UTw6FC88809r7mezTzinm6sxrliiNMXC2AoojKwobvACdAV/wExMeBNhXXudFVuF849Lm1RznIKLCNGqkfK8x7sAaFSJrCLT3xvnphfqlGjiTzEiDrLHScBRTbjcBBtuEJDJsZLgwr2Fvahrbc5vV6bY/iINKSr6gaAOgDRcU8pRfvkNczkTqEdp6+5jJqqWrwXOWA=</t>
  </si>
  <si>
    <t>jSgboF2U3KvB3zL6HNRO6VYa/vHFbtR57ON/AvHIFJF/WFoPE2odVs+VSdS65rSPS4cQfCrAvvKRXE9xuhH7BlR3bJTB741U07cS/Xrcdsc1phxs6zTPFU/lqUzMpQMdYKrPdW4upQQF5n2g9BngUt8ShIs5nrPnnRoac3vMF/MnWGFcD9zwT4hliik7eI3KpgtynOun5KjgX8MsLrDU+CrXvwTKnXsbSuYinAfmAxyc0kcWcYGV/3WSq6o=</t>
  </si>
  <si>
    <t>ZP2bLvZWQltvadVQxU64GUFxYJEPWc1YDArbc2nq56kKs5tcWM5JSezdz0riBf+wQMJZDcPywGIcl+WmVK2gQn5NMt1MO82gS1SGw2PIFp7/J+9tkVcPYsFA9EwpQkRnGNqwS9GL+sn71QUYjnub1wpcBw2QJ/PpfspbJ3md0CeMZZh5oaym7IsQ50kQbZC3ixakI+aP10zhAT4X7+0BmgdzppuahsIyHGnSC3YvCAg2+kU3veVhuMSjc7k=</t>
  </si>
  <si>
    <t>igUfzY+fyHo7ymP+ifGISwDJRAPG1VQec87g3MYr5L+feklXQnhT9MnTMCb7TZHY/gByTac+S8VJnYESiggqMJ13DpIICOiivG2YQ1ncZ4/zq4qAeeY9y7e6sNt6jxTZEEe0WKJF/e25TpYRejPdSy4xy+QU8AxBEV86DBhl4UiZnLUZVxwGIWgxM31mQabQT5niRDHXikHcixS8w/D2nSvQTOA0H+m5Sm16nzLHvW3+O7Xrp6nhVWzIFU4=</t>
  </si>
  <si>
    <t>iUt9K0GI9ZGG4XxCLUTwgPHnBFxSdf+HEtjXyJnxWm5wF4Uusi3I8JFB0VXxLG3ex/aCVlNEfysal2LaNJZit0L/XfK4VLMKulTXmBeJintTxAbvJxQ4EHK9r1efZGIMbcQXBo3LYuOAK8efPVDdK6dqtDxCs1YiNd1zPA5zuS/9QdyuCgK2BC7JtiNBCvUz6FBZkm09SiOZhwrsFjZ/3vstTcVONXG6UCTo8UxJgY7hYvm52H2fZ2Os5xM=</t>
  </si>
  <si>
    <t>ccXqQMcqIZmptLzp9ddeoxVgnyh7nEkQQNj0X6i99OELhAP4wKClWUo0YW8v2lS7M/7/BJP9kXVBxB0074vLX8c539LTbIUgpCy7YwwNCfDH5gOdn86l/Jl7gHWqb73uyXmgnFNUJCyKZm4e+xP6cC3YUNFo89XjtXNA0fZ/IaMk+OxUew+QHuWiHW6Bc+uIXsjD84TTvOt9YKuvylJM0ZwEgmlkkw1Ombk0Kl8cI0XxGzhxzhV7KgfROLo=</t>
  </si>
  <si>
    <t>rkLMiRqc2t/k62vABpIMX77QVJnb2pc2S2LZzCF2CfLcSwfB5aK+BAuhvX6Y91CKQ37ncGJvkN/pCrZv9ygDUZu74wEeVobvH8aYXx9VK13PuRQaWtH5xKrRQXcdQvFVo5M8FVFBCWw1RnrRp42MDoGRZQnwxFS+h62GY2NaAWI6PK0bkDl8n0RqxgVdHwsQv7NN6aBkfVBe+Hjv0PEFGHkf16Az2rtKyMaABykmeNtEwBtHiWuuAoquY1A=</t>
  </si>
  <si>
    <t>UIPYwxSRaHY7SyG0weZh7iyBlBbwpRR4L/tsHtZPGI+gMm1CreLL5a9YxGnWYZ98c1FtbubZkw2weaWI+JVyjSeS7V9BuPzAUK330AEv+ri7+keO23v5tIVd+BmjxW3IGemQK8ybt2TP/ErvI4zzISiGTsW/bMIjs4ccPV0TshrnQeWpN89XaXywJky5FGdzqeg3rdlHRU75ocWiFS8OgMFSaPUqxYfPyj+2PNgaXWq7H5FqayhW7iuH3so=</t>
  </si>
  <si>
    <t>+rqWh6bfK45N6IpuxPp0ovl7y6irYN2+ny6o9+xNQJWNUoSOuTcMvnLPQrq7Toe7+nsneuxvzZw5aeZnaqbHh8PYYpmhum/JGmMk5/wRPDZf0QuARg+vjYWRotrr3reXjfh7Km9sv3oEnkQT/vDxOsK3VVwQaajS2sUs58s/lqhSuwzEpidXo7GB7Flr70kaPHegGsZ7JVkTAP+ATZze4poE0cXeHpPJOHPukGxpkqsFSJ/rgMKdn1V1WhQ=</t>
  </si>
  <si>
    <t>pK1W222sls6KE0l/UDIHSQcxJG++K8yScZbyROkmTRWkn1xMsuC6qQIJpxXC5ZfpCiZG3ov4AXyLRpmU2zmtrxNUXctQXwkJdpk1GrWgiRaP3ncN3MDDtSdoSU9vUNk0wlMtKIE/V4Wf82FUdXUTZ9oxBfuA+j2sWAL+VeKpSYPS+3zGWsyqIHOpc2t0zA3iTSTcMfHJ4Z8ovgmB3IYyF06VyPp2lY/lQ4UwaH9gwfRNzCOGlH/VbmQG7eU=</t>
  </si>
  <si>
    <t>yKKBWZTUnOZ6mrRQsuQpHQnRkxqeUJBDGkiaTOgwuBLSzHHmmF5Ww+xH7IbZTVfYGFfCsZwl/N143owtj6syorAVZ6jPOkIgrGDJ7YRg0Uy1mtEKuBxFc7wFJKjg6he5mwTEd2mbArbwSQ/1Du6Tsv2PiwtbWwDuA6nEzpYluyocDCzlcYKZ08yyWg4/1bLF7zr9iICIxOAFE85IIHu1ytA9PVy2vFimETVDBZQrWM0YKWuHlfaf4DZ76XA=</t>
  </si>
  <si>
    <t>wbBQzJuHfi1e0OwsEKibWFM6stsYq2rbxwfM3kffVLZJbzMgjLI/KbfNaQdMcALaixyMVvtEGlKuKpKm5Iu4E7CMDtb/KnOsdKuZavdU6vLrWY4nJXrAu/l51UmXEhMSAM00gtG8PSMZplsYkrTa3HH9DIUW3JHoOc77ruc6MUJTtCNWwu5OXWNkQsD3xMyfry8dMyf2Cl4RhK2AVUU2uvOSTdN8rd4g+Gr2S177TLvDijzrGay/DzosRbo=</t>
  </si>
  <si>
    <t>Imjb03JGHvOHrkV46ll3Rd65GlRuBkSbVxTrOsTf6YWbm9N+9QaeMI7D0TmqwpaB74qMg5CmxDKfQOFWjYKpzX6r7p2tvldoAGO0hMVsX+1e361STOaM8TRCegBqGnQfxQwRbWMX2/pXz8PlALOX7qbFMGn4oWdivB9xsbys2R9DjDgdEtkSRFjwTUxZEf/K8fiz0qkOZRaMF5y4mWIJuiQ+q9PJTl+yx1caIo9H9sXk4B1/EcXpFkQbeVY=</t>
  </si>
  <si>
    <t>zMAiEg8kzr71MlBbV/Jf3R+hoF3w+W4ystQ2Mt4XEODUPT2mfwUSpJZbpF+BbeswaMLJ95tRCAkwHgD+wiNl7qvmTQdMz5ae07k2LR5JkmJvosdja6JDXMWpnV9dKgrW6jo0BJxUQcfiOWXtpUYYn4/CkckYYQBIimwr+bYVbvhqMXRgD0/HSksV3/Am9Kq2d9v0EF8PY9EgFwDFTuTDsfixBRn68MNj0iE39RdkL/uBo6vw3MW3K14JDtM=</t>
  </si>
  <si>
    <t>3X+vnkiS0VXyWmehFfH/m6lWmyyFNte5m0E81jnWmtBIDt9zcKE3vUWf/x51i5A06MA2uafvYZDv0mX7MUDcTOPgarKf/Cj5Zom1lo/sHorEf0nOoNul1s3TY3A4NfmlPVEExSo2xqhZefYb51KF+v+h6A1oEc+WwJ9hnQP95UBJudW9EgSpotL/qWvgR622OYmGhLXNytjsHlMQ70YxEaGUOGh9PeSoYt4Wd6YIGlzSoX18v//FU9SAgO8=</t>
  </si>
  <si>
    <t>xiOsn+D/6UfXSOPx6UOU1v273B1m4c2uEJzJC9YLltf9DjzG+mMja0DK9ualIUPHk9ry3ZcdmNyQwJ9v7RtwLf3+B/YpGk/BrpDuWqKh/qgdbDnl10G3B0C4IAWx1UQ8cQmhZ7gwud5HeZzsKZeYB53EDuY4poaGEFRmTMnTccZN2avhrEKDjrXK2K08VBOc4tj5XCuPiH7/QaWm89mp1N3Y6CISS7W2Pyh5FcWDmSB0IwNFysfBapvp4QA=</t>
  </si>
  <si>
    <t>PS/CLbVGl8v/ki7kYhhUsSlrUr70l64hwSFI53PkR6IZ1MMEHPQ7IMwOkp6vA3VGpE8/il5SyAAgFv7S/q5EdP26trjXFp6pH9jg1t1SgAJSTlk4Yk7SU6+nFNE9cRyQe3CBzUsTjG8EpXk/anLC64AVHiYfF9Hx7R8JA86NOzIbRoyVujboMSPtSI/fqv5eNyM8UUEQM03WvadIdUIDTn1IA6YG/XXxEQY+nsSceSrxannixsfEABbjo34=</t>
  </si>
  <si>
    <t>4zqgfvyrpbZcZHk4dL+Eav7Y4acivoA6TOOKKkthnywru3nbujKQ3kRUF+kYf/NOGNqbInpnW3N8T4BKXPRxIrQyzcIH8GFR5smd0Uf/exaVT+GcucGsRSVf28LYXIrAvEQlqEgXZrI7/5hjwTtMn6dhIWcnKb9/d8+ooXHu32WI0Ciihcp6DR+qPPOj0vn+jfxa9iBSsc1MW0U9+hY4E2pX9gLSbDRb2te0zMWShYli40RWhsrFLCXa1QU=</t>
  </si>
  <si>
    <t>SBteiJRrnpVwV+MX87/Xuwii3IGXiKBSdgUUPeNL+UiIXoaQe2YUWnByA6S18BoMj0PBQNSbIYbCNX1armkNW4aUiHdhZ53OZDIMiakLpG9/N17dmQiY0xBHelHdGyGM3PRBJ2qteqB5TCtW8/xaVKqmT3l4pwsmfs06TlKvZIq3jCHcRjWuJREss0mO0uB10dJhNrUIkOoTXe8N5lf5ALi1veb6eOEfNSmT/aaLD/HcxppTljvzjzYeKc0=</t>
  </si>
  <si>
    <t>WLG81rFlbZuIt270YU35ej+3v6FXSOyXBwi9UangHtXCK9Tx+aotYWwMAbJeIErN+OxhUpih1yhNQQGlf+WbPxzP5VoLuOruISHfnIYrOE8evtY3mMbcBx+rL8TSTJN36p2INVgAtNT0N6ZKtfjlZ8pBzZAiBYR9yoOg2BP/RRZpEWavPK/aNr3bCh8Rvc+avYmmFWn/CGcl+GiN7+1Yq+FwAB2dI+sAjMx/Kk5AoTmQ7eVtXPNoRrVkk2Q=</t>
  </si>
  <si>
    <t>u68bs0viEEI1zTHIivyIYuGtWyFvd2ZBYAq5nMYrcqVPGaDYFiTC1+MiZ5tCEnnHp01KVtZu4Zh+fnThEMaVXfcdQ18r9WYV1rSqbEvaDr5tqpQ/+h6isM2bhr+PigU6kVQnh5oLlNU2K3B8NejHcIu3YQalybAsXGU6Gma3eWBeO4GiSLTvbpAQrGRrdi/UVj4BVPo7UMm6ad0Pbx7NpMQA8gmZUqJHkPmS3RogT01BPMPFA8eh9yx/kbY=</t>
  </si>
  <si>
    <t>FMe6Fs2fXcfGsU2jSGPtIO37qXRuqY5HUeGxYiv8PnlQCtzTKQJRPoLUhM/d0PWsyb+tm0EPVyhlfSfHYtvdyZxZ9cVLqfd7hYRUCHadjAhdfSPV4Q156RbKZDPXna45QvOh/43kFJmOVNJS6vZ6k8MB1s1TiIe8+X53D5Q7I/gzbH7LrF2wY4dI0OOwznW3Iy5EURhwlBW36SoUyhSMxOw9A533s3c0MdUguVxf3emfRx6mNDL4+OIa5+o=</t>
  </si>
  <si>
    <t>bWfHBxWNSpDfHx61QPWzNOTw6OluACGGoiNcBSEVm4yxfk2vJ/QadYP1vB26N3QVXtx5Tsp8CCnWEontLgniKa/7kQrB11ItyJ6J6J3e6NddYSWCxunK6ko8KN1u1jxbcTGX+czwFZCqC28/wchSwE7KGkxVgPe1vv2eL3/xoTePA+aXZrJkcNaMkmFPbp8huQsiY5cl9bqgyMSyYjuNUK/3gBzErbYqzSsbEr9sPZDb8VptXdqhsAAyjdY=</t>
  </si>
  <si>
    <t>GaHSy6ht+NYlGAoGzzKUdUVsaaD6LJd3nLc734GkA6F3t9+RA01X6XsuteVs3Ft8NAl0vv0YZRkfvlmV8CaFcx2DSUhHl1zIYXB+2NViVIr1bH1KL/9Z4MeVDBf3Zgw1rqDVRzlrWn6pWH9qGy6dCut6T2XTqCOGAMxYhG3Rf4mE4zbpZ2uBDhH8yxMEmfbFCZxyticPE4KWcnFR78iIxJ7zz1AE8zyyD/Uc1knxJO68bLugfKdnuVy61hk=</t>
  </si>
  <si>
    <t>oZ4541YT6/GoPMF+77wI+nO0uCNLtv2F4eOdTbSGbdfiSD0+5q79XLXBe0jS7eIyYp32Kv+2XvhnRu19RqV/RKuOWIHFUOfctYfFbES23juZyHuykrTtLledGK+gHRsr1i+bLZtnM1fvH+8oT1nlqJ9nNzWK1oqK1WcYdyIC7XFv8nOR+wowUhB25Ib7crl7QWV03YJ8ZQ/yh+a56smkI205d18qDgzc38osej2avQt6aYN2LF8keMmEsl4=</t>
  </si>
  <si>
    <t>z5iSS9h5uH1Qg+YKpm0Ehy8gPm5exADYRJI80qhY5h1s5bb6yZrcSsf9T554hIrwPaPnXi0pKdknTVFBBXC57igzatwjbZ7ApzYfjGue2GFcP2eQjXRl+4cKAh+7hh1IgXI9RsXHn78lThvKln35QKA77x5t0SpKqItGkhlqXVmicy89eU1vOWsf6YtXqwrW4ho0At2d5/pNoHGcgAfVTIM3q4UWNqn3ljWl/z/Bs8jclkiDPf4WVAxYaXs=</t>
  </si>
  <si>
    <t>aB4DVcwPDnlW8jJBHdVe/069MwBRqS8Kf8wE2NLwlZuMcZ0X06iBE+zSGWJ7uJeyvTaMvbUDosFU2++H0xGAiuexZXFEl5DRuME6HXFmqRprf8dvciX8l7kP0e9DX7C+rWqycDu6Ca8J++H0SRSSgj5kyAKzhZzchPFM5nWz55RQDOb8C6C1L34ZBdqHz/fZR0ZQDHIQ72ZqGSIGnbtPvUuTiESj/G/7uXx5ByjDsJkcIrr0tFfFVoOuTvA=</t>
  </si>
  <si>
    <t>w1eXKYX1jHeWj9GXyphA70osoezFsoivnvnZCQvPi81LgRW4BsDao7SkXz+HxYAfPd4bQW+VXW8+0lWu/EDUuC8wVSMtFmTDi63IhmaVbajRI3dql1eGT5+P8pVv5giDcTpPYKAW/2sJdE4/iAVnrt5o6qj2fIfTuRxgDIRG3pUy+f0D5zVyxLV5LBjphl93tBNTdIln7xAwvIAgI0UV23fkPh+IWTbKZO4/V4Tk+43x+EwIG+mpsyCPcSA=</t>
  </si>
  <si>
    <t>nqeUvkza3tRecx4FPengYMlE7mmy7R33ByFK/OsfkYbD7eI9/pChCwDK/LbKqiJw4YCUn1w61/hpdXM9f+EAvrX+c3UhLEfrDudw7LpRH6UwbLMTF8AqlQFhgua+qN1A2tRckymxLHPmymI/QGUqKMlpjAYMsqXh4T/Ms0Ladj7tpGmvCXe+6/9KTYlGfNb8V1KLA7I/QWaiXMvePvygLzP+Qb28y7qF2DKXFiAACngwon3WouK35/yLiU8=</t>
  </si>
  <si>
    <t>0G5syRo/8WeWZ3XhHEltJA5OOXhQuDuQWe5CSvcIvV3bL9JfGyEETYd+6GS1xGBjxPxTYU73ErFkfvViHKasF9ndWe87igtcegNMFzGwu3rQMQy6v55PiLdQTAQLjCVyAX+Al1mrMat5f9DyAWPbdBHWNDxJy+pTpP7DeU4qj0jl8qXSCsQNkW4nC8ubpspyMhG7JjtJMFmH2ICEcM8NJSAloOaDKMogRjQMyBfRHwdqwdNQS7ncPUPZXkc=</t>
  </si>
  <si>
    <t>Fp4eeUL63TcUDdJQvfstkTb1eTh+Fs8VL8iw+bd40NqQDfr8ddK/V7WiNguJHeXNTuuTx7rf0RJanl2Ic4WMsLtCLax9wmLNkHzzvv7O+zqeslLmlGS8qXelkVw5e68J6DjMkScQWelhwh90Xxi3Tm8BzP1Qh6E2TNhnsEPZpnM9ZrecrhsfEd/9Tx5n1jh2sqFkr3a6Vm4RYMtYBrIRMkcQAA++A66A7LXWe7MXTx8uKPuLEJ2YXofuF64=</t>
  </si>
  <si>
    <t>wdAok5xTD4Eep98eeh+N4eTZFsD70JqAgZFdgDQFK2Wkdv0iaGL7U4ejfOYSWV/3WQJeU8lwmTml1KQglU0urOiCaVmrTvZX1XdSoFcYQhdeW9nQZz4OaoH7V/3fLWXJwg71sAjTdDk6bOqXpWKgTvaQIZS6mSKAZGMMK04gXuxxqjM8rAJ28gI92N6Nt217R1kfEMKeFPbavuyr15RMBDH1J+u3NBAxwkJPRuwhsoKIMs4EfWvTYmxb+X0=</t>
  </si>
  <si>
    <t>NLI+PH+L3mnH8PuT7xP8/di5LJM9dTcv6cdLKdv+EG5ekJDekajgc++R/oY6rdu2piYglmtmvGgIpa44/TAeEc5ZRt2ykfa2jJ7OedYPVf5GNacpTtmzlE+BUnWnIN0zpbPq/3PJ2QRMjSHGSjcW+6sfro2hEWarjE3C/kUiYriDQqDDarXdm+1FNStAZCl6YVX6VOltg8XM2OZjnZJUNQzk2HhE3KUg1wFPyib8Iaz1Rqsa2tN1krw+WPw=</t>
  </si>
  <si>
    <t>vCWGe1JnTmEgjtNRtG49AC3lZ6gyA8uEpyug2Hz7rVE3ZYpSOL36shkik8itpYtC4WokF34RjU9td56Darm3VvpRszVzevEy9bHsRb3OukiL+tXlIUU92OwVLhl1l4Pr620PfRbBDn/yDOASkWupQw/Pd1LqDz39KLqTCFU/ES8IA8H07lM+p0OUSgwqkOC4Bxw9OAYrfdbtkzI6K/R8lSX0JhP/qez4K067JMfzGJ+GtZDYNNtqfoj6ymc=</t>
  </si>
  <si>
    <t>yyp4oUIfgQP1yFinvpATRS1S0f69o8wHPuQCPdXoIwLDOOaeesLwBYd+kbe62VH+rWc/0S6L5QwZIqecg+oN7fL+GZhLqt1Ps+GWAi0mGEljDkB8UydOL/68XGkh+bFH5/wshe/WETA33+P/SiwiNgzHzEzKAZcFjbCeXol61vcuWLfSNlvOQJm5Tz6v2u1HnMHH0TbIokoQ2wX+ZSZzrkhWbbNqJoGTcR+a9zMQJQjEqYGvXnUm4IttkDs=</t>
  </si>
  <si>
    <t>sG+9Lz8K1h/DSLkXxO8BpDp0A9BrfxgA5lpKR3D6L/fXNHmjwo84ArE4ItQs1HmLkSE2cB61Od1+/MthmuGMI8zeTGghre8jLD/rNSVPdzm8SCSR08+73vwpVEmoeIF2AkHY3H4hxR5nnON7zu8xq4oYfUqouVQ9FBymII+B/YbOyg2oDs4cBn+5VdEBo0EFUb6c461r5SxkHf1UbDskzBdlTYR7saftwkOaYlhnJ5QYOTO4xQoUn37gyOM=</t>
  </si>
  <si>
    <t>/Zr9toxt8pDtKAZ6FS6p7MALTtb1CXQmWeunK5NqTRZxK5VNZKaWCQwoijpStkKplmT2plx/IWNekzZJN679Wq/h9dbzFtWBg8d/BZLG02/MxF3057lQluXvbqm4gnnuRxLqeQ9Lu/L78NP3jnBgBeVpYPfrENPkGbv/61WZhCsXVVHMvoGKcZgcxtMCizE3KL2pIOficr3hxtG/jyihhyQbr+xnFncVGftFuY76st3XfNSsomWDC7Cym40=</t>
  </si>
  <si>
    <t>dGbEhS7QTn/wHnJYmHTfHx1MCq812H9Qbv5N61gpq+jxbpuMpoJRqGXyVxmpaLzBsqOu/l39WRsPLIEml8F40yCsTorSQzmT+uzsbWQVodDPaI+9LhZ69NILgsfmrfYdMmxwSBxZg3siB3E/xAaGKBCWKucWFhfOyM8pjTn69ACdzR+cmhhNneYIJLANMQVcN7tKXmLL4wlFwCWOqaiUAMqxt95dlpkadSaQJUIp21ntYATqXCos7prjRUQ=</t>
  </si>
  <si>
    <t>EdXSiTRxuWmr1kZ5BKmdCOUgCd0s+CU58NdvdCtU/T7cph/28Xhn/3521yAIUSmC0gySd8+Un6OgXeGAiutvkMBJoGI7EFEr6xBX5h384ZrM0K87RtchQRrpWE4ktc+yzeIQ+GkNpCvB6OLCqsUA9V2D5FIGhOaYlqML5z2sOiL9u4Gp2k8M/jABcKYbrvfe/uJu8geC91xA9hD5uj8pwuQv0aVby+hrYGV9QtSUOgvD//e0I+x6oKTbo7k=</t>
  </si>
  <si>
    <t>lkBsxPOb34GVxssw1+6r7xBkmVxbqBXNZpoawhAY0dZNURbUlU8Kn9+AyzHhHnBqgPT0hrmhPTDU+6RZ4YLq5YWd0zXvxooMjAkBz5PSyRV7v/srWyVyvSaKtJjtjaxix4h7MQpEC9Zhgp5VuQEIO8bf/3LnN9EOOpzKlrtWT0pNuB8r5zeTrOzeUMHUDqdmao2c/fkxmsCNmkihc0i2PUHdYniI1Ez1QVExu+9A5f75S7YsqOkc4VM9LkA=</t>
  </si>
  <si>
    <t>Fnb2RZJ0Snd/y3hqP9+NsxDCxmg4WtB+RFY0WXfIKT9wXB9wK9RMhq5iC3ZnzDwozHJbqmGKX5n7xIxvPNU3XMEF5DN0LV2G/m7bG7n9a/IUrlKyqYZJ+leqRBa81JDtc39E/Kr1KT0K8jI46G+h3ukR4r8/77+rNNZ9Mt9iihLKG9O4hGzIScbOX2n0DbrIaDwBVFHiDOgjilCifXQpuQL2vhFTCT1mgej3GrtMGuV7V+tLVuIoom8YpNg=</t>
  </si>
  <si>
    <t>G+rGGc1dzep00xfWhj05xy8SozGl7nT67lrWxam/jHh55xnfy+k7ie6GPtQ80eoyzGC6AADtarA0mSiaU9JTIAU6U1Kden+YZtDMTzKdtf/MQCnlPoaXZh4wLubyjU2EV+F0EmehEHjte/G2mggTwbz87Obr2pLG2PuE6e7G1Hj+0hTxEv4uIFzHP0R8XKMSEA+vlFoYp5eXmQAcvDJVUAWgpU2jcAnm2YrhiGPlVErT4OV4LmE4RT3y8i8=</t>
  </si>
  <si>
    <t>ok4/8eII4eTxGvbzriVs6nWPbGoj0JUdlYVUY6KJAooUB0LBhuUeQXPIXdKiFfEqly8UKmg/fN3UioARGkcpIUzjW1TJNUyjRsuQgnIdhv6qao7ETHwAQja+01R4OWnkWUvOcChN/ATy7F3ZpziZwC+oGZ3ILPRxwknPAYF9LEA0wAxMwF6CMBWcQJBCO70M+vIx5qr6697BojzmE6aLroOkXTfoMgFTJUd7HrSQqFTac9OWJ4y1gAobkm4=</t>
  </si>
  <si>
    <t>QDFgzHel3IMcwPYsPHUzyi3cwcpO/BHZYEkTM+xX2gSj45bIOv8yl1O4DWdfRlu2Jw0odz/RA6bcVhhSCVGs2/djKwXDZvQP/AzvLE0ArM5XM7LrPt/rOCxSf4faOh8Myeo7vlh6lVsb6drnxFG3Hp0nm0jF9370lDgEggNh+93NGbW4my8vWbCn7knxhuyNKNK0OBfLrjixSdwCKzLPfHN0/9Fy05PsRaa8BIpf8Qx2OHqCKlFjXLGtabE=</t>
  </si>
  <si>
    <t>hKLnUoH5Uf0FXng8X/9g3oFBWWD0yN+QhmFgUzJgmT+tgzetUAjdtm5Bptsp6760p87/okfIcDfvibTjBApyBQbQZd563LioBvI0TmdSYkXl3LsNwNCeR483l8nVLSUkHaI7Hs34RzaDNExtPbsuGXmsF4skJ0EOBgR5kEVl63LxEFrGAcfYS331phkK72E2MPPsOEKEjI1AySN8Ll0BsAqntcMAdAU8nwvfoNJRrTsJHoiB1kk34HWoORw=</t>
  </si>
  <si>
    <t>ySCma3teEyG7QSHLiQIIntaXv8BVHJJ16+hGQYSs86cHo6FV1eL4DInC7zT1leBqcHzyLuf4hkQxg75vHqpDKyRGKCsMsAB7ph4ugfXo2nYLn+XkzVBDbwFG/+o+QBZRGiffkdWKOS/f1fn5YFZHmKIPg3ChquWKfpIwx9VgY+h161hiQD7wK83wTb7pTstV9aJeudj38y8XWHTQH59mS1A7W30Umq3jPVurVJiiO/gjyqRlFbu4BoozVFE=</t>
  </si>
  <si>
    <t>mb3miUHSs6opoXjua5VzEyYhkjD5GrjqBqm9ugPhhuhEzYSgCKes0OOYfWflYxLJHVv1QjmWklApftnEMhvAl776laPrJrPvsjwD7TTdYhtzUwnRDnjiP2in75PFQHBhmUMF6N2zvA8xvU6Bf9lUtCR/A1X+NLE87P8b4+6LmZ3J4SgRSwFywuxjEld6Y/N0ug+Q+FT81DMeCuvlUOfsFoG5LV7Bf1v30iYraLLKN86qR7B9VQur0A6bVJI=</t>
  </si>
  <si>
    <t>2W798lZeEp618/MXGFEsEvUyeJeVTE0Z4FJPyoWk+m6j1kr6iHUYxm/301H84pviJQdofi73U7cN6vcqSQ77AplQUYsDvmZNdTNVYK/l3JCo6l/8tim4pi/7uTOn4yH0aYUL6ttn8gBMMVjaGPb4eE/43hB5qulx82OGUzuDz2yAUrvXrr8osmWAGlsn+oKkQCL1IsUCEsYyq26hEs5uRgInGXtnycjM4UzF9fpfXwvZ6D50s1n8poHdJfM=</t>
  </si>
  <si>
    <t>GpJRm3LhzrTZK93HwWPubUp1M+9JnZrQ3e0q/im9SerstooHgK7bR7A4V4ER1rJLOH3wCkjg5NpuW5uwd/BCgRdV1/yRzhpdVXW9xrdwe5XFCMTlucOJcGvrOXY/zQqrN20rHKyKiXVfSsY3+As3RtqmU2KYOtrOXcgy6qFq2r7cOBcUDwZXwZDIR0QWT5A1fPRv5BkVjN0Gcnikks1WcKo91fTCxMB8tTcGv9YNMFRpHa4Dk9WaBZmok/E=</t>
  </si>
  <si>
    <t>rgiQY6A0KLu2nyRN7n4CW2WRZ39HDNYF903nlwUJ2Utib5WptO5PVpI5PxTq0ZINhevtJD/uP3E/6Fj71O9mIrPdt/fXdYM/VejeemGhWj6fQTexCAY/6J08slxLl6oz2YZOLRGdu3BCcVpOtHoMuzXDnhZ7khLd9wBBL57Y6nsZLP+SpmiehCA9YXyq+48DpCNrmvhq3NcjMLEq9wL5qpJUEWDq/oFdCu5HbARD6kFG7gOdidfkDU4Tc8c=</t>
  </si>
  <si>
    <t>n8IiM8weB4sZ6hLiPq23z2xshOGHkD5bjf+QZGRxs+32sKroeYsMetudbvz+XWrCz+/I2ZQkeZdxX1DCLe5903fPqb8Y+qdonnx/5i8SU3qcWpoTtB2mRhhCzOQChXQsAdrWSLUwfF0VRqlzH91ZgVDqFXU2V1Yw7wejgJfLcoJEeqXjHYaR/zniChw9zRghPnirJkmEiW4qIcoqVmuqYuU8VlXlimIXwH9iTLcTDvnay0zNY9jawbjHKtA=</t>
  </si>
  <si>
    <t>Hst3Z1VoguElvXAg2j26EX3QpkkpU65Ogt0+n0iLDXenowDgQZ01yDjkZgV2suZ8DjtY7GtTJ5sARiKJRkVUnh5MilBfDlVqhehKpgqSrBLZMb4r6FqR7dFvCissAjXZW8w2378KsRUba4rOngy7DCdqQ+wIwMxNTJ1h2vXp5td2s8rusUzQ2nQfDrYL/0gQbezyHgUZCDzVHtW8WR/FbNoTNAIfibv40dmug78W0EnC1sUXBSGbHMTBYBU=</t>
  </si>
  <si>
    <t>yQRsfghNCF4B55ZAxiwjwN1wCbafgNai9T15YbzSyrocYPUv6d/sxLS7HHd63DY3LM98ZQSVQSIrSjen5MfVwNw0aXL2G+Mev+gJbC3wHSJlXX1wpR21xb1zUlZXn++nGjS1mdOfEszzO+exqDpvBwsE1Omh4Xs+BJti+/IKTOjwhxT45mlbaO/GEic05GNxmE/SPvl6HJaoyuJktvjVdWoCntVxuQgICuBHOt6PcsCMM7AfLYB9sRqJ67A=</t>
  </si>
  <si>
    <t>+9lm29XIH6qQhZzAGTphSEOKFYDC9k7Iw5UjLMdWb0qJKH+22TFOZ2FBiXWuUeB+TUjDLD33TEMWYt8/PMCmh9VVVmvdwB2308jGQiPrwHveGLQvlZVGTYf7ALt1cBTWtykyZJu3ph0DpXfeJur6u/oLLfxUZ6qnvVF3zgathDb1eRZqURon3Ns6qdJOQYVVdXjaoJaCGCxuARNzi0Mfqtc+JcH4BrDsLxYqT8oIeCQsnkJPh2fqqcs4aCo=</t>
  </si>
  <si>
    <t>+A5VZAQeNionv8f/+Cg7PirdDYEttSBY0ladQrXTiSFhgQ7PT/m80k+T59FTI8LIpJIOI5jOA/KMDps3KNhnLXJcSNZVPiTlVbS5yh5o4p5ETPXy7wjti0p8rVPz4pNYxnEJjf23ycU+pJS7XT5wqINmpcmD6cDkurAaUYIpc4hDEErm+s7ERjOlu9qs/zNd5GvcxiBWMISMgBP9/ARHVIVzNwAFjAB95IYj7JOuNT9k6OA4lTIHQeOcNII=</t>
  </si>
  <si>
    <t>IoiVShJkNjLbRyWYVYpWCHJnefsayfLl5HIsAbGZRkB7YymdjGUBNI48ID+kNNR0K7TPpHIJAYAP3RlIv9dZ2/6dwn8O/SEeLHofNvvEs5zNWmkKJH/5gpqg0ArILQxZz4FnW21DeP8059vDVBI3o/WPoV4oH3xNTr+sJq0lMWaZcMc3Y7rfEnFZluOrh7gRzVsZsTtKQ9aGptTni85t9j+qgBSyvfYW5S06N95pkTu7PE7itZFqSJF4ByE=</t>
  </si>
  <si>
    <t>gYf7mkwNXbGSyTL2Ar6+S96DmGfKk/r6hp54yW6qLQzu36gG8rZJcJ5YVlEUw5gFteJxrrML3RXbk4U8ORlsshgV0V+/MM1P7gv2/nRcwE4ZisfkWsYjSxHQAU/8tqnJcNOiWHhOgKJfMReYrwuuHXml9C+2NAgHxRHyWFNe/KEPFAePmb2rLMHLhLKRh+fV64U7b4rO+0mzTV7p1z6JiJsXKG6kX1k6cZlbqfG5swZ449m14irPtzvr2mQ=</t>
  </si>
  <si>
    <t>xupIBA+Y2JKM4tkBMLp/cEddUVYadNIKKG0zsIKIWU/VS8JkqkJJrdjLHwd2ho6/wagVHu+WuaZMTbiFKXXVUkxleuQhYAk4kj1zH/V/YkenX97IVYziHUVr6k76jE4ziugc5QNKZJzxFWEbR7GYX/nio7w/aiOFJBqr+MdNFykUpNCR1EVKbxLRsBEPMgwP1TIAp760jVEBf8k26KV72IrkOXyG6xtQ4Nquw7Nk3KS20IWs1q0t5YUSooA=</t>
  </si>
  <si>
    <t>0Z9rhwvpx+EHhpOssl5tedcST73iN/d0vjxbOHY0dhGTT/pAOXBqz9kBiNorB84KnCAJcw+NiBypMAFoQ37WJKcE4BpHg0w9qRf0eDuNqYWoyuCzr2UOjgv8BdSgL/kxyM4Qew9LOVfcZaOHkr52M8QNlsSFNqhqPdTaYDRoBrB2jfzDg+PiEsoJEXEhf5AHMTD7gx6NzGRYMV0wouSk6LD/lDC5BhM4BzxTd6Z0TngaDaRmimKi8Sxs7RQ=</t>
  </si>
  <si>
    <t>aDfjArVC+kTNJB7Q6ZnUjlS4YnXiwdbbMZGnovyMJz/pB68Gn5VoZAaKiKgAplD/gutEE2bAUywQCQu/6vQwP1rRTbwBfMxPowYGD1ggti5C9U1ggZZZFEPh1PAI9ewxqw+vmxNbDaCZbQvFN/Jd6+TFXeLIW8QpLP0OlXwSM/obP6JbxXT72rryeHtCbO9DbWEtal0JuGevPyFkoVfub0wiRvM2lXbLYUmVE5mBWncmbtSAkMl1K7lWFo0=</t>
  </si>
  <si>
    <t>KQ2snRqZc47bXpN5PAxApbja46a9fHo69dwQYlRjAq+JtSA3Vozehs2XgVwPpXlTreyxZaYIlr9xJuULImq33nFPzpyIm//4QLqjoszsZt0l1cCaiHeW39fYZlOkyY+gH+hRf+Zi01AXkxrWd1RF6ypGCRzQ9Dy5lto9xpWzYADy/kuls0QfKApO+udWSFjxxMUWE0TvQ3b+RClzi7dC+Y3vbaistObY/r3pRbBuiapl6MhwVeoCwfouAsk=</t>
  </si>
  <si>
    <t>yYJur9twGiY+E/Sg9fpS+8qimk+PcgQVY+eHx1CpmYalGzj1ei2Nc8STvCPRKI4rK/9TUzFf2B/aAtosBRCeyhHlpfWIRw213qdtCgnx3/4tuTg14sTRThMnBeMVHIsGaXpaHBS0EdaO7rPb0CfCvt0qF+VZOZLg8xMKHn1m7ZYjT5rbmvs4e0DQqD8JbiiYNtHwgAUdslSMYKCha0DKUgZ2FmmmfS8afP7I3L1onwkqQ3FmTOnbFwg6f0g=</t>
  </si>
  <si>
    <t>KagoZweRjRCnPqdVlO1Qa5CEgZ25hPttvVslQlpCf4ugmagKBOXd2IuOCz6Jz2Jx2TPbe9ipH5YzKDQ+DLokm7jH1QfcsqTc6wMsc9k39I+XfKfHedN2jtrCv6B1sB2Jz4xVX6E2w7i0ZTJG4gHCMgV9GTIhd3w2l7yPtzTKnxVgr2p1BOXiP9rHfQe20g7rlbDuhe1bZ7I2V0hRfekreazlgejaKewWt8lFreeIkE1LdbvfqdFOGOnBzOo=</t>
  </si>
  <si>
    <t>NfrXRoNAoP8AujV59xXuBoDSlqpUj/OarmQ/pIdKEQD335VKOAsUEwtT4SExkBiwiPmikEr0faKEootYhqmynS96CI3BcZnDyQ4fY/0Sp3qYFdZDFDCZtIFv/RMMKhVml7Odwg9fHsJvlII3xlJgEbz7bKplYEEOIhk3TydAHjEnFFFtCDi63iNv1E1XjphTmoNwyvH1S+zCGnguW6hMZpQ6Lk244MQ4zUHsbV98CoIxftUPzRJUTasxvjs=</t>
  </si>
  <si>
    <t>qjxyT+wO3nq9prUYq5Xen5gPx7g8TYeNdRA45kUWtBrGhLGI2oSjvbGyayN+bkxnqfj4kM6RBIJ8rUMIiEA/+qo7WdjRE+HOTg9eF3qhJb0VHJKrQiiD3eoVClaCIrUCDQhMEOMmDtSoqaCbdbSEoE1ITh3MSx/6gFhzyzEIBw3yo3a6k69YPakCbmLf7SxrG3F+lxcrMg+gxO6TUyzG2O51Hph6vqbzqA1vmHTrTNATPcfOW5trd2Q3VA4=</t>
  </si>
  <si>
    <t>KE990HAH9GF4gK7/FWOnxnnDbbrULuWQnGIi0jUW2vuGQEzrhDsVy8OjSpm2BmewW30B7DACKkyPtGjiC4pOxi5aS6h2u8BmrFVws9JM2KzRkh22FQVK0hW543XAtz76qKMIDTF7zL2cxFhHWmwxbrfRFRL/dhIenRsXDfiIFzUrTu7s6/+zEc2POgy5qUI7MPzsAcBuiM9PXXq9AeMWtX5VG1IvCWkobMGwYhqWbDYdj9jngVFYE9mL6d4=</t>
  </si>
  <si>
    <t>7HZUHB/Vob94obJt8SPM+Xz2IK8f/ZniFBCiEcRvpkxbO0Jmikhn4hf+TSsRDg1BohmwHa4Ecd1XQqyEfPWF+oqyACiRrGx6GXJ3kaebjZIrjOmC0m2MoAWgyrflZfnlW3HkuBfyBJP6c7l/qYcwuCheoTq0NGs80dI8rTzP1olFX8U4tn1BwA1uKvKEtyBK8X1s4RFdZMbemLVi8s5uvpaATRDkUbSW0lYzQ3394JsBMXtYIBZzek3stgQ=</t>
  </si>
  <si>
    <t>sKjifugNeGjagUI0EKGasRpQ5IUBDmOEIqcMafwOCrPC634BKtTOXoeg1uNciooouB9NFY6hAq/nt/5qBZBqmNROG2gkYeMygG/jX5s2pylLff8YqW1fPdAryP2yo4UaE+Eqi8DLpZr1wf3sVfgSYh+puOjik9nz5GRd9sFB5MMFwn4BAyWONj98QcA3k6QgOyYFPPlFcJuksKdBmA/vyc2Dh5/zqfiNW1+rNm2OpSY0ZBwgQh0H9HVMLVA=</t>
  </si>
  <si>
    <t>T6dwPaes9W3snvYTSh/lHXs0pzVyE02I2IJA2jZsTy6YHW+hyFnIip7HITxsFmaEirOqXbFBqcc/xYgeDK7ScrEZwXG5Yf98VfUSaVDj//FpSMxqbGqf4Lk4kupd0HFZM22G9shrlubD6k5Mfjf7F4bKzHUVXTwJYnnpoQcQCS4BtjTDQlpjJKEkmvpZk6Ur85GSOjYTOoyixlFAKauh3RQWNAdHJyfApB8knXz5EXKJ5eWDOC+juksq4rY=</t>
  </si>
  <si>
    <t>fkNXUnakVBwUI37Md2wCMydRzmndW7VvMkOhdL3iWDcCb5dFwKBG2gaGfyIuXLnVXov+BldMoiJxai8cIvPPxKj2DGJJf3WXCuXvNB6BcDBTtBfS1ZnssDHFTcX4RHyaIKsQCV6aWPxa7wrC3+TjuDbfn263ocXv06D6MiR8D+4EZyxeUE6NBQOdtcFfGFqZBcm+nsAucveS7EkYCd/kr8poLNG0MOJl6hb65iNFkygYhJZXBCTyleGDmrw=</t>
  </si>
  <si>
    <t>hcaSHirHj9YUpf4Ojn1/uAnFBzsyuvXGlwlhiHO2aAg3+KQkJh+4hpoZeMGM95nBPXvn0UYEU8o9FXQS/L0fX6cY45DiR92504WZJAOn1lNSdlsjg37a1l5+ypKjxeDzY2lizKFu7HHGbLbL/S9AgtHhDJDu9MDpxD9uGcmA7nqRT2nTsjc0IpCmTT50I0xNMJGZIIR8aM4WeDaqVKcBzgUx0DkKLQ1NT3VgORghw9fAgHtad5e8VwFWwAE=</t>
  </si>
  <si>
    <t>lkAY8rKzav+bFOKBetawTkmpIXh3++9w9ktrNYMAcGeai1ad/5driTajaXnCrk7otMi0YzB+8ixuQ9IA8+xwehgEUzKS8ne5OMg0RMrr0cGXDsKqS09bm4ZP3A/h1j19YujOGpUiWI3od3VmnWjwohgHDWcTKmXgMdUfV31gs34zy3V/6Jk4UEMqEnEzKAl6JHROHiVU6JMp1GaTykxwjEbYUnIRdYamVWDXsehwjR/G/my3bwMYWfEXNeg=</t>
  </si>
  <si>
    <t>HQBwxK/gX5GCnjRcWygAPpxPa9zizlzH3eSMJSiPX1H6Q9ExiHSCa9LdvPEPrvPSbNqzPyzzRNi7qlZ9nbmWpNPFaV5ScAt4Vx+VEUlusL7EA/x5z+kxVYFfkcAQ25oQMPkkcgK14WVSen9aX/A/pXSnPiBD+E4CUuTL0vORNT/icHGLW30PLd4MAN61dtysVvObPNZpWY2yYQ7HVybuJA4uIyo6W4zTw3P1CBedgld4/LmuwHRLTzW36II=</t>
  </si>
  <si>
    <t>t9hxVLplQwu+aCfBmQgyaIOcb7LUeKrDuVAXRy+cBNbT4GyhtVw4UOFzlpFtQ2aUQq7Kfw3qsGlqWdkYbbva5OtqsHNz0iMA21x9Baczo+JmTQ2hKD0MC3Oh3UpWkcTjLQ2EJUYSmgJ3s+3pTob2PqmDeoqw7jv2GnIvYbA55FynqBSshSPjyO58j1nnEBzxWYBh6xB25Grs2FTQwgkdra0zNgcQp4vbQ49MNCxpOWi8ZexupQj0ZbRMExk=</t>
  </si>
  <si>
    <t>kabP/WZ56yaM26vHKb71eMdn6qS++5nplokSEQKsDUA6eQc97T01YZ4404tdzqL4tq3hAH/pZFnu9zD6fPrpksfEQgFO7NNPMRzQ5vxSP0OKrC91uC3rSxkdRzUWAgCHcp1zA1sMoafAh/+gsFKazI/Bc5rKOmn0V2TS0hSaOlYhQjHhU1KIcabb4Xvgi/K2uELZq7STxOHsiXZCdQP4Kk5jZMauJ4Fx9z2NFeu1XSSReArznxpsp5RbtFc=</t>
  </si>
  <si>
    <t>+TZ2v/lmn9VYx/JwOkJ6KLM5pvB62o1vNgFpktMXHaxNiGAvzYdGPTRoVhfNFoXyThFB9g11rWbQAuf/lWOOZfNRsPwj+bqKheHY4oPHda6Hj+0h2GE/XW1K9RZJA5jslajs5HIbcWLfi/aw/ksCq/nt+hysptJCDiwCXfn2Gc3De+xZBCOQ5jJXuRmRuFFQBqJCI5xvRAxtDmhD1WxWqmOAVQ1HawkW4bF9dqqg7zpYOTJiusqGYloDRkA=</t>
  </si>
  <si>
    <t>dlqhdNVTJVdCWWs9VAyOUGjHLFlVBWcdQqZ0Uf/P2wCj+HkpPGtCHmJxbJD45ewoniP7I53vBejk2re5miNKibubfMjSMQe6qdV9qQegjPNXwHj6IEe9YHeUVwndLMorA83sBEnCwembID9nZdk9t0RiPpnnEQA9q+aUPz590wdYzdvs07mMQASJQDudaIcxIX7+EoJnf2GNeGHlxYlnco6Se5N46Vgv5sg4DI8ct2OBl6ug64EmOfZvw2c=</t>
  </si>
  <si>
    <t>PXOlvRo8as8R9XsYj5LGHZ9eWvYhPJLQ3dIt9IG8wf9pQWaK22e+tVGQaYlvwfqiG3x6iKuaIDb06bbnXJD3Mm78n18lpv3AKr62CIEjUNqufvcNn4C4dmkk51fmpjuIVsayXn7u7AsjWfaNlizFe9RCcgJImdMmtY5pvjwI/fxokkikHgmiGsVpsE0gKWOABGDbXMqsYDH1w5mNFq82pHct5zeSs0Ym4lMtNINoseFjmdvZZLjFXKKwQC0=</t>
  </si>
  <si>
    <t>Xj6aURP/jKAo5HgERKJ8hsaB56GnFtqyRSqGcEmyd9oTAQ7XFAAcdesRJOeP+K485k6QfPKDDbPjw5AaIjJBlmFLw2l5sTov1qDh+UnYcNGfKw71zEiI/r2GDVn9F8zzqje2H2OxoVZkpqiy+mDy9FHa+gdpGyE9Kq4sFU/GZTW3H/FUn6JG+vEmuHHnHYmwKGOMF1bHevvyJ1KKr6ugZae2dW3/qfL65Vp2GCRorG3pnW+AocM03ANJreU=</t>
  </si>
  <si>
    <t>KIrsVkv33xwsmMAgMnOBR/bTMvIxDyYLEHTHdllUdyC3BYPTbBf7Bpp/NHVAzDgh0KxdYcO/O8v9wLOqNvB8UqykkbvX9alk3fasWPaf87CV0lrmgIfM8Uvgjuw5NAH/L8vWa2EiwU1qujwC/AiEuhUlyrxQUw9tOL+D4Mefju3yJke/+jWEM8I1rNHdhH50PczCGrzf5LKExqLwB2ZztWhlkJ6RNC10H2fBxUD9wWuB09ENuLU2YSSAHMg=</t>
  </si>
  <si>
    <t>okwOgxf4P5MAdS17foXXRB6lUOlv6UHsELUYHr9er65ctjdHH/CZN+QzpSrB/Xjiop/g3Kx2GKMeXVDeoN8vzTZLsuL9QKlSMnaoZ8LXoGvRXMF4gapnH2RycSYYA3WforCtSum/CCQSeKd7efmYza3bfXIz30PwYm+L5R+4C2eUR9cVY0mbFm6Q2AkZydDyvptMzgN3flA0lhOUDn4mSLPus0t2UTMlOQXsemMNXeBumY3iskgrCCBgESI=</t>
  </si>
  <si>
    <t>82niGSp4WEkoE+DoyQ65PbAQWwBrG9GVjJS5tpsP8+JpiWIfSseVS3LJeTi+hmZXrdIqd0Dngo0sGiodePAgTfpNHNEJRk8urnmR9JyDqxyIFnBY5i/z4+hZ0+0xMgYKRCtyV31e0GG5TyZaWSk64menbRU0S/dHhcgKyGonORnA3AKar1F1R60IWZl/Mc4Pfr12MXRED+ph+L7aPBZSsspMvayEDLJHP5Fo1PRqm4yFIoC0RJJKU2ybck0=</t>
  </si>
  <si>
    <t>79b+hBpIb8Oc2d+TUXr/BFajx2yhxYK35PAkBPc8OsTxSDyyomdu1yRVtGkcDjWH9Z2qsuzs8cHGV12wRecXeIfWiMN0i2Twlnk6dyyTBbWsTosGQOg4I8UuIa7Bl0obowRbOQa6wlGna24Dc9aeWlue+E/323lXKpoprcoPRmBixqamXWEyxAZJkpeloLcJBQGR9yIOnsKAKWVsTtTaxE13brXKA7TjBravgXG5bhFPYJlNtS4SYkYQASw=</t>
  </si>
  <si>
    <t>1bUrEaNIYlHZcKl36t4512I+zhDkNac7g2Irysud9xRzM2LVNJrRfOPnUxeFrHvE+j/bljXV8d/cpr4cg2QvlqzOEjV0EyoobZ0JA/MpemVqzswJx83lz2kfYVpPQu5BLywlfSr/jc72uy7cC1tfyrqlZ70LfiT2stCBkgiyX/F3Epcf9z0eY2FWii6dfpdJO6VOGF5fCqwf5rpMgGxDLoI4FziptlAHZ8QOiTUq8LpXRWFLAGqwHXtNIe4=</t>
  </si>
  <si>
    <t>O/lb4Yp6fnI0+VowpWQUFja4zEhH6Pm25gSSFbCRN86GLDSlSNgnBLW1Jp2GpIUcflx6RVR/t2xXas9TRcM4mkhP0Tirw8BGuqOpDJ6jlART6Mn2Y/9sQ/cSgP1zl5o4+I1mulMzXuwQamKlo24sgLdkqgqZq6PokNAFqC/Qd0VutlVAONELWpD9onxLaILxejzfXw+DQ7vumQUL6JSmRQijKa/a7agJJtZUtSLI1O2ShHVTgKJ+Dj0R+Oc=</t>
  </si>
  <si>
    <t>iUc6Z//nAEbbFDGIygE+GCMoGjNYkdhvAKq0ABmRyHS0yCmX98u/f+ZQ2Y9pzpLGpNctfBKbHeR6WaK3DPMTyg19wkMLB4TQtYBJ0VNttjNr1T9gDkhkn5VGKLb0GQ1P9YqIbJnHJOoJ0HRsUseZJZDUuskYuBTgAWAePwHrRJvAvb6lDDphJ8R8BouynThw3LzX875v1Cg02MsCd8+k6dUt1nGq/7QlisGXf64kr3rMW4/ff63S3ctO2Yw=</t>
  </si>
  <si>
    <t>xo+m37S05lrNfXjLNztfuUTyCCPfUkG+C1nJhOzMjRTmPeED1C2v4cYOFyA9D0EB399TbFq1eKHEtFtK/D3QhoA+eT8Q+Fooomm8duAkhzZJJgDdZw4SvQG9gW9A5vCWVWH4Mu4T8lrjsndrLfNlN2FGrs3+QB27CsHD7jvxBRFrMfX6XqVIuyShm27YkgV2yo8H0pWQGQXuP0ezq2y3fwdmhrD5mmsND1XU/PvqnMr0xy4K3qOxYWobedA=</t>
  </si>
  <si>
    <t>jI0nxntVmirSvZGOLdb/l33dfxmMhwMhCige8cTwxiZO85iE2WHbQupi0Amd/i2uet0NQ7YBwvpM4jDv64h7ttz0iHfN3PDKMTp24xKPTveh4AsFEA65IQIxbO87vEKsr2lc5E6G4y8XLjRt8NTR2Dl+kdM7rjx0eLJcFP3SVA7TCRlWATI2oGrOeZ9daLGWwT2dghvLbqHSC+pEwfZqYZDAV6gKZRQdulMtQVeJJ5aqrr0MPVRL1BlKMlI=</t>
  </si>
  <si>
    <t>tOqoWBDB6BDw8mmHtVpuNUEf8Uem71M65NMNr+1xkjQEWRCWuI8ZAAgwVJlHHCUhi80x6qNoxXjU+4iwQQVUEI9TGQGDEfbgs+lL7G2rWhXlQfDqDDcoi1pNxLiQ3+0SgaPJHlBu+EGsCwnvNP9LE8hhCOG5++0oPDYoWZTbbS2NUFtHF1RaMQc0czEgyoJaHuvcvMMxw4avDuy6sa3h7dSRfQ0+2Hsx35v7vjdfTxAVCuNYG/941v4ZKyc=</t>
  </si>
  <si>
    <t>azsBSgHMFk2vkCeLN/erbCnLO4azcOpSY824DmdDdjuUq6R9n/eoK05oPImZvpk66Wy1+Jf/TquJMt4cFjymJgUWUZwr2LXsa+GcLDv44YUhEheEYe5ImHyWGhNnaG25fbkUKzgE1jzQddz3V3ysI13zvjmiONKEqnUQ9rK1DKQ6ZnJJRoto+QO/AbFe4Ujcm+ZGW596JJL3o+Av82r0gEal+sE9msS/3oG64RlrRhk+mOy1z5AVNdOmr70=</t>
  </si>
  <si>
    <t>RmYy662F9vDVfw1fTZbNGlGQqUA1F2P4ah29WGYSBKcY79QuJf5qGjtYRJuqAWAcN+TV0QdQDXOSe4kxRHm7dzTL6gLzzU+JgN1sC/vcEf21ShQqUH0sOJIYnxw5WRKclRPVykSkCoCKygPuR9BLJ0RPtSR08c3SpmaUmo1ALNcoVPdM4VX9Tw1KmJrNn7lwKaW/LPCfx+L55N8/Xzle7v/NBUHIDcJLOkDoQH9PnTu+Us2xDBHeHcOjA3o=</t>
  </si>
  <si>
    <t>2vTztXyrX9t5wDNbJpiCDUyMbn1hNL+ztCQBJPNmRvoUegBskwqjL84lA56PBMN3en232LicVAqXAv7g4AYvThV4xbb9876eEr144SmqMZQOUdyNZmzyJIdVspXEpJolWxkBkQ22mu0sJK4CJCZhriY8+1YsBE5ynfBS/apv3fjSv6N+Jm4A66PBr4XLSqI0phJyrZiDVKPBdhUtKYb/1+XCiF0G9OjJ2W3D1+Jr6du33SGE2s+BC8ev2tQ=</t>
  </si>
  <si>
    <t>BZ/kfcblepHjLHBh+EA9fh+oZM4CpaG2lV0BHQX8CFsiDupUHnlBsWG5m9pzpxQ7KYZNiXuNs6YqgmNjMbUDJMbKG0wRfguw2L12uQLrkxh2yIQvyJV7pT92m9Cx51+935rXolQr8PIJxWsSHHSU4n4RtqkPxjIhYeob8+oJbJPWbTAdFjWv1lihIv4ED0jOSUVKz0zwDB3PxC/bKIhPufLV/KWNdpDaSduFNiPfm5DAmeia/gk81TbUq14=</t>
  </si>
  <si>
    <t>oxOD59c6qs7cCU2qrHvrhPn1IKnkHjo5AkBOV0bbUxZ3GsO1d0yDEKm5EN3jz8qlS//9YMi3f7lzL42BUBhP55IxwDJV5QHAfuTx/sFRt568FcF8VJeHoE2TuC2WE6JWpjNy4EZT6bmR/APy+oUfWJqYiGmyh08jIa3OPudt8YW5Pe8f5tQLnmutsy1xYH8zvz+S0GuylcNHw1XuZ0Md84AEumhzh5IiTSZWpKzuq7c8y4i+lFphJT8KoyM=</t>
  </si>
  <si>
    <t>Vk/+nnirD09+ZDuOQLqEsukD07o1He8wcqcP3Jkl3fDNinFPZcCxsoLRC33CwTUAfReMjHM8b27GaUxUS6Kn4uNSD1Qf3+3Qq97rU4O1DUqaLLro/JF0QxJg2tTlc7RKu5ZzoBaCiZeo9d3vuoARknEzDHO4ZGcgxmzMRHAc6kDSPPVZR6MiC+M78bVVvWmoFaF0GVRCF1//VncJUpzMKSdt9YbuGzDrXgQ61yAgnVkAkrfANUorKJ8pHS8=</t>
  </si>
  <si>
    <t>FSHVjYm6QIEh43WcJycq5MRU4fMNgp1gX2tmsPbOzmFNOQabQ1sDNDYXoTz3ueQ/qV/cvmHQ1Gxv/Tfo4/tB8yhByhSzevua4cUhe8jQz5RvZZdfV5tyu+ZPTqAZsiBMqJDKo1GfxKlHYNCld8IzfgZiLlMOke2XkUlPPe3MXNs5JAFm+SIoJY/yypJSgAB2R59ay31I0IpjcVd2ztwqFy1NoOsOe7EJvfgLgipSGTDRX65qT8gMLTH72Zw=</t>
  </si>
  <si>
    <t>BPaebp8m36hx/lpktkp1QNOPXwukw8fVu024QQUEPpMqlf0PMk2xOTWBCFHWQnunUnVDa7TqFGJ/ids7HreStkxmJag/5GfMQB78AReTxHfYkhZF3FanYPAxvuHq7M0Vgx9rVwt6Ngjp84IBlwIyQawrrflQtOGPpcgv7rneJ1UsBXBjuu2G+Y0RnwDSXuvfbceWF5eu6l6FoOt09ozLKNdkgSn2ZSAEVABWusOdfaFAC/2uBoyXhRHmv1E=</t>
  </si>
  <si>
    <t>e2PON83WZ8aupbQRt0rB108Q2On0jrvS5ByLGhJHH9uCQs3D8uesZd736U95EgXmBN8veH/a8XrvImE1D7i96GtdnVXcGNSaU4SJuuUDO+L2uAeHxhKF6Tod+/fBvsSMZLaOKiOxbm2QSY5tou8mvlWM/gC399YhshdFGZHsikxPsqbEdD8NSa1sKSAQno+9qKCZ+lTNrA3NCEokKt4Ck/c3EnLd7XetZbWtonbqJ5dWI6F/X5/+r1XO074=</t>
  </si>
  <si>
    <t>/zZoNKFDeZbEGb0AerO9nV0xFZSb2KIG5M6d8248sVlq3qy2YNpOBoOP5N2Y7tdMUdduF+Wuo4zJ2FPINaoDuiocJYEUpa4whqICAxn68X5WWKfTvt3BJ4qQ0r0zx9wA1jCiS1dsNHKiIoSs+8WpiXuOn0pwse5hO6fALpo0JwSyBEjyjCloky72ws6/Brjiv2sORNhyHApRv8Dn8gkwAme5kCBg9M/MeAeJVIblu67dUPrNkhNfSY9GkJA=</t>
  </si>
  <si>
    <t>9vZCI1Uk09zcX5Q60nXjyHPBCqOVplagb12172I/58YHmsnZQ9BqCAeMWUdnTRdM18IVxD0trTudHHcxtEHS/KNXg2C2pTSlKNSRsAzK8kGLuSs+/Js+Q/q9ma7fhlgLuRR5xBIJUnIjRnZm5KOggd31bEUSn5hfBAMQl1PPBHECXQ9oALYJ1fC80Cz0jwsAOjCx3z9srRHp9sKElvegOQ/bGv+TeocfOqbjgXeNaOQwbCmyVllwGQ+9fTw=</t>
  </si>
  <si>
    <t>z+tXSJwK74xy+a6qWxVyagMnxyZhsqXP3HNq70YUmI8chjlR5iZqrOZ6MstNq6oFaOSG66dfY8Rd6c0jCPxhGE8tojZQZ0rDASUlK0qgh4FyJY36sXZwAoSds2/NgYj4L25sfIvLGq7iqPnaU2gxG7yQCRcUKY9xRG8TFfaivYGL5eCnNs2io33MO2YSSDZNn4mub2YsjhAhrrsD6LYCkQspbeRqlzxPqWXLdvv1nEsd7AFpfxVAMldbn6c=</t>
  </si>
  <si>
    <t>kCELH0JcTQ7cpPdG6+tcyopkto8VfNjAQYnbs62llAxPTxMbI8jzVIANn/oDUVGoXscCDoZK4SJEk28hf55iN4o0oQDKPBG7QEzDfmedDYefDUeGDTo2k96Cf6tP6q6ZKhpD0loCdvguK5dwWnFBOATZyB6SzoJCSZqlxHTyhuLBA60Z5Qrv01vmreAcaMaaC2xyxzYAwcRBvpuaur34nvG06NNIezXAVg0KxIgIETV51CshZtNvxTZPmyA=</t>
  </si>
  <si>
    <t>AuQIQ/IDUeycRx24vLqMCjLsQxl5n3ojsFeKHwTKbenR7v4c3Wn5qA1QQ6yBeKzNnnP4NmHiNR3DFMqaJlDhSKZxoMym0StbSiv+bY5IDAllJRsZWeszS9N7phvhF/g+3Kuf3mwSoDblDhEgF9IAJEQ3mrEZfh5llhaOZjay6motmcr07f0Wz4On1HwcqjQbtJSkTGBgaSLmG7ygm/VDcriWjFWRDnt544DpiAyFJUKAW6sUL4tgwvloV4w=</t>
  </si>
  <si>
    <t>nshsTkrjnJFas9BKIKj7AaaoYr83jc22dkWifDxNUqGnUURZNyHiTgA2jcQNfgfraXMSjUAW4s3z9pZ3lWgbklZ+f58XlVN9SKATlFFfj1bmGbFOJlJDnPBXnqHjghzMYYNV1rk2cagsG3oX8/ZeKBzm3965mgYTuCFHAd2+nk+rhaH8r3RKCJSVl80Hb1865jcJPcL+vL9tueInHclsNEoUjxOoq4w8Ys4/biXVQ23wda6dGKC8b2gmX0k=</t>
  </si>
  <si>
    <t>gdXeSiuWwMtMjoiMc5hwK3iPswbq/rYaQKL43fzTdt6GWcD1jU9VVqaDl+sHKrWbWxVo9ho2MB1QrVHeSnBtrQ2/YHoqJAe5PHT9EdFgVePNMzklzdESBP5o1/+bXox9oWtG/oT6u6WT8UCgcNNJsNRXNmeFJFDKpuoEmbcW/HXuSB+Yow0ulUXCneNHTiayiFKp8kkd40YHED4R/OS6TTEWFz0oKbONTdIMeIntKzkTGynX4FeeIjOf+RU=</t>
  </si>
  <si>
    <t>aG+zQM4oTzpFRewRF4QYFDE93Hw68EgdBurJF4bW1H0USVvXQYfmHxirv5zFdYT87lTCLklCXOyJxD91LDcL8kGbuRKnQCZ3mibGCDLstNLFjPDk5GR6S+DUGB+9fpfyjxuJxK2/dKEuk7aKgx4Hj+CXv2zqcVcfU6rZoQUSevxjy5MsUf3fZFp987Cf6Ql5jBiX8Qxv7XLvZKaCLKMTj1F5qrIpGSp7uphlGQEYrAdQP2w4sgfow/YHOL8=</t>
  </si>
  <si>
    <t>yi5XEKJcFSP92mmUdcbJEyzW84KWgAMG8+SqMwyCUXOXymX3hgbZp2R+5HSjwA3qpF0+PvsES3+ZeErKf2AaZho+QcTWi9ALWjIONCcY1ADcCQMj3uF2UyE8lBHYCE9nsPmHZSxoJtOp2pq4B0bNbOiQwoYOaVlUHr9lP6F3a4mg0RzIbZ3qP7QttVGFG2UaVJjPoW/XdO5cOF4lIXa6FMxb2lvEy7h6pV+mtN4a38DeTdmVMyhIUCD+P5k=</t>
  </si>
  <si>
    <t>1Jp1xea8stlN5SYiVUqxO3i+TQ90qI55agGRkOehM6AHDi2cIqF18FVwkps874SvmKivXyIXWoN6JjcZj6RSaap78b2C4sgFAuWPcX7wyR1SIX1KvSzXmqxXBsIduIih8MXEO3l/o8vCZSmiTGdN/7KJq1bncakQ6yjPqH8Z+z6kVNIPfz33IaXF4+TvuIXW0gH2O2gmcIgNB713pLhPQmtqcUqVYHKezGPv4VkT26vTqrxpzAURFMP/Cx0=</t>
  </si>
  <si>
    <t>oymSLz4xFZinCFrD8V7B3EeXTqZdh2sM9iEuMh4JgpJKw04YMJ3YlMgJqYWsRMoFHMFtwihzo5BDuNpPn88azMxMSZ+TSo7crm0OgV38nh1qinX6VZDwspuT0npKarmxJ74lht61qY36Qv2zjUB+2ar59OQaIYlAlNId18of9pc1cWjzOLGyyuAEgxyAG/UWQh68XPm2k9qKW2z31Ikt6YDpfawgprj/tvHkHStyNlWf8F9AhqU2Dgd8kmA=</t>
  </si>
  <si>
    <t>vHvfDasClfxjIhO924ppweRU5WR/G0fYlfa6eQui2qEnQYIa3VohxKZqVzyTcoGlCSuHO/JlICHi3P10TwvGZUARlEaEi15FillRpqZWVg2tEJCuczDrmltByR88pBgDhPw5PkzHrymSWIBKHmnDC9JpprkwQE24u2HFiNLVyfVCfkPymUCm43Rrt2opgABGLt6wbI3z0z1cI3oeycn0VfNzPBCZrQoQJOCjYXnuGHzDE+vq4oTeaXD0VbQ=</t>
  </si>
  <si>
    <t>NVSc6FoTHpbjsK8BQoSz78NOPQyvXgIh+k+SkAkdizYOv5aVQ9XD+rqZ4zTpu8tLbA7QcOcm1oUpPD4p5mHGJtDEjFMSyeOWx1VgtuISupQ2trZTTEvo3FFLaaL7jWtayNxYyzHYFUxCVQMY7Cgi+2uToQKAGxafJscpZ97OdeEa5nkvXPRZYu75xlQDRweMW+H+PFO2Ic8HZApTjFl/T9xtncREbWA0NMStECr6tVOhthp6glxIs2gzK4U=</t>
  </si>
  <si>
    <t>2+Zaq3Drej0NGTcQYR2TfYoN8kfAIgg2SR2K+xQ4mUPUssDhH8uF+xPUkkQF5wGh28AG4zb1QeKBgwujgQNoMIr+lJDiMH2MI0IGnQA3TU3mS74zEpvu1H4SpUOvrPtNL3ZV0OAmE6iMTTfXAMxdMwN5vIk4f8EgDNL9W1ykoZtR+r36ERw7bGsOLm/ILkrK+uDHTciKbBIwuuqaN2hPQ/0RQbtTRA5YE58daPyp6kL/D4Cw7RRehIPcjmc=</t>
  </si>
  <si>
    <t>CbaQs8q6g+zImveAkcWaNhplYA5S16FwDnQoY1Kvg5KVOPI5M2JUjCxA05IWQ9ck8odYTYA8r5dhtAfBvLMzVtyPG1PbwbMidGcCZz1Xtbz8U7Yxi7bo7QLSWYJ0svERxEdyAkLDX/BXD7pgH+o0T1TMXUQq8tyCm/lXV4xD5jE+oWqLwl5UVGaqpggmMpQWQ9suHIOF5A9+YUQ7+JmRaBEt1BYc3lTZypLCUq8qXCqzu1yHpvyxg4yn8fE=</t>
  </si>
  <si>
    <t>BGVxFcQrWYvRKbp18lNE4W8UY6cVRQDNAayHtQ2hi4CVPituevSqQzn7y0ZzfMHY6L5jF2B9Ql4J8fH1HBHoAaOlNHmDwUjMuv378lQ/34Q29iR5lJ/IdF4MHvPJmakHo3OUnrkP24hN4X8IY4WYrCoPb7naTrB6bijbmu5W+NJWzeEcYXKyTrKCGQIML2e5mOi8Pgzzn2MQNGeaafW85jDSO4QmR+DAtnkRG4lO1Tj2ATfTxLUcNTFAIpQ=</t>
  </si>
  <si>
    <t>vztls+KhcGgDssGO1C1wlSYbynBImXuGM02yLa+nT8zsXDc48Z6tS4DlkPgxN/rfy4KxRZ5K+/qbI7QS2Ly4YNSS6VwMP/UPkzIaYpb6B5YzHQDFSieaA+QZL54UJnq+PaNog/xzJ0DVbmn4ujNBHJ4RqI1pw0JHvDKsP6cf+vpewvrfIpCN7iCy+KOJFjbwHepU2iN9AdP3VBvxcBx/ylmuIGmROhKVOiNy11n0U/AFzMh8G9hZX51mwX8=</t>
  </si>
  <si>
    <t>2eF1qlGaO7s1e+yYwv19ehs0MoIEurjqUahOlXXIqv2VIetFv/ssvOSPj0/hw8apWki8BusWGVWbr7H5bXJ7JUw3myfMylYgX3I1t22Jy8jf1Tm1NRv0iFkuGLAD+E/2sJqRrKlnr7wCsKTamPTlRcfoam50UpI6lZX3WRn6Kb9TK16SGcLkvqVFbT8CzF64+puCe7hlFUAfz6OMrH82RSFu1PhMtmXWdMxMy4j04WA8w17+lAThE8jFMjE=</t>
  </si>
  <si>
    <t>VNO4OiX7ObUYvPRbZKT8Jua882d9o7gLh5rgOxv7TGRa2mJU+4T2AJRlaA/FIHii/+6EYiBy2wxPGSdcEYd+6qN6YHqEwF2irtwxSj3eZoW9BvZ3/vois/irFeMH44YzX9UTvQc7/EEFPHJV27wOdF83MlMYNYaNAX+fATi0S+Rr4cSll2biJlca8XnXO6sAXo9LAIi0bFTVceksGeEbGrSLsK+bKEqzxa+MYvJeV1vsXZLdTT5ky6KuixU=</t>
  </si>
  <si>
    <t>QWHj+TtybfzR0ntnamp1OBuqNuZiW37ncSmoCvM1IO9GioFgBNptshMTxvXyBT8Lh6aIPjBs57h23WHmZKiLungofsvqHozoDKOFsQFe6zFP4bxooG800oHkTu32cuubJycRNwQRHjcmBpAtLCukLrSUhSSjDYe33YyA23ZyO3PyQasrWfpvpLV02sFPQC5bXJ9lkyYPrMgPjvSxcpxH901RbeOuqj5FrUOt07pfqXR9iEpyphQNwB/7fIE=</t>
  </si>
  <si>
    <t>6RX6D4PGmbWttLZjbhz1djQCTgMNqtsXb5WlBeDlzUcB0eKfQizDl5AKBr293V9i9maFfCg1KPwgoYVaHAGFl3I4p+PTwygmv9hoFxymt95Hm6rHHhWqV4eoTXrQvwpYKjiGRI2uWohbc4mSKuo3+rfUQx8pQrgyBdi6NVMR42BnWzcSdYXlAZANvthx9iytNMwHdwzNXs9ZK4VqqDdzXxhD3gaAIHAgN3C1j/4woyHjk6cip7q5VJumXF4=</t>
  </si>
  <si>
    <t>SikZuj2RB1nXonIHa5bkBHuaFjMgvwW7sOQ25LSBWB0Z4zJvBJBs9f4cy7FYOmVlXU+xAK3xBQXywM5ime6+q7zFqgr9Ubz66vlIkI8B28dYjLGnRXB9vHx6syTGakpLs2dFZiNbumcKA8jL5k/LPDaBldjMMd5o9mWUrvCksBxnV/iYYcchcTP2qgd9WcJg2lIwdd9p1C19X9m8d+kMoU5QhL1wvdAXCr1XRddswUfB2Zihv4TbhEp1Dss=</t>
  </si>
  <si>
    <t>k+9i7qUDmIFpWWSSft2mtCv4EkL51dsVf0ZIwqHkOKlrNqxAvYAgVY/1xsp9mbBcXm92fco++r4hvQrGVnbTxLPJL8+ercziOBN/vWrPIEnDOFgvs3ERP3qnOFqBkYUcceFUNBAiKCdwiuAAA4nS5Ptv1gprm5zwDvPwAaPp5VVDKxsDO1QxEC5o3LerAUJ52OfWOSI/vkXtRB2opTlq2q/6UPt1jbxtj9mueTKmzly2A8KeC0+0pKV7fuc=</t>
  </si>
  <si>
    <t>QW26N3o2OMZgKmOaCasADZ+Ty2XpH6yYxy1BInUcZ8Ni33pZS247rOHxSa7aesUNLCkI6UOC0hW1vaGOTsgQRhIlZkYwKa4rlRdfP7RX5lxcfWTmOUJSWSwrYNgSlpLQHVfcaoXG9jH9dFE+IeFNlch1cEJcGaB/DEa0nQLZ0c4g4dKZxEJLkY2P/TdGQPDYOVXO5NkX2lt8uUdw3ANtfw7+NdAz4JKavoKrZp8eTXmB0ftztHOqetuhpxc=</t>
  </si>
  <si>
    <t>eKuLu2diSL6mF+YAAjtyk6Xn5yHHFRN6IJ1uZ5WPDjkXEgdTtXG5PbeYqt1uNjA1WAPRTv/x9IgzVg/+JkRkHAcfcJ3gbJLYaLAoybVZGdyoIy4egLWxVLs8ipbPaV066gU9wgsdQq5SMMDTUDPwvgBu+MC+rKkKcXPNnCd/e00mXbPbQXavCL2IpB9hKZKbQfpAuLWGhz3wPJGHdwwOGfyQcTVLd0+Rrw1boltZUlctC4ywus6+XFi0HHQ=</t>
  </si>
  <si>
    <t>vFRISKgj3bcc5qETUgiEZ/p2aEiKOmxFtkfDugGl7+MTEnr12l+v+7PnpaELM8dTZ0H58I4u0giTm1uEbiBKAtfbXiSotpZNIdSwMikceNgQRHaYw/8duV/totIOJMXf3chjIlr/3N+gUrUj51ApAhX2nT7wj9UZJkGkaIAqn/9xqi1xCQNDBCmU1Ze6IdfVi4vrDrbU8QE5k/tlRy3ej7a7/In1LjmIaqUEf86Q9H4jyDpr9ksxnp5Qlro=</t>
  </si>
  <si>
    <t>C6pl+0EtFlRfmDu0/iu07oF03SP7xTQyU2752m70kOHbcqcZGXS0fVSi2IDWY/pv1bfBpaytT6GJLR4UZ9o1reEXvLezbeidRPPpm4bye+xZznWEzYn6HQgKJ6Zm0CGTaS10tuukFLxL+e/V4FtwgYtQVKRfM5NawxyZEAfd6QVJZkcDR1jaJk9mpD2bGTwzwRzKgg2wzzdf54HEuTHWPIA7GkyZE7MfAR+Au/aQ5jqT7cLRNA4N6CyEKXw=</t>
  </si>
  <si>
    <t>SIuyPpCyYyc9++bKsxJxHqHSithqXraEOU+RhRIvt/VFCENeC+/hGTqJFX5swSDZxjO0f1oxaXmnIcNZiy2s6Y58DmCCOiYrEzYY72JXZaiK07oBAhZ2/zX/4X0+Us9ZbZOCZNTSnKMHt1E95jpK2j0a6wwA3aJqISx/dVTSjj0KoolKjujJKkdKTEW7+R5WEBMEmfyPcW3hGARn/pdqqpzDDrwd9g/sjZIUeHAZj3xhkKqJ7XS0sy7hqBw=</t>
  </si>
  <si>
    <t>9I7W/TlunW0IAYB8nl4rFo8fLn6g1oYzJRrJCfcGGA72oaQ15qBrwNVKSCAliPmbOqMot5D1W+AuItBH899l1udDRt3b+NYvAleLx2uwR6zLKeZAN7n8Aa+FzR28thz2+9Q+MFXCZvIh1pkjpOG/tUfKDGVT7EJKsDQiFXo+gbQ4jp4XdymBzdPH301BTSFt38k1L1K2NWNrszu8ckkGIDNfFUYfifnhVqVXVSmnGWSWTns46Qwukc2kWXo=</t>
  </si>
  <si>
    <t>2jBDIgIgf7yzqKOyUwvlQk2zPl2ePrT3usotkib5AgmYkt9v4YoKLkwhY9x4vfYvnc0qkudAHL8ikzI82ax/f9V5K/J7ZgKPYYS7Dnu53aTY8Vp+2UIC2HoqkmT9A1Ey5Hq4/gKAC3ztqwGNuN7f+3+Nw/38s7H6mDexmaD6HnNBUdMUl/OknV2he5ikx/vm8E4vyQp73QZabLTER22VOlneLrBCFnruvHfAwVExeSqkNtLRCTAkKXjrOuo=</t>
  </si>
  <si>
    <t>XtOsRxqwmXIQjLDTNbMV/NSGF/hQBy/4H8p0oLj9YlCzVLQ/BSmRL4tViMJMg4F2E6HEn0XN1kkZkdBjNHBTCX3yg8ESo9C89mS+HaeuUMko8JwrgznNzVldUdi/8hc6b4wPgjNrwH/g0kcTikMurnE6+Gf6nKAJRMnjIs9l80/An/ZZ+n54WbBwIqDjHkP6Hvwv/HSCHby8wkaR6VjbGoyAsPLyWUclRxOrK/EXjlDuQJOW+QmF0mwk1dU=</t>
  </si>
  <si>
    <t>+2NvjmtW3MfQw/n6mfHWwfjiYKM7Nn0B05avsoGfxxAsjfYRtfvI/id0bOz4qRxSP1IqJOjNBCYU9vPRMN/vUOUQ5pBe2ku7lQtEHp/0Ww2qG7L6tovi7m+w2yBQsVeLtizJuavSX5YF03gZT4Dn+6aWe2mTQt9pKyQiS9S6aqQR5Oq1onUg9VhhKVWmgdSsN2QPnpTxVKqTO/hYh/pYaJDQ5K8M2RMHX/ezAk76s8l2mOkykemlaEyLwko=</t>
  </si>
  <si>
    <t>S5RQKeuyQmsvQdaSyI3nck0rqrNxWCPUD9/eubH8+S9zszFxbUzRSCJ8seQHMaq/rrcPJclJ4sMLqTE4EHaFFCrRVBGgW++FDAMvyN/dJIXGNJQRyv1sFyx6pRq3wyYiNwCIOh9mgwWKiY2v+USCkZJbxlCbcz3dFHoRHNuOh3K9Rm9z9pif6KNVqTgnBJrm6VRuvuItpELWqSQwo49XWLkmGUSd0Bmu2Yy7rcwfqHQ7zgRPNvUsDSgqZe8=</t>
  </si>
  <si>
    <t>XYvTQLUTV8mMPZSLplxpRKwUnVfIBAOoYdS2fQwqsxRVxne98j1fN+fAcc0PXL8pWnYFSELCZ0gGNXQXTf80YXoWTRhFkCnBuvwfhlXt9mVZVnN72M5wNvKzlEGVxf8Do9fDX7JO8h+Jyb0YVDiHvPvsYR+3a6es6VSKdiNfRj7CdIoBjPfSIOcuhmaN/3nGm7tmLY3NOI7inzhUsAkEVEN6Y4hqqQydv3Jw12WaRekFLZCizmW0LGdjfcU=</t>
  </si>
  <si>
    <t>dwnBRK///b6CUC9L7YkXoHhGpxhBEHPzedTuHR9oJqQtWTiCvN73hMkXjHNnQUImPkR4wPp8y2yMkbg5bm8iVJ77HG+jUzXdQZ6qf95kfTNp1mKaQ2WOEB9nlpTrZ7EoTXIwmYj70NfCSGaO/mF2SBMiBY+97V1we0b92QHkyTe866ZIrVH5wIpl6mpyJO2uYeuGp3HI2LSkGSSq4Mv4H7CYqipkMTJ8h++kLz0YlGdfBD4Mfqn2BJ1ZpC0=</t>
  </si>
  <si>
    <t>PL5SkD9Hs2uj2a28HXjazfYADG+JPVjpTWY/WhbUDPtpzA/1KgqJCSsNb77mffHmhBsp3ieuf692U2H1N6FL90a6Y+uDdj+QJzi1vRN/Zx1405nUuGO0Gx9WjwfaDH6Wg0VTN3w9um4whY0op4TFKd0EAqg2SSpb3GQ0zoeIsWSK1drfdN+sA5QzfQcjt5uPXLX+U2gMByf0TTcA1ODc2X+QJTZwSwNmuZAHaNbzb/AJtgasY7waBH359Jw=</t>
  </si>
  <si>
    <t>laK5p1rxKX9/pbVroLM8Om9iC6QoWw7Vj0GmK91rYCRjERI4nnxZbPs8AdnkwGePopBp71Be1VRz2v3AEmvnbfYYZAOGEcyLlvSdlkvtPG4IHnbnVPJgzbd7TTW0EDy8Vcpss9w6e9fMcnKUZtc5h4w3FeNLkWtnHUW1UC6von1Gixk+x1xs095bhvv7Hn2/vUSuCPRhTD8GxOPGVyveg4+p+W7A/RVhHTNMpkLUrnoDoOl8IwfzmAh7D5U=</t>
  </si>
  <si>
    <t>MEA/vrdmLAPKHoG6dCIz5566Zdz0w18UZzb1e3aqtvQi8K+HGB5HgCncq9ftpagY2OJ8pc+7E1R/R7JLYCO5AUXrbRePuDKNAsHJVAuNBzcNx8KF2a8mFC7Ebe727G0SqOxSSBvXja8fizu7L/bIFM9am3TSmwSiMW/bfKOtPf5SdVKEIZhfiCuTLvWy8HhvdYSoBG3TU7J3ob1g4n3TK4Sv2b4Pq35FKGnapDKtQW99knLhvKHij1dR7qU=</t>
  </si>
  <si>
    <t>DcOU8Sg+mI8RoiSY9kn+fJsXQoVjvaSR4OGUHAMUUYhd50I/Plr4z/hWbX8wj/SquuiTfNlPqI4dVvOgMtVjyLWtx0moR0xBhJt1s1GXLTBaV6rrp/j1S/NHa7A0mB27QU0z9LcDTs8yAheaaiRTSq7tvisXIFryvhNbbyAI1VRHv7PE3SUbhOqft86WX2wx3+CSzj3bmG5jqKxTHvwq4CbfJP3g3MAzxnyqmbkE/YyoyWOyA1/LXp+afg8=</t>
  </si>
  <si>
    <t>1p9qmuZ9DIaI2+1iMONOT9wInE26IOGXFazn25eK4rjWjBc8S44fGXgmSzcNMDQU7HWAUy1QBuD42AWBSBz8vDchuKaSMR6ZXATLv/mU9vOmPSr8eutfYbit55cazlVcOVBkBlOa2iNnkQ7swktLyvmmgI3/G8a4KPGXNyK+PxBS3Vy9k5nXmmP5egkiwXcd/jpU3Y+MpZJtpmHK8ZUFIKGJbSiTLa6jPlVG/8kU9uIzf+4LHqBPqL2UC1A=</t>
  </si>
  <si>
    <t>SQ9mNiF8KMkyWPcZos08e1Yd1R2Iv5x66X3bHUIy9IqC0yJ0R4IcG3s3oqNoRlVlfHoJlGD/Vwlst+YLhSVgMLAznNQ4uPx2OiPP5zAWQMvfX7Yn6M7k7I5BjaJ5NTok1pu7vQLrNXyV7t2s1/YPjDYulgVSxtEkSOin5WMUJtFXhJ4WRQgRh0EomdURVDaornJ3YEYMjgMo4YOHUhhWoPhATSN0Hi9cRBx1kbdsHOwcU93RwND8U/Pdnyk=</t>
  </si>
  <si>
    <t>zocot0euCORF9ICBQqUaJfg6sx9PIhEwZM0dVwGHu1Tx57G1O8Lw+usJpxSFfw7grbFmUeT+it1XNGQBVhoZzHOyt7aeJP9/emvCtLdJZw1PlWRXV1G+gClKE+iuxqxK19t1zrFM4NIm+XAeghmdpcyoLNBfhP4nZSr9d2655N7DMiihDhAypWlY3GBD6m0JIaFSt8vTGV41ush+H60slrrL/mwiOaOOGvvXN+B4rU7n2SGNG4H1Rp6/lfo=</t>
  </si>
  <si>
    <t>JiGvMbCllD9V9BX1wL1xMQAW6ZKn6qUZMa0r821SZaIzPjQQORHy9njjD+y8wRCxXX89uzc+8u7Pt0xeEMQuZiDfO+f6bwi3rYiaukam7oKA19/pxOcqCW9YRaQhvnqsmM98hrH5OMJauSjuDwnnP/RIpeORt5fGscvC4fpgZEwLzDyXDsc1bkQ0y+CbF6xp/YCNP9AT6BRn/fS1Ch20uh6SuI2dVqsQY9jKfgKrBpMXct7Vd3brMSY6aps=</t>
  </si>
  <si>
    <t>WPGw0zqwv5SRRqaCocEe/wtNXxjSD/HD8w03gTur+gqHs2NKqE5jy2A94hZWO3pq5HYIUSeIhJKMTnd4pfP+WtfIfiFlbsynrVsUlsIUrXU7+XNplV4UUaxEZWb0fc0OYpSH/hidCBZc2Zl1UEmRK/pEukV4BYMFRVWwiwfAOhP5/Q/2st547nGT+Dv1+m/DKdZH7ceouqZPaBLA/caBaDwJAoLC2zP4h5dkLYA0qFuwLcwKjCCuHB1Wsrk=</t>
  </si>
  <si>
    <t>mHJgLJYBxVy7c4nMxzTOpfqISVRB40VajumT6inu3b4Tmlk7AP1ez8htB7QprtO7hkH0WMzTVAvWXwB4TKMJbX0F6baLkiEkL5JuKzz/mr5KL4MJybphQVv1l95F+98md1lV0MNEyj6lRRZIwXvHZ4cRwc7L/g5i/gDKNB0Rc3I6Ux8vqvlpgLjNWaYm7dIYcGZeM18Lb0k1OxXl2gghBZx0dnQTCwZe5mTCa7qWl5yUXjd+jsPH6ZWPL+E=</t>
  </si>
  <si>
    <t>wRp6kO+wEd9duuIeehkSSL7C2hUCc83gUaL4oyM2vWeSNM8t8yyB0sDjNrKJGqW9aBk+ypNKeigsvSwICSHiQqnoqdsfWmEdOdwY3Ri9CwkO1DG7yaOe9vZ9IQ/+PmeObdhRIL71C5WL22pGpzCWTGoPKH/uYBbTJYRsOAOlYqzDuBQ9y5XrRva0Y0HYvN1OW7Ztw3ITLAdDu+Bjnxm37l2BSC3ETkQyyS6oB0GcH+8E4YooYwDyTbeyH88=</t>
  </si>
  <si>
    <t>GsuiHuyGg5gSigBViAAnFN0oIA8boOYMWi+lFNKlo3PKr7ZDw9xu5wYL96IRwQZvJiP2G68bHW+72WxLR8HXHb3Cv21tVqEKkty79rTHCiM6Ax+wxiZp1SsJU0FRbuwcQOyViSCbR9wI7o2u2oGaBtiEIfJW25DmGvBGXi0ANfahvAhN4+11zhVfc+9TUfrBMMAGHjEM6jatmYxij5IsNRcfNG0XNuOaM/hzORYjBOecN8L5Vlp8k1TMOxI=</t>
  </si>
  <si>
    <t>hItMqUwBoH0qVVviO3YhvY2mo987+zqzhrTlEyrmwTs3zzOYptFyiakltusLFlXvLBbJAg4VxGNm6noULEObplqaISGuVXHX9w2aF7XFSlkLs6OpwnvNPfeNpIo9SXNPW2zL+c6NS5rnL2QYxc+s0Goq2iaFSOT2TE70xSnMXYd6seqQnOUR4cXMvHIIHrcqwUOmnmn79FnYYPxYvHgsFiE7e5m3G5CHTUryTay251xTNQy8FkHI7pWb+48=</t>
  </si>
  <si>
    <t>tZej/0ALRcXFqFXwg7TsmBE69A5FUp6miLuY99SA+w4lEih12kS/CAENby0J2lJSt73DACL5FxJUBzzP+JhISAXvQLWbV8qi1z06speptrzdxHzeMEoRnRSBpZrluLdOtTz3pUfKdMFy885NQsiCfbP11dqBlE0mAU6LMrOKj2VCg74bXoow/C6NDf/RvdMj2/FGy3EvCHtQ6E1jFeGKuhKEjvPyp+NOMsctzL94nEXoI20SpFC1mODI9Sc=</t>
  </si>
  <si>
    <t>b+7McyYDNMoopUfJiKsnBFpSBB2A0Twyd6zYhFOtO+o9BDLWIavLZcWUZrlZMfABtnkdwpA5p6r8eWHWoTBM6LLXBc9n7hFfqJeB8F+mzidfqiQXYC8gtF8moUZWf8Wxhc5WOsPb2GHMotLSEUti5f7LlMMHo5cFC2PLgxxARNwXsndThPtpiiIPMmggvGjj2koBWatA+csqUeh6lMqmQXQOskQExZEVB7+l6E7cbtouhdEAZ+/TQPe2DeQ=</t>
  </si>
  <si>
    <t>uoOXZYA7L3+WCyhdONY61abk/TPkbRDy+GSXH3ruGpJ0XXGBua8IZkMOjubfhHTE5wCFbqY95ZzhoY4Kg5xXZaf0Wy7OVTTsV20Sm2zZEtMZ8f2ARYUj3nO2l+h6leGSbS9uXAY61Ifpkbfkza4LaL/zpBpwnAnY7wD9X9nD/wMO47NXCF/Fsu3IZ54S2D5JI/+eVdzwlVAf7WB7Kwi8JylUPkjQKuKrI84YvGLyIEcCZ6bqCR7S85X5mFY=</t>
  </si>
  <si>
    <t>aE+Zy6DwGCSMIyH3o/pFje928v5LBtcOAxGacZytT6rkAk2UOzyLKE9biHBUoA4lNJ8OYK+QcXRvFpFsj++SOZf0q0nH3YnArZ2sYwtPiLhJ7+EsZKmoHnpjWTI9hLx6HSY1ahJ0J+Gr2gtzWGG/3ynGpKxhwK1Mt7VuEmyqvs3xDMaAy2PlF1rTIhSjBJVX4M2vk6BODLSdMPx/e+uMVmN7fWqR5lPVG/F34tLLGZRX1xwKlIZ9KGpObKU=</t>
  </si>
  <si>
    <t>mbjHeRUE+NresWyuUwkSkkJ3OsNAqxM9FZMKzuGObYQTQyz2POGv9duxQ1o6Gp2Xl2jKOJM4uQiLiqwkNKjh5oJ9fYGC9mv+dDIzZt5tPdh3E3N9gyijvfsrAjxOi+smYjMnFYTl1OMXA7jQh9AjNZzA2J2tuDcMPmUByRm5mkWcw/lN7QlpOLGd+TUNNGpaNrXh0Mrz93NyZGS6qa2hDaCk/ODQzgZUV+mzfTCeDbYdVpGoU88fqQthMvY=</t>
  </si>
  <si>
    <t>MH/HDvDh4hgTPrrrhBuslZD50vn8ddGKb1PNBK0jcy83OVEqnj6MU2hrXaFOw3G7BExi03OKpaUb4acKK1Us/OVZOMgVeXP59Rq68LG4b3mwT1t54yUHHxWqjcBO+7OdcwLmVEq9iovECu3pjHrhCRP9R6GbRIfeldNi6OEnlVmNnHy2UAotKTkqTUA2Z8CHP3F2AVXJ51/GKsQBaa48PsvBuvtUZ9dFQ8rbnUsaG0bQi/An/on6xw0ecIc=</t>
  </si>
  <si>
    <t>gO95pG0cVZTYA3kIdptD0H+9QFw6oROK0jHS4/p33GVZdxTu6CIXkWAkDToTpf6NXptxMXXBVdw3dqZ8BsWZFaVRchDqtDSK/YQ4eRLrnbZ+OowSTHJC/kNonq0ZjWr9dCXq42XO27IKfQLe7D3KFFOMqMiKUb+hplol4cHfsoHsRB53QVebkB1Q9BFaGTai2RCCQms2p5Fo+/CmX1o5hYwlBDiBKLfNNBSDBJYR0haAHG/AvUjUGaqeaSA=</t>
  </si>
  <si>
    <t>d0AAN7PQIoNJtl6Ab7nQQf27dBAqyOtDLDKsL5f0IjpW+AZbPJ80kjg21K/vieGs3N0NPnwRvhKNlhmTpbGlprC9J+7KPNS7NvucG035IDniZQtT+/xE/NOmAiXAOUvTXe9BINRZrM/ZH2xku3TtEOpOC9RMsH0BdzTZOAsqN9NebMnwfDInqrNmKyUR7bxkUzsFPd/8i5d7d8p035pTTY9lso11FRlKCNzG8UOHhm9JDoGJA1+L74EUMB4=</t>
  </si>
  <si>
    <t>ExBPiZEoi07Ty24PY7MIU/+1lHCVbaG8jaeHr7r+t/wdv9QGRbBY4bErz5WDqQGjVcs8Hmu3+7tJEMO/83dsYSq/gyMM2vbuVKg5YYXe12gpFuBmVmQ793kY/O+ugpxN/3zDzYNglg+QPns+5+ptqu5JIDaz+VAVC9DYRYhim1oALqgW5o8v1j2EE0g847ETsYtf/Zw6Az/nQkflz8k8VwGHy8H1R4fMJcPsruqgSZqsb6Cah8SIiGGRsDE=</t>
  </si>
  <si>
    <t>axWwQsL+Lc8kzgzL0MEQTi8P9vU86TRkkb9upHGae6+vsQpNpy/e6P3XxTl/uzd28TS3NxxB5xnnza64L3pPuUky9qODnlLdo3HA7SYVWaJ+fg3eREpcdTWpae6GqpytsMhmwjEO22A9P2rSNj/9FqmVFmRjTMUZoWMM2zLxeOQDxTY1+dH7CDxYsw9DLX01NBfb17WynfR6a1BW8w6KW5EYGhCQJGJk1ziQ4NBDGy3qUPxDia1NOLJiIUs=</t>
  </si>
  <si>
    <t>JldumccpVUqeCJVhQsg3xOWjv4VdMLoU4IlnG/RuY3kkWrOL96x3mNJttp+K243wyIwZkqRmchHWa9ZqIi5uefK4RSObYev70VtNcIRpqjsC6Ifpr2EKNbgc1hUXhP3tKPLH2r8JL/Z8o5RrOEoTbWALIABawwPxIYKTm6rwZ6W7D+WUofbilYEa+kEEhdP77eTmodAehQCeNi4ZKVbljg7oRxBecIq0alS/Nrn7qbtNuxCnWTMdY5K5Djc=</t>
  </si>
  <si>
    <t>D5V43USNzuWvknnk5F6hX1PrFLwbWsqJ9YoTwNoGNYJSpcYlDO9U5N557opLJCvh2IJY9kDnNxcUMypyW6omcOv7BbsHlamV2yEkWMJDJg3gZriI//jvHWs8Ig84MmNKe97C0b6P9wf9aZSbWyUmZuIoZ5hsznBJ0Rx0D5wmH1pNpvmPu+z9Mr2BaXtEutkgJzNagyNjRdKG4HUUE6ho2Jcco4YngfWkWYam2PN5+IMZzNiKUAFAPJID/CM=</t>
  </si>
  <si>
    <t>Arn7kyBMa44FL7wL+BEpn1gLfGg7h7dYjmS35bs8ZHIMEUf/tWm2yfrJbq0IEYkls7wQ+Fba446t3yBAoLNKqBFPQG2NB9jvQGMMevt758IC4JOe2JKQfql+RSOSAz7g3ThvwHizQiK22y+3FLwEduQnLw43mGnbrMV8ibwk+E/PF/+JwRXuE+i//MPr1Y1rQLL+3FQLFOgN1NSimBRUh0jxzgo/32wXVEBdCeljd0Ddj8N/8+Sjch4b0EI=</t>
  </si>
  <si>
    <t>BCs8DZr3cOj34dJd+9Cd3UZM8DgfSPVXz5kjkQjc7NOWOW9ZXJ8WRbRqnXDBrKDdGvr4pCSN2TvSKYwbGuDdWQ9NHkLiKw+KCzBoTkleOZSRY21vdVGhDHF6azY9r+1l5Fe96CnWmC/f1PIZC+IXp4gEDjPKIEAxsMRX5J29Fp/pVCor0i7He0mBhLRYtOYl8vLuUJABM4mXZSl4p/4Hc2gYmuFNb6t8WSAlaeZLpGyyrI46QRdmDAPKLro=</t>
  </si>
  <si>
    <t>qwMFzRRAXd+1YnLbkwUwM4o9kvHf621nyKzgER7VaZOI5GvKJhcnax87rm49Ip6m84apNedQ4n2MZYkPT2kE3AgQsfKaB9Yk1EsZCVR6UvSnYDzy8itAXm5Rwreqy7b4kpLQxk5ylTv3OtXDCAHmeVKp947g4d6JFLM8icSIackqNtpvWBaUmF8frHbMAWWD2KPVHBdH5dz2DOZj5OXcgYpuba8rnJzJf80pihfM+UCIWiQNstE0HG47YVg=</t>
  </si>
  <si>
    <t>4rJMNfEuAVHo6cS/ASUmBWGwPF2b6aFGVA1BqV+Rgtwkogqqzqtl+7sc8ykoUZSchJNT1rkOJm9mk5YxHnEOkvmNN1yuDB1WDu619Qhy2FIMlCDsKc+eZDLPMqmKjhNzOLhmT4VA6EtJoZEXz3w34/XjTj4e2tnwbWnrzxdTnr3V4HX/j+0eLedZ/evN5ZOLCyisYIczB2LZtGhrlQdLa6Qxg0y5VuxjeBnnAoIMOtYejo3M5qR9AAz5rZE=</t>
  </si>
  <si>
    <t>PhofuNLNArL53Z9b8fLBWunL8wYqEZW5k8Px767aLwpjDZ7M4Ef0jFMhhQlcsQDIypZcWcc8XxfBaX8vc+uqjsopNqZxxBnHYWcAZ4ub5r+CNhk5tkmiWp8klRUK2qqD+hekPvQ8Y4rtWpdS8pulz1N8ZB9kxIwUF/0da1p6qO26bi8ubVtzb/uQBhGwS4aY8s3PCjt45wV+8DhY/GH2DZ3vemRIinRCQ/HNEN8pFvDuWaFwEtapm+ccPNA=</t>
  </si>
  <si>
    <t>3fkZ36xqD8SK1TFRCkbKFjw3E7GkuSag0GeqvL+JObIoHBvWoRvPlefSSaB2DlTy+fGXS2aT9lcY001KmGMkktgnMhK+K4lTXnEp9/ecfnQaGJs9JCEZd5C/yX5/rWtbDAcnixLDShJX9kL+Luxfz/XoTnI/7ac2AlJnKP2wPUWuJSVI1vMz1sKz3Np4MbIfygA39LPvV8Z36feqBMI4owZ+yfLyga+9CFbyAo9CpzCG61n2Nza7ejLt+8I=</t>
  </si>
  <si>
    <t>CWufHu8B2Jen3JRGBZD3y/Lnd1Um5UlFz5EI6hNwY2eUNFuiZbKcysIbiNpxrqoXBco8bmrMjMeERermwnDk2+3IrSv0tbkQFkBOn8ku0MC6GNyPpcLFR9XYtqQAhQDaNAKvOBytD5NDM2ecUkNz2kQMwhZw/s+bcwaBiPU5gioVHkx42ZHxUTv3yKiaDu4AMKt1QO0yRUbBSypFggbL8D6Qgd5Qz0uGc1KTJft//nQu1ZhgUZRFK2h5tTM=</t>
  </si>
  <si>
    <t>DXGd/bfYPpCKAuqoFixC63zsaVTpe7zhB+iH/Q4KiokDPsRiuKUgqBYd1a6NqqhNyEGsJKgrCWlaQzXJkPMk/GES7ntRTCdAAkYfra5TTW+K98DmFw3+oNMIMmKtgP9y6QSkbS7t1Y8T+yEmuLErwv2tnLWjRvVsxKLGrAvSW9q5VTA722SRmGOwt2WM2xwm/37q5a9GxOB0IJ4ghFjr2xNS4ze1X3MWvszvW/wQwHzpWKKoalbNCgwwuQY=</t>
  </si>
  <si>
    <t>vcL0kH17Uw9QoCCyGv3wZGtB2ITeFc9nOWwonNIL1WSdlBS4yM7gY6Pt11gN/YE4snc8h3R0ZEBlqP60avaO3he3ePuGzlcn2ZRCi7+tZx22nR4w8brpvWOJXoaN0fGClftZaP68L1j6YMNJIg7nQYaTHTXjVURwCTi8Hlv7fcJb+vzXCfdDFMuAjMlYUn+PEJoWhhpUiSIXA+zjzZVqbbNHG6cqfAvaghdUg0XV7GeykI588JOpdnggIOs=</t>
  </si>
  <si>
    <t>bo3/wF0FvI6qZMylWdQIX4zAyC3eO2coXmzsJFImATsaT32uh2/Wn72R5UQ6cpmKgZTpqkQhmjTdxSWeiGZlDP4fRjVa6HEk9jkLkqe8Cm3XqEBrhM/zci40W6zMV31EKMSe3/9N6Vmt5tHYuvSO+m+UOgVo7OJCRHJ64OoCEM52PonX6zMnvL1gXupaRi+GBe1L32zFw8AQpMhlafBTrmrpaKeAK6X378YjqbwtUkfsEVLYR6sPyBq9rP4=</t>
  </si>
  <si>
    <t>U76ukNpXQv+nonUjviiiKcvyk8u7oVbw8yAvf9VRCNXgUFm0z8orOOoE/UU7bqMe+oMhSqz+NSpfAzUgUW9F1MAydE7AbcKsoY8Y4by1Bsl1OpVUHLe1whAyIZVrGp+k6ZicE8KfQyL1FFn85PF3yH3AledUFYTj0jq+eddPpgdw1oA84ROzUDIkGoQFAkU9XwpTAiWCXtGzxVw7ciWkH8Zeanl/3pvBr7DlySHne9bWUplUvDDOLVxPJ/4=</t>
  </si>
  <si>
    <t>QBRbwXsUiTGZ9j+cPG+idg+YZaXvQxRKcLdCLeoVrDz8Y+c6d38cR7l5LgzrnGNDBrSp8oxM2SOhIGXmI44Ubnnq81pFqklcDKlDBIIFlwGNZ7azl4K85t58SEOM/mUKHizDYrUXY4Je1bOPD8nHxYeZBZKunyr36VYjo5CLYcaDPlMRe6FCtaOg7K6NJE+uMW9VxVzt1xlN74veKxFcOPgNS8wSeqEYOPY1d/kMW6s+WShCybHSqJNvPKM=</t>
  </si>
  <si>
    <t>DeGJb4jRi/ciFBKNIBwcx5v4YPWlS1LHfyp/rASpCDlQtv1xEqyfZnV/3fecc/2yFky76QvvGDuz5AMPxt0DZPxGlH20yv2zk4KeJHQU+7CagIxrpkmgQaABPhQF+kSiHpaVYX7AIwxT7UXUxVRJLAZ7WV4EMblhJhxjxBsdRaRcClfR9TTkSWzGk0+7BKvRSRtRTt+78PMYSa432WXYJDw3koZ7bF1+tABEmfMCS/aQdOLRSrg6ig4mZzc=</t>
  </si>
  <si>
    <t>wXQb91x51bu8K1F6yeJzCQz6TFA3XVlepSXmEZGqt2mvmKaLUIOM8CKU4uj6q3bydbIrMqYR0RUgK03Za3kHzywNGzgGu/6xb9mLV5HseOOpv4zPxyrD/yYn53+OVHwDoQ4oLg0yYMF0UDBUTrGovEQ3owSD0Dxws9akpGrxnZvi3FpaOGmijwDNWtiTay3bZCEj1imF1Z2jE2ytnq31aQuLixJQCXjiFPXxNZ0NdC5P0MN7hiOgbFQBTWY=</t>
  </si>
  <si>
    <t>hE7Ed6fuj6CDfW9Z0wflaSx55U6+LN7tFUYnbLjFyoJSuOfoOIxUqmoBxQmELR6sRspNDANgmQ8QZCJpH8k86otqbwGE2VevTbPtCPWNeV8DtmgCcSOC5wytcfgqCLG8dSD6pxLcVuSn7kKt9v4TlfUMDhMt/uhZkFbbj9kedzyBE4TUEPN9GtYoJrSo28KxsqxndXtCnUV9hjF4AaBs+R1mQDZc4agmC973SKgiM4FxZ7MiHth2n2iMKo8=</t>
  </si>
  <si>
    <t>Y4gP6tnCmdgLEEIrHdS6OdRmcrJQBo75DB3vYhMPfu2fOwasIL+0R8n3I7cAbk8qegXDLXbqkEJstuRNeMpK/+M9PZir2OvtUdqtKDgiHi727NVsFPkMMMAkX4tBTQBSSflfjpLNcYgJSf7YhHHJ9SdFw8oVYOFI+sCKa5ElDCDFaVeiH9wmJLSiAAQ9izfESHfhr7pKQ/ExOY1EjVHNM7kq01Dwux7ALXJj0Jqz5gh3Cj0BW2jD/mPZjIM=</t>
  </si>
  <si>
    <t>jPEB3QWzOWxqeEJkWD0rW4UdIxnZJkqetx6JqDSfDv+Gj3AtnT76otArAVHjJ6HIefSmExIwdik0R9Eqm5Ofxda5pXirQ14fFcEd6LGLXNcfDLWr0VQQyDwdKK39WkDWKVVwKw09+njBB601UegFmWgOeeDIHd8pODsqDmcUQ1R/LnEaSqD1DqJoueeAWj2qHIv55ByODNUU5j7q7xtNhaH1aL6Yabnnx729+BxFDYNqlj7SYMB6xWQCqfA=</t>
  </si>
  <si>
    <t>3kIpIe7GbsH9wL4DodtcwGsYdY5MyuQSYxCXigwSbHD37aGbXHlizlbm6oHnYsaCDV+dyfLIbzg1L8HFu5i5N2cPnA9GdxkjAlkVkWW8Pbo/itR/3J7dRhkeQpf/GPZ27ZkUbM/MyGiI4JovprTDSdLs9/wG8XNeA5SIe586mjO6siZMnMBcVsVxyzwcvfsqRwhCu4IK5FiC1KIaU2ro9vdRP0CBSsq/VNDJFMFbJtVqw7d/Ux62AayqrBc=</t>
  </si>
  <si>
    <t>+BCZp8XbPoNYy8cwDKQfLpLbZHop+wE8N1rqHj2TZcyyYmQI0CaAN0qhOHjzuBjJtC/ZNTpvHaKLGUTnML2hVkO8gEcte/S7lr4bxQpGiLzoFDHuU+mnHR/Q4l50W5+fHUr5SRa3l6yulnpYVd1LHthOtan5Y+KflVXBs8/FIQIR6ZnwSo4PG+pLmn6HcVBNAfa8bBoWLSGQfN86gvCXXqw3A+YTGvoCHMn9Nc/EwHtOTE4YDrbrRWdOUQo=</t>
  </si>
  <si>
    <t>z5IRLp0XjmXJDp8phYPdLCYqJdz08f//vhFDLBhKZD0bySNeIEzmGCa7e1v7NnPCCJ6asV9zCmvxiYNBHOGU7w1Vpp00ujDico7+nudqYFkwgtn0teg695ohyNmIORXI2nC4g32zHlVXGFJ0Z+upCcfWdjlwg+Y2PGRADPqWBgnvcDe606kPenGlwlQdE2nCsKT7cD/nyAoX2y5ueWBNyQJ4O0cpegntZdpW304VOxoGdDJJTtgzzAPfLgg=</t>
  </si>
  <si>
    <t>hyxtJQSxt01B2Ey6QCCb9C2grj8E7A+BBmF6VFkxeX8sVdJTqwN6gILAXrSUr71VuPhf4/PipXMpd9H/zolVocxPqG4b07vuqKaotIBLKsfVN8cBglYpIyCbNL23Rf7AYq/MHByBoyCDBv6d92FCyz5vLaiZ5Fxn/Ub6LIy6Mi4UA4TAPkUROHDh+TlRVql0im8ih6I384dseqvjyRKUGFSpw9aPJ9zjd/W38KDWWwRjRzKFMk7VltIsw3M=</t>
  </si>
  <si>
    <t>dRHB0bu8kjpXkrfPxthjw9ipkZHr+ydD3rKm7Lx/cyB00qNax3IHkJkrTnOiHAfD1D7sxJedGMJKlKIRg4WCFBYuqFZKKGyHws6ccwEP7vD4k8HaurDAYuZeFt5YwVVgh4gcllAHCyounpP1ygyWpVPoFyoozwZ1Qwsjv9lxs1XtGXuo52yYTLYDRXfAoDdAYYtRCWm5AjvAYNBTBHJSUNvH4Wn5oUbkOVZQKah+8VedVqG7Ig2NzgksOpU=</t>
  </si>
  <si>
    <t>E7IIDY/E0xrAhaywxp7Q8yHjgYrMY4Udv2y3u5GSwIMIkftBop73YYb9ebWSF69kI01HfOfw/sbl5lsNDx1hlY5wGYmPYmFXroz74uXybd4MMMMzS3Ykf20jiZrPZ5uunZuI4PnVm6MBJdIwBxx7eF8fhjFAdf5WF2eTbyreekD/09MdSVBf01XeT/DVLSYPBJlkF6UttZTc5zI+LRWEJphAIkaYkcmiEBJu4pxoYqLl3AcCkpo4hzqk0o4=</t>
  </si>
  <si>
    <t>6JEZSCcRwbQZMi87bqCgy1NxpFfBorpJVXv8rdvBAezmCQptttlX5tnOPtpKkrpBBxa/uX+ajjspJl8reC35XuYOLuJR5Bcd9tPp460A3PFTdbQDply1gu3LHuT7vWlqQgONX/b5vs3zr2s5bnaEIYZqF+9AUeROhTw3FaQXeubCMl5Elu5tuXuIBX9E6ZbQ3+UXizErMzFvRn1tX73mRhFAwihJWbt6gcMkhtuRtF490d92swOOlO8zxRw=</t>
  </si>
  <si>
    <t>D+m8txeDFx6YSbi9j6FpVIjPVBsPKzxhsBh3cJxUZNYeZLizmJkZbwilUUwaxxOa/pnOXSsQ8AgbzRBv0hbJdgKLSlTaizI49T6YYjZFvTsfA2WHIbD501rVNakubmfIoEUrT0jMzUCtxDBb6mmtQhN3Tgl2NZvvb4czcBnmk0UTP9DMHExS79dcTCrqTwu56h0hemHMgSuYtMDfo5UNAZBTXLHTvp7mO/0+G5TLWQjgUgmj0a8dD7QZx0M=</t>
  </si>
  <si>
    <t>uoEOwae37Oo4kmnI05FaVWN3aY8i3mchQEjsYWO1+ykR6DMBTfHX/6uiNhSDdBm3HEEMEL28D+J7vjvdiDxo+iq+NpW2t2eH9HlB+/hkg36RHvivldDUgMtDjmSIWVzjflmRu7dv30ivYEHiqa7RG4GiFMR51U8mY61TOsX9hT3mZzToTYiZ0JjN0NpNt52UwvxL0CUZrAKczWb3MrBa/d7BMTylwGxICuiHCmyHat/FcVfqh/qJn4lVxGU=</t>
  </si>
  <si>
    <t>XdLPGGg++tLSk7BkxAYjHKRXV3ODoZWdy/lQSOLiOj0caBQocunF8vE8ZTKZDVYEKRaj5Q4VQ1bnRp7elkoF4+pCWTdKiUeaqdL3J8NL0NHoIbXVrp721qQ67yKE9BL/5uiGMzbJgl2MR15uDgLmJABkzFcDiClCvFO8mk7aStyRG/8qNqEYagsjTSQSU7car0PEOkzNQuuQjayfTcxkESqRIXgn+wfkEoGsjFxdLW9G4x/rkeXJ9MHmSUg=</t>
  </si>
  <si>
    <t>zODP+TLWLRwzaqx5WS6fT9Bh12iywV690lgBNamsHheoMAMCapea/vIeltKBkKlANij8H8/7VxUBqYGnhXwYbW1O1pD3jWCpzBBFqzSK0HHKo4e1dFZup9pCURmd17qKNV/P3zuknPuFYElwzJT+jkUsIA0c23BksVSp9Vxrnm+MOS0L7VYeHUI9dVSAieiLSabm9cuY+LPTsz1GLpfYeRC0PSL/I76PVOESnY5RChH0b7E/fLWa0nnoYjQ=</t>
  </si>
  <si>
    <t>0WnDIcmqwz5c9Bk+G68mOaX2hi8JQga+OMK3sgsLs3GBks+YKVQWBjTo/mEy2CX/0eB8HLFYfYl3clptjHFf4TADmQv8z+QyN2K4mwawLDCX+gsebI9E50m8Rmxb0QaSx+evtmWcDPOXfppN03miEtu6kC3BG10N0ZSpZLTooq/RgT+HFaR0VVQc9VuJQzvrlZVExnwnzsmCpgRv1STXwnGiRmq/vprrDvoZ9VqHLg+V37xqbVbLSXuxQ+0=</t>
  </si>
  <si>
    <t>/lJdD039W2AoiFgJUrwb7Nyj2xoaTlLOmkogVLNQPaaA0oILneabAI4mFVUkmzXs1pEtJpwv8SmCu/zqVtRLEgLYjMzzpqFg5qyZg/26h62ZMsr3CKXA88xWyid7F+yHhZFM4G+t6blYX25Q7ugXKXh8c0f7VN971D5bQ36PomoSqh5Y9Nd06/LaDZldvDC+gkfkqwzOHNpXlSf2s6Haft1tHr1TNiCcn0HEL5NxL5pkao/LipwD6puly18=</t>
  </si>
  <si>
    <t>BMYnm+aTECoG3fL2c54B+BC1vzOzPaPB21lsbM8K3zSyJGfSRW7jTqpcS5VaUToozg4huGqOjDY6FPJd+KcDyqAPoOQ+p2MSZJcC7VS+YAQ9K1xQiEkcNUcwvFuU0hYvTxyA6s2AL4n4K+S+O013gD54jrQLCkWc3pyt9fS0vQJEs2q1YKTxZhqreiSvWpGtZ6nAnhXEHz7dqE64BFdiX+psVgbGEgNKhw6iVmO5Id+nbJ5vYnrp/R3fXBo=</t>
  </si>
  <si>
    <t>rqetXVnAs5aB475tITGVbTewYD/jE/Jku71esX+otE4yBbrEdN54k4MH+vRuEo19jFNY90PZ2hHt3y+qrLPkTKM6QoVUV+2aqjyh1XVRLdtK7pINmePcFOC3FiiBFVUnG96oXKl+/788O28lqHs+VYJKKph5aayv54SMnq2XG47p3CHptrsV8Y5rS8GQzF2FKI8q+P3Eh575Ws6R+z8nAPMznxShxpXZ8B0XPq0ek3n38vgRifvXA9R7yak=</t>
  </si>
  <si>
    <t>cY1znNuhfq1r5hFgHP/Ar5lyz6LqOLIIwER6qV6/9z0u6O0TGMJsp3UwlRt3QJ8cT4ZnLGI238m8srF668UCEXaec2RIYOmvM0qZeIsCGQGSAoceKXteK42S5NyN2+7qcxM8ZfSLY1/DVGn+KYU8TatYnV9SwNWJD+Fm7ie4ek9L02mG65Gxwsa3aG4OKCDVd5ustGAahUTfqsBM45DUecOjrBvl6CyIqZfd5yW4ooCEN2YOUnVkeFgmNNQ=</t>
  </si>
  <si>
    <t>BcifzFCvc1MnrbqkasSbyQX5xzXSDKIS55MWVRPZO6QY9Svyj94LllV0XfYvvo612QE5LVEChv4MqYvOUmHGTANS2BDSCfENqDSx26pP9jrQKIAjeu5Cvy7v6CUZBZ/IDL3eNMUGafHGnVH1jS3Dai1EI6BQtJ9Vd54FqOi9HzJT+xPQN/1IRpyYh/FKU2QvJJpYmUBOZSgwue/h43PFudGEEWuRWdYCYgevKtZcUQYmYZj8B8OMnIRF+ZE=</t>
  </si>
  <si>
    <t>gGEqgPUAY4gR7Ag1sITCTHNnZtJAXX6qVBx3l4BUtPvQMqeNM+gpR9lHQ4buXLFkPcLFdIVAzbvyiUSGqjfoov+d6e0yYraiyaE/Ae6Ke97ZMWrj6pXzq+KozY2mc1RZMcYYV8ygba8sR2c1KwKZ8e6NcZXEBItsscU4EQHnnwGzFKpcRzzv58WPFZa7B2Tdm4EDQkk0+eSNGDYHW74gD8MILFukeWAbNSJJXeznbmUSgnIPbgti83Z+5pM=</t>
  </si>
  <si>
    <t>9q87qsOrTIDP/uJFqDbVKFui9/qkOdkNzQx2zOK6gZ4I9yrb55bxxe45kQBsHXIMK8X3OB9ZQwSMSOdC62wQt6wYAdL3HfYTzdNYP0yKd3LIIfHBLIPbhyFkGuBji0Ps71m7zdEy/7k+DR1ti+Pg2NhlD0ATZvZnAtsl0rTOm791Ux9Q6g+NY1LE9p9GLDVk5IkD1R6m6hz5GoKU8JZ7qN30sBLgCuBz4ocT/CZ9OeDYszVA7LasznLqYqQ=</t>
  </si>
  <si>
    <t>9xU4pkgjDluApTJcaL9OXsOQrJ5D/ZAKrPRcTnCBDxbMiBpSijlcUUAGYKkkb1ftDQVfw0Jgt/Hjq+y59wQwioRo8lsdr1ob9hoh5kdBPWPHpzY90mGFM6mi0Cmvtmdqs9pmnCUOT8f5KkEs2tO/fRgJHGhER6nUYALEl/MRnY+NkKXvtPZIMfMGdcOnDxLtTvuGh8AVfK0hs0ri5R0U/DrW+/bNPIpscCQxndZlk4cNlriGmJ2CjxczsiM=</t>
  </si>
  <si>
    <t>Je+vLg4ihwCyNL43Mn5X/dMuLe9D1s8NkqBk6vDtZRFh2PRxYk/ZWXTRcv7VdE3uvdphKuzQ41nzfXscPS0kAcWEkzhLxpc2vo0z9YQ3RvDOFD0rN+yJWsTCyEC/pqhr9FG2GHUjWIeoFf0tvg3sjNaT6nI6uwZjYGa0IbxEsiuyfS3kpmB0sG2fW20YT8KCDUuS7VWHX9Au1qKNpbIsKGIT8g35fmMjE34afltSeicxSxb3Zy8J+EocXls=</t>
  </si>
  <si>
    <t>Ke67A6EoxQTm7bnH0PafMm/G3MDu97wwhRjFg+ucz2ESLGgjYByINHJd/LvHOj82D0Yb1qbd4hoof2Y17/o3dOnW8PnTAuISggQP8uLDKmN4Wj3vuwJomR8qSBaqg0DUxCb1Yp3a8VkSKSigi0l0ZChXUo7SJXSZ+NiID6FJLE/kmujcxcB05oUIsk+/FWZpl1xLrckulozvCUMvGVlh1Zqko+EYJXwl8gsp1vv86VAV7iNCdf3CW0/We8Y=</t>
  </si>
  <si>
    <t>CECfpqYqG4WYCkuVte6b8xzDMZ8k6/rwjpjLGHM0EYhXI8JmLnjGx3JSHLWDDCrJtfbvd3djpURFuN6gVPbBhpd/U52QpI4xJP8JEMJ9VwLYEWlNF+4g9c5JIQ4UT0FF9jbKr+tlgbrlCGeW6NICGkykMoK0NYXodkKmK5uscsS2JTAANNlf3G0imvpie3Qia3zLpDozrLNuZQzlaATSN48v6v+8JAoqaE9DhwhEjWa24SLY6/jJjaIaOeE=</t>
  </si>
  <si>
    <t>uRfToKw39od6iQQlQ+jw/VK9SPiPA5VAUWngHg1H2mBzSzz0KQLCRN0w3tDoWDhu/PuvmsyqGT5CewQMw3jy/lSUd21jO9WhMuSaMXyhYlPKvkwtJ9OzRJFyv2qaM9IQiPaq0UwXgqC/rk+I323gHX34BTKvCbuyFsJXWntzI4pw8aFYXhbzkDYtz2shq0X2QPckfVNDP8ImuRmTSVSFXaaHNtvprittdq9GEtjc/Oy9WgngEVs6H5HXxLU=</t>
  </si>
  <si>
    <t>m5sK30dRAkX2fBU45DcGFIGHEa5Km3HjglnA7PZAl4OzL1dGuWGLvvOPUnY40h7Bgmohty02DFxHbWI0QMD96h91iJTDnAf063moeSLobO/g93SOZ1uzkDQ0ZeqrsuEVkA1aIzcg5qZCfBxhS1U3EC71v0vXhh0OSNjk07e/NaXGZe3LMSJRpiRM0A57puZxGg0Dh7YZAHr+VNvh1W9WoPSJiLd3KORDbkhgSqtAJiUKFodk15tai0lV9dA=</t>
  </si>
  <si>
    <t>tXyqwV4AbEfkSjMk3zN2Fv2nlFoV7xb8acoTskNjDLpferZA+v2m2sImuSpUacD4SscGl0py+mpTUjoN5U7DTKE8vUtGcDn24+YWY6Gl6wytM0EMkJfOkeAPRPHIIV/L5UbHjlHBePRejqSW195L74zXflmkoacp5IpprpqMZp9K0QEs3NFBE+H1YUuuWQo+jZlSgaOHwzIu8cR57i+ehsGHjGntqJ1MIZSuV6bLocciJWB3uI4gQF2PkQM=</t>
  </si>
  <si>
    <t>IDHV2NC/VWjlZ40Ofpj60NXU4k8ia2cBkIlw4B7SmRBE6Kijy/+95+nhJVhOd4m/5Ep8vNBPfDkZih1lYoIyOEjh+HyMSb3ZUD6pV/aJHP6grf0qG4cSJRP2WmSr6AhxqmVyOZB1zJK/Sblj9WAdV5nzXmxC+dGORwP5wSVjxKzvdcfThi5hQ8kbPi/o7DWF3HPr31dzavXFgS2UF38+XduBRryO4WarkiJzklw6K5rBD5BgP1nAyrZFSuU=</t>
  </si>
  <si>
    <t>DmcF2JlcfvNgPWiDXBBmw+4BhfTMyyuw+7/QkHV8lNCl//9DmvZzWOaCwEPFZVLKH+bGt/BavcB32WmjwnUGfqm2tJIvcbKaNEohmdv3ALm77XQaPGjsL9MmlN9KQyor4wrm4x9R0ltPf5eBLZINDR+Y02AMilTcBsMwF/EXyMIa+BlGgLADI5o9Ht3aGSogDMn88mXAZsRtmvtSZkaMfa5K1Kamra9BGk46N4bpPWABrKSF5jDjPVpEpGI=</t>
  </si>
  <si>
    <t>SMpxIlrUKaNXwrIxPU1/IDKgW5tM2GJBncI0suUoldE1Ri3Oa26+hvSoc1fGnYAOxMQl593pW397Xs5JrwL+a/jrPuc6//Lx03OAYA2ENO3plHF9d+Gr8m6O17T1lPxoW1JG+d5wGIwtKzWlTgTtrHQ//aS+UWYDZI0qsEkn/SREx4kkuEIWYfuFqgPWJb2GVydFGGGTNZaNj7Z2U+YrlMkK30P3SmlLOQ5JSvM89eksS8/z4/scN60h8FA=</t>
  </si>
  <si>
    <t>KOEciS+HsWiB3u6ZYTc0NlNJl97QpCoQg95LOKowZsWHWHuoMg+adYx3q1fsdloWm/mn1WFxqn1PkuDLXOo9YXHBTQgqwD++SRaPyLJQSfKZ5Wny/igdAz0wSFKoRZkhWZ8kQp0Jniy+txz0480aBlV83cnwdTLBMRMkyQ0w/7fndWZ5TiChm7cdLqjFLmCTW3vMRuBxpVeVYcsTYFMSB5aPNCevj8oe5zQDnejdtgCbfsR2WBQq8WJpnfw=</t>
  </si>
  <si>
    <t>MzKTYZReU3F9pOzbZdIcNukShpzDiWr0LMO6UwKKLuNY884aXXOJxJ4GOx083x0pr1YpgRxtMMxhxOSHR3HGBUjdjcoyhSCUfgQAG/EHcPv0BJwirBA+6zNDUA4Ca7YijBQRRPNQTTydbWav7J0H9T2ryiyMTtYqJ5FVDk6vDlfP3/OGIyrfn7MygFncZd1XebvvdoTnofRDJ8h/XMIAjUq2PRIcbS2t0GRyaKc9G05zNduHCOSLATyF3r0=</t>
  </si>
  <si>
    <t>olydteSHxOMXaJcasB1aQsPxzR5/8j4Dz1sNGImLk78u9U5IA40Uw3QK7C/uK/jZg9wBzwkB7l6J/BUGK31za1JmpixPQr81FJ8pF2l/V7+tZqGBajUEqQLiMQ8R4NP6xE3OgDmibvGeSaQp/+hmwCo7M7XC5pEV9uwfoNXk+NCvCA2Pr8uM2hTtHghiEsMSZ1R4mVe4I0pjjShyFGo6zHAhpu6soxHyWjrDrID7CDpoQVF4X+Wf+OLz4bc=</t>
  </si>
  <si>
    <t>kFzD+CqP05nSHffzUJsJGUL50VUY4RQUF9JqKkrfrWriH2KXJzXakvMXx43oDb3JpCZhYlzHRZwE/z75ZB1gk3sGNCK85A6Nbyigiish2+osEopsLQuOY/fBvYBKyqzoqxo0J94bfNNQGzG8YuVEh3iWwgpQvh0vlKw79PMXy961VvVKbJEYi5qwXDQUnVu2poFyVBKMP3ASLqQZSAZNRV7nYaWoFoXmlsVnxc1Mgl8x9A2ngr89Nd2DUeQ=</t>
  </si>
  <si>
    <t>3NGciNeBmAyJ8nxFqJkDZ6OhScCLrfLfx9Ytl1OvWdvFHsxOAHttnybsT05aJUNJMfUa052l/fGXvnDqhA19p8nYAlFZNlWFJA3RtAuoiqsy63zbCvkgRNmfrdWHKkpitoPqPO/yc0hUdmUbc5wjXp2HYf2F1hXMeteNPGicryk6Cz5My/WkWfmmXl36rwc2lSHUrZNPwO+F86k8YcKZ7fh5OUU/jPiDyw8/7kdN3y16EPdWwon9chnrefA=</t>
  </si>
  <si>
    <t>Fa+Yfmx3rul2y3w9s1iU6AKF/xVsDm73J1+UcQzMSMVcbUIPL4A0hit7TVD9qxDtSxBhywRVVzJlyhDyIAtFFfxFzWYWCnfjZ4C9gACOp3rqTmVXD/fsEFRmNzjT/KPA52AURHHxSs4GFESLsBpozcKn4xVSfeHsuEz/sSG2UQUgz+yMKDKUpZXNnVaud1SwmlqAiRdTbOdaVD+sMxg00/UA5AN9X2gFU4bmQF7NC9NchuwqMrBzedkrikQ=</t>
  </si>
  <si>
    <t>FsB53PQ7fzdl0HChhMbQR/7GarnK2Cbafm6KsQxp7aqKqVS1DBD+6heDnLCHnJQaDYWhU/18artSoop3PhIo/YQLnjhoy5VxwOK3gpZ5eq9Nrsn7C15xKiQVLN4jaG3AnDNtMxwHtANZ7/PJyOtlGITBeKsBzZiAgSUUCffUbEZDZZ/o2AgniyFwbhQ91tPQJ8BkjSfCTMU43npOwSZj3dW1AFR780kOuX6oabGMdzLuCR6QsEoPlIa6eAI=</t>
  </si>
  <si>
    <t>3W+BaBkl5fEw8z2yIXdthdeTANMaoYiwaSV7YcxhCEBirTMHXMwSlJYljB4L62nCzl3pe7klfdO1e+n60/b0U1NnmmrYyqyFPW4+LBy8mZP7hwFUggBxm2B89T37j88LNpIAQ5gmUIRPA0GFm5jRextvCBcvQmvLVhtn1nGoizTwyFwUlMCr//jGseOZwGUyard8+wHSL2C/wJ6z8PdVNTI2T8Yf0gU7okYL2jLbx2pKCHPVhFhOlfvDjsU=</t>
  </si>
  <si>
    <t>zBZvjygsW8M7eY3AVKMoH2Rpbp0sjw8EEBwrcD0WoQ84T7t1S8yrtzyly4R4p62MwDc/2yr4p81mdiYd5dZc3szsK9Po/6RxcGsJ4wO2Wz5iYHPOcSiJnHBhV5pJk0F2Qp2IqTeVWKmQXeEK2Qa188uJ+W4DwTVqeB/flrG2zLBeyFWxbIHbNpD9K0KQavmLqyR5/XoT8Gl5QE3cdVjIgUU09YQbqT+pEdjQXFDybVdrmVLPF8O0uyHteio=</t>
  </si>
  <si>
    <t>Jf5Sna05CSKp8THctNTresb0BXm8xmPxcxxQSNWLmhmWtzAl3jmHgePePTLgJdY9J1kTAM4hrQ4FJzz9gKKLh/6Yvh2B6KJEM5bgJb27lS4eRNyC61R8CcuTDnDIbD/ALhtuGpH6Jh9sIjJVvzmH5eNrqAFu9fr+G4BMwIxZDrA5ZENqIIwUq+/nxK7waIaiyxdi3B0nJ9frjbSqb3jBR7Zbgr6e6UMFPf9xNXx7JuGuCeiaZP+RhpgRi58=</t>
  </si>
  <si>
    <t>vIXECCCyc3WOFplAy5OEW+aUis0+wUKlkSvxYjULQ5+AF3m2qYlZhqNZG2BCmRxaxWjp0ZLyjoh2tiUxUOflrAi6h96wOf3UklCFRqym42pmzi6kDiJrDz3c7kSLb21/78Hi7HXZuM4+rn5jqRT5ePGVux25MRCC88nlJR2Pirj71McRGu008ZBcrT6lJkh2yo9ethT2kL65IDiQw4V+t8f68mVVxQZjcsjdu4LdU9qc+1+VsM5K2GXGZgI=</t>
  </si>
  <si>
    <t>+0JsBEjZ9l6YqPKeI6z4EFtGI8c7q8AWvAL3gmZp9K2LKuS9dOhEyhWsaPdsIiKejLSJ9OMd2+wsWUyfob2gZ1cIWx4vORTdOqeXfx5iD1GmzrgDXebfCSCgpeS5hMUGQ1MtIbeZEAXEhDxovMjd2l7lWAIRg4wLzADVhdgtozTRuS6bmVf55lC74ElizTXMC9wgZu2q0ttEYmMQUvpa5NfD0PPWsIwibHYgRgdcyS6nWX53muFhkgCnp2s=</t>
  </si>
  <si>
    <t>NJ0smohCjW0+cTk8FCsxDte0iNJQokO2VD+lU5eXydHX0wRilUd1OXaGyE3f9Ux0iDjm7oa0eLTTkpuPofV4z+A2r3o8FCI1FCnbl4dVzkj1wD02qOTx9NMRk8EVPIK4Ymwz9tpRl853m++OxJAVZPgfmbh5va7Ek+suQxPXEyDs4g2WTiP1RV7ATW8mZQGSEEvjeFezpfnLGDgyK1x5qJyl6Xrj7iOn/dVBzGswzt7EFt57eIhGg5hqwZA=</t>
  </si>
  <si>
    <t>2qIY6JqBdFEtVB0aBlINW/RJMdJ8hlBeLaJshva8rHbcPDSxRS7TcmFhlxkUsqykoJxWpFlxLUuk+XTtZlSGeyxjfvgoIMia/vi2xhXSEh5xIsJFViEkHWcgihfzkUX6A5PG6msDpEnI+wVebMdkMb8oaNcpRFo4C89iZqn/URWGzK/1Nrw0/DGDccWY/VipU2oIqMb1DVGlhM9cDMmzwNOe4e0SJGpWXRQ7OHdKGiFrQJKT4MkEi40KACA=</t>
  </si>
  <si>
    <t>IdDDjb9r1iYPGVCvvfcijFvspiHXxCOzHcN2qXlCzNhgLPGEG0ydz82HE+0kodQjGoKhkMarlaiJqlXAzgQAuxNknRnXF9oLYPzJcupSxzgK6RoDp0jKs8QwW7c05vNFATv5/6eJSf8290SoAwqF5bG/zajHpp6M1lIlyVaZe2M+9GmEotqMNLwGvp7L5Qg+iSY06GzGa6G0VUFYtKm6EYreMkrB+DSlpZi4Hz0N/GPI18HLh0XPDZrwGOE=</t>
  </si>
  <si>
    <t>wsbXzgkdGPdUwEpxkIIZmGWysTjTY2BcIt7Djf7MuMqjDthh4xQ6GKwDSXoLGzkCCDGcNy+92w3uP1Hp50Daf89OSdWjt2v8XlVcfjoOe+hUxFF5E7TfQAGeTl9PC4IjMJoksDLXLITBD9zPumnhaMHwd9UA+9XVGUzZX2YUmV0pxOhCBrMtK2VgzX7Nry8n30i+LNRIgWSYC5korXAc9VHAg8+Ch5i0B6npSZAOJRKKlOvJJEhkNveSeeU=</t>
  </si>
  <si>
    <t>bW+55gMH28LcIjZxvvNulgKqyDjhkFO6HS20V5kchJTLPw8eH70/Z9km/7g7DJ5z3eNiMmGF3xzxHQUMHT4Nc+oL41XjQP1qKWNJlAnJqKErr3LdspK/39hksXdkqUImWy+zIbYa2ZTURJUiDZyl1eDOLmXVwC9jgHbHPA1/lmf4mP/G2a5YZCUPTjSMT6SnDD8tZAoDcegkYPW6FQG/cZchdOhDT0F2eBix9RM95nP2hZaT+Wnqz0J8zi8=</t>
  </si>
  <si>
    <t>L/ff7z4aOYTi41UJhOewuiwWyddTOe2qPYiKOP0vXugRxLQZk6btzPY9VvBd389OyDJGNsA6tpZrzgRzEEo5FCs95ynaS4RJtY5Qp3uvltguGobKi1awYcRqfWifH97V+1jNv5hv5Lx8D+AglBvohGJKhsH3p8Kd4ZpCwVLBHCdW8v1gLoRq5nxR2GC49HlTwZ145b5tWn4DsdDcyEphHAZldf4mW2hl3tdgalZXsx2B78b+kBFuacmhK4o=</t>
  </si>
  <si>
    <t>0miMe5FWm5n1i+KsM8OVd0WElatb4Q9lSu6KU2ZLhOcXeOGflbzwPAxtIStjB6jHHCYVV3Rh71xTejMRiJa2Sn0GOh+XWMhEIlWNGxmQ6R6GPO3eORGantC2TM6TCKhgtrLXMTitPoBaSzyWX5vGiBQJDf7Zow6R8FoCb+IZQoPBlQnvu0P/8mbBV4SiNf0h3ZgfzLmOlX1j8JZFlxQYmqD7hzyWnWHpOX+STsJyTimERb9rZZNtUApQLRE=</t>
  </si>
  <si>
    <t>v59mmhqRgMCwlwEhve4A60FaZiTaG2cSjjpqIS6bpye5zfjaUyVvOTW/ZLL9v2XERF5P5VfsEY9SLpOc8DlcgzaTgABY3iIlQNyp9JJx+szZhmB0cOe6/zGlfEpfmb9bUiI3Ea5pKOEBLVb2A8lC4LFRFJnKbzcUAsu7qSbf/sg2Bunme8xMNFd+HtCkE0hAjDgms7Jbu5DvW+1ZGGUakBlJhlfHmrbgC7e566okPaVJfdvA6Ul/WmBrA6w=</t>
  </si>
  <si>
    <t>sQzt/sHH830k5vU79YS7nsU3NhrAPCedSI0bZFVpsdXZ9A4/4TFZhsdBCFzg14nAlif6P5347IJj9VaJ16j6cfTH4JUUdo6RUTpFtUS2oC2XfQm/JWTnLzQQ6xSHQxtMx3URn02wpxeT6WxhvUZRxuuNzvuQ7A6lKOFgOl5dkG6sIoIQ6MoGVNaRtyHZ/pvhWBZVYi7SIDUp5gW+wPtW9ubXnBz2sFuHNldOnKBCnRI4mXBzGZ1Wo6a66gQ=</t>
  </si>
  <si>
    <t>wjndI77SeyTCMzdk7gfs3qHkjvO6jxyYbmoPzDYWDOVJwSTalHUJUaVHrluB2lPBicXzkXLmCFg4kS2/aRkhVO6aHs9CHuU63OJ/n8MFLt9/eYCdUnv+BILYsTSugsGMPUkIMfC9ou5puwJJFg9pwH4Kh2kMAv9YvEj9q9CIKPUgjGPyZmD+bd7LqgAVuV+sIdeVYc4Nq/Zqbqd26c1/yZJcDQUNYArwjcoocsm0IEGEgOxOhnq9GqE5SSM=</t>
  </si>
  <si>
    <t>tiH4hEzLec+Tn6oJeytIwVhf1XpVWt2h5YKbSgPWucgvIac5NkbwcXO2C1dKXDa7TPzagwBwfFPbavztgyGA+V1+cYvkrYsM+Og4pxB5NklnBcuKv6LBC7luOOXM39Ir9vwOy47rzLdhEkEpPNbkQVsf73XIxuUUz5bIkRJbAhXFgvLynqX33xPo9KICRWkYK0p8E+Aa5v5pyfVw4eoq0hKGxdA2z//Wz4CQbYGjrRxL6i38clOTwb9zPow=</t>
  </si>
  <si>
    <t>y0qQCFkP1vywzwpiYr8k5emdV1oYM56+W4mNbrxVfSz1hMjnVUuNWBimXRiybbYN/vlx0SlDAOv+8mJCc4zUOchezPE92VSkmU3vdcFMG8vkIMshQ0Cdz8GKjF1yWkbdfkWTanhC20b0ovNevITs1a/QJ4CG1371s9FL1Q9QGGY1zC+8aGjqsHSeTvMKTuveSwACP5e5Tygoz41umLPet7ezgaR6qS9ArKbOQpo4nBnP4GN6J0RM/1Ca/2k=</t>
  </si>
  <si>
    <t>jL5I/MbkTAucnXBsrt0pqC/JKeGdXjSqmCNu37zSYMptlCBSeDIFpNt0Tf3Iu4fUCbJGiJfJtlLXaCh1EDqT0cx/ZIZOUTYXSTcNN2IMQFKCJpYTzCZKYS76Ks457o/yyGJ3U0A05T4ZL66pmedvk+6ZI55gpDOwLJfqmragz9iPDIrwUUNlCkdn/ElQYgLhTmWbo9qHD+I3ckrYgrXcQyEauPsMjK7PJ2I92BdmCpggFvxAP2VYsXtul30=</t>
  </si>
  <si>
    <t>dg/VGBP0+DQ+Lw+8KtIwJJ+6AzTAx4soCoImHTiL+tL+0LlPCzrbhlAkHETp8BY1y//THjwFrTtSqFvndPuNY3DPwSUzRdAm+LhlHwIfpc6KIOXFU9JfSU5Ai4wJXtjxLe5Ge+M/8HBWRqrwwqrqvCuFsUyxEpdVGIxzEH5/Ex24aX1adn4NpNcPPRljYMfHuFoW7lcuZXVoG71yXHgi9ebWuVzXMfh/Swko3fGYLNJb05lDurfzyAcvYEI=</t>
  </si>
  <si>
    <t>ZYU1PIgOm/EpbO5mpoub0Ao68FYWVBI2dCURhHtPoj5PryRMOmxvG6wLSS34OpcSeJGMiW3+ftkqp7nQAAGWYsexxCc8d7w6I9I6FeVeh821nKDZpmjZoJavTtJdlaazLVIFyUF7qXaEzHfxgEU2UY6bptxfbSLy+JaGb56T7x0FvAXenKeCpkMhCLGgJTrB3Jh/Jknsy6GBxfuYlUeb7bF6qutFkSpat0x6MCmgXTz6k5gXkiCN4xM8IKs=</t>
  </si>
  <si>
    <t>vJeuczoHbf5XWtkVIItu/3VkSvwcVTwCEtwfp6UMXXSB01f53nWg7fy3ngjmoMvQ9gVsg82XU55LO0ia/6tcNEMB0JV5yzT3Cdl0xf9T4y1U5iOMNp5lLD+lcxMQjvxiud39Kncnu+7TLjyqXiBcjHIpKbQ9o2DCaWBbC3XTNe2ptaKCzMgWBwk/WOIcoq9f1st+B87EDdkBR+ZukpifFjRD9LuVzf6ajIF49sgBV7MaiX/zTfusrEATizU=</t>
  </si>
  <si>
    <t>LMdVhTItlwo9OOe+5EQADqoGy7W1r1voS5K4GzxtrcaCBPQdh2H4xQtYuj1+fq5mpc7R42T3bwK9YFgmkupCvxvQiBNAVpPpSR4ffiTRbInkD93LE+0zDq6KjdNHZ5HnqL8TBnFRU00Ce8LuLAnyy+Ngx6kc2hcaowR3i0ZRGc6t0UV2waSf5EuKzEuQjH3sMamZrf1/Ir+c152/dv9dyKVa0syp4bzIUctXv+ky99IfQOO7ILQGhwdzKxg=</t>
  </si>
  <si>
    <t>AZjY2BoE5pRPg8GuF3UY+53wUDNrrqZ2LGJJo8TM+EKS3h/gLG3HUwDRZlAyZNlpoDYcHGvj3mJOl//9yp6/BqHisxYRgbO28r7J09KN1U0IPQl0vpstxnuSDtvWSObiRCm7dj71vhw2WTtpT+mxlM8Hbo2gW4PtpXZFatnp/qxd61hZGTsXKae4E+2YFpGdJNzSBLTeqVSEJr0kVJOzzowzCWp41JPR5H/kDKQc0qkUIoChrjuxgJnqBjY=</t>
  </si>
  <si>
    <t>Y3S+0ur6B9roZavogCrQbRh+6Z/mWcRwt1dJp5a6gPmY/2gwDQ42qM/KLKHbw10Mcc/BNW0QdaaY7YVJLSLmv6xEO7x/B/Y+1xPZMNJ/PgPH0OiqAuOKNKEc64Zfg+RhYce2knKrESRGJsfvs8ZDzDIrJSUfc/MZg1Jf0xPrgGXJN3KUs+G5HXsY9SH6RtClFQLoYFLU934a/aI+pol5pP4sFtH9EybGMIhRPNclj5eHYENgGuSJScT/fSA=</t>
  </si>
  <si>
    <t>NKFWjvUF/dzGmUQIEbeaMrhNexhrG+BnybKk0J+oeTEA5Hii+UF+Z29NcqyopGyJtrubk6De7HJ/xD8lATOAW6v76ogW2h6qEXCHptgHudllBqIXVryLXCOSemHiM1EYMA1NmcPyZb37j66T5VLApMyH9XbXFQSA9oXJOHMyj+MbTh7ONtf7WJWHPRKWUIuXK3sVwyXTV/E9MCuDOJPe7QV0VOYRhaj+zTQdUl8QU78NZhe6Of/+V+OAM6c=</t>
  </si>
  <si>
    <t>OGfekHj+0Yb6amNv+vYQWmr0beRWbiD9BS0xgWlXIYpHADFjKjS0uioulVWKuKZ4wQwEdPRYKG4YrFDlYU0QdwScTXPSZ3lHaFS4bwwG5Ag9k2Wtn/F1yfz3wBCzv9MOlZDtMPtnwi3TQuDFKmsIFosj37fbwcosYbc8zp5HcRVb+VsmhGrT7djlvueEULTJW32x69Or/IBETC0rfvEwvBr1flWTRioVSIEEz1cdtI0Lw0Yj5MXg/NZnFtU=</t>
  </si>
  <si>
    <t>4699RaL6pb1DpJBnY0pDdDzfq7n/hX0mL7YA/wvTJv/mmYLbVBB1b+UGo8RSf8CB+vBfKfDRnN0whEZyLh1honEPqb8s+Lz5Ar7ygm5EqevycjoWHpgrTKlJ7CXWt9p/IQuN32y39hDuJcgqKOC4z9zhduHXeqMrBimafTQsil+Lr/XVkOoztoj3e1g0qoqcbter7EXtqG4/qvuPe13Q1ANMR3e62Q58MULIYf2JZfcAEl+pNyJAE/z78Ok=</t>
  </si>
  <si>
    <t>LskI8IHm+VQnQJ3NNLOIFeb6dnJ3C+WrN92pL4eQDbFLQYJnea1eu9uQSVuBv0h2RCm9W4cv2vydz/5pXd15uO+JQbChPkW814PvAZqMXXUskSj8Qfci0Yg7hhlUhDo02b1ekLAvthDmAEcKey9Un3PLXkiIqxZS08eL91EbF9gtYDBYkgWXCPQG6DiyrTAy4jSmuYCywmUPOUwWQMg3Y4sUDnLe16VREMzxtFRMFMsSAPL/i3f2Gh3reSQ=</t>
  </si>
  <si>
    <t>F7cVgJ8JtmqAJLzyfuu8wFflPG6OpxIKSB0Rj5mCLxWFt48RYzbCo5kT6J9FmPg9GT/mAC4pL6OMS83imN+WDKGnL/4VqRHCR76jb9SiGNQRUu9E7PmMZdf+IY9d6An9WtPweVtNZSe2hbz0VDGnkoYXHCsSIIlWxHD7TXwaW8fyCehWC9JSE0HhNVvQWfmzPw/5Tx5cstGRmeCRInzGfogDI58eSpad3aW8/TwL2fDCuHiDXd6fiDmov+Q=</t>
  </si>
  <si>
    <t>Mf70PLm+fSttei3Fh51rezq5nYjVJeBnvOgu7D6vaZv3lKw1EtJRO/HABp0pWFHqqIov2p4YLHZ4GuFGgFaVcVTxzhbtDLqjjuQrGcelHDacKkTu7Dk2c2e23scRErlopw7nRIVR3Jyj6atv91zXbosIu1O3mFq+COEb+xZ4CLp+UAQ94griU0QQslCyGm7Tpip2earYMzJtxsfAaIb1VReOOHg/F8tB1OWAID9DWZXruUoRJSoD49KIfjg=</t>
  </si>
  <si>
    <t>aJBRb5wYWuXDnLJhsAYXYnuM5rVXuaQqR2ZoQ748n67YnkZM20CdmfpfwSxl7S0qsPQ2Bf24kAQ+Ft16evnIMY3+5a2VePk/I+rvsmNVgcy3UNSB63TN20TD/kDvRToWDHKfVhJ34wmMv64Cngq/tqtCe2SOVllh0EXdUKlS96FBxKPLPcIfQSUxLLyit6rAtnSvPYyi6hZKLkaMyXhsIdR1t7zgwrY1Cp8RIrYrRTe4jrW9mFO/qCGHVxY=</t>
  </si>
  <si>
    <t>k30gYE77hgsrC0DBik/hzUKI1QJzUB2XItmQjFUmgM8g0VGWFLkMertZ129Sac1vKyUZLfJwO+tjyVX0Em3HDrc63yLFEOvstPWqAQyJfIpQIipZK8/2CbHISG3kYq1r5iEiO6ej1QBYJzk3Ops/pUDmxsTcLWC3NvDYIWnlz4NcILAD0eJAhU3LhtAV9FWTyna1qHdMoZHGg0Y/ZG+FM+SGIvoHuXlDsOh/e1xdDphzpTAraf3BGRkigzA=</t>
  </si>
  <si>
    <t>rkmdlMK8bS9F920Ovox4tjFoDmjxckBbcaVVyVpMRTxg5MZODCp2n7GMvwOQ3N9slMQfz2cvjTEmmiuOdsPiLBK1Bo0uMR8ohUiLoywx+gt8dYQohSi+Im03qlG0PXvqfP2h+nRj2Wfbxs/JJuMQCdyVAwXLYwR2N8Efndpi+E1MsY6xWHDFMUzP4/NvyDm/worM7TqXmoZYcGtSmNogtBfj+s9wYxgtOAGNUD1Yu5eZjcqC9ISM3BtKbOs=</t>
  </si>
  <si>
    <t>YHZmiSHtCMdUYHE1Eekn0VUKBljP43qphXrn/tymzs1st7DqRlUC7AYBsVRSKeYtBG0aGa9J0QlwixESke1+GqDgZtbOp+qcmyx9qMYRnNNGm8MiF9O9z1sDoP1GGXIlrRQoXYwXEDRr6NZu+zkV0bHU6xUSjGsexxoAGtnOaHXdAh8Q9vixLWrt3pqwiYomEMLd+Cl/ehgefNYs8n4LGAouGnykQsGbT5HaJGvxtXBh//PxX8jmNdixFBg=</t>
  </si>
  <si>
    <t>Y38ntUzSbTYXicchDd5Qu1rD0iMF2unjhXChqD88YmBkJaKlWhJv0aXNg1kcx7wfiLl2kVo9mnMIlZVOjBvTTlSS9nH8Teyant8hVmqAEU4lrbZjYQ4tnf6BRdX02yxa8aZAmGM6TcDcBilRINNm1VsYl6kshnTurFLTaQk5k5dOAaNlNguKoZiuXld21+RaJRRm3k4zli5YdmJItXmpRYJamQXAN4SGApnf4zG9cQnzxZycIPrnNk/bkUo=</t>
  </si>
  <si>
    <t>4IwBTULhUVh++jFf3bZR72offu4RXsgJTuFPqisQi+Mnl8uvS/MumbkGN25VLtnYpcAT2QAqsYgYNeX1zCTQS+nSLImbcdKC1ZK6Z5F349Nz1TpkvrFYe66wv6lneZP0oLvXrMkHehLP5J0al8mZXJXetSP8Z55h+pjpx2L7ilQ7gdtz3BQdoHyJ6lRzCZ0W2FGf23yVgWDD5lsAhC5MCmR4jh1TbbVe2yP/Fu8FgXOWlOByYmu4ki0XDbo=</t>
  </si>
  <si>
    <t>5ltuPZWrynsbQt5L8xaqUNM8JyFgN1sTDCoF/qxy31vvLuhkEsIWfqtVmhrCuVs8BSPVgsz0iPZdpy+hVtl/09WGPan1T3bCOcR7fjpdqhC1yqll1V+MmJXvmxlWERCU9FKwVMuVBQvgYVd79557m0YiKY9dHZUyjhxF4YNSzh3FIewyfbW6TpMTfS04cDZgtaYSL/28Qi6mvR29TqxqRESa6tjPkscmo/0yo1pRkJswDyeMfbadTfM9OQ8=</t>
  </si>
  <si>
    <t>HFIIZGv0seAo8WVJVzm6dikQ635dU2Sa+HjCfoJgdmj66LcU8c392wmVfbJBgL+AbLYnxMpZ2kWzocETasi9WoihU3nJKD+2HmCXzxojivaEmqKVX5VMvdBRy0nJa92CI4mcIwu0P2csxAAoa6bo0ezqADv5v2GXZ8hZr5jeyPdy11LEeTrMK+FO9aP2VmD9qacGVI/cpiKyjk5p0ZiGV8TDgvWPECfwDdxuOYyV0LDT4R126QqOF0eHXJw=</t>
  </si>
  <si>
    <t>Z6niADe2oAutBy0UGWLMQ6VN0NKBGIRzesJzy956ouHJOobUUkl7LS+t5akgx/12hvses6N9n2sCyeZyfed8pCBtVc7S7y18lj2LAXFrjkat8ln6i1Ydz6Sxxvj+rBWcVdfEMR8dUCEJWvxDkfwpbxrXRtzsA7y/XCTvdhaCkT5fyjKictRTNB12ilg3L3D1rKEiZsvDuvMycePAH+wv4Y+PDA4OKSthiY8yqb8YtLpUo5wPXkxHVqglk4Q=</t>
  </si>
  <si>
    <t>VibTIyzRiw6kCBGOPfkOy+kLjaVlBdiM0yVrGf6ldiREMXB85E0r2qYjXOWQbaPKs7hOZwbqW63hkaKQJtr8YzZfqU6IqoSRSRcKkB+751ShNehFZ76DCeIKGLz3njeQ2z8BPw+Qycf7iUmEpWJl1jxOADYOJDr9Dx9VmR1LxUa9d46UVAX8fBJj/EfH9rVJfbtaADXi9F1Pq+3gC+FRgHkBZPkf+v9fqAV85AORrUi1jExUZwrMnxD6kJQ=</t>
  </si>
  <si>
    <t>jWCuHuYLBKqTNCvNS7STaeVBg9i9w+XbIK0QK0IguuzqC3Z3sygbCw/0oOfCM+kbuXit+U/WQC+WBGAugsvaA9xzoarXIOzdFf3ezV55bS6Pilqs3JLVV9M79SyIFH1aYzFAc+OEAYjt+Z8njuXEL58SCw3GsJPuftupphRVbReG/nCwTU50ujAepU7S9Wk2I+fqf3M2iFWIOEV9vH65PdFVRCwpLlB9BYUTcp9J1OlwueTBNMLrYJ/sfD8=</t>
  </si>
  <si>
    <t>oW1rjK2AN/Rxe6GXsV34sMU4c4B5w6QhI8uM41Vo7RV3PGTvHkO+gpPNv3oOFw+shLqCjcgPylFdXrrERKba3tGiTJEWhkKdz7vpCxEAQYFK9yN12d6Z+eV/5ycaR0/0qvorFCLzIO5JBUJUsXldHBqHiiUR4vbj2DzLPKy19OWmLqcUt4/Wln59zn5uEEZ1ebKWUN7oejg+cbiBWSSS19gl1+SF9sX71gNWJ0OiTbbv6KGDflgq+/dN0K4=</t>
  </si>
  <si>
    <t>52lkGs1s2UJBLW7+U+8QSv56OVN58fyYbqOLcekg4UblEbZXpECi7zsCSy21zjflag+/ty9TGGvtilEJH2noqugp2nUMgsPnI4F3PwOecJWBiAqndkQsR/B5ZS6K5bYxss3Q5fkSvv+cXod46y4kU14zLsIN6/onK9ey5ab7shtRtavlhYXbKB4hbJqlyfcRyHyUE5eyqo3W+Zfa1p8eJQf2e0UrnMwznrH1tsAYbvu+ph018HOi1rlAyR0=</t>
  </si>
  <si>
    <t>YR1KWz1ILmgDCQtFjgV+rKAYt9Srl4JaCobHWynGA5x2hn6m7eSnLV7T8o3oWxu9aIHk9MDgeXvBMHpuHq5oMPkie4wTbD3nQk+j5ZzlwfFaitNVU1ifkWl7FarXeyTEWawF2C+TDWEPVAyouiVeS/pvAqWMKzPLTdVfaNaem0tujG5w8SiK0MFSVYt+o3htdsSNaXlMDeKXlDl8Aelsxx9J9vYEn6JtzqLcQrzlmbI3wAxeYDm4PdBerx0=</t>
  </si>
  <si>
    <t>NLJMUwEJpwLgZFYYgMcFSAtXrDM1uAL7l+IR3aSzubfeYYsnHL/taj/dG9Ki9WP36xopRQUddSfP0UvfKdq8qwAnaRq3spYVilxhwl96jwdAPfmWcMc0ifznnYth0kj3g2tKwhD1ATrZFPoV8DmUQPfKAsB1ezjmzI26SbaTMVRFAQYzPso+e9uITyBdqv5OG40Y9KcbjLtXuBWaa7CDjE7/yYOn052yIxko9WLUEXlWvVpd0xs2ljbiGSM=</t>
  </si>
  <si>
    <t>i4nixQjVUHHR6qxLdCWcYwNzQlbd7cp/VzXHjDrHmqJauv3Ph3pnTk6E32VV17DEBRWC7rw+6FRiqU0imzjfv9QCXgpKi5JgE7eeqIl2/u6s/RukU5Nv+iMlB6DeInSUR9LOTYjdgSnWBbPJeNevWHcvhw4fGPb02fPDhRQQ1SiFlx78y3WSi30MsopNxAbzDim8JUqawD1v7zPp2g9HWtFwSyoQc2/99zfTanfA0nIOgUrObC3RMnlK3vU=</t>
  </si>
  <si>
    <t>wEA0rO9xbCipQrus0WhqPaEyqv0u4fHjoiwM+5pqgW7B+lCw9Ws+4bHYiC4CbS4419QkGNU+HM5eCC9RlB41wU/7OPyXaZa0IdqDq6AXlAiUkii5O5Q2wa21GhCm7yDG1rEhCc0wKSXurUlqEiiPSWMFqQbdrNfF8L095tFFEHgalaeMaKBIWI/HHhAOfYYloHbecfrDoJDL09Hr0Dy7BWyW+/tNAOmVDks0WdVpv+d0n7xsX7M2aNF4hiA=</t>
  </si>
  <si>
    <t>k/pKakXAZqjlCsAYZTzd2UC06wbhmsHCcvdKZuvwexK07n7P1SSLavlgh3c7fcLmPlG3MnY+VaPZEA421GDeSuCC5ZwRKf3tolIpn2CCnMA8WH+AWNtLpl25fH4egA7qWulpyMN7f+vcerN7WLwJRiB0JCYlpM8l8I12ByEmmIiR6GD7NuuIkhXvit5Mg/9mKjTEgXt+Z0fMr5PKkzfPCEQzPyIFHZ/w9UAlI9PIge84kDuioBs6Abbb6R0=</t>
  </si>
  <si>
    <t>zVMaMT9emTXr2YuqKTQCZsw2XCFGAoLn8k4W5o2VZwH42eQcGBxKAWV8F4PhqCWk+U5ad0dILjRdaMLgcPFbhHndr/L55BovwoB3pyLRH2siumHM2mRg1MZGL4gXobgFXuZR5hA1sriAnh/YUF/lPAdYC7Vhbx664ebw6gCxqo+0lEM+EjdKmyDwBJB43x6YxrcQGywSl/1ze7Nct175/gPZjG7kJJmt3A6iiFWGEqj1/RhDnq0ocbIoLJg=</t>
  </si>
  <si>
    <t>bNatZ2gY/2K7B+Bb72bMzVkjADrmm9ZzRlJSc7O76k13BJWXV/XHezxFvQgVmuiNvxzAV3wD2DSohOeqUZ3o7lGuPSCxdy7ZknGcRjURD4kDFXy1frnx/DPFlGlSCQ6B11tn5RI14I5RvEXuLhQQ5t0mcFzSvumvazSl+YCAwfNIYgajEuHaHPDfO22TtL6yuTyXol4TA/T8SS0nQZ/7Nm68M1/a8/wT95f68bjL8Pl4Vgeq8J9fQJ6ZxaM=</t>
  </si>
  <si>
    <t>0H/I8q7QmAftN/+gml+Y0Ky2Bx24ff+h7rLwj4kSsUOKtLA9e72O7sUpQlmLUVJgOEPe6vaI9bZHbbUkJNgumAbSfHnONubs71MNuTHv+TlGOVFx14c3QV2v3J7XYw2qOKth8VJLHwKHdGUW+C9F1N+yfmvmt5GNvkKozm+0gFuYJn+JYx/OsSxQw8CUIp72QGYk1P/7Z2iXRLkbfEmkNRpaHlvoPS1lH912DqQ3eqkqlM5Gohr5l+lI0dQ=</t>
  </si>
  <si>
    <t>JFS36rCVhFaJLE1xuR67/lFaqUafe66kKNpYy9JNHQ5pyXKxDBbkNfbTFkkmN61kb7WkPCf7123RYMiRPOvPNbsnXWI46hapTkV4z4nkBra8ROhgzqqTvf5syvq/DhnJ+YMU7fGsTpSOR+qRT3sk8v9BsksAxvYCr00gGt2VGl8HDLLldQGa5GRNWRckqDxrmZ7ysrISRgPFB+ooCzz9rJpxysOWui0aXcw+crAIwKBeiKtY4fbLxuDqQKE=</t>
  </si>
  <si>
    <t>lQ09tQ0Efw1Tqv/22yH1WgVn4PpQWH/DeT1JL9dk+G7W0wb6Ew3vxh6NNuLYpo2WrdcJb+w8IjlZ+TrLULrBrxDQeUmXGrG33AVt1YezxBybFnbRD/MKrweoYtNHxy9eXUfFPie1Hfa/lJNOEi8zzuqfN2F4dBh91IoZtO/+NxNSntWcu31c1qj7HiaI1N3QIWHy1XzeJaKXDUY9XKWKR5h1qDScz2bHVkp7mybpBKqCiBlL2LupGzPaFXo=</t>
  </si>
  <si>
    <t>xSrVvwf/4OlYX54aPXCr6ph65HK66ic+GoRxGay2MyQ7f0to4eAnGBjzGWX2ydF4sKv+Km+0qw8h0Z0q8Te+vp2jnnjoqBzc8ypbLWi9/RzB8zs5nrZVsbveOaGwaYKnxT4lB3nfIAdDNRvMw8wT93j183t3Z0q9yfzG86bA0XCpa/h5akHTpZWH0ulLDStuVBw7pH4xqyosakHu7NuZ4wnl6/6IJi4+oHrnesp8+vH3nWELItb4GJAOf4U=</t>
  </si>
  <si>
    <t>lVFZAuCiGw3ZQebExWSFTDnVSUgf1JwpUYppd0/1B7JDT6BuU4TM77ifIH8VQjxbed7SunKEh2RIqqeyWZ6xc8N4ElLYZEhYk9Lm2S3kjLxXbl4fdNaWsHuuqottFTVI378xC4O5mKGs49TCju/DGVE/TbmxioADVhaVehqCCmIMAcmS+cqv1LnIJZwze4xREkaZztOaAUonI8sh33JQfq+BswTSfZz96JJV4jLp0LHMy8t2KP58cDnzX64=</t>
  </si>
  <si>
    <t>4Su10HZby96B1Pv4q+KV2uwviEWph1KCoIrlPfRWaRzWdKQTbrTibinyv0XdQYYWWZ/YzEUK0kPa2SZ3xpSToz43k3XpYKHH7cBCG5d3JoY7M9Jp4HI/rVptwL3BDD0it+di+/kNIS3OIYwnxHrRNoRXyWQfNhTcgJPq992zCr9UJq5S0O+hrvwCL2SQDbQ9U+9uHIzOtjYbm+cH+/Occsbur2JAByyD4A0UpYyfCvGf/TIdzW9yhdcEDoY=</t>
  </si>
  <si>
    <t>ZRc7fUWOQORzQetAjGHN4P3CQ0KIbKwP5BooQx/bnndmBQ4Yn/VUuIwRg2Ym/RtV+CiXJ99Dyvt/Z72xdL7iYTWvQMH5zG3EneQV6YGea7Bp5n/O1cLfn+nFWxPfoJIbUl/5wMUdaWHFPSKHnCzWe4mjlNIHr1TKY5asg4En6gfRgV5rdnINvxagwAhls5jsxaf2jYn6DydZng61c7mFKG5tsfO0aFpMKZB/xQtT9E/VUroIDMVBf+N73pw=</t>
  </si>
  <si>
    <t>12vJ6LXV0ExiWYMlruvcPi2am4unxo4645ytArptcHeFx3+/OSPOyJ4Fgvpq4dqAwmsVUsoQIWwYxVQcuSt6bEkEbM14BANgNqqPATUEVRb7dvU7RM7eXmWU7zsmMMqU92C14gs036iRLD/Fi7AHjL0NGEw3qcw9QLZxV6S4I7wyi+4GOSaJBcGRaQBX8dog4Pgs1czcUGMuJp+74XMbg2pluUlUDc5aLKBCFuybqpDVpXIJrENaFeZYDl4=</t>
  </si>
  <si>
    <t>I+az0r5bNrAggD5aDMmU+fihgDqIJKTvN7Hi0zSSXHL+UM+kdXSXCEeDXdH0h7Tp1iBkNynx9XuOFiq9yv3k/lrBemHwbiSWBmov/U9M+DBxrplfeDrEjlw8t2IqiTLDk53XQwFb/vlK2ZUq63nm/KB/9HvzYQZMzLkQfEvsG9XZZrtDhqfR/Y7Q9G1HGsmsI2V2GKVZOeTU0GHDZhMLF3hh2UODU5OlrVapAyc1DAuyQ7BF80pMvvQ6Bz8=</t>
  </si>
  <si>
    <t>taSIA6HQowNCIa62+jLSvO/j3a+vbqKxmSUT3qg3KP4rwNnxlPVVfPzmGIsqN7LLDxLfTZ7/X4DXXSHAWCSzlAcUOHW/9yviViwCfDwoIt2ZybI76hydMO3YPXbnFFxhkJK15azU4R5j/SbCULkJm2MuogboPIKn0C3klNp/pB7+BVOrM3byaeu5WgTTgou1VfYz4XPsPJPImAzc0riyHlZZImHsp24nDxZ+SGmCmxw663Gjw1+ThnUnQtU=</t>
  </si>
  <si>
    <t>HOjxy3HjvvYvPtQw/9ZStgRPENv6jQ65zFaInW/bjqTxlOwsyXk5Yp+29KEoWUnhQ85Zy/YAKbJnkmVxwW8RmhnzwW/zAJ9yUoB4mBnW8JhemQlHu4vH51kJ1xVWYrTBDzY7j1/ae+RMQDEsIeCaKUrGcMi9q7hNhkYcKSkJ9+DqnsFatPVLZ4Oo99p97xhJaRw58ANooGx9al4Y+/fsvbuZ02JArnDghzKhOJ8x9oQKj3xySWrcv9lNiSU=</t>
  </si>
  <si>
    <t>/gPhLdBmO7RRXJznf7tkt6As/UcJNILuTNtLTInjFKzBMkZ4IgEVHCAKr24XsbopcjfkIuq5KZ6f4DMefVetRUJtswFquLwcKFKUW/Onc+214BVPMp/rD7uV77kYZ+ACpfrq8QFfGCAziYuBH0TnvBB7oTP5IZimo10OfDALw6x2xnpfgkt+7LZGR2065vMIn47fqgndbT3vRTSyujMuZvDzKKHfPUCA18lzIYKOCeSsXSx36crZ3Fbw/6Y=</t>
  </si>
  <si>
    <t>U03tunIF6cWnygIO4hWwDbtIz5x2Iyzc/fZOhk5bqb6+8e9e8pI3JNJrTCbZG3rQRvJyNpCbYGDC5F5HBBB44d2tU4aQFykUsNErhdcPjfBwHdhDh3LBlQS5mRLeeal4GoBci/aSa42N/bxb21UjrHkn0JI21bYQyNpphCvvixPxvW/UmdUTEVopyIb2lZorCwPJlonkYBgkVtZYDGz2CiwrnIvlMdATG6MyiXOodHesEQZlwGHjr8e+fNs=</t>
  </si>
  <si>
    <t>lLl1VtJk8PvRHbc1Xv2LJ00uccrAgepEiX1pnkt3gnjZMcGNpDxt5W2CKBb4npUlwchc1pOwEzHBWnGEcaidZV30Elr124xh7jBF2GtJTVYnKtAOU0n8FbctDOBK50D3D53nkJbOFAsPLusBqjE1tpwDTLqaAqnZ2Vx8igJl6ow/GdxLNdXOwAsxyYEotb5vTTNW04Yu7s2rlDQyZbIx/w0hKK2cUk+alssNOeFFAzYVs3m7eY599JE6G+Y=</t>
  </si>
  <si>
    <t>f/3Yo9N6/JXrB31yrX5CzASdVVwu2MP5KzEw+GksYkzgqYyRFCGCWDBr6LJNavaUWgPRbpB8T9PnGsHhKeQbDHY/WII50p8Q8E5hm7ji4mxYb1/mG2Mlk+CXr6zATZWq89pg6jvCCu+tcWycmr6h3KDk0SDN08JjXXi5YG/qGIoOQMma096uS4JJBw0lyAyL1dH1zHNyTws+Aq8hrYVx1m/HidS85W6NsswcrJsK34hqHwEcq7cMmFy1Efk=</t>
  </si>
  <si>
    <t>MoZyh4FHMKtSTMHDRVSkKpQ4IR8desV9RS/BovY5CvTH615oM91eWBglqvMWShRVgGbJ+DwbbFRaXmK4ixCQs805A1MWUsLmGOEUJJUdoRpVd0vsuhJy/vCCg8KeenDfDBxqYyZ4O5WX4YiRSFRRZXztnnjToJzyv92DSzNRLcOJAHM29S3b/N36k4KSDoH36Eg7UPzqdIL4JZKSmhhP4ldb2d8Zx5hfkLyhFMYsTyvJA5v1naGrPVRVcsA=</t>
  </si>
  <si>
    <t>RE8fGymjR7C40UDT6g1Wj0KBc+36QpjyMSOeyuAlavsy2E5jfmxpNBEzBTFqk983NtSp8OnS6OReWYWAAg8nGC+i5+4/X5x3VXQVEJllrw/h0h26mIkVQzXAI1m1mJFxrSqw5KypjlQ0nPRYRNrFNQtrSgj9rgpE5eFPAxoxIaDcHMtEauAgvxkabsqskwN8hKdO91ocR3Jw4EVJK3AkWt8qmS1qFK8UIRY0nngIthGYx3+yTWqBSikDlUM=</t>
  </si>
  <si>
    <t>/u1ByQ99NzgMWJgzlxuR+o7Abig16EeSEJiH2lCBIAxg7ikroHmLWGzD3NumSQqdP1iDJXx7kPFC3J97E/Nf1ZpfKFISn+LzTjcAK585QsVRzhmcw0ROswdCQXNbvO/v6zYosagbbrRLepxHBFxtlLhTzKsiFVRG1immMqBeQNUOGHx7ldhOyufqpimv/9qufLHms1FEk2dIjPZOdySIYhCmzVKDoI8gau2dcINV5SVmycVBq7FCLG1VLV4=</t>
  </si>
  <si>
    <t>HxewD3iNRujD+/43ib/dS4VJUivv53pZdOTQA/r0lhT0bm1fo2J18vYmbLtJW2zhxjsrkeuiW+1rf2x2PFVld+VRhAstIHqBoPxIwX9iWchCrCqacLGkekg3K+3I3dWgHWqVpdOQ+2FmcoqsPS/5r/SiUbN1AXRDL1zctQY31UiCA3FcdLdV2jnWtXahFsV9LgZWNM4FbJ79z2HX5es91yHL3cfYpkpOg5vNj79k+O+4qDwpc6XrBfleh9A=</t>
  </si>
  <si>
    <t>bTEDD0PGnz6ie5XuOjUJ5/S/8NUlkSOfhzf2/cDozxzW3EBLaPhcfPUjdnbr0KmywlMb9lFLqpSWkhuTrhij0LrgWh9x9K8LCgDKPjykPnDQYgjJaAvuuPQCv5Q4nyKG7TQ4chv9kKhFvKKzX4OOfY47zvFkx02EQbj2Jdq7qgBMbmm+Cu7AKi0dlys0Ea30lrGaJ/KJQhwXuUrqCoJL3i9FcHTj9O6i52VWG5qa/lJjWfNlZRXNwNhiKH4=</t>
  </si>
  <si>
    <t>HBOMWCo/45hMKQvsgnhA98eRNXqbGTnOvozhD7QxN2FueLCkvlD3cl8nJKUQ28O30cYQvI48LbIZK2piA4YUC0hxpEL8IDSWlVNTx5xsSDVk+5IDK5qxg7MDTia9SWxjbnWgQHwFZqK322PODujVlB4OaYmRlp3+KKpjOpOBWm4xsYMUk2M5oM1k6tR2wUSspXcayn2yewvVLI4vlmBUzz3T0v23223SMXbEjMNdOAlAbIwo7bV68mjX+CA=</t>
  </si>
  <si>
    <t>KxDISgw/ArurTg6P9EHU3eOWLXy1ypgDISsYkLNkAVCWbpekpO/Jgmm0vyaBpAC9802OXOXtN3Dysj8HvR3EE6SyetwlAKDUjZP1oy4pPN8L7wgghx+lWOGh20t3fwuu2IOh03FTxI1LVqki+9a/sJrBhczn17T6luDEHRkP+uvqSkduLjhvuddKvNS7sy/FBdNweDBJDktYrn5k4MVSlfn+DsmxlrJenOXNJ2pbCd2X6lQ9mtgKqYgVPcs=</t>
  </si>
  <si>
    <t>ZHJGXDiQkUneySDIJRlgHBAwebKauTLL5Y6gOJ/e65aClzzF2fJhn8SGleaQtm0Ue+xdFvONGvxWqKRepHVd1+78Kb3Z43JvqI26KN48kGUAWcLsfs7kyoTLR3yw/fJe/v34HQmLJBHTX3QskLCO1+Wvqgw/bGSNJ3fagVbDacp6C5iRv4AMsdaTReMuTIa8Pu04DZrswiMGR2wSM7VcMiauHcY4xUFR3k3Cb10Q1ZtCjg0CcGmwYGju9Bs=</t>
  </si>
  <si>
    <t>5TmELDiQlW8Nlt9/eAoANnTzaX3Ad5sDv8nDrm+YZhKgJgIdzCmX3iA6ALSvjaZmjnoD83UuMDMAKoWfSS/7A++Avj0l817Hozyn+8Svr1b3tfZQ39uofjPVkPZAXGg2S5Nv0FnivV7Wv3/aynZ90+cHPs16pSPpzCAtz/1BnNjwJnfy0AaWsZWyFOo9rXvCXKK9x9SNYCQnk9+OLeaQeMhTa4kxvXYyepJ9MWxtAxJy/U+QFb3AAVQddJU=</t>
  </si>
  <si>
    <t>xzsGHxKfE6e2/YYy7V7HZCTlHMphYCBBWEOl+4spS7jbpPu1HRfvcGh298UXExylV99X+z6g23QKT7cJMWz1JQz0KPtgQ8vm5QgVKlRHr0il5k1CCU/IwI3L76l9vIFhSBwGtj4LjsrVIbAJ3+4DIaealgJdqe1/u3rKm+3JNiRcIiYf2MDHehnL40TJGyQgIQn/pAu8w+K6+MrlJzD4+V6d3rijFwttjZktYKGg9ey6Q6DUfi9smlPCI0o=</t>
  </si>
  <si>
    <t>0JcbaTsd5mDfYIoZZkyZk+Wp3y9tG5wOEF9vt6vhqlhdT7MYMy6Deck8ssGzCpQAadJMKSqSOzqSeosH72+JiltsJGS8o6MWKnXSyVhEB8S6Vg3iBjg6EKdreaUVtMQ17m7OZIZhfrxJNmSWahWEllwMj4eRsuowNrFJ8vbhCoQLKInCDvgqOACZ72YDnwaADBdyK5UhuYVyo3dD6BAtQDbuoYlCoK3+A9RGzU/TcSn457wxbyRhIM6PuCA=</t>
  </si>
  <si>
    <t>uJz4wEuCbKHEQ+Evy3a2EONnAN0ioK4MtHjkQu8ICxsB4qZcK7CVRXxJ7rlfU/bQ55cpcFIvk2+Yjn0/K+er39vcNm3+UfHVhH7qw1L+jPjX6weICAQNhMNgjshko3T55qMhDhrrnVIQ5w20DNfG2UeeHyqLSYovBpBFJl5Hl6oBA2lqfYdytJ8Ha5WIXSZpCjV6PxvqV99BhkcAG+XA1k1Hs+lAhfvAnK2uw/Ta7jbCjLdiIb/tqWoyIwo=</t>
  </si>
  <si>
    <t>q2iQ5FNCYFQW9GU6aIEmSyYpFxo0cFcoWbHcPKw0X3TjFmuiLuspOqsBgLsFShdNyCINxUwAqH5po3raDcbnggf+SgdN1Idh3HQSIuVCe4+7jtqY+z6xWKecdtHjVOcdLAi6wFX7HqHivwG1oaIsRtk1iDNmYrYvslnvohiTbRtcKjCJns9xp8nl8c3WsSSR1E+KlE+ZLqFrTT3egdhc4ecqzrqtvaYz+w+O+90S2iGyE8LULm+Gt0RkTgs=</t>
  </si>
  <si>
    <t>cEii5JF9t+Z7SlTEhS0pWCF+KY808nnnCBapXwnQS8j5LG8TMrtgyzYjlirJFAIzyXkrflEAMvhFzPjVdyJH+AIRMX8vACu14KQ6G8bknM4yKG8RzahTW3seOwfv0MFJ82dnKj/7wHra2p76WVFjvsMhB/rT/z2If0xHmNE4I9KZa58LuiNSl8lYz+T3ctY+J+9W4WvhBvr9GiMnz4/ko+Zg/Isr8D7OXJ4YNAFo7D/DiRZ1cuNtopjf5M0=</t>
  </si>
  <si>
    <t>UA/fo0Ot0cKPid6mctCS8bSuwmoYDOB+0kwys9bcETfMc9ygLaoI1rHyVI9ZKLXogulHGFLfcQ+vLqYAtOLqhbzaGGK/r+1rRsfFe4aLYIGpm6dOgSFMISsd0GHEpUGEDfCyYMfputfK3H56XczRccNul6LtznqM+1bEsXe+zxdST3EpYr/ezWxTm037fHNWaCPEBqljX2fPpB1oeBxfLSNbLede0G/Jh2A01/KUdI6NFh1CKAFBLzlDLEw=</t>
  </si>
  <si>
    <t>VFuDD+VouD35xiOYiiY5zW3qp18+BBv9cq7+K+PzkeR8on0Bap8oDuHtrX2iPZETIG0gVC5msBbsMboO13IiAdVzER3VlHCQ2/2OxR3hIwuyODTaKO3e4i1x0ERfDMiMm9e9i3V8164CBTij0jH1czEu+mOujHYwgL2avqjaniW/6v88H4b8fBk/k+6GrWbCovGDyXZ55Fr2F/mFFP7gBLD8xgHwBLIj3zRhv6VFpKHpPAlfypsqkX0SSQE=</t>
  </si>
  <si>
    <t>KQSmAT8ywNmBKjxlGk2RGuhRKYYSGnDsIMEUehoC+iNMolkqmq+0T/vy7bJVlhPFYMAd6vdXi2znvQvra+SiuqmcvIR3QcHUY6M2m25LNsKfC0j8u6oAPh7kJX8/40d/xNF74KfPb0YGAd5kKTYKPPL9iUN3t5Z/096tLhV/QbeRmigMMP0eRyFiIms/yUIu5tkUmWr/RYJsxeBum+xjrqj1QOgQSTH+VlvueIQi5Ne3BR+JYPLx4dpUgQ0=</t>
  </si>
  <si>
    <t>ha4K1SjCHCGsRvO0hSIA/nmn7YXyirXTB2jotBlY3vZ6U+3iKysd7ZmvWmLkHu0maeLQKLeN+N3yuOr1zRzxOA10d6iomxOro/mT6oggfIjsvWpDDV0VL705ya+SnfYhz/l6cVV1gGww/oVNOUWeVheIc9oonlin09RvSH5MiboNTP8SRkuFKW2UXJBqwfYzx3zjb5yvchpRq70QIA/lsYObWRZnqriqU+tgciOiSls7bD4u6PF20rWXcpg=</t>
  </si>
  <si>
    <t>kZFXrrAX8plljNF12iSOoJODxYPiIMfc28XGNA/B4GWf0Ivmxp3NYE7mHyLGFiIR6kDMmDqCGQWfhwjRZuNf3zldI9N8iVIZbDCAS32bbP3AlEANvj6KysCk1fgUdPC+5NCfDwCttQsi/1sBarJEoQBzsb1YFsA4SQsR9Aiscob3/JOWOaGM/i7tI6HQg2ahjYJRB5ZuwJ8T90dhJQYxkpyUqnz9v3Hab3d5iENibSMSFf0EG4umX3Y0Sw4=</t>
  </si>
  <si>
    <t>lC/u2d17XjhHeozV1dmuoYEcQPZCgDYXMo1z2rwMENo+HH/DY95VeOSrYsQnA3YX9ttj8EuRVh4Gf5/z2K2qaeWRS96FoeDPp0UU+7JXkTak/P9bGvkqZhtatvX1MsR46b322VCvS6PrK7wPu5Xsonqdmvc3JZwFToe8KtP2UECf1Hp6VpH8EaArLYdSX1BmQCpTOecnKgwmZyDJnhYUydKRfHQk920U7iJF61yZ9iXRg7OufA3D1dcbLSE=</t>
  </si>
  <si>
    <t>xcCh3aCz9ntxWUBabcCp8ryPaNcP1d5DBqklA1D3VIYDhiWdxbqGCUYTrq+jVsQaE3SvFU6hErrHLBmdctJGnVJF8ybada2zjQgh5MNiLMjL3RUeYMFtihKzzOoUHBSfnm19LMYqMQl9LptP+4JmXakCG+Y9NoLmZUsE8Mfk/aYFXI19yv4FMpBIuTMCa6A9ZJ6EWLfUZ9yENVhIolD8dQWY9Vb6zoFhBVCny37Zc47HY4IA0wKuWDlaUKg=</t>
  </si>
  <si>
    <t>QApAKrl3PChVN6x8ebNHBII6bjFBoprDdGaSzSyK+HpG0kdEkCCtSd4qOxwVRU94sOoVUkZ2rDZos8+xSxzJnqB93in0dzJt9IpZzo+M40/W6Vk77jc02J5qhyMqdZv8OQ3QgyLc4UYlxAgFXgnezkvpQI1bb74jNkhmpU5A7ft/in2S3GMgFadZPoMytRzEnhU6kfhwLpTFdudch3VmjlwPuoY7tKzE2GVPaG9YRdLq9/Oo1VW8h17S/Mw=</t>
  </si>
  <si>
    <t>zGI+/b3qoKGyqLxE91sINqHqrVFOGH0K3oDZ6SF4jzRDAp7JxqixVZBr1WAtOtLzORTmw/7DEmgmejKGBnb8RfTPlZjYnkZn63g13z+DJgkYA9/yHcuh3GWZdNqjOluWeGFJQ2Kkd/yfB21Jpe8VCUPLr93tvBKHayx3T+dr9P9kRTuKlVQjeOnnfrYF4T5S3g3zDCZxZnvoOW9ow6Z2jsNm2HvI00olF/jMsdVrv7Rt3vSS0WP16ypVfFo=</t>
  </si>
  <si>
    <t>FlTiwn7nlqIyYscAEBucQ3JuXDyO/3rmLgUpiwThu+M3LLjGCv0lP1WmVnJVOYfgaAu22cgboqedHFLBIFM5r7hVFqgWJXflX5stcHBifoQD8vYJBHQUQGqL5sb7VF79LHeiEKfqfPHpGuuzAsRprgMYOo1Wl1nfAxGqMZpBL/YUIm1w4/NQCbKL6huCtRV79kLCiBGkKrzXtskLf74uVrxheFC9H138Me6K1G3OgawlP9spqfRrwwIwQYU=</t>
  </si>
  <si>
    <t>RtHCKHk8oZkrRmKovYUT2npAyV5td09YJ3YzXZ0rr8lpdgXxAb/aVSEtiEZEyZ7BnB7zxu1OJ5HKGuB8ZTbU3B87QP1qktZjj8TfVKwM+WZ/B5cihPysylLx36WggZSx1IrEY/SHgF3lBGq0icZPtCuhVMN1fUESvv4OPeQ8XUPjaXGW2/1gbbNxVNOBuBcsJNjYvON1rjSTV5jp+AOX0fDwftm91j7TGv94vjpxaMgv3ovJr4a+VNMT3CI=</t>
  </si>
  <si>
    <t>Ur9UBGKX8E3n7n100zzLm/OSkXH9oTWhrNng7BCbl74BUFOg+QNzSM3L6LzJSHGUU5IJn4aPtjdOa0F/teoIMb061yW0fPDFgFvr1s4VXvmNmB+wqCO5vn/AxWP9ypqzJCVu8bot/uUY+kUVs8UKc3M+pBepzFVUxh7xLGOF32MAtYlDZfcaOHVL4rYGnZKGuwNmAJzvJqNGaF0+CVdV2mPimgc2ZH1RwhjIzN4+J6z7/UrYxxn2wwyie4I=</t>
  </si>
  <si>
    <t>ANFhylrJKZGokd+ni5krkmxfTaqOZesA1mpD1oLWhwcnyJszZEd+TT7A7PiGO0CWP2XZaG84zH3Fz9oiTiYrOiGFyzY9S3qd2TX2U0R3sE53XFmAWWjMsN9PjOneH0jlblmb3TXhL9ZJ0YHLzeo3XEN9RHwUi2OzThTDxF5Z1ZNJ469utP9mqVrMG6JVzDxhDmIkCRbXaTqXlmpMZY3pTOm4CNxP9A8NZkie3zuEKBlkQQxFKez7dvGdbNw=</t>
  </si>
  <si>
    <t>9AgKAh9KhdsjLzr1q5djGp831jXFpAzFCce38YwynWeF4+8qXozhutxySLoTW8Gngg/7GpPcWTVqcHSbLAlRUcyDSMAzEXRaP0Kbo7E83zIXAqADxU0ocj2ayIo0eo0Z5JwJl22ToP68vusSvfjBZYEtihrJ5ozdMal6z9iGpLlxCVchEUPnm2Ro+fq/xbhlS4fPZXtTxyoywF/gH+0DdlVCntdaDvnskIeLDJagsybNZwNWSxwD5hmezWE=</t>
  </si>
  <si>
    <t>aVXLE4YWFfOyNQOUuAwVpW+hU3K6veqjnwlXRCs9TaWn/JOKQi1DagAnL1uIP1PnAhhY+JyY3xNCfosjP79EQsrba49wiRXyIXe1fxhv8TFqag37gV8V770cwWNqcc9B4fwbonZ5iTxOrRGxtOK5ZiiOPPVnkWGLTEuiYO+vc7TlNX+NYUO9WYRSaGPVrSY3/mCNaL98tj9xM7JkC4ueq92XHq5/gPznCkvBOQHtIoay5XWOG/1BF7MiF/I=</t>
  </si>
  <si>
    <t>Dl+5LPJdHiJarhZGF6J2ZmPOHkphakX6vCh2v7zql16yJuQDDtG46+ENQvWHG/AfYN2P8KXwOw7E6ar4sYccyfdnZpD75cCKVeVS+2AzUeSurQdOmplyun9POUpXCKnjPz9/gBOIfV0xYiySaoPuehhdskKINLTZSxsH/K1nHTcevNYGP3uzZQj8uaYL0D5EXkjsjxObCT4uCXnTAb6sS29iv39eOWQZJIdnvz5WhaBx3gg/Ssc690uEfTc=</t>
  </si>
  <si>
    <t>sDsUF6kQLmH65921AGlfMp90SIDscjbEuEvEDTJTTn4hEX33+kpCNUhSaI0wNzHELK6UDLmZiTlE08lxXQjlmqyzmZdmtsqLFZvKHafFttdT1zejKQ9PB/zdLp4gtxfHJ9vjVl6BM/mE1WFmeiGsLeDvT/yYBwBwXziWlGH8Qvcn/zmQ3Z2zMVcNPnG2IKNTYUpF+YKWKPvjrqsCZ1ZHoF2TXYIZnxrFB5JbLefv36gN/M5HG1tvtcN3YnE=</t>
  </si>
  <si>
    <t>m/Ea2N7OG/+47Zsytx1hCD6nFJ499NHXIcyjIUyaLK4u18HEAlrK5QB9p9NNYfu25f8qfomG+hU9Oqz2yppxczPL3E2heKmJGdWsQqHrquZhfi4cXOvGimkwuWY8zGoO/SOHRAwkV0PZQ0IG85kq+lLeHEzSrBoni50RpHP2MvZkaMAH9u1LPHDbTAZhFTDh/M+tfjC5qDO/K09yIh7tCOtssrsloOQDXaYlv49zjqYmvucI64LvN3nhNdA=</t>
  </si>
  <si>
    <t>rt4Gf+Qw5V1ZIzrfJBzE7ZKhpaHy1L3pYuIRal6Im9w0FDL3XBrMt39zxx2p7kJ2fON5VsUsCaGb6zq+f+T3nVVK4fgzA47WZTgTTr/v+BzeNw7VN8LqESG7OVg77JaIwGtrW1XCWiD8lEBdGwEtLQ1RNqzDg1NMtS3RaUJBb/mZuIWwDmmVTBjIvEdcFIF7xaAJ58cP3iEE4XxwjaUPNa5F5JRJFvfcAR40ZRAw8COVQLkB/aLgftRdH4I=</t>
  </si>
  <si>
    <t>DvX6KdEOykhm3cHJ+KJnA9I+EOJ7Rn84mppD/Z9qQ8AibusMo98iC44td/kEaJ3yqaUJzxjcDaaiowZmEjRSHrol4Ek8wrhDnTEdNphzUCS2+jgM3BUGzosHZL+Xnd41wML3GJFMp5sR0Hh05Qd4ZAAecbAk64GVQsBlZwm1Ar/BSdn+8x4lQTwEIxCghWEF9gcRtjhyrNYNigLVAhT8yPseHXlg5eiqV94Aqvfmz8yQWdpviKGmtCkYQyo=</t>
  </si>
  <si>
    <t>XfvoYoTaPphWpeeo5/MKlfDVC0D92uUpkCL8U9CZYrpKpISicuFPZtssVU3tBxzXDONe6cSgrqzUl3F0sBRfT0as6KXq4wS7h9ZWW9W80tyBZVt2NO9g2uQiGtnU98gejkkaypHdSM+MSFkZu51Dfb6EmT//F6oBfm0fYdvsrk0AZDoPtyj2HyJNqkz0AZwobD3+IZlERSQ/L01bf0dsrUuuHo/7QipqccXwIkywZa6Jiw51CQXPZlukB5o=</t>
  </si>
  <si>
    <t>rzcHxhgsYAsn8CsQeLclK5gHjKgRQc0tKwHsS71iTxATVU/gnRt6eOhyqPSw6qQHWlL/EegSJ47KrWu/ltpqI2N8yVbO4UmdeCd1nytZ90ZVYcZiZLAZl9k4E3S86CcJs7VvOnU+f4CEFyH/9jX9FfOZqSE3eKJDTN+igbb8/2WZb1CEqBZfqiPaEJoGKqnJ9+EtbGrUf+tuO5fF2aOgsFEC9SyHffNQ9P8tVoofQTe4msLCQ16CoF5BM6Y=</t>
  </si>
  <si>
    <t>smZWEZWUkSBPMpUQbmykOREzlB0DN2oad6wUmAQR56g9JBj1ckiuaCv1EWYnoXyiZU5wHiV3GNN0x9uUt5MjT2FUtgBaglYaHoih1f7Y02y5hYr7sNIts7KGFogmCIwnJ3yjVVP9kJVz8JKTnzfcPnGjTNKVjCRFpyC+cGJOhVy1RDfSQfXN5nbg+tR5WtJ1PycvwIWsMuP+fKWitf8s90Ezn7k8xE5/+NQxv0OBQTns9lMZvH/D/7Orl0k=</t>
  </si>
  <si>
    <t>cALuBeQJ/ryTHz5YoQDmO2/Z91RFk+HA4lzqXRqmhJ/TkygyDRyI7d2OtC/sO5QQOe1gw3qEw9mMWy0mS9jQ19kThI4qhuBTnLq87cJBHUfob31laQFNCOm8Oo9i1Lk1ZAZdT8J2JL9saCisIDlr/YGZUjJaH6QIjVvkT6djxuG75uZ4jvm07jtgc1GDvfbr0ndyXKv3Vvyo7sY+O08kajsYJ2PJZJAG/xwlNJ+Gv1fQUtfANC5glm1EAUs=</t>
  </si>
  <si>
    <t>Ku+7a4+mw9Jt2dm0vIdAhrBJjGjOmBcZ/WyTYqV1lbUs0tbpTkx8cLKLEn3NrqyMPJGdj3uWHVLJZJRxMTy95lIMJiyu+/cPUeltxh6eCVLsfoQDBw4wSYZ//NX6rIeYVuUCyR1xiHegbfcjh7WaiJpSoZvZihoRx7dqX0UJME0kBB1JUQckFoquafvNJ38XuW6LVUoVrcLjKMa7XpBaddR15sxXnf+WU8w2EjXDdD0NrmPU9g6nDQSERZE=</t>
  </si>
  <si>
    <t>vH2EzG1LRiv7mAUxlmeL2QY4wnCmIpwAYMtKmve1b77ZnQvzBpuKtU0rwI33ssVzFdL/ICotldPbHZKFqGJ/phrsB+yeVAH4goPVDfsywVWFFmtHtzN4F3cUfcTZ2eSXMxsqITXTunx+6d40OS93KNyzxB5evKp17xYuIJmRmR2WGlst0osueK92T741v5dE4U/nK+3aGyH9wj0AlvrgYOM8u6bzd+yZynZ1rGA2EmQ20pHvYab9tMCgRc8=</t>
  </si>
  <si>
    <t>+RA2FY5lR2CygRQU6oitftMWGCCZSafG5jZP3AfSj6zdNhTrjXMprQ10VngIm+pV16IDu9NsVZw+wnLuZQhJagq7SfHPUU61Mnx/Bj/etP67LreQGeuIu3N9Tr0/f577nQmHa9oXNjr4EzXCSh6aHodCRO7ekIR7gg2VuQAIjJADa5m4Pj8gv4I2iBtfy3SMMurtVOELst0ljDnfmIrJmjCuj2nLUPoipn/WekS5Jr2/QwhNU00+fWg/jCE=</t>
  </si>
  <si>
    <t>wt97y9uellkEFLArgDCAXlHaNuNpj7lpCKHKonIjkhfWTn/jqxlOtUNHfXM11Y0PvsZL8mh3LfTFdgb31WwkRNUNwLl1ffd7R7DWKFqWlJBnGPyIjIN08cJXKM5r9mQbagOKMssZML0hlBbxkQLiWY+k37P74+zozSDmuLYgcvRgdTIg68DRLkN8UM023C5Xi3JUfSW9rVJqCBQY/AVbhA4lfmuB7c0qD6wEAQ+twFV3IbFC560gseGFo6w=</t>
  </si>
  <si>
    <t>x0erw+GyBqMI6e7/aqabUJdCS5vvKcQnMNSlpmzjrNkScjMMQqLwc75XMJyjPC7UpIeKnC+3UPMM0Mwsrf2WhzwzAiXbkAVAvnJdpGMHWWpzwn6pibXCCv0Q0GrjAhd2yMag92t4EjbncfIU3ZZlkvx110TILm/tbc/uTNGDKOJgXEcv9dnZ2XvYHFWzc7kqO5MU6AKsPU8r0/FN189g37uzIQv2efDaiQQ1i7qOi4KmVoj4C7fc2JaNfvM=</t>
  </si>
  <si>
    <t>NCmwQYP5twYqm/QiFNgVh2/qd7kO7AERjk2nqlaocznUVx3Mc00jNs+vF/lEoXA7CXvGb/E2WbC4WNFRQ2eDf+TRXPuuFKwynSRKnn0dhky5KSCqiryPMTyjO6Ip0t3/3iaESEIOe4vv9NlO8dBtwJ1aLm+NGXs2ual0t+GXGlxmqGYxysSZiZjg/HlzFUDBUybeO8/unYFYe8Naldr/wSmTVmJUJw1RxKUGAwakMEoQxxUbwptrrwhhTXs=</t>
  </si>
  <si>
    <t>6lc0SGu9V1cRH7SEVLMvK1mBmsJE3mbp8sNi0ybCgYpOg+UrTWAj1fze0+x2XrH0xJwKhLArq8TR2o2cFLbTC+TF68++IiJSjvIZYfOWb6ONrekQezBJgaXeU6G4y+fvRJ22xecc9x5A1bCDoIQ3YdYoF2e7dAFf6G3VDuU3OsaH5HCOUVJq0IjgdUoYUduttN0oFyosPpxFGlz2SYxUQW2EzRIj+t9/jS0l0DRvuWQI0GvlQ3MsKV2hW3Y=</t>
  </si>
  <si>
    <t>L5x5lnY+mYk+/bWtSPRZuLyAlzKfBiuJycxfbWTFysYj2bccwD38G1R4Tf1vh6Xz5O0ro01ebsZ5ohK6regHSw/osLI6IGLeoSNqZ0CUfWtqRiqN9J9tEO8maZYq5vPMwnu1Mtz4tkXLJLXk0dTckUYQj8n3W66y6+lwO7JdNx9sMhZ7c206DXH1rxVhUcc1bXhifvjtuJaZQTOCNyVjbaS4AQEjJETppjLonB78qv01grqjDYkjNzgh6Ns=</t>
  </si>
  <si>
    <t>D4cI+/cpb+c4it4YnMdLgjQZjlpEwWVb6MgAX04AraUUO4SSSHqm0IeMc9CwSASp1VH42ETqwylpITVQCZoLj1Jnv7WhRyAWpSBBcc8wjKCl/siPwqEmOP6IGODMNJwfTWR78V36u83IaG3WdnusRv3DUfRnZ/iFN/TJcReSG6oM5cMt5VyLtPkLt9NJ6dViyWwUSP4FkIRklKZMoUjAGs/HtAcctLdfj1n1MfRPns34m9dyW2NYYFKfTII=</t>
  </si>
  <si>
    <t>YoUYrNVRfWA2boOGlRecOKSs+WdvyzwI1uWwdaIDEO/ilCJMsWF/mTQQk8Vtyz9eB3eXvqvsCENpD7LUV4sknZWXjJRxaZYtVRfius0f3eZRPnSpWQoxruDYi1KkRJbi7t4An0w1eo1Fjg4RyoyMGX8TxO0NvgJG7MKWiVA6uiK35T9neKxxIsE8tEP4pxAs/9x4mfWUj0SPch2sPHn8GJ9c6w6d3/7zv8bjm0PERn+JUWOjSQAM0b+8ziA=</t>
  </si>
  <si>
    <t>eLVGJXYSxyWU2uNn5S7N0kHm/lgw/Ib1XB2jHzwYQlyRRcXHfGL9vJzR4Sov0Ilvvi1D+N5UWvyW+8sfSeWnKkq9a7bh3NAhZAyexp9dz5qMXyFRRniv1cRZPYhTgF2antobf51Y8Tcp1ICYY0COku0mnrPxDtrca0n95B5c2TfBXOgA6x80kGQAmNRqbnzYF0vOu7892TNpcXzuouen8opPfaPLyK2lcnP3jyyi5kbLTfPj11BhP6QHojY=</t>
  </si>
  <si>
    <t>2hv4JFrazxrFV/srPmJmD9vmzgnCu7JGWi3ZojsYGL/5TxUL/Jy/vN7ma5Kc9gCBRyAPwSXovge6NjCm1WKLURYMsVMrUwR+0Q495tEBCDWBMHiu9rD+dJYSY9jFY4XD22cnWqmU44731M4+x+qMEKXzfVgLUjDzE5qPgrWe0C2gNg29eSvRWjXFhpEGCHEzRsVQwqwUOFnktYQEA+0EI0oiHn2hHuc7j0H8O3qWcdC2mfRMHuGU4YkyCBY=</t>
  </si>
  <si>
    <t>HGHjGL4JZ7avqfTiZJPygviitOYglN25hsYZbRCl2jU+CI6q1alTCcMnb82k/4r14nYwfh+/DgL9WfgF6Ex5iamz5g0sTQyryVLPwD2BDp/MMn/bh0sK9FM+5NPUZu6Ov1HRXVAVNnGCU0v0VTK3XxT2iJI4jeueTA+pd3Z4vBea1cjxPbOpnD4MwJ3dkUCGlCOLZI1an/AyskMtqwAqdsjhWG4CTxZ3iLV//IlWc7hZvFbba5K+v9lHfHY=</t>
  </si>
  <si>
    <t>bNOPdQqmnAbK900C01K7G/HEHXAnCmiKyNTODKUTXbwKCOM8Nh7h84XyJq9hNDAvnkwDA8yxaxTDNqCljem9qtfdN3G/NhqBLZuHZkStFX7DidlAJWe1joo6f7sJHuFzafh9gDJsT35SylAsBBXAUQuldadYQ39wHZuHLGAbZBkhiqKEspqQskE2IKhxG8t6AmVn8t6XdIsAgUJa11hDyaRnF+Ol5LlZgCEEjwzEyIPuWAbsOVCpcDCU8eA=</t>
  </si>
  <si>
    <t>vLu51HAyaOo37vNyVIdwO/9eQRf5HmEFlllDdCLxiwMtfBZ1r1xBX/FCh24ZDAzhQpWFs+Fg+bsXqb7MtaKSZ8MsA4iJhNRL1VAiL//hNbJVTSFCFZU8DKpbRG2IMjr3uvK0BTxZNDHu4cABLOUZgJgz6uC4M2B3Pw0mh78HdVqSvScwf8z/qPErQu9Sj6BF/t6PF2PGmEUv9XaWelXMhLDAZQ786T8bl6z0XJ4ta2txPICfu+QdToC1N4g=</t>
  </si>
  <si>
    <t>DTKUYobgCnq092u5O0xoSPweVGz6VoSGMBZJ+NiqvFaWtnSvqembLV3FEei3oB1lc1nWiOVr/z29EFjZjYXQ/F7vCp5oW/qBjXTHEBBFiIg0Fp18Sekpuv5BGMQPlQ0rVE4TUoDkzYtulsbP7ECdYKEujkeIx02OEIJlH6imhJwqqwCAbXdIubyc5nQnYy8kPU891yi75gmh8ME9QWkX0K5+O7jurYpdaqUkQlsp/0RneA7FnJRLXpJ/1fw=</t>
  </si>
  <si>
    <t>H+yrbIe4NLHpfPKQPeMffMuGl8XNESwK3/E8giJhzhmXG91q5wrFljMH1rfY9bBnDZlVKNY46lt1CGzmjnnT/aYKV2e1JQFQHyDpYEBIdsCgeYqymA3gk9IPc84/TlcN0nmZ0vdfWhsEjpE0AQ2Yl/c+6DgjpFVefHdQ7zjTHljqttjha4mqsfgapyWVVPrTU9JuygHwS59VErBqkHY/hnr75O3K13ts+UxXM3MWGmZUaDubDxy60d295t4=</t>
  </si>
  <si>
    <t>uA/2f7AuGGpl9HpVcdXsG+00PxdPG1THYn3EIv26NMbnTHsZPbNeooOzy8Tu1mYeccfD5G5wcInBJq90U1jzRfFASxvsU78TD75cqFgv5/naoRxmhc2gfLJs2/Ej3UMCh3Jo3IHBDN9H3uQH86k6AWXDxgYvqMmW53tBjQKGov2rP7O4DVt2l/rvTlLhFLjMUUerO1JZpB9IFZLg0muqOrlInyTKuFrzJJkLEsuIb7yeitX+NFfbehX/BJ0=</t>
  </si>
  <si>
    <t>GQWjz1LgoY85UbSnO4I9lT9HExB8dIxGyWfBqLmVv6CZuMXpJLMZMPj/bqubhFE2ylRsms9t5d70I5nwK0hLc2zasQnbHmOG7gzI+AQCbSSYFkk/g4smyYscwCXI0hWx92arvWVIcU7YB9K0ZZO/asyS5ZGKrxmUIasLg/IFsML+6uFXV1WtTA1Jbx/GNKT+soRR6qw1xclB8EoYh5gPa5eWjpFDaYUcAAnjOszgQZ3vRdjlltEMaXNrXVk=</t>
  </si>
  <si>
    <t>CrTAvcrc9eAro4TfaWKCgPJTVy2eQapu9uAEXymcov9gNxfgkGsW5qr0Uqk9Gk0iDmzc9sOVWHr+ubOqOh3qy9XL/+xXoxQhtFqT1K7COtabdJB5EAI4HeamS6JIcigVtSPOcwOcjqE807uZxcaZbBH0mkOpIoHsC9hieuzikHjVZSFz0zhHzeHtlV0X7uDT8gAB+e5ADbCTfRaNlduwq1eUxS1IdUed2nceLZTylVFFY7/DMqM7UVnyBUU=</t>
  </si>
  <si>
    <t>+VFj9HeI7BrklrYHvIpC6zfD8rBIEtynpoQStd5KxCILXdC+QnlT3TNsd4mGkVZ2oRVyIa+/snme0/hbMzR6/BTtK72bl/3bRpv6GjFcp1nu9k9coabCvGcZRdRLOA2XAhCz3Mr0UrxhJXhAFbYW9NDTYgCtyP1h2hcUaUpiS+rWyfJ0Nv1jsmjY3ueYyDQmwzTHYj4QxeqDXa4HnGj+r9jY6bfxxC49Lj2h+9bpfPVFt3osNb4KPr4Cxks=</t>
  </si>
  <si>
    <t>nET9ZI6dIxCCfhehZE7HdGR5IZkcKfho/HHMjbvn7ryLTcvpFpgLaYXIPCpWYr7wJMwCV/w7FqLuABDR3yi/5ImCO67Dn+aHhsIHlXutE9+wbFlCWCgPrjw2p0rGPyXDz72FVkGThqKhZB4AHEDWR+czdm2QH9jQJfnuIo2zupnJObesVJ1yoGp2k5tZFuV0WDHC3DDJzzO/V8NTw2/k6ITLomMjtxnWIyc1KnGZPnezWOw1qRJADbUcyuk=</t>
  </si>
  <si>
    <t>f7QaoVUkxIJPDWuvjAUbDi7vb+dVfJuCPE2Ny3zZBqc9uNP0Kj+W32eTPLr7QCwjITgaU2bHjul0/mrseHeZtUSHvoKV+rI3srMj6hX+bRKKJNTGSOze0c1jdaSer9Kg7wJMOOn34eFfj2K4zBVVotvZ+qQrPA0X0SHNwZ5/m5eAcF/I+poPO6Fir+5uVpetKGC9w2CRUZJL8pJK+bEWsQo/CR+zd6egkHHJUa9qD2rQh3xvTJ7dyzJgeT0=</t>
  </si>
  <si>
    <t>Rw3Y+f5O2VY0ITnFEu4V3ndKy32Y9MymFmmnTfKxiVfiaJOhDeomU0XPtIcWketlx6oFjTk3DMC753mghH0heaweejNpjz5aw9cujlGZISp2phPUKId6IrJca3eoV7Ne7W0kz+rRg5S/7LXpXJyb91evAFGOtXyRtjpCXt3Tnj7WrC+f+YqOFeOAJpNN+o08zf960lADYH7l/+Sp9Dzd+JNQZZjs1x1gTj4VULpPHyvo5g07jPzHsSkDZXY=</t>
  </si>
  <si>
    <t>Sz7/PYdq/39H+nZuf1FuTxT8hFZgLaX28k0pUYp8xnOYLDE5Y38verOI2/pQrKUFD2DMezcXY292QYo6YVtF+EToLaqFsoW9wafV8Tw2X7mq/HG7qyadFa9zSaGHTW2AsKaj+hAfKynW8tsm9lhsKgROTe+LU70CJ6IPIhbb70NQ/mGT4ZuEx1/J4PITrZxJyKQ3krdznGTedrE07bAiqS2i5wzMl8Qq9F/VppzWibjpVRcdWTwy6jrhHHQ=</t>
  </si>
  <si>
    <t>XrGowwoFrvTLcWNbL0LP/x8l8imWW23xzjaS8JFG4tNAiLASJiPVbo2RytIaJko4dzu+QbXhUWo06Os1tRhz5ZhL3AORU4+we7SZallqRj4wxbxT0lmyyvx0UpMJz5hmJu5/stG6DLo7ibmvGwWdRfLimBbua/CSTVJSNGQC0Y76KIQ7GybhQch9f3UjTMgvnjIwRSYy4X9wSHebqcm7/XoV0zpXSDKcN6ApvPDoqVE8qbEjbQNBiwwzJIw=</t>
  </si>
  <si>
    <t>QdidYDqN02hB9rbMl2I61PCy2mrJJ1o6t15aIyu893L5V9DMoA1ztK2QK891WC1kxeCPF4qtPvZRAff0XXPzvtI9wP+e+DowvxjZ5pVa7PKgYwWe63OCGI/lbimERfnK1VnB/JerJhdIPW5WhN51cvsvhkIyAguRZAqOOKvFFpOwSTTJ9EqcvTQR8NuAJFqGOJCGH7n5tVUZjpxjRZOpYjeISkTP16tVqXQmBBwnBcynrM7t1XVHR2BW59E=</t>
  </si>
  <si>
    <t>zpw7DV7/JmfNy+dBm2rRXQs6fBF2JwTHu4lNSKu9sJN77OYxRClAAns3uIRbUjGVrNJBBemykj9JKOkxIXCCPUO2iT4s/QARS2B0ivVrNrnw6dMaAQJ2WUr+rVVPLDzkrwrk5T4irghPNTrzb38nF7IQ1l7e3RJv3AMWZR2D3YEGVvLMDpOUZyUGXgKbz/ZzMry1oZwfclMbXMH4KuQshDMi50Mt2I/uDP0NM7wXGMhnq9g1JmxvVKjd26I=</t>
  </si>
  <si>
    <t>QifCYLJ/hFbDDb1wf409v3Sv8lPGepiGmDTZRqubGjUKp+Dcgwdsi3HXUV0C9BkrU3AoD5tHsJql/1A3lS9nCdhcQ6aMHJzFmN1j8WjaYZ7a4vpdr8FzSCaUKSzNC6Fj/KblDspsWQuwOb5WKkOnMkbWdPJ9+bi4bGRUPoowWks37V1yVXt6ohXJBNr9JTTd0kFXwGR+LaIsyxDAtufo43EnMhixT9QR+/bpTn8kPsoWyyF70WvwXL3Sk2I=</t>
  </si>
  <si>
    <t>KqhbupJxmvbeuBefGh0lYYAbpXxGWj4ODVL63AmKZUZ6ODQYBP51gACBNvcxW22bk1rPvhh3OW40z3frTLdwVmczDo8y0L80hXxhZl0/37e1MJRRWqyqEmeaqs2/GpB4xcP71wybTMdCq1MoIjqEt8oCdC/1coTv/fzM3XM/GeYUcAjLbcsix5+gMDyifCHu7i8aaQsds2vz4s/Tw55H3JcPgcoK1Qi78vLqqW3o96+Gmx2xU2tmRw/WEXo=</t>
  </si>
  <si>
    <t>aZyf2/WklpyzBKnjRW83ScMcOZ6zmwiLZa3Cw+Yuu8V6LfdM/uZBnidzg94BNqVO/i3b9nysPmYUxBKylADNqDMT6mr1JO1YJo+FnwfZ39C3D4R2+Ln/MKJM7lLSglzZPzagY8Lu0eTjZb1CDasVkFVC89qyhcHOO01tmOdAxD+yOe0rmXEH2j8p244M0fngWu/3ZNrhtvEEGcMJOgktzjg3aRJP/IfjwRj/XCfzO/ftd5kzc9ZLmcOhndE=</t>
  </si>
  <si>
    <t>yZ4msqd1I2nDZ3Z6+kQsKDAiQOfqTdewkcrbdwk5VG6VmMyHtw6s1AtOgRFq5igc5MVBwQ9SKg+H7BZmvCX91oJI1qWjFbv2srVZOVRRGTv+8AkOA3XYAb7rvh45L3WrWDFl0SodV/VH0Yx3AU3sEaoHtcXfVREOY8BI0pM4eo70ZWr863Nd1G6AyG5xLmtLDiaxnPDSIOOVJLd8v+OUOWiivlhZ9W0P2M3qrsIN8wVGTn5EdTucNwOdKWo=</t>
  </si>
  <si>
    <t>KYI1v4/HbQTGHg0JglS1kw6eL8SbDiJ238sK5RD/mQW34MpadqN8MqViHedwYtWl5qfzJ00usBSb7yuno3ulYxu+3d71LUgUL1ACS60E9PS5+8y8DT7O1soGpe6UnBWhVuC1cM3wvkyrsoZ9GNZbP/wHvzBhIfxnvu+/5jEKezgSGHIVmF7eREbxptMDHB3wt6M8062oBLWoe2hyqmXvbEuq0Y6ZqPj/Y0ar07arxurcKRET1H25FviMYZQ=</t>
  </si>
  <si>
    <t>OTx1ZFeWvVZRiQ7R0aLmQFJ2jXtUAys5TNLi5VhkA45bns+pTK8GMeqCcZSeY47848ulI8xc+7P4rs9LY9gkZJZI8HKXYS20gTej+nKAuoT9CfVLAhyHnXcUX6owHxAUeg1gb3Ny+OO+FRFSdUNSXBOSaQS/OjIDTPGYS1AmAFZWfRvIwYfeQQNrMJ1H+hzig/zh7iCCMktMT0st9oQ7m4GlZTboOLqOMqr+KW0EeOZ6enUNANU1NM8LVfo=</t>
  </si>
  <si>
    <t>jy31E0N6AS8Qb95PNYuc7BoovdDkJCKw3gAbztapAzwCG6nPKkhcRdaJGaw/jx52d3S5eJFmPgmQJII7/aeWGjXfe6enoJlhIOBu8+MjbEiXc83Tn9EImrTKgNQ7THiju1u31pSu6VI6xK10yWmuZ54NLOkp2j79fbdk97/iNs2oDL98V3bewATTo0JPA990Gm28xBQycZnXp4EZeh2YVWbNMtZcY1s2o4vmBqefMpDecOd4tnmW/5WuN4Y=</t>
  </si>
  <si>
    <t>jbC5IOY1kt4yt0shrYEcLG36pdh/iE3KD7mrWBhJ631fkA1/+cm8+OZwLB8CEywEq21j8kBQHM1782KhA8vjh0cyOXrYAI4TZ9hnUU7FFfEPSohsNO1t9mQqHjBGag1dYnNhhWiQWyYlUWUq4WPr/kO1sbSOMUbb0Etq2UC9q4YxqZotLGnr2XS/4LB8ywghufBP28cOeX5hhT0XQ3K6Vah8bVyQjxmJfjtWjlNPcAUGUHYZsHybueGSXpU=</t>
  </si>
  <si>
    <t>Ya01LaJLQ4OG1LaFsvCydhDwAHzhCur99dKjVFYONqmSsMQvJwAycaGu1Mm8hpnMjzIfbq4qAcoI63tTASOOMnDKzCGB1zr1gkKL8BSj7d7mttDjTsYNKLr3LZ3hkLbuPLJGgm+K+GQkwNa4N8ITmlY/NabnkgSRXL9jVVmyQj/Fj/7xIyD9yAVJpgOn0A+cVRV5iLdbPXJcmhPpBkw4NROPLhVkZ7wtVm6lMDPlLdyfQukPOoaOrgwsTDg=</t>
  </si>
  <si>
    <t>5sG9ngSOjg82+2dSkBZc8JTq822uWCIFwWiiQcjBLIFEVgVeJdc8RQx6vzZ07mGwf83JbadWTLe/4fvMKIqyFGIszvTnQDb/IGdQOidqfBAxbCFUMY68tRL7YIGB2Vt/ocBp2CWOZ3WNdf8podvPidaycmMr5Pc/8boBLcvVkg1Hg6Za7JKv+uKcuL/tHoT+jphvCSurxPO/bidLarjZuMOOz9NpmAlbtQROEInySqtiC1DWZuF+HP2G4Js=</t>
  </si>
  <si>
    <t>iQJVeja9D2FLfQ67kQGk6H2eGndwkqsLy+MO9DJ/n+KnreOkRHanbVx7dbHX3aP3d0j4VWlTkFp+asILw6znajDipwEq+Mt+17spRL3RFSz6lUE+aefQMlrbnMsnFOZ7ZRVUvkhUAlrZqYmZrSfpmSeCIjYDrTedkVtz0Hb35StO5tT7Uurj4ssPbGyqb+b+6cMnnRf7kePWpK7iZsZGRZGLwF3fOGa5RxigCA9qIcKdboZ4MhulwxAXlwA=</t>
  </si>
  <si>
    <t>nsVrRudCAT//pVH9BQAhMbjkgOHWODrc3B5gu+uLESv4htlf+0L8eyuoJuGLBeGKyhvZWgcIEtSDu8I4yibkcBzDkng+Lc2yZwIPapO9wY4xqPQOqfbBKopJUsM44DFDnxlMg8016cfHgBh8B5rWBSOzc9KWKWPVMJQKuBwrqGrF34vZO0fjeZPz5omaYkAYE9+B+eWRHj8COFA15qIBkdr7cHgEenGeCLSczlSPv9MWWf84Dzoqh/wtl3c=</t>
  </si>
  <si>
    <t>pNlIg+n8hWzAztPp2U8PErHJw1EfehLs6sb0/7ikLfWMMFS6nqvycN7yZeYhj+uMWFj+uRwpFxIOf4AKq7JIFEwosi8W70HTcHLjKFimyHT1x2j2ifogB936YSV9yMx2RWs0wHuKCIUxXaxSiKvtNxyNdM/XYFJXgzByGHdyp/xLZWBfwuWyO+zRZnBLgonRDjAyGNaV9qaMU8e0PIZxKxzwwQObWwC7VDLlHJyeeT59bhASy8BgcHrrfPg=</t>
  </si>
  <si>
    <t>+fCcEjGjJ656A9eCtIGOKyYkxcynCmeYMekqazk5Xy3Jg/9fEu6m3fAFc/h1+jKiZHiptv+U5LMcE/wqr7+sRdRSrjWX2eufOXZubIhZ1CW/yiTvFtMSuT+OHR4irzdBa3lbHTN2Pl4QXmypzFKCwQ4OQnfzBvCmBCypZRyOC6MWvu2S6I7AZfc1kSzIkBizpVRmovcDzszHypXJ6cc4Tzmu08/wvfNXxRgsSrhzVh/8kDd9nWLbgoz69fE=</t>
  </si>
  <si>
    <t>e5YgNCA07D17z8Asi17uqdZddb8NeH8y+Cwq6JR+xzzqdqw62ibmbgHJH0FXGmNQaMpdawwdxCSRm4LYljhMwKHbu9B33VVOEk2pulfPxDOowam2qxRXKdcaZJcgbP8+rE8JhkCDGOFEJltapEivxvzMnSWDGMApBnhTpmTRNIINokIe/I3Eb7PrRDSKPuPUYGP+CgzWlGZnAUuXW+VjqgGt/oxVwDXnZKspkWxdETu3x5QuTBSH3s+laLU=</t>
  </si>
  <si>
    <t>JeT7xbphiRiyGFjUs6OJ7TTcJk2I1s6na8RxJYZfCAk6pTn0Fre3LqeJ307Pt7Q4xthk4RVjIIcm0e65mVp3+QcH1nhOLQ4+XcC4/4hh+AESr1LOcag1Vbs4I7Rl6cD+ZMUMKVoPAUQ0wskxZNl+i95sQPkg/PwMDddtC2B49/j0pxzRsHhh3Q4O3z9HFGTTn+E2HEll2piFg9kl7zJHxAagaPSElRNx/x/zCP3trAWPYBZ5ccxv+F2zrwg=</t>
  </si>
  <si>
    <t>3LQzBoOofFUA+Q5LnuvIQ837DAaRr1DgycaNPKZ5qIlvPFEt99nXqcEqiCQmzZjjuIDOn6JAyhry/kTzQBFDwv9iK2+rn9NaPmp9v8EYU33qdVE34etqEcQ8yjzwWxj6mJOPcdORks47Gi3boDxVkBjZD7c4DKCqe5A268ThQMOzc8qcN02t6SNGxZx2dO1s9uEDjIbfJXku8/WXlZcfjIZ+YJPM1j9aMsBoYKOoje/CmBHIktFiruAKOIA=</t>
  </si>
  <si>
    <t>gFeky4lyaHF2EkJphbQEguH/aAHzwrCQV3q/m+T05TnUwyNW+/Wky11i8pgGx75Tms6/YVtjTsAOds+SNpFfIStgSQ3bnyeFdcdQnHMeHRT2TiiORmDliv5APJ+V4N08PafjiE5fNY/BucYMBFyuwwol5EVEvk9EjirFv0llIC/B8zfKFr7/RxALuO1LDC3Q3bEoovThs9Bli3p6EwqZahLmhqKb1thk5UHqqtAFhsc+eIjod1j1IzE4QCI=</t>
  </si>
  <si>
    <t>u6CoDpfI581aBLalZYGJuCQbSo/LyUn479UipcnQZmQBII5wg0u4MePlp7Q5jWQHIzrimXmfu+OI7W+X1q+HyboNHZejmsBhWM6AiTSqqeG+q3sRxGh6sXmgS1DHg7dvhgfbVrK7Lo2Bfz4gKbiNrM7IYA+nOZwH1rs51bhhfp6XXfFQBpzh1srpj8GflODinBmqLv1dq34NynvF0RnTrTx/EeG2OZQbmHQk7hKvbR8aseNnjTefkmXRsBw=</t>
  </si>
  <si>
    <t>ZGTEeJoamgFdyfhGdBO4vjirBNR8E6lJLNOjvBK2XP21xMLbics9tC3q2sO7Bs+uu50QlWgZoyR8rvyOgOkrZ1gH+AlnfWfJ/gKPwitwJcn+d9Hrdb48C5idr1jFuHhAXoyEAWCr/GXreaPTnTRO2l7hqyzBXxhLevNUsaJIXMofZb7BTqxPEZAsdjMZPDfA167btigY5zl63jAGwJm5urzxAie0PKoQQq9EdNpJ4b+3RIHzavSr1peBaLU=</t>
  </si>
  <si>
    <t>6eUfVgxHczte9aPAxaLL4oa/Iu58GL4jYr4YsHOM+eVRwDm4QwzOKUwYVyaXEIUJHbDwR+cWGVtGPBKbKdLKk/+adqzRx7q+LJ1G21zpjGf90d6VfgUPplQR0p0DVtZt/0VNTvOUVbalE4ymI8uNpmF/v7KVoObKhbvJFVWysm3OF7ceuF93d8qPi1Tsj9SVNuuKCOpnU9lvDFseh858LQc81KQs2xYCBdqUyDJjL/SECCterlY3IqEqNgQ=</t>
  </si>
  <si>
    <t>0b7JTk2n15IMU8hWuZLq2xMiE/rE9jnhflleaaC2qwFmbte7+EwMlilMxA7d9l4WB044+FU8SoWRYUF0DpB4+N0TEK5m0nQERq7wb31Wji5NRVToaK3NIrj222/bF6gHAe7uczGjo5bbjb6Vk5ERlHNtMyGM8CHqscCIS9ORPyJSN+geIsAlm1QlLB6k4JzJSzxzSTk0oMj5sqIy6BELI00rgza1N09BEfyg2Mfb+0QojH0Md+v+W3kNMiM=</t>
  </si>
  <si>
    <t>ZmXRqOZ73tosS6ATjRw1rpkCO2kuQ/TU9e9cdaro1X/R4wlrBRSl4yNHCg52ebbEpHQ36oYaq12ttCYx+i8oCDfciDySdU22seNqJIbHijkUnP8SO2i27OnnRx23xocpEcP2LGsXpBrTjRrQc66oeY5173D0jvZxvl7WWRuZ2AZwOmgh/nZFBQ4WNiMucR3ZnHXKnNhnArhii/7pi78cYM/NKi3WyZxyzWkV/yRKWTUQTpDvJTaEklWFijc=</t>
  </si>
  <si>
    <t>y/UmGSvkAv0PspsMW/16NRnw0CeSLGa24tWjrY3nlIH99OgckvA1VDWuI/ChDlRgPr/A7NDfGz18RGBhaZqWPisiUz/20Ms4PkKOF2TluDetMM7f6vBluvEBNgDR2+62R844FRxBfr53Wk7CgiU4d22fl2BLQM4blpiW4h+xl6KqBZszc+JALpVaXCJFXUEsiXYgXgX/29kqvpg1GBmqGVpgD1TZWyWP1H3n2B1OWVPnHYp9fvEd3BsYIjk=</t>
  </si>
  <si>
    <t>FFsqUsSwLR2fy3ZHTF2fZh7WHnVUMcbzJJSb42fYmdDy/diw4Jg1ETz86z+ea01JaUdNcdV1kwgm5fyflZgr9+dbfiqiT/1bQpGw7yzEBtSTl+YUbHnZOLeodwYu98/MedAjV3A4QGIyzBOyr32ww5YS4VFuxHXHNGR/Rzn8BJrpQQsPbnpRAYuhBFmbgGHCVMGEsg9IgKB8+15m3wdWRlfMjvnFpVtqFoViLFgGC7AXj30T8XEsjAT/pZs=</t>
  </si>
  <si>
    <t>XBLqIdQ5/n+mu3JDw6VMXjHIf0hjgxxv5UFtrafdGvoGDzP+6Ao7RnahpjELfbRCQ30lGjzoqf3nMpkei9995O3sg2gSTFSTDynps8WglCD+TbBCz+t1JfzgxjMFKb1VF3EaBN8rOXc8Q8vqSbCGtsZ4YxZA49yUwFziYd27d0NpPFpyCIP189xuHS5hP7gcn+stCUIdBKDRwPZb6lkNOVaBrhRCUoEq8ffmhacyo45FsvIeTrcchx8dffQ=</t>
  </si>
  <si>
    <t>qpNqL/uHaD8JKjzp+vw3hQzZvdP1NUagm8SBZD8shry97DppPxNLzdpf7DNA5eEwoh13cEiLhwF/Z/XxQLFfBoYXnf18ooacppG8sQ6sfcxEF0X4uHZkGtggMi6m4SRjmvT3LQVzUiOEcwIZLHfrs5r8FwSukLQLxEH2j1hdFGgwrt19UGFOoENB0V4IdLPKNLs2jm/c1IUbRz89JZJlSybV3A+Bw+Gnu81S/3cdnFV2mXX7eMwL+GanZtc=</t>
  </si>
  <si>
    <t>jlhujpH9hzibIRPxxFCrDCAK8m8Yc56uEQz242Z2bOGj1L8RH0+CTySD08aJ8l16YFzyCMhrAUCLrVWYls1eB3jM6bCT/sm/C1VrHYNPp13Z/yxEBJ5XyFP+0pqi6W85GMU6ex5lyjq/PTp4N/7Sw6Hl7wwSKjXVStGubyi0/HCAziR6oO4Nm3IMM3RlHl3tVc5ZbnQ4xuLVZoHMlRHv8gE0P4ySUHariWf4wOHmCcm2juKrFIMZbO1BgJw=</t>
  </si>
  <si>
    <t>l/7Ia6Zs+7+Z/F117ZIy8pdMGIvDLM13EdzAzcU5Ns+H43Wy3XuGFhhmX9anp5tFuhIBSceAT7OxpKdcKG/eNFjFyHdP0l4l4BCmGe8aqzZVjgUS+j/B2qnsQG3YFewlkuc/6Sa1o6Bpv0cTONqBYfGKXFMGUDFqXOsjHukpw4HigJU0oG6Wgk7Z4ITpoVmivi9gETyjY2tgWDgddaHazCD+ioWSK1Bi09mlEr8lhrp/5s8TcfooTokQ2Lc=</t>
  </si>
  <si>
    <t>H4t+56j0OaEIZYNVphVXqiuJC9+6x7NQYH8lrwGvDDs52vBrcwNwkmz+Bpf6BX0rwy0wFIp7HozU3DFNv+P7/RIdtQyicmXPN/ezKvv8Us2YVJzbfYlx4KZdZnGS8CBPZ168aw4jvO9wkmqYSdpIxHTFTowolWDaQ0IXYVLMyIrLuyvOo4mXUp9QZJzIahh25wQ3M5Sl3LrK2s0qUWnwJZMNYh02SgJVBcgzwEvyKT2SbNmZqWn+oKo1erw=</t>
  </si>
  <si>
    <t>YCgGz06MCpDt3716rb5HxdmskmB4a1tX/s8IQyqxXPt5gpFAGb4z8WG6zWuyDDTLwKQCDp0lTg3A62VrjV13XeMrjJBpG2rjr2fA4NW4Ift0gBEeDAse5aNkAr1gJqRKhfLJ9x50lakBTfM7G552GhFU1XBOY3OgdEjARVYm2m/Sipjdc85oQSxxjj9zXHt9MxyLdQWflIw4L2as729F8OWBxhFTUDLFd03vCfPLSn6JkkKXdfGcOR9yVm8=</t>
  </si>
  <si>
    <t>BwuKRQaZYUvn+RukTDtaIsz/i7pX6PirfSLsCd4sBe5zjj9IMQWXEhk+Ka2vZgoT0t7sOFAm9MPpXeQCBziA4o8vVf5WlBTIE/YLhNDop2wMKYghaQ8dQAKR/UmK6EUroKdxvZCY8H0IlYSB1kPi4YqxEbK4EIgqPnl71ktaCZxnOnUd+aGIa3zHzw0OzZoWabI8JSvjtrt0oqNKe0r2qfIQrnbdaiwKQWYBIVLtoSyShJVEJAqCUivJ6U4=</t>
  </si>
  <si>
    <t>I9EmMU6FmA1OQeVg4d+6Y+E/+qYWVBjF6gfpBN+7PFYdNbrLpJdBSWuIEEZ29Z2qIhB7aastrXixsTEK6qRf/+U3UjtehjgCpOKbGvDgc0msPzRUZOUQ9teLMF4bE8Kw26WYaOQgh4O+IZC3reJlrdEsZVlIi2L7RQlYI4+QEqJUg7GDUf4EnLQqXCAYGYYYrdIZiqPPRqn7C/mJt9gqC9pB5qYJmmDtsuDoUg5KKLmP+nVArhubIR/8JeA=</t>
  </si>
  <si>
    <t>vtIJQm4myRkTxjflS8bitZ8oe5XBOs/Zpnw8YcenqrUJIuts7lk6WrcaZJRiwSHzDYTSlvWvBFfDQhIyeaF/3WCwSS1Aogn7NuUJrH2Vpq5lmSsrpRw11SkQBB6ZlqS9NPwyBYh8z5a0vspQDZWiuOxXGDIyWiucAhzUfsKTsGYvErC47L2NHxHEhMRb13NYSO6rJbr2AYUHhh6iGbOgdOcaE15Mow/9Bx1xSzBeSToFKoLm389sIoKsBUg=</t>
  </si>
  <si>
    <t>nL4TK2BxT7h2i3ww15RVieoAu0ngKaMxZKO5gOewrfCxN2etTw8cEV1chVyDGA31C6w5twyvbMCxiRg4gIZoASUVlG4+XRYHCKhd5/9com+aRMj888DG37j0WqDkErPtelPipE+iToKQgnhXHM7pam68LbVKsUPfwHAPqtztCsSYwrZMdmjGqO6F8qhs5saMo3ncXL60CzN3KzjGh4frugJ2FTPzzLQiUOl0lOHws2j7N/rNrVTrK6sn9gM=</t>
  </si>
  <si>
    <t>EiMIpMkaN+2K3qzsmo5Gf97e/pbKxQyxK2N+2mXBxLNZYuvV25UNJEcLk93ZDlgy1CTMl8A5gfubMvmidJZuwaq4XDynqTS06T550tEQtix/yQg2/dOoSkxBKofR6/5Bh03hUy32Kkq6nVRtBmSAT6zYYYFQ9eQQiThCY7KacBQ+XYO3IsJ3S1wLnoBV75KXWhrWjd7eNds/p1AWI4GsLMfnUFd22FQ/EXj27hWGwxsHyQ72E2HcVVBi6ro=</t>
  </si>
  <si>
    <t>GnHZgdx3S+Yv433NIUWnJWlNj+WVMmj+BAWx3OZwRhGi3UQJiOll8WoioEYUqBIxwliy4SSG7llBIVFyAPQa95WkB30GNXJONTdgu+IGWS4H0fjREJCPxzAh8so74TlxOmKi3qeiHxC9yJlcCpZGQAGQbgiStwX2G3xx9PY+Y0FGeHgzSeYhtgqKSI70SwbozqQLNCp89wHH4GVA8awEH3wgmM9K4ONAzUVa9s8+b84yE7IY/xvtkuS1JvA=</t>
  </si>
  <si>
    <t>/KGBIWdZh82AMzotFqFpvGGDK+ZO9zjVRH6ECL6Eb4Rpw4RCKdYiVzpl5AYFYfvh2PnrvNpU81hviONJ+7yhLK0G2u+mItiEeEew9LqrYu+6AEukmFPj8KrrzwhEA83sPm9UIZ+izvy9qcldQFvaNyzTxPWLbqZakYd77LzmTd8h5euTVm7ppQhs3XPFHkCJt0vJgK5/lEVP06eJu4KBgtMcn4t+8wrQvZzb6CePpRsGZ7vx/M9y7D8rW4U=</t>
  </si>
  <si>
    <t>Aw7E/RTIygh/Ja03918RxNXVa7uEob87+nDByo0II1BcxUPB6Spbsh/skJmd58iDYCUQiS1BSecvpir5CWdgVZxx7Jfk9hibBCvdY/TcsbtFZZ1S5xQtJSKH8BxQm3W5ofsWyMwNXwU1jZJgUh81rsmb/pqBQu8Q5miYgRtfYgVh/O52ihQA0LLQpxpPcgxyfuoQAd+tSQODaz4VB44eGyFsT4+0+pwXfaB5oUvAnM0fS8QanbzqF43riT0=</t>
  </si>
  <si>
    <t>9XiqKX8PhriuXr2lLz+2piBEa9NSabFuDJvgwX1NTWjLeR8VlULU+dVwkByBTIQsjTN+2gtuVKzda4+tEaUf42cX14efmR/eb74SOb/K+nPsaHN1DHmDW3IwLFUyrVz8Z9tcxZGrTLV4JiAfCe2C5chW+ByzqkbLR9bYa+ramoVYKElS0feQ3HmwyiRE8DWSoFT7gKtIZMPSGTnN0t9/AImmQ2cTHFswOjGqCEOZ7w7VbfRVpxxq+NYGetk=</t>
  </si>
  <si>
    <t>lDAFcPzHId3T3sKLh3xp9J3l1q2Aa/awOuJYdVjkbJLjho+klc2sbotU2x+xgH+CMXBQIyFeRL/ntaD61cjHA8TRalmUZNj04Pyk5V0DmMRgn8m8GDFIu5+Wa5QgEMSjETm1E+YVoUmF5OYKkyGPucFU5C+dDKFsSD4zJkfPoIgfmZhU/4l6tDBcbTyjcO+WXewUqjnJeGZQTZri7RaFRSLVHzvz53fgS5pSX6DoCf6YDGKKaj1D1DT4TWY=</t>
  </si>
  <si>
    <t>LUEMcBJI6EmYt+qnCOC+5QQIxgSgcnmXeBKoaMSAKDrP2Ma2iDOFEQq5EwUB/E8JiRqeYTVKrwjJvcLH4lxqulU35Dr0XRWq+kN78z4yAzxngSX8RFKIdct8f9T4cOUKR5jdsyV0+7wqDTZLAqwBXznV8YfuXse188Z4MQizlFcBSj5qvAkXYMBqLh739cMUxGiOPKDNEYJIo/Kl9In4Wd70lEIBlooDoAuMLzpEi+B+pnftF23N3maeXkM=</t>
  </si>
  <si>
    <t>Hzdtxu87L7kz094h29QT21usXSoq36KUjL5XipRfE4rtwXXRw8sFXwvdP2LV3JPnmJAAOfdW9idByEvwSB4L8p5WYmiRO0cqyavfV0RPDg0HD3ifN2bJv/NOCEcVOrZK8NL6NEfRIWdKiyyTRErzKAr5dSlzQGM25EA9rz1+Ph5h9Bl0aMWvVaJIqMuhN32k3Orh/4beFVWBmeye27NYkXeasSlpH9ZVxT8LXxYnmCbPV2vlLsLZxgBxpsU=</t>
  </si>
  <si>
    <t>hsEDLCXFsZNRxg4BJnffU4W9pGPhoW7+FcncZkngJ3pugHgHjZGDW6nR7R83vk8HfbzsV0CgajmgqNEJ/s84YMJIeB7+pM684varRFUDk8s1ccB0vFfbO05+21kWaqvwXCKaxmop/vQRW4FBYmUymW+ut51Y1bN+xdDCbgNg679Zu7kDlRFlQH+dtsdoC7PFVWiMq1DNa+RUE0GngHoy4Q70Y/ep0QQQGQQGieh//p45O7b89VnqJ/WrTCM=</t>
  </si>
  <si>
    <t>JpvSB7oB6C5b7qZdWk+LmixYuA6bw3cn4Ivp1ebB2lrOLPlgP/WK1Jd01/eBHi2OCUdJle2NjGu5hMm5L6hDePResHYx5SWUjIaaOftObT6uK1C5mtQ4DWotp3/B6XAThjJ0h+DEozNtSSn3xKZCWrAKTG0aT1q1Iwgrxt2LXVNM4hnnCAA4h3cVHkWB1+v0FFBYDeXuhSWy6UYipz/GrNzqAWmKnew4Wj+S3CBniGk4+FJxxg4PdutafJk=</t>
  </si>
  <si>
    <t>VDHprMg8pKRz8D24XyrAvwo2jH6GhMJsHl0EUq32VgmQ5Z2QQbzNBOKDFqdPmW/6j921DwdBvC7nBD/a4njLl7JbBgnc4TnzRg64+aFFhUZUiGia86hGeJ209MnhezK876wOKyI+t4GRZTcrmd099DdJkoajUXs+gePRSNmD4mi9OOHSjVIrdDPE6pxHHimHmZxWtRSY7qsgadiodGU2Ee37XL39WHl9IRnfOjA1JIUlHzrC+k9sUZ14048=</t>
  </si>
  <si>
    <t>WeKLa4K9qrOZK71283IRzjg62G8QV3ZtdfXkt45eEfq9lEqQ5FuzYSJcs6p88To6Un75L154roTxzfFUxCRmroDH8zAtoIoQUpDd5njNo/WEpxunmiujk5N/DjcWLXm3hgFaOxkUh0kcqu0Se/kfn727xLYE+iHjotLiUlaO4hP5mdLiopWfXE4DOqDY0qs6g3J2V/JKaLBU5Ewz1Cd8z9HX2VpM9dRaZtLw7y47r52jnf8tUaC/8OIN1X4=</t>
  </si>
  <si>
    <t>0AZYDZRsz7192ZSLOjvWtzPLe81WMCHBJfh/PL+pZpMdSrRb9LsTfGpw8V0rVfrfhZSdjWkmeGkyiV5w3FDstYNKrpWcKitak0jtvriU6NqKZdg96QIO2zGDc2881MVr4T90VoWvXjulbysGePM2NDLIh94J8eoUYnMZtXXx8QR3gS6Ur7pXDvVGzUtpO5+60abR1F9Uei/JNsf3JNwwPkq7YCXNJ0gQ6FoJRSlQM1uh9PVwiTkb7ImZSVw=</t>
  </si>
  <si>
    <t>gjTbd2tdm0dvFOVvAET3uD8NF2H9doHKSaMWa4tAkAShwvxGB2O4ZDU3s6dUYLMhYWWDFCrAWp0nuKWgCBsRSqh+wyo9pePTsWeqLWM8watrbg+R4s3XJpBPzcCmYdPZLRgFbA94wk3Pu/UXsv7O3DP0AXHUjzUXJBJB8VHkF+SHpW30OTY+sN057yuEkPKPZpragMc4AeYghr0ElOa4TscgwBMADw4QCdQUx2rBI/W/49gA6j+FhM7SLgE=</t>
  </si>
  <si>
    <t>FaYUCNk/Db6kUdEY5l8sJW0S7kpPdsPKU42qw2Rh1d9jOgIy3jyix3KXZ61KzkHgMYXps3WgHpOIph0Y2GACh/hnJIBc1POyaY0dMrA4OA81To0suadYOsL2a3oYMCgWbtD8jLEfDw6gcuE6TT4itCD1ssmg4mvTEq76Em1ukri098z/ToTKd4OaXgXBBM2GaGqZfka9k/NgJZsIZHSdHEamhc+eChMHSYe5KKNpLGLuO9PfGAUrK6vCpKE=</t>
  </si>
  <si>
    <t>4BcrMTZ2SEOfeNel0Xb4touDrMLO5Tmd/wjEte3aAi5T8kpoD+wER9o8sYyY6kyanWXF9o2ZJ6VLKEkKWz33kRKWzJUwblu0PcMIvm3K3amLAzNv4ie9hfi4xSJYe75sgPZF0Cc7/EJajCACYZYYkyamb59ezq/YeJY6chjlE+bu3lZOuStkmt6NXw7R/D4CdPSrud2mEDi17jF5HVaVqZzTAid8hlrLb8+yQliTvbnoAjwhS7NslpMEMMM=</t>
  </si>
  <si>
    <t>+zg2zlAIr0O1frC3YFkKnbQP8maZ/sgKnaxGEEDvt9hCe/Dp7hrEW2WBMb0Jo/ojwxn0SglIc7cUrz8Fw3CXs4zCn0oYMTOdbzbwhSFAA/Z3l6pQPkqN1NXqyVtxx4tohTy13YJMP1xmdtcfuWkEHKPobiD4vEOfvZ8BlQ9aRARN82r/mlA3vtWrLEIqFJXcfXg6vKZmnxSCaA30foiGSk13HkqikMgd33MSYRm8M9e16sDI5wgb0xtizwc=</t>
  </si>
  <si>
    <t>TOuO3Kht1MNuqRkuiB3I2eNXlaPAnbSeMoQ17rcCuECkVhSlvycWqji4/wNn7fpF7vH+6K5deH/v99xvn3pWw+3m69+6s8sDEgL1w1izJoDMtb0/QffhMBPHiJsCkN8n2uFRICrCLIAkSwYtg6Y5tExKXzZytUXT/sBIPPCn7pHNd4tgzc0mPLBpitkmfFFyilDUn9D8STWcG4OfOgFJ1B4w9r4R+aEfjLNc1iA3ftR29HgE9PrluSKXX+U=</t>
  </si>
  <si>
    <t>Y7tI35vDVlD1rvv6zZfGJCiFkh0U7ygjDWWFje9PqeWNv5F54INDUl7DxLyACBra26miZUhdBeQNJfIInsbIn/OG9ov0Qsx77hQmkMhfR9hmFJZQndhESdtMrttV/V7LVV3JS+LtUJ4cy4XfRCikwQpsTCaUJKGVw+tsKHUXH6kLX7Wl7Tu5V5qlstKL9dB5f88j1CY1b76LHYoovSqdoKCzI6X5880a4DVktV2m6/Jt9roRwTjBXKOPma4=</t>
  </si>
  <si>
    <t>5oxNF/UC01E+X3P8Ks0+BUh4Wj5WJrt4aqyqls6DpGGTppBW5Xy8cCetmPYltDx9MXPcG3ckPv3FUgvqXBvVG83PqWjRRI9o4QuG6MlafEUMBmjZF68h2EKNHw7iPjUX7DCy0Ty/ts5M9dUMxrcD5oHV7wMuRu7BcJQQKCm+IxkJq1pYEQugwn6rCoHtWh3lziYv0QIgbD/4Emj3sXT/0fXKOTdm6BmqbiKdFxFZMlAmU+3Nvrvv04BBfQE=</t>
  </si>
  <si>
    <t>zqn0OPvu/xjNn0vvXDlgHC1RRhvgSMNOjNZQ/Ydy8SaeAoxXaRZgP6MZhp+4dNNs88eHmNNl1QefutAVRIXQSqh6S/m8IA7XGOYuC0OcmrM2dhNhlQQU4Xbh3kQXyQ6stFTBlfmbhIUNGMkz3+afQe7h6IcDrvZmRFmYEcNZhRnXfuhD3a96zAkJcDsshkAXaZCq9U6I88rnwf5sML2UE4afrXr3ODlamzY35vzbBgOshYscXkeAOHvaQb0=</t>
  </si>
  <si>
    <t>Gn0puaVM+O4o5E8YmthBjl1Mhgow2a8DxABPFD4qgs1qEJxc9ow7AvMFEHnpmtL9kIzLU1Wxz9gYOBPC1HLsVp7TMJGoWzpS1HmoJ4BnSBlgP29yjN4QpC2RpM/9fZbQObPnFjrEnN3Z/G77Ryr8kIfeTCTpgC0SS4MZSc5pMB2SHIkx0nvdmMvaie1/cBbKBEQAnD8EgzGYBYhKamtZ4ySCQenWEiSdI4aIuyZCMp5vZxOQ/gCKsgZWWRg=</t>
  </si>
  <si>
    <t>Y7HtPYr7tVgasVHcNJ7zUIe+VfgviUJYHjVNVLPNg1AMfSaoDgHDA88zzT+X9IIl5wntOQgHaFF3Fg+GGNGusFXYT0tUMJn2vETUOhUDBPFn/TpRSfWi1otswmuWBDghTDm+PUOo7cmOswkd30RDOnMTKM/9Z+jgKpwIuuAoWPNUGXdGgSwJ2GiS34Zdpq6IgWXi1UpqrHOEF9XArsFBoJ+i610naMqPbY4Mst8kplJINjksP6THTCx6K6Q=</t>
  </si>
  <si>
    <t>jCJ1nYpwCuac77MDlOsL3DEORaKjCTQ24dhAxPvXsHspk3zrHgkvR76D1WheiURup/+ZUkXFP6LqgznpkcQOerYVVUHJSppl3SRqdLzFP/FuSjbgbQKkEnjxSXgY4We1l0ExW3ji6MZZ2AqTXMrvXC0QqbAANZjFiDL3r70nP5oKkXPbvqTAtRkyofthg9GgstYlBd18wl3nfP9rZycq9jAVv7xCch+VuvN36K4/+winvrgLWhMlEU4OPoQ=</t>
  </si>
  <si>
    <t>L+8BMUfSflVM6rCypymP9zFACLk4fg7kjuE29W1K5ORdmBlVC81KJ3JRyzyblKWfS7yJcBPLjT4fQ05AeirVz5YYoY/iEEbLUdekrU58M0L1DS+z1AKGkfHVBCigTMKw5V/IcdYdRfPkN095BRMnZnWR0sGajXywN9ZgE4aQVtFCIXMzBzYl8V6RnB9OJeh7+jlLqHv8hyDrimYWP+bgM1FLeKVB0xeMdETCuDfhzqL4SE7cOXTCaLDOqdo=</t>
  </si>
  <si>
    <t>ObjnVj4lMK/d5u41GCkqrIvT/n2sw9AhTD3IXqukudZs2InN9YAWnKFpTJilO4ZiYf/w2BfIDAu1yjzQ4+k3LsmFWD2g0FtAzUsA6rRfsBwSMOlBM1aU/wEqY5MxE/7eCpKVXl+GyWlelmgKc7QZWSAXX+6I5r1iZpHxLCPsdyYAJjJ7NV/ENaZMLSeGbPNS9NaKJSyCoiUe42C84xfv4re+96AlIaW1Di9TKLDQuf/FwyTd5Cfeb+DX+vE=</t>
  </si>
  <si>
    <t>AIiKf4Ohn1xM6+JBKG3Pye1ONsGpJCl5MTUmgdviCFhNPttbPHof80ex7417CDZ5oxOUlIKMTxGz7vpaIJRrmuVESaBb3cTc28BtxcgZTqve75NRnmjvnHZy6tKemU+6VvqyD+lIsaRi2CPH82pSZcSp5byylNdERiKJdKTDqeDLfuSeeUxmNeo09S7851Q7f6EPSdVTdGm1Jxokz6WtmOVPMWd3B5wGqgW0lZgPm11zPyYBGbEsI3WR3gk=</t>
  </si>
  <si>
    <t>x7aoQWr9kToH7HfylSRlqbWM6u1vAtEzVvzcjPqlLnaasSIDdXBHDrpM8wD51HN0dGAYo1t0NS0SQ9mn1Cdv9Egs8MwTyeU/xAm3cU2zRc2gWppYDf6nKfVtSzvjl+3tB82d1TZ7QUL43MXj5sALBJsTeq6PX0doD95rW6l7H4sRGMUKzG680oKXtSowBgHf9rt29oG8PPu3hCV1ViuJEvGbkICbJIdV7YLo5YjoW0DtcK85yW9bA5qRt+o=</t>
  </si>
  <si>
    <t>wTkztXyt7Kx3mTEFwev4FCj3t6KLiqMPbDVGWUUCpJdZU6qm0fljSCDhYGH+DwJE8cjZrLrk9PrBBRi1aHUaGlzvMftevIOear1BgyRZ75xHPwc/4m/pG6Lt8mKSPypnVXpmB+jbOQFnBp2pqsWF1GQsUMUdC8KItgI1NIoSS5CCuonY8k8L8hlR34nmnQj3UVIBN2ChLTAisctyO+YLvssRX8W+lCknCIHr4EYxB3rfBYqe8SR8eZ3oOD0=</t>
  </si>
  <si>
    <t>e+tfKcJilvGGgueBaaLHUzF/0HTmSHnf95wcpfdCXlFj6HbdGLHRJlShO6gwS80jQmRVwsKuTzZwdRkZrwfy5AqxpangUGy8qNpsnJLIP51L9gtXeBnmfnHDIMrkAip7ZpfzwsAKjSiPJImd2n43h5n+LMfLUUjMWsx1FhigEmus9C6cCzevmlKf06iCBR2tO/FGavItCm9H02CULMjqTDiQeUlPDkM4LqM/XqCmZbVft5MAfztqQLLoOJM=</t>
  </si>
  <si>
    <t>LsT7DtCNQKaRhRa/j3Tr/o8Wazlln/OzhtQjxR8ma671Sg2evTeF8RJD0D8HzwBxu7AuhLZyM/3FF5KAH5/aD3XlsKw2ktPZ+RZgcElNkGaedKKfJk615HaJpazsmFMFlwGy0mHaWccmXrT9cMFnLcbiVXL7KInPxt0oaKeFTVpva16AaywdUtn5/tiduS/RP8DpYJypqUMFSbuz9+F5OtISFftNmbN+UyaldpGUvb/XlRqldABM6kF2vxw=</t>
  </si>
  <si>
    <t>KPjNx0BnR9JMGVRxM3Ei5hwFNZmFaXyAZ2iQd8uhhAEef9qxnezeL8U/LX7wu3zm7RyBBQcqvd4bQi3EOpg0ag5TZGm7l3DA5UyCBaZIkuKj1ED1XbuxCk63dQDf9jGS1g1FiNnKgCgD7QJOxCF9w9KkPkTUsc11ZLTATyoZSgUxeG4OCVn0W6mmFH9x3OEgzQnAxYD6jA+yFIx/svz3t5sYWVuG03+F3wng5gxVtte8WY6PvLZdpN/yAGE=</t>
  </si>
  <si>
    <t>UvDr8pqZ4KhdilxxVVIvtFABaBtZFzCFgsbQhP0xN+L8BowRO4wp1eMDzjFW6LzcQjQW94qOmUlhXndAPzJsz29ZGNNfDeUdegFg8knbPYsMmXv49R4joH1XkN7l0AeMwpywaJQYLYIvupuTRpGKuI/hfqPCI+1aMlbd4auuq1sCmoXaSP3WbUmXw/W7rCIg3zLe6M44T14MOjLPgdBnj7hfOOVZrquEk8hlPTTZaFiB7pjaUdBRk6lnH6U=</t>
  </si>
  <si>
    <t>+uspabDamoFr1cEdutyHtXgPcFEmUMWaMj8aul9pur3mThk+U36PgoOEIKJHbIXHSnJ2h51NfutmUV209KQAYiXdPRUlLtdDtWwhyjmZMZXT4xRrtxmLME0RgGupCQIrpx2iQ1pxqnaPXIR6/ZAxg51b4XkxWciYaJWKPQRiY9gdykIkX1UWP7pEJzgYegnBpWn4rerg7+Q3+gpHpmAB1wLqma5rHX8xMCOShneSZqco/XHGzalTzOaNJFc=</t>
  </si>
  <si>
    <t>TEi3jVYeZN2R1NDdIhNwkzqG8tuR3rm/K3nw/VIx0enLSZRcG/lzGloXSPn7SEZy/pQLGJgaTgjGqlNfX+ETm+CJLwTJNSHlE4xDEavIVcuEWeztX/doR9rRuDZR25HyR484h/J127CxoEHW3xDyvv9JX6uVXfO+hw0fhoJIcgv/7TbGo616ulZkp7almXtN9tqCbS9LpHKzZllweTv5iQLwwvs+tb7bNRFyBTGOUoQYmskHipKm1HuUnvU=</t>
  </si>
  <si>
    <t>ZaDgZ8btjTYF7OGp0n0GOJNmr+ccgXD06zPlQxXorSweJJsE0rBD4Cdg9Jq8TuEAGJTfei/1usKE7CWurriHX8iZrV1IaRQJUN5EgC9o6nT/P8rRQ8hwCWr+ODkZIRhr+2DsS1PzSQ6xpw41R2tiWDXJcZdns/h1K5tfqlSnXZqNoJt8+IpVEzuxJv4ZUv47LWvDoVxOwZThde0NetLgxWNr5wdVkJsFFyNR0V+tdiaQFK11t0cOOr1eNjI=</t>
  </si>
  <si>
    <t>eFXgBsG+s668GpEAmXs6yv4+eSVJSlQzpjnmUTmFaDG/fwq67ykJScFWgx3UInPPUgFSJPBiJa1cfLeitUvt9eyENTCDg7FM4XhfXunaWCJOFBu+3Ib3tOTiklPLyUG+fMhrfv7cSd/kFBF/uc+aQvCcTxeis6cjlU1UIHcqlwTiA96hPhmEMXbm2sYYBY/bNjx89oFHzbkbAoJM6oSVUu4c2263sZQxtXay1AJd1FSCLH7L1HyIRIq2g+0=</t>
  </si>
  <si>
    <t>x/lwgPR0vNBvokzNOLOiG3ImzETI2dssV7D2JAfsT5pRozlnGGr7oIkWTxPT1b7d5NvOoXWB0B8hb2n7Y+Ki4ctB0y7GRlnnvP7g0+UN0bfypNptPwGCvwa1QupW0P4OsWylDoXT670wEV8woDbN6vvGscqbne8JlHnVzPNpSXnvtWTiwRcJ+zQE8OGLvoosgRm1r1+/q8sz4dliV6T06oIOpKIBcHp0+XOyNH0IQ89bU7dmwcB5i/DKCZ8=</t>
  </si>
  <si>
    <t>UfuEIoVpu1ugYNoYZcSf/+/KjXMTj74wcPOZymD32MCU6TOZ3P9aeWsd6LxF588SIvwPL/yB/WjHnSu2/ByMRAeC8BgC11mDsfW3+TPDw0NvSmyL4L81FB/IcKgVEBm2y30l1ZhHEaKMCrbnRFGmf6ZUWqdyEV0uw6lmhzS0d+Z2tfzD0PFpYDyszFr3ZeJYpvht10RdkdvvgA4SrgXpvkA1JcWxWRdKUfWNJxgdeyUMvg/3pcllUtUk7yA=</t>
  </si>
  <si>
    <t>v04gWKYIm8iPiwtL+SrV5oLF4WRlrMMOupTlu7doIW3RxwkOv4wHb3hKYq5ChY6uLOLgaUR4xgVm09Eq+pMow2XfYgyB15HDFc0G73eBDtgN5N7VgKfEhPKFAjYA/SycdKOq9AqoZZgpQOWlwSP7X54fK4iEucREnw9GjySNkh5FkG88nn9esEHJQUxyhXpMul441rOxHjbtMxLIDY1r9ROegKzxoIYOHtNVRHFzXtfGvXiK50mr4JteGzY=</t>
  </si>
  <si>
    <t>uj95T124nRmOS67j/hyOaibk8mauq1xyAW5ogGJ+wENrmZay2tFbIU3/Du3hc6/tGlmYqF9lFKPkzh7fSWVOLySoGxgdjxqPLxagMBm3SgI6ra0FtXmaujeP8kTMLXKbwBF9fASuY9uJGsCnQ8428/+7kcNd79ZeUNpDsRQ+ZSIjiDuzJeUv/5gx2zdZd1E/DhPC+UXexFb/MiHozxLzk/Bb7Svio/MbmBu+7axwHr9ebCVrY5RukMnakx0=</t>
  </si>
  <si>
    <t>YO3zyc7sgRWg1pxXmlJ5LbNqeqkYtCbEk1jIuUh0yy5RV72Xf3dou7IPLmu7MIgj9pd91g3WScCRJiDGcTTp4zcWvvDsA63+dX1rg2Uy3qO+WrlUO1mZCRZPGZXCnbZxuHk229CZDJZuU55oXpUN9XkogkHBgDSWU9ePPj3/7YUmKRYvt4a31+Q6G7Nkyz5qNrssenfr3RO28By2A6gbLpU1wi8zR2BpqnLiBj86y/qq8P/WaTfeIHvhnL0=</t>
  </si>
  <si>
    <t>11tg05Kl8u+QGNBVlmzTsxhXjyVuhEWbwyyPrcvFqh9vdZ1IjYr+2sxVib1jbXxJ5r6dZ6p8QbIsNDJmuw9oZPk4W3c0S6bFznAh0UcUyaYh/ZrDGG8ypkjVaQHAhax8iiAiGsl3fs8QusD78vRbhnkPzbONfsNNq9YsK5wsTRaddAbjtgBI7jSoqm4ZR9xElPZflLelME/R035TUb4hjjnlpDpfBlQ1YiZ/a8PHdcIkJqMCqJ5r5uV3M8k=</t>
  </si>
  <si>
    <t>1EmW4M5uRvSn9mRaVFsNLYEwoWRHzlUlepjWa/KsdSzfXcTL1tAqiyB5Up/UZrZBEMiGvLMcYDn3T9iefqLndrlGpTqWWKj18U5d//sKnStvFualvZT+N4bzAB90svTmQt5tOkLjGligl9GxMabW6mj7fciRaPYsMLuwRRjWcpVY1jX2c5DRpXC2bFVuwutCEMa7uvlc+FUIEdo9Clcp5xf2/Ld/2BLKxa8ivyqjsFj4jr1gZbgJe49OOew=</t>
  </si>
  <si>
    <t>8BhLFuNnbKTwWvs8S8MGG+i26atA/9yq7mqpWudW0jk+6fsGuwMq7NAn9Oo85FU2TAdhuUxS/o1eCRCKtsRRlEobefHGZ0h8nCEo9deJj105jS1B16KW15IPQB8eCg5KNKzr4mNG6qeSvjgxBCMkAAK7oea7oviB0850GN3IoZKaWe00qnkhOu2f14Q/0PVobRbjNE9WwJxFzcIOKAIlBWpePU+i/PR9ezlTUHdDE8oE03iT9WXuB3VKO4E=</t>
  </si>
  <si>
    <t>gNMsCJGl0lJtzQcDf6KqtUOOegg0yPUXDqIaTWGpoLA1EhSKxrIhszH/VHBXMmct+E2cg1ogwbsRDrd3LKrONlq/k+RjJuJEar4On8BtSl0un9pKXXK0AfwiDfc6uKll/E1aOlkiF6Z+HIzqS18AplbymvDF8Sfr5gywxgXbSbb5/yVOzFJ+JazlebC6MRIICKFjTM2q6n8vmySUsur+36XoFuFtQ1pab+cM/L14OLYz5xWESemF9EI5zDU=</t>
  </si>
  <si>
    <t>0JfHG5wxdCx5IJ0ljaJLFZIo/zCy9l40qNXQMtU/XdsKxLhUhyWb594aPTerEaV9KPuV9ZgqqjW7tw7YRy2IlsM2JIKI+4wBk0eGQnPQdrQVHw8q/mm6+T6Y3Y0n1QrjHoGKcwexdzx03V0NLfXDQ+sjYphv1l+Y8F2sHJOx45YOIU+5LOQupm9j5XfFqdwzsLwNgDLDOc1Io/gf3zbkwfDBOxingv8QAzV2/fSOw3BOU9CnYnGCKbPZ6HY=</t>
  </si>
  <si>
    <t>Ky4t+ERAlDmVKGuONgedFuY0djuFVqCH95EAPOYH1N3f75droijKIRkQ/FcrN/To4RZNh1smRZCzt9GXOt1RVG8cLthhIVQaft4gyDxM5+BLFfqiaZtTiFktPc4oEGuOIAq8bOUX9unmBWS5fNHzbfr4eFJ1oKg1NlBmFW9qPgbcQ5CKRLbI6YiFTiAVQkrB+kc5u1ax+u3ZPW1Ww0xQxeocsUw7gAulG7Aep4SIvhMiQFcbgTOTQQHOxKQ=</t>
  </si>
  <si>
    <t>Wpthcl6AHPXAbYWS3nj9YqojIDO08LXIVQXnB4Y8x87QYzVSJr757GCE2tobNCDIamVKo4G9p/RTgzrbFQkteQ/WAZNmsvXK9mVtK9AYB2edpz8HTnohbftDMc95j0xJZVDgSDWeHRa/a0Ivb0bTn1ZvJMq/c3FnbKy6oLzOP4tVAMeO9u5CGmJIpzMsUBwm8WtsYNwNfsMRXHPTkL8Xc8Q7S7+A81tTwdBHmmmC2hUZtQJQJ9glAcVR8K8=</t>
  </si>
  <si>
    <t>OL4PN48Or3o9KUFMfLHQBViZbNw3yrCqPqp6W12sssmFVrGR2MHFsPxbWKMUkioc7grW15EY7vQK1gukqQXR6zFvzjGjbvzVfkl8ikooVC1QYo2yFp8bMODvQoqMf5CdT2FsLPNKGL8HjIRryzzu3AcTeZDSWaqGg1FsbC6GIIQ0wfhDgYNG6DKSk9Gmr7IiRni5RmmgvQXnlGVARlwzf9o4zRM4uNWOMWBveRnFTnakroExSCMoiG0c0SM=</t>
  </si>
  <si>
    <t>O40U/Y0mwUXayTJgZma1DxVD9rqtAIh+zPlpIucJG6NuzElN9O3YdflIotvDDRI7jOSxbL9bOsRIsZzTmIov81Fay7cGOI4UIamO/NDBI8hWkT58XkXleukLLchiVfAkZOwAHOJZh6VOSGPxCVXHMD2RHDnVqXRPkaJl7hkVAbsZj9pA09z5U8lqiJ/x5ZtGGv4usBwwqtiah4pkgx2sCn0xBqir6qUaMnc/uwY0JfwafkdjkUuuDb4XlRc=</t>
  </si>
  <si>
    <t>IEfFRXcf8drrnlNm1LkTgnopQCu0hYnEg/EXOfAp3ET3oSUzVLixoFbaXdACzuTduOQ9gFBMB3DySyseRWizb2mrnM8vmF6NDiaweWev8aTloxlJ4AbMyHksF4oBeImp1Ey0uQrxFuNaRvEwQCYC/DhgoePDOjBS0Qnxayh65ehLTlGQY18lkOTKOw6hBp8jguzmNXdJIiPTQCaLua9vWvKZkJFxeFuzysZ0RoVrjbAV/YE0cnBLuXzPIXg=</t>
  </si>
  <si>
    <t>5S4eSRDAsLTKZXzaLOMjVTUWcCWtyIqZtH71fjQ3hlADoMlh15EkQu6x52jnnarIaFcj3HZZiq3hTpskdSDrqkkIcA+13NnhvnoB3kUVkwv5vgpwOgYc07fEV+FrCwE04mAQ9GMu0ziQ6rBSBK7NE4QqBONTA0swDKvaHeCp68N0Ur67qnjaBlWKT5kpzS2TooaA16RDfBAg8Mjht2fL+bNyPlKRywKY0HXCgLpMzzlb3Qf+gjmT2ncl+H8=</t>
  </si>
  <si>
    <t>3yycdviF8zZpN0JMBjo9c1OAXyWBDXNGD5jFsh7+O9xW/pWMTvlV99B9DhlWQvp5HNSCINyhnX3in1msuFLx9ufVXEnuulSFwLEvuuyX44lacxcXMU8Wq14Ax+nfQLgXTLuPb+uHvitjfMNRk/9qpGidLHD+TUyUhGctJMca9bZDrJ7tHF2sFpxxw7vLSe8CMcwOxrOOmwjEm1gOZ+2HZfhNWU3lcLh+MqP627YrsV/U2voUsxKJsLD3WEo=</t>
  </si>
  <si>
    <t>IByfTRbo1q2o0nVjbM6FsebNkR7wy/Ksn0HDqA9xnurpPlgHnKL3s3OaabGons/aocHt9/slxHiUChJio9/F+MsTjO9C0IE/jHZ0ChMdlZgRmiGYdMzGr0pOU1VmrIdo+tguTx44XBg8UsVsKqytMyYkgp6fS63nLdWSAU28geV9wyH3DLlUTY/mxmfwgmf0s7WISah3fUP2pR2EVzx9LTw/UTJO/aK9XY7/rlMYaM3+4COPQX2FceZ1LRU=</t>
  </si>
  <si>
    <t>NX+FqD7+bnSxdsWLNBN65Tpgx4J1nsdTui4eKaL9m5UXJ6sOoQXDxZfaQnIHwPeMy4gYgN9gnVi7BX26ipCKVBKjEAnX5ZRBZjDgzvozE489jXJqIDtgBjnfWE1cv0X4V7zwUvQlSjyR7ZSCcrB7/GXOfqNS9W8RAgR9v8hcsOtLj/MGrZmg5CxzWNG9d9yunFH2gpOFXNferL62dd6UozylXuM9CBg/KhSc6CgtFXSeYYjtxjur+sEeybY=</t>
  </si>
  <si>
    <t>jighHRjasuNslqSPEYWjg6YAf+zMRpd6ppjuYO3XpWD6a2faMKoypN1CaIObxx2k/BSV8nSqATj5gF3YQLMMV5MqW0i9UKCj2Fu//ZKo9ElbsVPAFk89LX/yoQNPefgkY0qD0WKeqYThqMcvjlY12lYImelr2uc+/q8RluLa450/eYNvMoF5Go9rbH44iKr3WcHFNMZjVPgmG/h5R+NVGByEkhuHR60BYFGJ1IvQ8i6QIHS7rZPYCyoBHYc=</t>
  </si>
  <si>
    <t>L/hOemriHtY2rpgkPAtoGpobLU6OBgfUxsHa61hH9lbISWW5/BbMjuvI3h7mJOr9c+popWPqHOzlM/VVeK/uSasir0Jpsjd4y5UmshRHJcl/+EWobd8UcdIrbkY02J1gqwJgMKwcFgc2ry9foNOhu2UNEn9TbTK04SohOzXi/N94wEj0pVTQzDewAS+LQQajvxSRw3gxFG/HL/qoeBVcObUnwCO5KrIzWHszz6cszJ94TUUkJhAWg0j+oLw=</t>
  </si>
  <si>
    <t>unOWpMeFbjd2odF8h0/gOSwRhMIceWPM+9WyR9Gs+UDTcQAhSipAgZv9km9on7xzEA/+9EkkqXUxWuJKWKh7J/qb4EnRCTDuERY2xmy8psVaIuPS9BD7GljJu7qnhOGRs/zYKLKfKfJHLcVjkA3YsQH3gMr/ufEc/Mfv76sOOU324r2NKRj++L+kRBcLmzqaXqQd6mLZfwdhBQIspqpgC7AKy/Hja2HWE+csWyX729BKWaTnydqB02WpunM=</t>
  </si>
  <si>
    <t>ZB0QJ8ohjgPa81yIm2jg/0ZI20YAIBqxDPWd8jVK4UAjo+SzmbHknjq7SKaupvNSbDY1mcqWNT4Se9gVeN7E/kMY5/QkrUJ1ROKLh1Zk1qnDR3YOimab1npHAKayN7g4G3UjKUrBVG5rqDo3zqre1kNw0FMUPmBddX6QPKnC0i5fJviofMha3cgWGErw9hb6GXkRNEAsodb+QgwLC/SwXZVosBWMt6pMYTmVPpaEnqX66bLHzm+ygQDg4Uo=</t>
  </si>
  <si>
    <t>cw8zubYCNcPKWpFZeTpvJdE+NWEorl1RgUuTcuXrZsy7iuNW6GpCD8JyGnytn+xGIjN/rmwwKSITmvrW8erAsde/0n62yufZa8Iavp/gN9Ci75Ky3KuC7GbQdpcZy7ypxZzcfsj/7Or2eny9u0/3ZFd7lViODYIZczGLZoxcCDD7/WTi3ShbdPUrEdfZe9XQ//noMvNDkZsBCaRWmcYmPEGCkYxGmtnIKtQMpNwFUzFwvlcgHiRGtsMtqjI=</t>
  </si>
  <si>
    <t>t68DUbLCeqr1N7g6mv86I4qIYfWQg0fFVb0cLFBSwewSkLFp8CCZtZnSPwts3pg2lvhvjfbN5fexLmkDuotqzpMec8Vei8pGjJlliW1G/GK83pmOBfUbQ7fuEBTzr0f3NXRbjgQTSFNWluemToTiptw4xtsXAZOHVRWhBPEHnCdovXnPA0ehwcwoEC2w76PpBHMG9v7EuAZBJVNDqvpr8+R/X99mmUDBXyhc/uS36/DjJNxj/7EdfnUDUmk=</t>
  </si>
  <si>
    <t>m+88JI+F6w8Qt8acsRS7M39hYoKj2f9b9B/J6+BOelilGchnlwpMiFZ7P+W1r2VwDL4k6ijmYj17DFuimhOiAwU4qxpr+Owp7mdVksQ+q00sxeNotcwMuTomxZld/254Ni52oM7BYOtbZcdQDgaQtbJPAy+/D8thWCyIchf2Ev5pw4XwgVRDuxhwANnSL3VaeJFdvLdBZ4zkHIBhubfpwqsUBA8PlM4y142iJaAPObFLrd5+1vpliJ2e3OA=</t>
  </si>
  <si>
    <t>Un5CWMuzAqsUXMZsRdgID183/CG9Oc3krstVO3FyyfxBRVFzuSJ8o3+ClPDHRmfloAeeGZQEvKnF6v2v/IecHZtVj63CUGAFzr4I8nLqDD76kiQuh9oVMWToInKOof0lYt19q9ZIn+28XlMW/8aJ66aEdPmWsFzaHrbLW8pGZ2PvJf9gO3Zrc8jdWE783AUY1dkS/B01pb+tulpN30zq8ajja6TVhWb/50bFjL+eWZKarGinVmcULAWIshw=</t>
  </si>
  <si>
    <t>wHamArQnNkTP/UHbgKY+KZl7BAHyrhU0Rsuc2Wun1obOUCa6xnEsCaPIkyNvkQ2N65iZ6//SFJ0SHVZNjVQHcnJvJsYrDfaIIBF1/QbxTIfzRZx03tZ4FKQuG01YKcxjJizi1Jf0vIRIHxm5O95CjAMKLmy8ti2ij2dMpQn/sH1samnncrpgqs40I8EIYrbeBdM0nzsxvjEK8WnOJJ3t4nm5jZQcV/kktJHOamPeBkaRIbXfj/8JzBjEhlM=</t>
  </si>
  <si>
    <t>Eid1mxz1+NU3EW1ZHV3SoAkl3G7GTV6LbxeesqH6NTbL7Ni22UtRQrXD++UTbPo5GyubaWDDwa6kxXezLZvOrNDDXh2KLVYUIefI1cwoUUh3PG1lmGZs9gKIcgpWdES5Gaaj73Wjt/KydrpmawXDP8UlT/Fa9Mqc+UK0R/68CvDwG3gAqMzCU7XJyDXjgUT1PV6QkwY+VbejE7zNzbWUxduSVXqgirfQgyHC/ery1nU3ns2sg7JujTyhPAM=</t>
  </si>
  <si>
    <t>s82bmDy7888DeW3oslok19s/SEmGzc7q40DBvDkvC4pPYI0EZqFX0jLNlZWYOPAx43CcSAbAbpXdOTpPSt/ZwTuIUwsfwrrEoNA1pEM9PhqrUuP6cNi0u39+hQ/R5+JtOfOVFq1yGyP5WITCAuQaw8tvC1u7PASFI+GI3z3ARB6t661o0S+88SUtH+8MHtRyG1NpqcLGgl0d5H8zdsp62xucV4qzAxqgVJ/ju9UJpCQKvbPhOYWy0+OGZ/0=</t>
  </si>
  <si>
    <t>+yTDHWtS2CCOs7AQbxjtCh4KO/JsKcuqU0dP8qEVuRjEC18xu03s4yITTWvQkS5rRym9Ob3eqnNWGVPtTKuBzCN1iD3aIt6MoX4zjyYu4m60ZKjY8HYtDJ7XKToykpppY/2MkrWjvcB3OpYukzkuOcaj5MbPlz/TTEa3NbKQ7poyqx/FP8s+ODxWjElGAwIw7UX61hAMBfINFgkz9Kd//zrWOyykCER3NOV40FipnbK5BnL/bc37vjrjSJ8=</t>
  </si>
  <si>
    <t>YXPQGAihboRlyVWbCzAglBehlWmjwxT/livv3jriEcO9NNfubsuX3y6d63v6eqD+Z34Cblbbg72JkiJmuDlJpHLOzUClSOePk1SXnCL9yeT6TENsNIF0r1fsLmBVW5TglkVv08jOKFvMwYRcWsILsgUuFe8oJYkGGEKB6D9JA2hWss1WL1Pfq8rlBznu6tVRYWhV5Wk4E3cUh8rqAEitsG0XMWuAzh8ZTG4WYfT7JeIB2oQu2+dAMjqmRzo=</t>
  </si>
  <si>
    <t>rOnezBcIF8AXXE8b+DlAYoiBvaRHlubCSwz5JwdRsENJOMoqajGRHF8Kzw9DJnknc8ShrzGFjdahDoTagsM9cIEES9k+iK/wHYDzvl10RmfPczXc6wEN+XTouw8WE7iSuJK6tnB2jBcMYE0jDE8WId3y+tBIUXquMrEhP3sU+UkujNmzZhef8B8MOtsgV4VgJM6KMEuQOJaN4OuNUnsMZzrrChSi60i40wsABqGjVGHHQ3gbJBev5lVCJ6A=</t>
  </si>
  <si>
    <t>3OWIjb8mOSdQintBt2j2yMlm3+Lmdq2qtnwOj73ZLNEBE8nVYOOmw22KTLbhEBarBElIVQ3rFoDCFm37IkdNxXgOcZwwMcTKtPH8mL6k9jfLMLOCIea096X6MUDkQ/29FmUmJAhaRsHcW/Ov7nCNgBmXQk9WyR9Y7pZ6w/DZPdB+U+f/tfTyilmyrRHiAkVAq+GvjatdQLy5HDNRhwO6iboL30CqN3Um6DJnCaK5p61Kj+QcXw2cJBiZqP0=</t>
  </si>
  <si>
    <t>snJlnn6xn6bxAgYLjsbIZGUmujJXpkovUQdfGl+/kP66diuo2OxfBd/GThYjgkscRqdYI+/IKkI9Reuiv3va7DA7Jna0Kvn81zkHT0meH8oyBVQLk9SLel0GM3oPky9CMPo27HtJCcgZxZvjtJvk9Zyr0/P0iYhzTsUmWpeyXx08d9boXUA6iJvWBN2th5FZ1c/AfAeFjhRQqLxgUOMOOORRMESqqecvnrLsAhF9oej6TKU2AjDGGT6wu9A=</t>
  </si>
  <si>
    <t>jCFvekPCwznFO8o81L8dfNm8cH3JnyMmYzNB4TvbmgYRanQO+6f0LznTXGy9TPm3g0tXOwETObEmS9bO6uBi2xXWP7i36bHKFAfPfqPnjra53h0I8bT7Pu2lEIYRBdpQlB7gPXunjVDHmbz2V0rDsLBLp42kXlTGcBZxbh+8fCvimbHy/lEqQeNHKBja7t1Z9TUcEGLwVNhnVesYLJARzuw/Jm5EGdZonraW/TDF9pW7uDqviyFM9GUdBBc=</t>
  </si>
  <si>
    <t>UHiycxbIWrjVYgrF+B371id+Qo3hocBEf8MHAcT5QIXks2J/ubGLynbmlT/fJWa9gDlSNZobGO4UeWTUXCnlHfC1Nl/TqEczZMCR5oMfoGkzVtGjVk4JIJxanQTIzMDEwqdwdS5GaGZO1ZVjPsSm5uwVYNo4HqZ95kxPyb9O74MN6Y45o8eKSMquFVhP/fwpfO/tNoFHSukYqVxYNTcLPA7o6ptYie/kmFgthBx2Ea5S7g9Itypv4sSGpoQ=</t>
  </si>
  <si>
    <t>glQkRqN8XPaBdLLmj6tV8CGgPKnwDiGTWtL/pZ15CbM0ZsOw9ZJh3AeOL4WTBzOQvNo4q5eXN2K3MPTBWRJLL1cQ5Xt9SE4PL/honiLZPkoRyZpXlxUelR2d30FW/xWmEK5hevBbLoFbm6FGQL2dw7OnevhP8VR204xzAEwUB/2YzC0miorOWFhUVbw9mmzKUKRGSCFb6kvCb5ogwyvVCcDWax2IvKl2PsWOdoW39JYvt/81+nO2NrSZcKI=</t>
  </si>
  <si>
    <t>6iTAwL6QHLceKeyUhd7gLV3lIIzAieYA7b0IJmsYzCsXlICC6qXjwTsltlwyh8FyOHHGjGidvMnA9PuHLYvqvcKSZ5l+MGViXXY5QToh4JuvWhwzyImfvAbOEMZEdJdl5v60JGKJI9j8eE2MH4LtfnkF7qMlprQ4EzSOXRSINEHN91TtRT+7a7VYnd5XYN3e6z+ogPAiaupWfwPOSUAW5R4bNehas5+zyzo3lAUcc/0Gn5CqWsU+wq8wx8c=</t>
  </si>
  <si>
    <t>Vp6ZAtPCtMfu2HGqGE+09DU2kJHpddhY40tctQdnfDWbgSJVFSLq82W0teEutilWaSDYvOFqUpSqGhqz+OjakXAO17QAGmUWs11nXgLAd83C2VS2zQgiA5U5Xl/dQQIFIt6Qk5derQNxEpsWX99/0mj03iYdBXJVjq4XFh++3r/78e4e90xafbaOdAMvVLoW1OY8d6FgEm4R4uLZU9Flgj3fgP4hJtAe5qzhQL0MjKFUOcmFk5omZldlNsc=</t>
  </si>
  <si>
    <t>zyQpkTOHaM4GlB9TOxkbaux4CXLz2nadVaaGIBDBLOoV1wMdMG4Pqywt3oVvFfp7l7rV0h7QPyVE3YK0CmCXNJ4K91jqMrOF0Vh30BITBJKM7jwC6WotK/cKv0Ii64RO7osoGXMROr5BpqrxDKTVd/hLPXnRqhE2fV9R1xaH8Qclvfqxw5H39gmOgvUcI8Shrksr2DRvbwLjsX9PHZ1VbIU9ZUN6aOzfk/favYf24DLMGuMLfspUW8PfEHw=</t>
  </si>
  <si>
    <t>+6COy5L/NuwsyI/RWsxu/n0cw3vS64MlMqYg84V1CrCunFrtCjTf7sYnnPZIE5V5yMKhM2XpeSAFAfOhUnl0BDbkp/j3FfCg0iY4UGcZ6o/EpbZu12ZQImugKcx96IAiT3GY0HYZO4JhqoPpFXppddBGOOfhCr8NK2P5MQFX62lSWFmQ0JznzMynaL6J8TTkTDGNI6IbYSM3V34XUuJy3cK/oIZW/GUtKpokuwHF1azyeR+CgZUT83wNX+0=</t>
  </si>
  <si>
    <t>sO1lkQpbWQEft+azt3Ca2OZNdradYjkuFq4YAJDmUcCqgv9ikB5mO/Sbz6QWWOdmvGCthLFZKcVtxCyr7eHuW05No9nZepibpzL/RNvYPRWsxo1G8ATlWEnCjkNjps6vVcdf9lvm3ugNAVGlcTxwxrS3n0XlLkE90dvYEmtaoKksphVyhyNEllF5SSjS/fqzq99rzNyQ8lGPTGf2PtMryvrVZcEBXeAFzK9UpeQDiMO8slBg99fsrTLxeCY=</t>
  </si>
  <si>
    <t>DYuBqYOg02c6Qu7sxpnW7x6Fk4063S9kUTKdqBsImi5O6u0JTZyDgKUnD9AtGsRPiofCeQS4h6Opuf6kcsGlI7gE3ekucHMRv3vniXj2smUoeafQJT6L9yGkgsYRcbYp7f76JW31ASFaJB2v5wbsYrCZ0NKoinnIbPszA2aB5MinqLiW4Cop1Nx1XOH97y4CnV9MUXHUj+1h8xP45XHinRBC3AHJ9bTc/0sdvGUlLQsjgFh22SUxnSbD0W8=</t>
  </si>
  <si>
    <t>l91zg8QH583p1GaLbOw9q3+y4OVrp682F4LhskBfeNtDEmTWGx+qQdmeA2YuhWPQ2DTZwYrg9G7ZAuqdPyQNJPDeGwGvmkktmMgxiYGYeGPAJyhnkSHJJxl+bzS3GbskxMRCGbao8KQdgmOBrp2pLTTZ7W+VscYT4Awq+tf4YTMEabIHrm/Mm4E9yphuD2UOBO78Ieyc6O522C2KIPUx23J5y760EKZwlcOBx8aW6fhRvssRRhI4NNnb43g=</t>
  </si>
  <si>
    <t>21xSwapwNPXYJLMKo6JzaFprO8FeaQ6FRtz4Y7KLKTThXGOy/N8/reLoGtvr+eF7BmJ6F9earM4TH60uPhA8GjmNFBpd8kqeWBIyB1/ILQzqeiEBMTL5G0vog+Pw38E4uvu2CU+x6515CDz1ubrckmtxTpRV4sUhUY2esN/urvNr8XGzEjqKWnzBnSGmYirtVK24DmL1pJV0qa6NdTqP9LC7KyLLZhXP6V572UwlWo3I2pdq7+aKh+uRt4M=</t>
  </si>
  <si>
    <t>xkjSlDW9xkpPO4Bh5SH8g3KxYkHA9j2xCg4J/sOeHF1kI7CefLpcvZr41ounFxBbvsM7ghw4r1zylhY2MULLm0sMLC8ZYI/2dq7FMEGrEYzDOW6QXZMEDrd+/fL8jSQG8hSJqh2BpgSbD07dtNF5MMGDPrzqTSg3Qna4GiqrA92iQ/XWUTvtsbaCwUlOiSreFajqAUlRhRvk+KhZPFisqhmdjBze2mhGIa8E7zNiq9omgicW9teBBLRhuXI=</t>
  </si>
  <si>
    <t>zVjuo36pXvvW6r/toMbM/uHKuyODN2y27Yzq/ZmwOgULp6GdeiNwSYz5DulYwTRgzaV3dWo8YlZOsgUkV1goLbuWXrn7wL5AFfEu3hdJR1j60icYkJkSwws6wHOIZuDRmJ8m5w/+HqlDiSilawgJmemCaDkIQ+q9wz9PLVIvFArwF+/7Jm2N54jvV//bA8WtjKkKWXGBNvP6+46E/suUj2lbfSENFYLlKzY2rpNKfmW3teuTXTSffZTv/YY=</t>
  </si>
  <si>
    <t>IC/0xY54hBKH0QhV51m2umWKxj/hI8CMt6wuqkU4201hc20Z/1wVQEArQ1yYzWfwNr34AYZI3I/V70SxJ/98QcP2tap+uPzQKFIUM60HeYrxtOhObDRW0GeA0NLITovZ6seGIqfgL1qf2bKfAf5rZRkNj5Q4b1/VJMKA3S/YAv4J5LcEpbStargKlb2F7z0n7H//jwIqiRft07SesOQCh6K3ENbgtCx1J6EQ+TOGMHbnJlhT36+XBO9+vb0=</t>
  </si>
  <si>
    <t>YClogUpPXDE152XRx2aR49RGg6CfWeM9pQ/NvEYmw7nhh7vHGORIMr1gu8L9xo69HC64WJ30QQcTiPfVmGKCi/HWhq3uwW0T03MAhc5W/Idqa4X3t1PTV6YDZ8pVmanZWjyyBX2hxMaRC/vAH+hCey61SF9BOPnmB1Cc6pydxsC17M21FLFveQmdYf0Xrj9ImqmG6VcznVQm/f9j2yP49znpjc+MZjBDP2RW6bHu4s/MUtnpb1ygCy7HMQY=</t>
  </si>
  <si>
    <t>nMS3N/EX6LipEzUjT9gvsKPQGFoMSwmQvggi6FTjZHV1S/38gctSS1HTj4Acbgs4NKnw9DXy8qc3vtoqvMHTURNgc4rJcnu27Ssjq66o4vgHBiLdqk6yVr2i8BYXJk7vqdYPRGtRJeNxm/CsnJCQStpDTB7DhT9y2qp7a578pwUrvkvEBT1qq87524Sf2DfhhUUHk8iJOuclqGJe8gX0JGsdtJeoHNcNSZ2KFFGAhxK/ntXSIPrv3is8ArI=</t>
  </si>
  <si>
    <t>Xy5DdCpT01ApAtmsl3cPQS/SaSjbqhMdc3TxLKAHuyDErE5lxYRiQiRIZqoYp3X4kDkADgFKo5N4FC/dAMSt3syGuXC9eQhPmbmB0FmVyv+DM8Km0aliQo0Po/IEkU3vn9SlhAaMNeaGiGvWCPXqMEoEXOJI+Jq+3wfn5vwYVbqHTXPy0iyh113sACD644HcNgKOsGRKsE2yuWPihSQArWeQ3WWrotTuSg37VSiecMWR8ZCxfmwtw2F4RlM=</t>
  </si>
  <si>
    <t>//lfI12328C9Tfwq+FuM+cPWXYPKlljKJk91kFKICAy7k1GiZIR0Q7fJzrWccmw4foyKRZjXA0Li/9YlYYAUAtj2vZGaIIO9H/fl9vaxBe8b3fUDc+kop9Z4u+PjJOtHfaRPy/orXFQBTZbBzJ7q3m9ARjnca6g6ssNvit6iJCf0s9FbBS9rzdwTMCSDXbDwVtNqc+onD2JfHAgvClEVlLhNIANhlfTweLwvvOqBYHdPTBWnIJGwZxINtj8=</t>
  </si>
  <si>
    <t>N3AyE3+oAYo3l6Xo2Wz640ak+FD42jLnHJWorbiotskWE2THRVS7IlgPJMZyQYE59y+/9sQeoACIYv5CV6JGbwB6UzZ71kCr/WL7WgC2jAgFwqoVi0kifEbHyAMQcgArQtXw8TKqVMTZ/NgVY1BLgG+iWEj2qdxseCCnOPZ7QIbBJAlEjhhnFRdsc3PIA7a24x52pQFqtAUNLwTGTGLuPwV1GSZQj5gcX5VW74QZ3Ce1nchbz2PUDYvtySk=</t>
  </si>
  <si>
    <t>KFyxH0aGNZ/xZ2bfOez03Cku+r0/z6rtTRFFf96T3G8CTirzygC6+p/hpO9hsP0xPkcguCLc0noomMGbaqiS4rwaPqpPhbCQ2vVSXnFAJQOml0i3qR81axCRai2YdnlZxDuwTsG3xG/OnjC3W4DZ82R56erklkbO2hGUTHCVKy61UlP/qUnYydpMIOSSbeVhOAMl35DY0JdRRo2MnTCDYCaFr5H+m6T53IsWjv74Tt7i+6wfOMLej96xOnU=</t>
  </si>
  <si>
    <t>5PbgihkcwDth3oUHWc22dG4bg+J5ae7XuteaHXbIviD2yEKowwbgf7GEpxgb0KxOWaA8SLs10c/R/E7vBT3ed7djezxMnKNbV0vdP5qLJTUcpzHN8k8Z55thkhUsIR4L++RTz3rrUsotVQhg/Pwg+0WSMzS4dEqOJQw7LXWHP8Y5CREHyWNkrjISwTINMRjdsEkwrWdo4vT7EFS/3s0S+qTFGkm2mF8QQRyeDI1JCQJWRcR9tmE2UNrjOQQ=</t>
  </si>
  <si>
    <t>ZZlw2m1DO9Z0ZjmyExAPcxBCSpQRJtcQmDzGUfNfL6S74uQ7vLIHPpNyekf8o3pK+Qi7m8YOo2sEP0OREd0zI3sbwpGDb+Y76eFMiSuTWlZp+VywJVQ6IFyt6VnICuC4zgmlNlPDWaLiNUl9jHlYaKqrIxsEMMei61xrozJr290BIpH4NtR4/Qgq9LWw/DaS/jKNK+afHkNPRS0ss0S9+kdF5pyXJqvTuQ3JjkkhRaAElpHW2bJgErPcNQA=</t>
  </si>
  <si>
    <t>o4OvtxIQIPdmUZhmbg30BeuP6oOxMiBdkDtohxYhM61gi6bM24pjmKkdSSU3SgU1kEl6jBJ0pFIWmBN++StfKHQnELYA5kDTb/3/aY3JimLhTWlMvJ1l1x0IKtqpIH+9+2Eh5gU9+fVstY04bHy6JRknMRwkBinYGmzpmzuJ6rgYdF3Jl6O3VhLYm2obmsdA6+e8/C0YW30xl17/MbbhwAljPtLOzvnan3XhRbTET9mUAHdBFHe3yzW3QN0=</t>
  </si>
  <si>
    <t>rw9+Q/ZwaZfsdV6EiisxwSyf1NSzH8NzTtGYqbrR4fAVArL4hxKXVJrUnyBvWfISc8mAVcOZxNgtgo6HaY4M9QZMz8up3zYU3uWTttgzK24YH3P14XwtmVStzD3FU9qVe2bkTSE2H7LHMGm87D6xVS7qLmphzLaPMkV2mQ56T+DHMGrrHZdEvTRZO3/5akV5habRGvtz9f8IDgj7G1ZRot5os/UorvBwehX6QWRpQoecifhi/JrHGDzlQbw=</t>
  </si>
  <si>
    <t>CfLvOY8JknggFS9Kj8R6H9pfMsMBKExC+QBKQL2rTlBOYFO28FI0SpF+Zg7Wc/ezFKllKWfHY2sEh4R6qvgyezczgZAb805iXWk+4zV+gOFaRjVC4n+K3NfnhLCYWV33gGrU6npvL1LOpIHHN2d6szRg1Qw0yVn+xolLdtMcSdoU4zw+ERIblRbq+bbCDiCregSaNvHnTn1lXLbrwQDE+TiZodVGyiI/awK3gj41badYCzg7IQt50G+wNhE=</t>
  </si>
  <si>
    <t>CcXdVdbl7QyhqjFyf2cL6A8j8zvxOk4tmszsOlXjGZZPqizku2ZmJAbfYMeYYD1ajj+yppPymt99xe6sAJZWXEp53AfKaxVx1CdSGoQMoS0hEZqpQJrwJtw1X8GQ3qGBMlWFLwPtXSWU6ToQSAETKRFJtGAD7/M9vOk1BCd6l6aVqpYs1f9F+Av90jvLag6HJnwYHoiI9FaI6WZdB/KKoAZRAdayBHpsRKX0RzNWKPWLAmCerkoUVOY7Yz0=</t>
  </si>
  <si>
    <t>BK0IHFZvexZQJieRy54cGljWhEKBOkNT/vKnTUPFneHEJvw6XzSpNkv1FY6xLo6AlqxWCqZEKr4sHujpooVjMk4X48cFhyt/YPNTF4coyeDv2f5jRf5GW06YV6YfNHOjbGmducbAF57iq3uueBhAj/3kQedKny10Oi2dbfRb3FZDEA/MHQfEJRekYPhS7N7QTsfCaZSOD1gWRxkIZnbgiS4OlXXuXwsj7lc+fWrjaVS3ZS5u6bvSENabdM0=</t>
  </si>
  <si>
    <t>rfRVaqM4/u6KCdXOX/Cqx+sw5TlbXrQd+W6Tie/FIrZT4i9PO76gzM2mxj3tet1FwEOpgyJ1WxJ6H7eBpVpJtkw5JOalhZ27F6E4XVW1TEY/aXWAvfM4p+Jzal7b5j3gU4VAhbvnPdvmidKDDjhb4CR+J81/zEB7x4oW000G35AqYZot6wnbmmW7aBZxkEddN8K3963LSmdMFxMC1oyDl8GI6xQpYD6U95scCeVCjvz9uLg71lvrpejetho=</t>
  </si>
  <si>
    <t>jJl94BaeFl1USEap5TuZyHa/tY7rJb5Kua2ypyWcmvXxd0zISvphYjFlV+sGpi+Id/0XkUjI7ElQ5tDPbmz4J4V5nV0mcKmvoPV5lKJaFyDy1ysxMCP/wyPfrbdwt7wbP4gmY1LNGuUsPWbpErrIK1jhT6qStxL+PcRwRsqXV4UjrCF9vZOd+hnFPvhIfSLF1ZbbAywfLN/y0mUr4QEGadk4ifjetM6+yoPCjV9niyZDIWlARHRG9uyuZZA=</t>
  </si>
  <si>
    <t>SJ4hW1CEKCzeU97ywz9+9tdqMUaOdznkuK5JeeWsWm84xHbg+SK9EDp3sHj3rujVIiD7gNBiwCxMdmvMSTMTmk2cAYU/NEEZoCrp1qHc5nSCNBo2oGWs/1btZlsli5bSqeBeHVus7YZQsp6HsvXSQMgRJclPbAlNtkvX4aduw61KyKoSQHBKREWd6XxK7vvB0fCqByR/ilk2L8Zd0efvL9H9GVq+ahgMmE8G0DCSEGEdUNOanqh9HSx4zqM=</t>
  </si>
  <si>
    <t>BSzgxyy/MGaAkDx4v6XXAYU7Ij3556CsgXGiw0aUUzbn00QWlBbCqlCQKqi/xHwVHBzhRCwb4zgIfrnRkfQBUMaA7XtMkonETCgZ6wojdlsV5+UXul6J35VxMC94AA83eiJ02v5pxJ2iaSzA5U+6d/ZHZw4M57xxa9jKLI8fYfC8qhSDC6uMQyxTs8nsXNYvUSzRHU1+1NRNMBVZy3REmCiEm7yOFErQhPhk35ca+FTAkM2WUGJ+2GFrOb0=</t>
  </si>
  <si>
    <t>0mCc8ThmO1QYzfQ9WN75aa1U0dDbgLWhzeX6hsqxD9H8Kif+T1uVPOAQJGq4JIvptHyNPoc8UvPDgkOg4RiC0lKLwgjVNBaArAwaPLKrt+41iCtLGpi8LGsulEiuc2cObsfMo/ODN4i5CHKebnoKFehxndyHb6NIV61/NSRL76s7x0CYgZhwTtKmfP3fyVXxB0XC8CiTu3gHQCGA8mC9vnxZcwTjBeVJ7stX85uBF0g/7+GKu5a6CrYJXtg=</t>
  </si>
  <si>
    <t>2LntLdQKTfaWLDhjofo0ywQzbCuO2E8KNqppsmR18aO1S4hcO6CXkJ2zwpvRUpJFP6gfZID++boA7yUST+gH2G5p43fgWxvr69gdUkgzB9N3R/wlOV5ymSF8GAXdOdD0JBfRkN5fxFdn+l6jCX3pMLKjIl+EOx/y7dLRDFWgwoSCgCpPcPycPCHUFQi6NtDnjHhyvcgP06npZhlif5Jm5vs6h31lary6ZJwv6QnopHzY0JEl8y21mFvIc84=</t>
  </si>
  <si>
    <t>+jmp6OTe9ZAKdx29sXNfoeN8Ftqk6iulaC3+syGpxVmpXFdf/t5rXBhfSxVzzLEFccPulkzCPIjm+2TcHMfP9DdVL2jA5utLcKxeZHKhGSnCBbyB+PyOZBU4EusMiBWm2Oh9UCH6d44lcTklAjnhmHnpwXuNQrmJyVddcRQ+5UfmgkDR/szQGJG74w5CW6BccHmkqsmTxdFPhWpxSSrYOGmJTc2/X3AbyEyjCLUvjVFN9AG2qtjPgtpW/ZI=</t>
  </si>
  <si>
    <t>Bg7ttYLZPQb7ar1GFZbHe9AAEtmh98cZ5zBSesV05W5B/q6u8mKUn9J06Q0QJ7l7+BGavpd0kzNVRqJ8EEl2iUSreHI5en2RoLANJxoRIAnzmzEeFEX37pEKOXSFSSC3sfpMdD01F4MAmNWDV00EUdgdctFY6ANHI3VtfVZ6ViGVLAOV+yHSM9DVVWLqE17XOLV0+mVyFRfP1Mg4HSOK6SuGIp+f2PvwgGlTGyHD1GQn2L43mbi98gMbaoI=</t>
  </si>
  <si>
    <t>2KjuC1TjR8lk7ITtG6Vy4LWYJh9tWOirb5m/Hf6Tx54D3a26rzdPo6D32PUeO6st4vNFW0Hg55NWh95PPuIElYzksEsIA79zkLsTpxfXzf+m8zk+D++z/QI5e0Riv0O+9cQ41i9/9twF/MxtSpMNotAqIFwNsqOTNgrw0P8cezdL+78HBXdeCX9JmJjJSEENtBfDA3ED3K9nI2lJ3Zuvn3Lk15cBTjRCq9LOkK715ssyMNubKVY3zwpAgl4=</t>
  </si>
  <si>
    <t>WA9TWzlUHFux0USRwaygV7ZRGFeoevC/xfkToRTzK43R2ThwayyRTKk6JjDoIRJDnF+rv8RwagO799Qh7wF5CZRXNCnT38gR28GWS1xafvhVq0a6dsR23WDV3Bm1Xp4R4WQgksD0pem2F/UmgrBhOVrEKRu6TsAw4aPZbFuw1FFchB8XRhyaAUZ5vHI2sU+tKLOp9jSp8T04LtM2v6nyblaWxJfiJeRlhSwmbMmdrGF+0BETpO/VaoSUSvQ=</t>
  </si>
  <si>
    <t>bGoW2b4y1Z01Gq/ES3X/c0Ju5POf+s6kt/SQl3r4zeHSJJm3twRicwfoKhbU7BSWp42qxRCvDnauXYfVygHr4I01tGD1iC8SZwa9z2pWek+/0GIxtI6E0f6mMN/eqCAYuAjUut6tttUu0Z+Vhkoq/MMRf1jjjW3zTOFNByb3Ud+Pml+EgdSUnHndXT1ECQMokxH1SV2CuTQMWEBM0CRHscDIrioFMHzJlGK6txnpOyaO+doIidVkj2mCRBE=</t>
  </si>
  <si>
    <t>OMBuL64S0ph/w5l4c6OPVWyg05nMkFmMP7drgI069uYZ0ZNRykYF3OPGUxrPR8FKeYfh0xMksScn/tnT0DEDalwtSY72sn7/gZHpcozPBJfBUqdH56ye6Cg+CX/l61LsT+T7696LbjRDsQlEUFqQiQ3n4PzDIAuWcv8dZ/0+J0nrVANL53htLHSHyq8fC0A7MO4kbeptitUeLf7GqIoWnscjV5MFvgJ5U5qnTHWsZpWqmtaMp4ri0aQ1aQE=</t>
  </si>
  <si>
    <t>WAZaiMN4bdytV92+K34ypx+Km8onL227znJD9fXXgduEcA9H7A/OafMOQdvr8B0pKtkByMPLaFfRSRaTrYLVDjnTb6Si/cvml8kzGMmx9GVOr3EesGcelUPgmwa8zGTnF3jiZnx6QIEzv2MDjI0YDsdnIBmsCILaRstn5Zpqn9l4Kl5nmX2XRj4SsGpTCyjJy7UWWjbVlcMrzQvjNQIh/sH6TPKcCUYEATBmEwc//OVAJ1l5sYiCyVvsldw=</t>
  </si>
  <si>
    <t>zZKOwKy1QlztqEELfgrDOR+68cIyGeno0zVC/nKmsjtVqg55X3cagKdVyirOCVBWcwW70hkryFBxdPJiDj8spJFI/nWNStUfp71UHAHZfnFxLQio5ggvreqJdEOIylJbBQIbDPIh1QJ63EOIOqxP8Tl9uuJQgwFd53ufy+j2zCxcZhz0Asifg52YOihqC9TD2jkUtgXnJAUelRpCOzHHB1/9pbXmVEjzY+uGOovjV1sH0BINsMztNGBf6NY=</t>
  </si>
  <si>
    <t>epIuOWgzD1R+SJAlSbqSWAYHoCBrNrCI9CKsQUWllMaisiNIB6AHbaTJV+f+ddDcd0PCf+XgNPza5T3IfC2e+ZwjeabjC7kVw9OlHBJyrZFlxHBHZ1UOJxLs5231u490NbXqtq/6qjxHPphu/+jAYIcYCqV3bJHOddj0jegTN7C4v7Nwmq+ZQQsnIEZlE66zS3+1zJGdPaD56ogJpvef1tE+RfNz6TEk+8fvzoQG8LbgAQXaG1/G6QnyJf8=</t>
  </si>
  <si>
    <t>NLvwkPfUhjvC25SaAcpgTHxWdwPvSuU4E3IJN2aB1sJmOGGRGYttY1d9rsL3Q6+OOi5SDwN8v2HRcqRksn+R8W+OrddxeR2TrYl980+yw3fvY4u8KbiyJgvK/gx45o1zjwR+mOmpLvjycGQq8O4p0HNRFdNKqWJmLEHD/5rc3m/+afQvGHdsrQyRHJYrosboRsjiqtiTmmCNTNlbJakSk+YqYGLsD769fn/mqX4wHO8PZtRRUkTIwj3w5qA=</t>
  </si>
  <si>
    <t>F++QEa0Y4jtU9HQPMkyicB9ljEXp+t+YgqZJyVB4v+Hig+wgscxLrfzHW0kUdLiA8A3zts7g9c+cq0BEp5fTRfm/J9Vsg1Oa3+rzXCyvgZuB5Fl9BjzDG500tzk0683feDAedSRu6Q8009dK/khczX94K0NYK4v6vj+kc0rURfkfAJgyBGgy88DljxY38YE8S7Iwd+p+6Vf7mLfDUf/hjT5ToYs8iXWxYSCCCPTzlZgoLYwJb5S4Z5VmRlU=</t>
  </si>
  <si>
    <t>xCOl1D5qmti1oEEbH5pN/r50RgLhV2uukg6/hsVg7jCbj7uLYBw5Z8HY/Ay665/6yte/xBPmYsM86KpTgAzRHq8mzCp4DKvxsGhqA9wc7Wgv3JcLa6UDNLY3q9HPe6EkdJZEk8EOD02hk8jBwEqFDjtl2EVII+KG5RK+kQ2IyWI6F8UOtODaDgPYGtjU6ta6G6zjWS/PeX535AiNPhuMuKjaQpoSHsTdVfPJA8wkne7MBLahJoMTolQXdBQ=</t>
  </si>
  <si>
    <t>me9GbcO+nZPSMkRL1DKQegx4Vz/09K8S+tJx+7Rn2xARA3LS2U4HejLeOd8g1tolhJy/wgoEaYuEMKrtEvKEscn9sBbXqEhtKCdYwV8LAgCXPx5bUgzlPZLdqwSU2rUr5WMMdM2y8G/8WO7JrcGlYws5dVwflQYkPTKI29AAyV7RTD253gdIznJXI95Tbwmvjou+gNb3iFqy96IQT2N6+Ov8KraJvgdx0q5yvatrJiNqKGEpawkZXzLllGc=</t>
  </si>
  <si>
    <t>dJ8sC2q+71TcpYXGh3v6hwfUxzgMvnNN7kK//LQiEOarMVFBJDAxO5/AOs4jsqaHQzNdQF0naoo0A4izrcP12tE/cke0dm04vqzukS7QGEj1mxEb6+Lmn3Em1P1dRYFTcnlD0piBnxskgiYdufrYmHmkDD5UINbNPWoqtLVJGgl2kFZlaN9glCsuD14Qf6ztyv1jXrta+AmnjOiayCr7U/9LLdvGsSmfk9XCRLO2L4YpipVe6vugwkDQ3xc=</t>
  </si>
  <si>
    <t>va1Bwx6VkpVZ476V9qxNpekveT+VmT54kEn6Z4dLxg3gW5yojEWr8b5FlOhFpcTZGhtFSymZHA2ZcmPVTRQwgaXR4bkWoMmVSbYn/4neGSmJ4GWU08qig4dltrxrl/t5FixoHYXHe/Wgzn//O3Sh73wCeFoDYdsWSaWUzGuOXF2/igoVdresLJJ4tk7MpdAMhU6JnkPTJyorNbFeuJAS3LDMXLr+XircfqE2NNPqmCYsHwH/Iqr/kTXPTXI=</t>
  </si>
  <si>
    <t>w272vk4EsRD4WnOMS/jSFOFVu5f5xHDTu0ZcjWSEdmHyf2ZJ6gYlA4U/JCTVS8/ubnXJDmihPgcov5WPkWrr3bnMde52pCgizmkXoSktFdIkawhtgVuKemDlAslDn64Sqh+vvDT5CwqitvAs8mULwMyxkn7GCMIQlxd/QsTOamDhlZoy9SBsFhhHB85pHYnfGkenUaomnoTQT6url5S4c8A578NKUMqQcwVYawF3nc9NKznpfyXoZ9P/Ffg=</t>
  </si>
  <si>
    <t>lNp2jvWUmVt4+0tcaQOdhuAOxSylTtEHwNcml9lfn/6YINdytr5GsLNHHPvobzZ6tjqDEaJUNx/99opPrmSLH6WM8SVtQr7WbzD2zR3xAPdSM3jseRgnGLt5amyeHSMPtdhhmt7dgAsTIEk93K4i0LhKbye6NUiH/znYb3O37E0npR/jpmV6SByagjnSOKeV6hLOZ/MjMF73mMP0tyMqsCdO1rZ5NdXbW7E1zUv0GhYVVxe/sT4DFqwYGRw=</t>
  </si>
  <si>
    <t>rNy33q6OX6PedwUX3hGVM2+z0unxN1fkg0zzJ9NxEH2hL86gJZ4CITFCSuRyG9rFO3RGRDCmVB2f7KRz2LQCFkQRHWXXathaBi/IsSp3ZUcPqK0mxWyp1BUDd58a8xQ5HWITGyLG2KMkyPPyXzaIUpike8FuI89eXQrV2zshqnM7eRgzBqgLftWDjJz/vRs9h805+HphOG4OM05fDvkYDdWkGnx8f2UOKTF5x1kZRIqgwCQ3W4i6zr9HJIY=</t>
  </si>
  <si>
    <t>rKcNeos4zvQkcVmqh51tBErDdAJkX1eylc3r6zxNy/F6jE7Lf/QBukGLzRAS49sb3iXslorV8j75zoFALelzgE2GlpXjcPZkBxdszFccUmVbHrxFWIKkBle19AszuQUgJJnAOtB16Mylmt/EVJrGBodbl6viJIaszJcCBOMrYpJjNtHsVn6pQmzn0r+aI5KX9+JWH3VpZpf249LDSLIMd7T4AVFpHqQpuyR5QQkdMmEEiDaByTF7/Lq4j+0=</t>
  </si>
  <si>
    <t>5IkSTsxXTVeu3NnNNeH/XWCJ3PaOu9Q2Lda/4tQMec4VnASEA6YhGrOXsDjDnoWZzw2hAeWElD87k93FKuhZq/fLyvRMa4+BA5coTCeB6Loiz4KVPsg6vGglwsOr8bMTZ7nMVtCHYMJ0dd1mgXjUCWHoFcV7NJa6YuVz79zdlM/rNf3dypdp7taJ60I933OXPeQRzLs0IrkQJQmJth9nafN7dyjjKq3eHVxI9o3tsu6HoOc6etO58/BIXys=</t>
  </si>
  <si>
    <t>8Df+OaT6q7j3Gp6gYHzT8kgR3i/Qld4joJ/zTTD4fdYKHlFh59Aog18lXXfEYocT5vQG1wxPq2FJMGQEyIGmkU7HXs0c1RagAxFwFfhLHQeEip6DsNYGRnHLOYZvwZ3oRL/Z9brNb5DP6Am+drYDNdDoDH5nv9eYMSUmtqYnnvll7VDQX/NLCHVtPo+1RAlnN4JsDOjpHFbPcJpIFAHna7DvGOYpdw4qrCDjuGSLxFDah74AYTGf/FL3Trc=</t>
  </si>
  <si>
    <t>GKEaPYKhn77TZmKqN2qVJe8fpuXTRzRnwv4wzj9yCuuKTxqF2t+0L+eXfPR7VQUGW46wFQ2rtgwLadizLTCqwlcwSfCl4IqBdlJ/shB1ECJpEuMdCO0Lb9OxHtRpu7pTMtZsvTi5+1K8wXnLtm9RObPZpVTi/RVcReEISUxbnzn5jQsU9x6qnT4o1CYCYN6F8FzhH6Muj0qYKVlX8+5Gs7jvFSiAb2VxGJKTlLtlv7G8SnzUKSxnXVV2QHQ=</t>
  </si>
  <si>
    <t>KQcyPYkLOZI+MFhxFu/vXmc2iMGGl+hzWlvur7V4czWPlF+KenXF3FxV9PLC9Foo6Ev47YF2ZCTmTP8uHRmCp4cO4SmyiTUA7Ls9YlZXDOYhVYsCDCV4L0jJXarjL8To9sfTdsE3WonCajGi2DS0Kk0DlJ9wnNkHelvJ6vUYdbBlvLtxtzlFC5SEQ9UMA9Tpnedc9+StvFQOl7fhHfYlWHyjhPbXeEGO5RaWmjzd+8phvJS62W4uecFRsYU=</t>
  </si>
  <si>
    <t>Y/5MthW99fMmGJ8A551CyYYm8h1R1j2ZoHP2HipRquqUQr8PrE3xloa9CoCPTIIKv+znZau6x8L/T8oZjOD1qBf+no0K0vQ1ZwpwdNldZuPcFSRNVGeRs+QK9AugOCq8zjM1UtxCQAD04eIM/tKC8J7a75Io6zdPhjV5/vSwkOABS4rCPwmWbE/UudT54rMELluTyDYhJELjtoV0h9BM2TZ6JORuLxboeHBAUok6+taqwd7jMh4e9+dtOs4=</t>
  </si>
  <si>
    <t>Q3kvtmXnHYwF2KUExGGD4yPjjKsCbM1c0qxkJT/8NAadJNQfBp84WsDTSr3ZAgBK3Kx6MIfy8X0q5RVUB0jGMVd7aprE0Wno1pGOGUMjxehpJLYavYzmcgzNacW9Fsd7QdnzSNoBSccEmorIRdqBrVwOI9ngwmqsjhCdic7Q+GjPI6LfXMNBNF+y8jFsYOcPFmU8S8bn/IWQn6itZBAMBNGD6KBWsylWE9YZDX+rIM3HNGBr4g+vrTOUQYM=</t>
  </si>
  <si>
    <t>zABEEOEF5825m+xMTb7/xw/+dof6DTMmib6bM+EKNiqw/9ZkkWXXFpluwtag2TWIEy733iGWqdRcvjICnjaPL3vEqlPAmbN/br7FIlK7QECmPJp4spwKumxu2QpcDYpiuG3UyuU7xNHi2YBKlsv6GTB40XPC2uut3vbDlkEE9KT8uouXfQInLm4/oQ/DtyhS1QhBx+Y3Ld73jeBcddQiHgCFH8QBsE5c4eOzIH7YppaL08wjvKkYRdGfpH0=</t>
  </si>
  <si>
    <t>RKGm0O/9fODXLEih0+H9wWGQ7K+KnwNCOPF1smL+uCJ19t6tauRSYMViGoEsF8MvBh7TZiAFDeyZ5m/VYZ5bGogdR3SezbKbHJv7nynKNFhG6/udUL6+aiE7V8in+TPJrXvSreeGcYl3AftLADyX7FQbRRDiDfEIrab/QIbmUMiPjS1mdy5lO7eu6JlY+w9b9LY9PhQCJnDYlBZQ3YS/Vdb9DKgnxL8DyFZ5KlTOJ8EONSa6JRWPRtNeLd8=</t>
  </si>
  <si>
    <t>odmq4mQWAOvU46ZDibLHaK+2ZD9kTM/pnOFsdOFh80eMkU2Tr1kSPNqBrUrSARV32FCzMyaj1ZQG7NIinsVMb6alB6Tw4fXLwv7kXbAclRBOOqXQNhgwqiY/63TZnbb54kTFzpIlOTGi7WRckLm0mX/XzqEnegcZrw1TcA7pbrxTMhv1pCnIbtxxRUE+ONOw7C5YyXmIXj+lalM/4d81Gy1/kEXL6tFPNBvFI5AbVlL1BfP82y4Rxcwr7+U=</t>
  </si>
  <si>
    <t>T3ljBBVLlkwMcS2R48K2QOPVm87ZdsbiH7DK1azK7/S+Ms8EHzBQMNCYuy11m0yxf+WD9BxRI6TZBseTKbZjZnGogVH1xntr3MuJarW8oqpFJSdoKCclzZqfZY94Ge8oq1A80ZJrDcZBmpfzPE3GeVymg06pxx7LyWzMP8apJbSGilys1g1h2lF72mJNyVYgHY/abujG0O+J2QyAqpYiDojxDBlBf834+JBhBxREtVPFO6WTuQo7kG4niZ8=</t>
  </si>
  <si>
    <t>NNcjJL8gnm7s5pO3yvg6Xz9h2Ql8sO/bsTCmKA1zRw1MeG5pw6DNGMVqM+n8j/ejKE/7CBNff0+wRRnLd+rB/wWWzW40C+hM5F0uBsLeIVkbRsxxixV/0hYqFTT2YBl9WR8uMUavwQtLzOb0FpLaF8/adnFUjHWTtWYoJcm82nN/9jZOxJismp2XZgyOf3gsKiDRbtQ2pYZUfv4Ka6HIfUBYfvhnKW4PqkqsNwqoL6yp98FVz7I0rpK1r80=</t>
  </si>
  <si>
    <t>yjtLCWlYYl+WB6+1uYqMoe6/hSxCNlbAPqHElUoWc3Imgpqa/eQJ2Vp8L/u1Syr02O+o0amyXL8ptPbrmoUPJVejOEXXWJeiuxdYGhb+4WSQ5SBFqokqBT6MaTytOISfH4YW1B4OlYHQQ+T3GXGNFidrwUf/G0ZZjnTOJfYSkwOhpeSufhsqCwfnG97rg6AzDtot3Nw2YPIk7wb7rVAvSZMitDAduU8zFPt4MXFQRyb86otwJj5KWpxRbP0=</t>
  </si>
  <si>
    <t>amSFJF2HHnn9vMcp7rv1iqQF6zue+Sx7KHsLBSAJ24Abc6wM4LJj4D1Xl1bi5YrSmozTgvreHUxKVuf2zFsoyXJvFMm1MPnajuYlImIGC0KN/KlG2pgbLSXDx97s/ge0fy2jrOKOcE4E1LGK/odyv1ZxKgu4MKvWN4hbd2bvPk28J1U+F++GKh3z7Z+wnzTiO3Ff/EK/jYi7xnstgiALuVRNckmjYkTDa2cClPlSSyalWattuIpS4TudD7M=</t>
  </si>
  <si>
    <t>+N8LL76cbMeS4E126aB6jo0TaLGbTX3ZZF4IanP8rQKTul3U4rFB1XUoLn7+VmbisBTlcxNDulc74Uxp4ij40ld4/Z2CsXFzHcY2zPZhieh7HycstB3e5sAAJLfJYCMooZryfo+Im0hU5prmJuP6s68kEN4i7lPuoeBFdweOP1rP9DsVW1IsZkfvkJSJVjtgIaa/K6vcjywj54p/gpg04TK9aQEx7PimOoZY2HJakmZIaBlz0vySX21dw8o=</t>
  </si>
  <si>
    <t>+MAKChLVUB+llPPJBzQkXuvGNTJ9N7VcirPH2sgiCLb4HwqRjKczNdkCaTY6EbCQnJEEMmBzgDwJm52o+ATGukCaBL4b0274Oa3opvgSzhJx/MqDfRmBzPU3BBghaOCuOMdLVyh8uM+ap+i6W3CK59qmH8aZp1ngp0TGxm5seIltq2iHwW6vgBSFl/oAw1G7laNzJhJT8a0DjfIWA5PIhOUmEMGvXTivKuchudnDUWPVWXWToz2WEp++ZFw=</t>
  </si>
  <si>
    <t>Tn1amjCwgBZZu6CFpDp5QHeWRTKqg46k+bClPw9NW/US68gJnxDaVaUaOBVKj9Qeqi6dV9GdAldA8z4hKgSrjlURGH9zAY+f4Dk8c9zrS49jOb6/Hn+DUV4ObNiwqfsYpuTAQYravmbOC/t22E8LAz13j4UmJ4zzqyDB61rzAiQ1JknA56NulcKviZLPCOnjuBYydIIWTW9xOzHIdUMQRCxJvHTxI5YXTXOoEvAvIJPAGKYVnWAFgD6QpoQ=</t>
  </si>
  <si>
    <t>1+jzB/JE5i18wTu6EkNP2QXy6PZpUtL6URKQEz9pKlqGwzYtSQHyKvRbaYjAL82VBOXhX6td0HQ0T8eGiCRPECx/2J8Bb2Z9RJrVjs39YmufxFaGF7hXtZ2vM57H0EgQV0CFBfF8PNoKR1zBFX7AQCugBzXm3mFnodvuCzWS5RiTBf7NhMlvAOS53jW/JjJxKEoxIQN5R36tpy+cKAKuf4zLqukmscaunZqI9zg2Kx0uL65UMaqWtOlf+jY=</t>
  </si>
  <si>
    <t>nc4IEMeCWZ8J+inFzMFI3ANQDFiF5G+3lMHPEdpQ2tFjXM1Q69q27zrvTec/lBpUETec82miPU0mEKsWjXzwwuQE1qwpfdqfR6hjKIzPjo0v3fehHKdnCSLa7IySCW0s7hSvF3DbIDf1Ag/l9DO0u8mjJktvLenxkw31otFYWsBweGfy086b9HepvjRpDPlrx4Yi1B27vzHvwLEOP9bZuzBG9vmBwIvGER6mngt/4SrOWst3y0JfA0Qimec=</t>
  </si>
  <si>
    <t>Cm8rssV31vaGKZXSTb6BaZuJtvAPJvmC3FgHDXQ/7Hjt9O2wA3swCgBBvBFwhjpr7nS5ITVXp9t9wTzwPwn7W38OL//O1T+YqYrlJhsEy2FND5IKg/MHTMnWjVKxt3XmEuytiy+uiP84GNYirCqVhlLZypEa4cnzVnEsU2+kbv0eRPocJqbA+sK62rCNeTTNmzis3ClA6BuAxYGsxxFYeVlnaIjg7L4Y9Z8FfPuDHWHVF+qFJlEuiBlnre8=</t>
  </si>
  <si>
    <t>+8ZsW2lMoPlfRb+9tfwTyRDf/y9FhRlgrIsRce5y9mw3idIvML1ql37BUDzkXrt04m0XVZnXFtEj5eDc0LktI3KkzrGTFP4wltX05Xqxwi0c9VdQe1jy22jm6IsFvUCNXoq9Le0eT4kQjxfEU5czwm32sOxC5RoG7kbTcumG1ONIoVpL1o+dJI5IsizG5+Uh9yMBHXXqZKB8NCx8SPHXInuO3V13Imc+A7CS3hySpCwBnooexGYQAwvl2DA=</t>
  </si>
  <si>
    <t>W0L/1chb9sBu2BLM9JVVgUY6ws9O13AjKFI2sdlDUfRfV9ASbDmQDd6t1ZAI1NgMUykgVVyYoLDiePq0OGeqEmI7HIGOShE5KlShngFSIc3gYlpkYX9oau30z3KwCIX21RrsMJadp7+8JgD6oD5q9EC++owTOCzD2kjjMEToWIWuU86/IH/njLBP5PjXK9B3K7cWrCJb7G7fYi4cyVgsUd+4cOvG0HTWlTjbc4nz6shDX5F8FYseRtoPDXE=</t>
  </si>
  <si>
    <t>/Z3JJ88s28/MM9pVqDGB7j+ui+kRltiYNRM3kceFbjNBS1r6YIRkxllphuFZ9INQgiiDm8Ro9G219d1RtwApV+4ddRARk7lUCzXZ6Pbxd5cBBaysi6z1HJ8gXXYN3gOx3+4yHHDbZfDZJ2V1sLtNSX3zfHySyj+cpBkgk8JTgmZh1/hyTqaNcXIdJ6CatVru7/Wu37PYP20dIuqMDOOkH6Q5Pgc7CRqyhF70ViTdxFF8tO7SZrWHonji3Z8=</t>
  </si>
  <si>
    <t>oI22QvZhKASM6ilWLQcys9CwZujV1nmdm5nXjfakhorhBmJinbi40dw8oAHMl6okKN5RUthE6v8m/CldQ/c84BYuUJwH1Y83JApVr5fVJrrFOf0ja/+OeLDGh2JIjq+yo9LpSxj4W6Nkn0nvw0UfFtl+rEHVlkJh/pe0kDSxyO/h7aS3drl3nYycesQtJJ5JS4/1b3ttNmBPJHP3R2Jz5OYdiylk1V8Qnhdj+bcGsbJDy9yzZXvJ1necV5Q=</t>
  </si>
  <si>
    <t>9rL3pN6K/HMZg7luxlq11mCjnspYOF3a8iAKIOc9IiifL+lXZFDHvPMow1bCuk1nZUB+UuOTgdMdY0xSOroKWTsGIDAqjIEDz8yC+WXuvDM9Nkw8fjrw3eV1eTZYbwBZj4ZrhGQtqFEUbL97u64cqO+ef1dDCvH54fTbBSMmqeTt+t85aw7EMnFdMsRBAExKHsZLgRx/32AkQiY59Ky2cIB2iXAiBOhnUeUA714RwZszUTW3Ud8Cv/Tg8sA=</t>
  </si>
  <si>
    <t>/67uf4aU23BBGg37h5TtcOiC3EFmGPPoRzc0Nc5lz+gHbU90ui9vfZm/6uv2R5l6FvTSdyuKXVLRcfcXe3tldLBqWd6CyEYw/uBvrshgA7RxctcG96EUscFA+K77fZeBXABf3kq5oQiIUON0KNkft9Tpz6wlwKmP5NAyp6XkZm2yyjTYbPKts9lDapjCO5zqEtvIRJ9TLnQLkZdrGFff3yimsYvxovL70x3We1rdLyKsfMKI5gjXI0V0lnY=</t>
  </si>
  <si>
    <t>h1Wg/UuLbWjgihyO8XTYb0lBHaH9sXgTpDRD1NamgAw74cuRUvqqChb7IkBIN5EqJDfJrhKAY0itN1YD9tuTAQiByBx7c74H9M6w2xze7b5zCr6nEJCIB3Ow8UR8iN/KtjbBAAKu2ZKyF6dG0RaZzSiA8Lp1Slp5h/Gs0tiHfiqJ2QNx635C/FBLihuWJ2US6k2A06TsJe/u2zVV3jW5YNwy9HhqjmrgDSz7uPEMSVNHkvo/SZi6OuJyxWQ=</t>
  </si>
  <si>
    <t>Botsr8lSoq9FOBaBebmqytru53Wzp7Pm+h3vp+FG8xJcHWLTCUMQxrnWHpAiQFhhZDMttDfJJpAfo5MWbnP7qzVPSF3gvy8BPPZtB03fRiyF74Gb8gl1S/pCdG+WlLP/dw6P8QQi23tWBsBvegMgMqAnZT+tAJkCdoS9NxPun2FtbeEgV8IL2ZuCQtKWzcPIT/o2sptCyfgED16LKMokM63qRNMbOCpnV4CPrsNDXCl63k3wKBWNUbwaSTg=</t>
  </si>
  <si>
    <t>soSmTsLmerhlqeCFFcTT9BoHy4XW0HP+JoROxHyoBTQPmvi1SVuEFAmtiQgw6AlNdSbnI/mVtd8c6EMewB4dAgp/zs5FSP5hzUBqKn0/cs+y0CErH+n0hivqrHTj6AjyRCd/amlK2HRyzkLxTRZM51IFFR3Y0l+AT/zxiT/yU6kdzkcnVmY6oCO40y//ykf1va02ugeFVvUZq4royF3gFz3lG8tbddE2T4LjwTBkHJXcFXdX5Z92PmppobM=</t>
  </si>
  <si>
    <t>CTjvLSOlDDPz6Lmz+HVPACP3oz3XrVj2fXCaaoV+D755ExWoeusHi4X9Z5abng6wAPW+JB0pdD039+tS9d2YzmcICDkT9JANrOOOqQgYsvB8YV5qwannP13y3SpCf7QSf/2RK4u/HnOUNixhXelGKkwR0huOYeDhKZxClDjDLeMR66WrIEMTCjaY1oK6v9K7117akiTUisc1Uqquw6Vs6ZD3iipaeT4pqJ0b3NjL2I9Y7l5SIceyfnnUHi4=</t>
  </si>
  <si>
    <t>KoQePU30tQfm1Y7cAtf9EHx+r1qvz9llg887yGKHKsNCidzQlGDq2tro63A+x5YA3M1vxDXLlTK8i7zhXLkky5VPcA7pfHLbmRvHw5rSW78BwH1du2fT+wkzKQ3v+XtAZj4akcwGdpxACDCehtLx/j51epLLC9ZOu50cBfsjLO/zlcqJ5eQ1VGWlhzdiNeMQbIK8+d5Nxb7zlc9C6H1ggFhY8SRyRTlzjRZWyP9Xi5N783McUn8bMSmn5A4=</t>
  </si>
  <si>
    <t>rAp4DqH5BV5tLfAC8IV730aG3bwSOKAoN3tZpCU67TzEGZV6AS3uu1/E01HWcPMZLnJF7jVpBEHHECAIYKK0qNJuRlkrhWQCxIAtK+pvS8A2Fl+yKsNLL00dV/a50la1+r+GiKuv9esZ42fHwg23gZokfXx1A//Dk9VxQ/jmCCWZ95H3O2mIonFq/Io4i3GZCKcoFvMKpYNS1l3JBN0Ug5SPxaYIoXvOmqM1nVtsHsQxFdyoS6g9D+QBgP0=</t>
  </si>
  <si>
    <t>hj3K8Elw6Tp6HmQzZSuJufdVHB0QiIVBRPK9k2XRErK/ZDv9kZ+PLFHuKvhjHOc8ikhRH5/COCtgr+8hu13Ei6oFUPo6ow6GlgsEqoldJrWKNJzzd2ge70BglnjS9DH0ybCHSS0h7GpyVwCdr7QmJCgnipHusLLjI/da4FJnl2rqhn825VoE7zbOqCsMaY6Xi7tjSBb1SUpvjfgxaRdvkeKj1vv9zyH4qywtd5wBnR3T5wmykZmx5idXjlg=</t>
  </si>
  <si>
    <t>E/5t7mHFvhySxh5WFZwXIDbElBOkAHnmkf0v5qmi3wvMz7TsQodpHrW3tURU8r6laAq2EuF8BHX85/jJmFemkIo753uKvVzkNk2XC2DfQZVF48YNOheQ3kldf3ICs2Jnob33odsyeLA6xjTLo5XQd+Kq4g8lTEeLM+0cnG4u+USHaLspdTxJQwpGQroyUeUDoxDWNhoBOvNegjDHoT6XZw56UrfRTembFmmY9oCQyBNP9IaEY2AdtTCEMCk=</t>
  </si>
  <si>
    <t>qy875tJDcGADcFk8+TAkRPlwwQn9pidF+wGKU0376vNea5D5BBw5B+4wW6w+et7x0OP3OeKihnBD2Fq7PxZWb5zS2P+aXKMGUfB0fLPUySC7lTNVhQkJykRK/mjYYP/1W5GL7eYFHJ1gqekLIuIK1qbcjg7gGmzbMahhHBMjm6VdT+NQV546Lkx4fQz53QoCAf9z/ZH8FvG0q4/WFn2b+c938Debw3McOEgrUELNO2Xy6dbLrPCYg1OrUBw=</t>
  </si>
  <si>
    <t>4e+tC7AbE1RsRRf4Bwzhjp04Mlo5cgK7uWlGEcOXbd/KEN2e3c93Zq4rWu2C+d8HApcOJFNMxqjo0OxcqBCMoR3TrLbyTZxReyE4W6smynF+n4Ev7WSPSj4mot9fi5keKQPWHKwf+zpz/gpxCLhPBpIduKd7eCe5YPuQkOb+nvPYtvkg4Rwf86u+yeHIWx761rZtUC9Kig2SxcH7A74hXaFF4NCuKlI7t8/ouLpFOYtZB5siPK1nFH72vjQ=</t>
  </si>
  <si>
    <t>Wra25mOt0UqgA3390oFILuFVhwghAdM98m+sZIvgytQfOxLaerEGDWwg7hr9yL0bbmoyW1ILrCT1X8ZJH8Vtf3LgTBunYNFGVAMfuBPEAjeRdEjsfXkP5+/rQSssRmKd9N4OvGxDIGwLugSvlujxnj3Pdq7C2fahdubIQYt5PHOn75bthgP7r59dIce5xXeV/er7eJfM17FBSzKYrBJU7qkM3wXOSRVFfvjrA5GjUkrdv3WRoUqaSuBG28U=</t>
  </si>
  <si>
    <t>nF9P8cbzVu5JXlJVE13xRulJO3mzqUFUuT4WfEKIptErI3aJaLuMJtMbli/9W9rtmm9sX1PI4mE1WkGC/hgFfLpMSJqfMMEqYoDZg/ixGZ24gHz0tI4TNjuan1pFb/i35TZDG+MBjyQv7IUIh2SJtfIFZay+se0lL6lImvyREnXmXmivuD2g0X2dJTmQaH22+9mJkgK/8ga9nQbTi7Zjsl2b4JEaeSUUKqeRqmaXEQxfV6RhjrqQX+sC6Bs=</t>
  </si>
  <si>
    <t>4QkPElD/PIf4yQ8bK2oLU/rATm43avUxlrXLCe7uBydVOq8020W8W9YLgydJH5XORHFZuzeMRS+Qvk3KldESVR7ncDlrX5sTo2ul48XJuhtQi0n3V0IYAJh++6INlSk/9oTLwBJ1dOphpNvYj0Ye9Uw5abmFethG5QI6jMzLn57JnC4oxRAQMTjO6w7LO2xH4WbKLZzfX32zKWcJl1nQrqLtlFOVSyQk6rE/7qtJ+RzBE5lYFnmE5HfUiFQ=</t>
  </si>
  <si>
    <t>L4GUPMP+fZLCVdD1aqxeZyCSB6K4KfDrcA5aOR2h6ac7+3GB+7XOLhrGExsUyvt2OE49J3IL8U16XTokRw2+USmM6Y3AHS/bgkMS8CP7QRBfY/QsvRdpEUCVn8Ojqkkcwk6iGwHiJwtyCMdvICwxh9AnSnL2Gh287O3QSjFxH92uTL6oqZYRfWy/mPaUmrQcKrtGmRMUyiX+lUrbVDuTwHbG1V/D2AKmRrxY3YhwLmaRRDf1piWXi6Jz0Rs=</t>
  </si>
  <si>
    <t>JHxLQBsO5t25P7zNBCedh5ZqjhcUelUqd5/NbdPYH02Skm22zWKR3g/xpx4nlC6zSlc5Y/ECw+E/QbU8PCeb3KopvE+u8O+lOD/xUzUhsIkPKGSP6r1v4N2IjXzmIigjfw0yFTwif/NPgEYuGDqzv3cthD9UbatdhkY6T3BiLgujpi9m8ckVU4Qz8VTMfCxwhYGmwfZ3I9gs+tEowdebwydHu1aHLxwkEVzSzvBGuJgF8Xw6oOaBlsBR9BM=</t>
  </si>
  <si>
    <t>2UCCLwohtMbSkrMJ4adHuTFFw/8aiv4OuC1IeHOA2Qb5kwpQkLlgthfM9i14D537Y59FOpxQvyryceo+6zRbrSXCnSVODnSJpMv9chw3B+6CMghYJRBTEiH786iBeGfyA+Vi3PpofHxdQSCW3GC0iCYHFKhFXkPFwaz3r4ZYCy5PqpGWUnJjy/aQ+Wet95Mg9QivrGF0gulRizVeAfB2tRPsIHu7Xqpj6D5O40If2NPeJNerXp1a8hP/sbQ=</t>
  </si>
  <si>
    <t>YE4x0c83wW8JVY5GpfYypnK1shu3PDn26+OLQZTilOFl7Oj/qdAe3t+k0X5hC3/TPE8V1mYtD4GT2PfIkZc6SuXNF7fr7MVooCFHSwc8j5LQmj8xVjtsecCM7eAbkidIHISpCALHjLx33v3DkuF+Lu6/SQBGStyCuJLHW5KYDNQkiwnrjOIGYRQcmxb2l9r0J9AehDkRhzbe2hw2A79t+iobzigVanI2Sffx42QybRu8Em1zf+ertO+UDDo=</t>
  </si>
  <si>
    <t>er7+9o8+w5tegk1oMJxdOIOUZLxiJ1yyiOptXz7cia/aQ5zztxhUTUsPe/JvIvnH7o7dR887jKYb00aiNoqf7dfuYD4H7WI1dHZS5o8RUZfIlFgN4U0Lhra157QDouFMxrEVZhv/7fk5SsbtD2dmgTrUyz5zxx+df+ZO0vEylfnvvVFDGMAjs1tUps1Vc5SM7oiyS8ImL3Qej7xhxNRVHswgg+/F8/1U4j1gqgxAVI3HiM5ngvOfRP/y8xQ=</t>
  </si>
  <si>
    <t>P5wpYUX5HGcy/lUakrGbVPAdE+/+FyoI7io4/+ty8j2ZjbW8JDOuQLqf5C0KDEy4eIyAubux7bWKT3h49WKe016g3MwN1LYpDs3iPSYPA9yv6VAsp5qRlRlTRRg8MYMLBZLDp0D94yS5GJDSX4ZC3zMx7x276RyOSucHWzckemt8upjNjZljGMLOC4M09ObO5HoOQqDl8R4dGBSk+H3BCwpn5xqnNOXnJ5oCL7ootmF17mnNclB6zFWg9Zg=</t>
  </si>
  <si>
    <t>TjIBtpiXtCqY/FrNTjSqogrrK3lR9aVCgG3TFRa4nxftCDN9oFfLEl0BcQH0XpIRrKwNRXP++UJKBw4ZTe/yIlgFaXXV5S23Ie3zxskDThzjfC56g9/SbIAGwHUTSSKINdURbDrUO3y79ix7uNTmJHs/ysbYLgjDEb7irs8UHS9av1bWA5eoXzvdUWb7nAQ0u9IeblZdUMhc1UqbwLqc/LinfTPocmIgvHN3ELO3B782Sk93Iv815zIAKAs=</t>
  </si>
  <si>
    <t>0/x/t2pgfDcvPWLngbVS7IxyRyS9ULzqcjRUb9ggw1Fo92KYevKbHOhvhq64ke5lVeZB09UGfhHfxhUo2Fe5OTmklMUkg6rA//LgRjGOox3K76st0h0I+7zaTjBg+m+BKwlwfJISXmoU3Qp+JI4Zu+yMqe5DsFAPdkubYtU5LylLBqyjALG15m0FxpzvWg3AC67HSrxD3J9W8tjBiAeG7tOzjk/Tt0h6KoNLVacwT9JHNR+U5uDv4pWznvY=</t>
  </si>
  <si>
    <t>FQt9lJXtI67qAStWTFHULKhdBxqKDQebySgp9bqG3cxT2wYR+l3zPGxOn/u6vBzQ2Li2GTDWhkBqL9p7tBQF3Up/dHdNh3WOiARdLp1FJzH+4Kea08AWDQ8grFtD1YRMVb1dbqaMmGj/qXz4ii01qwekChYS2zAsg0okLgGMs3L0nS5Y3nsJr9u7D/uRdRgCeexTNlL7Pvt27ErIU/6eIu2T064+S7JeEDMwkQELH3qaQTEdntAdw7h+bSU=</t>
  </si>
  <si>
    <t>Rxab+JrC8sHDD2b6+Qiqzf/7/faNh+Pbyi9xrMyuQ3qVhq+XnFSJqJsGp+V66MbEcw3O8rk87p2qkSSLLg67x5yrUjhp9NTTfrEahc+TM7Ev8zE9eNaUjyF0Jh1CIAw6DzOy0WRjIxCaw3ga6pLxxO7QjeHlG7+j0zi+HidJPVIv3KalXsY8J/IzB6TmNwcWogi6NpONyRVL/WhYX+cC4xM39LKBP2C2ImxDmd1Xn1TXCYw1Qf1mMkl7rL0=</t>
  </si>
  <si>
    <t>9AVfgcwLBvPOWUegChwo4SO0NZHrzCF5Y7yxBzkNlXEKzlB9YJPEkzqjmxkKXsSIMxZtK5W52NW/o41pnrWsv1UQ4Bih/uIgnSkrfVcu2NqZtODOpBQybAHOPmT48I8c+TGH0bb6JblvxXeUMqgDwSZolhndnf+MDBsyC+naUN/RuWs0cAZ/3HIICF4OPyD5NtiGUAiBkYKFDRHbemhAf+AVMiYeHH58E8WexqDQnWTSTM+nEyq/xeZDujU=</t>
  </si>
  <si>
    <t>EEYJXLY0jRH4a9N04Fjc/o7fkHhPAOuC8h3pTgoxBBeWRfqo8wWu53ZGTp6y7hF+gHXG8yx47AW0pddBET2gV/+RM8sbt9A1CDsYaVZJCGEoOO71DxABhg05/gqk9JTLWDx4ilhmqWpmplAHusRVpLNbBwH4mLDjFvx5srBZIjfXXV/UwR997L+zAAraBUQxyZQbxHT67vImmJbS8ROZR16IiXePAQ3MABJEXvFGJKSFJBQBe4mHwCvT0X8=</t>
  </si>
  <si>
    <t>5UjVQbjqbxE963GFDEiiPqqul4j4s+ACiPkStKMuFABjMnoMMTTIuBF9B1WvdBKD8XY16ngk/ZGHVa+DFWyAHrKmDUmDapa7j3reUEAMluDqkWM23gQGiiMVxE9u8gb4b7TS6L9QCE8/ZGh8vdiBPogNrsM1snztC+zCX4rfcFhm1fyeDu5KpQsL1xNwUyyFrAQ6Oc1KkgU9gFkRZdsJEf3HVvaLUc8nIa7qShGpSq8fIrRFX/4MEMDVFmw=</t>
  </si>
  <si>
    <t>bjsTMOkSIBioAFz7ZCy87REoSw4z4KdsR46Mma20OCUN526CAuvEgfBWR6XSAZiFSqCzp6+uTfsgljstfxwBOn6o/B1ibAVTfNi1Wcw+p4lFydEtHSXsbnMdsAX8hLf7nYSlyaRd97EHisNU7ur5Q9gVByPtEUnsDmU2yBkODEIjhXOnWoVw73THu+AISsQv5VPzT9oJltYZ233nlBuorOKfZC4HUY3Y/3Xxd+JTb4YzChahW2YLF6BP9XY=</t>
  </si>
  <si>
    <t>rdvNzNX8ZtKcLVCsiJE/w0vFALgjEZ4TYFTavtqibmz3WUGInRcz6loLYOLdecI4ocFA0JKL0bBQswDwBXFzOc9Tt5h5rmuRpH09IMHJSWwNjwm9i7mB6OG2QInOLl9fSz0PP11Fg6UKMEUNonfGsPk+XZ0jaekz7wiXXtjMY5Cbw1Hv5au4wQo4kE64COTqp0WdRBsjHkhSACbdOEupx1rxriZF0r+1Rkw86rKVxtsJNv2o/xOyKkKqPs0=</t>
  </si>
  <si>
    <t>pvTuf3DtVOO/bh5mcj4VWLJabDDkhVanYU3/K4pmPpIoa1m/FqEnO0iFFkKVWrjzHVtYKLsoAsY5BJ/G33OAfisdh9HkkstVzcQXGP2enFA2adeeGPqwKmd2xNe2HDuoHSK0FByPoY1DapaQ77qJGlxHX7eT8jTEs3o+CHc2Wlgo40TT/jquvD6sr5KT73hhcW80fXvrom1fKQo19eU9zMs9dn4DJpFWoz3BTAshdqW4WyDuHn2F0ehb6zA=</t>
  </si>
  <si>
    <t>6Xinx2RqkslvEr/labRGsmI4q60v63j4L6szGgJWUBhNokBnvM5PWwu9/Etal0vBLgx8vyAXV7qo5xeWyj1vEh0nVTmHsyymGDj8WXTajYSOov763X2DQGwEHIyXbgO8UoYhoAipnPoXBlW4YrTA4BtzuFUwsTCKoNL0/SbCIcX9YgoWj+nJ8IbW4K7iE1EOfJv/O7WkWgM9bbTHo7udP3INzOEIrLN/Abgpk3IxWwgWVbBJAMaF2ClExCo=</t>
  </si>
  <si>
    <t>kHdY3tNTBhCZi6U+oc/3YKpiaEK9S3I75JpYuW2zisfVCRnIkmRq4DmSSyDzbS51ZhYYtOeMLfH03qFaCszuLZj9+5hZSQA7qVh2GHxqrkRd0Y5n9tn8d3O7nK0lQO1V4LuSp1bP9e3kJcMXrKh/T9p+ULgLcJkFKBWrp9SuU0oD3PdG6uOsMAu0FT/eLNveCbj20jsj3PrMJTMj9+62UoNVatfS6Sub2jJ9XsLEwiZWEVeawFG/wSKXQcw=</t>
  </si>
  <si>
    <t>VqcfG3FKz9e7npAFfTOkQEzctVA63rBTFX/dWJy893pSrynRgTXsDGo1d11eWh9xpOASwHB4X0oeozsF+NanqpRZHw0DpRavs+IBUiSNcuCr+mITfnyOIJs8ntqRI/YqzHp8YVZW12ayt2XhF7WehyUaXLgTAFuRoYpRmOYY5HGQWpOY3Za+ch7Fr57NTFb/wh54MyYqiaqIgc8ILDFTOpe9zSWNTwbOpZO+zsfPMkjN87Iqe3Q/RNj9Iko=</t>
  </si>
  <si>
    <t>guvLNSmiFqAsUtksNbD1rN0WpUsTlkpu4oXQ7DkuBPHeDW3WrRLQrObTEGei6XWfbKes1bdxhW+ncFfFM5tTJ5wAKBC2pE6R1sdRlKG2kjAu3bbevCY/jVo0elW/dBGwUufN/I1aotZuFKC6Sh87r/4guBbiCsgap0k34Pwk4L1yhGJRkXGspWr5UZpRFEEzOESHHulcnRDs9DRGbtn4BjTxibgFc/jy8ywkMqYUUMtafTcvtXjtCINstjg=</t>
  </si>
  <si>
    <t>huVq2sxKdyrCEyafkbScApSP683TrgP9daAB5c7TKsebT8VfjN1ceMAmFixdwF0uj7F+3ERNTR0KWMg+opjOgTdXHbEHBLKvE5jObV8dTlp/SxjqQTYr3yeF86I1Ogc221GunRCuAgB+DpslHoAg/bWzHw7D2eFDvZMYg+532aHHBgODpjF5bBCt34pgSC6svSLO+9YUbPp/S8dNTWPQ+TcqV/okNpCl4gBv0AJ5S04P7kUbXFT/gL4WV+k=</t>
  </si>
  <si>
    <t>ijS7MspYiar9Hs17HiiBCapSyjtFY6YVlqMVEbEoC2PrzJeibwMg0wVcYjX2DI6saB+VPpeGk9/xGq84nh5jVJw7Jq+iY7qTHMVqz1aGsxFA/MpTstiYgZK7m3TDF8rTeNoGQChyploap6UtjB8Of6wIm2YjH94B5Wi/oEuask8V2HnahTKLCsjtPaQll98tGgFG0sY1K/x00lUzSuQrNpB7RZ4SpnifMSfeITsBJTeLGl8JLDFwDPETSas=</t>
  </si>
  <si>
    <t>5ksv5evSvjj/TbNxgo7wsBNxv+Yg+XGfauVSsdPCiXHGA24w5xTQ4/DNFnJS9qR/SXG756jX0QFhKS0jWwPsmtNc70cn23TOkbUJUfUN1FWql45Ly0r03FlZZXyRhCCkTdFgsptnP793rrkEOPA9gPTBZJ77M/QwKPGqeMF9K5JzEGbK1Oxo4MGeCcD6+KfCuatw0y0kax/YsGCIqMkHxyfjZUJ75rQYTPgLpO7Ozh0lTHYs6+h/6+xvoso=</t>
  </si>
  <si>
    <t>UhMS4v8d14qXs98APHojqwcv3Vp5GlU6BjYo1+ySUTWhNCE9pFvOct/SxlwssSJfK1zes6UBk/cy9tx/L5H/GiuiUcUclJvSjpUueL/EFzhVmtPF3LB6WLSFi8FRj69ULWkJIdSkomOdbvhhBxqt/wZZoh5S0p8LReAfeSlhTyTa4AgUEJURH5OYZYCR10a4LexeLlpwx9aDbrTQm1hNOkoid3CglvHzyCJHf6o5HeIqcYf/zCoOPDQ0FWA=</t>
  </si>
  <si>
    <t>RUgnWcFcCyM3MJ7nZvsts2f7fUKdwaC9/FfnuL+te53oiKKv14/nC5ps9H6ohp1DelDnZ9MLBD854ieB+s9mA+BTiJAqwpHoEx5Aw6C7nUlswt0FlOdkly89tL1PgHiA2544fVqWloGWwD10h3hp4P+nxhz7CUHY09KwtJmy1t8JY742tzUyuWrpaz+8lUWijtnkya0GWHOsLoSAvQq9Q8hIW+A/AXW9Rv0dhX5R9yu7QFvYRGkJiJjKLfg=</t>
  </si>
  <si>
    <t>BKfypC2zHf/jE985A7l+OX4mk4gi9lXVD2cCzCMRxIafRRY45/slee1KnhH17bTqQFf/dYio1o3i/Zo6YvptMwJHttkvP04C8Wcvr6skKGm9DRUM21Z0TUGwO2sP40yUtu3LfS4lF4LSXsGET7YP7g7WvsLur7T/X2dWqtEVInGHJ5CXnsEipEAT+PZHsqv/5KMqPpHM+v+xOrByMRB3sWRrdV5WdmLALl23rhw0ydz9LuuKYV2a7U4lvnE=</t>
  </si>
  <si>
    <t>urKMy+xtImJmJJjbOAsau3Kjhs+985+Uzgv8v2bzBMDMtJA40noEW2Fm12fanm/8IPNLGCnl7zwEDIKQdoQ+cpY11UUAVW+KjFQ4VdlCInEnz21S+DImVqZ6Pldmu51RFRgy4A88Quym/9HziIIAo48jjNwOrvHBJmVmq0uwuoNZiMFHGkyIv02YvXCtOBjU7VTeCAs4FPAMbUT5/LNfAvhQEDG6nYLtKjX14U6qouvuVibVBe9uAUhMEQk=</t>
  </si>
  <si>
    <t>7mRR72qYFLZRo+iDwFU9FDh04igIqg7wQlG1roPhDQgmfQxMUkFchazeT90o3iPGAJeSEJwQmFucyhcubGaLDSXQP7WBrU3nHRu1lVVUvw0XdktIcuBI9NIs9vzrYf0y+LW2uFrYQyyBYAmqvMHQU93FzLLLgD8diNw9acIKW6HVzVQM6FydeEZKzGzgsztP2+geHhuTDZCwO215cONAi9hTx/HTuNdnplwLSraDvojMLnnrGwl1EwOaUBk=</t>
  </si>
  <si>
    <t>RQQSZiEcUcOCb4ZMo3ecVqDVXjGt1YvSxrFxVy8vQMWrUzLo1SyQrVnvL44/yEUpMbRLqDwfCzxRKup/pswPH3CcRKMeD/7VpzICxUi2fcePLzE99d24EJDf6i6d+LRK65u+Mb66Y0dsmE7U1By6VkFwRCdxaWlmuGXQ6ANHLyGx3WEWArT2FxMWaJ9DdupyQb7HIp/DgS+HsO9Xd2+jV7fIFcz84Qc6kX98D/hebcAUJeE0gRSxSnnK+So=</t>
  </si>
  <si>
    <t>1S7ectLgtyqHzg3ev7tey8opWmqlUi3tMx+EiVJ5rxNvJ9wAhygjx2eqnSbqNJ69jUpp2pxOMySEIskT2hA4UCkdJ7Zz9TCDQWgWqGgw/ols9FukWVtFRS283FakX+N3k1h/inTDiRU3gr8dMPn3Hp2iGtfg+TV8dMxcLy+TeN9ezUfEn+xYLu23UUJs9IQuc5g3fGK8e6fUvSFid4KuSNUg3HlS8KR3RbInpsXKuqda6FTL8rGOvh92mF4=</t>
  </si>
  <si>
    <t>fMX/03tgjdKVcSbcLRswKAzSJtLMLU0xe9LmfTYQ4ZQSePNu45KVmx76sLKvV6y5U/21Hqd1nRfMrU1yQ9c0r2muHhQN4lJcyh5cZbq6Mrs7ve6AqMMUx97sAJdly+4bVupwMzay6NKZ9tlNn1HI2wlV7ONbFhvMQeV4+S/MCxxj6HMPOnkvRPy7zJk5P9Dm9iF/EMWFZEPAfowsgGARNh5MIofpebH4N7ws23thYbzbu/CotUOCz0HqPrA=</t>
  </si>
  <si>
    <t>LiGrt7ZXR3P/1vj3fteKs1tBvq/e0mdf4RNlHMtXxF7M8xlI0bK8+JSW+TdaGgMT17EODqkME0ocvOqwvDr9FDGAnn/0uZcDjpgUeENFgdgqwETY0Znj8fgpRdp4H1QgjioBrzpww6qwtUGEY+8sqvXVOJZ7YhAV4QeeE7HdhuqLfO6vc0cGH1v6Un4nah1VlXn7Snz5Iqa13elUVF34eTXnXm03r/yYRV/1tbJQXNcUPlpNlJbg3sjRC8M=</t>
  </si>
  <si>
    <t>yiGE0EOPVSUf7bgvzOjGFofQr6ZCFb3Y4EgiZd71a4RVAFLsUlTrnR99UlySgZ56eVJfO/ZBCVriFPwvWvFnd5eurD97kAAUEkwh6vm1Opb2owXPb4iErv/IiDmkwy45NlJfqDwF/SujTes7+8pPvQwX/M/gXyLdyLltD2YmtEq67/RPbQGGM0JnjUQw/T/6ywykrUJKwzsUMw3BaRbzJPPeADxOYwHpoOzNvYDbJfYIlgtdlPtxIqZJbFY=</t>
  </si>
  <si>
    <t>phoAFReaeVuXtyu0yA44L+5ttBeH9ZIs9eH3M40bNheyIk/BKOQryMJUaugPbq7ECiZbdiVLfKept8ih50EQRu3nIDN2GGIMUNnWb4rYBfHe2PafIOHBMysGkzdRVXcoPT64c4sF5RbjuVHR2ibGliquSRDhOTdWTzLyqpLm0hdErU62eYsYpmLYjPTzukvnlxA/xcfestF9B3otMvhvfFm+zyJ50GXqndRNJVw/yxztV+j7I2E7IRHg9MI=</t>
  </si>
  <si>
    <t>aiaC+B5BYJoqahMeBpURmLH2I8YNaqBNx2hHnGer5a/rdjm0LFwVA1oY2COHZCB2HHgzi8ELX7B3helD8ALTk49uWyxs2mt7sTRgfzT8WdYDsPQ2mXyK29RW1esMCdKEf8WmvHbESuLoO+Ir9e+bEHlbZncJm0GA4imy3BWpLP9gF5N0QdKxIOpVaCtgAZOTpexyDgvXiQiJW060owcgSn9/flXsyhu8R3LZhQgMuqvqQIhsQN09Jx2WpZo=</t>
  </si>
  <si>
    <t>EEcRcpe7o8HHOL97DZGUEFh+IOnJCRS08hmiji2bmnMQbq3LTqyXf+2PIUBCdXkYxd2BA4v7XOlYBbAFQimAlm+qI6I4ARPvF1O9xbjCsa9tQRM0dQyQI2qtogw0jvylj46sT7FNxynnvmvZXmzEbKfCGhi/TYJp3Pkw4phvyJ8Oq7wCvgdeVwyaOs652zu6p4TwavsfYtAE0ebXHnw8STrB92f6OM6yrg28hjsXVJDWqXzmFdA42DQ2Aug=</t>
  </si>
  <si>
    <t>OyeiNupMrp+mncO/kaZUDJEdfDwdhaCpi4/0H8yoddCEJ1opHrfuNM9Z7z6XpNSfIlMpxnCQEwe+Yq7izDUbxc7s6FHkfxZq3dlB+EMUTu7dnFkVhHS0b0O/8XVIkQ8+EYvGVZ1ewIt9XdiUvMultxytr0qKF2ndbYnX1gaW0TRsFQ2rLU5gf+FLPW4Hqta27SPb9yzX0Mh57igAaODEtDGTU3z29nx+lbunGZzbb/aAaz7VvuYhn0Mj1NM=</t>
  </si>
  <si>
    <t>59azWhemEwAVNcM514GC7+jnSRWUi98dT/pmzvo74hj+WB5AkIf9vX0zYgZ9Oz6UFdACDQTmoZgxhOB2iTTWtWrlReYdPrTAwUM69/vFsVKs3LAtAyb3xylTtRjFxpxhdWDOi8HJoDqiRwCzp1YPTO/c+Zh71ar1WTu4IrEuyPMV2IBFa0pUYcPfDAghnMcCot0apZpQ3zENUEevxu7nSDYmmxnO2zzmIVg+qZAfvMFdiHH+VUj3mjo2wqM=</t>
  </si>
  <si>
    <t>h3+JWeRq0S5drlXE2+6XUb3Nuw8qntc0VmkFbk9oj5GddALQvSyB9S7iZpm35IB66kzYBb8CUtSTyVNCQyeBqxR4CAEcnlYCBV2r7zXJYZ5QtMXTJkpVH7TP8UmT56STt1VZOUwirpcNyjMpcTCOAErxQ8AEwCnuMRlMlyJCu0QSCFiLfFw/s7VGKyGQKG7bfguxBzncCniPr6iTbA+v9AFL+eO5222N6SLCLFHKWGqXnguYVjj25dvYTYw=</t>
  </si>
  <si>
    <t>+FCyUCMYH4ZqEvvwZB7gBT2oSkxTLOz86vEbG6RbTpuBGdxwG0I44u6af0NqQ+q0ui8ddljfV4lRAtg05oGbanIsqLUMwskvoaSgn9vBjv0QSdWOClF5skkR1PQy0OY5kHJv9lw9hm7k4/z5SgU3pAiaNLBkzDVvx+QBsv6TyPxl/OngI12V1llVkPkS/z+jynRpXQUo3czfudOa0Y1YtZqPgfWULARUYmfc+vri635RELTjcGKmM3mlMb0=</t>
  </si>
  <si>
    <t>iNP32J3+H2qPLKDBicjo5rCOGBTSXXRYjwi46JhgVUslKRWYNBLHpD00ai9UmdqARog12oY328NIN3BUIvMiFUj8zoVYHlJTT+Uo6sHqHL2M6tvc1orV5bMJhtQlbJhE1IZVDTdNJ9M+FKWjoZJp/2fDDlCLmDGl8xLYNoRugnx8kcjYVWd3F/ey40MakvC/1TL7PTIOWiAFUzBLLrxB7FWWIaU8GJcTT3cc+g6tcTK43QhvKdE9ljvpY4w=</t>
  </si>
  <si>
    <t>OskaGOlSI7FtzZJihNHxAh2ZWTQ3IvwTDf3PF1s/vKx8tJt4j1cggh+d+dd6iLL+h5CiBQAapKwzLV596HAyqnohmJpwVSF6QNbGRkf3DJ+nAGhbiGS5XGV7xsl4QKJhaa5GKy17Fokd2HupGG/nHysxvigMufN15kLU+KsExlRjKQpfmMa7Xb0t25d6Pa8tL+tdpzc9K3z1Luo7JrMOH9MZNxiMm2GWPEp9dFDFiOC+5h3AZaoNg6w0NNE=</t>
  </si>
  <si>
    <t>VFYwRuku62If6VpfCdg9ONWHrm2dd8SXwRAtvGEmK1GoTs9JrvRErZD+5GMgmzALA/Z7AbYTyvpld/sTN6eBJqmzOLN4QqOV3CthInZ9shsgoFv9ns6HP9dOMBHsayFXVC/mIu+wdPmt06tFsp+usm2vSoo85t58D2lGZQ/8cEF30veaHf8UoANqNMXgfLH4fj5daes0O1fYFx7+oJKKmXjc5rnaFvIGbvQGVlbroS43wx+tBYkEg3mplsA=</t>
  </si>
  <si>
    <t>ABSTN1Xoh68Wq+DRibQ2qkBFf9b76ERa/bxx8EhsIWhBT5MLW0WQXoltzIwBGDFitduF5462EL4yHnOxmjTEBBoBKHtPbusa4UBZ1vSE68P5PS27OouL7WjhS0uNopNRP8zxwHIdeK9TO0/XGTIW+Bc8L6XNeI1B4wVLPAmra//JeQq+UxhcaO1APyVBcyu9azHkT8FkFJ+Ip0ewv2ojnFnjrlTTJEmtNU2W2DiuVY8FiVE87H69p2S8880=</t>
  </si>
  <si>
    <t>KI6aFYHuk7YD67X0ZJl34xEaSrYJb5TfWL6bat5Vkvqoxxp+kMaQDdLRcsD1Jbt8JrOGnvCffKiD5S6BepDDfBUCvxBGy7tPMUkITXfZlaDOo9AVMm98yhRFJqJzCuVt3WpfIXb5uj8iBNMMcsKZgIiIGyiqqke5kXr7Pm6e2/37vBl43eymamdfqsg4WpsiZ9XvvexQ9YH7CwkyMNVCR6VXhBvXYmke+z0S08IDQ9++ovFqtfQU2zeEuLc=</t>
  </si>
  <si>
    <t>bzDH19R0OavhfHubsbG+NOf4o+40Gyun/931Rz4gHwk3AHLczE1Dtkw1NItr+AxeuXKKQ5ymx4KacQP6N2/YnSbq/6nvDdQV5J9T1KTVU9DMDWnziDrKhWTdBQ4UM2XgFnU+lNW2QRC4je25Attw4041Ndjl4Cd0o34vJ2sXXR4tnQEKFDb8jAgBDM3Q3dXrEiNd4ydvsopGgVALg0OrLV6ohcb/aqUvgM3mwvR6vaXTd1o/C+oW/KRKphc=</t>
  </si>
  <si>
    <t>q1Wu6OgU3QAz7mwJOX2vI6SIPPB10E7SxrHYIoaH7AtjxAkfYeZBzIvVaF8WMOa2T0HyMSc+p/C24QAeUse4b2a7cyJBqV5wPuGH+OIueSPT2IJqI/3iHINmHKElVmNscNJAeRZtS0MwiTwldqRTnwKaTzUeMPSat5icupdouDdYjglTkjVI0qqzzLgt1gPdMseDFocUzjC1x+/4Np9s+/sl9eFyDWHW6uHZAGQ8h09mxZgxmyOJwcqeuwo=</t>
  </si>
  <si>
    <t>9l7DFzuzPPbeN1h9avTIXj62aDd1DAZ+vsJOkLQe3Fq+8OZC0CBOlTtni8EW4Eo4zjRXXFRe5Fqnerxxrzqty5rYxbwrJZKPOMH47uxjaGZYKkMzsIEIYKlPII/QsrNiIQAr0Nk+5aoZz4Dmsx1V6ik1WjXq3UbIsLq4OqjAygJwGFGLaZL91ax4zLTLBhooL4AZDfnYfzYFsM1Jgy5FbSiWTkDefu+tXbiijd4dA+QxlBD4en2J/aSXYG4=</t>
  </si>
  <si>
    <t>2mvAQRBaV3+dF8SyibhsAh/I/sc0n5ht0DT0WbWrc1gyPtsbwOwQ3PgeN0S+FgdnHaXiIKPqLiov5v2HwRTVXLnB/pLqmlYdx1zRXxOepHWMIL+PF0gUN83fJVcLSJ+8ImsuBixtER1KZHM0tW4HaPRRGQ9xcP71bnL6VPfj3fgdvOHX+asTAGEq1cqVObV56VRvhiD/PqL/Tbs/E8XNb/JsbbvJ2I8qpGTMnU3W05ixU7RbhiRjXBQnAnQ=</t>
  </si>
  <si>
    <t>YYcJut0X6+36pl6n/2saJgvjLKg0C3d3UdrY0IZdkKoPu/e+vfMn12/LETLztAUNEfV8Bbwia5/8QUAOfJ46YmLkOIkEXIudcLHSt0i1pWperaKAfO3Aun7rFa/QsQ+xNPFUzJLRvj41205kGXCkq7riS8vmeh+09JLrj/YXSj8eNrjbgLg35BPIf25Jahgu++5KkGTm2tuxlAbvSkwYWGmxl6pFgp78xiNHQF8e21+SUXNuAidN5KPeTQA=</t>
  </si>
  <si>
    <t>dr0yNLFH2w7KnGAauye8FfkMDCZqvuxD4zUYMCmOLPpZfOJyEllH90qcbRsbHqrJ1mBOWejILwU2lD4mf17xVe020wpgSSNXs1le5f1+DKXxhQKWk0KqudlptLYchHQH8UjwaQ6yAEMI+/UGmkiXgUvzIY5oGlAqpV3kKfrQiqHbVGFWnjqRBJZ6tsRPt1N6wyZ9jNm8gbV7UAoxUj3jOg6JM3QhV3sq++canWigKyl2s5BrNpe05WJuV/s=</t>
  </si>
  <si>
    <t>F5H3wO61bJE86qwrnIu/PCv4XV+DMr1x5uheRntYBMj3hWdCLHaP2ymFjT0Ntg6+vC+8QrnK8+VdX4e0HDBi7SrsqtnuQJCl2iWCFIg1+fq2jcxUN5cboaPDOHgISxU82AZSE2OBKxBZLdReFbtozNhPLl6dpzRGgVZ2snkEZTwSRZDuAKoadxlipxctlb/Xw0U2jxfgDgxN5a1l7TrxtrxxJYCBehWhLL/5qXDpX8uYIjc2Bwkr72TWXmI=</t>
  </si>
  <si>
    <t>XWP6W5RlNN6YLBV2vmWcf4b84gNr/UwTMDXkGAryo+FimjYoazRgkQGV//8krrmSLIybbt0GEOUdHYPz4LA7emG85MIZfBZDDsJbTXA87Gc5nLSopu6+/Lqxg+P3qD9oi35yRkQ0rT4F7uubi7QNVi/3DfaE3BjcfRFyOYenclcmVqbFDxPFa567CGiPcR6PD3OA2lG8yYND0v6Jw3HJ8m3AfVsmtvBXhq3AdHqiV1iHi4dhxbsV3CRMQw4=</t>
  </si>
  <si>
    <t>vbII0EYKSJgLDHCirwe8Icu4ojSYtbhWgPiNHnmxwoeLDl1c787fnhf2Mv8SbvGyF+NB1YVNt7jFH0bLH79hEFe8e72B+DJIdjp5GobsTRoebE/AQa/PCfLfgGLSokqMxEjHudLnd/VMnRhIne460y4Ln7mUOotAqhndPyQZgE+/0WNIzrLnquXk/o6JfisoytuUkT9eHgXaPyvzR3d0c3eeX7If1L5Q9vsaLyzRvuWR6aE8tdS/A2AF2R0=</t>
  </si>
  <si>
    <t>kjXKpk4jf/FS+6+jQnsw4X5QSoxroKRbXiTJHEjzPBNMsieJnn0/ZNfTLNgIV65NXfH1jS7Lr8wN1W694sO9uAgageWCFXc61RmZ4FfVknzOrjbcVgtwMiAm08zpLWFlueMZqaaHtuFYVR+kgImnTjR1xEi0ywDNgGieqblbeiKJZgPGOgy77GB8KdZp853PCzJ1b4VK7VKzv6I3nkUVreJ2pmYK8DalY+la0NIdTtFrs/E6A2C4qza/wRQ=</t>
  </si>
  <si>
    <t>l5bq3wMQ4pg4oJVVMIwPcN86qj2G38xkppSRJ68YCWhZlnwdwcXsJQ30MGRBWZEMALcBHJnMXrPsvmxUJD1NxV77DzR+q3rJ4MJ8RwGrbA8fMB6bhb9dSSGit4RfZxSeyhZyfW9aMOV4+JomklzORUNXnf6uz/6sfuSlTl4BCkyBYRZ3naL01E40i6vsinv7T5c+VhrDIuWOkz+ahoEK4eG4qfgWk/RsEw+R/pcdSoSlid8IF+ZZVuzJqRg=</t>
  </si>
  <si>
    <t>tm4Ur04eZJIqulS6hoIaYHHb7/I1TAuFu3vQY06qQKyyFINhSuiJQYpsg7yCMGKd8Mfmn8Agx3FThLWZ1dQCtyMARZyZK2Q6O2O2VCBRI0LXwSkSX5U/y3nYJbG554Ztzqfy+1PnN6lYzMxjVIuwxRInR84bRBhPPYQpIX6lMU1L97DlAmNDpKadgaUVb/2mPvblqkkMQ/oJnMQ6LdGhX0JusOqRa4ZvwZx6Wc8FjJyigSFSiApyjLwV9Xg=</t>
  </si>
  <si>
    <t>RiMdbEBI3e1HozOFmwO5z3U+VogUhukQBfIj9bMD99pWo8KNIADO8PIK8UeiuMzQTnMlYUqIl7fU7vdVOO1byPfCZ2ydbPB9ucB6yLiPHmbZFYz+LgqGdkUjdFnEU700ZD1Vaxo+30awhJrVfqdEZ8vdK0SK5W17Vdfb5/+a/KaAdLi04rP1OxYn2uf+ubL446p/UghnWHda895rQxe12tek7mF1MWBGy3K4Jcp/pGp8UOugBHjOL3CFpmU=</t>
  </si>
  <si>
    <t>CE22WEBCFi2g+hgm9IvtW0UBBmqKTgSJd9Cj85cFs01/Mc8pOXY07J/y0VfEDZlVrT/01vxDbMskIj8bE78lhGRJyAldrt+9p5exYBftPWAzmZvdyB8h4ogF7X//BHFnByeqKy2prJasjd89jJg7HG6J/NZ53APgycBiRdTijORM94WOjW0VkQ+X5BiJ01cJBk3yXVHltqWrI/xhOnEpyKYkoH5u3RzrpYcUopM4/6ZnD8hMd6AklRx8gMI=</t>
  </si>
  <si>
    <t>/iHXvDwX+99LoSC79ezq3n7g2x54f7bIXaNdri6ynkmEsZ+8PQGST+Yv+RPkJZz+5l+xt0Dxqt1dY8UxRwmT/+VhniQliUJciUpFMj8qBnUyDeFo9Sf+Xxo3kbk8bEw+R88FIuTNGaixhyhxWi7ACW3OVliex7EKNmFqB3TfsriO/7DzE2ivT+6qds3An3ddorsFl4smq5oqO8dqR9U2xf9G9OgL0IziWgkw90BRzwaXLONmaw4bv2Ycbkg=</t>
  </si>
  <si>
    <t>a6wPwuoa+ohm4a9tR7K+kkss9mz/jmnpMmt/JkcVCNwrZ5qBw5egLkI0N25+2nuKXBlIiHX/gnOI3PcuVGhivYLKZ45JOaxU1eYI2HkuoB9A/+X0ItpO+9AxKsp6mLNvZ4pdO3xoQI6KJ+nG1lTCw+/BCpZwaQbC35PbGrG+pUp0bIjjkVpfSQ6Esm/RRgk1SEDjrhgj3N06GRlnMhnLC9hNxTz0y+voplPTm9wyhYJhUhsplqzzRiyQb64=</t>
  </si>
  <si>
    <t>N2fJA0eIf/HJMDh+JUbNsv7KfAfd09Tpl4AgbitPqIk7xd7O3dMxjQ+cJhVwpSsYR8xPVI3UXgWHAkzmHALYfe5gtqjOhRQ1x+dqliG0H9PKDp478/+TpTsfEaNCMclpz0sovqMWjb3BvKFQ0uHsRXxDpL0Euzr16+ARoZwdcb4IbLLZBbo9gxvM2vv1movJhNUV/PgRpPV8gBfGRqbs2JgonEw4PTDGN0Rx02bgO1MjJ5GzWEnyFNMELNI=</t>
  </si>
  <si>
    <t>JATyqQI+8yhwu4JwUErdgx0usVMm/R0mq1zUuD/EmxfQhAP6ujqUHYUyjxPa2L2q58H+MeJ5MJgSYc3iPunDETX9Od2IVlksQ92cXZouaZKv488EZEDuJ1Cmf0rDXcTJv5Tv4w7Lrpj0gXat6aACxGiNpVSe3YmcDIS1dornnjDAvnc3yo/A3/1QeOGOKGhRGSo7bxusdSAccVlurqaZuUhfma9AsxsA9cQF7JzwQX8hsRAPYKLhu3/whpE=</t>
  </si>
  <si>
    <t>6B2Jc2/rxKP3qrnqmMxLFIXwtu/hlH18KA5tBpZuf98y4njiVDPMVcor2PAPxve9GYkweUmxIbW7QLgz5pLGuIwB8S/FDze7iQLnGmXTuHzPUaLkyy7bSIoJcqHIUFkNOo4QrHXWP4gJIBy+7DlPX0j4Qto4G8rfvxgPZF1HzSl8i7YB7mtnngR6kukUfndeuF/BhPORj0jY37Kf9eJyx/stWUWy5P+YZDmROkpdZuFnil1itnmLnl6+3S0=</t>
  </si>
  <si>
    <t>WdATElf37Mx8cW6GNRe1AZ+Gw2/7jV3+97AB6ESM6z3XaBO5OGDkD0M5Kz2J5HihCX25SxDzhkMfP9se7G/d6ZcmCo7na5hVYJ+r9skK/e9HET/4OvoWDE6oVWkvrnujWmzGM1ngUhuVCRDXJdILSuRkMHM3H94CGyaL0UwsFjFmS44+4isyP6/5UBwH3Smb/r0o+G1RNJl1iigNqXrPyt4cfuCWrhfdd71jyORvnVZ30LU6saGFWNg7eJ8=</t>
  </si>
  <si>
    <t>w6PzUZeNVfTnHstynZ3Mbtsg1aMaMBpmYNGu3WMN9sVT1MW7NjdPWEYS1ESAEiwx9UNgjqe1J2fePegfC1lHx6XavSM6CJZuEmNPrd8svTAcKrVx3lTXuHO7FLFIY9LurkCQ62yTkIekhlrf2RfspOGYztAfa8Wcax4jd1H/tA8kBeSmKaAhswLtnhB72eW+g5101draJEhLGHu2QHRlae9Adi+h4BQphavEbjQ+t1zb+bYcqBG+kCtMJpE=</t>
  </si>
  <si>
    <t>nsXjjGTBEZ2KU1M+15ZEoj1yYJxc7MsU4C6Lhtf5HCQOZNBKNYcQahYTkq7N6LJhVxtgBen9nv2HxdxvDMuf5lBkqH1VgplK6rufelFq5Inhg7xtWAuUq3Lr753TzG34ccZtrIxtFgTCeR5XKGKhJJTsHiEVdlLxxJ2IV/kI/RA+L1uiWQ2JBUlyMXzQ7YpTNlozQDbyoycrd9p8s80Tjto6rxSWV49UNsA/5yAKPjZ+IFztyIfUWU7+qI8=</t>
  </si>
  <si>
    <t>zgomvKFg8I9eZVnJWBep9IuI3AXnez0zAtva9+m5jsCv5u9/et7IyJDFW+GcC6DuDFbYYM1vRNGxPPTUSKeS/3yNuQf3Ls7nXCTtfFlpwpMCdrVQw+quTG3X2gSqLeTVMymALGp9cpUjJHh+/JiuPbuLlhEa2CTYa1WeJ3KwbMmvde+tRATmS1vMARWlTIYxetE06hAAEsxMPvMOswU6v0Beil81DybHErKiuAzBkbEQ+OF38nqNj+M0tjs=</t>
  </si>
  <si>
    <t>Jr2iEl7pml8CCaIB8moIHXN/FHl4p8Rl8PRGgPpyJmQh1vUK/szDAr+9pZgNE51A1OJ6hh2JGwZmQYebM2wC7DcxU0aHdtjICz4uWRyEiGeSqa94MlALQbpMLX2juQnP0iSs4TZ4qzzdd5iQSUy96P13l36dyi6K55ArubyvzuLpdCtzwwBLLP9F0wzOpIOQcXINH4fjo+L+grPn2OMsmJpnTxpp/cJeKmVLQ2SEzZPTuNTeEecfsxlgI6M=</t>
  </si>
  <si>
    <t>zMCXcPtS+6WaIrefq7fYsxbNe3Z1MsH3noDeMTXS/XDoamDXKnUFjbTlNVdmiC/HlQGBvyKMgVkj+YE3LGGVxAKMaqE+TAIQKBIhlavlAixcIr8v82zEp3wjq3qn8NJPVm1yO3Q8tZ5fMybWhJHcrJUWIqWmRQEbnjrXkPQEoQBX4jhepQGt1z3wy513CUAyruwbaAhe7ziG0dkamL8OmspiwFidj2bWAPGGaqzE/W4XFcL+1do6gMbyw4U=</t>
  </si>
  <si>
    <t>afrgNhMBbCF3ZkS/HjdnPnLpqDTMCxGRwwWC9L7rY71b8w4R3wDcSx8BguOEsjlfxsJsKMKvFKUDnLlnuZ5drOSqE8IcDiRVjBt7FIxdOOUS9C1WmVlWhUqEo+ncYAkc2wmJ8mX0prNfNcFmEPa4VI9RKbqOfDiK28gg65vxy4VbBm/3iRuJCbhwViAuXyJvmZjooCXpBtVvSKdvbN3BXCwRyQGqir2jyJMJQTKH1EPMMnMBULZo5ehR0W8=</t>
  </si>
  <si>
    <t>LWg1SwwKpNj7BnaqH6Kw3k4KPC5mcLx6gAsP3w+5tcNL6OSMUL4X0llk4T/Q5M6kB5mJSbHaBXFWNlQfAxUomGDfRkHs1WnafyNq6sk69v0rbeBCOQABwCq9bSOqBgB6k3VbSgz+ojG3rOV5XgKwOpjBMC3yBnO3Jj8Gai0VJTObReR0CqIL4e2QveR8I+imxjwgvFEmSRvM9JN5OjkOuONWdsi/ENl+se9woRc7YgD97lgpNQYxf/upFwM=</t>
  </si>
  <si>
    <t>ffuZ1nXV1gYWy/RVYciJ6691rH0uJYZLRi7g82nrelPxewwg9ixjAUc0+hvVR1XPJ9QVM3d03ZxFSN4oAtUHEgTUc4aRqESBi646FMta6lHh6ZwU+pF4iVOBQPorCvAbwIajgV07/GrlKj0Lo7RWd6aCLREBD1icJjTeP1/+sOK1zZVfQ8IT4T6gBP0UeMF/VanagZihJ9xtpT+rKRhavofb4UKxV1lj4c61de0LEm6q7VyzC/D67+L+iko=</t>
  </si>
  <si>
    <t>Q9b0M0BlYDknfeoKcAumrMh4jffcgsxIEdzixZyigyUOHdPv/XQB3MIR7Nv38i8uNRb5YzluLIDiqe8EcrZ9y31ovSNTU2xgFLgWGoeChAjXnFvPbu40wMpsKJjDfCXKjh5Wcx+p9hn4k+pIDJXtL8fQnibDbcm8vYNXl6dLBzypv/nDzYpFVrZDt6nKZWZT+f9//l6i48zNUNFon8YYdSmLb1/JYC8l0LQ+0YUcH4E50jyELwVC2EW0NY4=</t>
  </si>
  <si>
    <t>og+3MEPN9Y5QBZVmHWqWHENLqhnHR770Dz9YT7aYYy6N/rqxwboYXBMWTkD4T/5RgQAQa4sjrVRAhB5AC3BUiQulWCg1O1Td/aB0/TjmLBDsbKPjQvoROhWVuap7x5xYCKeRWe/yV2jUUSJkufEEKvgPsy1LVkcNnZOnpx0+AeKEp4g4tT3msoViDe6Fh1SuW4NcUZCbdPKgNW7zBJRSptORB1pJ7r68KBRTKUfCugjEJR37nqAJr4sv8ZM=</t>
  </si>
  <si>
    <t>ab4iGccYgJiRu0zqoUcADQ3KA4OT33vpckDDA6U8FWAL18BKH/GhPXUvBFa2lcIQ64b8KJBtLtQVK2zGzL7NGfUluVqX77WEwjRxjpt8QkXT39JEwTFZ9zLAwQzWUxjIGAx0b8gvt551HvMIvnODGfr1eR3a5XtHU8yjoaRklNvTeDHuKtcZ3F83S6Rur/Cy9jG16vpSRsgfj0Rb2xH+cwjn6OOhVWAvVvbUnD3DOaVUzL+c34+bX2mjQcc=</t>
  </si>
  <si>
    <t>BqBWou77YJZJn9niOO7blfilvUHVb0YRqdK9kuxBB4GoEp+Gc+TOhAMsVjVhoCQ1fJPIR1yoETdhFyWRa9+RIpJ0Kleqz4REiSVoMuKO8raYDA2ghfI4gkxaugM1RXBx6qnB7AWcs5QQ8fqTZ3+9n1WaFEs+1R1nHMlzXI9ViXhA78FYO6Od8KSSm9ICCRsnn4/JKhYpKaAaAE/1ykaLYlsQVIz8AX8N8VTGlMQa5FucsPJJcM2vBaFSBWQ=</t>
  </si>
  <si>
    <t>4spZzq2cwS10SrqDIpuUQ3xIh905ZnjaB4SqJrAiZJeU4+SllcyQxwFiH+3Hvh+OdTgsKHQ8K/k8zslWgloRZrifd3115NwNiBP4j92xFgctFet+oaYHe4rsHCf5o7aOIAVilhPYn03fbF/MSNlwl8iDrQqfJ0nreW3K44HfpDTVNAAMLIlgJyoyZtgQ+S3G24Ay5hvlV5+7e/7ntkdzVZAIyPHiJmrnTf1kcaVH8pTILyom5V89pm/8Vao=</t>
  </si>
  <si>
    <t>8ACEm6HFJQsclVz0nnslx6/p0CQZ0ACojZT3cYas4wJ91jg3EQCON4dhxBNt3zsfxcUX+pPhrL7Ve8TVgOrNFlMOdGJZ5cFkbsM3GzB3CQw4wod3+rVCFlljd4y8Ta1d0RHvebAJG2wDLQkSZzKuQQXoVrNmpW5pkdgEZD1XCqUGNIqHKkm32UVq6QLDlou/7ej1AC7+nNyZBeqA8dQpcMLfTrAHp6chuDz1pB9j+N+5tIXzCQ6QOZkxUx0=</t>
  </si>
  <si>
    <t>APc3EcgbP+toHp8D4ufSeM0Dz4FV+zOpi1L76RQa4vPoibyaNbr80ir+5nrOFNHsY+UhXQ3vOQB7Kg/jv2+xb6n9OibizMo1lp0f01SUFDZre/hqtVsBxMCkRk9btX+1/m+EoxaaDmXCHAgiKp8x6DhnhpVCwsX+pJmvzbyyTumBonPGYvLBU71os8quvys9BnvNGqm9jx8UxUJFiunOmDDfurA1rTacG/k4HR3+OqaXE7qdvGpUty674sQ=</t>
  </si>
  <si>
    <t>n12Uo+uAkj8sau3XCLoQqgIPMgOaNMv+J8Ue5wC/v1n+x1slsD6L5gp1gIat+cEs6auwkEbnN5kLCfDWLVLOi6VV9BMolyycsQUQCBlzxeJU1gA6+g2VuJ7zq6iVbgzoqKi0bFGRkxa1+dQFssar/9QPw0wqfJKv3CPhV0UsmTgbTvUTfpeOz/vkiLHs/1L79i5lk2UhRcFqRn4iHHpAKrRc+maOwYohfV+EFaeJSR3ZuFwJ+zPSLtHd2qo=</t>
  </si>
  <si>
    <t>9QZIMJR/rEiKUzz+sgAu9OU46B6Vm6XdPVyUkzNvGhhw+q99cmaiUHnjgXE0DmX4zMcRHgBghRMm4hsQPKREppmsfc6GPZ6jEjnxWctZjlrFX44HEb6ucGKk6fu7cLYOPh4/74u7lUmk0hrGZDUCYGOWgrEzjFUcw73SB4+jeaw1kdRjoZITbfzVgWuAYHyQbrtBHXz0/260lUk+xDxeW5cElN9ur65oBcUvD+HBrykT3/StRyfHsoi/VFI=</t>
  </si>
  <si>
    <t>CR/Dv6E5H7fMiMrno8QV1FLyUsusKwQbIRkSLE0qq6Unzz/t0dFBJD0mSKmWccqJQ2KaXyHxSLJtLy8JCvoi+VItqdlOhWvAKnEZgCK8UKtGUmux/M+tii9+5ib+6xXqu4P3aAjvLWkM132IWR265zMp3792KHAwKPHfVnXgGnu/x0cXBOLc8GEpmQ1SSovkJBGSbnDytcMGb3trUjFFEMNGZCpKOBFiEDuoNVug+by8kq5IURzw1LguwDw=</t>
  </si>
  <si>
    <t>KDXmus+MzI0f+mOfJWHHIsvoMYNJLbXg2psc0BdPmBL6cZPfajVQaayQBhxkvMQXy6KVL1rvkABCj+DapTdjYukXODK7oZpUR61zXXkOy+ljRiAQHYp/hcJ8ao/0JsD5ZAGvjkU+PoFfs1gGEQnSvbDNT+egGYfsOwJ7HiLSI2n4QO31hggft9Hp+ieWLC/MnvljHmCWFXlXnUDsFgoeC/dM5fzASJzS0Hm0zNqEob8zinlFkxGgJsixDlw=</t>
  </si>
  <si>
    <t>iAMPX86oESccKzWMLwUryCkCmC1RAr99fGQ+8FVD6ofn42UpqhDxRY+mufTig4bjkZ4iWLGNyEPDYbiotCzxJHF3YgmTvsyDm0cosq2F87WTJzqdQMMOCWA2agK1WwDedN7un7+PQBTUNg5LvvJSlsEuxp9lZQoAFW4WAdboZ604z2w5Iurnes/PylCzgtwPuTx6vu//ckvSmjrGp4mOfkGAy2KMCwgYP3wyOuGHmIt1CiW7gt0BMTqQ4oo=</t>
  </si>
  <si>
    <t>1rUqtCFlbw7dtdid29be3gzDhmPeX/+BiynTklMRlbwYgvJhtn6XGvmnvNcxG+wj8KIj2eTOATG+12Ff8XEusrSmbIIMnRMcXaqeU5Bor1xbeivyN9ZOZMYvHhsqg/UZJTg1gVr3dioGF4WorfWR20i71CYHbukl24s2eO/G3w5wbCJgTOVZCBbbpv26GdgCZ7nZ4qhT3w5+EpNx7QRv7NIv/W/Ste5z+OJwKzvAY7diPDPL98qIv8B8AgE=</t>
  </si>
  <si>
    <t>cfWLk28W3Ii1Q4GdyVovaxVoMSyHBeWYtbZ60uz+YUCm9YwCz7u9LtV81ngy91S31fKn3k3uMZPm0TqoYuluL2Pd3PFO/9drYgAipK++NVUX+m73zIazE5nYYm2VfW2ByLQBW2QKwK9fHkOUgGRG8dxIr3o6h3UoenYVDEnUEFZhRxggFGiCdc22vKU6lPfbYVMiZbM5qQDoI7NtxAC3qkTfzUoTCGVfr4zze2fQ+beVfZuZtGdXXX08Nds=</t>
  </si>
  <si>
    <t>mWa0gGL7TxWMV1smRw3ZrgXiVPRCbxk+TkNCMQgMqz4p5kYcYx85XRMfIcFbk1CG1c/zdHoQoubIfZjYNh+7T7jnWTeHUcdnBJeLsVaMCkHDTLb/QeSXDbBGkR/ck/ZtkXUczjCE6NeR4T9g2YmP7kUQg1M34ONlH+9MRh1vYXiTEl5Q1m+gtxzk4uZ4iDUPTMBlTyXc7rj+czpj2lohuPCz1v2RFsJvaCHOwZj6qk+ThQ1lIyGdUYLmfSA=</t>
  </si>
  <si>
    <t>+UrQLzNYTX05p1SPNgXt7rauzSuGNntC/y/+UGrx634HNhOgqa4HPzm8DqfJgXQrwyWgkHJ5SHZmumn+wIBSRz1g/056sCjKdMvRoz5fftzVBeQ1a/fpxa0tZx4DOug4oZisrBHHtmzavg4qJlTnlZzP9VCRZJOWx/f2d64IEEo4wVB0gWpdrV4PinadW91Ee0Lk8QuZhXWAsakq6HPCU+rnO/CZ35sWnZyi41At84VuP3Sx3co9ddyw3OU=</t>
  </si>
  <si>
    <t>UMylQYT4nDPGVXX6ZgFDzYiTnpyU8w4p4hlM53RGHxuPaCqzgsjsgo85T42romNCh5/c7ML0ArGCLgu95czwuEhaPaujSm/oBamPqiy9zNDTANB4Ua80SGgx4dpva/+2tNgPHqTjtqzuMDs3EOpejpzkwC52LGEaKRHmEUz8rf3zWG5Va8qRUZZoMAk/0Ngup+QPuE5IsxHA0J3GTSmJOajFbsPr3jcR32jpM+SupH9GV4ouYhFz7F28m7c=</t>
  </si>
  <si>
    <t>coIfoHzpTseFcIebHLpl/Lh8tCgC85n4A746+M21vZuz41n9aiRjhhvGzm5Yy7/zOnLpX5hH/tvm5i0DV8nW3YIOdXIsQtRlGWkz0Xm0iAMbPTZg+ZCT0rCogSDv+bTBNGbP/XdBqcJLIOcjgvOaDTZIiG+qPvb8EWv25pS1hBAMqO1S6E+mgzw8DQOWBkC05n2RGgH8YpxUg9kqJ6EG29gzMQCdX4aRMeJtOCX34nRrz1Pk6WAbjKM5mzs=</t>
  </si>
  <si>
    <t>QxXipKk4i2dmo9WCnLgbAo6WPz1VQ8yVz55SipnuEtcB8VeQ+wt83RKgmYwaLIwRzS5StwiLXXRd4nqDQSbYw5kiUo6Yy6mzk9ngRjnoyDN1jK3HJ/1Df3FZOP2XU+3QQvtrz+alg+S35vec4JoScHp/DevNYhXgEpVfCGPw+5XHDSKxFbZ1FgK/yw2Vqi0oKFNxOdWkNtlYDqgONeP56kgmbC3VAgy32NL4N/5B3pvQgukEqcsFQsc8FLQ=</t>
  </si>
  <si>
    <t>LaKRIi680N2XlshfdxjwORVRByGENUBdfNW6QCxsQ5hNmH/eXyWCTl8Ofz5oDrlLyHnVX4xkjq2x8sJSCYNjaIpyGfA0A0mELf/dMsa+R4k8NqNsPs1i5jY0j5qQs35I8iFsP0wbizamSFRApICTyF+HtzUyM9QMJT/fbW0rCVvMlRwuNLLfG00v7RRocrbQITUsdiqPNCq2o6TaNyU0mNHmfSEpPORvcz+dpbftZDvKVeBHUmj1H26mCL8=</t>
  </si>
  <si>
    <t>CDhRRNAnqxTKZJ7uV5HGLmCtl6iqRMzv60PysOysKO24DbgTeYlc8H5Mh9vHHbSF+Bdt5MJvTsqqvy5QxFoHo8MKDP4lO2iJH4rPont4cQSNugMWENSC76NXZaHUE9WxMtVQVKzssbVU42EHvwuuUVKpkmxZrJU0ggY757LPweb3oS6JVrH/Os/N53fxlap7Es/Lr8/rH0Gbq/XGqxv6ajtl7n0RC/+Hy1ntKHHVl7hNpQOYaWewYOd/hKg=</t>
  </si>
  <si>
    <t>l9TTjdV0g2vxMpCYSwDv2l1h9eK7UAwEXG85/EeBgf2tHvGrX3i0Wiu4WLuYfCNxjpBPxz3ScFBF5eJvDYL/JmkWyhXT+IzQp8avxsUgqBvBbjkWxSBI+mA05D8s1Mx/rLLsGvN/+20xpVlriKEfmleBjH8LJs4KJ+ELvagAFDZHGEMEPwsnU01+X8pObrfV81lAVolXs57xEW/7hNTwvZF10aa1s8SMCRZYjxMdKxMqPxCXjOwOkAvnpJI=</t>
  </si>
  <si>
    <t>LlXRVQdQb7nlozqCyM7nWxtkbXQpqKuxxuVcuvaoWfSMEA5BUVg/j0+s4M9Qt6ONglsbTE9oVFVKlAXBycj34W+KoLAIxbPUz18whrkJuUXY532PtuYGUE1GFrUbSfshURaWSbkRtsNEH44tN/4AZ+B8fZInX3iMeY9X9q/SofjWi2JSLC19SNI7NWS5m+ZylwSMB84iEhq7Ed/ZJMofU2ty/8wiIeK8fePlNNuQMd5ku8voXLtv0K4HiCI=</t>
  </si>
  <si>
    <t>4kDOEkg8NLb36bOKcLca9q4axbeTqEUC4kLoKbhslOZ66KofrCtVyJLGk+sjJymjCurW8YFCVLaRJAjznfxdJQsqk04APzvInm7V2dMCpfzZWQ0FUsJ4EVGcJrSElYAJ1IRww/0Bd3WdwlfQY883hzyHzd2RqrZGk7EbcIWvSXZH1TF6iycfebmyhwkeDEzuPQxdFXfAwcNvsSUn58QYKMPo97+3GYaOYxuJwQZ7K2AU31SooKKWwdFToQk=</t>
  </si>
  <si>
    <t>onItm6IzXXpy+8yPIz02jxzgmVK2Lb/6FDpu6hhiBVKimkIBVmZuDTNsiZkmcbmyDRtoepbFfeVJmrMqaEVbwKvFb5WzAnW9EUoxT+HhvFmeY9USmKri7gGO+uzVzAhkeGAC/T9MtsW8fKta2t2UuOPIVBaDlzi4dS5Imsybwg9J3lWUCiKq4h6nxTzRY1dW+LZ/vnMV9SBgXUIxZbP1z+NpuoIEemEii69ALir7+A+J+p1SyS6CLNfO0lo=</t>
  </si>
  <si>
    <t>gU7nIqLSF8P+VDEQwgb6fX3Z9wM9Ntf6Yl5wB4oOn3vCl6sQ7usWott8Gv5TPaS4quWEf/NAnKzpDw4+n1fFeqVzHBiTOtN+BG+3oNto4JlcWIioyUzrHg3dywG5XXALXAqOjxs6elf7EHXagMN9H7dpNYdTUZTJmSyvYFrf0PkTNDArNevD1B02g6gBC6CLJj/rBkXUld9w85SaQQBWl8jfue8Qd1u13fHAPulwPAbBUBPXbg1pD3HuRpA=</t>
  </si>
  <si>
    <t>PyWekdhGQ22Ihus34PlmM3fBxuA6Mzfgb7EwqmIw0vqs/VmNsvNyvd25yHEPkTlorUwMbtlw7x3tgu9UJuoO+ln848PYFSGMhIDWCKkcIUcbcEu56V0B/+ZiOZq+rQ0ouPmOkWclpXJ2Px9Fna6CmVzu9CsaG9t/infYxIuprz8Sw7B38npuGfz6drgqw1kUi1tgDCjxHZpR5ZVrTyaaea8I8dmmQILRMTeanQ7A77wR1tiNH9GbLVJ8YCw=</t>
  </si>
  <si>
    <t>rIVbilPuo6RXU1xOuT+NHzKXddPDd8Ij/W18hrc/rlTvpNpFXBlmtIjdBnRPeVVgZvfA/n8+p/fM5SnGxqP6A+KKoMWFYpWkKCm9a5bFFlKJxknGVhC8tgl2O8ycGgtnnWUr5D09x2/okI94UawcoSGwxtzPUJWyEW/Cl2IxsYcLzonbAXHg0Z5Cf0f3Gm0/VlxeceBrAGZMU26PsLKAqB9xu2cV/LrAom9/u9EdRWzGp7ykwk/D6QbABsE=</t>
  </si>
  <si>
    <t>z3iZwX9zO51lePsuIPHuv9FAvBPnP7dTw80iAnE+LrIMfgiYpbnJW5iyoV50cKkNLfh73YipdFyUcjLOQu1RXW2XvohcM88s9PnyQlFKXQhD/gOgi4C1pt69NKG3wiMlNyYMiHCaWVa1FUDLWsmrUYlr3A3ozz48nxgJ9EGvNSGzhC1rzZHNYscOq1tu83i7DB4Poo5aEK/ncTln9acP7QdjqbAJ7JQGp46lNu/istVm/1rtXdUbqwYC/RM=</t>
  </si>
  <si>
    <t>A6iwiZNznHJZDafQCg+Kevjsl4GC7uKLUgM8NkwfZ0WSzNFOWjm16yd5Kblbm4s1+l/PikQERXly6Qnf2CP/sLGRl84QCXlw+3m3qOXU6UAgEHszvFKFZh/5YvY5J7NlMqS3mVKtfXbNT7jgEdu/i+XcdAEKkI0g7IOlq6mUUvBvoc2OBu0sdhf6X73mSOv9d9EMS8xq5twK6CXOee2+pTletrJc4vaeyisEZVPeYLW1hms5FIN0693IpAc=</t>
  </si>
  <si>
    <t>Mta4ArF8BSfSGuT/ycxiewmDrgFjTP5U3IdlCrCEmCgJkEjvzxIXRj7x1LnVm9uKb1J2i784HvzO3tq/nZDxD1MSgIW1DY1Mup1SNfM+sC2AsDJzZfyW7U3uPb1QWkau9jV8fDsCJ7JfyBNrRcFaTicVmQsft1BUtF6uVC3NeV8/fXtLDHiHxoggQ8HeL/QOiMpEhy7DyuvnIB1zjjv0+ay/Awl7SzGveSRYsiyZrVjJl/SQPewgZM9bXv4=</t>
  </si>
  <si>
    <t>BhCNBEfA3d1CBalBok3zP76sFDw7UvATUG8OLLufY6DWyoKRa/MDWHV/x5BmUcyIrk4cYcKPDV1ycq7B1XzGUDAb2f/XH/F86rIKmdF6U0/4IdWz/RjTYF3P+WE9MANxjaTD6qVh/QMOiUXx05EMfC8Cz5kzFPTXLJbHtVVW2au8w9jTvChtX3j5Q8g7RgMRDtjxW8cUWOrq9o+G+bIOIdGo3BrVwQmfXokCV3jN/DafVSiO8o1zYXHpTp0=</t>
  </si>
  <si>
    <t>iI394j24ccVMbJv87cl/jAsj6rRuhKuTinSWJ6C99FQ+OhFqnLH4ImQrptveHm38SSChLg26qaEG15xQw3Uc4CBFjM6o1/wP9HOFSPAzqSz7hvTkos2Lk2UlLo5FNsJLqUD47WdEewLHyIxPjRewLW1UHsKtJl0VoHk9Qhn1e1FairPXcyoGgVmS6VdNH2IDPf9Iad9Z2sd6mFoBBRP/qW8ENx0owP5UkmJa01lbDGk2FadsfrEYzlcWHFs=</t>
  </si>
  <si>
    <t>pxqnwGTTCTRAccEy4FsRi5VySNNnAGEWGe/T36VxxKAglqpvG7NK+2OCE6MpFujHNByvxgdYCc54njD7DNa18X+LJVwSLX1d2zkRJqbDptMHNFQpnWYgZxLqn+Bu1q2PWA4jwwGz7bg6VtyB5N7Med+kbuiVrPJ+RCp8LZC8JL/roHb2g7SQUjo93Bh5OknBPU+mny4xUlh4/Ilwz+DRI5KPfeftwAjjrXvkbQR+UnO9ynzRWblV7rZ+USw=</t>
  </si>
  <si>
    <t>oGvk/iJOYvEkkGTAc2cDI4qH7GqPGI2NXWVgfEfks6gt5vmEhXqyBPqo8qYiyIGMWI6EF5qOULkyT7X0K3hZcgOLdTd5aJrRrXlmHE8G8fEnXmD+gKvv9RmNKDEBkmM1RNwM+juLr+U3kvawoiiJj77IPrByMe4u6HgvYzAbf3YyFCmkpa2vVE5dQLG9iBkvID9gvLQHTJNzb/AxFEH+3potwOUOZYQboLOi01csH2kwRp3gSTr8LXOWVc8=</t>
  </si>
  <si>
    <t>0HbcGvsBGSMl0kA0Tt05d8lI9OMDjs8g/8TTnpeYLAG8fp146tRQP50ZISIzQt8Exyy/ZSK80yllmVuAhMhpnZtJa5g/EO4T7/0WFuTs6B1DZu6VGZL2HfJX7Ss62rYm07WN4xegk/c2/+nuCFIdMcD1IphlNLqz+P7E9RhhGxw/7sPnWB073KLLAvHWVq7SpJUs0lNMncOyphkOrpBPM61pVOPSyxa/dtqdMN73Zvn2FkW3eJZ6cmqArYE=</t>
  </si>
  <si>
    <t>oDVgq997Jeff6sdYQrMd8yXKvA69hj1B/j8eDGDxfdk3KUM1Hpo7uLWywBl8O0WThIGCcQJ+FTtHDJK8KtAw0ossNFAuN2RDiIvmCxrCwDPP0Kh3sNmByNiZjzmUjNVGdE6fFbqOG9RCcvu8dopiNuHOCkLqqYDBhhXtuRNanyo15k4ZE5jNIPA0ljC4eWRhAewBMP6kwSXLi5u6uOnsUl4kxw4Mhr0uKNnBQO3tDhuoQwa6XSF+ilLDJek=</t>
  </si>
  <si>
    <t>9G8UCbZ+ozdv7cXTsTo1HwW/sJU43P4GLd4ZB1gjg+QrzksSh0C5qCe6R/VJNtq+REPtS/SLMtCFayjeoYZN9y94LFLOhQwKMT0SoAfS1Z6+74bTXNOPzSg/1lZM2V73SvcW9EDnjeKhN7O7X+BI/o390ArF/gH2855m3DWc1XARag+iGIKbDQwtR/Fz08E7Blbj78SLF+vWamfW5hBKwlApT9mxJ4H1Zs4YWJc62TV47VDkEQZBPMY1XRs=</t>
  </si>
  <si>
    <t>GUzxnUOBxTdPyeS9mHhJwqFz6bPuD5PKLt20K0uvYHC6HKfMS/6ezED7mmphVvd2q1iMc5f/gcS3FRP3Aqh+RFr5ydSZPFd2A0/5W03ai4GzSjEakQhm3q9my/xkpltp/JOlEPh71aPxOUub9QcU17tGUS/UUEEibttalm7gG332whXkRgSMRnCgkX0cOLiFbPrjLoIijccNa4l1/0hNuxBz+J1pkv0dTGHwh0xLPM5YY0IWeMSWAs6gdTg=</t>
  </si>
  <si>
    <t>6TMlHZH9piSogQfw3KLpgPEDKYW/NxVAlNINmIkxnc7+/Iti9OKOaHT1+8pZr8VQ72+Jt1fXTlkT3gpdDgHjz4HZWylWOrQx6yLpj0g6kWILiLbOUNUWQYtibJKMuJNgPzn8NLUlA643qe5bjDMv8wklcN289FkJU6Aat8qfKan97T1lOOnrTCAv2GwNW2CvfxVMP0RovYwZ7XO3WxqunHMRI269O+A1PtaJ6NbU9yZBZTsHEW1njzPMkj0=</t>
  </si>
  <si>
    <t>h2zZrVtdhQxmwjcPjwQb/jLTKoAy7iQ+rJBhn8/UFi81gySDmnnueH4Ldmnt37T3FplY2xnwmaRJm4p+BuORJPZWiXgdvfh4D4dq1YdqWrakHNVR732E+C8HuB6XZVsAGm6MZ5lyXq7HS8YnxLtPz37ZIDuFZeTSI0Nd7GyxxJNwOGjJyaMnRxfRH8qEVbLA9UUpxj1Vdid36hwFayYrBx7kdVoqVMmHpBqrpRmIPc9ToEAAr4qwzroJ4Ns=</t>
  </si>
  <si>
    <t>K9oAY5Am33vqJuX7fASiarHAzd37Vf+YJe297ZFTHhRJ5o14cEA62nC4s9EWvyJGn+i1yh/wa+IlJfBUAhqJmqAfNepR1LfJjRSZEkoIJbjckf2ftbIZrOY6wRPcFSm26AEy1CQ0TylUwoWw0hKHAQqnYur+Ntt3EQFkrl4dss9VPvh+/jHBE67Un/kOm5y3j5bfG2O78xbabrTjNZ2PJ36zM4tQ6hxtQ4c+nbmOR/kZKAWxggsuWnf2N6o=</t>
  </si>
  <si>
    <t>WbVxzYmeDzDfZqL8BTnX17Qt21y7jZiIBqG5sdyK98lxYbdj+/ltDSKXRDZWY2c1RELNUF0gWE9anyJaDGi2UGDI311SB79S0EWsSNrigFsQtnXfXefTR362kmqxIGPOOSmvR6i5AWBHj9Di70eTo3vHGIwSUQqdM4lw05SRToLi4COF09PjhCSKfZykAz/87D58OKi8HG/aezReQcN4F/n7Jr8kMgm+rOhQu4nqYkJao5ims39kUFcxZ8c=</t>
  </si>
  <si>
    <t>E3s7bOyz2Fmg31qCzQzwCKNWObZ/igZf3ssReqmWKu5yo9NUKYMKd4TOBi3EZDxJ76EfPkJtkIC9xDcjI45UkbDxQHEohR/mPqfYzSMfjvCkG+LAb8LMpQU5srMg5bDg69mmbUP1CW+/eHdmxxiXockSHbfmEt39GC8R+Qib2zDwc60ciYiau/ZJMaVfQ+x0LGii7tHNFK33F3ZNoFQRQ2H6Q/2w913X/5wXe4QcZ4RSpQmXadKK9W+88co=</t>
  </si>
  <si>
    <t>2+fczH/U3GmqITyVpXP+HDFWtZEzNx6PLE320wOtRxZVk265ztx5XOTF8r1ayL2HIE6Daee2WNxzpQJCt7sWi9ACx14LxnbYQ9mIFNl6hybSCuLUt1hLF4jhQzXMa6VL7ix+kDdFBD/tIomnv4Y+gnW/rcA5BGV4AR45lTm2uu42NHjsXHwke5fjizNBUozNmWd9E6iwgFqRlwdu9Qe/Hy1Ond+QgJqgWzGKdKQ+akWjWGd0hjZ2Fr0ashk=</t>
  </si>
  <si>
    <t>Z6vfJfGS7orFeP0xY+pLEqi/70UeoO4OfDu7aMkcmU6/jR7lNadwvNCi+bFyCbXL9CJ6FK84b96RZjDpX8bpDAKUniUjB2kz5PYbLi3anwFBl3+kNAtXIubZFhdSkaQd27msuzZFcdF0O/NxpMipe9jB2/gmEj2PYkyryznAR/ZJWLMKaijxYUZDS/Mq1AM+YYsPGDfZGEWhjpdBcEbr/eb5xkKsKVT50ztwbfVOR25FxkNGaKJX1m7X0A4=</t>
  </si>
  <si>
    <t>2+jza0ylhRPB8tJB1dfanNMBQDwAB+yaO9A3g9MRYXrhDweMx4dmM4dk7SOHmXCgnDbT1rmdg+fIg4u1d/RpITaPOn/1+qG/knC3CeLF6EXWyYS47ReXLP1v3psMKpuVU8tz7x02yGYgHyKCByA5PIdOTFAFVhLG0nbayOh6sa8de0A7+nBfxplnoYJKaSOJXCNDXg04CMrBAuJAasjhgEe0pWKJ5+I1N5G4O0beSPqm5mDJ07wzhmwMIDw=</t>
  </si>
  <si>
    <t>SPoaqjmDynzvSPxDtupvLKNOsGthRFmEGWaShsuzceL72j5SpuRcrbfzeza84ycVrN05IR4KrtJJUfGEQtJZ6mHmxcptT3UsGy3v/YTrvslRz2nchKvFMZt5/0XbG21NLbmAkf/QdJXGSEqeBct4OIeqX4TezGfl1o8br+oVcGDRYg94r/GoRsjLQyIHfGYI6902MjKiGSsUKIM622fXWzKCBX2jz7LqHj7GWp+H2byim+0LbFIwRkU5Kys=</t>
  </si>
  <si>
    <t>YxgdLD3BW2wjaI7GriLyLg95yppKnhaX87FnAGrVTxuTNnvHDYyxJv8bvoj2Q0lEYiylvGQ0hIodFZfCj5QTJaAq+15eTaQEdTflc5xW42JXFQ4yoKwaFqJZJkga5HgzoHPmx1Gs880vMYjr8l1RGuHcvuOdgx33GwpPnXNIjoTVSszZJuUa6I8oaAwR6RSvxdsWdiZJp0bzkbi7c8RFeQmBR/n6qBLCFzoc7nIswDgvEcRJDmWJKnlBz4A=</t>
  </si>
  <si>
    <t>FgtQZsrNjQhZYLSa7ZTs2AKqEkRIQWqN5Ha2hQn9jYdYn8OhYbZFglvsW14bENehbqq86qAk0+5NCkGWbmJXJ0AfexDtRXmnLlrKBkd1HxdYn09Xd4gkNSMcv2v+G4cQmuyz2QhhvSPcZiZgPqaMRhOAggYnxu2ITQ1/zi0HiJf5jyZ+RTUgRQsXsBuN6U1uc/0jp70IFeTJ6ylQndoLO3iB9N+RkrK51sTzSkt0r+kIWswFJKLyhqGOqhk=</t>
  </si>
  <si>
    <t>LELRqgqDPJp9n6coA+Ye2Xk/0n2/Z8IgIZJa5tW9K94gpDvDU0qqhnzWNp9ZU575g/YbuQfJW050VYrpdTotBrQN8Lgfdr7OrP9wMyA9kQldK4wypFAKqEdYEsuQYm2nKoaDroOWEZS5aRLMxMdj2ge3NF1Zs77OCYbVPiGNYw1qo+JslnLLWoxLC8Yr4uNNjpkEFk/0lAthrrZyaj2KwdH6oGp2jF1DxJDvLFNbgJ8bhpj9WfyYjllWMFQ=</t>
  </si>
  <si>
    <t>44Lm8EoFz2pKETbVODFovw1vGpaPLVQfWDxUJhEzfhvi6MqIhm3FpUAZIGhJ4WY1wnn1NfvC66P8oirsmJrTHgorfg0+2/+qukXwRBPaiRra1kQoxAsjr6izERtkw9ySxMF/4T41uUxa1YxwayQ+JQK+BWpX13VC5UZFvUPu3n5jzmdgmA+7yqKrosMMONXtwKuRIcRcfpaXIHpmrj5ZvBZIwXQrOPPOU/sl/SVX5BshwXvPIx3wbQ4c+e0=</t>
  </si>
  <si>
    <t>AO8ukH7W2szslrw2oK8I8n/QcC97pg+79+d8TaWUdihwrSKb3iD1LYGPcPI2+r4FrMwq7hcUmUU4m9vn9rNe1zsJ+oa1sg5aTEXKq3EoXofriEXfT5M7y8sZJuVS25eL7uvYkAZ674DDBEI5IBe2fQbeIUNwP6Bk23JvHn4FByaQx9joLPUgCIZGADdpcZCWVdB/Qj8vrm7orLKYMDz7O6bkA0Tu8xKQFar+z22WvH2JYLWq7KrGyIv9qUE=</t>
  </si>
  <si>
    <t>NqkwkxTzBDu+rvdeHuX1curqIb0XGQzFsRjXIjad4wswODsQ5yOFhzBp0Cjv7FxFgoHUNUsNMTQyln/qbl6wH3YnmMbKJuQfqvTs6jGG1LqNBgF7d/38R251IED0YeuCFpMFH/wmYeQ0fJD1DYGHrhsmPFeHPwMT3rphzCRxFvEidulWLAxlPj+2PjZzCDOrhcUfvT6ap3EqcplfWjDWSESZwip+g59REfI+RiCILoby8v2hmfusyAptZnA=</t>
  </si>
  <si>
    <t>4Y1Dvpu6G9jMdWilXs+EQbKavrxIvW8oeOr3eQXO3DqiZTYQiDkqk8JrrCfTEnuTkAB2cHgRv1zqRahLMLNSrPxTYh7ZS32ME0GvhaH0oItjh9rnm5ECwDTv/I5UrDRN/s7TQLceVYOhmCewmC25R9xyq4PTXlgpXTiJWFQ88s/0zrpquu8BSMu01cXmpldxqTAsyrkVH95aGpInwSEBuCrXZzYB6kyMtItReoAaXdJtvio7Owfd15ZlraA=</t>
  </si>
  <si>
    <t>n6GLxacM67SivEB9nPkPtX4HgC7gNbSfp2Ff7YpkaRU4VWS2nfOKKFepH09tGvEesLsFJtiq3GTzETMruRZMj8xJ1ubv2IO0lM7DCkWFEbFQqQq7kd9opJp6tQGfz2vDAUAlsuw07BRWG4PffV06uVs6EmsY6XdXje2Q5U6v5Mt4uq4wvkc7XbhqE4JWJ4HEZmRCiHHRQTA3IDZc0xzvAY2tMz1sHZgPVAIWNg3fxVMZBJZ5w7q98Acpolk=</t>
  </si>
  <si>
    <t>YtCWkB5v9sFIrHKdKP5ZuTJQYy0uwnfwgFlv9GylhjGP4u+wIiJNUYFQmnx4b7FG7iSD76NfjRtXMIGDVfsDc6X2PDNvW1eXtmHZb56yOYDh4UK3tQvWmKuF6vhCG7Vb5YaIBucp8EYVOlpNWDPz2LYjL6+jUcOr/g30JpqJp2dLKFo36d0W2/y71+K4/r0FLVLXoXE5ynyQgxIJrtP734m66++GG7wkX/bctZ2p1+N1f8xP+iMeCeZTqG4=</t>
  </si>
  <si>
    <t>NtwG26KMZtZn52Ek0StIDptqF2XcEaUsLGc6yde1EZH1VWhj5w2OfVvQ9DzRedGon3fnICs99GQ9XE2vP0ESsleI8Jh9Ea7CMbElbepK58aICaKdKS7QL/IwPRTFy9tB7icRSOulPN+9SjP9tOA/kojPBY2PQoQNxgyX90tHuNydC/cPEXTpe5lSQfzS7anEnxlWNN/CQeYZwXVXlzoY/VLcGn8XbfdSuFQ2M1qjN/2MHhyca1iwp/zQz/0=</t>
  </si>
  <si>
    <t>gcQyVC5Q8v+dqDd6YByhbNNHoiP5YsHXNdEiGKqf04WXdW0C6o/kgGTiAZuyIYvU535Es1yT9flk0+KyX47fqT3v2td0bu6/YiBqcwlmgJ3zr2FNrlg/Lvrei5INWN5McTtDxuorWEVjZJHa/USnhZcZQ3dqV0YOZpsRH7+jN6w0/Dw6x+CaPJArpkLqD/tmtPaFBC41NCer0FWUQ/p1Zm/IYL8Rd5YHX2j4VsPbfWcnjh/ieGymOi60L9g=</t>
  </si>
  <si>
    <t>SrwU+ViBJ9On5oJQoRVMJHiXBsGwlh7iTPR8pmZwqWUMc2krJGVPQVr6P0a5a1hbAidEtzVE0YBgOn7B/WTMqr4733BbVCo6QpIfSgoAWyKraYtCQyv9yp7Cf4x+8iODLHw76hcyQ8cKImmsDQZcbZ1A+SjAcoSqwi+xOyC8e/VCisaCin5F3CCqu7wMaTwzko6Eg/AHNmlA7S9uXErGxxlijxcVjoRQmkVqeWg0dU7p1GFnFXOeAyCwOMc=</t>
  </si>
  <si>
    <t>wooM6ZbuJFeU9xESs/l4j6i95pA9F2P4cg8YLGTmSt7RdVJxHiipCKmXAxRkgemawl5+0SRjYcU8Fr1GeWBlyki4f2kTe6K5vLZN/yEw5bUcie2KbXv6Tq64rANkWSBcEq9ra/gbklACI5fQ2AkgIRxNEXeI69E7tVS1Jx1jXVmHo5A4hQOKgLthhc49r+H3PRPXW656+bPpZ/AEKpP1q0afK0Fj8OXyywQNRwTq2h3/kE27AcoWEAcrA+M=</t>
  </si>
  <si>
    <t>nL5Bgs85s7h/w1oEWvi/Q8WcykumpBK2dnv79ZkG/JSwuZX9EWrlb3l2Ubg7FL9zc83tYJhjv8xWOP/nmJB4tE1E0s4qnkp3f5d9INIGA1j9jdsvuERM/Whhu4GikfBoMGR10aFCsShW2chDJcp53+gMnFs6kzHvmmgX4Q38lhyR6JN7ojxWho3DKNFgxc2Shf68evIQKSjwaNZIheD5mHjqHyTa56QUB43pSZf/jb+SKFeBfDRGr1VUhrs=</t>
  </si>
  <si>
    <t>GguBCdY80LgCvC6d6a2UaH+efV6Y6ls8SpPGwv+djn+xpXTClslDekqMKSr5a2zrDUFhwbL7WTSXIV7bRV5k2AgzWppHgWJddD5Hh7UlJDfiPqpTUGbpyoRjE3GBfkJT//pMAqRLmCKdgaPZagJfI/w2OpyU3ivCVcDML0NkiMunmbJamL+5enuzoqanp0ODtfM+RwXFlDv8dlaXBlkDbuIzoxNQ439Sz2TN1x7U7JFugU6/59ILknKQoHk=</t>
  </si>
  <si>
    <t>Lr+3IW5rKUd5iGq2qWGnr27KEqyx7Qsh2waGGoZcwcgNiPFAA5NdN/6o9rMOwFiUHqRYBRxukYuVEtU7r1eNNedNXtagckmFklI43Zfus3AVMWqIKoGbblksIWT5Uc/FA03lsLzKfO84jSq9318N/H1DHAJlJ71oCr6LJn8bDcqam+/GtMolI0ppQshzyJblkTzAvPP+fypD0Bd1b9qceR7xzdYqbjAa2YnFx1dr74Z+JS/l1YwW2t004MY=</t>
  </si>
  <si>
    <t>QnWJpunAhMao8MfJwmGxzdTy4Jhj6NWKUhq9PM9GCbaG5sNyT+dUheVZG0XlE0aDCcwS844lnD+bkw4Nr+WcQn7dWv7IVG2jpDRuWPFBYFaD8DtbYBdQRT2Sx+PMD1Jq785id0KovAzajEitb9Yciv/45S7Qzp8QaaeOpsRlQ7XSjcD902goVufFoHI6bstZdKW8Bc4nEkN7REkbq1sAme7NLu2L4fMNYN56KvsIULgbzJZ8asZYO7L+mcc=</t>
  </si>
  <si>
    <t>1DuSvREmogrBbPxw9GDFTan4i2vWjAyj6xnnW1oNpRHDo044gSL3/MCu69HUzcQHxAtflwYnjY7I0195FGQD72Q+OTT9n87HVlvhwclIZG3qN+DvjGVNB0wOUYEGHiGLWAKc9Gs5TqDDvp6yfvV+o7v6WWp9NtPrzE+WdXJF+cx5sWKJKYXXdJpDYtjfmpTBx9Uw8d6r1VFYmGLDCMjZU2XGCuCROJVnWX3WR4Urn9Hejnqc+2O0qpD7UkU=</t>
  </si>
  <si>
    <t>axlV3nEEfPOG1H/i0i0EH5UzpUnBEFfh6JD2Pj4QuI4zTMArA9hXfkfWJoKscP/b0Uk+wT3p7Bj2xt2fBcJDRkXzQYhESJ8HKrSh28ZrFx7s7oraOUvyQIXcdo74g9tO+u76SbaXH0QOn3YhFGumvZZ3Y5g9OVXwrpwlRVvTXcYE5rtFiIXWDzPfSrPkBvq53hb+pMo+WKeMdk/CZFu0vJhrJGMzN2rJICKaiYGxleKbIGvhcCExLXXRixE=</t>
  </si>
  <si>
    <t>JkfSqmSPKIp5Pdne2is0JsJLGdBlz29UBUvzxOiHVyc4aCglCj9L83Gki8QYi+nlk1SvX1V+fDki12KkwixgqHU1m3zPO/r2eKEK1oSTyh1VjB6G2oAyH4yvnAQgPipaYzZzGjFOfJeu6X2OxVlaJNudHPpJbvQevCpLauJpbDCl7e6ViOZMov3JqOLG+wMAWDHLbU5jLPIR/DG/v7q+d7eEmfE4alG3JbSu7Rt/T0WSqR0vd4T75FEoHzM=</t>
  </si>
  <si>
    <t>kY53kpb+okOnPwa4vt0S3Gt+O9tY+mZ3q592tJA+IqOkWmGPYDVk4X5s2FACNcc9vFwRxdnK8rwPXvJU1vHkiPaxqjeUBF3Ento3Aqr0w9AiiwIMhcLuabNkc1S+1zawPiUJU6Xy7LXefKt98C7CzFXxkhTjTkUTH291bewyFT9rGeeW4SWwwCiCzmCVO4IIIgJnEXV3Dq8O3DgleAJPXhyDaQhNnz/+KPi2hkf6So4bqnOUj0U5LB1MtCc=</t>
  </si>
  <si>
    <t>NBydHWnRbqqdnmUF+m+opyX4Ta3p0dGGVe+cxTYtpal+8+yCFolqKmUMvcGWFW8ri9zPQ6NJj1snLfUnzWnkj6weZNro9kGPxkHUjq/QqRbllLSJTNIe62573o583zg3RpX0Pcad7iqViJjzUz2h10dL8Tc238cNL40RtxU7QgmqppvkdwHi7exNuyFrzc7vtwuB/Wyjkr7QYvKaPxsbOOLGoS68L8GUOQIEZ4h9HmiJ/xbPWBv14Vi5CXs=</t>
  </si>
  <si>
    <t>C8w5HzSi+Wb3xlZlSGGYmto8y+zJRB7sG1C+b+gme7UOO53YM0Yq5aARQhTUM2C0hNGjGHPMZKQ+snpW0w73lrPNzFPnF9qgvNli+PsHWXsvSUeDKH7flhhvVBu07UzJOPxaqJrel32+YGqEyX98XeFDm6Y4x6fblaxy27sTfEqw8O8GCwpE2ENwZd1A31f6Ylmp2iCjjtgXnv+roru/TAv7yfyhF092L/N3pyViSD/ZBA90lu+nzsBSNvo=</t>
  </si>
  <si>
    <t>s13ydWygwuHuCXgC3QtlDeQH2/ATSp6L7jAarAjIUkZyngEgc0cASYgRpWu3lE8Lxsjb23j6UXa5Gx2MYN2EcOOr8rSbOHS8xEadxdRVtnX8kOnVFxo8y9REI4S6IQ++DTp6OV2IhPi5OxfbSafLHutLxxs2cqGr77t70xdhdoxmCNTeK5AdONFNhUQIDydTVPuBHaMraULctB/yLJHzuTpdS16acbgSJyZayActbEN6T9nfRXjZxjt+LQU=</t>
  </si>
  <si>
    <t>+3kQ/VB9WEgBQfJq4sI8I45Sewxqu3gikZDMDmhcz9HRZxpHUzmhIvp0/KvpmeAavuHOkpVyDde/dGGULYDd5iCXf6TgIDxEqzyQacKLIXCQlngQwzLdmpQxu4NvdfC3sLADV7PVSPAqP1WYrKkHZTXAJnFU2QEKKHxMGxwf9nRlitd8ahr3lPCyDMGCklACEzZCTgPArxNbJCoNxeoZzcK1UVoAU1QA/HRDw+UbNp/ViFXBkzxZNFxz5eE=</t>
  </si>
  <si>
    <t>7URaGVFFjgg7wFaMYrwJySQxr1zMSsi6pFmU/6P+4WThK9jhy51+lIacmiTI8bz5UCo/WpPV5+PKq0DjlfbZ2w8el3CO33NPZO/smquUIkbMOrcW33htFi+8FkKPvhsHH+gH41dZxlCcUxIl9NKPvP0Fu3liuwuVuHLGxmYUQ+NDn3nnrQuBAgm/RoJLpH0WAtVXaqXaHFMy2V7nrBR0zcJAWoYA+nZFHPRl1/D5S5TpqG+8gP0FCHcf87M=</t>
  </si>
  <si>
    <t>vYaNClrcMAvzAHHZgA7Mtt54ebKpe36ld2ocJXGaRJdAtfN55RIEPfZ7gw7g3odeb8wXLwKumboIIDGLuXQiDE5rvc/I1sRNwDrKjFvFKE4RRinzUd3z3Nh5X4/SZocnfviLsfWnxAaRyO4NwrZ53PMdW4g6eWAUO9FtRVQWOb8p21iGM/C6CrGRhea64SzD5QNEkIdqdYQyw98oQNo04LwumDr2PC7oWOzTBcjyeeH/cW72WjLxU4NG1nE=</t>
  </si>
  <si>
    <t>9hcOVVCYKNIRma9oZxYKIDiNbSIJt4BnvaOWsZcdDh6aMZmeJO7pJxGiBoMplGDccnXqrX94LavmulnB2xnhEFdJxd97gOV2K/QV98L3z91gl0QUsxCE91SrmGkX+EVXszB4NJInwyCVSW0dmAtueOT4PtlFcmDylE8IWRJK+HMpZahJnO/78CaS9MdMUKgvyKKv+tYEJ6JwVJD2ZcPheZzJLTGiy0Vw3nT1313C+9qO/TfDLjUVd9UUzpg=</t>
  </si>
  <si>
    <t>wT3Hu6LTFuLqcCUgtCe4rLZCg0SgCqWyr2XkIkEHBhTupK59+6m5SYUxiTkZNRBzAtLBVw6SB1NweTatM0HESdS50u/D1gf8lgrbUnFCuhvajollcaR5enzyAM6uKnHLsJTX755bGUaN3OimlTtism9nIBZ432KZJkWTotE2jqVEGPkhE6jeC+Ct7SoTzoVmSPkhWceCJoWpN3LDEZyxY0N69uMnSGvlvjH1lBu5H96xQPgbEnNRcSZ1esY=</t>
  </si>
  <si>
    <t>w8szl/cAWhcheTVZFhI97TFu6mxISMvl2e786Y2oGx5KnE7nsj5T+ExHOIL43tsUfAuNuJpxH1Rf4HOq/nEr2riZIZLvrUZkHYVT3Xh3ovtaOwGVwTuZjtZqtVWQWKQ5nndp1mThEjU2Db2cWLPtcqG4p4AHcJbw5yc2pc98ULVohFgGUJVUrjEZhTVqAmxWIAaatY6b0yEG6Ttjz6a8Jos5bK8b7X05Ljb47Hc5CxFcKEKEfguglhJOHJg=</t>
  </si>
  <si>
    <t>wUkTqXbw0hRarY6PsucT5pgU2wYcr3E7p3aLF9qXM0+0XS0iZgl0zTrlk92tMNlpH298FEQPN+XTgY3HF6Y/pekAd5vphg1Fv1/XI8yUBB3HR2MbQvsGSpyHIOIMxLdE0E2M5fcjt4bH1ry77gzVRtVl4BK3nc4b3HMVUQfosLKBQ9u3oG06KzlBgIgCVbSxfPTCkMih1YH/Fkmc1P7kWVvzCdN+u02Id2dSDTREKPBGD+BiLaWzDtLA4Hc=</t>
  </si>
  <si>
    <t>NPGPFnYqEpjxAYC+ZEfcziHKhhPYsEdcx/rOdC7mflOWtUmKew81+LeTf5YMf4qVUZpCh+ZN+HMaqZlEBA2BDBuktYmlZCTty0p0xNVZdMjhsZjewlndbtlj7CTq0dgP1IP4yQYjrBr16vGuj9PuJnfEy0OnI8ubHb9v+DF1kMVBwH+usNvKcBy9tLtH8mX+LySwdTqFWk+nHe+ae2drxEZzTg/egPoXWaCoJ3pcrmFUWWpL5Zps3eIFDOU=</t>
  </si>
  <si>
    <t>cLy8zJ/HLI0eMwwn0Btl8ASR+1fcdVTyYCWf0Xw/TJHFSGL7hv3lginA0OLq+h6W25QmBk6PMzacJi+SOjiyLSs+4R+Tz77Wv+pmiviKabujUbC+Ee7LbP1m+XwLeGHaKafEKGSavr4JGGLxvJPGXBmsa2NbJIwF4yMh1gPGB82SuSapKRGZ8dzlstAqXvj6U0rxkuEd7tE5mzHOpmEXjBUa8HdsNvtW1oaDfIYm/aSGTmk81Qq5l6FaThI=</t>
  </si>
  <si>
    <t>iBOW3laNkqGeZ/IjCizApnft+sM1RNn49hEYFVSkFktzKAxBmOcoH/dPIUv6ze+8YAi5khlPoK6zzFqV+KudIjGJPRmTpduK8z6nHfxtDISm6M3fCz8+hyj9t1969ABWG6hFGXeonsydqjWkT3wtKpYlYRg2r/BHSU1KIli30xrDreJBZ3jZiQicvCTtu2YC5J8a7gXYEVqSHunb8KyU2wprQ2y1Uk7Fr2XFH0HX7DEgQqrOmNWOWN/HGRs=</t>
  </si>
  <si>
    <t>JGZTumive7Qx+l2NawVzy/dgKT4Y7NudoVmoE4UHJy19caCM0PfbSqkCrp6zgjTcoBbugDcigpVD+cUy4m8ulU48BUtQjNaI/WgatI10uZK4jrGQZ0bGU04X7ic3r3y5RFfgoEdcMqDb0QSCU1JswTpc6JK1z8tkR3td1R3kuC+f3EORqvZiEvmaZRfAVQd1SBTwfUio0v+thSx+suNhT1ZHaCA7ooZA1uy98KnpsMwoOA+YxV6Zjnp2ZN0=</t>
  </si>
  <si>
    <t>vA+Qd4EWMIFS1Fh+fIT1otIGyLV3p/k/WA3dAaVlNTpdAmIYSzQuXvEDVPxxR3fFLoh1YAcx8b2iOEPYtIRdMIQy0RCO+V3DX5ze6uOfk3MF1X4uMR2hNHTNRWidOjnjil9vvZbt403X7tfFqGmJjIMT30uQDTKRh8GvDVpsn4XrgN8GD7PzeF7DFd2IUSDid9mvL9koCSqXglqbwKMVFeTYo8OuQ0VCfHrU5h92XyQgXeMfiodlTRiIhCU=</t>
  </si>
  <si>
    <t>+xO2zq4iYd7o31zMmP+s3+GGzJzRIfM1MxkviBbmQlgQBD5mIJ+41nSeCHc8WHBjg31jJgjc/1CVbd5OlHpLLm3hWCoFn+mgxGAcDe+8fgMqiuCxzDRX7/0tWahn002FpaG/pwpniRQbqDJLsX5q7qXT5Z04cCUsSMfh0Kgxa4GTe//6UgU0+nmDNIqkC/RIu+FHLH36KDWQNZDOsXPuhAd6Elpz2J82Guc3qScprZcamhMfeYLkGlzGVqI=</t>
  </si>
  <si>
    <t>yoxZ3UDUEnEEYDowqsu2Z8cWn+U+6UWMQgjA1CemR9rPZceVev5sG18xn1y4PXCs2syhZ2LwWepbTamqvI1spdmdPxqyf0ZAcV3FjrZTGgJYERmQ8N9yPOkQoS0KtpVU7CcKaq2hK9gOVzM+GJjgvs4/glVU1EQ8VsN6cTHONkeX1hc4M7j8obKPDIAP+i8mAoach32Vf7QwV2/dAf9kYmDh7uY+zhtqXBsPvFP3F/s2SJm8j8CzbEtiUTY=</t>
  </si>
  <si>
    <t>gpdFjVrG4LGjvdXFLaXgLGoBYL45KTyyxLlUS0OEDLQBGMlNbtg0Ea60OyYghZX+8uROeAbi9Nj35IVSFd0nFk1QwHEFqVvZjkXYcXzCX4LdrKPkgSYG/r4uGCm7Xa+VMN5UbgPWDuU6DD9n9Wcf2wh56+m76XjzyUVWirPC18FUdwYvXY1iV+YqIiqmFDEl6j34hHul0/DMX1eRxQbHyJ/31pXVtruym+VxQPjevXMpCY2Ib1f7VJV8E8I=</t>
  </si>
  <si>
    <t>HvVjTvkL7HFbo2XtwVhioYu2Pp+NhjQAudSQ8BS0vr0S/J0OW64ZCDLmGNZXnCqHjpVr5sLAVGIh9Gkz/xATJOAjI4xJdKKd86Gbj2ab9z3uO4Gg22C6yk60SMpnnzjMhBoR4vxr3vDt1GO/YcrzX4GP2mrw77CPyCFGadI8tmtnv+jMnQU61Fo2Pxz3JZP1bk59I7+iLcbh/DHsQzrW0k7kOEdiRr3KMzy7jQJp1iBMG5Xc0HC5xoYBhPg=</t>
  </si>
  <si>
    <t>dMQad2BQQuBYQo7QSlUXIGG78/hbm8x7wfCaYb2SgN8xC/qajdqmV9t7+IwIEYshdxqMZGgHm2dMGiBz75dlM5qVLcCfEfilYJCJ8TotJ1usAE85KCqi5JwgobQeWgJkC0pozoZd49QMBLsKKP05JAqG8OPmekbOqXfI/XUEPgS0fRN0J7bRJCM1Ph26xOYRlSRveQaQNs4znyd/kPTMBBSPqMv8eGSRAZLnQQqzQEnVfmUccZW8DIuQ3w4=</t>
  </si>
  <si>
    <t>kUAtdDhKKGpT0VTbliiLuXp03oQOJ4kCThuvPoxRqHUU1XD7oglCiDw5akIdANbWcRtPY33jiHCglhL9z+k/Mi+iErPzGmmqbnS1HqRwR5biqaTf1FA+tvtwamqAgNf/sYXj9Y6Fe9uIjrCi3YZOHt7BpeVRxwqLYLYqxeEbhmfY2oI+F8y2EGg391ThqVlplazkhHqSPuor7bxRdcGwB1N42MDYlEjKZrHnzX3fP+/0/VljUdlfC7MlXl0=</t>
  </si>
  <si>
    <t>+m8n+0htOh7+hZytW8PfvsiUjg6jl5wliizblPjRXBPLPqGmCAJF2f7Wex7rS76KIgMfx/R7uNGGbnqXxD2hEMA5irHetrDfFl3AVe4o9iwV4+BdMsmB4xLiD14h9zEQeW1Zu5/QEq6v+j9I3kdpyS8k+0mNgYbvs4xuYOs6Gbqeo0QkH8zS4x7YfjLE9oWNiRMeptGo+NJiV50hZExzyn4qslhbx+zRObGv/C8bHsAw2iusME5it6twI5w=</t>
  </si>
  <si>
    <t>zzhHj3Ex7E38BXzhMeA63NmBETKoo06udm8m1z00LGQAREtS3Ti4rvhrsvm6WsN5UtZJWlPKI19oZY3RnUPmj8bArPB1Fd/VR9D7t4be3vzEAYP2mI4gs7ZhTljKbds3A0SnEtzM+bgvX6yeyl6Lb/5/2YwWwaBJOsgiwqupb9Rk4vj7ErsZn+avHYLFuXxLpDFj2lBec4TZh2kE5rRoeutRR/bFXM2rAfH2f6R3+yWzlyHRzHbWAGZIe4I=</t>
  </si>
  <si>
    <t>0+9Td2/XguQKQujfHLiy6S/rc0vuDwxQ8vyt+Oz/hOu9F+alVW8geeCDy6SB2Nn709jfhzfZvY1xahKmRFa4jjDjQvSPThigpOCWuOIHinAyZQ5sSSUm3/W4zczF51pGplJ5zNaVSjgFcj56IogHKLEztNaIrOvcIOuYkkYR0oZHQ+WCma+9WrMJ5JGz8+KTRTL8LcJq5+DuMnICBFcVGaM+GubfoYlZFixmxUBVb3B4nRd7UVha1OQKVuw=</t>
  </si>
  <si>
    <t>ZdZYTvhi5Z1wI0EIfVtnKjdYO2ZpSFnm5pMSk3KFitoPDp7RHWfuNjIOj+le33Nx9kEr21XptuIPYP0blpSTGrcd3rsg+TP7N/aNumGAxXmK9wYdSlhWp1ttGZBeKNu/W1ADi62qnFYrF++7wRVQ7H4H/nlbSvh1YUwEkJG5/KVngGvVPhYL0Wl/Dx3s20/d8UEKwlMeWqREcawwhKXs9xIQxFK8+aAqAGPMzmPwm7sf8gL7XXiTf7Itz6o=</t>
  </si>
  <si>
    <t>CDTDvInoS0/tSGhx7A+WIbVWT7bGH6OUUPlEqW/V9W1KdAfiFxyfFXupAjaXjR3REZrw3VxKFGbjoIU/cgcvo5Qph7hAF6BTYL3D4Bwf94ELJHW4ISbmTa5cl/rqXWbFIvZBnhoJKBs7bXC8ht/tNIpleRbo/pI5zJaITzHEBJdP+jNTS+JNY1Z+C2kjL5mEAx6tJ33brLNumHgJ4rJkrVKRPgd82qZTjqTYb9xdIG/slKLkoTa5gq31u6U=</t>
  </si>
  <si>
    <t>XdILlFQIznaYtdY+AczZNsdI7T8Vu5o7piRw8wkXEsp6XSJYLe4JAm8NKCDRiIUtOxV51f81rihu2CvY0QyO/GlYMqv7ix/U5OuyCYOH852xkuaKLbXQORGvotAgzxM/RgAVXIqOH1OBxSLRCytcB4tTCu9kC6Lwqwhi1Rb5LIt6YQjJrk8GlT0t81YenRZbdWDQIUe73GlwIJ4QPE4qGXnkbAJTXXT3Ahe0lxLzNfIC1vJdwP3EngHZbyc=</t>
  </si>
  <si>
    <t>LclKgW3a+LFLmApLxxNEB2JQh5ZIqxT1Ki+47mIQbA//sw+vseKq3ID9k0+blntGbqtg46gGMbK/QGm2zlDwxMA7fBYRh+M70NfFn5+mcapZJW5mI2p6jHrrdS/Woy9IO4dld7UhsZc0u1TVcsPUwAk3ofzipE7k0sgkZNxrvqLPYw3f0F2VOMPYe3HKXhLkBdyC1zByfEdCe3YR+WcwRM3wzvIS0isNiNqugpmbLthggmnYigqhx4Wl6WI=</t>
  </si>
  <si>
    <t>P+NGjzkP1MfutUOBcZWqwgjM4P9590Oy0uKSdFdc3cK8a8HMZRLnepzvw/GntAm1+5bUJsaTsUaMEiN1lU1jPI1mk/W+p9vJ4vjXNFZtMUoFlXPUER7EYqGsNEOW8zHHbLcY206Fhtb43qhNzHjQZbbZ3/9pTZSQ06ium/WGXH3qT8tttORv9pTQgBOv+eZ4J5+lgtJJy8ObwhWjGnZrZ5viixRC37eSBfeZbmUC++vmIHBI7px00QJKheY=</t>
  </si>
  <si>
    <t>3yMoziuj7GnfwHycxnUr2ENIgSTvGmfB50WbMJOGAJnFdGnnM5nigDHJaIRCvpnaH30SkH3hJlv8dZf+b6ybF0eUDja9AYYDNAB8V+9Xd7XuKz0NxcrN/R3M1Bt2pg9zOeMHJXSfJ+6i1sbTeXKnTStm+gvSqysEb3o38Ep+aLSU4eKckOqleJejnb21RZUD2lsgHJBZSg5W9gySUcQtmvYg8o9iv8kMSSli80gfsNVudvZkHUxXp8nA2xI=</t>
  </si>
  <si>
    <t>rtZbfZJsuyI6aPcuYO5T6a2zBWTrov1WBoAQ8OJUx4tztZLKCAHYW5kqC72ENmQrqf//ZLA48vTWILHXBOSJwEincnWhtMqQGWFemLKz+XXCKEHA5f7Cm7f2k4t5rOom51IcB6KXGPu6J5AVXHvtUaw4Rgb91Xa1zYKfF/+/yQMzPpx5VTJhUdggjQxsGSCviFYhIRRNf6aOpIjIlJbp6mKa2nN6dBQrFaCiWMOy1jjHuiRqFng2xIBxIj8=</t>
  </si>
  <si>
    <t>HvDOEyDPvRPkpvjrmPWmKr8g1/K2DiOI4qNTc8222apINtrMl3yULGHuLU/fiFC+P/JTo7DBoSPB+44EODyN8IFQTG58RqO7tKDpMnwtrrRjKE1DrZZo6Z1pixyPIDug88VZXdsQosdL1+GwQ9fdrvCcbIBE1FM4I1H0q1N3kzKngA3nfT4PRp/x64pRgIghqnxe0dv2VgEyZ6tiH27SfZeH9Rja62XsoUj/Cw7GN0weq191GFH8hxfvw0Y=</t>
  </si>
  <si>
    <t>vGhOOVuIqU7Adsdp8tpBfZQPwZ0R4/c8L/jrFKYEIj4Aj7vllP/PG586EoSfMnqtT6rmsnZFNoqMvGTpiHod9lEOCFvIYS0P0NMUN+7htVJNWKqMVAL95zQf3CBa5PME2PYzP1wNMz0w1BRScmxHFRPReRXoJ/ECiUKPvaMa6ZABUtjHt6vq6L1YZ4qVxK/VD7ArHTS3ClJt9cSMlZ3nTroOx6j0yFXRa9jnYrxaS2TgHIegxgFjgLduk7o=</t>
  </si>
  <si>
    <t>5MfqErZ435wwQjAu53t8KPuU7UoRyRukOQD/0i5MCs9wBk4WzATdN0W5GnNu/BCcK7MJ/h7LF8j/px2NTTRJ5KJaYBuHP3XFbMbjzhJhe9s0pZXkvUMWSIP3S05fG/Sc0XMeiKz4Hnafi4PG9UG06t3LydLpuLLx4vlcN6CNAs4aoE4I8tTZaUtaai9w6ZVKmuFK6bf1cxCRJi1c81eV9GIM6Ed6zu9NSa88Tbo66Gk0h8/VpX3NAhfaTTc=</t>
  </si>
  <si>
    <t>rYAMAKRkwAinkJ61qoEC4REGxh1tRb3IxXrHoFZzAYuDLdDKCy1ag1Fl/fttPMRj3PmZn72c7C+7wZ3xvsltSiQjIh+sGv1OyrZgEo3k11hJ11WmsgR3ndKoL4SXkyqdInZH1shiYCkTroJVbS+u+I/Hm2ZGQs53sK+65jafrY4HhwP0J/ZT62ylaKQ3U3b/aEIFesSSDWmJqe+ZuAjrpUtU7nWLRgYvjesexfZvUkvghxcI7GRb991xfuE=</t>
  </si>
  <si>
    <t>io1oYxxAaf0rdCdHNmynbCiR5UoRG/r8i/rlNSPMfB+c4+xKP2eCDpiyyQ0dAadYXOdnW9RkjsqL72UijWQHiGyHEKt0bRwi4q4M7Rr+sZtFfpMAXNCKOmYTctDKXD1U+b2RlXgl/C8iOISqC94AC1f7KpaTZqdAbTJQxY134Aj2jKfuFa5lN/PXn7UbLd9i2a8t03gjb0A+RgUJqWSeWiYZ05ctnGOJ0NHUMrE6K2aXP3+hPKO2gjDlKac=</t>
  </si>
  <si>
    <t>19cR7C27iq97/ysFqTY9d826pOl2Rw4K5m5B3+xiHW/IrXxpAfw3mBGfzx2k45lqrnXVjVbmPKIYLSTXtTyq3vmGxftrbgxC+BxYcANfcJH8kIUDKFuOF0woLiCXC2ItQgvX3SDJZ5MofWMYlP9Py7GhxRQnH4v7UVrZANGnRIv2CFWh5zX9EfDi1RI8fEIeAGrICH2nsFFiOPIUQA0xv0BClGVfK28S26Liao6V6CQM8IEmZAgFPkzzFwM=</t>
  </si>
  <si>
    <t>SGUkwj0SYClMtIw3+py7+04T2YZkKjEhUyPfc3fz6qn6srn80+2SsOendm/iu/7X8DDEA72Lg9jDIN80ierUAg1OR0Med6eQfjQKqf4TbeyZn61GeHQ7NcHGaSX5zydcHQBEIxJW29NmALzIo2LNkBHu0R1fv2KbZ42aWr8/qJMQ6+mh4UDq7NJEeymgd/7waHaOgVB3uRPUREeu5ItUAoJuWQkITtVJujkvn228ypRalRxt1tNWtvsG6pk=</t>
  </si>
  <si>
    <t>VG23/l1KdcHUfoV4RgPKzmG/R+PbjuyqWEtJDLvYIlzZwvk3qGVlp3yTDBy1UHVIifQQxGjVEGlNSK6yZPj+24cV8NPqNd/tNRbRnHYaZx3nr7N55/HqxVK/UrdmlWWNHdnYUr2quLiov9rSbNA9Odn72qjFFf5s5HVd5Q1mlVbuTP8ucvxjlP8a5iRSwIC1DoLPswOkCPHIBlUWnHs4rtj0RVvyKYKNDQntXtprntgJ6ltpwn8Ket+WTCo=</t>
  </si>
  <si>
    <t>YBPLbEnkjDIqVYnmIIajpkfp1phUjOmHTxtWFbqNX8C15wk1ENJpBE/437IvlxbTwaQqCkt/N7qdMBEh6VCUuQ3KaiVJNX9WiFkI/5mqg14XxH7JtISs6bLUkssyFP+r7VbyWzE9iD26QT6n+dr4iV7G7FKP+64o/xl2tsG/jz8y5pqeJNyXtRkDsI2IYAtF+JxItIDd27A8y9A/BC1KNRDCHLTG/KmI6LLzXR1ph4MLk/8nhDq+zwv7dyQ=</t>
  </si>
  <si>
    <t>jEEIek6++9WKMuCc6wJYmXxqf2RpnnCWvL9fiktwe1uAsxGdBK/FqLrpzHWVRLjkGcfYWZq7FlZIRm+7kD9fD+oqQiTHk3ogUXAbBEZFPboaUd/ex2AYOqnreA8aTnSWptxd7wWixwiVksVYEVHwbNYtyJ1dvPoyySriV1BENEtx4ottEM7dGVKfkms0h82r9rfFVNYsD2vH52cHaA6O+fX5C26YXYMh/qALgPb5EGEHNwm5y6wk9p3ffnA=</t>
  </si>
  <si>
    <t>TQbxgm3kEzAZoJvGdaflFZi8++WOQU4QnCvJcFVr7DLsp9BgvRwyEDRIPYttjDbUQr0U0099w8slwh9QtsFNaprpisvqGH9/ZObP0jtHV2KqYgA5lqZ+lPVaW4YEhuQS+IlyXJOvdBFDy2a1YHo6+zSSIvV1iQ+QVCtkNULAEmzH2iwHK7vbBLJXAjJbduxVdnyNN1nnV5NHMOO9TPrael+ptwGMS9uHAHbUCMzrDRP51/t+wWSdWQQl8FA=</t>
  </si>
  <si>
    <t>jIqwGqAyY+ta09yoQgMp6O8YSNdyD2uTz1+hOz9Up44AIxUpWFdTiMHwlOH7S1H5+x6xKA4tZzY3DRBmqXAXmTX3l7JmRB8DvcIf0rAFLivFYr3lBT2VwGfWzkhWMcAjk9g3QXsS9XMTrODyJbPmlIbnvHvjivm3xhEOwAZ0o1OMEYkdqdUvbIrp9JBf2CtoIAgupnSj02c2EWyT0UPcAaOGJmH7CKRvQigPOsX8b9yc9c1RI6T27/L0i/c=</t>
  </si>
  <si>
    <t>DAOTNFKj9i994W/o8ZEW5w/NYM/28jPaYmnL13ZhI0+VuYsedgdixN1NYlxnhyPBY030k0stcGPBiSeQqmgi6M7mqG8mFivMkk7VdUsF59yjcnU9OpdH7shnqKN8xxfNwHPBdYUmWnS9Ss44T13nmWfWAQZO4IkX1BpX3BN6YE7aGXz/RBQ9OeBw2YdRVeHGNur9/WgJQaRZgaYI2DqRVZ0hgslrdNDiMEShWcgAAMO8egjcTwDLcKyUAK0=</t>
  </si>
  <si>
    <t>LQRRvQ4tevA6IRKO7B/qJwT1rMNUD11JfqYSluIppKu9WCFnDuevyQsJzyQ6gWXMJXZU6eKNtYb4n0yFwq8Wexnuf9hmW14k/7k8nRIforv7OiWQNVuUP0GCJV0ATUP7OHoCnwNFPCWXWkD3xd0yWQu02b8Xy+VFrPMMI/XC+MZAq48VAOWwqM5rW7pGyaJPJhDP/lCYABsl0GinLkjOZW0NDjoYCV0NYeyRVYHi1xo1B5tz4dl8mAsOFlQ=</t>
  </si>
  <si>
    <t>GGJU9vF7qrAqgP5nlJikgxzQ2R2dCOgtt2cfBDMcmLcgvtfj2YFIGKxQML+t1QRssz+DtIi2x3iF959cn2GCWfXajn+dgrANJzzSidzzBnwlHfwXuvTQ8FKfKJUOANtdjbPRBCZDl5A83AlsGQ8KO+ElBZO4DG7CyWGkmyGSwFv4TkjDS2+13tRWhhQC0jZgF3LtUwg4PVr8fyYzkfQIrZLC84mnsG1zRs1jEYb5uxTKsA0nfoosTOIjYeI=</t>
  </si>
  <si>
    <t>U55DdHCsRu+M8SRzpVRw6u9UM85cadPGXjAj97vGndPr+uW9RRJdR2e2AaNk03ZEekUo5jQAGr4tCbSBZKCkcANZjhlNSEJTt63o345uEoWLoExaimTDlULbDVCd9Pjc+aLUqludzEQoZ5kr0YV3QWff/hUTAVog+K9+Qyjxu0BqrQ6bB9rm771y8sSkOouU3RP8VBc3UO/IJnrBWymlLxwUGs2tFQm7oTz9x7sTbxEWVs2LYB5vu6zo4KM=</t>
  </si>
  <si>
    <t>PD0PgNJ9roypjdsNaSOYROkPxSNVfHnejUv8hZ8GeYouvpWwU+LrtKk79UD1Rz2nYCnF6tFq1BzbDnB3OKlMa0kfXMfBVndY/CLaJS6Oc3H5bbxCSQoIeGG24qMv4o+m5B/qLPSFO8r6JKghIk7xc38diJnUhJonieTNEtEP5yP3PxBmowEaCXHL5/OZ6FxxX0nEButmWNPQHYmOIJXA/Fos6nbzXYQzf9LuHQZxYwd4bgoNvNPOPxgESQ8=</t>
  </si>
  <si>
    <t>VoPWxmlbSx3RYSdYigByDOrAqCY2ExbHpITySx28K6Nwf/dIUEzFKU8MyYhze8tebXsDSZdtJMwkHYWbEhTOi7ajmsV26V1RUh7ocxcOWApwqrWlNnfGiwet2vDL7SOn7pDUptrMCfuZUzTCJ6f2+Kfr22ZfLiXHDcF5bKu5lhBR2eo7JMZldQCnokboRdeoEwKRsj/7tXwa4MHMWd47dVncc/tbIU6slCN3r9aNy72iLeBp5voVW5TmcZk=</t>
  </si>
  <si>
    <t>+o241n89/gJOpGRrf/4GY3FUtI9gkQud++htByotbi/oMwEIlFAEoWYAQK1T1nFMsQApXLQxIPS6xRdmpkGGK2F9TAJroGK4A9w7z18TerfwiVfa5nwtP+LrtW2v3z29l/yI9pJcUfUqJr+m0gkoltiEe2TIdam2jX7qr2TD9yvvN+0lpyrrOQ5micHc2dyWZP1YB56G1MPQWTSsonzI0PGKCRjjzorUdzWBVSNT650g1hD+VMqGLSIDfHQ=</t>
  </si>
  <si>
    <t>z+oqZMX9fwN9RdlaEThgZNqY3mx5XhR6w7L5sYUegnnKWUmzqMezDotMKUwcrT0Jy/k3srtBlVX5C6TUG9ZGmUMuOTioiWqPnApK2po8hlDc8c+b86w1zNEfPbiruo5vngx6mtw7va4p++Th8wAJipTHi2eVBPsLL7zxdTvIPAbmnrs9kGNDunM24ZSmlojXweUV8g7BBNrdKlzfBoWgsf9z5Gl+hJ0OU5KiP3Ogf9p6DnFKf71QEuPj1Qw=</t>
  </si>
  <si>
    <t>X3zgzARVhcb5t5WY1jN3147biMXsk+3WVdiL0qBZMX56co4QIE/t4bjSli/PLXbCK/7cBWZs+mK6k/ztL6RACumkHXAZFoXm+Lawi5IaRsrUkhhwJHkZEbN8/D+vDjM0CtFTrwFMAUu4TtRm21jaUe+J4TYxrbnTh4othxiTh/eaZrY84GXXfmhI2MPDZqwnz64cXaynVbYJVf1VME2GFknEGCs01OlXH6M6fuxUghViJ9rooQyes9kWOqg=</t>
  </si>
  <si>
    <t>cbueqGvMybr7jq4VaIGDwMkw484dmGNql9OnGF4ZPBjEUbNXDzLWI8F+RAzSZ/qOmHcr7eSy+RngcBguw0k8K/3+2hIlfE69v4MIT1fLzKEvY9aoVUOqgTA3r5bg1YH2qIS3l4MBYwlvAsKulomsY/ldmQ/ildoFrv2nEMJY3cbj0oMA8uEwYvu70dYBh/rSZ6w1BPxmSetbH7drnZ/LfL1RI1yjEe6j0EEglvqQ4h8LkONLxhBEwOEOCjw=</t>
  </si>
  <si>
    <t>SF9CjPFk0iFiHz9KrwjyCvAKXFBxdKp5lQ/1RmYkhE3n5MQCgDljsWqiwQrpSRT0rKAJwTl6AZ7FlfQMJoojHYwbvFcHVB27uLL9oytMcc0SN+El+7b+Aqig0B4jxc4t3Ock1uE6LnaTTN6VJji5lrsyNTZ2ewYxQk4Y4nwia7hWu+h9pQJUFg82z4bsfQzIdwbp3bDYG/DvRaFEr9RaO67Tu1s6eJBCD2kVyOmpB01cuhJmpJR+jBZ6h1g=</t>
  </si>
  <si>
    <t>QvsiAKtRfme8Jimr2oL/m+q5KKICSVV9LPKdPs7LdbzXCCmFnr2WeHiAGH3lrbxNszoMgXWyaBWC38fOz+dOpSCm/6yMPc701RZCSNXG6q3CSCnWNRg+11m5/h36kojc8saWykx4mo+Ovb/+Gdsj0VxYUEHqPBNIVG51d685UAR3JR2apdyNcOI2qsH3zJ625+NC0hy8Ta5AjNBjc39ROh+VP+aswJnOZqLw5oKR/i9AmBKTPM7+5nWJH8c=</t>
  </si>
  <si>
    <t>K+4PaqB4ZDpO+PxWlfNPhpXXtzAvxf+bHWdSwSSGkTh+9mHXXS4ZkNHf/FYGdOXBhWuiBLPO9Wn32XJqYNLQbBIsnxgFXGj0fDG5hBY8zBnevdpcG1QQ163r1wnWAp2WxxB2JhGY+2XtsWKKm/iOqhIgE/JxNgOr9vZ/XSrCr55KcS1n9UD+Cg1AQg3t0WbMVsCc2KbSXT6IH+c1jr53JwKN3fITwdUdDRSFHYWcM3+b7CDBTFBVZuQwxG4=</t>
  </si>
  <si>
    <t>y10ebdpAnfj4s+hpHUEjtMpRwbgJ2RDbTuqxMHUiu/83GtfogohSlqDX7VpmOctO7nRh6itf/BCXhHlMwMLzVthhOUlHCC0ZLSoJIYoL6NJc5dYeO5nnVBpO2lIUsz5sWO5j8+iBdWT7iqB57ZTB3T/rERbJO64zYWRrMi6YFezysk9VKOppVdp1Qyw1z7i5Pb4PEwnVtM64siT9oXJ3rCSYF3RwjMa2m3zrIChEV4Hskp6SOqZRZjvV26w=</t>
  </si>
  <si>
    <t>b4H/ha9+PsEFoRtg6OLTAAE0wdgw8BKf3xuaJFJNBzbuqvxCWubnl/4s5mIqfq6wXPMdk+HWTYi/81tBasaDv5WjmFcAlVYucXcwTKUqDqCyeD8OckG9sTuOeuBstrK2TM93qqQvEz+50nFe+am4qF9vc4v1CG/yBqJfdl923OZ96J4dlFebo00fTsW6z4mALi7zscuN60rubmjSksBqECXtVhe5Fr8k78E4s+nev6+XKABlm8TefHI0BJU=</t>
  </si>
  <si>
    <t>1a2H5CEUJNKCrzH9/UeS4pwYW19h71owyXVi30OyC36DVvLPXP7JABDD4Mie4neSRM5koDbcaqlxuH4NL5da23C730Z4ukOcdFl9Ma7ouuxUnPxcowU2P7haanSsVE4Qp1mhGnd3bmWGPHwCT4Uvpp08OYVxJc6ylP1T+S5nA79oTz67P6Ov9iwk4LV3RUv+AvYALcCgeuiTphoBc+2EiDx1is8KR9rrBRYhk/hyefL9Kbri4b+DtTIfasQ=</t>
  </si>
  <si>
    <t>VSGJW+8jfrpRgAT6mVYAODHJ+wT2ZX6e2mhDaiu2Jf33z2F1pWWGGz29y2m2UNJbZRpQcs2krOtQEw4a0Pln2qIsnHJB5fzXWGRu+zkvwVWTSAN0sYz/KC9RaVEN/lT5ffR76ycjmxkk1VdZzQqNoTsoC2oyHvVmyj78EplX1Se4hrh92cXKSr2Z11HqH0RV5rpKKsWvDzmlCeESnXFPQ/6qJVoxK5DmwIuqFvRwEmINObd69fUArbEZEiM=</t>
  </si>
  <si>
    <t>CUTOqKDTsXjeAvCPVhV7Fix+JeLo0/hAPT8NirjQR7YmbB1s83xVUprprbtf+ngTMaBR4hPICMNXRmgI8dKbj9ekp3Ie29to7uQr+/nMTsHpSvdkUvSmpo54IXSuYxfSQiCA1mtrEuz/A5PVhnIcOdRMU6lpUXmFtsWrH1vGehxAj59735elmXTcqzkj1oPC66voXVjzuFvZQf7vP6WSoYotCerpewG6hPEwdBYx+lE2aik9k2oFjg/zx/g=</t>
  </si>
  <si>
    <t>tl6fN6AP5IsH/kqBG+uDWkjRw06Hkm7Em6jteY0u3JUO31XsFfhkGQl2+6u4+wA+INybHY31Iu7mG3UBnRukx8MpTMyRLQDuirSQZbF8r1OVVg87XfTnQamFzPwOYwOcNIC2YyzEMeq4Pg821CsrVj+gYq6Zycsb0Ii74PaUcXXxfSb4Sv+n6VFbpuPrPNtHAjm8I9D6TVJHLzPo8tgAfnF/Jf946jUVlH/lO4bYzML04WoDxrq+oHeRjBo=</t>
  </si>
  <si>
    <t>lDzPUozfhJAu+dPl7CD5IP50M0YM51AuSkk5rlsqgTas/AA8vAW6VDrcH1EcNTb7rCX+RNsa/mpeWE6F4Mg7sjekaHsP6Sy2ni4+wevjyj+0/z/Ruf1iJerVegEj7cg27Prh18iT8SzovcBGLdPEX23Zn0KJN/Ig5DKA6v8Xu/4UlJUh9M5UsCE7ICFqjqR5gfe9MZg9FY4A+kRsxDdlzG+vWyb2DK+qudKwWg/XtgahtoQWNCLCo5oWAXA=</t>
  </si>
  <si>
    <t>/3pcit7j9dc0L3cxBuRJ2e9kD3mlf7vDrr/+qIKV/vy5TVQsgcUxAXblsOO9uZW3oxTG1cLyetVqIcPYz/PFLwjD2mOloMHgGj4DoYk3bSKZ1EkyiW/PMu2lvvrVmU7Nx88zpBfS0zUZjb5v1umGX3gsuUf/nS8fApLgd7phbiNupk6QofCqrDC/6NnNAib1wg//dNpZRHyEupc3KYg5fGmxl3D9AuFzIQU//OQzjgZpBxaPoBy6me6+N9g=</t>
  </si>
  <si>
    <t>aUv/lZg5wLPNqiiq587Y+JvufWRnnZ/OCQ26rsuyvMZPaXqWwk0s/Wym+pywxSSyT5e3nZ2vo4fpxqYzp46IO4QuyQ6UFHj99v8htrVk1sIjNX0Om6dT6a6/HX64HD003MQnLtLzQ3hZp/y+cP99YHSKacJKdBl2QuJImreLAx3cKIZRL6S5IWqvEPbjmipHJ7r6w240IuqnGvYW0xeqhILwSgTCwCw/ruZNFdn35ejUxMp3lA1g+0+GIQw=</t>
  </si>
  <si>
    <t>OeWoXzOne8qo5vcN08R8t3mTmuA2bC1Ac16b2gAcvReqsMcn+KCAEFzJlFXtX2jfHE//U6TChXLxwcFB4fQliVbUE5alph07tOzAFBNhOzcAesnlgXB099uRGtJrFBVVKJ63luvsv+8BkyhnDsm1jfanYUZxf7qGv8YgWz2U4AUkyCnSw2wMYoG19xCsBkYsyoWLJ4TYHrjhAxjRmdde61I43SEqWWiRgf0g6L69ws3HJ5Iy/ypucgu4038=</t>
  </si>
  <si>
    <t>lbd4YUprdVtUkNKJIk0jI45XBYlCVOMAy7r+6gbKXhp5K9rhuEOkJ9aU4bhk3/gA8bKwb22i/WITt9cEEPoV/3T9t9m/bBvNcqODs6GULefgNLCxlRbovu+t6koDjlKzJsXwcVU7oV2kZEp+PC3dSFrLgMfP36xUZqz4hUuhFT26QL3iEIX83nwpKI4s3GDnpi/poEhj3gUVvEbve2RGZAjdLyKGzgpKqhZiIRHzcLh5R/2Er0EnicVS4WQ=</t>
  </si>
  <si>
    <t>7AWgbMJtawHxFrchrCW9Ma3/hBxPujDdelHHzlJyN6QwPOuN/1zlmC1i/K5HGGSSsmXBtcWe99geSF+7J71HQ3yf/c3+sLgBDMlU6HNoklqkd3IQTejMssHULgn9gFGDfXhjoohTsNzuni1Wrsz9FxqXzyJaQVwJW0g7sXj6wso0VRQT/S31+eQRVtBkEBFLIBDjPkrxUVj4C4KCQqO+bzHX0g9d0OtoOHYfmnuQxC58IOMFI1IaXfcaf1g=</t>
  </si>
  <si>
    <t>c2k9JVCCgTraLjBCKIZVgcUCgcVOkwRpnIcum3U9Jsyk8PmRg3PjloL35QSop/G7F73t4GXcf8dpCa3Y5cvct/A39W5bvUDLqG+TyjeR4zQygwUXf/Aqt6MI+/olfEx6Hv4/TZLijkKSDfdiIAeN9mVuX+nfqEIhE2qOCbM8jejUqt2wzsmBfAH5iNk3XDxW91QgvbV4Uo9hpws9jHlgKdRmvJ81PYfxPxWnT0NvoyoB7Ai8oOhNW6FuB2E=</t>
  </si>
  <si>
    <t>ZYGc3j1Jl2M4yZvzBZdvs7IG8VAeD4F1guUdGXki87qM8BeGpx1qxjfhGWq3tEIy4JfRnp58U4xfyFgM22Jn/jLeUHU2ljdEeXnsuhq/6AL8MJk2UuPQ5jTw0QJRbbhnSwI2o5t06L2Seh+5i8tYEnEg2wwXXRWCfAgty5lKz0g2MY3Q9XtpfFpGfmkh9FX5AQ93d/CU9Aq+02bDp0poCyc4sR/K1Kx1G/6r5cJxZ0OCONZtZ9xhR0b6K2g=</t>
  </si>
  <si>
    <t>Un5sEGv/EgLK3naepHJOgMP4hgz1mwkQxpyUjIl+dxsDp+lko2ciBx4kjz5L4JyCP1raq6LAg4N/fW5z1er52l6VuuA0ar75jPYofLxswJ5+apJwLp7IiK6bDX6L4Lld7/XnDQv8kzDOZEvcxXFQCcJf4MbWglrN5nIdEb3lgUzHECjPiF+pCVDDdqRHgMSDK+zwFOCLvWbuZoDbFRxOnEivvvbqJ/jHss/6GZwMrQ40lRh9GlVvXTvk0/o=</t>
  </si>
  <si>
    <t>JUAFHVCCOkWnwVtNcSyDnw1htuCtweQ/u5FywV00GAO0PPorZC7hGoRy17YoMwQI+G9EnbUOJMeEEro4VylinCQZ68lVNlnC9ZphMambRfLAmXhl2fPnKf6ILOg+k9N8uRMY95VA0+y2tKCz5C23/AzUV6ACPK/Cm8Q+xiFMMSNxT44ob7I35ApZpoXcb1KGpsycf5hJrfm36C7FpDFtBwdEzX/BkVDkp9TV8IucenMu2NmQMali/HouI38=</t>
  </si>
  <si>
    <t>LkuRa1OFYdADDbtiqdeeiltOUfUtXlsIaybtjH4OOeFtBPza3+ipzipbYZIsLVePxPYf0Z2cYnovxkVNFoHyDo1S2ZKZwsfS/wpH2gsbf0NTzBX2zWJir0+D9cb2+CUwHHRssscAW2bv9AN1Wx3v79ixMCQGIzrzQCiA6J9jF1JXbrqNvGATc1/KfZ6BFXgzfp4dVqqB6wZv9Jc3i3emXnaEGjQkzJr4+sEQx1Kp+c2R6QpfFJ5VPkgWjyk=</t>
  </si>
  <si>
    <t>IHObgSsFwjLrhh5mZj11Snpwk+geuFaC772QF2HtKHdxKf54sYhwtqL4wudF9fbVaZodTbCc1v5TpQpLgLJEfdYSabuzju2zaSGvYHxZlVXKLqlIzv+8cB9u5yViCSug4ZV7VaCbsHf1rZNHzazsVTfdpegTHKEo/EPKt0xJhCVTMz0qFtGrRpPASpEkkWiM93i0rKZu6/2rOYV1oLT6Rck4y+hh3cEVgxW5GKLanbTegl+B/SgSzLA4LIM=</t>
  </si>
  <si>
    <t>xcEZ6n+WONcANDG8c5cLtJ4w/3FXsnsJ4NKOLtBfACh3wc0EVaEuHl3Qvr3gh4pM15CmhmmgJg5bzpkjyn/RerY6i4bIAG1aQNYdwxoFUuMk7qjSlG1CIvK1Kn3FGLloEQ68KODZjIg3jY6H6bbwiUnIN0lPKmeDRE/n98zKXhAEsVa2N0drJRGQZqDpxPIwR6ysL0Ndiq8FQOd/BLW/ZkQ6uTroo53SGh1ou/SjMeiYW2TWoSYfvC74AEA=</t>
  </si>
  <si>
    <t>mnD/0Dg8mcmUP3Sbx+e2VmAbR9NK1SES9/4ullExTVuNvY4FDLttCXA98RQVggu1kY9NmJ1ZFui5FE4Mh/uFDmAV8cZ8VoReXnPF1jE+nF4WJGXwnkVxMRPb6f+KcXkTPRi7twxx7amhM0Pn7jxKzMsZMPGlL1sSK+YrAYecqcec7h8cNa6UpyvmpyJ7TiiH1oF4a0wVmT+DR9PexHfhLsSwYFoZM0A2bUvwVYvi5WflYQDs0eoozFjAvOE=</t>
  </si>
  <si>
    <t>bcwUDY0sQQgAfUKw8u9FNTmLws/9ysq+HhyIsFBQA5zmC9XcXpMvl/bk9oYm0sPsK/iw8/5/SVcfzNK0czs+ABha+nMzDOjivYWy8Fp72FLhf8MPYN00CdZfwYzv0Hy0muqwDkA0Y+qGV19S2qUT8wWI792b3113Gh8L6jwhXuFtiCQ5+W7kFzb1ndHpg2DcPKN2nQXnvVMsorzAVtwWVv8xezbIhGVQqS+CTtYK1Hx2F/sVXFd1Ywizzi4=</t>
  </si>
  <si>
    <t>lKjpLrFE1TOUUb+J51R2sKFoe5fmZn6Nmtb3/0qxITFQeofm7eAjDHbaKljj+giQQj9BZGjwEh5q7/Nv+KXxZaerGiSLCQ73Kj+h/VGerPSNpWjc1bYzPezwbGoWJKI0q7sCA2T5SXliU/T4PLpJJ/O/aR3jrVCRjtxyY7oJvbdEjTqy7SLFTBsjUGsdNLdyMCNS0eZ9BatRKxWVcxFBuzBq0O1a4wulDhkqGh+9oM5BdSHvLKYDs8B/7YA=</t>
  </si>
  <si>
    <t>XWBx1mmm+tgtTf/CyzHSDfvx/1FToNFxgHq0QYpzm31dekPaI0d4JjoiwoB6aMO3ta8f8csR3AjeO4t6zS/HPh/DNFjjntU7eYF9ydBSvw/ay+APLzQCz/CUoPH6UW9utAl/mYa3znIKrhjjolYq5/RWmAbNVPD7P5zIiCQLBcStTLjounIkv7KT1oEKWlUqcyGSU0mtUNof0LsrJPLvi93GiC6YCYS+lFL2smBgxJpPZk2D6ps1IV0yp9A=</t>
  </si>
  <si>
    <t>If/Xrn3qhgIe+qSxtdirP/2subkKs1RnLoxxPhP6HBk4tKuxKOxJ3w0aSvhG2JnT4+vSbRrAXd3q7M7qvqj+voc1+92V2EKqPyoyh2jk0OiQmzxDFiEgL2DACj73ee2c9hOgwzlSZe/5JRTlorGsNNyns2wZmvGG2pmXLACtRlfBwIpwv0rtV/1/dLOEH5ihqH1RIjoVLhMVUm3nQjV6oTvwSdaSirH1/7nPoGZD7dmi9BVTEf0deOyrf78=</t>
  </si>
  <si>
    <t>4tHwo6Z3Ga2WIyiNIxApALsiFAwBhnoBqZeaWHlRzl/c/x1HClOntdVWNrq4WwRaoE6i/d53CV0SdU6HyQU81+Pi+xGOUlrUS3kbnqu7+/jl+bWY3iZvPpXS2LNINnYiemevVqhd/h2E0gbWez/dFQnRy70dyVbaqM1qPg+LYNUyllchTFFX/KPlvS8aERJoF831McP7PfNSCWWFeGwO5pq/G3+zf4lWBNQ/wWGE6GUYoi8/3HEb1dIMhqE=</t>
  </si>
  <si>
    <t>10GaqshssfEopj1t8GqCNgbqipQnHZ/a34jougiSnCdv1/4sb+tDuhNRE+2Er4Vas2XxW5QtlKB0ojhETfL0YtDopAFJACStoQqT1rUXOz1SkvIH8kGRlxlab5pJOql7g0M821bQkV6rmosuY1pTWJSxzm4KFLvAMAuluWoQMyDR7h/+Qu2th5aYn1aldLqY23/I3YH3Umlpm1Wfmlt1DraU7xLA4lDF4T0EgJu4AXs5ufZX/8QGwbMlhOU=</t>
  </si>
  <si>
    <t>dbn+AIFDeFykHSxwU7M5pYtDh/rlys+DOtU/NZOmWxzCUs7QUl6RRg9fZQ7vHELoI5GSq+X4MhMBb/3IFs8nBM8ZG4pUgLoTFreG1T9KREJTq5ta/QIH65LdkW3rv1NkNWy0DvH6o+Shbq5QyhXjTKRkROLDajlNshSTvBTsuVNGcJ2vOTYy3o4QGketC644TWN1YWqsHivG3zN8mOHNUHNFBQb26pEhGvH3hM9vS9cz7Egc0uML11VsQz4=</t>
  </si>
  <si>
    <t>NyAhdVDe/zJUihzChwa2ub3qgeSTTlJRGVx2D/0dvmWeB+tFKZDTTGezGeH8JSPrqFKaZYNWas50ldnLUQrgguEs5UMtT7MwjgpzC2slV4IaNPVRraMIS9qcG3uNgXV7LK+KKf7hhv0VqhJhjSUSgke9LVmgdKPoyGR3KQ58Zgd5MIsJzJM+kPGtsZwkIvUpT9eUTNNMfaIXM5pnIU0iJ761UAgHNZ1/W5Cp4SMFFaOioyxg0Lezk9s6buM=</t>
  </si>
  <si>
    <t>LG1hncQ9bjpK1jpiiRSLIdvmJUDM9QLqfY9bZxan/wXlvxwl0+wiMogSH6BrTS3o3uMZTfOJyvTZShyKNLtkuakMfqhCO9w3R440Godp7ypcACacL8ky3C+8hgaNyWTvVBQnoxyq1gnzZW2CH9kIYedrxljcKo9vIeaO2OenhX0QOhdUhleBNn6v3fCjEPyOJFDuuG3q5ueB8kIULyQjqxeaIJj4lH9iZ5TFS6LtucNlv+/rau7LnDluhJo=</t>
  </si>
  <si>
    <t>+6TzVnjo+TdmSe0vOlKKCSbbtyUDtiikac3wf1s2W4/CeNf/sHQquabOtF5/tasAkW2DTvkKmi1VQR/J5xuf9eLaetQSIROqJS0zYWsrIEd6CCBF3QfUxx+yaMuQkTMwY+ax7reFtsIEugBmq+cQ0880uLjDhELMUgWrf58TWDXCcjqWyIrw+6RHLAqSvsEpqSPT4dSKUnC94iLYXedMMpoA95wAYA/A2wPvQp5XdFflqa4VuF/ob6vLGKI=</t>
  </si>
  <si>
    <t>nOQPfVoH0V6FISN54xxr0BXouid7OMPoTboC5JHaHFH8NLLocY/eh94i46uTUKY217ypqaYNFyTJOIh9ZlkaOeDhPJVftKH84FX7XOu076YZ0Wdj9nO7b9Jr022C2jXgQYmhU1vtZ4I5Sjz7gauR7g+5pkx6hHlc227cTAlRZRsnHMpECGLpsAssasQfEI1jHs8SKRqfNIms2QjQNjPmArNzdzXKLH09g6TH8K0Yd/OyRcsDpqNIWd3psnI=</t>
  </si>
  <si>
    <t>PZ09ReRTmtJ1cBgstl1DBuRpAjNbfY5alJJJLrrcHPL45S5rnPhMglbo3iZGsQiPm+oSfmop8D7KiEBKmeL9mj2JOrZeh++spbSz3WG1qg54m7c0QdBI6aePac+OYA+k6DCrUlBCHnj8c2wgZzzRvJE4RP4/cluFiyKapNk5VJnXNjmx3p8FTzkcuJyLboMDW3aYjygwTNZWxT6+Q+nor0cRSzF87vBxzWXWz0sK4ZhT0D27yxK0CvVB6co=</t>
  </si>
  <si>
    <t>Hjse0jwT5mXS3uu+1LYWzM4jp85tcQZ6zjKcz73IKiN2UXWTQEUBSSQBi71PAD3Zv7k+qLfBLZ7jr0Zz4rQXtHbgGuUKRbchRLpC6u8xN1pwWHGIxVtGkCs5udtvDO3vg/NWGbys4NueO9AjAw8dRoUNqnnM2B/VvtQkCS63Rupz38yuwmhTmXRA+sA9/4tiJnOWc3DMXhVwRt7vh7M1j16LcFmth1qKytOmFilrz38dhBVJ/pzF5dYFAuw=</t>
  </si>
  <si>
    <t>D3oWxn5Gm9b2rPNcKnbxRyoKB6E5c4ynIhn96RSFqBIlxtFmEcZUmzsCx16aR7SEdfSpH5qNBCxMVtQJC8LDYlUbsgQyef6o2fKKSllToI8f2m4IeuE72OjMTkVQqLNbl2mQ0bWe+UPoja30gaVQx5ns3VqpuXckGx7DoezTIdkHQPHuPO+0moUcOTLhDvrxbxm6bFkhdLz8AsJjbRe86uufsixVqXeB1vGNKcuL54bP4CiRX7voafXm3Oo=</t>
  </si>
  <si>
    <t>JLovYqidsTqmu07JDoiNklEt29MupcMaQT9rUqXsqH1GRaiBhcsId+bPU1z8lf5mOc6vxz2CoM3oLIB6rPrAAQ9U2pWW3exGZp1Th3phuWCu9/A4A+PrD+/t6l78qmgkV7/zbPRzDQSHnJshZ3Ri0tG2pXGXPlv7RqSCv3NvdNweMc5RW4t1m00v2cmm6NClSiFJlmYVFzqflrGkyfYd0DLFjhgeeEox5HmNmB/XQiU+mdC/AQxNbKhSHAs=</t>
  </si>
  <si>
    <t>bIPGGVNCm6G9IbW1aMLgVu/uCKUkJirK+2WtN5LhcgOTX6JPbnTQ2a6AVldT8IqTAQj5MKmRToLDIPZvgH1feQqcSnAcWttDQdzUIIg3Eg1+ugJ3F+AduzkLS6CWvW1erxVFcB2O+i/zhc1Q9J5uX4HJu/tYKl6b5skmHNPa82zuNH559Wv0J5NCX7GXfgDP3hukR251d/ufqfw+07xLSClZW4Znpf3ZbRtASMwjWU4Ohg8PLqLqbpCOYO4=</t>
  </si>
  <si>
    <t>B69lg17Z/WqoWlyPirDpgDL+0RN3KIURkGVdxgSvOafl9osV+vjuEwRWUrdvOUm1TVZ73Gik2qzFtZTYuCLgBBInAimpowWd2Pjr9bM7AFHzF2syZZ8EV6AI2FqbuTe5zPoD0msTh84X5tak82N0+y13PePUvQ3IEiCtcOi9uXlAjAtqwsSme19QUO0cWLrr4KfPL9DblC9VJQm7dCCXlxSvOnXKU5Sg3IF39HhndlpaoSooq/tLl5JF1SA=</t>
  </si>
  <si>
    <t>hepLPuKOCbjsw/Mc33lO00ukx3HHbNoe4yP5O0lRgV9/cWIygCjyf9mzy0S/xMqyeL+dDj25khv5s/oijH4BB0rNcJ0CMe/7TOqilG2s2h7cTQ0vMOwmktQbxC9m05mAuDng5VzEc7fgKMoajEq9ufN5meMqRQJ+tRLM6GfrkVbeJz5YlhOdpJM+OLIkN0rrB8YsOOfIzomSi09nKDRnYobeqRCyCyX1XhID9g6oWLwdDOF1Mwc+tfksyJU=</t>
  </si>
  <si>
    <t>VJlOQ1+kBHsiZp/FNcNbDsqy3gTnJoGyDwsLyQdQol63pfp7ky8Vvoo4RnGpyHp1BI6UZIYjexMn+4eUo/kefmxDPejCtBCgJIjtlR19TZ2FtnDN+AVRQrBvKSmOtXrOiHXCTeG0XeBtk8MgsIMKieeH+wrf47jd/v/SgydRheYc45caKh2Dhirtlt/nyye21Sd1RiRW/spp84BcPgJljhGnBZA00FeWM9oiIkGYAY91fETBuVEVm6BSaX0=</t>
  </si>
  <si>
    <t>/533Gcl8YqRPZ57wTzYn+Yt3llxtmzDvdMfI6Tpx+Df6FZuw0Pnw5Rc98iCIAw1aNtlN7lqxiOkVbU++uHcQrsYrJ8eZlr2goPBie/mt2y78fWopKSu4I/pBJYkezlV6fAnDHim7PqPzUtJ0el5MhwENgSLlfk5z7a6SAnQ+d1WlKEZbaxErnvJk/DmRWKecqUqM8ps32oy/U7CkusJ57kJQ1rwHv7flMc1Kw6ttW+nmo6tJslEg76GbDmw=</t>
  </si>
  <si>
    <t>quz0PLem6Er9H62ufwGrBUKFt7bgk4GXO6zB4KclXga2FJDWHoDaesTt4RFJJ99qKOH6HTMLv36dYcqHgKbw/4U1K50Z/0cL0EifFd1+YlAxIdlph9I9cahcBLEz4YsWXRe6y0TKhXZvbw4RPnmH3Ig5NsAZfFNmCgIOkCGnVSlmyQ0LVhoInyUnHpBArpd37YdcThYeGWJQrcJ0pRgHTAfiJv6UERQWDptfmiZdVFA/3enrxoWm9r40xAM=</t>
  </si>
  <si>
    <t>Zx3syQk+o9OteOwWM9wMwdMBq4TOV2r67B34KI7Pyep6Sp3HlWSnC2/qkL017T+dg+P+KGOsB9yDGlobJDugEM3Xz+1vryr66+isBMyD2Y2sHz8qNDRV2gzpEO0fTREH+Jy62Lo4Mae3CpvNv0xN/oTNOW3PIRFNA+y2/nNCg5N/ar7F2IgfpuXexSNnbTt2APEd9332aVna4dUYqsTU0sfNPUB+RDWRpoSIhu/PIEtFSnysHxRv2uGB3y0=</t>
  </si>
  <si>
    <t>a4FULQrWIpuIoUve4HZDF0cTyEqxs8+i75wQXpkphdrb6fmlt/TOKZzzvyAmunZwdXJGZ6b5EadowZdW37+r8/UkLcmXJrMQbq8yNWhehyPla2aKAKlQC9bzZU5u903SLMFDMMb6GBn4KhQeDNDUCOpe4/ZLXfKAs7+hjqxYUjCkOuqD2SJLI/9zw97QvHDTJFN5reFgWvqfMwSrRIWDoc2DSCk0+8GGgE11jG1sEwBcpdOPjjUdiMF+njk=</t>
  </si>
  <si>
    <t>XRe/VzxowARTmUQYJ7BZ3SCOaU9CaelvxAyeAlveEuUW9orTUdlaVw3tIym8OLLr3ta2wsa45Oa59O8zW1n0OdP+e94OViVgbVFIdyoXN/mkRsgpjcaauCc8FQqRScVZx0vuz2I6HrkKo2oYJjUSgHCj781TEfM3gHF6vTRf3YjgOWdrBUECuYArIKXxSTSSwJs3xFfa3E//Ub4yle0/2HK77/dg72BRQQoPqlOnIV8l91dmyv6rhxoPm8I=</t>
  </si>
  <si>
    <t>9NHtkixpepb8oveZsV1QY7AsLZcOK89oRWx7MQupYO9EwAqh7uDVsktnk+YHAgPZ/J/QqJpZrmumgCYwxr21WdJE9fYAIb4u8W0g3r11AYI88wWXOwM8HfP2BrUqXJ2LyCcDQDXV1Gv5JbmH/JLUFVlY/6GMya6vKw+fVDmxEtkvP85WVTDoUMTqv70es3yUrsKaKbjTQ2U0F8RaYY2NeBJ3rDT2EwniaygnwRMbD46Y4f+GS/2mnSKwVn8=</t>
  </si>
  <si>
    <t>xLJYDZMOWXsOjfJ3tP1Jf5ibg3xsvNqDIarRobpzLiLAIUjdbBe7qtN7Y4qUYDBi9WDMObonDXXO+puhs28TqFz9D5ovNdNrzCHGGlmuvldrIXKh0Pm/vAtjp2TjE9XOjJivd/dR/+hEUBTJ7EgN98IRPlWSq+JpzADl3cF6n/oNbkyxtbsZb80W3/0k3Pa87jpQjf+169u9eMExlRGUKHARYqSRpeenG2O3jqtco7IVrM54+Fu8G5Josqk=</t>
  </si>
  <si>
    <t>s8dUyaAWjF20IuhJTTs1OD9B79G8yWzy33xRPMKo4ugUCgqCTl9TBpyVTxOCN7LmAI0CiSF0sx/gMjmr4PsnT1YAeEdIZDhJ6RUpyKDvmwoE22ObjS1ebYFppYJhVcwxcakYwLOIwQdGKJ/LochzZd51ZSb/MNs2gIMUtbxc0byZUUvaLpeWoVyY01oS8yGc9XkmJc7r6DoLhkyldN0F8w4d2nlBo0sCs+lxFAgoKHiB+o0Hue+cWS4+YHo=</t>
  </si>
  <si>
    <t>6+a3Rk0diB3OUo1T9c2L5wjtvmg8R8kWP4WSqEkeC4EKmIeT9DlwBhGUEX7c3/06zoUgcXlrHQ9GNMQOfJdApQcdhXn2MN50gR8yxX4xILLHM+5hrrnnN44twI0ZZw6KanGeEZI9kUFTmo57UsUbc9UTRJLUOrkMG0UuauWC9jV5Y2/l/OF1T7rKfQ34/QD8m/C44I9o+Kw1qIxdGOIY9O5Tl2+GWhAN3nyOafwzWfIKAjo9ZbPhQ00rlI0=</t>
  </si>
  <si>
    <t>4Ox6N+6N7aQf6lNLSgUBf1+u8aP5ihmgp6NKuq8UscmS8UiBJ57n6sITJ70Ion128nl2mGn5yTTNBnN8ImwOieZF6qyys4BlOE2X1LaOpLZgfo6Dj+swLjN8eKS/BoiNZULOAHBkXPG88XoJIqtn6ENQl9Ct3/da20f2FAtzECLzF/BFYhOCHQWcdkMjdClwYdpiylSQApLdTmfeeaVZ6a0cAUFkc5AmGBMLD1sA+SS+WhIgWYPS0Rxs9KA=</t>
  </si>
  <si>
    <t>XXVl3E0mFZo3zgq3/uaPHAdCorRXwje3s7JTAlIJ52slo05/IKSfCW2BSzP6QSTAHXNTX5C4seAUYbUTqn1hBOmPnMPznj/bcZU5pmDyDSJf21NaaQoZdXQQ0DbQPTAnBlbtC/OV/BgttCwtIHjaPgbJaYFlvOqsLgxoJ3QmooANEHapzP2+Hm/lVkw/az5SWkluFyPSjjLgsw0AjKPfzUzebXWdf+zxId7J0hlhw+bP0+std3DRkayOcf8=</t>
  </si>
  <si>
    <t>3nGViLHImAGFiHHT0N9ImCle1kSj6lD3Fv5wbtYFdljZQD0ukHqaHNOeHyCnmtOtMZpJD6zH7n3u4b/V6sC0D2xN491ZEMSHgiZdFq6CzYLzjYVZCIWgYm2j4E2b1RYKFDzCjCT4bjFYRTKGjJ9vYW0IBTrXOMyFtXKT2w7WASIAQiv1ynbRo2KHMrf/emOwoJ1RVy7MSDHI9PPYgwvLfhfe1/DiXkWRnZfq/MnnTLmwGiDVHPDcy0swNf8=</t>
  </si>
  <si>
    <t>wCvCv4Japjz1YFb82WsBqaQJ1vYZ9kulPTCgJVPavQOUVTP/j0Wc2z8zZ69wUOLFVotqJtn31WgEKjLoZIjXYZ7vEWX13JEScSu7rfFIO5btSkc5U605+4/oknc8YyofdHhb/qRCdd6W1tafXsidQ+NE1AX5AK8HBp9L3Kvawz5CkrTO5edK7Jq08bTwRkv/CzQGEeQDPHtEzwSZ13vhEjcTOLdn32oXwiljBiqLViA5NuTlLu3B4K5Sf3w=</t>
  </si>
  <si>
    <t>lSQyl1gQhWKiPl/fBxXvwML5mVkejyCwyyi2Jx+ru7oqJrJuTegplXYmv/T5pETqtpSEcXNnbkz9v+sD+EiM/WGuJVFOEq6+GoPxNe3saNdiDf6J+NrPymLyqp7oFCVUjuk62rXaLBO6ULcsO7SHoSWEqGYnOPb02yG17wFWTn2HyBIFhL8WDRiSEorFWThTvsrTf4KY7G6h6xrJKtgYalDPXKSgzxSjhno0KAtGRNDRZpiLmk4crfrsH4c=</t>
  </si>
  <si>
    <t>2AIYxEtLUtIPCZDNkn1zpWcKKfS6MjzbGn27CUQx4Qj7Wd3+ygQRJwf60jsOkmlZvS5Wa3sMCpie/fBZuKUafAybe5mZ9SqVe/voVJ6BxVNwgZOxtX0ZYbknQFXjKu917+n2m0FtXpUhWOzeSkHecSGjwL58bxv2ZQTHrHsS7Ytt1xbIipHJIE9+Il3cvVk1AeZr8rsYII2UJVWHDpQE9tP6NWnWE3OgVY4u1bZnDCs4Msqp7GGbosEBHMY=</t>
  </si>
  <si>
    <t>vsWwZz4DL8MXNZrjAUozdVU5aQYG+xltggwr1kjbGrHQoSim8qAbFKnUqI4xV46+FG7edxK50N4qTJamYzo46lH86RGSTHCOFC/2Jq+cHAYJVnaQrIGQCrCqHEB6hST9wd/IAFPp8+aZommjDTBUeo/QyytylPxUrKFH4N7ASsg/PLFMPxJqJphpAcSrOptNPPXY00kNg4jhC81yusGdKCpR9FR5Sn8HE9u5jGrBPHtlqT44DUtH4H+SSSA=</t>
  </si>
  <si>
    <t>y8i8nNlemlwy/3n2ckcBGRMl/X8ylB/KcQ3XUtuW4QmP47aqd8uK+n66HIWEFGD7EIoioNwj6csm5zwv9iYtBAyqtSX9H0kkAAex0sD7ZjeGUzQvNxf1tuQhHGIW6ctynq3PmOroePXHsvWFcMgTJ7p55kRorkwDOFJA0/WEa6TCiHXXm0H2KHO9t7xIY6gjkSzJx3f8DUu6rkK/RQDM8FkGidioRxvgqaKak8B3Gqz9EvNYzYaX3xEOmZM=</t>
  </si>
  <si>
    <t>r/OmnudPvIX4m/dsxRXUo7mfhyE0G8A9uOHoqvrbmI52zqfHLLoPjumpUhB+U76XaH3U+sa6I18oRNloknlM4XcQG3qkepVzIG0+5emQBDNBC0sgAodS2rxG5wWFWvRKCU0cNhIj+VjhAOz7efdg5ehqyqhOCpC9mFttKZNn/6QD6iYUCQwJ/HWT/Yyh4jFCx1jSw8V8ceN6W0jJlJ+t+grHitmLJavhQnTW1qx8ZkpfxGjIYyRBwen740k=</t>
  </si>
  <si>
    <t>zXHKU7tszpKn4OAHVAALfxigfXACsWTh/y1dqFcRO/Vct+YaeuPzPxroSArScHNUECg/4J7I6DdA/ohbVmNCb1IvYacMeyZm4oYlem/ffQGweekLr7DYMyWzC7gE+fesvdtGlw/kPgKuYesEbBTQkqjocpejDK1BGH496a2c885sjYavl5TGuBYz78HkRQ+mSzARGTMsSqArMkIkXlUxGv2xC4sf6uN7XAFjCB4Oe93pRqUQhzETPKw9QiY=</t>
  </si>
  <si>
    <t>MZ+NZm4+ZUOqTcSTSnqFErds7qBS6lSX/i95Q4TBa7/j4weddhYAzALTj14T4OubMTSBOgfjGGSk5xbEkCczCkCWeDGOMPfYwEjP7QugsUXZAMHlnATAbhIV4nsKdz/TSjLrilwAcjO8XSfy5ijr3PO14h340WlRT+hHAe/zSZPivfP4VhWhfhDpxKbngmErqLcynRHMY/tkDIvuemkjGkwV/RTiZzUoj7KQhrDT3my2PHVqJ4w5gXHYHlY=</t>
  </si>
  <si>
    <t>UVtpQH5GT3nIVRwVZ/MgYsCRcwYbvmYOJn4p9sQvBaRF7isbTkVxc6hZDD+bK8/JUDDREjc27c7mfFo5TdV13wI++LaMDACxgj90omZxx7RizQPjQzd3FlLS2Oa/hVtT33T5VS2jTDOm/i9u1937ZwPA2tS0uWtrbsL/vcr3cUwZwEXCRletoihsz1QPyiK8LBOsqwO+CJOHuh3KW7iO65b+voKBmXlV9+nOUUxX8T6LkVYo7UVT7Kyje8U=</t>
  </si>
  <si>
    <t>LUSAnhScfVGZ9HufItAwPAroiNFIVljTRavVFnH+h076DyUlPncOEgpE2XHqedqynbaWWRPSNC5/XOcuqZvpCAnxQknMEQtZeh0ql28b67WLpNuiHXBTK/SJzWbjOqr6Jnxbwn79b1tkcUDmEGGwtDcuWb0/uzkDv6fKnJ/qKDagjgLMK7PreLqkQjd0S/42FVFd6PZ7/TrrAB26+WfvYLXn4/zyPkXXzvl7fwusIpxmUyOLFEeqTSde+IU=</t>
  </si>
  <si>
    <t>iIoz032tCDEcHOSXwDXCXkxhYGXlW6jq5qPEFhL4+QuSYnHogT8mTn+zmAbRrUAkaqAwXbXuVufCvELgJLnSst/TjQXx/6vG/PYZmO40wU1g7W+bKTvYN3D+QFQWhP8sByZvXZKHfUe+L1y+mUpDJJx2oAWcSEfav51pYHAVAXludp5/3EJHNdC+IPeGH6A33x683tEgZ+xx5hGmMYHnzXLMM10s+PJKAGOlca5lLgwPpjJ0QbpuP6Yx2Ws=</t>
  </si>
  <si>
    <t>LCbvg4RgRIToXUZ4ZvAcxiVwPhHi2Nv2TnoDtzH1pEc4gkOHbE3MpK/oqgAGwdCm6g+BStZpfZGfw2wygaW5jYNXGwhp7s0VTHPiWB91mKOrbbOr9PNnUsraRJeW+XQKFeJB/x26wSbKiI+V7XIDNNliW6wW5kpxC77Q+mhBm4VuW+JuAkHEiKYe+87fHcYJUCS7QG5RxClLMhXAXaBRWzq1JLrjiJ1TUnj3SMeIaiIxCd3Dyn+n+ld6qg8=</t>
  </si>
  <si>
    <t>yIO1GQ+cj1s+1xDKYuMjoEVFIc9taQaJwzwJDp6wlX9PUprA+knQ1Cy7DiCYACMttT1y3JMVqIb66fGHH7yc4ZNUy+IbEuiezMbDnUxzB3+bgJM+GLh7HUJRS4vltOxQo6GZHmxvgw9VmrhxnUd2YC73+Wchs6dhSRJ4L3/+xLrIV1M9LvO6huTxdY8UfmUyjpTPjiyA8+D8Xz1xSr38tqx/GzLm7HV/a2EXH8hu+PfBJm9xc0MMq11AQKw=</t>
  </si>
  <si>
    <t>9ji/ZP7vJtA6lQ5nVGyXhaPRAkyOxxjvdC+fWIypUgzSPLr2yerbDzcxXFyUK1Ub/0o740gaaiFp0sN+lxYahC2PBO8JHqzvUpAWbsaeRbPXyLzGyo0eoCciQmIXiZe+iivnSpCL2BMAwg+wcnD1YC1GY4jocSK7IiT1geRtEZTUpEBPep3ly1kNTqWBJq8ThYPKbzaquB+CHlHBh3pQJaBWy+iwhosKO3BwIo+63CNw3JKKvVTpzf2zfT4=</t>
  </si>
  <si>
    <t>CBngLScZUelfD3Mtq67Q2nIXPl6h76CLmnjhQ9vloF6aC3a7mAHLSEzR+5xXr+QGYI/HHq/8kcp/nTFj9PCBghpKhmiQu3pdIwiSfQ6UlMngj9Dl7IwGvK+JKOGF455VXUcLUl6ULffQHrgsIJ+jPcU26iEjx8aIW4JChEq88rhmhYzu/QDa0VGCIgXggge9CralwuLExMMvRldrVWhAesnOTUsd5tFnnuFQd6E/J5yvRJqeB/aRC8RZv1k=</t>
  </si>
  <si>
    <t>E0HRQgthQYAfkGr0Zew4Gj29vTgv5knPZqk16USB9j+jGkTgdLs/mEFVzatLe5op7Bzc21qz1EkyoWzrh9EbU586ZJqmRU0aaJZ9kWdU2YDNDUgT/2q7d3wiZ6eLMpVfWY1VOw+XduKPzONB0hggUkKtmt2vhx9HzgLtAYsdMX3XLhisxN1UboEOwOHmuH5laUi0UdrvD2LCLPYI7rPBqaMPzC96q2tnO5i2YcQrg9ujVUy7M2yNWsu8SWU=</t>
  </si>
  <si>
    <t>LccbY8qpCi6vle6Z+hQ+/dd9Jgl0E18jlh86LoivKFyHNQQ5f2bGFbuMlo4V6ngmQ3Z9kCV+n+FBdDlQGROyTbCxmIUOjRLKGEQlaIVA4j/Z8Rv9LDM30I9Zs8aI9JAMzG5u2FYacpcL3tFDQHgxT9Ye5VvG4IkMqeZaZ49Pvwi9fEPJSK75wiWExmv+Ip5EQg16DCmxrdGjHimt7z9DZ0ZgFk1B4rTPpl2zPtf7sAOn0hlNr8dp2jA9hm4=</t>
  </si>
  <si>
    <t>Q2gT/qdzGfE3iiguZ/nZ1jniLYVuFyBwH4wibklyS4kmbjm2mIIjh3oMqzzZlCxtmiTr/dAuxrTDkGHtCE7Zu0FISdkWP1SOQ0eT75ENaCtam2+VfoV6P45/+VV99qjxOSyBgw3VvGjF17rlO7LResKW67uNpZtDMYDfH8aBwL2aN6l9dAG7ZIStsruD9O/teCC04Kzri0rYvhGoVlgcfMMbPFVZK+9Il8AgQWlV/ekOKoiaJRBnHpLAEDo=</t>
  </si>
  <si>
    <t>InBy5RVbiA50az7G0CZXJGw7uD9rady2FHbrDduFr8+Pb6NzdD4GlY/uqlbiJOZ+YmxPH+MnryIPU98z/Am5hVFwW/u1RNGRZ41RL537mTZzUXugSO6y+jAkCTOlWq9s+7f/d78TWxUoaiBLq+UjJox+B8tFn3iICzbVHeFPH+MQSN5eTZdWV/ZA642I3H5BWkqLt0Algm4BUvO0XjsZLfkZfl1VvyQ9Jb4JIllZZ4q7CYfInFVbH4ftHuE=</t>
  </si>
  <si>
    <t>jd9FI25rDpzrFI279jtu4Ah5YRe0NB9/7u3FI2SIP95d6L240ftviCvuwBJc4SW2z+3bsxhfY97RKpPl5CuFosuMEBYLeXGaCzqcH0hq9xUAERdmaIFNU6AK4zMUxv49fUKjUkbcMRLACWRQs8FAfwtnX/mQaQyjPja1VvLC0wrOHkTYP/ewa4HSPkXdxQy8ggpGz8vXuZBYE4tc/kCOtHtpLKSvX48ZfXLB4eHL/Uq6mud2t1tyU0ZmOJM=</t>
  </si>
  <si>
    <t>A12wy1gTynmcBPf4FrXk2yDzvVdLBbQWUgHAvm+O+SamR1BZz/9hR9l7FlRTXwHSfmpv8ibbhLNZ0Yx3auiBGr9FZc1f5AIMEjMTC08yamKJy8DIRn5f90WXkW9ZN8cQAHnxCxLblpjW0Sf/UkxblW1DKMko1NvMkJzzDXRySeBvteZ/ydej0T1az+4MJ9RT9YBYs/FLb12t3cgYgKVDVoA2Kn/IppJ7ZNQwQor4a408dzY3NF/kx2Wb9TA=</t>
  </si>
  <si>
    <t>jIuSK521WonBTYZSLLklh0wANgL9CB7kUqd9Wu2gLFeilaE0qgrLMFi0lZNRkyFZu4/j9roQuC4guFWkMCTnQAqvU+3Xt9PJrAhWeDCRSJtzbHbGEduAKKv+xnMD/ItI1cYzknJQYjHQLEZI/WVU1T4hlyFIo7wDtMRRoi1f7UK07/hH55PpjaDSjuZpp2224Rl9H3wK2JhxwSnl8iFwovJ1DEscPuQPb8m96an+ElY4SZuqpSXKT4D46BA=</t>
  </si>
  <si>
    <t>ghZIk0I/2XOkEITkKtddc/Vgp7+IT6V0H6V48Uulm3hS3FE80fXshab/faM9SWChthd2t7Ha32aLM/qp4to+ATyKRaaeHccbcfz8tfdBAS4Tjs/nggymrHHv/4BmbT1gym54V1DnkMFI72VBKZnVWfpbbDOWmfYpIajtI77vgonzd5brdsV6689kouBQes6qjOqkMUiGh47GzH/yTJRa6VGfH5cR7rgd1A8yVMPEXjiOW9+3M1DyP0SWBqM=</t>
  </si>
  <si>
    <t>2aWqVP4BJx31wRece7J7X4FtmENX35FOtQqej2TJ8TEPN4/x0J3e1VogtBdO0wPbhcv7fwcH+tYwcfPk1PNARknkLK6FcJzwjhmMDVnJO0ryNOM+rzvzQatNC1UYqNCwydD7COczWdwYKTd1K1FsrEXnDklqUF64RrgWJtLoMzfdu45Yk7YAhl+b3S835maJDaTj+1cHIfQDca4F+27tKq0FfmmSxAYWy1eyCE3AJfPPhAwTYU4vJG+9smQ=</t>
  </si>
  <si>
    <t>MKDVENU88FEG0tS6MtjHAsLxbffCP8NiCvx4/e3TgY8dc85RzlYsyL07M+YlOqaNjR8x4tiiyeHAKiPy6X1jS/yW6sAnyz30Nr4g9Pz5ghEQXmMz72uYcIIAE7YrPbVb0MiBwMftgfFVihJyrILz0w56rj+mnnB3f4NnJtT8GT2RUQ5j08M/amkaAqhWT15iV8S/HcpI+QWqbNMEil/r0BHqPfJmKAWyhPn50+FW/ZVH9aA9YAM8sgL3HGM=</t>
  </si>
  <si>
    <t>R5SF0BaC5/7yGSINnoaal2PPWoPEh6Ski/vRNZLNSNkTmciGGF48HG1j7QITgj6q5ZLeLh0Al2UEP0pIpWmePGhl/2l3QsdJdVhZHST6bLIrJKLviVKKq3cX5NalLkQk+tOnBAtScrAMMJITFRCvzKF5M99NSIShI6VieQgOE0210ZkeEMtJPW9uDdQiGyymB7wsn+99Px9CYAkOizqW6ZKPGA++GGOKnxrijwoCuSJ2vCaYfCv1/bTMGqw=</t>
  </si>
  <si>
    <t>jfPyCzSrUMk9uln79O39iNTT5tjj4m3yji9vI8EInypnC1JufuojjKOcWeUZLkBWMbZXhTBiZnCdWGy6jk4ZHYT8/8qsKcKA1E30Y8Kc1vrPLFJodtfOVt8mMEGNLv6NPw64ijNIbKDPnnhl2CBhsje5GKgoYiL8SEfYryDYpqFbNwIZJ/RZPhqM/iOPbwZg/ZxH6ygiBSEBpjZpMDuSYk8VEKlHNc4Pit0dJPd8B5d6nzlIUZkDM+c1sSg=</t>
  </si>
  <si>
    <t>/CWF0OKTViyTQXYg4bSmIUP5ZulKSgkZN6eTbLxZbGjjnv1EANuyhiT5rfRm0oJjkzIFCLXsI4yY3eN7/BEb034C6jwMKRnrfaqaItdir/oN/opW7qYu575tafRE1/VO35SGgKaeqGoyVvXMhqnuAzHtQml2MJOnl5tN5KPSbZRktnriGmHtX2LqcVY2rKsVSOY4d/DQNIaWMQppfNILjw10TKBxoY3xaVV3N7f06iqUcpJS9sEO3o9Ul4k=</t>
  </si>
  <si>
    <t>OqNdzPC+Of12lVqmbQMnT61w4HK0iCADeyn5k6cjHq8iUcDE//F3d6qd/Z0oUNh7VyzayPrLiyFMVzSTg6D7jf6sYMxZBjY+QcEk8oHV7dVJtOvYYndRJqbxAhzGmvHA9jhQqQb+dVAQ8NGWduZXyftxEwaTBKRHz07KAaIQQNaoo6sSlXN+CEwBeM7bs7WfRIekW0ECwdmbnB90tJuex8KGxwtDp7uwQvS6yJsVcP+KKwlEv/O9U9I/IEw=</t>
  </si>
  <si>
    <t>Lww2Do6bQ3W34hKlj17r5Yse0r8UQsoTQLoto2gz9/2pof9GRVKV19vrVkDH5Brg18Afsd7PmvFXH8hUPZKFlkJCE2bmIzJZJocCSqyDkTL//uEn2jgZMtX0oyrVhgtEG7dGB+yWRsuzAhpQYX1lEiAyafhIwMF+aNnMWwTbw0pkots+r+zRpjVK9ckJ0B4j2QLdmjq8d/oD4ehu241nUsU/Zo35i31nYo59HETdnb1e+CA7P2ibIajG4sk=</t>
  </si>
  <si>
    <t>U4U7AE/4uK6kNe41JBuNf5IYtEnJQYjE/wAKfkWY+KIREqLPCk7bFzgY26F9cQAyBlSMJ0EA9+pGxr79Z1YdNMZAwBDoDqMhQ7YaSTEIEmkYsEfu2aRBpK+tBvB4Tv3D5uWS8xZBXTbt589qZFHBtvxsJV4UeGwwLtclxkzJC5TCEY7HEGToMyNqw5UrwPZ2XnMDwWBWwmBGB1MqmPgR1p0dvb/npREonvD/sYdV4VCclIXTUrY5TeKMd0A=</t>
  </si>
  <si>
    <t>Dd4TiVvRR8AEDym/uvpzETPzBzkpsJekQzq7sTKLKWUiA1oZPNmVlKAL4zISEbOYcgiSpyTdk9H0sPhsiF+4J9k//c9AfBGziW4stKRShWAWI2AY6FSrtYzMoNUnAcnCuxa9GEtjY7OtLfKTmtH/NK+x1uMXVEziHbe3AeVxyz63geSOS5FvWw3//wMxSnyAPkwQIEaqow1P0bK31h+I5eXCIflFFclGndxKPHdeENXHgUv3/2jk/yFTrSw=</t>
  </si>
  <si>
    <t>B6xSLtmynML9Rg1Us7+z38nqv1pLlV7+wBZPtrHE4t3JadSr6e/SZasJYpBQf1VMNjm0NMa37w0CAfcTuVh6/81tbGJEsWdguWggURYHgAAWeXRF1eyuVw+cxM2EZ/Spe/bfeHer4gc7Uy1gCc++YHS6LsT9nHKMJz5ri3tl++LoI7UZxHH6FaxYpz+GUz261TrEhL5axpmJqZYjZHJjYBB/1w42r3vhgTfySvE+5DzDPSi1eh3WUflQYjU=</t>
  </si>
  <si>
    <t>WhX6dNWVvHNtR+tS+9tpFAbAO8INoLp98TNJv4oHX9jpkcziXlO5uDcsuoHr9pVp+CEPqPPvPFcBseJVT5cmzFNuC3jNUYvHCOGnahAMjUSXdTeLFyQin8xN0bNW7svJVzk4NkxIs1zaHuFSUmV9eqe8NyaR5CBmEhY86TBvce5/1CdjEHh+rfmfSKWLurhUoJHqWj2EnC6/0Lmxw8mFow1UqLPv1/QKLsxN0AOuOlOmJW0oqEGHY3ue1fc=</t>
  </si>
  <si>
    <t>nx/YMOWemXahnW3w+cRqeqsVgYSOntO1Bvhi33riwfS6ywz3LWxMx+6K7cYGlkEhMEImK7s8tRM7LEFxsXgjIsXou/F4bvfPHJVLgvvuhHNi+nyUJ3CDBSiV6gSVQji2MuO3TDgxpk9E9OM8wxZcu8XoXVql/GLI4piA1hE0lrwMDTqaKLQ+pzUZf7QA/gq/porpfxWpYhDVwWChz5MYy2SP7sDpI9I0+LxUDR0YrH6iDA2p/mGSh14FdC8=</t>
  </si>
  <si>
    <t>HqrhLE4BKUGHF9rbFn/L/ANjNKWc3uDSbkCEaDTdkHY3LSUlGmlacZhTBp6uJ9UGRXzqHgxEqHP5vNyc75kIbulkzZQr+SEm+l3ZDUWHAghp64gh17hfKhIvQFZ4rWy6myL3au5Qo0Itht0jYjlT/okyKXiTPtnAsUif9Nzqi/9VcWasjf5MQihk75gw4iL7eNdz78fXjLQ4MCgGgUK30vFTQ26hZUFKsQBzyUKYOuX1xMiqciJjiik5c5g=</t>
  </si>
  <si>
    <t>adFu3p530GMXTR0FWuqefCFYcTtgMkQ8dh4VJz56B4lFnuH+fG6k+zI9GTo9uNs5iOqXawIr3TazZqXdkPx8EMGGmkLtcJahQm0iIafTL2MgmBnfIJrjmb1gEVEPlQQGdkp515yDXT0wJhLBs65DP+gXAg9/Z6m4Ki+1tmFrSYZF0s5lk2T1cJAmu8WVpnQWBbJasSQRxePDfh1nO9G4Tq63jcla6IXD8xbVauWlB1R/D88MnzYup+mjRxI=</t>
  </si>
  <si>
    <t>W5g0quFpHC4BiG7mpR0lENsb7mChid5mszp3ElB4zIarHwz4IGtEFpPWDa1h3MqODXIVjDaocPixSH4FXm9tCMKFKUtrP6FhLng5BQr9F2C2HP2T7ipj3oSbCopDTCFZxqWa1KeiZhxnuIpQ/Ut3fmqZJVAdvvaIcr2oB6RbaUzsHPkAb+X64mgIKGthapZXtmgwpBVtoqHVyhAy1ip9MjO0jk0OYnPiUhOiK+8hPM4k/TF523EJIXAn/38=</t>
  </si>
  <si>
    <t>7Qux6lPeyaihbv3Fhtpbtc2c9Q6EAUA7uC1+dt7vadko7irDWvFiGDX03D2Ren34iVmYS+a7MwNLrpLKZ09KRgyxuvsme7LqYaX0c2RlsUdqBMSiu8yW/ia2B+ApoKFru2R/wNMN7rGhImXUZkPB8X7W6ftUOe3LbBtNrWJlG10kbACt1HlhM5G+NV5woLBpDIJWOODnrrl/8yFqijdpcW3ZOpBOZ2irXk3eWjkMPw4FW+24W3cXD4rm71E=</t>
  </si>
  <si>
    <t>aILGZn45Tf/EtWBbAG49f/3LomTtviXFJ1RJ35vAc9g2k3d+rgY/6lHnhRtSwtMJcXEkTF/aEeEn8s/dYLfM4vplN5KwPKYv8DKIgN0FgL1tczUwk01xXPuc/2j0ya/wyGmj1NMDrTrxpvpSjR3Unik7sinxAIJQpu6wcnvcRaaVp3eGHRhmbsegEv70rQXqlTzeydqU/+nTm/+2z++rwnFkgcw+O8stzKId4J55PcZScWP2W2rZOZGpy2Y=</t>
  </si>
  <si>
    <t>pS0IBk+YaT4Rt+LlU7acASGpp+BZ7+pb81cvEi7GMtKkn0VqE3x7SC+Ixxo7VKei0iHkdv6AgUpJYsg9Hn17jQn2e7eSKBBZyFyyn/I76Blywr0i86O/k0S+jgwZWkgvpVPvPuQFn5tafl8mSPCt0mXPURhP4T6FVyrun0L70C5hjwXVRzYFT68a7mUTsBzJhr7r3v9KG+HVwaQbQwdIwlvbkcMgAmoDGROm2P+UjDzWeEgrf2zMy0KM6Yg=</t>
  </si>
  <si>
    <t>xA0CxRK5tH2Z540wIXmU22g0Vte2EbHs+Y/xjJEwjabES0e6JTT+VAUl1ySKHQjJvhjb/fkgP6k+IFAbkjTCkEZzOlJ9mG+vaS0H+zs6dNg2h6StaBETXQupLg5zmW6hl6JMtjDS2izSL6fkbAXvi9D1X4fks5iT/CYrRP6eXpIUtFD2ZAJeKa/LS5ipqEqWMWG/q9yRx8WV02u2KK825Zvf9cUguSljgkQFYwiUQJPiuU4D8ThWwU8Yufk=</t>
  </si>
  <si>
    <t>Eav4AeOmNUbzAY/Mnh/V/yDtj5VCeZXgfvU2EgMEPoxCAVC2S7bP3VGY1Phv4H3zZryN6cEjJq+8vcPVBLlIs9WwEbNNweI+W0aLZvNaZ1o1yeNhoSx2LmedULI6zJwC+/PyMzR4dwfHIbO5/GQsz88u4uOF7epRh/LPtAS3e/82cj/q8jIerFKNbvxI6DdrWvcLFdNAMpy0r3RjAEoX5XPLABCC2QH8guax5ddEIW9ABCcnPBtbuvHTu+E=</t>
  </si>
  <si>
    <t>o42FUbrDwFXrFnqJlAukXx/oJpZfFP1G4giKCMbsrscvh0TfPJL06ExzA+l3LkRUhDZC/fA6Fc6n8IuJQcDP0uZtMvzAyn1ZbFFSXGFvExqzv+1AAB8LmTsV5LhXvmXnWwsDKjblmHI9WIp27F4rTplCg21RdDitxc6R4UqGT6EDbwIB4hHSS0iKph0zP03RelEZNNzCi4DwFqu2FGIhno3+IJIJ/t1JwCLcii0OQ/y6uPxTBT4KK2n1OEM=</t>
  </si>
  <si>
    <t>Q07KMx5qWZj5FR/HljeTiRqsNeXNo9tk8jdkEsnQHhx+EUyayh8j1GJwUN1kWDrhxvPgtlpLgNpFhiADPSNklQ83tEcWLEEZQHhloKDeiqPyTwEDoozqzPXRo/TynL636vRG/9HpJxDl+4+RPPkWhlskTnyuG3b9irKe2dcUuD5ckuZr+OV/ehQNTQygiC0T8KR5Bmn7jZDx2Wwits2SVbbpuIZLga5W+PSxtuFDzWRcldljIrfJ3T/oDkE=</t>
  </si>
  <si>
    <t>nPcrf7GB0E3Mjl9ZliHjjlUNfDt4t/nqrxAtMC01jFRcdTDmFT5TLSMUvlgroC9E2IIvmPzjn6k2H4SaUz83AOB3CpF/HQZm118VGWf4rw23ynzLdhv2CGi6B8sFSrqG4Jy4l5La5GPN+zPq8SZvRBjRZZZp10ePXMJgyANSEWpK5gsGWqmjV8lF3oAVxqU261nP7MNj633mqr8bao98oWnC/iXMvyTYp22ExjuFdaYcMqduDkYU79wcllY=</t>
  </si>
  <si>
    <t>ebiRnWiDhpT8sVRA6opOewv/cyPZCQk0WUO5eQKGjy95195JhbD9DnnEdM2XotLNDpPfza/2Kflaym9x060fSJi2aykG5tHk6Mcttl6xPz6xb/5Ul8cjiNn3icx2QlisYUSnQ+czUsH6nIkYoYhpYS9XzuqyOdVhIuTKS77+GKWfhYRqmXxl8e5wHPrCY6fTbeQIhqGQh5EdjDRAvIMG0YJfHV5fLa64p7BIbeeyiK4w3uAHcMuZk5ud0hA=</t>
  </si>
  <si>
    <t>8ZSQ+abgcp9KmyNqBnQh2VQA0czJHgh2EtSbRRj6eG3XUNLaJGKo7PGTTmkHwc8yu7Z2AM0XBjepblquYMhMVrUVXaK3TvroVFMrESl9RwQxwuTtyZMwHqIakKu8Vijbi3bR8WQgJa9Uu6p3/jTDgm8JgJziOH6KsWQYWBmjFeskuFb6ApgXV1dj3YhjoV5FmIzTwFH6eGuOFIzfkTtmUq3jYehC4qNff06Soo2sa3IPHcCnkX9QnP139Xw=</t>
  </si>
  <si>
    <t>ZIxfVs37bdy2yFBkmUX6G1pzTURwFwvEYBeRUS8wMnE3Wij4fX+H6BOiYMBFN6ws3A7XzVXwOuVfi9utrjWghB3tHxeRtG4owOEE8lgvoFblhw1LdyM+PcG1nCQB2nD0cqPiV+s/c8kzGHTk1SpRCEwTkkSOqHnJg65kN0q3QI5eXkMJ2hAclCzionBW0K1cJXRrkztdmpeDAkwOuffJUip1z8dmnpvpD5B9lTy4eeh/IxETLshEPpr/mxU=</t>
  </si>
  <si>
    <t>bDLHK61sbutsFNfgK5rDDyqrrRfNMXLnUayfT+Bckyde9vJMT+tVX+zRJO5iqv7qPvnuCypk6ifG02ot/y+e2kRPYFYBHsrB3NnJpZMwP4h5B85QKSomEOcxJ+iPdaZaRHd3TUef0PUraTDTYjtwdr61DO6Qz6qrEYhcE3bWg5OOLBP0WEIgDQaYl/uHG1dAKFbncxRTvK7jpFk0L5RX8CtF5UWaR75wXk/CcKVB8qlCA4Y4wZ5nWcVv4Ps=</t>
  </si>
  <si>
    <t>Of5pS00b99VcAY0RjkFabhtTbAchzazTSMVngPpvXPvozbuKPQNb75OKFAOKEvuBVU+4D4IYzSCu/K6NHY9ibDFHswCpAqP3WsvFMQfffOyerbvKW4hURGt5pVRArv/7doX/TllU7vjIwAdled34B+4iBAtj9xg5wNFbmNQKap6eTDi8I8tMg4tRmavKDot86wT2LbuJa13OiFrV9fCvWBA8vJcO53xvK0mEgAEZ1yb5wWWfUCt8nulFwhM=</t>
  </si>
  <si>
    <t>0usG8vNxkKstezo6zx05UM8qsST8d+A8/HkI6Ii3ByGsm8fyTUJKSolAFxgS/d12tr8BMZtCwk1TEfSAiD0H6ZC2pMr8ypqNizNVI2w5/4D/o0wzGzJYmioIhNaVdnxlwvrO/jwiTm8bIgK3jGzCUskRnSWlxsaeMSyxgGaWBdve29bwzMBff8jLgEp4NmLIl37TGuiDaOfqCqwoTrldNGZhVh1bWOavQrjyUdNTc2+eVva1YLJgT50+F4Y=</t>
  </si>
  <si>
    <t>kI5PSSn6qyf0kPngaP5NT3o6XcvpXX5QkwpxVSQY6pHrcoSIU4AvyKrMETH3swXAyuHoemkapfTqSAen7vc30hYXeV2WY7vsbIWf/P4sXSzT4y3BKPj99X+Bmy7gYH409p/11J6CsfnCWh0N9buSEp2ViJSOCYxXeR4ZIY7nSHZ5vi0J2d67cqFa8rQS2gehhLvHiw0tvxBQF3EsvZS8wQ9q7ZqHlVRk13UwHK0lxoxoK9BO5HOS63pLRgc=</t>
  </si>
  <si>
    <t>FO7jL29NkSpwEAUIRf4hufTQLyn06bFHrEyHlJ/VgXekiqr/kxPsBqmB4ZTz8YrSZ0SAt7+p4vTiuOkBTOa+ziTazP5+nroVPbpEfq/g2xiU89hZEHYa/eJ3wo8zHN1pLd43v8Mm/2QjSUahuNIvcfV5PvZDPXy5zv6VccgRqWJQi+0kDcPuPLKx+PYw9Wc3Yzh7IHK/sid2TB7c8U2e86YWaRAJmyo/2W/OqkWVXV/6Pq/8TGsElnAnNI8=</t>
  </si>
  <si>
    <t>aPu7V4ghdcUu0+Rv0E8qVxkC+RVQglewGD9P93LS6laGkYf/Z5BR8Jz43eD7XMzoaJHQQcUI+tslZ9kUqQr+k75VulXRC1LU0RKqlY8qOrTCoVTnIutsQOBTPFfHavvMmUUYm8DbHIF4a3qaQt8SO/MCSFxWfUa6NCtfTcTMmTQnKNe16q4POWwRF1qzwElbcjXGIDahqTdccledlxuGshVgN6byzXq/lz5EPNs6EBLSzwkTrJ5douWCxRc=</t>
  </si>
  <si>
    <t>NyWNoIJQZfcuXlRgK1lc5+G1Y18i17aj0yqK4sdZ/hNMWyHs/0ymIr95mcz0jH/ZKI9A4VTEyDJ8Am9Kjar1OgAGzSnxqaOIdki5T2w6ZxuwcqVNVcpSgda2w5Ovh81oh3sEJO2DiC6JOdwFw1LYiBQlVTnI8HW9Etu7BKaDfRGbaAXGjiRefwsg5B8zWFLyQ2GfIFkAg8P79S2Eo96lwvcyJamrQiZQ7s3IAPRvsMQ2UO1GO977raofvDg=</t>
  </si>
  <si>
    <t>ONHdUlyuolkb/GPBjJumkTmjFxGnRKxmvIbSey15R1OgXFZXwevcTAVrw/TlWfRqSd+B5KlfLcZd2VrfYxTjY03RJ3FIHBUdPk79AOy2SPsjML4uIEKq89zCOg/DQDolRc2yXiV3FW0ijnVyEhoRHyH/XihElt/qyNqeY9lM6vIt54e1Ay1ywSjE6ty0rOZlw1Xv2Txx8kCNpJqPx4G/dSikuTmU7NWPAm4Gg2grwPXAEywJGv+eCcLKJ5k=</t>
  </si>
  <si>
    <t>ei323tH4//HAirVN4WhMN7K2DQ3qP7SZDnJ/SIYJNJWE7Rr/f4jdKDI1YRHTSq3ZqAkq+92oMnoWbA8GRf+7tL4v2oLHx8Y397ivDBnHn8Zn9ijyynvj2ekm4dTuv7ZdU00ji0jf8/ewp1fRFDfTz6j0Qfoh8okUStQ31kwWWmnlE67YPROykWu+JEpZCgQATIh1PgQxeFS6jNsjpG4mE4bGYh7b3jSbDhbZhAJ3RHiotZ3Qkbznw53uOm0=</t>
  </si>
  <si>
    <t>5btZwyYLamRnUad6LL7mudhntqg9sTXGe/9NQQDPZhjEbTgoDLelI2sru1jtJiWihNVPuBV+9b6S3Z8wme7c3Z8wbq+g3ApeJiyNjheOeaBZgeAm57Eqy8kF4wcGRWJyJ8Ecw8CQAcTEesGJHWPsI1dMxL7llIz8AU0809d3ITc8Uxu9mCPfAqLuQ5hajohL0CWpOhy9afFejVHkZ3wSy4zONe7TfB9zw9j69grtbNMBl51YN+3O1dUs1AI=</t>
  </si>
  <si>
    <t>U9UufI1h2eypYRg+ALs0t36jjvO6EVqVXJuuyayEX9+ZzRsWP/CLPt0tImFhzZujRkPha1FN5sgbtSeNeTn0cASguTYSLlVistQMEUh1NXpyp/FP7sQ++pSbVaxIXM6hmYQJppRElhcrALuxy4BWm7tZ+37q5P3y5JNTNuSY6sxcQlo5OArYAlXLA/R3OFxJfCPjguCuVVGF3nZlQP9ukKj/01CthSS54KHVUoaWU9ypnpKD/jwmgF7/hi0=</t>
  </si>
  <si>
    <t>JDCKB6e4iDZ9hwsTqWthyyjA/i4UqYR4C3o4kMspUuhZwHsEvCszDtm7uxMPNu9lQSYAvc1HbdVntfIwtrhqYm+DiIYHYaNys3HmgYmY/FzA1EkWbpCFJ0b9PVOy4BNfqb35EkVyS95CxI46juji5iDL63zqkEnnFjlx9wXOjfuogan+zsgraIK/x5CZWcBcydI4dpLJSWaTlMUgWSKp164/9msY1IV8VcObLJKlC15zBHriY9jPIQZ4uMA=</t>
  </si>
  <si>
    <t>z0NBNzOK7PPHOjac0bomtewGQnD8v2m5sGSnpGxumxP+ARNTSCwSwPm2kBxnMW5nj3MPTRkFVwP8ktWzU3niUpbUjEQc8o7TPBd+5QOI7KH3Pv/2P3Y35q4uBcoh55S+2lRiDiAKo7DPHW3kjsSWEafQWDQBEMeumqcZw/dLPHwffu8EoxJ3WRKSYcBJWh+9vhv2j3D4Gl44XxCpFuGbPZUNByVMv9atOhxhiaSgGDFhNlXJja5eylN4xdU=</t>
  </si>
  <si>
    <t>+tXvdzGWoOFWne2X6ZJ1wIb7GALFeedb186Urf9rDFYJdGs345G0WROwuVO2D2GQDHxp1S2KkWqQp7mVjvBW++ALAz9hPBbxaKht0DPo1+VT7RIuM2tiMqaMLVT20+UmfH/B9P7D1aThXDX29hi/nLDWaLXhe9lCIgB/oF9Pb4XSH0ZY2V9BOF4jvP8rBreX6SouOwQ8KgkWYdfC5o+4otOTF9AOXz+plL5GqmPhRVXqyjxBqmr542phU0c=</t>
  </si>
  <si>
    <t>l03JHP7+ac7ThLbywftM+KZkr6cbPF8bVQ7NX3HrJgppWK5pEyaJ4KQ03LzpKZGpaoPQ1VSVF1sTNmu1C9GfEaO9IoBdGD1g6EokvcsFI+qnno6XdQDKKdXSnw0SAUDc+GvY6kIetrYpcC+59uklb+hDA4eQqSWsY5XCLv398osQmuS9I067fNn2zM+mUpPkOTiYjU2ObCuJmH+V6htHfSHe2tBQk5PFRAZdm0UZG9S9hA/izfBAmQ1nb6w=</t>
  </si>
  <si>
    <t>71lkY+fv5XywJBKma2l6vg/Ef8n6RfegAcarj8BLfTdrNe63WUZxUh8QTbCbOCXj8ZlkazxGISVBrbs1x1phEsVO2BlFtKOL9bDnk8Kx1AHOIbNBCRKKDv8WJWIT+vPIHDYhYNApSl6j/LtFi/rHcQ6nNGcoMTzC8p5HDzEs85zMijgvRfSzpCYZHfG82+rNH34RpwO0MkVuFBgZvKJ/wlh0SZlTGKYUB6ZAmi/CFhvXrgu7gvAUDxK4MQ4=</t>
  </si>
  <si>
    <t>QiNqg0LXOnSvEuG+3kJXJVdjMnI5CHRefEm7OAR4umConGhnkLpzsw+YTNwb0166VvXTRxJ0SltzAkHoE31BXAH5MdgxqchTUazgDGwgFjcbOAsWEPmgmdTjcUHtyPUakxxwhkm7vEWfOme4nUdx7ZktsPV5EHhW9AIGqEw8PZxnUh/l0jACZ3iBk1QQ07MJeRdMvCB2Ng2FZ7W0DKcLwm7wTmQ7wE7DNblxeDZacNQiDfHiUipaiPNAWgc=</t>
  </si>
  <si>
    <t>Onjfao2GcYOU3ENVhef9ssEPlR9mJS5PwD07qLZCrShxPdCs4GlOT2pDFXekeruXHjzgAeYplrrLfK0IYIy3rtjumcdGxDYrHi1FY7Xh4G9ubHtcR4w023KWfLtaT1TMj8fEspV/W39i7p8uDa6GotB9BwUFuidv/0iBX0uFIbpFTV0+EiS5rWrgG1yyvtD7BNKKKRZKomqPGkd12NSJET6PPckLPt3Rvu68SDJ0yUogoB9wnVIw7a/6C7Y=</t>
  </si>
  <si>
    <t>YnCWKCrzKbn+N5Gg8Xu+D8wl8Zl6PH4k4fMXF49nC+k8qHlGzESLw+opJhf+ftQwAnWxdKmZrfk1V4eGIsBdiU7F0PtJYMzTRKXOeLfLf2fVD5CxA820zNwZdi15DAgtw4RGojwoTvOBx0EfCqipBHf1g8DXtv1U7QK9k5tOmrYnkyMTyUxervaJTZa2P4v9Lw9NAokmLx4h+VX5bdEoqP8akNPEdjewFwUIqg4O7wTUbjqpRktopSxiP+o=</t>
  </si>
  <si>
    <t>t6z4mqbgtsgIGoxNQwT8USUtutBs0QQhUvrvITH/dYtdezdU3NJq2Og7jt4Vp2jPwwqVGOyTX5vSJQUVif9JsGixDFYTmYMqrUPZOOhVLUCibqZPyicatTCh3LawAoAkZtoNHbdNaSUdO91DjVG0txzQ0f7ri87wkAm/jXLysDwD9ZHuDjl9rtlmYPvhjqQLvYTDXuEPsc6iITc6gRzKkzjaaNOJizT/D46S/09t/WaA04WMMF3F8A36KP4=</t>
  </si>
  <si>
    <t>4/gmakI2RwLuV5VYgKqCeNPfg+e2cC4n1IntnoBD2qD1fscF8wjIiSzNaJQsLR/p8IZtyNBLZoa/M2k49vq70GdFZs9XOwX8BJMDZ5J3roSvptC6pH+SGiEXewj1apofHdSup2jimWPqAxK9W+kZhapFhJsLOOSTc2MNvwfG+vlpu2SfcpDZnsr3zZGFLFyd2EJUytBsrERfNhGB5FSwKO1+42ILkpSSXDzOibu2IaG7558aByHSKsVia6g=</t>
  </si>
  <si>
    <t>/f6wb8Fb4sZGyxglJpWagvnUgfTY4mkRG2v1xsDGes5NvwGl6wdksMPk+nhQVVap3JCVNDd/TvxiH2iF/lVnxXiHO2YYPducLhJLK/iU4WifwNX1W88Z2Xkk9BRvq8F+yVgjIcJNQ/bxY52RqNHP88nGuKFjPLEpqzNuLtA/pBuZ7kDUMM0dXRqSooRJqNWc4feIA1VHyU6vAt/KZqVpCFHw9v5Zme76cIUsv0ff5Yf5o/iNoHz69n+ltZE=</t>
  </si>
  <si>
    <t>DJl8kNMevdE0Gt3BfLBieKBJJus6hfrh2tph3Cj3jFdceetZuZ7oaFmHKOQ/DyIFdQYrUgiWbLSHGZZ1FURP4XevOm/Y3PTvoEVgSeTfpxA3f9oI3NotoCFj8mtkn7/NZjQyApND576gTJll/CI7J672nTYHLTlmaU5rRE5wLIm/MUety+fpDSa589WcjSEoxuQOUDXRoOvYqpdg9SQC1PuN8LB4Wz5ZIE7lreJZ91KAScaganIirCbIyjM=</t>
  </si>
  <si>
    <t>If2IV0+6n45rt9xB6xARAhDH1GOMpBBFyAktdlPg5htLjFdo2CoPk4NAR//0jppX5a1tmUPxcrS2Zx49G6zTHe3+iVVgxTa0CgY8pO+5ohxGhBsRF5y+tjLE7b4lf3tFBwd3k/tP4/7+GLkVq7KsfrR1mM6XTixAb1FnGdSbhUD59yWot+giYtOU7oD5RfAzVSND7K2bDDnZ0PoxfFOl8e4xPZ7CKv7vjKKtS7FxCSndYHr6sZBkMYT2zrU=</t>
  </si>
  <si>
    <t>UFbXh5lWsx3Eo18BH+gDTw62AUZqWbRMi5rcvzVAvxTjEkosGb6LMFajjyg0R8HpMU6cTFcWM5zC4xfhr/XArsvO+8BKf24xQuieVotMZ/TJ9d7UK4ANs7rAyTFzl3hfF7CvM1XSa6IiAhKKPdc/jNlaAjl0Ip/UttXGyLDHq1yAOlcsQL1TI1QtlRJ7hDpePof0twzF1KIgCxnxI54iqnUS7YHtZ59xFTWwd8aaxQVcVdABqJCyMyEBXws=</t>
  </si>
  <si>
    <t>Z3Dm3OjEjLM1oqjlU/iCX7PHyatpFb3er4n0xUa55H+CVeXt4z/zL3A5TogC4i9uRwf/rZV+Z/LcMffdhJ7DrgWhB9YlJxHEJ81RLYofTT2diOVKr57HlfKErrSA4aDAuUjInjMrcdp25NQF+BVqLNKjMKlawP9uXsymPEmICcl4Vv6fi+c828+b67o1nDIGr811s9mrNSMwTgAEP/G/KtF+BFmvhoHQj4xJzI0FV+amorYRzzEIK9i1cTk=</t>
  </si>
  <si>
    <t>riEPHoXhs97JUVMFkrw7TtS5lPvY6wQj63GPmtAc6il8659F50xRir63BEAk9BSJBau7anFRA/qUwEbR5ZJ+IK74aEtjlznDyL87u+2x3enJZ/Dn4uQT//B44ACOB4lv6arbKux5YlrXo3w81NeeqNxKg5dtynWOVb9/oRlDtStHfrdJJeAtGDr92cDnMNlfPAENaY05RslOKp8qgOqVfudt1mSRHtJaOqK3xPCQ1d5RWwtqNFCd4jePnuw=</t>
  </si>
  <si>
    <t>yAmrFwBmws2w5qGR98RGMSI5CPFv6jIQCw48IhffmoTBUNTwx5tuI+/iJdILyC2JpJ78guo9pvermviFeguJIjUyLtEHkREeNMKvLVkLLFnx8cNKLuOkHjRSJdmOPqhnaO4oQK6G16B/SHBX64DT2z8+6Bi9sOJY6kI5Bffx7+1/w97C7pQbuI9nwUBwaiFD/mZSigFvJXeYrVeIpjUNsT7m6FtoZLaFrXXGkGceKoqeOw5tgOEiHH0j/5I=</t>
  </si>
  <si>
    <t>Rucqbfe7DlwUOUzbKJ2a5tMmeRAsqw7Cmcrj4GrtHL+UUG/9+q5wzRHA/I5EKEywHgBDaa6vAkEWkQVw7+w8CdSmmFuIOZg9tZn3tSGTVVuydZLitn0vR0BqRmgrDooh15TNFnvsAGwKDpleLWrTd1E+KG0MSNv2JhmDRJIzFCPVxO67L2lmvE9rT1lvoOaHG8YFsF9OB8kF0yrkMYMYSFutm6u2Tj8UcmCB7g/M9wweUrm0OXU3t/4krA0=</t>
  </si>
  <si>
    <t>fnj9buXefqd913bT3U+0f5qRNDigkvUg43ORmAPFsS6Q05nNJBPLbpdXEW/4Us+HposdKBHTGWMLndBB/UXXklBqgWhgFcCszJFO4awMWP1wCS2yv8j1EchLhA2DTPUpQYcRwr2ZObeW2R3UeY0P4QOv6s44N1/AfmzporZu3CY/TZBdzDlpkFymTGVJXOAUT/LklCnFWT4EfQkBz23CugipdfNCeyHL8/Pj3RaDW0rMRn60WdgLThAkRLc=</t>
  </si>
  <si>
    <t>Jce5zkWMDlDw1j51ekZjUGLmns/5yVlb+5E6wfr714SsqFGSAmtSEpfzwB3PYyhiov10zN6uCoQyBOvZqY6ynAqT+1YUULJFoX4ExZksHIaZPuAy9WH+X9s3fBWrV5fjw2ymJ11MhZ18keNjwho8Umgn0FR9ysI1Bjj2Xp7wcthPxJ+xlvAZD4WUliS2FWV8yRVTF6o1yY/Of8o3V1wqlo4SkFrjswVkbqx8vrLyUD0h7PnfOZVUP7O1TzA=</t>
  </si>
  <si>
    <t>aeu6df0Vz/+yEF334w+LyIjkooUZauCBS3aPGcsdmsS98Z/bZSPJPSD0cYNkJ7VnyzOionl9KaoRz0Vg8uggGJ2wtvhe9Do5j2CddpGIZS6K/epXWa7jq6DBKMDfuf655RZqF2d0MnR+XOXCrScJYLjaLo250sciB9mR9RbqKQ4m3RlWUvDk+6scYqsM2Bu/YloZV4Z1FRmcbH5mI2MTfoJIbj5HwFJollDLnL7i8OVbTXPX0ZfezidWLEg=</t>
  </si>
  <si>
    <t>CbOj1qFQQarswagqdTlfHvyIaAJtoWUA2tgjMR8ityLnOygUpB+T8HqCkXgMvnxYnqtB8EECXlcEoFzgjb5U3l0Yi25K7O9IDiB70BMcBSa95yLYvLFLkimvq6fQTJxQVgvpUBXD2Sv1OYPQgAm+szrUAK0mJtxAok+RqDqj+4pOYauph+vzhTmrDnYEn6yqy916LmJ0Bdtskt4IJbdekp2WGUodFzHM06xFAKKb5CHBXsBo072NUe3CRdU=</t>
  </si>
  <si>
    <t>08E5w2n9vDMrMghgu0tNVmkTkAKAngHxamjngL+qVcTv53/1zw9TZgTGnZ2FozTa974dRZUTVFkinonD23fDcrwEAt/tfcRHTUVGjuN++fpFwLvEOVuydLMZsvzAETqDTYymak5CI2B5V3W51stVsYXEvKNBY5JA13T+Mp+KDYHfZUwKEAvag8Tj7t4zMQDOiE7d/lY/Yi0FRsRUbg3oWz7Okjeq7nKsriudWcklX4n49atuw9SNpFLrEdU=</t>
  </si>
  <si>
    <t>r7yBLSJK/+3TQR5Pu50zcsfJIBQUXj2cG2Nco/eL8AJOSI4zdZBHzGef9/iUP1I1gowXQi/3dlMpVIcDsxcica0Dzk8BMLpC0S7cw1vcN315twkeWTHYk/XwqWe5XvUyd+ElvsQPIwIa7KHQu7prmRBNJ6GengEpvQWt5tTw+UuI+iJDv0/AdMOvBfICabS4RmHUGSKG015Uv/rA1SJafpscywt5wNo5ze5S/4l33aI+rCeFIat/fc477v4=</t>
  </si>
  <si>
    <t>P3b1ePZFKcB+0H5+lsruzPiSh9tlezS8cVM/N2m6IzWvrMb6LNX+OR+orMcZW1u09NwrAYMoncGA62W29GyssADKoLh+KyOxvFglXhRQtFuZN9vcU39tnTVj+g2YA5cAPqdCmWm9NYzK8vs4LDoXixIiLrPeZddTkSrDcU9D4sUSb3vE4qxUXhehEqlkZwT6Hw33yVtFHemx9A/PnwrqFR3DCdLwsIRFZFIa3kqgHtucgy/xVvHw96UGFE8=</t>
  </si>
  <si>
    <t>h0nYQVigTkELDy3QEktPMpZqU9KiXjXqvIoRzmOwBLb9eCwWGk8deJf+ERvbYUiWjwemaA6GKyOWSTNK06Q6CKTAPTnmppZ+QJCtDk26yzSqDTii4pra46HJBsLmYB7kEk/6+d8VnritjoW/mAa3fK8RJAei6s10RHrjND6jgA6AkADZ9mmmo2Ky8nJpfy1cg/kRCDFWpe/hOTnKMN226qkBySY0I/7d3qk/UWDO0rG4qkjsvPytKLTlvmc=</t>
  </si>
  <si>
    <t>4kRxm/WWhw6DaVgq4NvzzFkp7oraGwZqOH99aLmrNuVEI9tRyWpOHVxhVT5JtdnCsuBmyiVWRnHJTB3eJpxg4bGII7PqbBjrMvbOeCQ9s8TApwwzUDu52d63b5RESXQwSbPjzs+6qpn7VZXbP0A9A05DYpUhdNQ8oxsaCOuSjnc+WHPwqqa4tZjPVcf7Ul7wB1dQ+DK4okf1l3MWvPiSh2Jr42cZ+II0yoYTEyhNJK8kzoKtk9vdXzEvU+g=</t>
  </si>
  <si>
    <t>vxBNua44wHDJ5fSXzMm6AAKqI3svTGFHjrc+PoCA7Y/JGbLDDZ+jCE/S3Qrt/lgpvQ4k/WYcMANi44QJf4f8BjxsQiney4UHZVYb2mj4+aNug90gECAdw8PxUdEeW9Ce4j3XBMGvr05RaQzFzfRVeODqpdSdxFAITjBDBn7FrrW2AgWxoOkNA7dIH7qz6JSD5GQMdi4hDhaaDoyPhkJN1aAKi59HWVYlIc7tPkh5v56u7Zvo1b+Q+tLt78I=</t>
  </si>
  <si>
    <t>E9VdJYjxBe4Wbfz2gKhqvfFmVPpPtw64NYyoH4Tr9ZzL94QNChLwvoiCdHBrPYfxIKtTcZP9WGRDd4gCBC9jSp5mbCAhUBHl+b4WFfbzmRdv0WUvDse3p0CfYUjjoh2elGgkfW7dluoCAHgSab4Uv5lpiGti5kwKJP9nzA05qhK2WSH1URaD851yXIfSNvgS20j10rbmcs3mB6kr8O4J7nRSz63xsdaI3BcC5zwkcPIxGxvakbOitxZNzJc=</t>
  </si>
  <si>
    <t>JUN+Y25nIjgxTzKn61URNPAQEsUhoSetby/fTwB1OxicwKlLByXQhBHUR+ayyvAooXR7yGU7qk848FKeqDLjwQRA0zrA0/xBlQCMnebRRELwyBqlmrpGTSUQknq8Ks5DE+f8yY6rcyIjTEeU9bD6/jAWk6p/Xlf+vyqAZkD6yhOxolKG/C4vVOLcaQPA65oxd/yXjBRATG2+QaRpxfAj6JUgFmEQYbt4fEAshMyPOB/yljacCSARJExirH0=</t>
  </si>
  <si>
    <t>KxKRlFPk+2uyCuA5p+Rqfn5F02hEbXRKRNMEY4KAfjmHs1Bmb0YcyS41b86fByU3ylLss2gz61GJy27IqDwgYZBxo4xO8ES7gTE85K1hcZjmyoEYaO78FmK8m9/UsUSflXRJFS6LFUYCfiMLxzkffScoiSAmA9nnUtp7tzSk/+cQtAMiiwtbAyIjhhzjbUw0kGMPhq2doL5kSvJvdIcq33OJ1WYcMW5F7OJ/CbxkEPtCXMYRikZDE1DXttQ=</t>
  </si>
  <si>
    <t>v5yUus4WxNmBWlktuHd2TFce+09Lakc6B20teIbDrfuNCg91sQkjfrYAtTx8DbR6vAMv9nsRQD13I3Gchm2vjZEK0/5mq0PBWEsuWsMSbO0jIGsfopg2poIKfSR3iRvWQ3LfyOduZdtFIFoNaxUj73nmSZ+PqmOjHKfSfxw4ueheGhjqk6MyAsmgD/j9Eq85afRC5Gc3msOjFobk5AcTacbBa0YJNc6TBKZh0WNVz5YdGflaVTazzWaroo8=</t>
  </si>
  <si>
    <t>iuLdmosjwBb1kp9n7XNGXilp0xGYCkHw4LyDI2iB4R34yv/t3eneLFWJuuFA6x/rVoVB6ycHP122fBLGzg8ZKCQ1kPOY8AWGlcNWgP9rnAQd1Cwy7yFeRj+lXIEv74lRKycqPb6SAE2RY/NHDMr1Yy8YXvE+vVPNt59+byZXcrg68pcFoPbDCTmshyh1BXby3PP0MyrK/V2T5ht6yJA1+JuL5hvs+ckV2j69MK7EOqYybkZTSgDi/MdvD0U=</t>
  </si>
  <si>
    <t>KZ9itzBFIZO3qpzPzRKWEh2t5Jp74LSEdEXt4RqSGjzTKqBfKULvVEHPSjze/h86+XByg4y9MT7ih3VkhK9SN5xco9uKtBvewshGTPGxDeDds+WF9VJsO1t3MDlZGkj8eA2z836dC+1yQqh5L5wPWjC8aTXEjoF9CxgB7XrIJrRsjdYe+YuUpnrXrQycWdtzb0oCN6NzQjIiaTx6aSAezBtQxkDfYM+iEL2ZhZlVBssknurp7W6VAHTixPM=</t>
  </si>
  <si>
    <t>itu6QWCpfPpwwLpIPBOXuLKbUC92OBynkWJ3MlBGTO8kuhEsPGcgiZrERPU4jtiS65Qqbr5cbtIaS8OZ1M4yA1KtJYxCP8wsCmbBDdUa22AYzEDnB4qst+QUJaMCQZ3n0ChcbwymkUvDTy55x/lunBwiIN2HDt5jZ+bvhQi5ChZ6qixjVWiv5MhvKCUQur3RHE5xrR811feT2XPjIA2nmCpryBoGt1hlgO6OUq9CDm5PhouQm06+0FR2cac=</t>
  </si>
  <si>
    <t>LFzAWlEAHj7L6UnVxdwDrmlocNDAqBYBOCK20FYp7SXzdkoVyvpejrC7eNQWcaIYrRuc3EGMs2aBJvYd/i/4UAkAwOViiEikFGLGeoR/jFhhex7oM57xJTObSjkL7gAZKie7Qes81mFPfHggVYlmPXQVB/G6Qeu98wzh1oBixFspbUa7S8fBLB27mdOXlNCmc4erGeXHmGRTgwiCHJk7A0m4645FiMRTLAVp4D23141d6UWZXWLc7r0ibUk=</t>
  </si>
  <si>
    <t>BEAs/IHQgT/7nexZJNcJaeMRJgHdO9LajoaZXHC8nv2P9PldJ7KJq2VL6RDq0oYFThPYvIHr8xxGSVGXiXXIrUKC58uFZx+QabwCrwaZ1HRdifj/JvjZpdsOC6srwJrjxZkZDtXG6NdqhyfrpjWAt0jnrrJ12f0Rk5fkS7iCilekh0ncXCDNvGCjsCqFmxgszqr6YQWIpkUMval6pQtnB//Exf34ZbZbWgqdUxYoBTXs/W6RxH2bfbV3Muk=</t>
  </si>
  <si>
    <t>AX5ztm8TNWCZWqJXq74EcTnjIDAYOhz0KrFfBUabHaz/1gv6BOlO9Ncfs/LjnesEXJ2NfJ9O38o4qqO7N63+lXwEnDVhbrYdfaWTszYEVLJRSmx7MAQRD0gty/kY3pR3EO0gPn51PEnLq0CVoXG+hI/aBLnDHZpIVSt6QrSya52G8qN7ljVgUhwx5etWmQhBtnyyGs4gEzoqH17uEeyF1S9+RmvJ/Nd/3G2Nnfjcd2B7dGyPQzJ1vEGxCmY=</t>
  </si>
  <si>
    <t>Pci5v2XL8U4CsHVKCzUsoAPJ0BrVikk/Chv3u7II3kcU/+LuO9BDst5ySlWy/7LlEtGcCQUYZHSF4X+xAWaubtR1rJykF46mY8r2Y0c7t8TEm2nYnedUJxMwfxWfjZkJX/W/Gd2IRXrnP7xHJSdowpSqfFDZvyz6nTPq+AkvlQPqPLdkFVrwWu65ZR3mr40al9gMjqdC0dLasVp0l4g2rXOksDbWk25F+YUc7rP43GKCmhlAGcKh+Sfgqko=</t>
  </si>
  <si>
    <t>NlryG8jMBxiZzMZFEjajJpjQI8qPqAOWYIn10CSR49Tj4St+7e1Vr4YNCCN807NvPdPEno6e5nk8rIAHvoXcvXQRWKp+PxeIkh2PmOfFP83u+bluk/JQg+GuoB9woSdPZlrQYTznUJh1fcglpWNoMd8AUGqnrLhF4QRPKkve7PFYhYBiKJPe/ZbQYzSFyZ+Xax0ET9Alj6dsWtlz+fJxPm24W2vse2eZJPglS7beS+6s65HlndCYb+hHfqE=</t>
  </si>
  <si>
    <t>72quVG08fZXAN8FnbL8Wfup0Onhg/BBIAjlX6lYj4APKbGmfdnhW5krBl9oiRICII8Au7tRMdbZfKMmADM9AaqTYuKlKwUjO+RKjYU9TCjjXWl8UiXk7BSArznevqVNs8e045+4o462S2/dJbeQ2R7oHBJcYoIpYDY65DeazJKrPBABy5K368SdU6I93a9e6S2j4uORpR4E9U+QxxswnkpLs9FE3UpH3IYzMNZfDh66dD/qOwWuBM+ewGu0=</t>
  </si>
  <si>
    <t>JIFVu/JqCV1KFMeeGJbndSjcJB67EK93n9QyaPIZIL8lxxlLlR8qDgsrR0CJ6qQXaQTbZpUWJZpj1qP8ZI2STVWgIuLU5xBJdS04yb7/9gVF09I8v219RLM8bvkyLhRmVbMLt5QX7XuBfPSnR9Rifp7a8k0vh9WcyaeQLFkMN7tLu0XZshxtFj3GIC5xqRHKIdTYGpKNqrkx9I102pjVCc3bLwx1OStEC3kry8SH2wKlsw21Erpbj8C614M=</t>
  </si>
  <si>
    <t>H1hrbPc1fGOc0+b6yHj5prpP+vyI0JyUNyrSTeg/saxvVgx1IdKC+DcYv1Ud2op2i1akJa42j/6w+4LqAAjeYTP3ONil/SxMfiqRsY/xg5gEfF85ca+XWSBcyNF164X8JcepuLlOmVBMKXU866zjexiMJVsAprQBbGdzPBN0Y6QdPlQ+eB1ry5xZNbhWpvteFBXToRWxnCIRug++rnVQONTvNUez2Jw42INDYRv9lxK+tgYB6sHTrzR0Cm8=</t>
  </si>
  <si>
    <t>zulPFC0Xx6L3vowBFBtP5OwWxheoCuP5YQ50AfLnbve0xswCywnB5KkPJDK8D/Bgx3xwsmksO0UzJw3O8//SBinCvK6hJwHszunh42SVvBrbK7ZE4BhUcZ3DW8fg/D3qs2jWwnmJxzRaWnUydhbic0ob2FAp5RRzwsqUBStqwcrNXn3+qfT/E6V+B+OPzsYMBTvPE9r0/r8vm1q3Iy3jDRfjB8hmqyA9vVthxIFfYAlGSvlmujon8qOz2Us=</t>
  </si>
  <si>
    <t>zEG6gpIXZTfD6pcls+zg7xKFc1pb8iWVhlPvpvMw827agJT56rTuGn77aE2zt7NU82LG+GFwVhvxTl2zAcrjXnoXXqXhksF74zvuLfJvmNIxXdlY74bOqDdeLEkS6ZbbnewoSCKSsZkHtLTuDJHtdg+nGQwF6rRrEZTWAbJJcM39NpWc7sjiUlxX24ZKEfTi0kghl9+0GMKlgQoT4ipyy+I8iNgz0GjkeisfliWRqtd0kPnNK0R6nZm5YaM=</t>
  </si>
  <si>
    <t>KtgkPTPOK4ZlilzKa33RMck58xXZtUHiYCH0SurdlNxYoQ/sCkibRQ015/R4NFuv0VZ/7zcN5w1BO1/vbrMiQ7orN9DzPnlffePoQ+G6EGXNwJRKPs7wKnOKGcH6rwgtEr2IYzneRKOO/9rTnjptZvJxmbw2o1xWXlW6qN+vTYPour5vI8UWiPF7ZLgWtEBAQQ6m8nNsCUAJnfXAlGtDowusI40Qi2fx13ZsfL6dQ9Vv6tPfvw5TbzrzIl0=</t>
  </si>
  <si>
    <t>yeU5/lPh2IN3Dg5RyoptSS+Yc+Zl2Y5U6iViOtbLPgPVJ6zN8lB32ftkYtM5nQy7EeScdPsBr6LwhzvprgqnJZzZB9dtSZahU32Ym8UhLxviOkzkWWRqBfrypoVZSw+eqQgLujINtFgweTRUa2w0a+Kz/6zmaheQxdX2LBAH1krz2XEclHUQLFyInY0C0ZYannHx3M6vpQHNDRQeH7YgKTSgFYk3hfrl+qih+nn7uDwkQP3F+UD+PH+g0FA=</t>
  </si>
  <si>
    <t>fFvnHqPqL1D4ZHN8Btb9c60zzMNhLqP+1FGeR0jfk2AQTzFPZy7XrM1lbX7t9wmhwqCcjG5mo8pXGpjfGFVgnd88DouRox5tdTG01LLo3sMnqGQpjU837tgUK/2N7Y9dCLb1qEgj1CDYtSEygmLCHHCG1KdI2l7bsY+zVIXZQQdsXusSdGgWVFq4kU3/S5ZzotbWDaLKpKZX4mOAe8L6vueTxpVMLtvjtYP7TDEXW9Amk2lKar0cyMQB0Lg=</t>
  </si>
  <si>
    <t>4hvzeoL3n7KSPyfYMLKqFKPLzXaB8nxFFRZG02BmulzkWgVut7Ef4r9b8w25uWnuG35wI+dyVHeq0Vj6HmXPh9eqVGLkSejEYC2WOj8tPGpDv3cRFTgm0ipnQFo5VgQtZMJgmnu8TS/figppCbs/w5mmsgUCItGPqSpM6XIUyd/y2kH7aCs8TeZubuA5+R1B8OibQpVIF+hTNZtnhJOaUrvQYT5EeUU1YqzTD9ojPfm1i934lAte24dcrdE=</t>
  </si>
  <si>
    <t>CCmG4qBN1eA03wwLnHg5kkGvsADN8hdfTDJeF4kf92PJPVlan+JGuZlF2lMkPV94Seh5ITpLAttEvX7/4aXS+z8+GVS1YIuB3kB6j9C2wCjbCdiKlmK1UYMiZ03ilvcUgoEZ9P9drkfgK3qLpfLrx8iZ87fJ64/gdQDYEpcSyto/uXcaCnSBabbPfg2jNYcXSNlmggA0k6t1iqDD6KniUcWEGELOrtnbj2A9cqNR8MrVj88warJIx48xXh8=</t>
  </si>
  <si>
    <t>67HBm0JASGgH2L9OzM0NgnCkhGfEn2r4h9x7nluxs10LIdyPvMrPEJbxvPz4aN2lrqXK7Plvm4HQySZ+rd8I2Jt4vyKBPNC7i4IL26QcwLyIbm3cCJPG5GMcoFxVkZ4QnOcw63Bf/VVeX0ojYUF1hRnOlU8KQOxkoQ8eN/BUMqhxZMOqLcbZEbiUsg98OdSol3MgHu0P/iyCfXYKWfWJ7Z9aTl06DwwhtR1aTz1l6kG8pCbdhMR6zTWJyn8=</t>
  </si>
  <si>
    <t>jpTBGN9THpwI+dHc6APq2gjnH3zftJzGfKyiWSq+T6aM8L4ocBsaoi18AcWAmE8p7c4mSZuARVIWpDTY/w0YW/LevoKsnu3rmhEnR5Y6bcBG8uFnoO39Hvjx7gEGAMsMEFZ7EZixcrammCuUZBYlbg1zLbP4SiUqyuOI5sSh86/ElLdbH+VV6CeeI2UDCbGo0XsM+U0Vdn7mQYdxhkp/mXe34yQyZtMznWJGLMkUYmfJsPdyLX4BHy+z9Zs=</t>
  </si>
  <si>
    <t>KLVaELzsu1ElpzLC91Ux8hEH5jZASey117GeabkjrapNccgjYQizoLQYP+ASlhowPgSxNrkf+VufxUGoe6UcdAa6Tm/2eHx5DffX91NYRa4sz5x+5FzPiEjKIgxEoN6Kk28kZ6A07dU4IbD9oROhT1HheIxQSoLiz95fn+EdzcE06teQI2pUI3aF65SdIPf5WkVTM91wjkZMgincTLCaEjk0VzWyObHufAnkxsdcyTLNO8ky+DsiYzmTIno=</t>
  </si>
  <si>
    <t>c+9vb/mTdjOtcUYfJZ90/l/vb4P7UxfDnMRM7nUhH0Cac3noeOlmurCSWH31znPuD32nsC/X32DCDX/jdJVrjo+/uz1+nLG1x70zkhwBRmF0Dmz/TTMWezxqScdmc0OTgMVhdp2NcHM1AnVxt/7bn6fVxxNJW2XO0vDCfzkcb/9qBgviryinYCQDzysFJbtvtkceCiUWUQ6IYCLNyi6KMIimtiKqTa943dqbLM9hwJw85grpEuXjOR8Dru8=</t>
  </si>
  <si>
    <t>+RuK2JKsE89agsvhq1zcUge5+tPKd5ZSudEgaf8TVw8wj3CrizxRO3GV+tETP8E83PQyxCcyucCP3UJWJcQVZBAyJbcUM5N+cSKX3UIrqqNgWwmMXmp05xg7XuUes7WfB4S0y7N8adaMZlcLlMx4uP5HjxOfokKsSX6Fum67d28F3gCCVoiN/8LRuXen1rCwbCm6pK1XNrsNemxYm1cpJj/vFQFZMdsUsSogaGx4hptaA6UgBjZhLYFkLh8=</t>
  </si>
  <si>
    <t>8hSlYYoPAiNsrI88ERhFaCx/r7rY8F90Hxe6c80wnAxtmgxUOs9KXzC5LsCsr/tHdNeVIbgfOHAXYpGa8onNACn+M49XMCRU6k3RihYd/MGs4tAvJaxjmWxKKpV4H0S0nVP4+CHpfC99VUDme5uA/L0w+G0H4Cj09GclEpHPpbjE5rGapNQAeKV68eM784mIA/BbzNtuVzHTFd6DkJenqvrwACCG07tv8p7ojh8euBZPHc3byUSp0DPHos4=</t>
  </si>
  <si>
    <t>UOKSJDWqUz8KaUbA3ApzyICqETb94AbbMKINTz7Q3Qn5AOhlnFgZ4f2TictClwuh8ESaOp9OsYiHogBg7XmwvWhdOe/NOOfQSq3l8L9m+YpO8iVag3E8TCLfXNNaFP4iXq+GC5xXB16ifEvIzRuYtvit1bbOy73Axr6gY3VdVSH0GwvpTLG4PQaIdgEtTmWB7WjNwlCJwannjjwfNL6kaL9lXJ/yeg4UGHrjbWWBEDo6ZF/mbl+yiCJDjk8=</t>
  </si>
  <si>
    <t>9RKC9LPFQYXsSgNoV/dUoKzdqHqT7e9tSRK4i8dZBWORm9TxusrLl0X/8No9+Zdfd8Zr2Stx56nw2CEqVv2lbxXCEJKDz8rqWDCRbBmPB8xjrm+ndQIXs1xvkcAGkSTOuIlJ//+gu2rdYCOksKzXBXBADQo1zlqfZEhjV6tpiUwJbgZdddqgIWClol4a+/ytjSjWIl8RNn79K/CJRXeS39K44EZixxYY5wbCqZQVkb22iNbC9yGEE4r8MR8=</t>
  </si>
  <si>
    <t>uIGrSBj3/LtpZcDt8OT/0xpjJBpWBIuuo8nMo9YXvzbW3vP7qz4cZjeXDkpyYyvSpgWaPQVBjDO+KtYHyjBc00rmauzLvSM2OtjCLqgX+ii0HQM1Y3ynWiVJxXPsGcrBqXDKm9o2Efb0i5DlRsfWNxwStWblVmqMv01xJRML9NznSCfLXRZID36d82QZDLHlJ3APzOJ6Xbu8iA67VSMQ3SWXzGWYuPb9CK76xHRgrGL+MTR4YWvOI2+T00k=</t>
  </si>
  <si>
    <t>6Y7ZyBAlCrEL9+34gosFdycb4BgmnqkyJEn9kj1k2/hL4n75fOKGr36bnQVfUQO6nKJMqxDtbDvBr9ytYHe92lAIh1IAJJE00DTiM2z5dFDHVTsFJLxMiX1fLOHkgc1k6NB1KH9nx0GCLMRpLlABvR05eCxMzUFkxem/EfLXd0vdsSpNUFNrdBr3QMbjUfQ5sGD4NKfTJvU+tK0Lywi+SlcXdGTIQ4UIlApypDghhj3p5zHD8JUQW1Qhdi0=</t>
  </si>
  <si>
    <t>MJx8E09OlERK9BslSc9LdrJLKteb8d0hhwILwEMBX2i0VIbOUF5/qZuvtv0KCE1x0NGM0GsJ2s2AnJMTDjQXtQwUa6xEnHd/ndMsYjQDJWS+fK4eUIS5+yWXXagRELavY17QhkioUgcNqwz3ktrsSTKJwBRxjpTvxpQiEcrdQm70p56JE96TlyjDcL1lVBvz5SmZkf+IDVyZLY2zZjLeNG1xcZPp+LOBgJiOj5wZAe5EBzaunNOagsgeUmY=</t>
  </si>
  <si>
    <t>kBQi/SN0UjyGVzrSmze+7bwjX2KnrTJZsK0jw5jPppgvx5infJyCol/euCYla6Wm3PJ97iN6fM/xajF15iYTkpYk/4XIrJsmceYqKPUGmVtVSag+vfI1cMVTZOf9j69y1JRwXcPfTN8QIG3xQ3B54MvXMMFfJ017sfz56mBYOTMC6pbscgpxMFruXUNad90CfisohBLQ1kHW6cm3TQvo4+u2ROrtuPWfWg2ofpYAaNUCqtl19Ga64PHCM40=</t>
  </si>
  <si>
    <t>vgNyqVtFzjGQGAaGGO67JO7TsONWhBrn2HhIUzON6VqsM1XsM+k13ATMl+sE7UHmWvhrm0uL5D+4A/MkGcYjuL5K3fvkuNEFAzhA5NZBgeqtzHLuaO0gnVFm3SPaOx/wtvXic+LXropN0gEGDS+IFbkSPRWbG3giGRSaQfjh/CSJycjagVHfBU3pWn3+jZNGOKTXeyunmYOnDTpD8jUz8XS/vUgbEPGPwCemMeMflGfwA1tv404OpMR5OxU=</t>
  </si>
  <si>
    <t>gQrdBRkarFr3UEmv8D94mEeq17nHW05NpOsgsNBWaHriYy3H6rIlBRQFa6/XFlYAV4DiKFj1Nq6PzzUZhOnLFCFSqfZO4f/3tp4VHQljNelJOyVOX/UVuJxeGz1Vp/HTroGdzN6707pzg6XEvjDqu9HQRBgk8Q7rUer9N/rvtBurzUBeN15DCQP/ZB1Q7w5BcQIm1khFZCbNV5E08a4NPZzwAaOh5l3jyTO1vf/b73fvaWEaDRKTUodp/y0=</t>
  </si>
  <si>
    <t>DG1Lvhx1aZK7b7+GxzJTS7qtKTblZjwT61SjmivEyGwDIvzPrS81kSQKfM0GL1wzMfRyJQ+LdJPBfz1mrQiDmYPfcvrR8qJ7Q3Ju10OWy4R3R4BXNcrpxPCJ8OMgSsf4auri/usmPqcTRtGRokOQes8Mj8IsGyVwxBmany3lP1y3+j8uzJSuXtxvfoYK1ZxB4q/bmudvX6dojj19CfuGiwaO9DZOPxX3fjAwoV2XX9Urii4n5ZZrEKwpYwY=</t>
  </si>
  <si>
    <t>8JWhQeDA5nOZtxmY7gm3WH4W/DkK/se2sQIHbcYKPMdN7ZHD8oPGq7MCOkw1U2RAbuYwyEj9ZKnnFjuURNYWlv5SLd+e+3MxjJ/msXzpwnfby6berJ2+fMCiqMltSkHDsvxyLnFv/Zm7Fnl0joaeq4gEy9+sQGgUfH8kKwQf6YzE82JNFyGglTZTuUvXxy5tdroc0aXfBHq2uWLUcVyrr/Jn9VP+So4idn+a84E+Ow3cJ3vT0MKLwASL9Mk=</t>
  </si>
  <si>
    <t>EYlL3V7x7BRnaqTHOiGYqUtR6uEse67vj9d9eP4kg8d3tnEq8PXyXTUeiCJYR3wd88YlxvcH0US9RXPkhpq8ljALMMkX+jYphS1y8H1yXF6nQ2FclhgQRvbU7OmRt4or1P2ylZ9GQQ/CyRVxH4U2iZH0dlcjzMmocb0Xy4asMZRcxNvNDWWCP77g+VC6XJI6KrWWJzat1mBgwu537hcn2Lhidbn5qS6KV9QJ/jQPQMQnLK6nd5r7uD2Miu4=</t>
  </si>
  <si>
    <t>5gHH4xGtwHjrAXbEnt5L2xA2yHMPgHdF3CsmAfnT6EsJtihp1z6/R1SBRAZR+RvqHHppyuVpF+wqd6TpdNmTB6AlhTZNQhzXA/Oz7oVV2rWoMQFgJdHscSIZUtKp3d66oqx36+oXX6iYd/yrNXonlr5uvjXbBR+HaM1d7gtfTfagmZ0BrqH1LG3Z0MBIpQxlvjYj1HsO2ysTV6tZEqZFZfFGT4XQkT4YhYFaXkDUHBsSsven6/Z0cQRgtSY=</t>
  </si>
  <si>
    <t>N+ERCsXHQ0CAy8002scAcM0C3k0Oq+ZsxUHcbZMITpQ1Lqz882ffbtlDgmM7zMz5iWkVZbNd2QjCI5J8rDEXyZTADOSDQxauN7By91XN2lEC+fT6BX10N0bMGMBIOI27EEjUdIpSjn9cNwCMPeoHHd//sFGE+7wJ7uvUQ8iOQGqK+y6qrgHv6FEbz5eZgfwmjmgRx3l1HJR4XO6sk66LE6T8uljv+oi0f3wlMJlDjK3NWhH1HQhK1sWvE4Q=</t>
  </si>
  <si>
    <t>EpoTfOV8Dh00ce1veLeD0st0OKIMW0ybyDjiXBj0c7+bxn74Zo3c2CKcOMWC6GWMyqnBG+LLjn2wthCZZqj3Hi5SMpaEojxB+vNvdg1GqCWdfpw9Apsyw2vhjCtVUkrsw8XbjJfJql4DCnD+1movYCWddzMuvcKPM8xyhWTy2fQCb93mv8/Lblmsw4RAsIyrkdhDd1z0BPde5MH0r/6Lo+Xf0Wt3weHLjEHk3lXHUHAhyDmdMA4Ww5+5/N8=</t>
  </si>
  <si>
    <t>scA0U8VWzRtvTvaYNVh7aJ9raDH/XsVbi9GXyM0cKIxit16laFqW0GEyXrrERyr2W7NJ6SVdnKN5gk849C9Cg5AVfU59Vcyjuxgz7FnTk3tQctzNxo2TPnjxY101xUG8Iw8JFcy5VfWYLhogvpPJEu5xEZqydySr3jYd2Ez3IzGMnyMBDf4aICek45DI/KPKLgiiPV7C4CPKE89d0Qi76ADlAV7422ShPoWf6Xm/4laqZx3RrpC1dqXwLSA=</t>
  </si>
  <si>
    <t>gl3AAgzdR94elaZvq0NuQSpfmO/cW9LSV4uqLJ18KvSYZr4coeQgsBLd/hE8DpDZCePMMo1B2GDyiazIemoN4u/2QX4XYypC4S+tiGKwzN4FKuxj9HUbMvY47Ybcdm6gsm6Iw5m1vmDj9o6NKgIcsTXzkh8OY6BzcC7yLJUJXgjw4JtA3EcUMtQJgZTBThTqk2QNAGIzGIcSq+fzIXGI97d6IpweejHrHxaoc4zK7dRAPIu/JTw3J+bReRA=</t>
  </si>
  <si>
    <t>bGkJ62P+ALHwnM8tev8vm3b9bHdpAlX4/+kj5FmF7gBS/FZgBC+QkgEo7EyBApHmYEQcduWO38QvZZapf4RY4T7C9OEJX6AVr1R2uO6HDme4/p31LZt0nzn8GsHYlA3D2zOR3n9hAe/SxBV2n5+gOZUsPEaIAutu4Jt0XxZgvG7eUmQ27F+G7/SguCRJBn2Nd2lEnPudubxggIYcfzsfpXewaIxzrfj7vNFbevDmahCqK3cX7/wZpXQ8ouY=</t>
  </si>
  <si>
    <t>0rSus5DRazCDghJtzrUhcNx7onO/WEIOi5t3viSo4VSm+eV81h2GZ/pKScIUlZP0ycvxXsdoLqOJkZftCu2dGy2LHbskiif2D5xjbxk/Te4PB8vek3MYQQHa+NPvIPgu7LbDY9+UWzQQtXNYo7m/GUngOcg2Ebnd96oy9oVMHB89mrZXCsoU7i53phyukNojyQ6GbYcpDLmNGmREZ7K5KcuXiLLITbxfHVtsaKftvJdtqXnL3YOKWnFsCgM=</t>
  </si>
  <si>
    <t>tWfmK7mZocg5mydQWu8sbnhU7B50bvYtMiu+N33zwWhPaSQ9mhCaXkHvsUDUYrMmSIGaFyQjaDEUv33cTcSwklWEUM0M0/GrEYKA9wCyCKCteWX11PTY8tEXnEPnahrHqsTFFxxz81Kyl80YWtH0sJSP5+QqOYPoAAUvMzirpxDWcSNe6OlQLwHuTnmbAXFodGTZgyga5qhBnpxuasmEyA+wcQEWyA0+GSTAmvgQQE/0UvJZn5wjR5fW7XQ=</t>
  </si>
  <si>
    <t>z659LA4QAAdJ2qGvDnu46MxUis9jbGoMCUFgg8+i2AqjHoUBzazy3nQXu6F05JqggnDvDDsqAgAp6/PJHwsDxYCX2OVgr5XFCO7EloBgb+EiRhWq1josG2aRwNusZqQxZ9TmB3xi7JQYfqNCn5tjsDKkETebEQnBFNZPKVxjem0DVMUgfgmyHRBnodvN1cagZFCT4t5v8Nlz3EZrvfeG2mQRSNJJPC7sGp2GqYrQKuF5kZ6xoUoYU5S055c=</t>
  </si>
  <si>
    <t>T4oZYM0ypUEsNjB2YULdomL760o0jKelzsfi0kzmSJxumKWyaQ0f3ykbSCw/4iGruTNlCbej8Ox3n/S1SmvxOKH3w8Zy6yHUn0ItRDGKWqGfYSHHV/qNozYLIsGcuAoa0fkh5nuJ300JSBf8Lo01kDJPOIt95Tu/Kt8y0SP0cGmXXmx9IC3zIbACan0mOSG6dIWw7eF0hjROz8El0BZ+5jxMzEJnhs3M9O+To0yNGrmdbkxFBpf1WaSHO3M=</t>
  </si>
  <si>
    <t>uP/WkzPKbp/sZlJ5JJhCBFgZsA9aIBl++KUboPWip47Kw2eGbpROuCEefIW0krfKYpzTljzpvwryDXs43qsw218rqln7LhAA0ZpI0g0m+pbiUm1xo8IZ1rhF3bCe06jwzKhgLmAfv2urIeFZ4Mv7UHxeNmIOMu4CBOIcwd43hG8vc9SlBk49YZ2zXr3LX/t+GbPFCId+fkD4JxzltgSzZ2S7Kn3mMQa0Ca3OYupcSKzey9+kBWH/174AoRk=</t>
  </si>
  <si>
    <t>PthiSIbumzh28GGrK5Xagh94n2zyg/rLZP5TfvsQ2Fv8OhbYt9QHr9N2sfeXfq6P05OEA2DhQW2gVMWaoUmzmXW5Rr5GjI2Tx9f48C+VGhpNIBfAltjfaq9PynWdfRNi/RpAyJDksuHrI4992WksMGclAx1oUFSIEsdeDTTbehb+8UWn0uFlILwL/YReAZiAtwv6i9W9mBLrXKSTxpc+0IoHq8quz6DbG/F5t9VRk7BU9EtSSVpahcUD2II=</t>
  </si>
  <si>
    <t>UF68eMkDi7dyi+1emtjpBjzvB9j9keA0wJdDDZeYLF1nuJGLTeygIDaSd6EGDQS5dtuLoM8mXgF/nV9+7V6WhmEssn2C2Gz2ndY9pl9UuVpdzfqSMGspuZuYC+2Ah0g/sfdjrx2xHtBUwRAuy94Tfy19aNyu6xOxOxa2dxS+hdlyb0S6Yex5N3c1FM1upTUXZYcLQ7w+K1iB/xzsVUk3V2xZEjqUUkGWzq95Qg6ui4G7dhgXhfOW6MJ/cmU=</t>
  </si>
  <si>
    <t>RpJ0UJQNQ+4hEHoxAjJqiwQ2PjWI/83TIXHTMFcfXfU3p/PFvCSxo9G7e5M8pG/o56jyYALhfUztezZ+tHkScqfO1lnn8Iz4YC71bn7G8bHVLI+V28IkIAOw8x96WA4ykb9hJchqDZesC/VcLms0sO9SfotUohCCnSuQUSHLIgHTXE0D1WycP4ATm2Asyl54g4gCNcN72vnDCy+8beffUV1yYklU8stVULBOE0a4rASDDpXGZ3Qz5Jzt5mw=</t>
  </si>
  <si>
    <t>GmUaUk+Q3T1BGwEz4jOqCGT17EtOwcXA/mQDVbvgSmnIt163TS6NlU6LGKCitwsJ0w7BxR4AuICPM36wtDxO2YO3lpJaikJNa/bpA6cs1EsWHb/PJdtgzcMKZEOhotdOZ/8zKqr12r985lHpYdEZz0C/k6dKvLbDuy8fBGAkPYjuKCquQRrvCkHI4UwNVv8t9GClKWGEAKRbnPSSJTJ4K6Bch03LiO0KwIeWIc1Xksr8QYIKY4ak3gFkBKk=</t>
  </si>
  <si>
    <t>2BKQt+CXBLxz+FAtFvWfweHrs2YzAk1XYhIyY1+35ZviYOy8dbV/MsQh2hPkE3/5vPlh/Ebk91A5M/rn0jNgvHCIMhVOeu3l414TpphtHei4hhvsp5wI7Y+1whzyHbn7AZlLqVd4Z2e0rIhyFd/5utff3lJxhadVoxY/y2Udb3xCmX0tFHgcl0a9Ty5YYa/xdcX1srHOXQsR5WoDGuHuIz9QfqZaiiDt4JPcKSvh2RqvijnbSQ63CH0onMg=</t>
  </si>
  <si>
    <t>HvjdpGkUhSrlpMpjUKgRwrgu3Zvh7Paml8qofH138muvRLRM/NhGJ32+/yn1XdB1kNXYo6fVnhQD0bNwOgSwE0jdBL/lwQJy4Wmd/iHqBPoJdMpRaLREqowNNBqyH1VyG7I4cwa3kZEltzq1spblqbNHheNhvo/CiCDYkCUX3f6R3CBsS8FbQuWWcQWNq4j/H0qlRAVSndvuq5v2fErrtLLs7TXrIxuTFp0N14lokETkHMee5OfYrhcKx2Y=</t>
  </si>
  <si>
    <t>6U1u5uyBVHlfm6xy4i7jkAalCyVjB6R+pKf2r91r/VtY8QnOtabm5JS+3n1IocXeTWJry6KM12X7SClyHCE1voDb6HJZt6axuKprr0F1XdgUto5cBU0S5qKEqSkQLHwsr+dMREZddPSnTQ0pwBlix45BzRkE2dCd5QsTbCTOHU4oyg3lM/K5GhGvOqgaogfBC8wPTP7IlYeIrQjBh9U4Ihk+LOnPTuVyvOu5G3tHca2te9chZZie6MvgHSE=</t>
  </si>
  <si>
    <t>xeQebwpAt9fYH0NC/aD0BhJHwujW2YMG5jr6ZAcLfXrYw/mLifTpJau3gwOvFmzU6Z59qrBanTaJppZTCEsveoEKafm4sp+/HltAYTlIoLS6x4sNl3qRCOEq0w8yxFklpt4BXLybgNx+yt/5ZxKBzPrShMdMICYzJqbyGvD2/Be4ZHUhzR88out1zI60MSuzcAysiriiLZEojeSXJOWkUYYhwSwfoIABhRvkTsKyiCZIY9dSpUUYa4WYOhI=</t>
  </si>
  <si>
    <t>LD48DLpMa3Um10Ht0LicJlwb0heLwaKBMz1m8sLCo1ci40z8dDkqaD8ZzwyftztGB2ZjofRffR9VEERjBuqh3njCWEZ8chp2tGiKouMhFZM1sA0xjZ/vcK+wXnWa/v6nNpXI3W5V96ZW4edqe3bp3ErEONODH6KH8KKoxnMNDkbOC6W9CQjWvXCoO/+NnezIs559tocn/rt2iFsZ90+aa/+koiZ++3jds/FtsxHXBD8u/p84Uqway7dyBIU=</t>
  </si>
  <si>
    <t>umCERgyBNt2RX84aJJ4+e74VrhGbFCh4kgN5pOei7VLT1CtBSH7WYGJWUdenoRhJ2CDvveXK8SgGai931orxbVz+WHcQ2TqJw+H8Y5XyUjkja0VoUf8QgMs0mzqzHgVfzGU3+vl7cduSukgYOpPgc2mwlSDlo8+Pq+uF0vDOty4ScdzCzVyaYIhfLES/JwCmDh+Uy1XB2x1PL9e0pPyLlHd+EEYMQ1wTXHx+yI6zlNolKMEayDejZTtD4L8=</t>
  </si>
  <si>
    <t>mh099wqyRHRe5fZsuknJobaOapntJQt3JBzUBG3bBS223YrINk7L/RK90jAdP09508wed1gSwAsmF2nQP3KyM4Bi5aCR5WQvvEAB99eZV5eGi3LS6vPJjkBwwGEf5ubNM4sD00DRBJMARI/0eHSFP7wicWl6xvu4sGgzJbQCS1pcBIWqZKWJD4/Z8KQipeY4JgQXZDyU7hoArYCYBmeMyCArDA37PSfklov4X+QWD7EEkHg9ekQQw7oTfU0=</t>
  </si>
  <si>
    <t>UZAL0Yv3CgY0azfBPBmOoTC8j+er6YWaWJ8FTDnkJ2iwf8T6jr5wYDCL0SCN74Hryijw07qjQtjgft9hyM5TxHiWKw9MsT6xJjioSzV64bipFtilCm4FX/6Q4cg15UdACakhzHqfF4G2fREHcmw+OF5G8xBjvvRFimlB+p7lzFFHNWQes2Y9IHwU7pxfa3QCl3BMGaqpxdzfX+xf8oNeQs5lo2TCA4ztabwsCSjZALcUKK7d3/Z/3e15zUA=</t>
  </si>
  <si>
    <t>eqn0UufPC/tJRn1plp97H/2QjFKHBb/xWM1La+PT/HWQyoN6OckzeBuybYHJAZQK0YVEi5Sw+Ea4qnUhB+LMX7TzsWCAiS1GEJre13zakAV58ZOyQ5ZPcv5AUFqz/1hFI+TF/YoeGC2eLhU+VOn/cUTzy5SPjRwZUYzEyeMK6e9aeL15wNHtmROmMafDyXWxXiVkA6HqNxzoynpmtK9jRwbw6kgToDPMYt/JZdt4u3KFcpX/TXh02H6v6to=</t>
  </si>
  <si>
    <t>wZ4CJVGHlVvf0cqbJ4lwo9cbCWlg+MN+oJKQ+6DTzq09MxJJ/6htl12T5IY35NTG2dlziRhWwnxLkyP7HpEXPebWieSiqi3w+IM8YRULlMS39z1x948y4v0tA3ckzm3dMlIP0yA2s24bGB2ekL+EI7K0VHaPMYGxDZdh4SepC5Jrt32+rdaUoT2qUYOo0d6VskG63NMqJ6Qkp5wfrmihpJ51svZYL5aBmcsf6sL0mFfcB4w702uPHrYCca8=</t>
  </si>
  <si>
    <t>jK7VGkJ+vUf5SxOHB8743cOI4TbohGZVBghafImU8ullZBLGLSTlMu1b5t2pXesNH0ERrCu8IJwKBCjQ8kV5wnLr+cBBe6jTvCRourHJ16+P2ktf9rc43LDSxRwVUzA9c2vNPCDW3ynKxxAIDAw1J3F9kVtFGSIJWPtvy5swGYeCesrPLF7eBSrHljbiQNLPulkdwSwNWvesEpJl8rXpHyVwJJx7EfTgxpPyVOOtKQnzwFdmZPcTKIvfV8w=</t>
  </si>
  <si>
    <t>JJiHvippKX7JsQefYvpI2qssNP0io+So/T2ILlqj136HQcGItfC5HeV88j3eP3mlUQXUK1Cta5FxKLx99J+e7nTXsdf12ZwvNOrshg6UoGoSWBvHoGtRGwIrgVvAgrFBDsi+a9hKLnueksBu0XTzkL7osM3o/Odn4LqMjwQxsVZvGLjov/3q+XMez2NWEqN/2c+JQ9iDcsKVJLc6Xs3P0taiiiQxOsFQkdEWqpi6IIFEc3B08gdIeJDnrgM=</t>
  </si>
  <si>
    <t>03pRcObqhsSrU1/9oHc6bInBejjAqQaACcQfoWmvsaXjG8mMJ3T49MHKCxx1geRfTj02HrayBi5Sw9jhGoDh/eEj9yB3brxoppQHopm+eGklsJ2x8R55cFWdgLq9tBTroN8Q/toBiGhCL79HZEXVmfxRpAuj/69QvzAXybEnLYHvt5CScR570yeYpbfN/THNQaFfSX56VmfGJWVcgQL+r1dkW1dyJiGuKibUonMVi0lAV41q14seUS0pqlk=</t>
  </si>
  <si>
    <t>VWcCjwC4GhiLY/PyxCD1hNooTwEEidoJyho8CY7AvIN8qAbSwkN4bE6l1DqZuNFHW6zf8SAh9i3VXnK+EkQ6rDgvMgZd+cQDjZM1GwQSIip/t59RYQ1kVnBvvG69I9LD00VV+j+jQ41a+Qtuq0pLT0uSCa6uGtZEMJUeT0QZG83oouQ+xXWVEZ0WQrpxDhIm+LabFMN+MsZQ/UWVkepI70bOU3Q6/N2VSJ0qWh0YAEYmfrnxh0nOmunVUZg=</t>
  </si>
  <si>
    <t>+FJDkJeRgOEa2A3YZxmrcyJ0CDlF8LnV7zMZKCqF/Qd+g09UIQ+GU5+FQobgOpjmEw8l+6Z1M2MRPjSyPscLU2A4Qs3RB5rp7HIB8CqWbFwQ7JLplteYteSYbpxdQs2ISz5QgcGXwPMWwayTKqI2pG0YR2mDnMXu9usARdhgEaYN4Lw8m5oegtfO4OM/KbplnrMAb/WtDdxXi6Bu/6vjEQsxhoLStwB7WaLA96AdFkRvvs6HqEMyrhKOhEE=</t>
  </si>
  <si>
    <t>ht78h45XSbV48zI6zAIo1utAZ93tRgX53ZsBC2nI9UQMuObrAMmoc+FTkf9/SKYe4WDGUO8qfAo5dsHxVVa3M8M9iwAA4UziupzNd53yl3cZNcpRXKldMaYdpbejDSIuLYgplZHBwu0kEZW1m7JmBfmTqMEH/iKyF/CXQz7nRlpoLKtd9E3z6XF/fV1wuQJxetTFOzROWKa57UsdaGDRbSY+Y6Q68LtSJvqZ/xg42wBVs3fgiwXFpmu4DZc=</t>
  </si>
  <si>
    <t>/eBebf2GCwzTN2C9f37tAaxkHwch8A1NABakMrBGwa+AhlV7+IHhB9g7a2Hnflgxnqy0OJPrF4f16J4FOGDMvgm67BNCUA7gmdWSw1pXfdB1/Gq3P2qn8jb8fhXsZDiCNfZV0PVNzVNlxFoFW/i77yXdFBO/e4Owe/zFIfpgHDadw64KnNePRqii1cDoTljykg8qW/MUFdwzGYko06gIrZgHh4E/pA4fQTbSnUQ52qgjBjuQNpY6f3rWh5E=</t>
  </si>
  <si>
    <t>qeJAsm0/7biHgsY1IchCQeFu7VWtc1p87BoeofmzVfMB05yF40km9X9Yf+BIMRU3Sd2u93CtkY1KYabVtJbi0GO/Fl1zf2LgMNjeJ6aF0coj9U2kwLN7VdsNsCw8dMIYXB3elYLQbOrJeF8uGGbXKwh0A+p/JAdWDpQd8hFqL1T8mwIaLQVDPds/9g1BCZe5b2UCgS5gPPPuoLCWZu+fWsvuGitnd8gsP1P7Ij8/TpCovwIUGSLTipDa4xI=</t>
  </si>
  <si>
    <t>VZ539IpSA6WWGnZarxmQ3gQPP9WRPqekABebgKwcxxadJ0WdnKoHr1TmELBtPnSYmhGaajCw4Wy22uxUmC+PNl5tJP4WZHkMX6M3J2ynk38+uE4vVaxDRI+X9K93CFwGm445TaetoKoiN7/5wfBwqtWu7qEz8sgOb+T7nrmK8LPm/8zTnki8tSQZp1D+CSN3lYdW4Hl6oBDyGb+SDfX7PuryV6YrUtDMQUS6bLiiE5sfwdH++CK71UGpGIE=</t>
  </si>
  <si>
    <t>z1oINiy6b4d//73evgUkSlI/rwIK6s80IlI1Irs5r4zTR1ZoDBHLIUREIAv8sUKG5JeLgl5a72MqUYX1n+AMGC77hwJP1wcxBQNgijr9bytlwSTUSxe+CzyAr1ikPpuxSSX9zXb6UChu9gOa/6Or9jwnAmqc9eSYH3/scyNaHQBGQt9Vv3wKnnlCnk3KXuPMZncNVkd88MfqUlQUsGin7i2qlu0biHxF267f2evBpsFoRYaO7W6R4JmI71Q=</t>
  </si>
  <si>
    <t>dfLa715sBJD4JHv0Nt/cYYuZl6qjrMuhlrhKlvzso7HBfyUS4AxYWBu6dBKUeYMgsXtZBs+57PLoKryZZBv/8hWi+fDvI2zHZp1XatqjEe/4+8vRrUWQqb/xxD7cH9uIDDCnkW758URksV2GJvAOHMTZb1z6UHtsVr64dGICH2Prs2tYkibgZhGMtzNrtR1gZdV1UxhHmDzMmRS0spR5slVqqpQ4DQKgi2sp1G2VVRFbFVMJWbzpOnfO/xY=</t>
  </si>
  <si>
    <t>Js9WK9wMbMFNJ3/Z/VV7EBzmnvFfcQzpe5vRVB2dr4yJUaASxkLjZbOdw0+EOt2+RFfKZO/jTXqPC1e6GvJQxiQdlvwZkJsOJVqG4f2F9XVDm7qBXPoNGOKDZuViQixeGaUwPnRSd7WtqgI289Zf0KKtsWpkDFxaTHFYDv7o3QyudaR+IdaFqw6oL8RwdErr/DksF9zijOxyW6g9bp4uy+IlOANwYn1uFAydXW3A6r5nBocuVxzZbbj32Lo=</t>
  </si>
  <si>
    <t>sRM0wsorLZ7zcwrrG5z55NUWl2NKvb5XksmODYPqtZXYeTHoRWMF7Jf2uvRU0uQtktrG9qNQNfTvW8CDadL5XRHN3uaEDAT665HO12BydlpOXawUx+dsriPjYISFmUqntoQh1MYMEdX0hV7/BdltjYpJzFJWClRQ15sqeDum2mRBYq2PxMZw98tbauayEWmzm1rQVQyAhrvCZwzONBFKUyaRnRtW0l+ge8eNi3EwhutRa0ta4pbPqQVNaXY=</t>
  </si>
  <si>
    <t>V8CqC/SupQu6eQvfki8XEFlHVEYSR6IZuZkkrNA8w8e5GBHRVbysdB979c2+D++/b6pM7pqFOY7Eb5+EYsXUayR5kH40dG6g1z0W5PxsHcWIC0XE87StUs2GHqLrlz0aWKRn3arWa6cJo5j9AdPLSEgIr806W5/eqGqZSXv8Uh6/eLHLlaoOtQ/tyUhQKn1QURCeWFzkufqy/9aUaIVdHthdjY24JeOCQ6MD2Z1ntnnJQGqC+WMB7mhxEi0=</t>
  </si>
  <si>
    <t>xYaP/HBDnB8KZ5XtDqfKcoV7IWZeerIXhU3vxoxIRMhvY5dk2yG3+z6+0R4gmTHY/2SVXxiTXknQABwzpWP34btXzpBoe+Hk+blefNg/hm/HQD08Lg6536RrqtytFcUz1v6HMdMctq0FB9Ru4JSnIdMY8EmI/7WaHoTM2zMsnMni7v3EexGXpZ3uD/t/OZ+KhHKrw0sZbq7JXHE4EJh5WcHFgyg8GhE5csbLvHlNWx+i9r9TMVP9JquWBes=</t>
  </si>
  <si>
    <t>8NJUT9PWsy0sCIj2rtNQSne0VGJs6iVfn90ow8tWhnlgkAcYIAwIWw1KNgYLJhyLtdjCgHTsyHOdVZnGmnjW9XEWOC8YtTZZ0/b8H9D66sw+y5gbdMZcNYgHXHMrGY0QCWAOBfdeSXHr2CFh9YB+9l5iyOnRTyFGjiePfTvuPXgaSerPhwWOO0OOVGRpqntkSpp6KsFbV+LAbztUa7GaxBggXeWDAZ9MhkDH+3FJC6gUyGEhlb+PElq0Rbw=</t>
  </si>
  <si>
    <t>Z0aTaoWXvWqbROtAogtjux4EgR8Rwdqij9YIlC59EyGeZNms7jIquNfRisMLyp0PqzzwHqq6ZLs8DTejn9qKL4ouS1nm84cHelTcni0jFvjx+8ESTvofrXhayT3VZLoBtJlwf8m16gYCaf2m+k/jXGLaIj5IiQQEY5XvVDjHKf3sk1PvuarOiX8nhpv7t3klKPzfn7BS5VzWf4wq0iDpdQaA2q3iUv+dIDDKYDZsipdNJZqYYMc3upYzp48=</t>
  </si>
  <si>
    <t>2FscQetAGunRL5YfZMClJedlteCV8Ztf5tjsWIor+Wd5KbFZBBJXpEIuBdIca6gMbVfheWdAFV/HnSjNME4vPWq+ha0S7p+3CNFfMxTHHDzvudoXLsqF0LTFMuqyOnEvIO8g8ykHy4E4LoHNLZrd96x3ykJ5kQTejAjW1AFOvoJQsjZFTzYr1uvQY59nhvsoJ0KreR0lC1oZWBjGf3yUj1JGZJjXRR8SPLj6R3mtz4PugQJ5wo9/5jInxoI=</t>
  </si>
  <si>
    <t>uyAeXkCEmxiwpwlNLMttjoqthDSZoSuXTVSFI2Q1FFODbaKjJ0I4vUpdbXIdve7bOLj/5Ar9hHMiPP2ZhW8kKsNBjde0HyCQ9jBSYOXcbM0QF+1wBs+3TIvQkVNlpN8GPl+SyXmgPH6+XytSEqBrvynj59zx5aEqvYRk9ngW0BlmyhIDR2+yS6bjtLTVDmmYFr57yjz7AUXAqYXDnYSRx9otpDRweT57/WbgOBrKxOE6U0Yl/KsDYIFt4G4=</t>
  </si>
  <si>
    <t>fBvTZkogFkfCoUHPCcDDoLYUX9f8ONjF2QBpvajI+MZJYJSbq6+YFs/wLN6kRaQyjIvnfBg0TeSse9r1/rTsvk67Kc3rM50sll5Y2HHbK2gp5KeFVGFU6EYeL2kQ31a7cz5xr75CWGDpHZtgsq6Indx2r7VDFWR0Gc9UnsXEyRcNPt8H6KlgzTRqlITaSb4epOV3mNb8Es4AUm0YBpJp7tcevKbUavDrH3PX7l9GgUbdYUlwk6woDIessGc=</t>
  </si>
  <si>
    <t>a7TXkZAtxxvfXq7KeFHcb2SE8ef0KlWrTUS3X9NRzUN7wWDb39REXy/F8PUiO5yXG/kWeLcA6zYHnCHNLvOa4qDqusY8AMHgFzqof7s6MOhh8DGTSeIxBvl/vvm5CMZ4bK1YJ21mXx9MDdj3Op8g6ErtbP9CBZnuy/fsipgilPqoywMWhjcCt6oF2AlWlv/TftuKl+uXow4OUxHgYpps8wJfK6cHOGT0/WjejCDo/1aTTP5PSfaKJ8yoZe8=</t>
  </si>
  <si>
    <t>XDPSGFUAS/egGsnEVNDegaTuZR/nAhZtOEgnDyriTpOfItgMWrm6g4lBff0dUvLdI02e44peD3cnuvhCF1k59x62CLC6pDPsBvuULQjKIbPjVHrmPmEOLgynrncX8VOh8FvkWjJyDlQheLk+p6GOL1eTa2YQRA3o6Zku/ayuBPNcO+XAnhryMoKw4G1VY1q7PX7dHXP2KRTVXUMLrg0m6aub16iY61kGZymtObv3w5yX0kGfujW4dKiDtCw=</t>
  </si>
  <si>
    <t>VTc4hxnhY/gxdyHOPR/E7JEHQDoK/OTcR4nWv9w4/vxbsixSX5vU+0k+1IjW/V1Gb3gMASlZFW2OMlJBVKko4vAW5X+bBdlXH/PhkJQwLSwKTOqlUZXpPueVcJtB4GTP0AmcggTiejwte4GYZLwtIXzxKWHk4KhkOl8UAs8qvP9yBXWuSLr7OQmCJ306VHeTjaqkTJX/+b2TjP/hXr15LCptAculBIN3O8kcFDWFUdcuO4y5ZbedbkyAHWw=</t>
  </si>
  <si>
    <t>+zaF7yJ9awp9TUTgEL8Z8TcxlGpydg6TOZZNP+oW7orTlaDggDnli6LB6NDENpgoOsFGoPwl2alP0aZkfmwBewPn+Amz0nVBL8sJ3ORshX+gkx/FzKRbPMsigWPW2ngphfPx14uqPq9yp5VF3HSAHV+aQRPOvnl+l1lq1fivkXK2gmtIRewV1Jszdyov09GSY2kQo7CBKtUeT7M1XcwBCmssTEVO3JGxxDxKp7Hwz3McPVb3sk69ZDRIHFE=</t>
  </si>
  <si>
    <t>y82COPXgiiuqwB5a8LRsOMAnF99QnpVVR/IRGn//CtR7s51BEv/PCQbLd/EuwU53IHrelA5zU1uDgz8IZO/t/i9vFZQjE+NKg1wzVoi/4RkfN5ozvYzhLdy0VidWcaihcSZcDvx/coFMttWB0DH7glM0btV6XCTsq4Fv4Gr38hqRK/iwE2xeTs2ype8yU7N32ZctkE3M2he+e2OwYydiaaGBUs1zx/ASy1ZihxFYDcVmW2705UQtcJ/C5Pg=</t>
  </si>
  <si>
    <t>BDKjENB+xCw9chNC4xoj3YAgoNBy+QgQsezd7wDDtglpfP0q/X0Qp2oDh8nrL7daFIomT81nilxOmiI4x+6HUxqMhgkF4rSYXQdTljTWCnLuHDvkzWsKTzuDM+0ZgsBdYq0vDZK8a1wMuPnY3DEkdhwTle2m4uR3fJcuVvSsgT4ECpHidcbLAO5EQTA0a97IyMQ1IxJiR18OpYiAlR9J1pC6E8rh8mv0bMi/X4jeVIu6BvrCdZzeXbb62IE=</t>
  </si>
  <si>
    <t>+lUwGUJzme0j5vv4V6vI3HLJZL6MhOrc5O9av84G14/LjNFPKAINOeJpEOGdGSq9H6NLNNZVb3+AKzJ/KtmF3N44kd7C0tHndWXXIOY6ElcGrcw0c7RZR/Dg3i9gZTF7Dn0cX56AElnT9dI5lDDBc1KqxuY9lq3z3Gh2in7ZJ1bUVHK18IIhSNIaBBz4THhDrjvy1UjbUE1np5imlmuBQ/aCYXfh/RUNAKOASFjuDUmkcR8D5D1YfAI4SUg=</t>
  </si>
  <si>
    <t>VkTLsCmkul+GHvhkfNPi/N+DB5cDhKxzPzAFZm8qjt6XFEWiEi8hcIVsU/ofytuZIqL2wHCg42cuk9mB8jj6X2OXmG2/7uubn7ITj3zCEAqezp4Z2ejrBrJV3010D4n6J3oUrPaHEelWsa65twkrI8ax5nJTRCuzqAGvJbTZIQIKzipo1j3GPfjGC15LuE9rKDNXj+EL1Ewsz2bBaQdA4nYZGg5jmPVJ5QbrZylMQCHxDd2JhB4pJiVtwuQ=</t>
  </si>
  <si>
    <t>49GLuOcW1r6gWuyZbWZkUeeBBHl/6w7hIf7rEHU6ZJZE7IYQ69s8EzcUC/9XtZcXaSDjom0Oq4m2jDjs24wb1AtCW4H7bjnLa0ci/CKDxlz8zfcV9h8b00diXKaSqK4T/c0q83Kz4p7EkTfWgZL0ywBh2T0IelH23V1if0ExBYd0jIjMtgSURTfgcU5E0d9V8qY+OfxwAJUvwOBNBYp/sRLZM+PbveWi46cRm2v1H2ZuJ6V5+9ItSVckiAM=</t>
  </si>
  <si>
    <t>bQ0dTIAFzfya/1shK2+8F8Bs9fJQqqH1qWqwYS+fS/1GXCgl1y7luUgE8WR2OqtsLl10wD7XOVuI4zLPL2EKmQzFD8q/tGULlsb+ZzqeSRtCrGPiweMSnre0LEPQETW+9h4JpVBm+V5N7jv4nOSbES28Y6/sjZO6radBL1iwthp6aC9kvdt0RXvdBfzUajVNiD/DxyhBazhzxxRwY3lttcepCTzoMiYrzqhBhwOXFI10mYet6YcHPlE7kRE=</t>
  </si>
  <si>
    <t>yTpj8XIsVFC67MxeHxI4GTRZ5sPZum4aMbRvEbBIzob/xJdFcS1oN2cCLYdaEt2Ln01O5mpBESLvHM53awxwN6ODbMI2EjfdcFcj6XnFly6X26Ygl/8luAR26RYk0EKXTHC3lCd+pO3NEMz0ZViA0VutVADw1tvdNcr/Eut6jkcnvNEDgeeEZTxUVLaoYwOgBaXmp9s70d3F70wiYMgBrBw57fry/Wkqq6F+98bMQj96d49sU9FX/24QIGs=</t>
  </si>
  <si>
    <t>Ul3YfFzc2yD4ul71c2O01nezMMEyK3/+X6CETcFJsguzVDgcohWkGfymdx6F68pMAWd5zOd1YIbHtpmKQyhjCNzSn/bPyFVfaOST5caSjxEyqFKhtNGYmr5QMJD9ChSnBF+Zh2QFINMwfSxUMMDLiwgMburEew7fDwGEQto2aoTWq/I/AlRPj+zHQhuTymlGkIkkBgt61jD50mLO48uGnxCJW9XUO3q3XHZAvcJROUE2uRffcM3R2B65dd0=</t>
  </si>
  <si>
    <t>0nUFfGTNywwIKHeIQ4pbZAQYyb3lrtv3UErySNNdmUWeJg6EPQjTfFTEYwvx85HdzGVsGG7CKXT4ZT0QczzZW54GeBTK3H7FVs+W2olUJqNL8DojgQZ6gYOYahjveLYugGKspoRvn8S2n7zw6Sb0od8moRsURF+X9nIhf7TYN4b+7lx2e5zzdR9VJ2ImiLdIPrr+Rd2Afpkpb6MxJ1O6XSyO7gMYV4Ez1eLrUQTq7iyKPAzMjIHlafm0tPw=</t>
  </si>
  <si>
    <t>6PP6QwOUG4y3pAlXXLQdGLCqasXvLBkkQPW+zxiVLd1kv3JVktNInNrwkqgpKBhrhncD78mDF1rAVLgN1g+KfHpfH8M4mLr+6VYt/vRe7Qox+T/WgHQLwQoaaK2TFJvFYRgUpVpUdTnbmu6OeSNz9GbwVj7644UetRjMrSLSLwTdXUGKmlSpNptcWDt5fQVPk8K0arn9ELk+hvosxL/beAi1VyVZXIe0ArjW0fCUetviv7z5hNT2uH1AEZE=</t>
  </si>
  <si>
    <t>vahVohAIzeIMJoZvZVRRwWil9hfmYXYUsezQ9pX1u/s850jJKhT7qFZUHtqeFdUJNSLao/WEtX1/Pnl5DpBFwsNLTVqtrd4W+Rh9g8P6jSzXjZgHB4/IkZ/qrkPS9EhyatoTNY6a1HrBClh/eh+LpAU+oszyptvYxkZmorG4lv3KgO2iZOSMeVJZEUSt9yEb4rQuMTbctlgHwYuavEPbFHtn3tO7WN/gTIgo0A8JFZ0XEoBL+E/60dB9/jU=</t>
  </si>
  <si>
    <t>VYUI9zsiyyMMX2VA3VXeJLS8OI2G/3GmMv9ySMl2isEUY7bF3z56/FU6W6YpTrTY0MTYhohtcz5tpY8+NRixDOs+uRCgL0l5d24A2BSrGpflD65j43u481sa5KUPg8vgtr/Mffv40ZF3afxki7Bw/y5H83CCB0SWzm7CRsQM36YbA2/s/WRLDSUv0yuxRVUL7NFnC5SYTblCsWFQwPeyPK+n3ce4pFq/P/enlsoho1Km1OKQOz/aDDLXEyk=</t>
  </si>
  <si>
    <t>SQKqoaakntWt7dyoizHnb1IKxyU+cgP0EUqwN+8GgE7tHYFg35qCqmoLHkNa5bZKg4A5Ya/cYAA+OuTCYiO3EEpwAkkUL6p+WrEtFj3Q3NR/HFCPNgbY92+I+5eSCG4/C9gEJnQNzBpeWOflql0JCpEVWXyyF+aKmR/O8zIgEpdD9ZLJWdlQwn0FUsO0PB7D6myFdAbtOvnPoZveAYKFiVWCFJ+T11O9dF3XlQu11IJcT0W7HptKoT//UsA=</t>
  </si>
  <si>
    <t>GsZR/NzroklWOn2L4p3J5sSZm/SuEhYFgPHsfIbMijdrR2QlwToZJt7PLzAitpSHax0d/H5rM1MffST6FkhM6Qi2q+S6GHEWkn5yJByUhu+iNrO7MZJJoLL6lAqd+FkL+XsBqiDlPE89qnCn8XlcIEb12XXuGOcIsV1Zw2fKqQomsDgPba7uzV23d5UrZLTlQjYK2slsGqauP5fWNq1ZDyrjreYvPyZhIctrEpqIydUV7WlcftcQO/EomN0=</t>
  </si>
  <si>
    <t>wnKG4CcBreImH5d/nKVHFgpafSqMWXM+bbMhx/gyQbZArJMkF6bpT4sGDVE/OiZxuvJ+DptSFk0VstIwVI/ug4oTqAd1GKKvRtc0cMUTLAPMSacoFNpkdN8aplmBHT1rcev1Fvkyfdv/H3lxcWBvHtxT42t/9mGQgon/VoDHxztoItSHhfKkZWzqXdP6oCRTNJJjR+PMfbGOC00rxZJwUvRJ0XwfuGOOsfhO2rWnbCYO3M3rlrzBga/cEfU=</t>
  </si>
  <si>
    <t>Yqc/pH1MrCth+t5tSOVwe/vKr9h24G8SEe74TC3tKyZVNY7WCA/mxTc11t4eQIFBWzbzyhVChRDi1Eun2lbG3ifiOXx8ZM2ym8D1YEj/tFejHeawXT87Mt7LZ4MMNJF98lbvHFODBlp6DxM9y7/WYO3V0iCRN8rSd/GMPJjDvJBiYTYbS2hucwqvmjvHh389sIwWXn05uwgjQNolZzN+77L9wrTqgVfdOpLtYDTpqWmZZfVedhtvuikkRlk=</t>
  </si>
  <si>
    <t>CzsSBN2vGpTxYbEOemHiCe3NMpxvh0CiEUwM6aV9KtYlb7xYTj+ef8T5cLFrIoP7R+/kiIzHgNAXtrWbe4lijilZpNBejsyJxGK2IBaCEtZlesd6Ow30+0pkTlklee42o+mZvzkNBqaLUpKQwRj+UuKgrfu3o2nr/gbceTEwOJbY36eCiUpFMP3WilsXP6qvlz0rfkFvx5EC+qNwg8EHF5DXEXo7dmbaSGGmYTocm/MF4RIUiBJgDtlokso=</t>
  </si>
  <si>
    <t>Rmh9b8khMqPMUKW05gW3mwGRozwk+bKr15PcCHpyzzG1UT9hAWpvEAhkHcb7OUz3pLZDwzpvGixTdxNP+JSJxImfTtpTZrH0sH7W4WfHs8iHErHUMailhLFqvzOIm6K6n08hWPj8DdDKLMuMD0TLoMiRSi/Jj731aOFhcPxxUl3Q9lCZsEyuyZ65v0kfBvLYOCD1LyX5+5kF3QtV6noUVH+zXHjuvGJyIrvTVgSdbjYdYB2fkrRLiFIP1wk=</t>
  </si>
  <si>
    <t>Oux/JTxO9z+N+NDNBQhulRLUiqgYwO3UhPCV/zO3Hkx6U5E13aojhh16IBwwLcSAcCZJqFuxYWdAw641AKt7rkyxpclCMCqYD7s1gRN76aOPEqZsVdBdwRUUjAdUAxM5NkAMrdQ6lDDtTmeRIML4SPAQXa+dQhPwnQQpkzwxYh/s+DqshhR3u2+LXgafDolZzNJqlXb3tt/MwIpsR/JiiX1mrKCTmuq+K/4ybQ8cJUb3EBpLfBrM4JmIwZY=</t>
  </si>
  <si>
    <t>G3bkAQcjxl6Y3m9vMdbW/5iltdbeIs5voQtQV6btY6qnV8wE+BJmr8wfa4NPKGnXQHHWSD/O0zR0V+yfPnBMr3JxVTY7iPylNCbxEHIQQzpGe6NWojoxZ8OFMM/JDZK7IihQ+EK4n/SCIChILi5h2ITmiE1YyjtT9pxJhGm2uLKDZE3a6/T4ZTX8JCvNvY7aaA06Fk5Ba7mXW3W62LgTsmpNaVF2RL246vh2pmlo7AmtsaDJib3z9+sKW0A=</t>
  </si>
  <si>
    <t>w9GyhWmo5u0p/eZ5XHwzC7Y8AFhj7NhaHvEzU/RmD5K0vfNs5SZk//cVRcwdLNdIM2qLbrwiSSGaGiL2dcYRicB+tometZA0w8pnkLW6z4/fnd4mod6nZ5uwxcRGU8xnlB6JuiKdS3kKa3JEHg4Acrd3GENtKagqL55QNOOpOjWEAJfh1nR2X2KZosaUmniD4rX540+zzrbE+udBFK012E1ib1RtQR+WI72AjMf5GQDe7nvOS7hzSt9GF28=</t>
  </si>
  <si>
    <t>c+sfB/HdPYxd8VpakRu1YNGezRdDLs936oVbFXzpSXA+vPbHMY1HYxM0yVNh5lxgUxvbi6uTZ3yo8mOQtNmmLrK8JM1KhTEN1mFA4t8WoXf77pIe7SBb5Yfhe/q1z0zVUldZJHi+XyCcfBIsm+QPzv1qmShJKgaTsgIlCmx+xKjqMCyOciUS/2eb7QBwYbQ9ZI/WQQBLNEyHPlfMoAXuUMq6pkGWXt63kK3TDwDs0LyuOpEVcf5F1iRbuS4=</t>
  </si>
  <si>
    <t>gf1Wyd0C+5+atziVcJwZBNolf3QcP+k1YJcORTXAh2FciuTONHgDfpQTBBk+ViqSMY2LRhOjyaRDwva7cmu315WsWxWcXTlGeHpy4oBRIPEkojyDLg79BrpR1Yz4WibzI8+Oluf6EPb4ut4V9pgjpZjF+IDS6MTmEn9zshEOAK6nATaMEzot9iE00DC4vCmANCO9czKYaazl1uAvuwkjnQQE8nYnIS3OaA7b8Z4sO1R5NRpc83Fj8T9blEQ=</t>
  </si>
  <si>
    <t>flNvMiERXXgzwkYM7hbGL9asA6SnL0wu0RKHDdRV+cIQ5k/ZkIQBfoyIpHRPZu5SP0J15Kh6eE7ezfzzV/kmmzk8SZ00YjI1pIl/ur6r68FB5YeZvmorF++felh5eDJB6+QQHsvz8Z5E0QiRPYPOWiF/+ymUvo84N1NQxesOwCuKZvznhezN2pREhrj/kwHI1KGZJthJQPhe2/GgJnMIZCVQugnyC38Bi8YbEmW29+4D1Vjl8wDNvkwiklk=</t>
  </si>
  <si>
    <t>n/pTfmTHljp3CpEaJa1cvnCMUG59CgV3NUDjzYIvJV0lSxMWmTC5Ph7DjB/chsPPjRnO++CDpwyicGYHQYrz7jmdcUu8tBxXQM0De6uWg3iNxtyeqrVjvqb08YV9b9StChC87RBV2q33WktHzh20775SCcp6nkMWzld/IoLAj8hg5P5PC2rxZHQ7M6Q53pnTwxMp8Ic6hZLtyDdLkvXDd7Fo3Y0lrEINqYtk7MOLRG1I+Ersgmxl+OkLn0A=</t>
  </si>
  <si>
    <t>FkeNCVsxTd9WJ+Qj7P/cIHe07w2cKLSOE1I2NC+Gp6oZFItsNxJWo23Kzs12SlipBp+cllKCBhr6lzpnqjqJV5hHDAoJlpaCxhH2w9b6kB5EQHFYv4cnJjZ4vAlPEQFBOahmZctxOEjdYfhB6eQyijWzKNY4SPC7LQx4lvSjV4079JDIsfT92jlvCsJP6/1/bpbiaLMTIcTf8a3U4Qq5Jem/N/hbpJRWQBj8FReR3cA1pCGB4fkgMnJMqF0=</t>
  </si>
  <si>
    <t>JzXavRIBkmSd/IUkdfXo4Yv62o4Fknf2Dm1iFOqgh+RpcwxXlHPiFYMWnBKevghlVDsQZMoo9IB2Q+cDs6N6345MmaDLXyiXQJ/v7eoSL6tmQ3Np0VqDcTLP6TtfiU0eJIoCGb9bMU6URnqplI+36J334u5FeIPnXYc4cDs9E5dsxrYNohySfaJz2PLAPAhP0kaAjRqggWxyXfvlDms/1zUezsQhTDuzQ78/BnA7UbHqZ9ET5xuZHi2HCjc=</t>
  </si>
  <si>
    <t>sHaTV35Nh0z5ikThacD7/9Nd70Av5c47GQ9pwB31kZ/TcV4aSPGl/Fx+gSlQ+CJEoIVesfxddB5OhQpFASVQLAKnb4IgmyFdwU4SrkndXnpPclunhaNBoajIy3ymBdn0Dig1G+nPDAyo+aPBOH2zo5EWa7xTQUTcPGcPBlbQyOww2aL7c6e284Nh/avc96qu02KCo+w9CzEE+cCcE3ynmOYx9Wzou7EaTLfkED584WNvtYHqAFONSo6p3lU=</t>
  </si>
  <si>
    <t>yujJRoaSWOY2uuQWQ1PqutMAdWWuqW2/8Tf9+1vb3mxIpCn3M70r3jOVODIXvoCTqDKvAU4fgSwcQdLOIg2bAj0N9fcdiM89iCuh0+0BK6ggiWdu7ETjemtVjKWuscZCHUii6dxskmW5OcsJAEGBkQ59YJFRf8DqUMaEZSRjjFU2jNzCBV1bDdiYIVGBGCWnXDfzw2rzR9eaVV/71e6TDLtKbPaOXQEGh4yff1ySfl952vG/4MfUOTiWnRA=</t>
  </si>
  <si>
    <t>FSe8lf4Jr5yczqTKgq6qxArs2QFqoV3pqyOYcL5j6tIpTnftCEEkIIOOdSQBl0wEaK06cSSWzvsTcfrexhj5ZTOAlDAcL/XL7BNPr8dvcpFbjZRbIm3wJgH0BzNR6TtJfl28SXEdEELLnEjK5RDLbBLxfJC4fPwo2CGoFy3mF+2gxA8QlwXm3rcSduYh8Bjnb2Ot3IB+iVR6mEQmxuci8pHPW2nqIAyEkfhOLyK4qiIiz7uu+2PdI1n8on8=</t>
  </si>
  <si>
    <t>SMFs5Zr6/s7tksz7E3xiuWWV0HkVAqgfFiDfhcn8XvAsxr4iC0mOpndH0XQBKSeTp2lsF/mL0KYDSuzIbDYumTqQuJ0EoywS8h0seqTRBzNjYS6o4dkFdm44TaH2UjQcjl2PkfjfhCQcUYX6k28aCJyREHlbeYnyRt68o11Pj7+/jG0kgsZFYKXoRggnHMoUGe2/F38/jte3KSDU9I9hDxI+/AUXyZkhDh5hIgqDdFIf39BNGq0JZGLqwYw=</t>
  </si>
  <si>
    <t>Z10lTyH08H7RA1pShvNnylh31F011KTR84nEmC0zc3vNpoeALOBUBRrr+D7AbVowQODxjw3Jxy0s9BX7u+IeZJSo+0arxlTEWT3CnPsrAwwNGzdgirK4yvPj6tWRJx5bkGYoUhIEkxg6j00CC/ICeOa+ARkHbEEqcaylJZiDIs6RscMOj5HnUkPHMEIuIUEKIVXMAw2wHbr4R2U/fwiWTN9zTsWTt5w9V3IZfnOxuA2BB7SDXHtTH2/LZpw=</t>
  </si>
  <si>
    <t>F+dZrsMpMjZ2Nb19ZV3KOIGc/9krwm2wPbS9RAMPvfH38i/HQUR/CPisPACUQu/uVD35j6EQVL9R5it67zrRtW76XPvwRTuRVjkMndNo4RsTUMbyAUSkw2A/0o0iE7XT9QroH+z18xF3ehBi003fYHAjTHSktWEZnTtXfBaZKtTrSF+cmvV5JxqREYRagm7fiKYRX/3M9jpEaD4NnPZfNW72lyq8QD5dYj/E3x9y61P01d3KIomjllq7x7s=</t>
  </si>
  <si>
    <t>fikjFJzhUAE/XQk9OGqJu6+2ajaOfNqU4R+a9HugCTzuquEpz635h/P2jM+cLBbYVmhUcSgU8vLiOwd6uLBDFUw4r55OttsSKGcYoj1IjHV6XibMY23+AmGx2zfv8+qcwNzhWsMh4tO/FV04OfcureFK7OabTil4hnWW8SFS1GEMRRs7imjLMamp45QLJhuw0gZVt6dN8/HSOoqIIbjAG1rPTqqeEYEjEUPCrso8/4w0sKUtip0F58lHgnM=</t>
  </si>
  <si>
    <t>uO8DFKbJRPW9RrDMkc0r+cGHGsrHTc7sbdYY7gZ4XFTTJReS7M0E4ebLBplrAmjaejQGMDyCAXpMa5C6DK6LCOHftsA7CmDEJqQMdKhhNqTDCRDuZ4fV29euhzg70RtWZs3VJsI7IKQ7BcJaJK6TBCJQayDIhMGn0/8e43nUI4VHhqztzqsLSxLvTv99rW4DUclFhwLOOaHT89ApAAfF8GMgmSGeggQ4XftQDuHM+GUtugwC6WI3KmOR2Lg=</t>
  </si>
  <si>
    <t>XdCf/Szly8AZeaSokQwKX9bL0NncK4UvWpbX1W90E3wm6A193RJaSIVk6sh5vKIe4FC5RRE2M6r9Et82+9hUwntSG+mmprOQWU6EPf9wSA0OuzKbRq9Ih6+3ZVWEq+UVkoORvG7JzeUcN5pD/1iCxkAYvyTRTFTWvKySEfCJhtFkGpoNxbGLFvlPwdacmrWo+f9Q+ddZF7vVBa8N4Rjkse4y6MqyyLvHqil5lKLFvT9NtIkVxivo48v3gLY=</t>
  </si>
  <si>
    <t>6sHqN+eat6Mn5BiHN1LT2pGACsek+lHHhtFwbn4D7GMQzOaMWUFdoExrlmKFk3afYUujzRWMfzPxFtDz+vgTWP1hkmcUc2ZL/52undEYkOTShBnlOFRUUEINfwNO5pEs2tpjcNZtlOfNQ5lOHyf5Dm0tjbugTZhTuIR1/6b5yzcx4sfyoFV9HBgBin9ksgA8mK1lRug07VC2nKZ7iIDsvJF1Q9rzZGve+11FUkeDJYydcF55GzpgFyfBhps=</t>
  </si>
  <si>
    <t>H1w6USP3gxVKxddQCE2i7zc4ZXm5X+Ra83mYid2wi0oEbSalqdHE/RV9BmjxlLHazXTLBF3mwD6WC27EIE4xmNk0bqe4hQKvTNBUGItxwHhjchpI5+ApLCFTSIeQxxUestVH5viCR2BxnFhloAJSgSdB7TwSqmjQJ2zD26iJaVobrpdqg99OJWnWegWjgAyCAb1916sBN6mLr6aJiO1dG+34Dmg34Wf7niOY4yLU0IeYQh7s10pJD1juGP0=</t>
  </si>
  <si>
    <t>Pi5nqDo327DZ3y1ho2eQ1ML66T8NrddarkTDCQCUcKuF3SzF73wtuivv712TIm5Frh+WWMfYZVOlsUvf+ix2Y6xzgE2jripoDAE0L9MAo3fQNvxkZX60iSb6n/vkfeBp7EQYAWxxSU+gB7b/ARTe2sIkhsp+fKNaJKLZlhnrBjIaB0wbKD8cg1hL5/dS8PrCYDbtk97y2Rp4kycj6YVKDbIryaDK9i/JBsdvPgmK/xxWzsbAf7jpskeYfyA=</t>
  </si>
  <si>
    <t>7U5BTWxLkie1SBaZO8978IrXCiIuBUmeTrTr0a5C0Q2ynA4rpMfvvyim7bmLGkhAMStU4HBz+OpHNcPGtOReR6ACWDbtOS0V1mZRoGLaw2wZwfIswkzWWVq85WMXW4w514nNZm+oWVKYeGTzsq5M9b72LqJuDhKVph8gCmyrusB3TUBI08PwRHEVfi/OtPSENxX2oDd1Y6YejEIPJzHE7iY4mGLK1OldQHegzkY774uUChnjUu/DtA1xdJw=</t>
  </si>
  <si>
    <t>Y/Y5ay1w5frSRSVvuDtZewUhh6J78mPJ2y8JxPFlIgMNhiefZSwtC3tIVkA+QpHw3XcnRMMhaYaAfHduwcVTSaCAe5xtEX5+XYELuVT2v3Hj2rOOie5JLrGBB62lC1biMaLjgvtAjlgAiplxW23tF22hl30P/6U798BstxTxH/OgcbwlKrm+sJ/2gciTXAJmMbTyW9pM/oobK3MXVpNdcuIwcqZhqSdCbUMLoJ8lzrRjcoYycMOUuJ2WrqI=</t>
  </si>
  <si>
    <t>p4zK5JAr3K9G5Cu9NgL+wxu0lOX1kltlcumFru0wCa+OhgM171PY+awov9P/9TKc1oDoTnPC4sKM+qKO+IZxYwVcYJD8sN1ZPeu3E5IssPowIv2wZl9elcQcPCb1XfEKAe1Xw6soiomEQw+CXelvZtW8F0PtXf4hJZTec3BXv+9DB5hWHAyDhgOSf0Yl1vfTLHXCN95MbWDx82PNtZodEpwenJlbHNbve58NU5ootaz9sXXQLu3JGxZen74=</t>
  </si>
  <si>
    <t>Ui3oozi2JJ7+yQDGzLL+TI+xcctMwkIteiTwDQ+lJYWyVx5GhKH4lvtOa5nRZ7Px+ZLhZLLZB4WerGCH32aLb64lJFj349dShZTrQm1AXxljOAcTCPj60MXEslv3lXyWjAI4xxAo2bujmILWLGpAAdDsZhIv8gc9giKdbbHYxLTt69+QfZp1uTL+8sjwUPrOzO1nfYKIrnw2x/kK7Qn0BazUBjMtvR9paX1ZltgN9opIcuEXXzgwpD2Pxp4=</t>
  </si>
  <si>
    <t>jN2ry/PsyMG0GiFivnHJI/vD+T5WHW+ocRe322RNV87vYGeIr18iix3mk9ItsVcEKUpYKZSgdG+/e8L6zkUV8LdNAqgGGF3WIY1oGmAfLesOat2lLKvzIfgDIbY7fM6ryx9GSp6BZzJR4lFo1Tgx3i5YpZHwJ3AnhD/pLKTlPqtCsfxb8QeoB8QYXrOstwRwLy/NjroaULs2kgACDWVK2UnIy70yIlp48RBjK4SjlcYOf+QDPdYVWNLMETA=</t>
  </si>
  <si>
    <t>9J4XSiNV22aD6ZvjO7CfxCuXGurKkZ6Ks4bIuyPffElJMxfjDSfA2lOu9ElQ0gEoz1MwzEpTVEsnja/hTRjJaLvZZ9/9qS3QOgAwJggMMPgLHnPxsyxA1cEVJm2wAB3OfWQ+F2y+Xii4MGnDbsgqweJOjbB8srOcTbQVf9T9BtmmeSihGnFHZXZa7n30hs/yBvNS2E3XjL8Nicga8RH6reIvrllmZydEFmnhgUB/0UZDSfOh+CzELu08ack=</t>
  </si>
  <si>
    <t>ilaME6MeHV4JBeCRazMSdcUMvUmO7dyim3qx0eb4eJH3lgPx8f8vzYlDIktjRese4xteAkFbObIlHUeiMUO2g96ypher1SIu0w+tWns6QEZWOTiZeHJXUBeaFoTXkqtTnIxBcZIVI0j3VnK7rdbKJOjngJ4kRAmE7BEC0+yuqHC0Awgo+d3IzTIvlhb1iLYhiOx37PfHWbWfJrhEj1XeZRMsv265HG+xeaeMfMVDVtzD7/WWAju3PfqEJ3E=</t>
  </si>
  <si>
    <t>XMnRxp0Ntpd6khRLcDHQO+vQG+LYXnqY0ZERatW0nSBA9mTTrY7lgeVavtTG72TmxeXAyZ3PNLn7Ze6baN7Y8cfn7ESlcK4zw4QZ811QFA436l7kZ+0rmb+XWdC1ZAkb/NpchyLZPkTEhP8NGAuHZIJBEZ8PWXPzOMJMynlRW/Ljju5wUKLt+5Zo7GEZ8M39zz3d5DJZtYAFAWKjMSZbBAQkkvp6Id9nkpITFHAm3ygULHw9d1AHmVOOk88=</t>
  </si>
  <si>
    <t>5ddJU4Ib2i6W2iUJmsaL6KlX9kltYijnpCLeoVtFgzR6zqSeGPQ/sOZiXQICEa5q1dMrgxT/NNu6Dt/xqQ2k5w+nkTtrVqFedAJAugblVAkPpyv8oFUYhs70WkdlEP79tIgOSsMFBLLwq+5CcvUZcl8oaLKQGoyEmC5spQ+yu+7q1++e1hdz+sI58B3EG2P2XbywqCUfi2w3iGKjDZ8W6qdRjxPxGfb68A3E7AFzwuwJ5xIdUwIElkTahz0=</t>
  </si>
  <si>
    <t>qEqLZ9K4TERFFOhU7VNHAfrILf9bIxm3JKcfxvot2IXIeuflp5x2/op1oXXkcc/RK8yA284ovKqq59DhSimvEmNT1XmBLzmDIYWcrvVTnYaHvxrI8/fisYOgzTA9uL8XM7jp9NAQ9JwwOtiWBn7kkSl2wRy90qWAxi7P25DZHUTF2Fctc+Q5BR/6em0+nvuVyEi88pLP+7+J+Rkzg39fPd1mjpmF71dQ3dHh5nhfp9NK2nHOXA9UHL0PE5w=</t>
  </si>
  <si>
    <t>QMFNeUKRvHbhAZ5zV2e45jDPmEfkY+9m0j2C3fiy2jdqx5AAXjUzQAhkz0tiPlmhNy9NrXAFuTHM3FDv3dx/OTL5X/NzDU84MBs3bIvJhF5R64JD9Yu98/pvqHmAc/AJdJyHcL3fVFDVumDJw3dBh/9E0LHoCFLam/2tzoGxT3gvQOV/hHfGgp9V8Y7G9dmomBFxuFmLi4GS6RGNZKROuYBSzeNBLwlmh16bj6pQ+16tC/f4kGvlT1RH20A=</t>
  </si>
  <si>
    <t>GAf6PMzNdm6fOkpR157YcA0ABHJKz081Jqnh6ny8X0xA81E8RXflYaw7OhAANQPOlDBtINCe9DV6H907zUOlfDds4y12VmEoI0GSAne2BxfFoBPlLLzapQN7Xx6R0bumDwGWl2oA5twetDmqiUjINv6QtuPPYTKVo4hbF9nkq83fKqJM0BXI7zwkjjMur4D2OdnlKVzWdogLu2oFaBmBSFGGlSAWWgsL1KqVYQ7k7T2ZbdhqInAIW2jtCqQ=</t>
  </si>
  <si>
    <t>/swjBwWAUnkOSIZYtdfiaujVRL3EXiFlcHSqXy0DukEp3vcJVQZ6M/FjOU34u5DnkBNJ1YxRbXEu7a6xer93BX0zK9w8yBnBhQRMvxs9WujCXhQYM+4iGwptZIwJ5Bjs3kIyaRzEyTlnUNTKdEZLe0/eaJSTiRbsHvxpHwYGdyCpAapfJ59AJW1qo3T2PhM0OqAgwviDeaGWx8I3JMw5YK7OO8efz+hJWbrIe9ftIBGxybCcd2m6EMwK5EQ=</t>
  </si>
  <si>
    <t>hKUTCtKX0B9Pu/8VG3bMa+lba7mdtk0bCYiovNZg8mN1NERWBXqpT1JQCtLfsKuv/TipOW8+XnNvYnVT3EBPuwJs2PBAPtwY//9yVq2NQL394AyoHKZGEwik8BmxBkVUHzs8LJ4/bctWyavqTljAdKZMMQwuQkfN2AO8l/E7U28H8kOg1vEjAhoc15qQ+LXG2ObcxVVIMbj7dGzFMEmwuE0qFxbZXShmlhH8+W+lhXfWttpNI9sVFxmLaYk=</t>
  </si>
  <si>
    <t>yYF2JvSLVnkCvE8rdymmaJnmIynv7AyxeXZdMQlCD/5VWUnwxpBEO8O72cfoHTeNAzLu86O7uOlGwGQLJkcrU110eQSyVJPAxzxTD+YjMojWjIa7S2/08E9KzuV83RBd2oMiL1MKW/po4mV7zklC+ELdt5RJLz4g7CfQM5NBpS3nrxmLyFzah6uP1ICwJsW6Y7w3j+2RqaSMy8OvYVvlojgqZXnqhH5oriSX6eEWSns9DYJLZ6LSvrmM114=</t>
  </si>
  <si>
    <t>ZTMfAgcrM0RpG8BPjs5KF7l8BAlA4m+L4qCuUHVTQjf9eDyCL7Zkb8O2wRpUA5Indbi8aWwElS/DMEpFRpqCNapPgkdPuxi8kQZlRqmNjwj7zQRbES3WAb0183Tv5m8RXrgH+rQ30HFBCy1Q572hOsw5K0miURIfmlyrg3/iOXpjP9QwfhiMzWF5cvV7fCcxgNehZ2rR6p+s/7M09aSksWsAF0z7yEGysIbDDHCKvga13VhhhvIDo1IyjDc=</t>
  </si>
  <si>
    <t>gTqTbYPEBq6D7qsG4yqn7wUNUC+yeP9/54157i9WKflNS4i0HpCx8wcud4ZLm2StHUfWRzVXgvQCP6QNyN3ul42eHea+7zA6dVmmJUvOQOuMHmV+qQpuVWjI5akdiuFGKibXjKP4MTBwyDNHEyyBNFWZiN7SqzSDa1kdpE/EM1YXwZ3vU6UgmoCi7SR05gtcFGYa5J+aDI6hyaXR+G+xTD4p3Q9Uziapj0Q9I62RrlzX1wJ2cB1ghQIIox0=</t>
  </si>
  <si>
    <t>Xqi8qT7rOsIuGjcBIk/V4gOrx3DUhTdN9jrPsPm/FQf2R6mmxhrs7nAWuAkwsFs9euBx0Vy0HWca/2cBNUfkzZYmCnurfQUUKZV2980yUv3O7cnqxpdt84BMQOlnd7UIy3KcTADfsvFsv0mG/dfTi05SYM6JNZAZG34shJNryRMtQPlGRU+/AkM81ecUFimb5bQA285fdJG3Us8iXn2OXljtGbZZS5gYxb2sYHXZhK4w8/gXHeFELnFaAXw=</t>
  </si>
  <si>
    <t>BmUFmmWg+52Bi6BaZ7Qn0wuDu6H/EgnEWY/V/jynnYf+61K9wU1GjcxGyZ4EaI7v0LyO1CVbtGTCI8UIXYvgpe297fnUWMSodNyi7d8oJ0XYoFup5BGp6guflcI4ymOu85YwMUhzFjnmmUS5NrZon9wj+xFCS6dnPZoPEhEPX3On/9TEDUApcZ5LSfz82eroW3aEddGYtZZT89mviWfafLAGk8EydZDtG2Do9YipCAU1YDJqzGbZs9wQUAQ=</t>
  </si>
  <si>
    <t>nV75rJxjS1/4F00lxkvMp6kZMyz91GWjyF0kJDzUBNkR2TudMA+4JPhSz27UyIkc3SWk7DFyGKPNEFZ5k7aRkXaIZiUrP4yZFTs/TWxBvjc2y7aQFxEyYjxWSFF1l6QltneKB/iTP/QVr6IbsXFZIlgptBbI60CpuyJFTuLF/sifXYWQ139UQIsomNDUfQf0IC1z4avJXAHjyMkkaI0z5pPzhMbHKqPWmZKw+drNLBv5+zukladg1Xp0r5k=</t>
  </si>
  <si>
    <t>5IE4cxLhgN8Z5rgHCscyPkDtUOBLy4y/cw5jXUwgS2bULlswyOsb4zhJtwEXrXqhJP5C35IWbXlSo3PTmAk57ec0Meg1WmhKVyPNgUdDa3nKDv0+Z7RGFA/15XKltTr7YVAODB748zSWp86ChTW/S6E+ExrnxwqAWftNDe5Zz/m04hlMU/lyfl3/WNp226dewOsg0/qrXzWTBwrAgEdqpzO3YH7yc4tPQG8F/jhICjMYuhAqDFZyWGGHHjk=</t>
  </si>
  <si>
    <t>NIyyYckizSGsofna08ZIBniuP3+ddzFMKy9ZsurFEf4qNMOxDXUnDjjWUcU+/fBCcoWc5OF21inW4NWmZjC3kkZ3vOhdoMb7x7TQ1BnrIhLCfWnIY12jlhJckUb43Ipm76z0kLvejjk4US6kfU0RPehsoZ2zgYLMFP0px0M7ecXd75+Yn9nRn+Bu22Phnufhp7UCi9DP/MG3PKWg1tTanebBe/yaxUUo6d9VGT0nI8Ii/YhPK0uhZ5PHFwY=</t>
  </si>
  <si>
    <t>eMG0Qp5EynXfn4V4FYd/M+umJKzYNIzvD0IWall7PnHHIPi8aiHoIGRAU0cBh9r7DrSwZ/2oEgnHyG2b3edfX67Pz/AqTQaO3c1Bd9Vo2n/lHpqCb9M4vp4s85Pf2OTjHqU/WjFi6ilDhlVJVMReX2PTFNtIormxsKXEVmt5t45k0zXorRPXQceZs8MC48HF7Wb8HmxXsjgLgCZcvh3dbjPPM6k1UxFeToQk85SiNMlL2Mu4ncyPa2PhbqY=</t>
  </si>
  <si>
    <t>uQ8I1VFy0tsniNFgTW3DuBICGNSL5iwMwXW1BmQjZNOoVgXR/bi4MX4Ks7Qnu3lUDQrsex92PbdnGevwEIXt0jptT0P8y4ZcLE3vxmaxw6A6H3JTpnb4jj4aWnOC0e7lxfhXstqiPw1f2HfgAqsrl/Wupcg2llLKZYlegV8tgytoNlbK7MhoYN6d4Xx6NzBQaqDAOfiOlKr988to0OyTHsa2x6NqQ1HITeAUZGYl5Zwg6r6wy4oqSRxejJI=</t>
  </si>
  <si>
    <t>E225BgTkDPucrWXWjQ/HJuBlNYfHFhSHTsdi/ML7nZ9vNnlz5iohC2utAremdPOwa0Rl+Qu2JM+urJMhFA4E96XVhmzi4sqb7++7i9me67LLO9tlPIU5saRS+mSua5AOwtUs/ZHYLYQnUWxtv8JpfroQMQCXUwQQdRldg0PfN9/zvXQnr4BoVJ1MlJ+O7EtCnL+RA/ikkQ1Yfmuu+1p0OOD0WOgYXvOi+v/rnK4UM3Hyk5rqIZyqTb/9S9c=</t>
  </si>
  <si>
    <t>lso8/cKTwRBAdO2snC4aSqs2O12tOMLQacfoaSk8HavKuzowL8PWxu7RFcBtSBIJxnnYdgyctK8lgqh1tBlPy7okbwuNLUGnHJvKgQWhIbSZGRP9y3t5xwryPweYxTeUOL98qNwZgOFOi2FnC9iGjWYzJjG1zk2UPniJBExMMIG5H7LBKuY8JTViNaXpTVnpEQdffMxhOKhq2zpMGgu80d3XSXwTZ1rw0ztUexH1kNn2e6LvvRf8PjUcDz8=</t>
  </si>
  <si>
    <t>T9HiLN6pKF1sne9kOGbjICSrfagZkboy8Q0GgVmAG45fS61Fcay/hjyjW6qqXxTeW562vUaNIUGWlyKJzCoYkVZGdQ5p9x9BUXJynnwU5MjD9vWRZS2q1VqGfo0xxFvS3PYIhaDBqrAtjYpXLWs2jyk82zNArueZmiy9Go931X+JWH8WctQDr2cB6us7BFJjehbHaCYWI2bV5aYWwr3XyOl1bqr3ZsbM/Fo3lTbVpe/IL/U/XQzfAbTb45k=</t>
  </si>
  <si>
    <t>VnXWnZdtbGBW2tgYugbHS29rUCraoqc5XfMrIm7JzFr9BtPwML28s1BESi6GRZoOchlSUbjX8BIEEoYsAg83d4J1k8LTI9FFE2nahRt4S+6TKT42/SSgEbHEnaPhVfJQzmo5+7iuMm0Sn1+3KGPMgYzevD0W+TEWS37g/CZ4koDG3arUSgu3WgFVdogXgIzzdQykWQt+hxKu92kAsBTN8Eedcor854CNyptgW5r/HTtXILbpje/Ld2he0XA=</t>
  </si>
  <si>
    <t>Ccm84Lqg1N/MoUfK/1f7G1x/EsEnR5gdo6x8+dugc0qQibu7/74pBBMQrEI3z0BsbMoqz0xP/V0sf2uGYchjmJ9GlNgtHmDwiRX4HTlWytCo8ZVQCMvPb24dfxJi3YwwGccL15DwmuCL6ve94UWNydlrHdjfrmxyVkWkwwuCTkBQGXB3uFa15s7yEe70CxNuW5LpM4o6z+kqhi7eed5OML57WUKjP04e15Kd3LaMwwtX7LIpu59sE7xYlYE=</t>
  </si>
  <si>
    <t>5TML7+anP+E6QZ46zDVW4fwnV6VmnTU+LjaCU9dxVs386uXZNgcB/TUUf4qEVqKyVcOnoKAgvB8czLlRSyB1mUXxgTEG60pftW779H5bN4iELkziiLPv/pCAIbew7rzR4K0BT1kPVvH/RSpZnn2YKZ+qUYSilBSBT62m2RwCo/LHX1yRVD04s2P3gJYDTLlZsN/FZay1i3vG283NftsoRmb8Ga1fR1cbMs9temkVZ3YHRloF43ci+He8fdw=</t>
  </si>
  <si>
    <t>ARt08qA+5jKOc9Z/UqJUyDsZKUmj9+emaHufFKKKjRN+zUcabQZqXe7yRGvbaaz9k7Yd4gqK7rrm0bnETC1hPiWtJAxJVUZmGYtRAW1dWY157dqW7E4V5t+nb6GaB3ZFvYaYrQP7JyncPyPfur46lSBgoY+ZJvEKQqIwo4e4EfYlDj0qSj8RnL19fDR8FnX6td01xfPi3kEcrL6+XTiXNxWtYaiU21LwsQS9NqwtgsSP1eLmVEYfoq7nH2s=</t>
  </si>
  <si>
    <t>M5wel23uzao+81dxBhyobqEsCnUcJUfcF0JCca58cJYjCmpiqmW92MzhenqEOBbvbbD+/BadFzZ0rjstbcPDGsM1+f0BOpkCZ8QDKfFIXJug7OYBsoYxoJNo+rFltUZ/xT8hQyPoS+UibVJEkmyObYlf3+ZSADrkD6+HKhHJR6xWUJOxB9MaNpVa7BZ1Ho5hxTjiqjbfcFYxm7UoRNeOLcEnBUHkiHJYCVCb70JrudqEvaIucF8Zl6XAeok=</t>
  </si>
  <si>
    <t>izphjdLL32xM8LCF1oZ+2jfFOopH7kjG1IqEr31BVvl2Vcv6d8RrpZitHNOclvAFqpT70Y+PJSv4feLQT+u1llSQuVnVM6SoMKVjs+8uzFm7yDV74IxXVhDq8HvLWA6rpLkD65eelfw73BMHoNwt/iZqBxsjVE1vTLIeodlv4/izNYyjaYkRPGVM+yU4GGhqG/eBP4ZE9eUwPiuNVx1HnX8LM1mAxnQhU4/HVYJtR+gAxMlzSwOOL3pejnE=</t>
  </si>
  <si>
    <t>gjqJsKwirdNTC+tQiAcE58ktJMMS2xx04SPx9vaeHimulPb6BdMs47Utci4KyqESE05XbJJINlHe4s1t4UQvH23zdhzhi8Q1TXxHyRQUnqBjgEiNuMBz/Kjijo9vgJvlGoMuH/vVGsSeCyF0UHnnvRrYFVX9891GCTUlXTWFYM74cttPm/IqnICHAivuKquGSeK0MtySfA0AWPF15VS/QqTAzn3KH6vl5McdSqwRHLV0jhN/dddTb33gViw=</t>
  </si>
  <si>
    <t>N3DXDnzmq1w4pF1XiWRl10T1lM0IZB1wRgune3YAL4j1EBub5vDp0gE14x38b43Z4m2v4Vd729IMu1oygLBJJ5kflVsr2wlvLnktspZiZiNH0TqWYjdpOZ3d1GzEY699bV7b5T4GR/NvJztFoTUXTJBBx3GmjsASO2KUycOR58XY++3rT/45Blxrgz49As4JXwDGW11IZNLJSPcOrEU243fJCyecpGm9jdxx+/OhtzVg/Yqwp82bd5G14SU=</t>
  </si>
  <si>
    <t>qIBSezYiB1Mx+9pMgkVcg4xwyaUsOWclv4QT7nuhswKu53KWf8xaJz7nlilFhvgTQ2nCht4eYuGk9dkBLzdkK+CYyoakbeZ0APZU1W+ggjtz4FJWY9yBGdh9g5+7CzpntUzKJhVeIulZq7fjiwKMLUl9vtY6ow0Ij+OIyytqxb4oNZKIsG+NeFVZI3uS6Z87Jo8FiRfCBnL+bXWdXUbgyBF2inU3qzsTSbYhvxMY2DZbX7JBylAvRo3NfFA=</t>
  </si>
  <si>
    <t>xx2uGM1Y2GMK2dwFuAYaKWqigKc6m6lio4wHHpyX1WDDnkKwPFJR0kRTrE60FlBT/naMJpnKcHz6aWiiN9Va9gKZZUUQvpBQxUz37+NnKO7Dbngkhd2uIoHsRRvCyshttw4UI9KDf9eMLci6TW+6nml8dX+wGHNf/S6Aju8ljX3fyvizYL7k8X0+FOVYHUwzR1KXzR/EH66YMEPENFDLe5v0wnq4a1u/h72NiD16IyUCa0kTp6T3KSFirwo=</t>
  </si>
  <si>
    <t>H/humoL4L86MaXMwqLeM1qBsV22Of1flP04w6OZuaIZxtPyzahAtgKxadLXYH7HuthaOoKatjBV0z8GFY8LSECz/wzS0ucaP4ypM4GUwccpzAIE9Hm/sWAmczOEJ8P9ZN/tveqdK+Z5QfjMyGvXalWUXgT5+VXmuTUK5nPRucNvpRMF0PhbU1Dtc69wDFrKqHUVX/E8csyaVPZGRiCAHVIR93EbV0i/1TKs5trsZBETIPx+mLiqyCM4GZmE=</t>
  </si>
  <si>
    <t>j+JZ/OQqr1hJhlIY8GX/SVGKOtf9MVZzMt9a3Unx1hgi9tICU8nriqhDrHVCX5jnra/h9mGV8ea9nWjqnUAn4MXFm7TegrdoJkZS5HVLI3LgPeszm+ZPIMk4pUfzfLYeZXUxwn8hK6deI2hU3RMn4XVeyd0EvFK4vpQStLJjK1jWRleo53Va0MfOOVtg3CbAsj38dEuyu4JoJbUbeoaWc0UTUyhjo/GCImlUrZLJBsYZ7UFIXf7LHRMybq8=</t>
  </si>
  <si>
    <t>MLTSPuudNBpq1XjnxklpQi4EVFRihxHFoMfpdXjJCVYcxdSAM/gnp4CZpbe6+1yQ4k+iU+hdpEpQhpqL2O0IO8/B0Fl4C+szgN/d/B5STuaEreD3tERRXxy+uTB/88Ej+F9zr6At8na7wNHO48su/vBs0joXP7frUVT09WBaau3DqtBxUmQ4eV62DRnG2XlOpO8UPGotQMQLYBG9fWrn2MOCb5dVEGwqKC8SPxKksuPtpn2D5Bu2Ya7HI1k=</t>
  </si>
  <si>
    <t>7l3ZXpzkkUoy2KPsxi8xl3YZM6BmpN/YVpvX6Qtv9RyXJjn490teL6odIKA5Otl9r8Or/4P4oHvMr0FuKC3Sx085oOm//YXiBQTUKUiJqGirQEPq7pWCRaJU3GFOHA0zogySWZVLoRgglX6ME7BwIoT9zQ8YjJM5Qi+IKmvWwPpstTW1QdmEYclZqS/tP1NsXr7nCVATRsp4507WwCdMyQNRQTSbyvfzP6kx8k9PVBZ9O6ryYDVYMdcnU5U=</t>
  </si>
  <si>
    <t>TO76I6g3huj5Wx2L0u5NAOC8IVAibIADEdToW6J/aa5S8SI0Uif0DjDMXwL7fjXkk64PNQdgKVR/snRGp+7R7WfhPlZlXR47MoBMFO7tYt07X2dK5xjv+mhfp4aQf5Awg16Q1N22X++/y7EEMM/L7b7aIJibNNU93sKxY7o97q4kKYOEYo07iKwGuJN91WdWASyMZc2FErFb7aMNfdyh8dX9uc/bGW5rVrjPLA1gO1iX20Fjiw1m8nYj9Ig=</t>
  </si>
  <si>
    <t>9n6+p59aue8PIO7BgwVn1TSDnQ7PSV3aF0MCAzccOxVA3m9NTFKoWaxJCKGC9nrcM8AhmVXuOsUIqhjYIb/JWSPkZ/o7m/u0vv5+a7SxtqZY15YojLn/1mAIOWNCPzubI2ykJCSDPE5IurXKThhubH2WCprSKg4L0rbKjKmStArAx7qTee6TubTNgxgUgN8DJ4O8IDZ86zZUtkLq7q2pdee2K43Aad1Yb0PgMJ75inWQzRPFGI3k07ZYY68=</t>
  </si>
  <si>
    <t>fClGOvsX33cwkSqdX2xm5ItflgtEtNjiYb2KEMm/5QD3Ls/saprk1teWOCi0EphfLjsT6g2/sAMhIRSvV65cXs2jhjP5QniODEwYpBA3GvAfUxi66fETIAWOLzPyr6Ka26vjGu+EBMBqgGS5JXxmcqnLGJmtv8lIBKe1CGQDU+UVTyqOIk2sBMyPeeuhY/PQ/PhJBn20q9Sd6hOnksQITQgUPnEGwZ33CWISC0Z5YaKG78vY43UFIjFTdxQ=</t>
  </si>
  <si>
    <t>CW5bZWcaeGMOMRyOWqX6QWwtUQL5Vx/4ycHdKeJnHXDZ+Vio5GOUoJyru/bY4CmgiwF4Q7iY1bGjoPUI/XHyormCDaptEwOPoV/K+C5uuxU9/rKQ+MQkLpOOHKGX2ksxNP3ddirmEAKJpS9Mm8UsS+siTbsJT6rWKEnJxYCdZxTtHCRmR+wgWRounlJRqmtrIVeDGWENdfqRY48/G7XVoE083BaizxsydTpwxStNyrBwjkflhS7LsPURDGI=</t>
  </si>
  <si>
    <t>d3ntteyZXCqr8EGMO641MM2SzwgTP6rxpPNbaNEYiB4wEZS5b7WDMpkLeF1yeiOEPa6TnQsF2WZYkaxV98gcBlIH6Vh1fG6cgSTdeaHstJC520gX9dKFbyll60Mch4IZZ1fnWVLQ4dLxGm++ElSpTkrig39hjuyyH1Os3SUdhB+c/JpsxODsETm6PH8+ilB0vcuarP8sR5tjWfLl8FCHtorEudmnwOjkD1DqDsZcDPfBnP/eOQnPwRMOMq4=</t>
  </si>
  <si>
    <t>2J034M2zPytXzQwKoo42wJQVXfreaKOjnRz8GOM+IAGVIAguhoVqVIJipM3OnfXHgX+OgkBXxi9ue/dSm7anbniXwla+lSmsV0/gKhqaHphJGj2TDvN0OMDiUv5rizE98qouf6yd7W3svcw1AxUDFH5FIKiLXSgKSh5rKCivGLHysxMnavwGwh8OqQFOn1tZqjkO11rbXBRugFT77xQQkSBPrLCx1dgdMJu1twka7ibqVAwL87+RdO5q2Nk=</t>
  </si>
  <si>
    <t>wkm97izdRZOdOr4+j83oWr2abQ5zcysDusH3bPQHGG41J/4lmCnpB68GmmGKrbDSDM9s7yGAaXmA82gekkljF5zmvf0ohEVP64OvIWJrzhrz0ZcMJDgxTJfzwG9ElE8GEPK/jBkac++UKKUhbwsK8yQv4i9X78BGlgc8G/rELvPo2zdHwTDRzfxZFairWGtVXqXCXZfXMNN9Gmd+k1vzegiQCuvfqRMumU3FRCO3/P1K8h52PSI63t1IHSY=</t>
  </si>
  <si>
    <t>dlL1xt7yFX/gPB9TnhcaB3VUYxubkZSNnDWDHrOm7IcdXVractdamA0baDE+AVfvEcul4Y2b3gcs6Bwma1bkkhdIrUXJLyqFTGAIb5WYhwxwU3lUSXnhJAsBGNUVChWLJ4rFE327zrbQmWKnLWqUwIYWKEBQJVH1cxZaiGwT+64lLQhR4FhwfycXcaTkvlE5HShrakJaCy5icV/qLyDN+uLqIiduk/n4D6nvoxnuMMxOjPkqaG7fh5n5F9Q=</t>
  </si>
  <si>
    <t>Css2FhdO29u51Vn67ybpbhVLTmr/SkJFqz0y/YCzINPahDZ42sQaethyUq4THXV/tr9ChJZCyXudo0ZSNhdCIwLJktoY+ggK5W58ESIn8qWk3kQ8XcvzOSwG3i3IAb1xWxVH1kxVPzOSYqKKEIMt7HLgiPKQfHpPREdXNcv5WzP7ZGZj5j+qp5eBxdqbQywh+iqwzd+6xKnz3WjDaM40gswK9mrPTpfEXbBhrIezKW62EOGUn/wR+wlYSz8=</t>
  </si>
  <si>
    <t>gYsTkpteJbHh+Xa/9I/KpvhCnMfSGBnBWuKQKOqX4ZUkGrXAX2HykzoIktyL4WBCTxvywBV9py2YuKSOVbxjrihFSIGSmzxqM3yhMubficmVyyCBquYnSP72rJoF4l388mIvwjfTO4jN19zeYUsVk9CNuaoiKh51YTd+b58meMJDiCd+C7GFVgwiMVo1BkTvij8RqFbMEPtawcIbOEkSuxAytTEpH0g3owwIxN+1WhH6LNagPWywFQcqSOc=</t>
  </si>
  <si>
    <t>e3UuV6OQyN4LffHvRlI/+GRsBVfjfMzl1TUcca/mKcCoPQjFaEp3LimG8kAnPGxivTF+EgVM9iBWJuNop8IzjU9Wnl3wSVV3DBubzfAJAByVW3VR6jgxi28Dj7Aza/wc4iNEq9g8nuKjxewY/rDSMh1WG5k4e115AOfkM7EDijtqsN3xvQgO4wMPZHvffMOgZFS6VP8cNx4WjuBaDLjORkJGe/ZGk+C1QgibUYriYAMGDYO/n/kbG26gFvo=</t>
  </si>
  <si>
    <t>0B7M6qfTaVGO5QxYdOiiIOe5XOZQyV8XVjt0nVQRnqr3bw0tFjuRdIbjhZcpko2pdrYevHeCBYL1vEudlzBvXXRimA2/hTanuBwmYGdbm6sjhCNDAFmQY/j8v7t3ZEBD/80zY85n6HcGxDnmYzpSpFn66a8LaPDIJ2/phA4y/xofBkJnNizz8FMCeW4NqXI+OqgWz0Q8+D4VoZYNqqFPzFETTTNcn+9I6qayrYsdqdfxkTyF1gI0ErpHwm8=</t>
  </si>
  <si>
    <t>YdPreRe8dwoteKvqUQ0IGd14Qk6c1en5sadoL0do7hoed8U64dBRB+Db8Qu7EQV6tIyxtRgebYC1c6jJ40d4WvK+ZbCPadzvXa54SaLPedkYL4XGyJduehAgCZNJ2p1q5FWDaObvrbK/dmo0Xvaq9EcnOHtt/5Vs/SxBpsdiW+eBb7sFEQConaD1Gg+S1datbwvtBhfKF98zMBPygk8P0zrAIMW2ZqwcvjlDYUsXK+VmwSNhTzPNh6NbNys=</t>
  </si>
  <si>
    <t>tlACGH1Gehtjg58idmGhI/3bttgFNHyaekQYC7MLljvgGQPg3DF226QY3afK0NUfk6UqCm9PVke2+kfNeRFNFsP1Z2UVPOkptW5oDb29jwxt66V6JL2iGcKyD0hFyUeUPmBgmvXsKILY8zVFlVxZ6aaqfZIVcvSogtPKAC4LRh6F1cDy8F14kQyU5uXuIukl+sPcqccZk/oCBMYDS21VENz0Ipi5oO2S2n0QGZiK1uDR50jLArBYnyOejms=</t>
  </si>
  <si>
    <t>l8TvzDFDKD8v+/yWAIwwSeMKQ1RubvM7dqRobQMD+umBz3rOY1c90l7Usj5G0V0b/pIevT+2tSamla0UhBjcs97YIjxifQs4wD1KAdh9fjxF6QRXaP2fz/+HTwuk2RDO5QHMzTpTzM4zaUfbf3W5twjvrbLJqdKUTDC/PfYlpXAM6PLQ5xjIjf3SJ8BBVkbwfjGDUo8Z7KyzibTCAIBizHo1lPrPtqeT80SEroCO4g1I7NINu6NWiy59rWg=</t>
  </si>
  <si>
    <t>EIMr2I9t/XnV7i39LlGohWeJUuCa2tKFj71Vd+O1fDod+SySL0GhvI+vkPHuZCipArAoiVLjXqyTc+fwwNXZNy1Hu8rzM8V/phfOlWyzLo4JY1JO3lw9W+F3IwqIDoWDVGCurkpIqGat+IHLpaSv+CJGjQAMRkOMBAGHPtTj7qCBljXMnwbSAhV0eXGCNEhUANt+rgAm2yaLbf2s9xln9SyL4gTvg6vnXYj+0WKNuh39u4B+KdvEr1WeoQY=</t>
  </si>
  <si>
    <t>leU70uFB+VLDaCBynWN7Pbu4Y2Xx7AVBcbZa6tM6iyjDgxJV+5/hSEiWzDyKJzQNMa/hn/a/Vkz/n258S7fkqnaxHA2V8SCtLksSLRRVwXLMhSs5rI+UvIfcZQ9mWmsQBZ9340fSQznenDpAPfhJoNDlzFZ9HYP4Rip3yA1QCBvYAUClj+vQ5sccs5pyEWu015crE5MmpcxkrN+gmQdjQhSHn8DIJ7+vE4H3qveWMszDllSO6Vb5H9rixlk=</t>
  </si>
  <si>
    <t>5a/HRWxyVdA7KoWZYdc9Ycnqk7sH3Wccy3OM7xv9EdkUgddeLp5btejNB+fq9Axl4LTZ4494EaH1MCaj93h4piiKwCDUhliQ+67zvtsFU8Jp2ix24AdgswO8awb43cByOqyZXQ7OKPXB0RDAIBhoRQvHuDoyUqkdfQXngOVC/AfWIKhVqYxSLH9bZPHFozsTVD610/ASD+Ts43y6EeRORsTFcsn4gul+e8mk7nQVd5OBfH08rDalszqVMeE=</t>
  </si>
  <si>
    <t>4i+D8+On+CIaT5NQUj5Bcc3liDlZmfJGa/iw368vsTiNcExYx51nrGGehhlwTpl/eY/kd9hWjEmQg7u6USXdEgU8Bm3U8HG5UC3b544HaxzYM3ir4kHZpPeYNS6iuHY2/u0UFPjeMKgPA7Aqnmg/gR0EAh42vzuL4qkELFdujyz7dmK9u3qzaOJ4ljLkhqxHGzJeUJ17hu9sSRPTjJ+Wc/VnU28p+7x8xgrRbt1tw+uyDWiBcRzfdpZ6o1o=</t>
  </si>
  <si>
    <t>fntYi3whlEzHrY4+w6zS+kNXYzhg0tRQr56i+Z+c+UeSpSckvKcDiXMHXYODOzVVMBKNTyprdnP96VckNrJRTl3FLvECh4BVnkdCzX5CjPjf51HJHzoFaaesh1u/DYUEBz8MKB600mZwgtuVQ899dUEdH7CwdqRZVpeWRXC4nwp5BDSBczJ3Fkc8PxSHSsMJ+q1+WV1XwE1do5RJXFLeBzb2IQGp5MVdNiXzCcVQ7GXnOV7eMjSXZmRIDuk=</t>
  </si>
  <si>
    <t>brAnv/FF40ZyO9JHkoI08gI3Qi6oKCTFL3bzk9ntlCrzbtgeiVJn3ds/eZbNccDAdVfNn5+o+ghRzcUKZWuE9NUN5m74hykNDLD7HCYkvSL29PvzZS144q331QGPMZD13h5g93RI2LQnUY3GzhAllJ4dqCUIn6qkcrANyIW9/2jxKkqXvXzBAv//RCaSVIo5oi9BVMEV5xaW3YrGnjexAqm92ayaJ/XIgUMh1me47SoyaTBPg+vyjs1Y8Ow=</t>
  </si>
  <si>
    <t>5LlhG1hN7SWkL3uGPZf9ProwhT9nlXLcC+9kDbMZ1kYU32GK2ST4udgSeGza2TI8gjQovbREhz5aA1mr1Zc1cyb5oY4sBd/PBalgSo+za4mDg8CDtiTcsZtnQG6SdydtzjM/6/OCEsRlg6VOUTlKHglvWf8TDRKzqJYni4HTiHV6Wnzw3WMPu4ohpnVCK/RV9wZc0A2l7OwNai1kI/68BHJuQvKcI/Rowgv3Sslb4Gv2Thiy5vlmrOcfd5Q=</t>
  </si>
  <si>
    <t>L8H+ud+jMXXJrfT72YbLbQF8l3XtdZD+O2mOibISntSEP+cSd8sF1qhaZU9FY6AiV2TlsRN2fbnd3SAUzUZL2FQLLTthydLg1WlTsnpfLS5B5pKfLOjUKiCj9KG971au8fQhSlUKlXwYq8Kj/zLbmx9AkWjgwZizzzb1ZpHiZDbrvqtoHsgajtXrswtAxQ9vlGD7WkoVgbD+OV4EJhZtr1R4pTP72p4FyNlJGNfC3F5O3JFNimLk6vUU3DM=</t>
  </si>
  <si>
    <t>XrQlUpaOfEdmYELayPFY9XPFt3eY5qzBMaRWirKwbfgVFdQ77Ddwc3v1WjEkYEc9oC8iDMKa5/4i3ZtGlVL4byn8ipygs//AdKG/uXNwoBwn89ke2rFoIgOARfpWr4SlT8SKtE74jwVRUy+9bJqd0CHdulODMMqJiHYT2/6boxp+hxC8pZzWecuUwiZmvD2BTNn0tFuCv1VzTuHtlxZye63JKAy/OcWyka8aFX1TtboFmTyu7EmRwQ/rznc=</t>
  </si>
  <si>
    <t>6Z+Rm2tyzBoXskd63cgp1vS3ewjb7mdCYrlScsJDBrslfAkhJgOI6eZG9RLfX4TUql/q1/cT22VQpcQXDplvWOwDwjkzCC4NI6uXIO/LV1DU8AwGMc+rqTWyypgTM/gSqJv5NMqjTzrSFUn0JiPEos7CQilupQ4dfMEblJCJV9mX0F+KZ3hk+IiTtJy+PoLmrx60ovdVLBySGRRzWyYtA117JtaaB6kcoRERE1B3kMgRax7Pped9XvCvPYs=</t>
  </si>
  <si>
    <t>s/GcTYnfMtR4eaqUQGZELSI9kP+ty87qQUvZSx5sU44jbwn6VVQYM/NImLutizJJNxr9Z0tNmCuOHj4vmSemecSacpFh7zqC4Vz/z/nC5u2Puyc5QnVit+Tt9A3Fy084Ym+umdCCEZ3/lAt35id9KY1aHXeGV0Mqt9psrbG5uIiqPvYqSSLsTiAQwaSQeeL0cEPNNj09Wf1hXQUzcdnDW4XJMEy+xx/tP8AXonMswb/+FI9NkbZtPe7CN8A=</t>
  </si>
  <si>
    <t>Lx1u9ji7Z2iGlQR3BdlHCQrLFRppHogVHI7T0OG/aWaddRiI7BZiuYIMpMnn29dAkLcQQte4Y3dxkXsw1nRLc+x7vimQojI3i+urV333FWlW6E/a01HNA316bJPgKof5oxd40VJb0dqsLY//rN3J1bw5++rInX1hs/Vs6CvrJaix0TcBjhK7n2wAe/wZFeXaUNFxXuvk/tuebOnqTM9DgWBfc9t8BqA1Ilggi7LmVeDkYq/MESAeAU5ssKU=</t>
  </si>
  <si>
    <t>yVKhkvJs8QtBHLflDiYsqa/EAJRD8o7ORB9DLWSYxxJALW45PLSYufOnr2vR2ZArBMaHvqvjPc+tzhijP7avDRCMfFNPdEcNuzXT7IyHpXpulP6V/bDDMtYrOn4oA8H7Xj4ufAl+9TtEIkONcwVHegD5HGKWMKk7k7hVeMx/RRsnNvoDc97UkrIKwkCNPNv7Yp7yTFg0Fp0+/9XQMbIPVnoH7TFWOiybv4pj7cyweP5WXex5JoB0EoS3RIo=</t>
  </si>
  <si>
    <t>L+rPpvLqyfWBsF2mWLy1sXHGi7uLMdIPMin8tS/UTvVNkgKFwkHbwFPPtasQCEWJ6B1nvnaYy6cT4yEgBT5x0+Ax+qK4qklk3IKspYHW8WUwd8o5kZ4JekfzT3XaLf2TFK2mq813nJzB339BXifSS+A8Ab90PpHvRhRObT97H96UzzS9jLRrb00v2nGuuHQ6u42cU7ZjN/D7C6/zUUi4d3wKeKZaw3ZSRvSf9iCo2JJ6RSX/WqLljj9Xxag=</t>
  </si>
  <si>
    <t>6z7JTXVarzttg8EX3xm0JBijUrPMAgfmP4kKMQk2qymWhCzj27bTVw0K7BA4GHzJlmF0Q63j1yCCbXeugG4wrzrIY6KzPm01g9bAU4V0Mt7N2944GhcP5irMUASs9Ux4nDRHYUT1ub4GtRxsncK6RBq1ni9OGU0AT4mgvndKkMwZC6n87NJAK6z1cB1Q9ayXZA8LYCxlAPTiQs4gbgJaEttCXhW+SesAT7EgMi5vWEIU8koEVAc0S2jGs5Q=</t>
  </si>
  <si>
    <t>wVE3k9t/+Ptz3Go0MHjTPzIN9CxF3qgzc189vZcVnw6bV4OsPYr1NeZg2V8qOaYaVyDIa6Z9iE6EuzoD0XvQd6M0DJvBap7q/mCHHcm7aBPv1pt8Pcfi+ClwvRJAitPb2oDOQ61vGMaxlrFKBzzKuXlkWaG9oUVdgSTsOBoceIKnSoeimmtsxI+iQeJpZOmG5Lzcr8QuZ9B8wljfKPHUy4WI9r6iH1dp7ksNNUcBU0chxTFGTsVWwZej3q8=</t>
  </si>
  <si>
    <t>wxUvWXDdRgQsntgKWuGX6R9qnt8WI1p1Tws4w0TaDzTMB4dn+K5Od+zZUBRfvy6Os/+qb7jf9VfV7JV3ho/aEuNQIXn92tHPsDDTsXv9/ECto0gq8nBI2iLd1yoBzjY99urEJHuC/C3B3cSvAThTFvBTFAJFYIcVltKAJ5MOl4ooRMay3yYIwS77CdT+iilRagswVLnHOsLXc/uwDkV3JY1vQcX+F6qDvhpmuK0iWHHJljNQAgJRChVF9rA=</t>
  </si>
  <si>
    <t>CVOyppKP7cM3S0Ad+iPY9rdT6cSLzlR1xeRdQC19knVeQCXKsTIXLk+bV7DOZ45AwJCk+1MyOUFLRAA72SW6hNSMzCKShGYQmnFu/FnNg8GMR5wGkA3S7v8S7LxCHfS9+lpO9DJyyNsG2OYMTpICV3RWZVx41jeQf5nj8bre26f4ssHi0BoorFBcIKBtBIBzk6Tx5AqOHz0ChhJLVaqYfnjpxNCNIrX1xoQfDwLTHL3Zd8KD2MP3jFeh2Yk=</t>
  </si>
  <si>
    <t>7crfXtAt6ooNH2YEa6De3tfY3mv7ruE2DHioQd2mzWaT1v7AayNzavFGsi6rFACD4dcu+fT49PQwR6UF0BBHgX1gJSuFjr+N8dLJcwNLcUdpcvbyodWz5PgWMSLwN9zNwBjz8KZoOT6KopXj8lrKxXHymNBJJWxiNiV7lqDURoneBo3NkptokCw2e7ZHHK3bCPJBWtLZiKEbVnp+WbKn5u7R42HtFQ6WAivY78RKuiJr/rc3Oeb9p+lfaa0=</t>
  </si>
  <si>
    <t>9BErXBMs8yD9aqA5FiYBSh2ywRObVxCtV9sPaTXRW8OJSz1VAM2tzTJYPjum7BURfT9ZZPR1rgWOAr6k/yy998ZAt8+rRQTBhJ5TgaykiHnpbixwuDSRZdQ0DYnTS5pkdxZ1XcQo5EG49K3hM3Hh8LsgXi+GizzmzyvivNvvi4+H6lOBqf4Gqlhz1HQr3sUB9ViVN7hSOBwhyhEIUbMlgrkwIZLSshrsVTHM6u3jYjOIKm/7wfZwtaYP5YM=</t>
  </si>
  <si>
    <t>ecFscRNGaZomePHwL8Xh/SrnpS1WSeXUhM8NJo5wSSHb8wa9+YUGnSlabOo+stNpAsyFCK/LsZVWK62m/38NoRyR/e2z6+DilEKEDmEzW2rYaC75g/AqawRbpTrD1zoJl/GiYwBHeUnqHRbLUHX2wUzDiEXgmETS5SiWV90QZL3oQcD+8Bb8jjuyoOV+mhDJ0CxRf5/Tg1UGxuOzFhwM4JymmNIUm/XjlNWRq100nStN+nm3eAXw4Wavfuo=</t>
  </si>
  <si>
    <t>nXX2/eN8AtfLOwC+/i5MFkLW1fisqgRu9CChYnhr9VLe1uNacRv/l3xNEMIpA5yAO1s2u50i+A02jtLyoccE/rx7yPyQ5/9UaQUTgjKs0xf+2idxrbsbd8uR2AB7tlWbGiC0hjT//tQRjVH416y5pfNsoaG92OGyPjf0CfUeRXXxB0B+XkoqvuoAg17ByGrclZJFREfaIkLS63qAuDCe+TkREKihqiH2n8RgMrHD5FRtmMGII5fNMnE0YZI=</t>
  </si>
  <si>
    <t>KUT2/3echtzsI6VNwBKVGaO4zbREO5/tHgvRKamo7okBi0pRWaXjqkNWwlF4JiOA1+OUuInF5OXSaXbm3fRUV67QjRD1RqgiTABp39cJysXQ4o0PqoQKeNwBob2n/Ovn6jgDl03pz2lV1Hfwu8hXJljd3X+dctUaJL2haZenODltMpEGm6mESCmeoXhXIUHp/CjpLuFhatSxtNq8d9EBgv4N0Ctlchl3KxSKsTaoutbwRhNpJQrNLC80W7w=</t>
  </si>
  <si>
    <t>hcBbdEwEUH1SN6qof9mIYUW+2a2fgGpBMUBCGAzTAEcWr7O7we+fewS83z7I7bDwRQrLklXc8/MCjr3vRD++aw7sJRIIhGEBqFqfyquO/X75rTFXP+0F8/8leb0+jdUsemiISBsiynLz2dr3/VkO7B8Ct1b+SP2a04PpThICIhtVlq76N8i+jbLu4ZjyJtZ8YJ3G82MCvALc/jxPxOEKqSrZttgdVQbUe+gSDXdVbACFwCxnTUZH/ByLPFs=</t>
  </si>
  <si>
    <t>79ggDkhv0o7ASXI0iWgh3vB7MkoySHa2FALaftYhE/dociTXXg640J9g3cklNoD2gqiLW25Zd4RGX/UhkkZYZ4x6JSDA7gfBJKYcR4Rlja4qCLMbHCUKBHjeX69U35RpS9x+0fffNqJLu1rN3Booqq1djn7P6YWL9qMCz6JT1D48GChLrICFfZqQuXO8Re+QsnVmzsphRhOCMLzeV1WMQPl3RaCimNXbGSg/gqgy69m0PnbWx7i6BvYd7Zo=</t>
  </si>
  <si>
    <t>IYt4/3pvh9N2MzH5B2EJNGVl/4Xti8/DDCc6njfQ9WdS6AJj815Hs3xX2FZp41mM/Cjt9Vow4d8ZwpmzWP3YtQzRR596/yHBVfkXABAoIW3BAhhSdac+HB/BG8GURmpdDxmb4w31rUzIRv2VLNy5tq5hMX6pbW5nAwRjQwoTLwRJ1XIDhx4nduV0utq2xJeF9EZziFjL3cb1ZR5YXCnEyIYWd90WkmjzwJiJpWsD8AaxlC/6/wfTTM/a86w=</t>
  </si>
  <si>
    <t>ARjW52wkP0GMrQ60PfRs5DfS7uxurQwv8CRUNFMP3YKa0XG1Z9z0ICsNj8vYgida11XQ8b0JhQY063FZGJnju+wnmC78B7J/W/JLicVKlSXQf7WoRDNW1GrAoYwI9FnscGFcHsVb88D5Xlm5WN+TM+rO8NkeRi51u5aPfLYwolzATIf9YBpHITC9JTAcBJn4yAte3ag1PlREH9zUTqW1JtC1ggKygOUTGyJmdQA8X7iDMleLCzjZPAOox3E=</t>
  </si>
  <si>
    <t>BmvQ4UYnd8+5aJ3hOLfqM/pNGDFln9sK9egYbL2pFV9NSrFr5GV4juWcYq9I1FMa9Lub2crpmqSf9Wk4gEjwR6990yEU6sjY5uGs/dnUFNF9cXWkk0CkzaElrEemQEj7WybJC5mBeZ2oeFw3bYC/XsF13nNEotSyQGEww4CJwHJ0njtK4e3AYA+/o7x4A3h4lEHz8itAP/PKO0G/7k3gFoTz6f0uhGyneCk/AHBToTouJSJeOPPlEZOe1zc=</t>
  </si>
  <si>
    <t>68TAKto6w5ocRKZwiIkmIROOFK4HrCr64jB5OvGDuxwpZzUvfwQ9sflnM0abAtB8Saozq0UU5LLLMPrx+PZJKWk9us3KZqmKDWeCq9X1Wg/eVK4EqP7iKfihvq9njt9ZMVj6X8LPDVeBRtmM7vtgnM7hhnr0miqzcaDMdbql/jlli/KMXN5jETcUppzxr9ki2qixlfPYR1MvGEcVNXhblqN3aLoCmJWDtQF9YMRs4xxsBnyvdPvoDFLHQhw=</t>
  </si>
  <si>
    <t>XQHuimpLCssA2hKKuu642sZavjwB2ShF2+oE2/Rfg3Lq+SK3kI3eG1u3Ia0NDb0DJweGq5bkD2z4yKSQqb8GoJ116x+FCd0SqIu/OqowHcEqIuRHs72B00FiLEjlR2w0+8WSmZQhJXgmrEX2sNouwLtY8AHc69+txIJmQr6iEtmd7SPDGpOLO2BzzUWz0O377e78W0q0eKQBgmH8c/TRv23P65xhQZQKJP2VkdarPdk8RL6FSMPtzbF/ovU=</t>
  </si>
  <si>
    <t>K67TMYUrA7yrbBNUwK0SPoXGLlR/xdbfZQgJsAK2BRdQUeBNinOcylDKz3a12XC5aDKhrBe4KD+3P3a9K4GfDkcFXZsMVz585eonih5bmOBM+z37Bfc6mbnZ6R2I+++WWnw7ijthDnACQM+mZUq6r8kov7AoZuX2kknPSUHkiSKKcLOJqsGtA5ULOc7dkLPNySBd08ga4FA5IByIYxdi6A5zM8yojTuu6HydrF8+YgxMj+m7HkMS9qCCs9A=</t>
  </si>
  <si>
    <t>vRkgLH4EF7IbV5Hchi1iwM9fj6lMktptQA7Cvud5GePmbmUZnzhIfrc405jpAB1d1objSrBJvnl8CrRyCCKjvGePL92/RxIxxCAJcJiEYoy+Fn0pSZPrfBkIipkM89Q3VXwpzA1qC1zqHzX1koVRKEx156vNRJfzARA0cKJ8BoXMTpsrPRnOyQyZPvQ0wZbizWjq2/Dmn/q6G+y6qcQm0noxceHAqd2hBeAHUl30Y5E6ElwxUWSrC4hOCOY=</t>
  </si>
  <si>
    <t>owyGeretuzCzKFvhHmuVr4qE/POrRDV90KpGdCM3TP0DRvihdyVqxznm1q//0qRQnSWmH78ybj2POaM/nhELiGXRAVf0TecS90uBJXzvxDiMsgRwFcLMPTFiQwkHV61F/SRRlYgaFyE/KZWsPu21hzw9dcZpeHXe/v32ftnNvo46evOqndL7MW2CufxnDfnZIKMkj49Yi7vZ303MnHDJYbzmEqNYWnLAUlgukGaW0d1fanfqR4yPFIuE/gE=</t>
  </si>
  <si>
    <t>gcdc5C4PPW5WhDEhAyr3QTjnd/HF+NIvd0hwpxx3PM5BjvEcLyuBpa4zZGzeOFMsJHZ8xjiw6IFmhq+dqcd7hMo9gJILPPsGG86hisRrd/0FkZXRXV+ygbUUPZxdKQvj6Yb+rOaW1U0yHGZ+FrOv6nnk/yUVVm7F8BgdkxUjqhai6gd4nbMf/0mZtzkg/mrMQ8e2SwLmD7hHZF9gP+ufOf2AhSCynSM41zjqXljHqqbHRIp1QIcIOZCRh48=</t>
  </si>
  <si>
    <t>BUHuldQNW4jPgukZ9MWh6peyNp7F3/m6EPGfK87FWANRLFwC5M12/1u700nslTPgjyEjs+hRv+5whOrBVknz5OnS7L4MjW68ux8QiJCS3su333/icQFWzTinE3BJV/R0KqGw9EHd2Ga4g1cWCq7fRsJ4ImiZ1SvUcnufY5KQyiF2PiZxPzQuYBhOCXjrxL2qeNi1vypLvKg4fmTxykHVq/O2DisloTdFXhO2d0qf7lohzfA3EWq3jxDw0rM=</t>
  </si>
  <si>
    <t>2fBn44wcN3PesIakP+y5i76PHgllzCp/d9xeqAJ6X5nUIpWjdCYnD4wzZhisnB+CUsX3MFTmY/+wC35W9TnKZ9nz5Z1fWx6oMFyTdWtE4PGuxSReW6QKn8WnM3w1jvZBlVlAx4ElNw3LIbhxz85M1o7NFy2l0qWa/lySbJ9hwhryCgNSQJg4jC6lYKg5O9c9ElzK03e1BNw5ndPWCwAHPs+DdXRXkzSvCtfdZpbd+GJ8be5oq6uYKYjlqBU=</t>
  </si>
  <si>
    <t>p0ro29iYoF5WSIB7QDOx3xZ0ff26bYvVrEUstWaXT/a6X8CbtR/+cHaOtXaqv4EWvSAQqdUqDplF07LVEF8qTxp0dnNfDHbqWLNA/B1NqCBMFPGnXTDKV7eRHUlDwT8lUTbUZZFxMIkZNLp0ZkZjdfKeGuZZmKlbGjnOpmVsantxgHmdwf7rtIoduA0DUH+0bH5pWFoMF5TbAiszA/JDtUYF+uQiktGMasTC2DWSOuaVCLF2r102DYBmbqg=</t>
  </si>
  <si>
    <t>a8PW+z95yJktUnmVxIgfUOUJxsy4cbrIMDixJxTw/RTA0l8ocDmyTqUozsBa+ZJwRHtasuU7dwaJg2MY/pKG/upy9tH9SzMOWdTJkHIlp4M6h6cOF5flggvI/c0MenCFSH2GJ72xbRFKG87/JuoDM8G2LU2lY6Gi1/s5PZPc7La8vzMM1+RsPBiY65UbJwt0IM2DKVWG89B+NnaL6sUBcwefu7Bd7/bQQqomdmuNkq3CT+ydAnNK6nehlc4=</t>
  </si>
  <si>
    <t>mq3skZ3s2dxeO0IJQHDqc2yDrVpabdetRijuAqFkTbVeNbRJ+DPzFuZB6C94uzIQf0Sx9eXxAS2oRwi1CIrUNYA6Bd2jB3wQXSouSbxy6TCytNbQCYurMaUT0FDY8I3qBxOktpwrZ4NeO5Y2YAlbG71ZlMGrCJ3QgDC2x9hJ03fTBd4GIu5g0L7mHyXuB7Bd4uVMRXz3up7BlEXaTBUDeaVZUWMuqXMMeZQxPGmMu50z+947uCr8UVugFE8=</t>
  </si>
  <si>
    <t>VsMLhSBG+vT47PZJ5akwOP1uhL4rZp3GiJGfu9aXWTur0w+lm546x5W0TjRJeCzENE999u7tBWKh3YJAydqDSCE5eh2Z+xA/H8gs2jJYC4R+/byv4y+pEqZw+ZdD/r9ZrJwwsbfSs87x5xzMi9DZ11RECIRe5/vI91QPAdUEtM0oM39HgRs9Sgw6aZLLI/fc6t84IObJGHOaN0BlK4jEG/UKtoa/PPcngk9K6+VUkvOJYSs5ydufCWBwG0g=</t>
  </si>
  <si>
    <t>tREWZ+FDnQYtSkBSc0Rke1gpdf8andZRyomWAmWS1TSc0MyzZsi2/Pgv+sVr9ewH9nRWSRcFWTkRwd2CIlLf2FgLsUml440Y3S/pEWJ0WzDhq+W8PHLMotj2OB7XT8ni91UTT4veC+bHNUd+h/nhAfmNinSL4TQnIQ6S0CuYIGoDr5Q98SwehO4SY+D6tsOoULtj6g5581iN/K9/dfrsK7/yiGbrYbuJiDQetcSkZFd12BnzEt7S3ihiAwc=</t>
  </si>
  <si>
    <t>1V3r9TMeBTeh837GsXTkkwbw4X3wqwOeTTclrY1hlbcysNA+X8D29JZkKI0tj5N42FdSuoF8amdPQsHF0zTZd+02RvO5h5bHFTdetbCleD+aVjSxQfWAX8k2QyLr4HsP5gJkiAUQ5O4qIk6js/fXKwve67gtSJT8vUioOcjKuHeWi388ek0VTaDtd/kAamQZD0XccHOqMN1fgnjIEbDCKEoz0lFD7PIIDmIWXQKEtCFBJgzP7DxY02rqzIE=</t>
  </si>
  <si>
    <t>EUOc8Ljm5/jR89rhPH/qOPVqbvVGBpWo76Ef2WDXQxsCs7HmLc/VBFUWPBTa5TugY9knTGJ3tmMbS1zLVszYpPZvcf+YgZvm66Nzr2kSmlmKxgqivyq1jnlUFGBm/iTVSR9Tl+zw1m94DgMhW8VXGoXcsJVfIYhF3eNefw2EQl2yRxtPQD9LTyh51gIscqLXmWRaEysf3pzYHxgz3qlkoT4qpucbUfNC0W6yqtcfQ2yLCEEYueVJbpdh9Vc=</t>
  </si>
  <si>
    <t>bO0WNFL5kkprZt9xyHifgjKgnn2/HvO3B+mEsPXPXY8zUtj6oaHlQ9uOZBAq6fYmgjrQAhFYgqIn+clmlOdgEIDrDKl3m3Mj4Ww7UHAUx3nBuGhBYq5O6aDHyJOJNsahhK6qcQy30h2Mviqp4MVQhFhHnNtf/g9XoaYBaOPLIatHkfmxHk0/k2wWCJ9Wix3n5CMknJ4dQIJ7s5VdD1IqZhPArOmIbnUrLwjhqgIY18Pm5+Bkh1sJfV2deHk=</t>
  </si>
  <si>
    <t>wA2xrrD/85hJvxUhpWmXyq3qwwH1yAKHwQapW1rcNeeEI/ITpsq8R4syDAyTf7n6fnct+KYw1xL5PJlo5H54P5rU7pDzP+XlvH2thvhBZlAoCRL06V2+5opbK81ThjTaQGyCyxOp3O349j6pUHyEkiU4lnNVbkvq3Z00loh2UZkgaSAdDASOyx/YS+SpHELgNyNj0wzhZLUFgHgGu3c/FiJCKc2N/B9AtglkOIIpbQELXP8TKE6ZickZMDU=</t>
  </si>
  <si>
    <t>FhFaEhX0zJNFM8oVm0jL6LlmPn6ZnUbw6l6GikSOMcHJY8175bZYw4fU+hd0Yy5JeiNEfuWVGXnolpTb38glsEe5GZQ5vvXnkDXku6tVjvltUmq0+jws7T3f2FG6eUz/HOyXtDKUA6vu8Q45wtf7uXTbw4WPnID+Fon/NFhfY3YILhgpjq3WO41j6XJxexhez3opGPQ88q6yqo0dv5R+y32ylTy4IJfIxfES2/P5j5moPBSx26ffYRtF6QY=</t>
  </si>
  <si>
    <t>q9hdl5HpjzKxXGcWbRAeG0l+9IKKaDiylQgPsX024XmvVRfaklbCfmzTyQF4YuH18NnUCN40phZt+HtPtNuLjhMFDo6FUpNtd5Ss0jYbLL2oERDOpc27xdp2txZP74TQVgbc8Ssog2COT+hTuNuSIbXBvAaoFnktsryFkugVeFOcxba73+ejHWmnkTVaa/MkuKYXMzabRoPe9TdQGC09CwFtA/f8jUi4i3zuxjQfRVNPcn3r8ztEkt15dr8=</t>
  </si>
  <si>
    <t>cW8kSqj/S+ouU8NOeHE4k7tCsUHH5rSxMM7pNYEUcM6autE2Y6H9+fBtuEwI0P/f0Z4ZMCwG+yjAkxj9TkfYDOHEMOHIhi83lfaFaUjZe1Tcx/TVcFrOukF+NViMJSFMiSFnc3L020AiXAdlpX7kc2WikAGpVrobWRDd7Nl7TBMd8yOzezA7e5UJSosdo+bRSCFdolt2PZnmrmWuaKcbPnojZgRr3s1RLlPX2p3+DoHCObh2eybjh30nnkQ=</t>
  </si>
  <si>
    <t>Ye4NMSEefJTjQb0qhSgwS9bWDIlvlezMEskAwJYKFcQcScwxpxjhl9FZQdZlzOmFONy4XBZIbZHoNkHxoXp0jfFGLRuf1lDhP/+ZCwkjSRALVoPJCFkz+qrsSF0b/Q/WeBs831veswxCk3S6V6PykOqXk2iu+EVYfM0jEjiZWDk0cLEcAoZIW4axuu0XYKINiqgQ9IZhhNNgJZnbPxTujxzRPD6XqZvAHE0wBucpv/q1w+/wt85xF3SNysA=</t>
  </si>
  <si>
    <t>1Q7qFNyJ0XhhMzzNHnyC4H3VeirdqpwOUEvdj1sTLXuCOQBQT3A0Io6ZOSImh78TUSYDbfxCHsUm1DO/Ytk/Nc25BP5zhM4IJYW/td9Y57zbZ1VmCr1TOCKrGj7gfDrP9IjY4cpClGftgyDp0f2Yb+/XHeAbIkujYcFYHYT3FkbG/mXWVCYsehbEZwD73IzgnNxDgAcns1LpJcKkeFG9JvZ3E5QV9BqJR+2nBz5DrtTYhnDUvvY2TukGO5g=</t>
  </si>
  <si>
    <t>D5MnCOW3Yn1qgw2XjSZtrIBPMu3rATsYa0ggM9VDCpIz7jGwastUUX435fKbWozAVt5woH0jxamwBUEB7nUaKq50ITc+M8sxCdW94XtAuTD9HlOVG2pfu2bP8QEfaxZQMzpS9afXnk8VV1nBICR8NsaETigSIu15aCUPvXGziMhlhw4m7nM0X07GHnItl9X0rQSXgKZ4xd9ceXPyVAwwPYpc2oOrhE0+0Rn+kV1pseSmq5/EvdISdQbQIp4=</t>
  </si>
  <si>
    <t>x4DQ2u8CsAILUPjZHS4b5Dytzie3XqUn5RDfKsMxzh0VLRVWHlPdhWuVHUcCWS6FR8t1M669hsxWcpkZQFL/1cZhEVqk18Aq5LIt/2XHcRwJcwJhcXUH+QmgwL2d6/cRCUiJitNc+wcfXLKQ9PmT+VgOrcM57tt91KR8CMVNHAoRN/JmttQYjgObilnwDyFwrNuVHdtgnMxfcAvoTAVZ9c6gl6gYxVvnl7mqqmXeXnk6jeNGoJbFtL6PqmE=</t>
  </si>
  <si>
    <t>yQvTskqlanBdgpW++jZN4V4zrVW/RQroXOBZemwCZlxJtbfqVLCnhaTTMXJt3r0VXUWrYLBmFmdtphkE/pDVrBt9KwhkWj3QMUjZbj6GiLgdg8tdf3hgPOAy5GsrlqNiJh5HKJi27yG6XWxvt3oFH/RVGTPdyunqmNxpo2jmGSKHksfb0lXLw4Ab63bjiQfXGgHg7jCk6iri/lzHuKFXDUd0+2fzAHBUvYsmbkDDOr/YDf2IopEJw5tU3mc=</t>
  </si>
  <si>
    <t>TbioGWOoH46xKIv+mg8elCMyeguAoxgTo3OSLmoFiNvy7JGkk/otoFfTE5l4h6C/0kZtdwC8+g2ZiTBrGg+Fc4I71xpwgnOtmsuD+jdt7me2kK4dKZniWW0Iaz/jleVcWVMOlyqaNUH9PzPNJ+sBYIXojIhbvnEoQ+8caSoiED4g6tOaxVWiKiBSH9t1KHVLk+AGuYz0PlZCApQx552qpr1SAdRuR9iW4gw/3LXLlXS3uN+7jxoGrC2hOxU=</t>
  </si>
  <si>
    <t>fbDN1EKzNSnNQWLvFHS9r5N2sbBilka+Q6tBapYSZqA3bCHh8mk9VOXAgAUdLVzVBFQ0m+bJLatAp3iG0j0NuXf1rBq0j6IhGKW+NzXrR6gXUsyx3gll9X1J3Ct9MA/sLyLmRZ+XISFO/bQbZdzcAWdPjfjD14aSo87en5XBGBvFbVt823OTTVv8TEEYekbvEpa/YbfqeirPvOuaZfDy1Tj17IpfLewojBYiGZu/fyWSL1qZqZqLmF6524Y=</t>
  </si>
  <si>
    <t>Y3sNWj5LkU+iZXEsqCkjhp3O3BTLMuJekEj7ai8UsKcrc/Tcb3616L5UY2BwpdUcBJ5SMswCXevR2aCzuAZi8vYP6UItwEfE3CierJW5X9d2s44OIRmnDFKg1OzY8hhGAlv2wNEgiNZbCAge5QIM6fooHM8HVOLrglxRG9oKMYxSOjMxIvH8uZoCBKA6dkkSOtzGNs1tGppzC+Be9li1hpyg40/XGhd56Ad7n0EjaM+eRBJMMpVrHIYEjDE=</t>
  </si>
  <si>
    <t>7YOHKjUkA6K6O7dtsPQrlx3j8b7RrzPFs7GT91wRw7TqDR4MT6P7MveOVicWLZkIRu9FclVv9A6PqlxchTLlUcxQh9s6uaX0telsBmnJ284hpP2svk9JBlq9UjAWQqTiz44vnHoupp5wBuW2+e8ixKo5MtDKHXKaiQddjNYR/ifUk/UtiE7mtnaNgs/7eK0RuNL/cCQed7KBa3TaK3rY+J3zjmrBvRb2eBafzXXasMz5MfftE+fUsdEt7Kk=</t>
  </si>
  <si>
    <t>Nh7YS59V3uA9t6iycmKfDzin8mJoq1wQfRMMhGHmZIbztI+mFRIo5VSF2VLPY6wI0Kj70jYJU2Bt7tQHIrbeP0HALLB8a0luPI1PikXkiyMyY3KlQLoUhpz5u7oE7bu5omw/8siBHnGmj+frU/NFfy2Otc8Q2rxBw8iRDdK+IwqgE3PXpErbVtJwigSsRNJWuQqWPGlEBz4XIqjhxp8PIaswLYbkPzmrHJeWqvbWM5tnVBze5Pc3//vMatY=</t>
  </si>
  <si>
    <t>0m1TpspbnRvg4CUT0pJaafdnoRDYWKjNchGt+QZOfpoQnQwy3TZUG+lcAr662vTIfSUz3c+4srfRmErpk+FT2UCGywZWCgVJCq6FBp5WEEMIVcIMSSkuY1tGCz+SgpP6ytCm1/5hfR990KGhHLxMVOski1urd6PWaBCqC2DVN5mTjM+SlBylZXBmBLOUlH0FsmO6J3aaT6+qFoN/9SIfDQ4n+yBzJzGhl5xq4ApBx8VKScR0r4aS4826yFo=</t>
  </si>
  <si>
    <t>eDS0iUbqn5BJOzcHwtqcPQLISxHaHwgxp2cjrs/YSUea2o3m54bqlHSKim89DzE54X27xpMj4b8lWvdecyly4vtQJ9TJe6X1sd5vnSG7/YqthjPUD/4O0uMTFW2bWctMl4HqAo49Ydz+fXw2yUyyL0TfPgexM2obVXDqA9aphBvfiL6Pkghs+I0hEeW4Z/JzqufcrbvouI13LdKYhw29U4WIr2NvLj8WAyl91SHlZVlyxGEdtL5g2kbbqZs=</t>
  </si>
  <si>
    <t>OAVDdYVUTSjoZa3/inR7PyXGlDDhu2vOx7n0m3w2OyS7+SaqRP8p/nFHGtaSzsF4ir5Naiq7mp86lU4Qm+PyNdZ/+RYf9Q4wLjZroBz+kWw5LVoKNnZ3Wrz5Bat+B+3D9LnXO2vuhG+kAk0XiiFM7bgylpisPlLjlwlCaKYYi3Tiia7yhts+707+GQlZwUcK7Tp8VaJoG9B/pH4g0RJ+d3BVKPgW1s2p2/HUHle2XIK+8XLi6xYXjnhwwHk=</t>
  </si>
  <si>
    <t>M9bZ5Emj8Rwfe5nxz0pCf0p1VSAz3j9nbrQL9ETvb6uI1fQq38mYd5LJuByghLJQ9jOP9vd4dZ621A/zLF24MKOHWh16F7adm24JKphrmI/GI63qtXm7iqmUmLn4mcrGMythoJN35CPR86sb6JufI4Imjje7yH6OKUO1Ifj94nAN7uS+JKkYbT4jrHB92jw+VH42WOtp+Rj93/Kc5b5UC5rTVfa9dtrHyY3kLwRTvSvB7yRTRLggWIfpkuE=</t>
  </si>
  <si>
    <t>nDJFZelWPcqQ697myk2UxAncEUIKIVyvmCLhIluh2QiJV2tb8vHoWKi2+JcHJppv69ZS9J3WH91fPAgZGeFVLelWOQ0lMEC2pD7YUcfPCAlhxWxbTeKZ5MTPtZ5QmTqBYzv/yvwmzw/eZTIu4IaJ5uoVmGMOb30HcJZB5gFDgTWW9VawOrU6TESymumzpNWhCJQ5miaHlBXGgvCvZHf4WAr0UHSrQvJhOYDdUYZKTGgJ5XFxdhKH3DRuWpQ=</t>
  </si>
  <si>
    <t>pzJHlVCCTRZQ+V8lPU9I0a9fnm/G3JW1vLpAAF5dXgDF2bGziDQoEHMZgLdwrcdxlaLLGLpew+eSsb5Cb1v5dYIzKGK1Gv9dK6USZJ/kP9ZDjKQ+1f16JyIfIi8Mfm8fh4sMMH0MOKfzrSJ2bW8k9kBqmBknpTDnAQkpEIuAaD38Bap17zPSZWmiVL90ABZdwsU6nl318lozXp1BPTfLuwhENBkedcZt0BN4T2tkt+XmYEKGGe/T0yUtnuM=</t>
  </si>
  <si>
    <t>FmY7ejjhCQUu0jKXfawnDMJJmSbTiLz7Lc/Q63tfzHh6g9yg8dHNhYPFS8ljEQo00PY3B8HaiNBlhce8NQ8yJNVzzFGt6fhrzUawk3ncVNj7s4vszmu87VfuX9xyu+tRnunt816f5dTa6FUGNWbtweyK3CfEwlQiFzbu+FvUM0PYLg+lHlInrZQ26Q2Qqnq4PBque4pX0wiBYN0Z8QJ8EtoIVvAfurPLxA1qsv/3Li7g5aTJ5NPZscTTxnY=</t>
  </si>
  <si>
    <t>87VVoxAndQu/FXRCoEeSU0pDoEZqpMI60b1/KjA5kQYyGHbHs1JY/tZ8lIawTHDXbs6mbkHDU+LSy7mQMeRASWlihaJLT4iy7Jnic7syp2xy1/5c0awFmrsXuLgAWEb0MH/gtnfSnlT/XwjmUQe6OVUBPugwDi/MRjguZFykaTZsUcu/UJPKJ8rg/ec+CXwLGp7P+R16SBEfe3kVAcrN1d+FPncmknCWU0oPI+l2rX6xuNKGQpLcgGbyI84=</t>
  </si>
  <si>
    <t>f9aDWrAHWUN/jEarrPHw5eXhKvON0aten/07hc6ppR75K3mm7RMu5tj9JHAhy0B9OIVlamWuDRrWF7EyOje/WHy1tmK4YTUdFAnxfg8X+K7YKN3H/pWeJlaZ9m0bmFygggjvZKUd2X4WPme4p8Xbhw/m6M3Uu03nxRiwi4uqcLWfKDm9r4lOoUXl8c4Qu7m0sRsgPpA+mBxI5QqCVrA97Bp1QON1lc8RGZMCdweSwwFL60t3MxEfN30M3zk=</t>
  </si>
  <si>
    <t>luOYNIOVPlpBQg4z09wwPydCX6/6FmnC/YmGYHnSR4/bzZvjZR4k1I/15I2UgLxhlszTeXc6RS9XLackcH9Yn5UtHrTZ/N0IiQOz+7LRF6oEszfw/PMeQX0NdpoN/D7tphmPDQgPC2UUfX2d4licjK6sY61N2epCdIk1NSfpSJA5H6wgIK5IweN7YaG0SoKse4Rl7Nn+YvEgSZr8sNUP9FfEn7tj8vJnx4jcIF9QFOHlLbIT29w+4G0R+vw=</t>
  </si>
  <si>
    <t>B767vKG6SMqwcHR4qhBxivJ/aN6MRaQpDV1FKahJFTX259HS4N+RydJ/x71WJ7y7/D9Rn+9c+56X/kq0g04lAYmYldehxYqAOGsdr/DnQEnpURM6AuSlFayfoeTgkD8/2nm7K85UBzYFfAF3qQyeubyG77ozrcVWzWxh6dLg3YyCzkjAJI3/l5VXd6q5SeGoGK8Kf8rERjHFrCAgabjPdwCoHUkBpZ86dxlFx5TRCppYRmocskzjvulf2wo=</t>
  </si>
  <si>
    <t>2Moi8fa1kYsZqNzkpOk4gH+GLMxDKRnu4Q0VTLOjDZi/2M5h02PNm5nqT3UH4EnAV+m/phGvconaYDQoKQq6wvq3qf4w4biCE3mS+rG/i6CeLsyJq8E+a7qVEXgAqPc4UbDQALIdImU45EgJboj0pCywGeS1e4ztsRdNXx7V6Wi56SpXMAjJ7mpSTkBB1+zZ2QNjrXsfCidFPn8w5EfvK5yuHjyXJdWjTN5+XQ7RXd4sp51SVSw23Bj1+8A=</t>
  </si>
  <si>
    <t>Kysj9rsbQLcI9mLj9Wyu6CdEV3wiVDNtZ2/lDpJ5YqIMHXJOyZSNDCkhzUbtX4+3LFWqdjO8TUXrk3WtMvq1jkCONodtvhiWQ3QO7/rEEGp3Fqv78S08srMrNhXGOwAs+xbaOLkJuRpFRwPdpxy3Vojr5U9ohL0/KuBp+j3PjVsFSxo4W88LBTB90VsymV5cAKmGbpw64H4VttVC3IuDVkZHPzKUIaNjRSSmQsOIXv/cb37nJZF5BTL+cWA=</t>
  </si>
  <si>
    <t>bWnD/0eyjSOBirYzeW0O7ACUY7jBG86Bn8yQWldumtXzR9NNi152gjbyj9D4FXr9A9DlUkQ7VvMg4/KIIlWx7iArrGQlqqGxlfkoCupLWUUZphc7TwUVPH+DvXlb6/5QrGRb8QF02lt7eltf/Ucqcqxzjrixb8mkJzchbIMHmBzPievV2wzwIVEruiyvH9nQnc0TeLYc/hdcDSuwnv12dPpIEL7jEAJwBx/bknS0o0R6Hukwcc2xzxWCSCM=</t>
  </si>
  <si>
    <t>u6KFKdC1O9r79YuCW4qlKLEeCI/dLaXgSF51pwVKlQjjguJPZm8KvqXAUVOFE3zofMBHQyJBvJRWemAolSdUcF7hGJ3ZqgL6f0uitMawcKTfvdP2+o5tZd4GHMwWK31IfiJMII4DWDc0+2QAyH7dFCrfrrIsYkbsunL2IcXdvDcVb47Ao/yYK3Cw/MjFplMT6pE+hWnAlnTuYVzLigVdUMNxvE9e7j0X8U21G1ediozsw2CEe8gQ1WnTskE=</t>
  </si>
  <si>
    <t>rkMNc8sdj9bGoprgKPJuPfA14t0IySvU5uF8h8gyPlmUmBKDQhoHZfUJnIVIt3+BXJTY+twTUpocy35uSPl4p1zV2bM2BNxMJaRyu7l4tCvMOlP7VarID1Shv3H+1fEbqGHm2cDxfPWVZffYbo0YGmDoNAaE5tN8OXjrpZEL5jb5ZOyvIOpxHeb02wjGmI/QCCdyiWWwKOp2upC0quGtdhGD9HbwliZ9EVAHGaHcn/lIEcFyRk+lnfXbgsI=</t>
  </si>
  <si>
    <t>aX1uTk0bplm74PbQSH3+Uqp5cqH7AOuacpJcKcLZgp15/qDeIerU6nYJoiETixxVit5yZoQREfPYteBsjaAEtjWAWHb9adyBkXxA3MbCx2T3JfnKwAulTlQ4N2PiezjBkU1EJEcNxr8x+/cU5mApwcNH/VMDoFgLkifE4sfQzM7/xiWwvaW7Z++/X7MOB+o8yez61objWyquJREDHWorjytEtNKTSHDT4e4H5Yda3HN5l/Ya2raOa0wD5GM=</t>
  </si>
  <si>
    <t>4E0Di8do8wAZ7wn0EM8zvttI8/4qnwmWXWfLaDlwiwTXVsBrv9iQ3iO2v5/kuYEbMogPX1jmtwy0ILEPoKtrifxZ9YQOXYluvz9mbkQsJIm4HdqUYOeFmap+7Pslo8EbrfwDJwAMS7yPMf3jOKGI/AYlGYCQJcaB3mxagLtpxl/HlaGUaDDaQBE2xTx9rAeRW6VOC/hRut2FcHiDKta0HE8mkv+LPlTLtW7ZyUgk4WWE+ybeKt4EAP/sqLs=</t>
  </si>
  <si>
    <t>JkUJFvI09z2t/0MeeEKzysTkt0mrCwpwcwP81ae2hRroASN8f9D4Ff3qDxAXZksqVP4HIqipGVXMOFbwWc1Y3Ftr6f2bjYKW3AxHcpPOHE/hGI7idetJWGbVE/v2OWADC25ITCsh1lAKwnGfXM1PlxljTVxHlUX+iJeXlzJN5T79ZLvd7SuqhC1/wkr42JNrB2HsUY01vbMFes1gQCaa5ZxSJkROlOIZKkc4cXBsgbDTzJmLsZ7Rx2t8Og4=</t>
  </si>
  <si>
    <t>Gj979vJOrqD2msqGhnPeI5I++2RjG/DgIbeBWuZYUO7GMQ1A3QpNjO9lwvbgQ9i9XQ+fOv7cYUk0BQE1KohEj/UbrbabcC5U1Dh+R7N7A1ONVDJHynEsY27ECBFxb8d2T3hYHMx/yawba3M6aPG5OVv3uDkCj7zwKFavTMtCS7AR3YNoytDdoRXJfXz2Y2j1Q8sIdRVao0wn19ZlHerLaS+tYA0LKgYUP85H48CMrkSHrXDpdOyO1yHb+uQ=</t>
  </si>
  <si>
    <t>Aee6S/D6I40vxJmfASB+maISfmioxZ2ufOEfHWJaM02mgXM+gOgyefOPtFEarakgmsbxNWzNMrK02NetyO0toAA91tkmhpNynh+ekNhqrzXo4mNWUi7zy8ixL1vuHkV4iE/Bbo/+z/U65EozGI8nWaiqSjw3bIJ5kHNKn5gGIQnTL1RWW5zgzxgX15oIsqlzhpepLLuSkwW6jEDkjZJdyB+0wt6Y6axSc2x1bJ5CxJZRbG5A26vN1Groa3w=</t>
  </si>
  <si>
    <t>Yrm5UEXp1rbYzagcFy1izRtz60vfC8iWLPCX6UtZwwaVgdAL076NGK+3HeHULdh0S+Rzwa33Qi2lTiv90YG4ZtCd0YFCrNBFjH8NvRYR8XreHcqMLWTbI363uHg3pKu7L76La6Q7h5zWcMxMijxSj2QuxZ5cZOffuy9hTtQT+jV75YT5KSZFlqrOQ63mHH9EFGl0tRBhpFtIZseMFBMwYAHwSnbEd4mk8nV2JYcyq26B2ULb8dyA7gP2Gd8=</t>
  </si>
  <si>
    <t>D+RfPZ5Lr5buB48kXKf+ySmntBZZW2pb8DGE/p/aJ+MMpgnKBfDHeJW5s4Yr0h4+9odG15IEKLzZnXnk4bZa3cN2vQZKOp+N0LXwXYzooDy48Vz/x3jPX786txK6xqPBWi7F3T/0W8n28EH6HWMsr+p811Ge+I4MYHZ5kAGP6Ns+uxxMeHZHlqUBbaCUuHHzJnkanU/D+pysfo3FN8+btB9bq4hUQfMgqNwDWE3RuTIfO0LWH4/RS0J2fOg=</t>
  </si>
  <si>
    <t>Ow+ir+beMdM3uryQJPrCw13KW8A0jU23GxpHvkCWoWmAlf30zo7n9HCXbL1XXrrfLzFAx805p1npDHU0awYIVeXWdb4HOJmJB/oNtAiT4IaIcfjh89CviaZWuU8F/8shQ57Ao0DZmiicVPfK3rfZjHUG84moN794xxxLKdezaWdGlruLaioHky2stZLeSCzHh6tBWYL/yce3OVQys2Jhi85/HGydgQ1zEGMmlpETLM1709CPMpH+WJood9s=</t>
  </si>
  <si>
    <t>xLTgvTZuT8kNvhk4nuzCwFB6EUm2h2O71uOL5IY9PoR+AuXykHyBvIYPKb5IpcIDn/9ii/Gx4U11dhBJxNdgGp1cOs7C7uBfGTaxu85yi2HX0NxvVeelXKHsGG8XeKwiz/wJzTmEf0tQUUrc9Z7WDM7ILzIMQZkH3+9SN/grKaZrtGh8BMuFEt4NZZEPeYoNfhS/QkBDHC6ixXlYezeAUFKYaCKjsu+9J1FwILPvgJt1bFguk0aWkt1QnO0=</t>
  </si>
  <si>
    <t>58oo1zu7Mr1OPrLzb+uEFwRPIWuliBnnK9sTFs8rvggRRlWKSPgbrbJ9zyNNfdyrnj6TI74YtLDpUQ/hUR/QBOjv1O525NM0tdxkMy3zDfjexfxRy274vrOgUSKyutYWbRGoZ6VYXTDxPkfbSvdywoKRUd/7M1BTzXFwtSFL+h1NLxBrJRTH3bBkkOQ1A77Xc2m8UH1WH+3OdLM8QIxNencbRXRpPZAu9x54I/ccXH6cFEE8toeKttFeOFw=</t>
  </si>
  <si>
    <t>/LhgOFhNFkKV1A0Yf9djqCySKxj4NfVgyhwvoB0eGMn6YM2tK4eV4e0GHAAP6Pv6Hkh+LodTWhYVq6tanbA9RCrGz5V37f4BW6ntDdfjt+2KZNxgX0TZtU4TEmDBhdLyxb9EKErl/FYRpAfzN0rOnlsUDWgqKp6wYOgTED7cdvCy/LA7SYO1uwBaEeu1Da7tpM8rMkckCprD0nu5L6P29V13jYuSn72krwnVY4dzO95JXCG3BIuz9pUgqLg=</t>
  </si>
  <si>
    <t>8a2W7adDvQX4HecwNtV7FraHBU56kaVdfIclpqHPNmON4YTfR/aDOITGcUbRG8umI1mYMiaemWyJXUtqmeOo4nzBMUu8gh07pVPReHbkRUXMZr5mQAqWt9daBXcc77spsWkVt2p7la1SQzAP3JVA0rSt3lCh8Pc+Fa/xCjnrhUFFwqT8TEyiVnqCYeZgh0w6ARFm9SfS3YGbHZvEHVVg4/HqWJhMPgMwLCYDxHCIiPi4JR08LaOx1gBDrl4=</t>
  </si>
  <si>
    <t>YjyYuu2kJ81KNZwTxkKYZ0sfeNKL2tqmcGDWcCr2POf4oDDr+Lkz6VNCUofUuHyYLLeX2XvdEa4xjEjtHvqvsDFy4FQB+HwaMADBRDk5GNxwlkItE2uq4pe71SCNbgJ8pEgGJU7jbTo0UI9MHjiBiTdv307x1DeR3bFdoV5Q9NJ+9K7WKs+JQvm/OZsEtzIEBCMRRyzMXpCysDhUakHpIWCQPMvCi70xEohRt/VxGdZNv1qJg/fJdswmCyI=</t>
  </si>
  <si>
    <t>3Ok2slhSgu9RaQuNH7CPDxKn6N1Md/6Ea0G3S0W3lXR1t/8I+cOXWJl/CBJb/MYQKRIU7k5TxkFRqr2Mn4heEv0m9vXOm9aQe2TaLW5AIshWVdpHglA+0hSv+XbJQOCdKgJax3hC2TUSalgmFHXbrlqW7qi1Ac4B61JR6xv1+gyqKyT3BW7CE+cUXJxvMGfdKSx8jpiW1BEBVskUy0gmVlnk4R9IJCq3Cm1ioEZ1qWbTUDZXJSSPCEDKSBw=</t>
  </si>
  <si>
    <t>gHnNTUU7WXhxfRIL4XchSgYPowjhdYEnW6MpVVvaI6rUcOdzUauiQ8mCu281Ex+avki38SZKgNVL5VQIOXB7hKcZESxM2dG7zeNTwcfgU6is9Wft6lZ3IeNvUbkLLkdy/p46Wbt7WcwAD+WgTADgBCsDIpZgZNZKwGeyU1lvSOXBjQRFLZPw62z3IHjVYkUogYVps4dvAfz/qhMd2amIKoFhPQ05a543rNkhmxyICkxmvEXXUYuNui+ajfA=</t>
  </si>
  <si>
    <t>DzgUHcuOaiI9o0gmON3apA1z1tkO9Z/6WiDl4UDGZl4ffJkUyUWhHjxm1puM0lGP/pLBGpD5Vvry4brtfA1kzABUkxgOccr1fDLmQndwPoNYL3BqTha205EZ5CZyNdKYUhXIm/veUh16ZqE5UR1k7cu5i3pbKNIwvHoACEl5Hp+OuIwr4FxyrLYA0lA6pZIolwCZIhRTQSEHAd/6cJ83Hq6Tg7jZYTFXwxWX0Yi8YbrlTUc/47FRvY2uek0=</t>
  </si>
  <si>
    <t>cnaYQSis6NyrclzS78jf3McbfKRpFAEuXqIApcP1L1MO0fL+2PXuOjNBYmZowIPleBQ/bFaRtMOpkTjC4UDlJRPVfCN5mJWLQ6Em4NVwO4Z03VTCSTm68NlvUwsEsFzQB/4jKfgV8G6F9lZLex3Pv++Y+yJAqiTmrIDwd9a3F2z7pM0HK3jHGHrP5nWWa0zUE7arCdjP3hJ1jnJYJ8SxHpQEzBzTh3Bmtivh/Wq3hewP53JvVBKGMTlkiBc=</t>
  </si>
  <si>
    <t>jynFFXfIKuSRrxC8oINEOQdek473NWJfx2PrQwEaXSWW7kL7CyXVv9n8RLo10EpU/rlJDdnYQcEj1YugkixJE0EvocaZBrSzXkLhaa572k5jGq5EmGdk5qrL5H87cALRts7y25rhr7rYuFESy52UhmE0s7mAwIespVZ4OFKiJ3ax0/KPdgJK5f5e112KiJZE7vsWHivBFPvbWOLth126USNznXh/id5rgEIy6C8ygigg+F1EFanh7FQGJz4=</t>
  </si>
  <si>
    <t>fOl/o/wU16VTguIrVWb7oUeyGEvAWQY+W7p9/d8bB8GGN49OFOKfNA3BA9TPkfSZt9mckPkQCC2hR1I/H9r3LvPBvG5UqEpif82OvEUiHig1Hm9xGHq+h6Tn3mlfjL7oBpdez3FW3dsdg4d0nhHhzCHFxvHKKEatz8WIVaZwf5RDD0Tu6m9adWjIUC5bj1Cvnu/ow/EV6SACm51A9bvHI57Rq8LLvjo2gJj2ZxlZNXofGkGrWY/pmhD8hWo=</t>
  </si>
  <si>
    <t>EYgJUg/zlZm9CdGhXGlPsh/StLt0wE5fkjd+VMnuz3AIJrZuyj6UfW2hQJnk5UZddlqEFT5Ew2bDYGZ0pPPn36yPzmVOHEwfeG5xf0ZEs4hcwrrqm8BiRhYQkF08wkrVLzEdWrsATX6N5cFr5kIn88+0nrjrwGuZ7393l3GRfz98a3kX1XNeG+tUK6xJ9FPlWzYckyq3HNtz+1jCWUly1ttmTaLvQipZt6qmeEsdJPb7D2PQhN2W2NKoCZk=</t>
  </si>
  <si>
    <t>EP4InHEOSGQmDBXAq9lNw2sNgLMAlzWDFO3TPvRfDnWPYMs5sEbQi/jwwOJJ72k/xvLBmbecFUUFCG8nnbOvi7staUvRvGuU9Gv/xKrsiKGdq00Cm9CrVO/tfenAT3zJhqjyNoJhqN+bEk6R3cftQc48IPmy54fT883pjWm54gQTZ5mLwNcY/yRJIOMF8JYRJ9Vn9hFs0PjqWlillM5IxvDiCKHVVeu42XzOKyZtbiIxXOhHGkwmG12HCag=</t>
  </si>
  <si>
    <t>KK0lUqUeW0zzioSdHTcfKHFApcpTQeWhbXH8R4J6FBVfy/cXyYd9so7JNwqUeNQEW4XaT9rBVa/Omfs4giF9JkMkA+WSjhacp6Wyuy2fOpMYkIxg30ewyWnklypF+Bk4b+7LYGk8HxQW5idXyhhNMeN6Tjmd7bvyXSVPbWO4McNUImVZ266LkGvVQz2n0bWT8VNl/oI1NhYPXfDFwWchxy7vp/uo9bc/+PUrP500dw4ishDBG6SFGpJCsDU=</t>
  </si>
  <si>
    <t>KQxJvkVBg4J4RNI0l7yBBKlKJ7qZ2LHO3xlXw+AxjpPqfXGHOYHXwSPLd+Ewt2Ov2wE3XnJXez3PFqZ2YLOSH7JLXxvrzE6353+UlFQKLOMN9Rh+gE7IfNFACVNNMDHSyPI7VKcBCI7oxzLRtb17hmRPtilViYFrid3BlKHZc8PE3QROdqOvM9njkP6aPc3fvwHpYUM9g020uA+U95qL8ezwKqHSWzEAwy9mJAo9jK8RlVd6R/8zi7vbrDY=</t>
  </si>
  <si>
    <t>EGIGJvywb5G4570ZL/M8Y46hF2GrEA6hPFV0HR37YNZQQ+rDEjhAUUE+sprOjJzDE+8e7vE4ZEu8UD0O8Tu2xOb9AQ8SjoKnKG6KkO45pEYmw1PwIxSjiUGh9g5vmZxBsQHPmKBZZoeIS9vwPv7VLENlMssY2R5AgCV2ufltoUXxWHhdXZlHuV1vsTR11EFOiK4AvgnuvxNe24N24GrirjIKMdhczH5S1TfLATenim03Q6wKyHv8F8ZisSY=</t>
  </si>
  <si>
    <t>RFVkZeYbj/8mWzMLIe6OuzCNf3XmHhgnrjHwY0fhpEkZ3GN4uuSSwUcEu2jIOjmpA+w212AbquSw7//p/njeLlfFMqcupmMYUgpS9O5MTCSFXGDbOByM2BGSp5RRbeXO8pH6X/3JujHDbe63PRkG3ujja2uOPJVt5sTkRLy/W1Jg+ruqDhWMV6KMqhX+2jSH+WJnbFmf/frboOWrCXo/IE33Tk+ml7EzOXXziCiFp0aX5p0eshd0mRh6OpM=</t>
  </si>
  <si>
    <t>x6vka9P00IrpLed6YBV7w6sfh8fpZEIio/JrUd4oLzo7WpP0cDHsCCsnqGSMBtt13Mbrp/3g7Cov9J6ehNV+KEOTsQGI/hh+qJ6+U42jEDNmi7t8xgtvvBecOs3BUSI8gX2soHdGQ/bmYYc9pi9hUp+gZ3/FBikWcQ1Iow6QScCv261/t7bHUO6WoLmjR9cQbBtz4caT5jsyY1IxSeVo+uL+wtcD2wW1XX5tV9/H4wQMcUzFaDlFebOyvyg=</t>
  </si>
  <si>
    <t>6dABRTo02MumSRt/GKk80bTKzUoM0+qOe+/9PnXKb4+94D6FKb8ChFCP9UuN0sp7uP/PE80Sm/LpYJWpRnl4t+lxwrMzERWK0s347zFZxHcb1BewM7Ibrig3S5mtjiJoDdg8cYRU3hoT1jt2ZXHzkBP7RMHMiM5l+f3YBGrNl27wu7ziLOGJnqJ7lMcejMTgh2h/IPQP1apL5fZybtxW9KRWaqfQSyloALuXiyArt/kQuDSwChEi46kwzMo=</t>
  </si>
  <si>
    <t>3wFwnoy3tLlK3F53qPZzXuwbEdSg/2VqPiSO0peTRfHVAceiUOQaCBljO3YbBXWVfwBy1jyp3C3RHltj5yTY0lvZ3vM46vgG6KfjheZoUZ7Tbh3eNrKlvZKM940sckS9Dkn863NtCLpokjfY62j6//zAvXeVR8V3T4McNbjlSwHMuJYyjbQDXXVktopsSJReHNpXoC2FH3a4m1csXPx4eUFqH7hEFUm+HxR6T0I/yiFdyoIx88VVvEkO2LU=</t>
  </si>
  <si>
    <t>rUWJsSBANM3JeSi90dL/5EDd/oa2x3Jqx45tVikeovtZrmWqeROXEAEfsjj4lcW9aTkeIjRxLtZHIC1hyVebz9kYnzN8ewx2/IHpEWdTyu6tsukeLUSTphQrWCsH6GDQFRJj4mI4MW0xbEoyJOsKU1e1ZGsYFsLMbc+A+ZWfyuPfkHtS2jXhBRMb0VDfUVqClQ0lt17Hkk+bhUVyoIpd8Yfak9YdnJBWBLtRmphKiqUmJcHABPpIoao4WH8=</t>
  </si>
  <si>
    <t>RVz7IZc+Gx/AByT7sX7psIgHrsbAe1WeaMXrJnqAi7Xayan/0GXLDt54s6y5dc4fRq+TjwJkExSSY6s1BrsEG68nYpsCEOlI0/N/DuxdobAo3ysLATUuzKeNfyxxL0FVGtmsztUfQVhoI2IeInyp3U5/0IagDs4nZQtpLXhS09dvSe7tgtrQx4/GNjssmZQPWXrEUCFnU0qmX77Dz+c1PHiTvoTvKMIZ53AOqcwyc1SNQX+J7fowwdJlVDw=</t>
  </si>
  <si>
    <t>vZncmxrKcugBjvUi6945yD30f4WFjLZFo3whw/LR/6+p/GGhlKDlWMsf+uVvYOQiiJsK/jyBD8Vof5jF5l8fVmFKHF0XXF1o1G/QvKe5OPhZRnzsLkPZiV2eDRxIbKXmjNlOVOailuHi/GvJ+JcgQenxAz3cT/XoVD0yoUJD61CaJHZ1M8CKnAluvdF0GFk9UKRlaoYmpEr29YkwW0ND6u4Vb33ashRRaM3ldWZOlkjoDv6jhkFcYokqyJY=</t>
  </si>
  <si>
    <t>60BeLFathqOWjMg9NLOvqr1/JyChBjffE6qEXS528g4P0U7VdIMq4JwD02tJ8uESR3chc9tpSE7dpD0pk1FEjhNyHOTN72HqzpeNhLDXn8aPl4Om3NLRrPLCWodBJzHsu/s3wwjroTFcJtpGvqtkPw2t3wGoBp5HBc60zgIjtXL5fy4B8Lt4MYRlqBVgGBb+TRQKqB2EuhiR/zUnoLejo7/14zTYY9HUj4+PfsdRaRggsE9O2+rA0oee0ak=</t>
  </si>
  <si>
    <t>ZotPXmGkPWElqgC2JQgZs2ttWaBvceDBV5NmaS1bJkBx5HCvCc/DYoZAknra5JOML6jy6oM/9qG4zcHYULVBlZwpblAfUi0/EhEbtPKP28y8HS5Cazzx9DCtgL9ktCZFU8wr2RF+Y9CwcsgioYPwMLtydJnv5yDLhbEx74Q8EZ/39SmkyjS2SCWWb+IMl7PG/ITmtATRrk5DP6ZrZKRXCXh8X8+yW/3i62S3TEqGrAYsJyfip4VYnqZAPqg=</t>
  </si>
  <si>
    <t>TtvZzjtmiaxMxYQx3RLlUl+kjEH9jZC8k9IDFQDZFFvH2BZmSmbcMoqwltzWk0UqRCfEm4acem90JdLg2GtPkOiEA1LsQveIJ9EryR0sVla+gT1WDYvmrZyRUnyQcSdxkx5UKgSkHs/luAljWtGk5x3ZW7UQqutxqnEH6h6TKABGtF+SuDEoqPaYePEHxm2hQ7OUd9ZzdU5cHbWm5iKX0yzkpZTUL7m6bpLoLtPj9dWLPnZqP0fhJtBfA9E=</t>
  </si>
  <si>
    <t>grFxArubf8uWyB1ab1SbP/Ru5sGkE1JLVaN+jHqRKDIhcRWa2vDK0GAaqF8qfUBPbdMiF+y4xnD2SDiW7hFYyqQQnp/nezc+0/s/eNWsSP8xp0+9JV5feDfaJ8Pc1rkApOT9om4cqMQtYXga39QOYXBLdO+NRXVBTNCydFYmfwOrqzbysmMchzXjoMvq/x6UBSI04Eo/3PgG7CaguHUGT88wvFUS0k125ygxZZRahgYRrSRpbFrAd6Ju9mQ=</t>
  </si>
  <si>
    <t>arhZQ7SfRy+99jVcZwU/kM0ZaGviUfp3OQCVwTnMVNuDfMZ9eQq0HvaVvpuCAdLAav7fifx3/MRO7V9CFyAXAv46IpdGe1ASD+NED9cOCKhTPiLzad9xa94JUahtUE+zJR62FGQaHOqscLPCo063jmjZxJGf3UoloCWt1OQuNKb7j5bVkdf1tEMpxXkE+RH/VC4gwxJhTRck1G3d7P7zm4Hz+T3hZi7frrLUVuAzBAsweyYqTy0lNXAAf1s=</t>
  </si>
  <si>
    <t>ayD29yYvnc90/pu4pdIXPuFZsZA568ElV3Ejf8r0oB1nmzM8JnSJuNGU+eBcL9IhTp136QrVFfpgTlFOWbHi5wLp8bxtFL4LVv+GvaO80LMd6U1DMpECCDaJO/ftIYz/kFK2bjX9vlgN8KNd5NFSBGRs80qVP48syS9ntwG2e28J1laMWdpjJVfk/Q40nExMpL/2cu3Zcx6tQEJc7xIBAlYYaggkM54Z+0nfoVfps4ANJJnugXvwjcNQDTQ=</t>
  </si>
  <si>
    <t>yQhCa4qjM3l/L7J/hf6bbHAnt3D/fVHgMo4W/KLZY146Ip2PBwkUlhIUeSWCmZLru1eKCq3In9wjT+YSQXemv8lrbgcWfRrANZEdHUcqEIVP1PkvVF1TAxT5iuudLlttducLorGr9oEsRJ2VzN5upF1Qp6ohQRIglHViIpBXrnPFVTreQnYKNaYVU+2SrkB646m7iRjM957U/P5VAjWWwvm1r0YQEXHeg8u4bfzHiakHcxFsstLx/3eGcMI=</t>
  </si>
  <si>
    <t>1FvW9nbR1jFDP+bnleuTTWR8Hx5yumA0ds+mu48B28wqJFVdXMEWrDed1PdVKl6NAHUwTv+hPdFX9STQb707t34KB2jDtCOo3TiVVRK/kaOMY7d5Zn3Xf3Bpr5nWazji3c7iN7LB38k3CciF6VQi+yCLcYNup2hYdp7t76SHE6oknetGIQdcvSdgjfj4FgVvLzuwj6jtgsMbjaRcdidG+Z060HFZYmtu74/AgtX90lgOnbgIKX70Smn5Gac=</t>
  </si>
  <si>
    <t>HlXx8JzCUK4rgYxmvwvY5a0TWpeLY5+vLjpZZexds6AEWJh+kqU2XY4nNScxlKBjsI1UsuYMWtJTLr7gTv/NLu3sm8Vr8UnAnPVudSb1eOJkyhXmbTidRR8oLRnXDLuTQB+CuRZJA2P2Cq8cFw359jEh4CCYgemjzH8FMiudlkuEmh1VCcPJ5sJLOaUEm0X9hGXxknNeRnPS7nwoV7QvmwMxO1+RxOe1fmBDOz68Lrz5xuTu3O1HUoLFgwQ=</t>
  </si>
  <si>
    <t>X4AOMJj4jdUWKa5uVEbSZIdeVDrscUOcpOKg2zhQZgbLKj4/BtCNPJD4aWEpVLUC81uTrbzb176W3oFLn80fbFcSrXRizZeWTLctRcRXIM9g8uBEM15pJ+0gH3LvdSfXSK3guNIaRe5yMGvJ96BwuBx+/wJgDmVtTTVVICXI6GTsHPUisyJzLrSSmzh0Ea4XdM3Yq/px+0zibVKeB4LQgZOkxig32YeW5l/zN4dCRB6Lm+5hR5SxUChWTO8=</t>
  </si>
  <si>
    <t>ElBMSebHCkkxVovNEyPbERdTz2I6rYE3IsZf1zua2lGIJaZVczW4cClb2HhlOTG9cTDTzQuqQOaNdFbdyD/HFGkkgHSbpe6ICTFl3lldteJguyMJsNA8QD08lwqLj/ZZAOBO7//yT/RwNdQOML3VXsHfBPOW7CDUuE5qg71gzA1knsEUfXnxX4W1Hc2e4w710Y5CHuhnDBo7RWa48oc2XkYn4wePFZ+Te3Gi+hGRX1dO5SFB64t9o6NFUqs=</t>
  </si>
  <si>
    <t>1+2VV3rzPQQPQSuqaGLRTj5ZS8vySyKSYKqx3Ap1Vn26VKDWo7fZVo+9+Z43+if+fblasoi07OQqX8RnsNa71B/vtbLaMVewuDVK1kgvhl44YttP+fmFAYB7QEanlbKKA7xGHwRWpOpx8H9rWX+41Rx+jNvbnvgiVdB2lTNKVEN+ih6f3/EykIM0V/Oc8kRfJ+kPx3MZZzoHTzPPd4FB9OSdxpoe8BZ8yBmJd3r/JhHoDPvxQvCu4rGUmFg=</t>
  </si>
  <si>
    <t>Ro11UpgjE8aRSOgsTRgSa7a+iGglALGA8aTZk87KQTV2Cx+3ChCjJEfv7Nq2Hk/kZ7Tr9UsbBo1WX3wnAbAmCnEdz0uD0fsEmY7+YUqseKw1u7gb8yDSgYdaeOA5Fb5jVBf+ELdIhpjMvusbS3QEVhoELwDff5ow2TUMlV23kwukhEsJ0JG/+sxiL0en4ZAyC8JUr2qV779HfKaARhFhJFUH+a7Yd8IgWnM/GwauCdabs7D4PqNr3LoLrcI=</t>
  </si>
  <si>
    <t>mCe8VHj5j7GRqNRXeq7mlQOeTsQIbEzoYKOWZPWoAvJ7ImPGPnoMTue7ZCFLt9P+K75FpisvzLQzi5yM2laQFm2BzJl+oQ3q/QfqzGfvqY847JvFUcRn02J0ASAEpY4GAWxQCkucaGbebSnHsOlJLLduOrsK7TngDBMKfcda5NUhpOzP0/GEgzCspY/DB7wDTh/6FjlO5uPhatZp8inRa/c+tP4oBy1ejS06dhkFExoaAlhzlz8I59J/cOo=</t>
  </si>
  <si>
    <t>1h2qEjNfaPzfa7x8L9vvGBdC7SgQK/oHcGzrDBfFxjNrvyIHX27PdBF6ODtlI3b3fn+NPq/LF/J8fKcSOP9TOH/RmlHcIlMFD19+lfq8VtGNxIWxRhfspgDJLZAApp8Q+pnQRTWEtfCB/mLO+hulvpzZA9g8g4602jAwc/T9j7jorpRLy8WbzuByOHOpZVDuIYr0DFBV4B2uHxs5dImEAqNVXqgLFCHHWLu9BPZ4uVIcWy6kTvgHTF8yszw=</t>
  </si>
  <si>
    <t>w9SWgKgEH07gdvRcOL4OxsKQ32+k3YEFUjy0FNaVh2ZswjsV1kyGHg5lXMOvVZHL+ZKJq+i36XPhnEsl1LRU1X+7RDNvQ5X2T5T1hwNfQLHBewwdxopfqfq8Bcdfp8b7RIKzZOnZb4NMmxph6i2Pi9AUPXplE1Yc+VQeqkvrRHynm7ybz7ZnT1+HxLldhcgerzr138xO3xn1sX2hQwgNuu4MaBflfHRmfchqSxuwCmlscb6btXrwd9P33Kc=</t>
  </si>
  <si>
    <t>Lm9SA//LR6ZE8cTSrCi2ZDOLgfPuSfQ9cB2yXLBjZ+Q7Gr+TqimSUEiFgn9H1bpraUOfb6v9Aa/8qu9bA2Cs8eBtkQrRxLeOCGnqO9wcvNncvaoFJYyEjYRlTPNfdZf+Wi4lj1gR2IPuwimOnbDcGI1QEls5ekKIYzI84cNt2CsRL+7Jc4K0buFSS9amWCNH1T1tAOQ5YoMzs9gbC9SEVYgtxmXR5hgbxlHMiLdvWOA8suU+zZO83Ff/81Y=</t>
  </si>
  <si>
    <t>6otHVFpZwuzzFlf7zBVoE8jYee+3tVKZQAqp5T/YAOc49N9wheGdJsF2K98VweZrhwh3O+9h2KjP5vGoLZVsNCArDCUfe2F+iyrXwPs7xSVihcLYepsO7fNutTz2bfeCAA+X35LTN7PqGp3Nzf4QULsCoBUcykbKmhjlZcme2J8XrvKTZAkwn8+TBQF7fEXYUMm4iuTIz0esmEu6FEc58oHGaLxAyd7GXUPcEZbGweMPjYBauoxz3AW3BHM=</t>
  </si>
  <si>
    <t>ntpQVqcuTMfZAIs/yA3hYt/C7mlWR38l5QL3eNv7j689/nMnY17exuv3gPBLGK19ZGnGWspegejoItzTrFkXMcTggbkMEoYHX6Xc9DMvLtrcq9ukaNgK0NGjzmdU730SSCbc+iDO+xpGF/Eqh70ZcYTOY7Uz1W3BRPejN5yK1UksxlC2WglLOiMYw3jCBHC0mTR7Fvn/kviQNuxriwpE2JPCz2pX6JSjH45KGkaVuPRSfU+13eKjWBRMmo4=</t>
  </si>
  <si>
    <t>xagkEud41DMxf07fjL1IGEeNfGmC+JJenG9ZDw/m8Ok24CCEqntzYdvlXrk8aKRhldOK8KLfpJquu6r0Ttu/ihFTNn5BloaduWpBVfL3wfZ4/uayValds3QA3Tqb/IniEAf4AIA5tXchWXNLfzAgcuIN1HeU1Ag+w45XRW+zuxUWSwXndGi8fT3OR1mH3b9vFRiC6KMyCv/1FcsbKggo4k+8TIUZcEULNUR11mq/haDRko8Q+LC+yGPPec4=</t>
  </si>
  <si>
    <t>cRA5CS7ti6m3jBSQrjtcZ0X/PF8K5UR/kJxHfybWalGUGM0aESHO0NeJdgvTllkAiTSZiSYdBC/I7+OtymNl1zpn8VPtM2qu6cB/6i9J38VilvpL6QxHfqEw+jyK76F8OErCuyC0hbJbzvgKBZ2byRRho8SAcEuUC3ErHXsuVK2LYaUXJRehetdLy9HQFX6lAnJwN3oSRG2xKZa7Et75NMgI6Ru4VCrtLNFU+HQq/KvFCs/tpWbeclNgwlw=</t>
  </si>
  <si>
    <t>dFd0TXm0de+lDpwJXpQwSPJxq0SuCu/KrqRcGdjgbZpAhCby31SFmLxH9NAkAxe8G6hs2YYPhxA1/Y/Tc5s8yensyvmKj6Iv/0YfneRh1bf9Rur1dAgk26NowcNwMbTsZUcfZu2Wy5AaDrhC2nE4uLGPakspaXSsvnZTXbC5c7WVqCv8+2TJiiTwamCVUEDhkgHe+B66OP66fGVSGHkqs2OvnK1lG9QD9Zkvz9BthNXmCTk4WmNz9CjZF2w=</t>
  </si>
  <si>
    <t>W94DgMwZyn43Z9X/e5mYUWKCwdyUIGFr8VqOKXHzUp2R5OGTj3uEZk7f73sVnR0IZZPirErzN6T0tX2dTlTyFG0pxWTG3PRoAo6Fw8yAVaRvTkdAGMRkcVl+rA5xNsQW+RRUXfZwGFqK0NS+dfqS6wbodMMv2BCd+DFiO/IjMIfkNN5p3NqaQFXJTizf1+1Cz9AO4jpbuARCHtj3r9n3n2wVxY0V0lOQOVMALOYi6bXLZHj1NOIo27U8vS8=</t>
  </si>
  <si>
    <t>3aGWa9di8csOwxyoeulGkgoxR9FXxIeFEsFYJZF+FNUM/1HlV5B6ByRiMSgtN/eR9INiBEVWr3rAHOSKleMXqAPg87LFmPdl+vGFCZlu6iZE723/v0dODkluXk07h9czfpCIEL/CTcNFZCI08o6UTEbyKYyxo/lfbzKABoIgDgfYqhY12WX8hCPNxKxMXKLivO1SnPrPVtTrhpWN4dUYwMsQK7R3WWxY3ymhwaIZwznmJyn3zqy0Agu/5k4=</t>
  </si>
  <si>
    <t>Ss6gChdQTPMfYADj3S0iC17pWwBWYmlN6YedOen1QHqTPgvm419v84RgJkr4IeAysWf9nQE7PDBKkr8FkQFqUf5BU3qZPmCFvhAPpKulYQ9gEyz3eNz12qDFHnQ4z4KvBmvaf6N2TvTWOSInTLUDJTcMzeNcdhTt9SPHvGZt+VBUd6DnZ62zopyoPRS920oMvS/vwVFhQl2vUcHjzj8/xQiAcaxBXnTTuSxf5Ig5/jdqT1y22fNiLjvzwYc=</t>
  </si>
  <si>
    <t>3caRZAzlC9RpfHXqIdBjkuZy+QIZTbrdN9Rjg0CMJkgoITXVvJl++R+a2zf3N9WMpDrs9Xq1WbqOWp8aWXtmwaIZWybDVrN/BmJeP9xB+DTOySsIvFA1ZtYoY2M6gzbdvdZ7Cs07nNXgp8JTK8TmRFhK056qD8KXub5YXwkVNNXObHiPgbwqC1RwtIJMfl38X5tOtLRR4UH8rI2D59msPpmKM+wKo81hMxp0yjMzJnEXM6ajQLU3mX7m1cs=</t>
  </si>
  <si>
    <t>K0G0sf3cI2CKK21enuaRidKZvwRP9dZMAV/SeELU+oXLqEHZYI5wafnYQ1htklRY+LM9xgfbkT5ibqLngDj7VJesKW1A04jgAqk4WsK8kqTeBaKN/8XQyBZPZyVidTAwT7OV/ralQgS/8OQPs/kMN7tlh8cY1DL44CRfRZkPfnCnYTzfKV6+NLRkCp78qqAbOkzoV3/5OzF9oJ/UN9XQcjjOJjRFYzhSvm3Z2Rgx9B29ep2HflaLGrujcuA=</t>
  </si>
  <si>
    <t>Fz4kg01KTBICGxxG4SaTNO/0l0rYCjCaRtcmAyYpiGGTfnapwIYO7B+jv22bZqRLFJHbaLywZyIl6FVpA7UjA4raJXtbCx/MjTq0Ysp1imGnTWL/9WoDlvUzoajelzE8R9lX7H5Em6+byhg1kLLMPb5W/6S10K2NcQOzMtwmjoGyZv4J7/cSfrsWL8PN3Q0G/rOgApXKwW2ApRStQMCuFXGpWJbVWLdyLjSl0iCVun8mUuHWDp3D26FTK+I=</t>
  </si>
  <si>
    <t>g6voRvCLytQGEA4xQZTPPxTQxxAP+VXZJI33uUzv25sTKObihNkM8gM4MZ8p6YRpfslF8LZUMhy5+RfWVFHDd+sr7ZHPAZFhLxPSYDaUJTQKyzu5+RqeTuRGOQzunCZEtykj4moyfVqz7OIKhZu+3p4eoZKPZKb2tgsincDC4FFfACZrHgnSTN8v6CBrCq/61vFFpQQCssi/wWa47cnbQi/doJzafjDqtGQtGRB5NsjhFW/7aAaHhLj2iEk=</t>
  </si>
  <si>
    <t>A4fK2sisFmpZRk5G/hUqUUKFGqwP2MzlXMgB8Jydnp4cN5MdN+mlXMUV1jUUanue/ofWdjozXSqa8iE1v1gBcdLHUKNWjXo6fdO9RWUIl3fYaZj/sn5V3zYdiLGVndj2aWWrcPuFN/ur3PyTbk1TA5/p2LUyziM5GtTreIYL+IOeg4X0t/AXyyVAKiw2wLfQ0GCcg87TizernbyD3G6I4m1Lta6P5XrvqTupkZ/W2Ue8oCmr23OjYhvIvYY=</t>
  </si>
  <si>
    <t>PjOjXIN5lfn1pBGmZ0sgUYa02yw39x57kkx/StWOm96eK4wvtY8wKw6cCkajtywYwVZUbhlDEjTN7yaQxYy2WmEOWbkOGNSFs8Kx8fBL9HU616UrEUOEADHZ9ilYrO9/pGszp0tpaLrOmP3qHsBY99f064cqDhzjCp0+CM3tihz+Slmc2RpUt4Bt0UP1zyhBEAkrOCEwVLcryQd0Y6l4yycQUKxmZQpOVcweVbph9VWG4dUnEaESvWyUa0o=</t>
  </si>
  <si>
    <t>zamg+wVaRoIa7acmmMtUlrxRPyaFzEs9+ijvJyx3A4gfvcvrHNLbYpnRcW6dUwTPvG0j6zMyYaOsW4AHE57tzBmuFsrynfJThJfhmShaLExilVnJlxJRlej0GWAXBtKWZG2AyClPMWEzGS862XliIELn3dM61+1aB8RScNd4ZU0Bb3NnyFshiWGDWbw4A5zyrzaBE4uhm65sbaVumt+1IgqVOVUzvVowRloJTtyNehjnb0apI02ClNW/D98=</t>
  </si>
  <si>
    <t>jsk8gAu0+3VWQ6jm1Y/Jj3mcb52570Zcf8k8xyu4oWqJ/gBCcANGx7QZeIl8V8Htj6B9Z7pKV0VAYu0viFhFYzq/xIkJ1vhHrm4wKgcKu/G4kL5xKoXm448YmpvMFyU/CAS36FCaPpNN9MnDQSM6BvF0L4c7B2zZNTiRmCb3GhhN5fTsTrb/VdnBgUOp1Rf9xy+NTVwXbC7aItWH1Cfv6e9LkDeWQ7Z4+nKaRwQddLhbwrAOBgLjRw3QjBQ=</t>
  </si>
  <si>
    <t>zCXz0QT0FMfBxjCaJUSQaOJnjmt1sj39WeQn20ZU5LStmiIbLtT83NIwsHn7DYQDQU20KdDK1/HDeF1J+/RS8pmianIz5MWQ0FBxtqSEYXuMvJp9bcNl1sasVCNSeopVMpEY/hBz86BcIIHZMJW/kbvKwIb0YXIL524GKrVrjlGOsNZpXpd5Wv5HXLxsU5DXQtzIlIAIiMOxbDojZohaAqSnmZ8RzVD2zsONH93gfcN30ymFY7MD5LYIW/o=</t>
  </si>
  <si>
    <t>yGM4AyEE/CDQ1G5bx9D8uogNetVa52Pu/bawaZAetIiXwqvcApjATCDxACitfSD6o2uRnqp/4+bDwS0/m7iup3zE4xKNx6j40Rch5ZJhmUcBNvfRFBWvDioP8tNVblS4o3kB+73Bn1iIAiHfkiLGK76v8K7jX3mVolTcafhlJZYik8GysyXSFdKctiP1RWAkbL+O8mBOzJdxDNtDRsbh5cuj1OqjHBPvGDAKH2np/mGrAzphgLA++0OTnKA=</t>
  </si>
  <si>
    <t>5HBzDP9t0fqZVO/A4SC2NL9hBN7DWVeJnbpO1O24xU/s+ICIcQiICf6rxWHfqjdBQtVPAb4WLtMKBK8ofWr8TDqme9vb3LA5IXVC9agfyhzIrOp26gMOwPa93smGDsOZ9o4jGQvXbjFraZ/JH9Hs2rQPMnWaM2BC3EtQoOcLelsDRtkjxr89ZY3/UvlrOA5fRgKXQlbT8UunTaQSEy+eGJzYcjFdGrc47QYTrzlkibULhTj6c+13HfWYq1E=</t>
  </si>
  <si>
    <t>acDS+yDelLQwD0sqoRjMkBZqtLV6ehjYdjclipY/mgXexwOlHSvexGR4F555jEPSCnSQGwqAAl3lkaWVRxYuWO2RsAObapC7hj3SlsRAOqwHB5oDR/jP0SvwR/7kgBLcQn4ZsjBtc0B9Tp23eLebr09KWaLvgHc8oXzfLuJRLM2gudiRqsOUHF4l8vrRR07XXo4gYCgeabNvxPdG/HHBKu2B8+6R435N4pzuGaNRAtseL8BoICvfCd0QwBE=</t>
  </si>
  <si>
    <t>XWgFFQe3reDu1w51h+582+xsyMxvSVYC1VQDCOAmYF3ST/dsxwo0sgHOPWwYuMpgTYqGOGRTTM/71lReGr+v+PlvtMxHUV0Ioyf/xCHsSVXyOxpzCyYH9aGHygrZA/jxL3qrCjL37QDP9QuYbWDdeum++FEaUwD2SmyW+PL5eB8OXPPUTxXNOR8eu1ReOk7+SpISzc5+4v57tBH57xPpC/TNW3018oNuxjuMpEcVVErm47uCjzQ+4qBv5nI=</t>
  </si>
  <si>
    <t>QDPV7j1tWvXHgdevD+k5yeFJqAQXmzNsWzZsQA+kLXMjf9Xbda/C8KZTkvQAbS7YowbPpikKMsktzj8kzWADQf8VVpGcRd22vPhva/ryJniHF862g0+GjmfTE6/N+3YhOsYR14OKXNhPIRD9mchXCe778bSoPXYYr2G8BlFbAJLvZbRYdE1iaAwE+BVnuarAngdms9643n+KZCbGeN2Ns5lvmd6qWPL6GI2F6X5UCydzhgHSklCNipcEbo8=</t>
  </si>
  <si>
    <t>rId0/Gtdf4NEP5zzSaz8JWtaJO93/hFKD+hEocOvrjyBjdymKvGgwFMZlStlXjtdNcWy7EFNQUMf7a11tOO2l4livqhLEf0awuOjbzJAVaQyEERO4RjWHO7kudu/UaXp4Xz+CNUl9LQy8FdnYEZLDOICGRVjc4jeVEkJpy2mJ4vZ+1HWAwzJh3k4TzGL29Ya/0osPSEVuTdS85/Pv81PyFqco2hp8lcsPfRIbOJIlZEMd5sdoXVHFefnYiw=</t>
  </si>
  <si>
    <t>fZbxB1o1rnX97G4KKtgGnDMMYpSbixJuTsXTMn2fFyNPGRVSgm5lYkAUYa+n5t77JCLK+QzG1D3OWYQlL60eklYQ0PNkCdyNfmT+e8pGIQ9C4Vj2kKujftWackHF7qYSDVELvtU2I0XxsswaPD205sWVX5KV1qQIkb3/uDkV6BeIoWCbHPcBBzvhnAXpzGzWl67uVOF40ultXgkYMh5k8Q4xe1+eW/SqwQXYAq9+XouVEiegTl1UO1XvP98=</t>
  </si>
  <si>
    <t>Zu+4vsE2srRlTPSVQmZ02D+VLmAwKsfyzgTDZQHEBxFC7bXJPux8qkvuLCDY4cePh2k02VmDSJRDpMdiXanN1sballlvQ0cTuAl9k5DuLrYYSc7Iq1tM2CjZe3ZnBOiWxh3ML17TiR+9vOE6b1NzJgi2t4qmAFbnGCzEIRjSbGEicBNkHhj3UnqxSagB6FgbbSA1CMOzUTVXP1t1h0+pc9N+tO5AEsvySomrA5moxMM/u1JeYhvrG8AG+nQ=</t>
  </si>
  <si>
    <t>NGTLYfgE3hUS4mfu//pkZPtyZPr1hbL1iI3SKJo/tQOdOAzVP3L9RiOD7ma020VmXhHRu7QeOarxLZNWliwzHaz+LYfU+jQ8pfrb0BvszrgQimfR0yeTB/btA3y+zWVSfAjDvY7EvBtybed+ul/AGomyf09+ok47ULXYv9zfvJ5pbvA+5QHWZ3BW2+QcrD0lGthGCAFN72KlHOhxbDJqrE5gwn8XQcF8P5Ijy5FhXQQHBNUfh3cNlXKM+SA=</t>
  </si>
  <si>
    <t>qC51PBumP4hpfQ2MZoIo/rVxC0psevL6Tk5cBnEKvpqiohs0hBZUix2ZTPDhGkLQMUoFp9xxf+YtvmbTxYTiLwWnl7890vXwNKyr/KmUf2Co791Jh3UUYTQ4BaoIjm03SzipXassTJgPeQga75GhdtgINdJuRhXvOmM1aSDjoORqqxaUF7il8DELLXXtpl1/P9Xwh8HORhIfF7N8JlFJYnKFNw/d6ItotNfJUpy4gVi9r7StpGreRBbhnTw=</t>
  </si>
  <si>
    <t>2/XctnyEB8rwzBYyWdB4ZkQT6ARcEEWi5A9nlyyO2cvnT8TQHTaxxK8CAAQ08JoDHXvRK5Q8z2MtBhCAnKqASxLSAxecIXdZWjSByoDsvidGGDXk5f9LiygXlmP9KMTDrJnlm7HoBa32ZpN2jmVjqatmiTZWuULUtOc7cPf5sZjCouOTZf3F5blIxCR9f9fkaLcmXPlW+/RS2RVDZ1+Wwxml6lUIjOyIhDlodnJrFb3qnrfVVsTz64P5nS0=</t>
  </si>
  <si>
    <t>jhiCcjA6lG0deubgsfoTA/2YJvT6I08H2bl/EejJDcVDvkrsWDAKx4ErhouJHQmo1z4GhHVFvuMkRVv1q+D8Gfc5aCVc7z2UfJIZyGPxCwV6+W0cH2SzRDtHa8JPZ7LZYXd4bPHXC4YFmyRsoYWb93xSkqWXsNa9ZPVH8pbA60r/9UOwjgfhENMbJCwNL6WRgkSFff7pgW2SZHiAaigkIt8LpqQUfte/VHpo5hxRf2h2xgs5ConJX+Yk570=</t>
  </si>
  <si>
    <t>N4Gv6NenGQVx0T9WbSU4mKqzxh37kXz+oUD1C6PU+BHbxiURdm7uXgEkWN24ZvsiS5hAGD3fqEb/rtI9c2KUZA3v1a9Dq8RjNyjCw++/8un3jP3ACA8N67ckw2QjKZPypcQDYczC5zFw1pjs1feWpQXn0++MwwZSFjOwIsHokZa1m0vQgVDO3T1fH+U1atSRvzks/MwQ/YAF0BMF8lnQIS32BrHIjIlq0cY0jz6IhpHXsEyGhFlca9t/Jyk=</t>
  </si>
  <si>
    <t>9SC34+aI+D8dTF7iXzTH1AdYP6CgEHy3vR6g0jVcI6aJuZGysm+fG2ezXvsZzVqsDxGqUdrC1+gc2MoVGeXNg1fB8WxJe2n2RpllBr0PA6VRR6IZoDfyjo2wr+uvA9W1RYszztXdB+TwrtSiBZshIIDP4qlUMIo41LGQhBIw/wsDNqJCjN4JiZzSBd/E5LLEigcRs9VxuV5Pd5cZ8JcXjb8zQj96zYWmvL49Ca5+dF7fBYVbCeC/fPIcvAM=</t>
  </si>
  <si>
    <t>0eKi/IUiaENI8OjejtvNtPu/SX1P9YPKM5Yfe9WSUKHkeoBGsBdOEVSxxaW2yU8QvXqpGbal2Y5QI0aiCo5t/pS1tgPT7BVd+GLNW2yh/yN71ljiQBde4c1q/2oOzAKpuIUWVVXjNGn5hMPLjrpjkUypMO8/ypo/uqadhBfQrA3nTTQyoZmlANLUMNvHOG6Yzl9fyA30f2GCwG/KhSvhTqLsCzNpmR1i86gTEARw+eqbVizLgIkKJNa1s98=</t>
  </si>
  <si>
    <t>AzfA87eg+GW4F6I81CfsoCPzwUSZP/jP3Ix0DXTyc6y3+MkaG3VmjkTWUp4BJ3EgSo+bzGaKUGzQKR2ENIi+0dPsn0nkKtrDpzFEOBqEMeuTkzEQGssZVdVIJ8ver58jH7kOa6s0MvOX8iffr1aWQFTOG4KBSdi3WMRQrBwazQdsYUWLiE4t11fhfOkL8pUhXM6YLYYxQ5BMhQNJkEprohnRRJp81qYFr7viUOyWVX3OxWghn7N3ok4bU28=</t>
  </si>
  <si>
    <t>YAobjRUZjWdGpjYX5ZUch+TGaM2lH+p81lzei0oj2O4TnNlCy+mjniTrPeUT/XFSlGG70e5jUuzJKJO2YNR3lAd6LOnKPI3rTfYlWPjglgpwtB+sJrEyEEdFcgzF/+L48RsumLLBOccy87/atlr5NpEV1bh0QqCnN8PS20Pk7IFdxNFQ7V4kMxij/O8/Pu7WN/sXQu80cYA7EDjI4xBIkTMq/ohp1nEYuSfhIve+/5cqBAmIBFwvs5Gs5wk=</t>
  </si>
  <si>
    <t>LDXG1vTWDoZ8iX4+ldajbjbeTstt1ut1h1gfRBH8Pb+EIuobNZrHXEwTejvHawJs4Np6PuEjkB9I+Pod0zF/2nvYpZ0KhElyTcstBXaZaErDWYXZYQ4lODawXqA10amAl0Jcbyc3F0GAwMKc+2uqLibNTuSNM3Q66dIHj2kq0pxZMcbUattcd1qnmPpqJOIc44Jyu3AteBHqeopkfeaciud2kRfetuHYgraZk+7DRC39MYgGE9bXNjApU5g=</t>
  </si>
  <si>
    <t>GDSPzE6OJ+/uPonpfhBdhELgFPWQCmmtbgkIh5fqPPBMNlyIXVOTTUI/lKfl8ccobFCkKGAddNdXO102FgV4nVQZ8EM7Q1jhuBqXf5QhC6gNTtZWybH/1eXsblLxTiCodG/dUFUKdT9156rBVEpk/OJS6qR2Nz6OgRxuyc69hiNt2QVMAdKHFlYiVS77MjKj2e8jwAqh8ySE+ouIF6Vf/nLhKi7MnAaTHBka71+67qYZRpL6R/WgBq0tTvY=</t>
  </si>
  <si>
    <t>D6azXXOUQKMRenv8S1sv6wg2fiTK+yXX/lJMkmVKIGnGwAgmj8kPFxoeRW7Gl6HCHGBPqTuZ6su4RWCyqmEqf9xlaNNuzFtyCsyP8NQUmyUVLMsMy7JgHvGIBg4vezEhwUYxHmtJDLJOBMyWDqXmDKWxoy4+Ly/4hYqahuU53w61bbc4+XwLPl8PMdiX+It/X2W62ZQuSHcDcPrTW7N/SNiEVqghRMRCqtzlIk0XkRTdLAYPeu59j9r0mWg=</t>
  </si>
  <si>
    <t>gQ2zZV9/tj2xQIdN8tTtpPfKhJsDbW2OgYP2HIr49AG98xRwSosy+1BuPPF8qyYdl4scRYKewX8OmA69aXovsDG/cSLKzcbc1BU/kp6iWqXCoqXUTCz/SatAmOcCzpsrKzCUL6HSV806Bk77tNIFvQtAFEf1A/Cp3eEVs/GUBq2PWk+D9nSqYp0SHOnlZgCRQichSe1JuB3Ej7HFoN6+XNeuJXLRnXuI1R9HdSeVY0DDEofpHKL3TnNlvKY=</t>
  </si>
  <si>
    <t>qgfePrPfbZuLXedRxk0ITkqqbzlaILG/MUODUTaDhvdmXpPuoKpagyDzBR1tcnUmdEEJhdmgeaXsaeTC6ZInKDSoeuEAdAEo/k06yiRoZgPjLKLZVzQqGTmR4x6G6igiYW/r9/3eccwFsv2LGwYhFwx6Y+fxeQLUnSQ1Ld0erV8nVWKHGKBDGywCCzOTs1QQghq4wz67jGeUXxwPr1ST5RQgp0DEiGMxwsBn34g8RVWGvHdG0ibg96vZkq0=</t>
  </si>
  <si>
    <t>Fd1ffBN5q0OdoenPD0R/Y8F+nEGjsm55rmtYjODJaniUVRFtoOoIvDkSg/n9XXHDJhzHJLW/DzduhXoN5EuwoxmBkazDcBFrfdgj7lrHtmSaTVfWQb9KUxLvt+LDuXIKqb0sfFyQFFuUrOCtbDnTTqo0EyxKbF7X/8riGkQjdlj9D3NAcVoeZkEnSZKuP1I7xIzXVTocTEukQHyfh7Lx2fQ6+EbrMPG8yWdcGQMfRZiR+cfG0NxG9FOkJeA=</t>
  </si>
  <si>
    <t>pLk0F155jHzN2ctxTCXxTWDl/azMmLxw+jTzZ9BkfFGKzW/iG1/MjLodN/fYZpojh8oYU9ub7alZeDjlEja6EwQEgtsB7oCrrC6qUSjOJ0Dh3un2tYWy8Z6aMa69/QleFelH0qSf9CniKbjg7VgxRDQWqhPEwozXrpSRDcRBmq+GWd9iEmzgDPQQqD3LSU03noIFuUaOosxU4W5mKfJOZjLn3ZAdSUv0d7AHsq0iTdWp6l9+3+mo0zAujt0=</t>
  </si>
  <si>
    <t>zR6dUdxDWNW15mTnoexzVsQQNUiE58EkTsiSDChZYaocLIIrXKWFn+e5csCvNay/vEVF+73NfDNjarGeP8RdwtOybGGgpLHk0SPLAZfokR3yH6gJ7k5c0tN37pdd+cHDMgYWafBu/uArROBM684GhejP07sdUC34VfqyruNPixWvRrlPEsqXH1K9ZOq4d6e+/o8fhJf7XAVO3Zarg/rX9LWh4l73J/EeWx8NgdKGzJr2M63iZCTiHFIFbpg=</t>
  </si>
  <si>
    <t>kLDrJ4v5XN5fC8pL5CktKIKIlkBB2ud1CaERM85QPAHvSQC+DVKIYt5Mjdu6bL1aZ1zKFYRGjv1KDMw9CY4Q56Ttqd3IEWkkZG6MWPtcm57rfrly+auQxIC9JVwopI+gUws1bSbqC0ikKrtqFZxROBaoN1ZJRNkuWZyf4d3JT6pupVj6da9BxRA5spK1/heiuY2mqAf0sJ/xdQaY7HFu4KNya450iCLjowMLExWGhqSIYvBmprKRHa1lHck=</t>
  </si>
  <si>
    <t>nqMwAUBOfSfroapblgsi/vZERoPbxk0sDu+sm4o61l8HzSc/4HAKdvDVNDFZuj6xMXMJezD1VWpqMyqbHlVzMbDjwYCiYjIi+m+1fd6J37eSAZPfiYQwhdF+haBIURC5EaNcS7ljk1Nq6oibUs90Yavok+D3LpViJkHE2+UGDB4MN8Lyv/JV/QDvJIePXX1m/jCTCvTjrkTYGDpdWvG6oyI3KQ/913WZJ5dTVL8WWU0n8k2QwStlbdEqjcE=</t>
  </si>
  <si>
    <t>QcNkFzKmvDL2YlrHUtR65z4fdaUJXcgdMmd++CGkzVouZCbdsxba1JzEzEPAxgVeFodnGiwd+iPlrsm/FMkskyN4KarvrEL7JBwywq6otkLiUdZrh/E6tDx4KYoxRQoV6Ncez8DcGjTe4sv9OksaWckkL44xqMK3k5pM+ycFV0QeP81NTC2JbQc2ewbS8UeSJrxjcr92gvBfPXgFcoNXBANilZrKP3ObOLXIjrYT2YRlHnYUhmuG0fM8Eu4=</t>
  </si>
  <si>
    <t>+rDvAIE1ZHlvlNsWxWnYZiTMQU9dpi+1vTD2TfAMuuj/Kw1fVLbsNZr9iEJ4RxVyHZ1e56RjwS44J+6f/mOB7MR9PvpBLHhN9FCx+s2Xosc/FhGASB/LRV8PpdEvIQjYrL2E0u01hKL67dEIGjigsxOfTJY/Jx+LJaMKCjDysYXt1TZFKFfxr2em6COiSd0FBKYPW1D17vi3F9c12U37j8G2saPBM6Ui5yAXfwKuMwNoI/z3TRXt6SEdNaA=</t>
  </si>
  <si>
    <t>MZ6yRCbPjMpWBG4ZBzdlvLmx9UVMCCfFKc+mVvoIyLj6c3FMOEH//NqUSAVj0pYzmXCKk4bw/cIxpeRZEnG8HRhtdzK5zjcEo3RPoa+hzrjBW69wrLK0jNUiKnXUOpdH5yRfjXHAulE8iZvQedJ2/yH08N3gS/hDJnc7mgtVjDFZ5vH4w3tGDpNt56UWJp8UoWhoTCsQN79iNgi3zH6NFrBZWZBVAw/bxJzGCAUfGTmblSJjaPlcQu6rKCA=</t>
  </si>
  <si>
    <t>uB0djQBEgZShhk9JLQhh31wi6Z0G6zQxlj33MWUILm9U6hyYfTitAkrrMt/0mMM5LEk0Sjxv4F0V3n52AJhphtzeh9SE1bpBkR1MXiBKt70KlPWudMfvZnf/6nH21wFXp3xKv2HOMahQWN0LLne0wFkNVLK2gllXVRW3AfZQvFBYgH+7jLpj+uHyUQjWMid2bPfrBIFTMBWUX/YQhL/KO7q5SEMPvaZEOxF/weMSdQXZUrdLMiLH2V4FlYw=</t>
  </si>
  <si>
    <t>5xnmxrikEbFJmhEMe9nvRXwRzPO6cDgP2S8l4jkTFzg6blauV0+O+kuEv0zFON5tBKFUmjp6xqwJWaxTuAdBRgjIDpOO9dPfCoQEHsJFSiD04QxvUEksK7sPLagQMEXkoY1TnzOM+mcc/lbKVsC2O9+DNJnADDxYJS05xsh5zYYMF2aM/VwArOpGh44ifRGtJ3gBrfp4bjSYFTDidZGPFQ7v5Hm8vIiyXYJE6EA5NpBDjNiSnuxZ4QOQziQ=</t>
  </si>
  <si>
    <t>e3Gzmhrsxxq01FFuAbN2+7D8BQrJKC8gsnCuNQ6jw1ZneFO7qkOn5rxMNb+IdhjLEtt+Ek80ghgsIihaPKCoCTMOzWz4FnpWqjqsE23ESbRbKCGO693MpBdwFPD2rF4RyrP8eQrA53/NvlBURDEvTEcfkjMZeb8GL9s3e3K0ceo7rmJy1Pd3Kl7I5nBueNdRDuchxCdap70VDbZOoxcSm73EWp4gA6+Jh6eXPUucpBSTsQ+Yc59FPuSgR9E=</t>
  </si>
  <si>
    <t>d4uumy80Q5is54JDQHq8DX2gWnnH1rCNHFew8OpWyf5OTu8KWhY7N6cBHWiI3+OTgVxWVeUPVdCYW+EJKOmXJPgroNIukONFwLq0UN9NSsXBNB3c5ysGPRX1wXj7icz4QZg7sCaW0F2rQQ3Ic/Zm8NHuipjfJy9QQt2SYxwKtUZZ3geg4oKaKJM8dh8uoGxHMAARXAFS2Y4B0XowW9MLT1iSpgQdyhRKAcOEP5IkWltEoOqSb80DtfTmCPo=</t>
  </si>
  <si>
    <t>zVnf1KFwvrc65rTj7uED2LEUXaIRxAtUFPMQeVj4NZF4IpABg5s/8D9DHcGr2Ad+4dk+lb9Aao4egTViPwUcZlWsrAYrGYe1pYU9qRzTkyoEenS2uARryCiD5SNQT+YaI6ePp8WhnAI9QHdM6b0hCD1FwU8vhEl3sBjxTY2uWjJkLsHd1hRavSlnVDgdbVnk++IT9BIsSKSMguN/FOEclMQdhry5l5FcZ0zkJeLd572EqMDeg4sVOQlfftk=</t>
  </si>
  <si>
    <t>uM28MkwZAsyN7zlMLpli5bMowmxZuMYL5SPuuGhAi2iwVw3sC2EVmYG4mfGu612s/w4p/qZlO+DyUtJMMPAckRTALIUxdQA8igiilZdbVbI8WdHQVpPQCMHFrRgEx2f2PRRZ26UNGn4zgZIItsMbrq4QejnZq1xkvfx36hEEjBpm4ll6a6bF0lMZps7l9qWFu395t/v4v7mB3ro0snAiRMO6Nkx7oba4KjxSVVX98XLds1goPswK5De64Dc=</t>
  </si>
  <si>
    <t>Z4es28X0+7wFWc1PCPvlu4FUg6kCrUrVAE1jBCoVxM0ouJ/Odgmg/raKgxQ6GBU5HOcH6tS0K2128DZrBo7+K9rkrDoBsRANfu/vTQA+8iZACR47NkzWifKq97NXYPZnM4Ls8cL5yOrAOtTp2wHMeeYA5x08oREnmnl8RTboCZqvR1Zz9qTAfv/TCWYEs1t3aeiyqHMDMoXijDTEz7FCY3oqt9MNbZuoVSEyzRV9MM1ytGZ2rhHq7J64Oe8=</t>
  </si>
  <si>
    <t>PV8gMsVM3bcER/qlUjWgsdetNg6qy9new9JBMgOoxIQmGHxljO/8sdMa4/Isc5VO3J7x8ECga4GHF0voIuas58Yzw7+iR2NqjMErGzVXhuaopR2h92GiaqXZTVZPHRss/xkFyQ6WbEygfxP/cHSxezsIeaOUUvRuHjzUojtYraNKFWk1OqpFmDHOVOGBqtiLXI3U2HO8NQfFwerHFftoQFGDD16Td3J0w6wyhsSbVFO/4tSdd2Ilr1o11Xs=</t>
  </si>
  <si>
    <t>SaqvGzRPVqnxqNAnwSocAZp5no/nsTtI3a0LQIOkHahPRfBqjS67oxx/bO/X0otshylZUfvqhHzN0UqnNKFyZCPO8MUuT+NgG0b94C2TBN+MhdwQRxOByWFN8z7Lu7RpjkZJnK8EyxNXKVXag4tXgGGz9FOJEDb2MXO+oVu6waNdB3jLrRxStupw/A4fR2ljHxT2MxNvNwNP3YwW4vG6rLitlRmt2IeM666w664YpLFNtWvGkvW6x6yY028=</t>
  </si>
  <si>
    <t>2lNtpxoNj06Sg+gKBcr2lSXqvf6yUhKIhZYgl7j4hPmzGN8Vn3o3krMgGxAAh8a/Z62vdFmKb31uoRGfimMR2+IRP9mwCDB8HfRl4wYNIs/cjerpEebsgBiOkqiHaK6TWxTlqaI3/e5bC5h0u2t9gYw5USb614qAKEYd5xaHA0f6VH2HJ3+JcZgfCMYBHEeJ7fT5RMbV4g02dqIMM+Yep67sU4BBce5eCBHowhfXE4kWGdEXQlakUNd9j9E=</t>
  </si>
  <si>
    <t>wJSvVZSaXBjvdZO893hJRFmJ3eBbgcexVIfovMMZWB451nP9Ra3NyOu8/rMvNoAOJv+PUfUEYJT0FkG1vytoyy5k3Cfbtb9joriM1E5uqxlpxB/FauUtMPBW8X9YnAR6ItQdhZB6iMk798PHXY2Vdb1d3ghni9zw5mXR9tJtuISVrQofy+XC+vf1zYDe3V3wBvoEE2pw3hFWoZePtgZqp0KSEN3i7VLrkkS6qRRB0N5go4GF86XBPEHYyw4=</t>
  </si>
  <si>
    <t>fRaP21ScwXgYt7P5yhRsk1aaEjGhnlqNJmi3h0FR0x+rKjn/Amuw6JhnPkUYSZrQzpfj9HQicKsLgK3PCnrJaiQovpGNhAL4bj2bavgavITyMb3baxP1EjXG1ThaTtJK2tLem8k+Z+xVKQP1/0DdlFLbxwPfSsmDTr3PfQyCt4mDnkSCX9e27ijhhUvPFu99GVtHw0j12Yn4m4wHsu/9756I9xO/PnB+Vcd77IAWF7OfnkeA470Uky8OKHE=</t>
  </si>
  <si>
    <t>wKjxfpFEPESsuALZOlE4akv89Ll6Y4CquM0bpOpbe4dXwORrsuPi+jGI2DKNZHgnEiM03QDaaW1jM2ZjSS9rqfSP0sbmPrgtt4y2caWwul0H5WMSA/QF0DmqJCtXXYCl/AzJbD8kv7jqLAkwApConIHREUyU0G8KaOIWqWgpU+luGmL3S4SGNYg/GObo9oVo1BYmL3RNbMgx4+ZhRMeNM+ZGP31FQCrpQY5FqSNFP7MmwDXRFmyPcIjkp/o=</t>
  </si>
  <si>
    <t>Wil0cDqAivAKLijUgMHm24eOLRYz+ei6u9EKgfDcHBQaIsodECzMtM25ZF7Wia5931E21WHxJ4ed1+3SYXkOgkqTdOLuN5bYkWGEC4KznwVmLVC3dBB1M6gn3FYdxmXuh9GHz9BEMHW7MV95mY21ztZ+Vjl6LWHNCE2K5JqfaCUEHGKnfrsNx+NXZQWFREmVYvFBSs3Aw2+S7k29q/GeS2ujrir1wriMuaf7/JnCV58MEPA1aJqwrOHAxXc=</t>
  </si>
  <si>
    <t>+CRpqCCj/7tPvL/Zfruauh0JqOZrDhS0d1p3tSrpOBtHVih5sgaCL0gPzSsdnu/DV8JqG7RU36sAtahgwuqGV7qiE0YzzbNewyMVTuKTDBAKp38+CVvfcRMP7fI7PoLOJmTAf2+T16uzHy+qqnOfSq0JQ6rrULeMgqdHpGzwY0bbhFYS8H3aMXsrdJvfG4hclfeObL52IFffXFMv/SGRaRM5T8J9gw3UmkxiEPTaUuKAQuq10UD5Mkn714Q=</t>
  </si>
  <si>
    <t>I3lwY621CLSiSBp5MvapnO4lnPNcu+0rWl185M1wKpF+GhQQM1CLs8aKH7ax++Acq3ZZSuduYiXcC6lTyY1ztXWiYr9xWXIrlhN/mauBO4Dv3m0x4gqH5H+RcHMncFBYGrWgKeGrtMbifDF4EXrv53wKXVzknxJnt6sVk7X5hgfWZGhkGnT2kzL01kgRwuIMEU/vRT/h4sUg19iN0iNbJ//D+T3TY8OCxxOfFAqo85qxMvR7qa+/+D+/sjU=</t>
  </si>
  <si>
    <t>/A5gKFJNCmQ3MGa5jHVXfq5X3TjrXEKzuVH6CLmN5nU05IcwWSX5SW2FBwQs3MtMYv4StsPVhHQ/UeJxAFDmyknWs9nd1s9x2fHT9S8wVwDmn61UmhjeLlvVmrwvTHiPzfKomGXXY3E3LkpDhmUfS4niAh+GnRDQSK7n697FHYBet8u6xnUz7HHC+0clVqSPb27bnlrvC4U66oFrQFjR39Z59TbXwAaDEZ38WGQRa2z9goD5rmkIxHzv+oI=</t>
  </si>
  <si>
    <t>nB+vK+ub8UytEOOfeewAEUiSWQPmmhfdoK+uHgQejkMyit37rvJEB1ZfutQsuKbq7NYkhd0repH38nm5TIM7HOhYpxwqtxnwpWM8m7/RFRNntzvU7A7Zax2EE85I8w85uXJVm5AIfCx6Bq3QcjDWQ6Wy+KwXZO2Co+50n7SZz41iU9KliEBRYobW7WbCtD2g14U/htbkN6IKxaKNPeJhAuOytsciTVd6F6s9ytGz7vHOrJM0pJRmORw5Rjk=</t>
  </si>
  <si>
    <t>jBYgdwZEelQBSQJIA5TeqK7Fxk4QPSS8E/0caXXibt7MN79/dOP7she/rY33l219XJFoQRz2q3KsK9/VIIpaTtg8b2/0SMRM2b5v2Qx3A8ela6QXJLkYPuesQlTh9Wxo4unkGPrv3/GngYaBGUhCXvnwGb+yC369LmPu/weWA0NMIUfo+zkLUljvskeuTJVbTmGPENu+/dmUFYGxYM0ikFTQrnq1DYCO3Fg2vi6Rh8LzIdGpTDu0NK3w2tQ=</t>
  </si>
  <si>
    <t>8RhwK1Pr0kDtA8tb2IVJJcWo5x2K6X5NFzezwLNPOkoUPxhDfGWBtpF2ucmZ4NQ4kdU+u7/DQkSs7zz+9IcHrvibPpXMUFuZinmbF0ZQrRCT7JlUdvXbK2Sasyx+8lP2XXyomhsk/LdjDJRAJJHHyX3h+n8mLI1csnKuOkkBguQdPp8RMp3+/gSwNOPIAzuD2iINLQG7L/IsM9DQd3RVrb7pTaF1Lz90HsUDpIbRCYQwtOOzVoyEd/ZqrPI=</t>
  </si>
  <si>
    <t>Ib8jkl/SIOwN1SqVRzcZuQSuk/5ZR4KEVxY7K0GzXmznlM5+ZiQDbSXuZ1k6GNfgrVcr4rO0nk/8mx3jlFpgNeP3ecfUSX2MJvEd4e1FLIeRLVVqGusFUBh9qRK35QBNZyFyp44tbwH45Fj1VGNlbTW3JmDPx9Mftbqi7bmbYarfj5lnlE2DJE+MyIcYp9UUkXVrrnY1RbOKDtimzixHUgaAXfUa6DAuogeWhisJk63KWnl14HzI6wFXKmM=</t>
  </si>
  <si>
    <t>k1oFI8Ze79uCVMOc1kzeGfDZsZ0UP0Zw6ko9EHQ9Hoq/bKXQRKrBByxPoXCfFW1tYJmDebC2VdcxvznGDqMIEwhiEEA2EdeiPGIdMhGfwkvwMbwOiwTViAi1/cAty4/wPV5t98r5mtcgYHR6UiHL4FSQi/pY+iuzxDi9PGo6WLGXTKzqVBOqDWse1d2IXFQpC1JEnwrLvXUJKA6qXDnIvVsElfpwchbgGG1chujDUOtJgwN8yNF+632oMHk=</t>
  </si>
  <si>
    <t>UA8blX3vYkrBruB6lzgaDCkEgc+7U94kD4ye34iJlnQ936kTRymKnRW6Gog6hyd/pEpUUTXQko62EaL/otfZmNAcneHm5TFRxqNPQ9zioMezIT9ogwZv8ngURJvZElcuzYWtK9ZlgsHPEelNAKhP+emybzy3T3RN+a9eTTHnjvJkVPtv/rTI+XYT5kpjYP5yzlZYZmhY5bW2J9gSgQPs4qMI7hxCjFzQz8b0vTZeAv8N7LP2GZewhSkEH2w=</t>
  </si>
  <si>
    <t>KiUNKuzIlQeefXyL5/WQAlRzDruM1F6LivndNpFfAjwmskh19nTnM1NmbP/woaybOhq9k9NvwCqHbfd1QUQvpCIJGuwJWQBdLGnin/CfFJsc40WlKeJ8r+DVXAST4iMl8oZGNJHfwetUGP7gbPZUydHSocOCSC+HV7iDsb/JfecrNEFx7xWe/mLreamar+XWqccNN8GIPHk8TBd6YkVTz4uXJlJMLFNDx9ItV6MlCcw3rANwrdWFy5ZL89I=</t>
  </si>
  <si>
    <t>YRMBHdNNboAtfb0+NY9gS/WN30RLUx3aFVgt3YJTK2MZss+s1dzxVx1j/hrka4wZ+UZUid1pp67jYhiAHJAeqRwfNXAQkbXQxcc/cH8ObJAcOZBX4jUu2Ds0g98+nW7ACYzGEDmbAPtvH2L/ghhYANA9t2jvAJjTs8mY5JG5/fKJx8Y1wWlhmD9SFCv9fj0QyHRD8QyaSx4KnOZu1lJfZHgeh6MnKblrxgFb9yzM7S5IRhdyIsbDj+RZ7tM=</t>
  </si>
  <si>
    <t>01/zhNaq2Ax8Oi5Ocu3IkG3/VWKFXLEyMARNfXf4w+aYYGxwoOS6V/9tk0n6giJUiJ2mYYb4el3kJB2o62LKTlg6VhDLaG7GPg0uxUugbvZKSIr7dlmr0/G0VZiWv/e2eR/0ok2TfcFeXkKfUadeSfsXW2mUnbl7H8q7g38bX8CnNCtrZLqJ2n5dz+vJn0IKTWf9Cy28sE96OcqrMP6LaFiQqCg+StqorLnnZN5qfzR5BXiODgCx8KuCOtQ=</t>
  </si>
  <si>
    <t>8m3+2dbhkhaSUe1/GEOBMqCmrF1cOT3xGaOkIMEeLMGgBjJ23qycr6sdOUwnjC9bIQlw5jprRpDrHE0fxPVux60RBnlbsJghtLm3hpAGGHApgCmPKqXyElX4kMjg200DlrMDjJuMJJj/XA9uMmFrvnt2jSvFufCe0q0gdvbGfw5ux9nQyWE7Yphbir3bN85gjFrFlunnJFJcycl2yi/pCtL0SqWvKedoMI98KRQMOaP9KG4/gQ9sdwoU4UU=</t>
  </si>
  <si>
    <t>4FcmXcD9fUFT5Etu1GKuJ+aJ+lCnCHcPYxIuRmZUNToGjm3vCrAfYWYnDaNjFy6u9xhhHU65EQfZUrOWEO7YFnskHujeLcqIBxU8RSb9QR+Onj2KieIKgu+JLu/QXlXcuJxHjTX2KuokoasPVQcZs5i5CEIphcvmmEy+B7DGI1iwZG33H9zCdjz1j5zvbzdWGMORoCuBNYMLWVy3G3G2SCvNy6gm8mzVdqp8RL+gDJutaLYvRmfKx5hCqf0=</t>
  </si>
  <si>
    <t>scX8vZdmdb9oOohlkq1x8QTTxHZ352TJQeUKc+NDrLRancDup3JbMi9+VEQbPa3cfsYPAgM+JcF+zAGfiN6LBLr89fRB5X5A+kMWFcQFLdllOuORPjQL1p/hkEwQ/xiO5xIkHLb0/0nPjuzeVBkHRxId4/KQgdNhhy+Isqd5iGMMOpCSdPlm/tn0k8nEzU0AcLGGoYjxmU8lP5ML9KhKlqC5PP9t02bsyXxj7BQOGShP4IhrS5R/6pcWpCI=</t>
  </si>
  <si>
    <t>EM9SRyQu4fxWkCSz0YrIn+v9LuRsoyLxZcJRHvNe55YrWVoh/+9WrIvQOBSPrhbrpvpFD7AVrND0E2ckqV/PDY1fNQEIK9qmoVVhuGwaLOqwE5i2qV4F15d9/FDEiTcV9BSfT3ZpH7ireZtvkbqz5oxLWCqBVZnxhOYvA3kI5ce+mVx7d9hg7NpMumIVMxuJwVgSbehw7yTw4JF/IVtab5j1AoQ6GK/es2gS24LTnnaDAIFGRWbw0zKF1zY=</t>
  </si>
  <si>
    <t>AOsfX/YBxFK4LYD2eFC9Gp03Y71V2QAniF9kDKKBmkflTmS72oikXyxwTQgA7eDmOaiBfOWHIoKLkOfTPn3eAU0lSQYnf5fTf6TTwvMlVdd8mzJVulLVUyQIHAwP0LaJ6/fIUwRgoKAgMFOQzlZxJuiLSVjPIpTx9J1Q3u6H5IkApkc7JNaKPsJefeRQ3lc4xdGHomRhJU00wKCmGuWZA6JmLwFW3P7ivuKpAxtmwucE7PSKZxt3giEGXHQ=</t>
  </si>
  <si>
    <t>2A3BsTJ8CbDADUZ8ANdDQrZKzYs6Nw1rcbMrF1/2iNK55RyNtzjM8OxETb34QCQ86aiyjh+Mo0hw5A/AwNb1T/mrJ0FPPTk1hO4qiLOkfp8igq8P7BajSi+7U2PIMsrmW5Y2mY7brmbrxpRdbWj/4aW8xzvKJEtkYOJHbOPMJyhKcEtsbnkHLG8T+91IsPcIbiWNYIa++sfD5N2VorbnM5TEdYIiNI+HD2h9X1tOjt/JnIcJuPUufLC/YvM=</t>
  </si>
  <si>
    <t>grbNSiW1HxX43+ZDJUT+0nDEd3IMjvWuTXCc7Kn5DbVsGyNNV/dzPDFv1PnDhk4APcYuFlTcSqfNF81htCQL046MVbBppUKZGClX4SujnvNC5p2hw8GNWlZ1GYOWTkbWcvH8sWHQq43JgtV6P1upNBoHc/KS1ueOPaEoFrNY/kevJnTz0yha/NzUme/K/ZhuwUhOts/9DRV3UiktATHCmZ3i06UTtYKitX8BqXZKu+z1oKr0Vy1sMm/2rEE=</t>
  </si>
  <si>
    <t>pO49dmQYZx7AV0K8Vuqww3eAKcgDzHlzFsJcH0OTiolot8PAawVQjqw5X5bVoPddV16hal882Mk+6XxgmRuuksRdRp6puJs+BzoyNQOtU3V6bKVcpLXpR9ysDITiMdXAexEq80n+hXM2zjY5QowWZKZw6EfsI8XtxzDINfZJx8xAQdSCq9J20T71pWejnbMVPEAed4kxlzuiVscZzimEgUUh5AapGEDj8uqzvHMLoSBBygeea1EuXeV/BQw=</t>
  </si>
  <si>
    <t>bbOQ5z02+4QqQbO0aAmx/v8MMr39b4FH6isylWK+XFdwZrTTE/HEgDPJJyVoE9F+3i8Bn/G4+hndMtcsW1zkPBp3t2/IYZhQk7DbhAxql2gZSW5qwr2zh/+R3oOMnQUWCG6iHAy02/rPLN21lOZFBRYV+0WZORbAPgfN1D2jv03SjvoWYF2xP8tnmA9O1GCN2RODIawYLgthDCrS3WVnIueg4Wup6wa/SmDmsiibBHJno6/t/Eqan3ducOw=</t>
  </si>
  <si>
    <t>DNfsqZETsIVsG7n58GHIOWYs4LSuwpJgxQM5yvKF5R+0Jrk6+Tux1oltFs2Kw/JaYa391FopYtS2nIVFjyxXCcfxdiiNgDMdmFHUeQebd7FUeSCszcX8fkfBlzda3d30MU+QbcgRiYAte8vVKr3kTSohLMpYnK45+E+8oSwbpz26/E1QvIyoRtok4QvbqCNzAUJzupj2B97y6iMgpGHX/z7kf+MZUpQ+WEqPpz8mdsj/eH24XriXLBgryqY=</t>
  </si>
  <si>
    <t>MVqwcOEt1LcJYVPaH0qn4+NDw1YiQsQIFQ//RJrqKuPL5toFbJ0RtTO2GYmf8qNw21tT3S7uOFaW52XPx3vE+Wmwd4MH5OtuMT2saLtRvRf4xTjgqVsMPlsuQQ2P0835d1bwNGMsOIRdgjnYaYyu+klC5qxvw/KiMoxZcGNgx5GXmAwJvlUhPVBwuZWAsJZoZw39qxkd40kWUM/VP/6ItDrGQYoP6ykqU51WRc783UGJFHxk9Rcs5TJ+KlY=</t>
  </si>
  <si>
    <t>u50MuhTyVccWAqAtTEmHr9Sm/jRFAL7mfCyGJwWfKuM6GOeZ9aRDh1asbUh1MvUsD26Zl6bZL8j/kGol7Mu2OJnMn59vrteJXejTxZYMlRa+qqqwD87qob90lXqo2ZjaLXX8CSBGzqGyRT41AOlRsU9XoGpgKUijJi5V+nfwZr9RBSiGmlH441HSkh/g4FcoyMLXDiaO7l/vcGb0N2qH/ATyZ+PKfs1sKaM6fSbdV4Hq/dDmHd1D3g1CbNU=</t>
  </si>
  <si>
    <t>jYZtt7iEAeBCJdVgSEOBI+zULsskkhx3MA6eEOBT+ZpwfxO5e/y5Lz+aFNlAq+977H5qg8Kh6jbknvCXC3iy28XLK6c75Pmk2Vpc8C3TGA+dm9CdE32W8TiM1yVSEXgYfxFvJBIBVcakc1igM31qEWs1eUtZfuWlAJndM30vJTixsxg2kiK9gSNW/QTx5BalcuyfVzR/lZD0ZDP2nbCLWXyGAvXOpeRfH314x/JzPtQ2FcD0PV+C54c3uY8=</t>
  </si>
  <si>
    <t>FYs8Nol11lIvGU1BwJlX6ns0V7cBKIhbJEmEtT1wAXbdMAoE1zNK0iSXi1UcRKl+oSCY/4x7jVsjQOJ220kC1sdzWS4V83z+TPaL+iBqLg8eaE+KnjbjdIc664rGUv9iLjEPHlF2ECOCASZ/LMnU7OXITi+WMqe2S0AcBeWRU8pPxZM8CHXsmEQgivx5UuxUPonO4DFDn4BkcgLNzU54Cu+93XiMjYUDzhNRlOX0ihPKAGSaXGdxowVsUCU=</t>
  </si>
  <si>
    <t>xkPAZik7sdcNGc0TipEOUwXzNTePT8xXJhpHx7I0Nc4RiJnf3MlvhDlKt+GyUuLXypQtyeGAUhOMEAyog9ygWryek2EMxfl2XzE/0uaFl8Kj6xcYrP638Dpv5XsecE+R2WSrDAZ+u5JS00VEgjZzb8UYCawEl9UdIRWHzWeLabGevnlXSkt+hpsibPSbtbsbdWrb3njdmySXEHw0Uxm01mZtk9u3isv2cL113hwnnsLtmvnIJmm5vhsNUis=</t>
  </si>
  <si>
    <t>pvDM4KGG3HTwJx/LaslDGdgLW8mLDEtzAGKwg4AXEU2rgALF4yRyqpy+c7oE++kNP8cgTUvGKxO5WjI06CG1+pALeCXCfhotBYsphgWOpAI+mJEthQrSOcmMLtDY3+GhElleU12q8+9wVtIs1INWn19BQWdZOxs8oL+8jKtnYx9sXO62jGnOgjAQQKZcBClATWx0f1fvaz9FqKl4u4ah2mURtbDBoqvBIbMeAenjMY9X9/f0j/8HOKE3UdY=</t>
  </si>
  <si>
    <t>mwbA0vohLXGj1IlJaBu2UJPP/a8gfmBKbTY+T7IUI+e7UQgN3X73roTAgwDXUIA0jG6ElHWCmS8EwS4pJUrXuf44CDQWf0yULnpr5qp4itTYTt2tWlbihZR7o7JrTGDcyeX74qPOMn/Uv0nEf/D5/ihr/BAlmvBbFNfUa31HHclWPip1BTEl23p+5e9lmanvDa1utiq9ftzjm9R8HfhzFqvZi3iFHURQu7H2J1aMcMmLnPXuLLZNPT7TZKU=</t>
  </si>
  <si>
    <t>F/y86fLtR6ymHgUaOZK0Qbc3Bqz6KkHc7HgFrEhzgavRn3NnfoB+6DSNHnS0Egvu3VMqxthrsfxjF7W0t6IW4SHXFxVI9BEScZicRHmSLsltZOI+w3jY6FfC8wXBqe1PrAdwFjVsGj6T4nxIFrJH6FlB/1oqfYt8WUET9TFOla8HWSkopLaoyKrgx3wES1OnKq0w9u9Sbj5tIWWQM5Dh/SdrDze0ml7KrCLs5dXVbuoeS+tAclCERKKNQF8=</t>
  </si>
  <si>
    <t>1Qy4BA8kI6uNzpGa/SDgMKwSb4efIaivgiU/q2ZvcppFlGYbWex381KNXnMtiPmmv/ovTjfWB3n8MXC8weN0ZWyozNXpOjsOafq9Dy+4qQWJ7Cf/mCDj7VOAEc/x3HcY5prp6M0Kla2TgPYTrRbOd2dt5v44s1U8RLlv6B/gKpgu+ePUq3GKXPswZozB4UriWHf8k8Ay8iVlLDM5JfNMgRA6bYxyyThOR7wfV51wR6pDJTyS6Sg7YNl0Rhc=</t>
  </si>
  <si>
    <t>MLM1UDnDrknLNIf3ROngPKKhm0y8rLrb8Gu8xxbEeWsalvQ7ba363EYNxVO8Z4jCm7JFcsV6TregjB4H9BZ1UD+ZPKh0AYxNCnnXUqsSyEditWKXbablzOvR3SVxi73u38L+8EHP6L71/MqjxnDmOE29HkHJw359PVEpxTvXURk994rAhT67GFhGBqlqTWwXh0yk8pag3zDOkXPvusqWyZrgVjWZ47aFmV7XFS3PxmPnggC8jZVmIup//us=</t>
  </si>
  <si>
    <t>wTVCIGoDvIZ1pLcsJUm/NTT3F6ytoOlf718y3LZsSu0/ksm/27P///8ULIJd7GPdQ4/MJ80gOLFkl2OV92/yjgPkZY40ZCHmG0TRJ1QBhEoSef8uGjkeqI9cH7MaJjbaOHdJBC4scV94t3K6UC4RdUaGIFBwZwuQaiJJROrJOZfZ9ny9vOxeWr80RAsk5k1gLzxh8sbAkfHRrL2oX0ni4xiPD1p+pW2OQwjRJ4XY1RUAJYLOHrSnqSyC8yc=</t>
  </si>
  <si>
    <t>Bd4cJpmP6rTdiKHTGBe8qzJPJEwX1TcpcrFVYbWxqLVIzoer+Rhea125CNRPGWwJMHCxvjQ5Kgdn7rFvZMtSzyYI0Sjk7wU6zkWKXx3LHJ6n6Lo55toRjOdIFnol6+BO86E7saBk8HSOweRedvT4JWwkcB+Iq2eoXBlRdUy9Tz+Pp07psIO7x4xPpCbQ6NquPz9XUTxlGklXe63iBt3ThMXPf4ymyqVgKlKmXfmmmt5E81ZfTbiFzp4sZmk=</t>
  </si>
  <si>
    <t>nJLYz+Wj0AFgN2tixYK44eNFLAfNYSwITKqGBZLf0w+ibbZmXg2Er0iiEtXFTzc9YKPKn/vnDQcSdhTRd6m1TCqzB8WLNM4sCQnjBW7e4JCQmUd8xZtRb11RpRCJlEAZBh7yW1QWYsIGci9ukUTHxsnw7nJYfFN1RbTujkgnxdk1yn3pvYy2/Hp6kSdE3xwZEle8jTF0LmjThZgpdJHyN7r6yj5QoSZVk5rW3BCuyGUUZM7R9Fu0MQf5eK0=</t>
  </si>
  <si>
    <t>nlC+3Ijh50wnUfdSuSqMZyp1v9XVen7NsgSJ1WnlhV13hJQJVe+m1bg25PPlHIzlcAjcMfLYf1AFsF3NNs6owiwVILk0Fm+hakXxw0fGHioyvTOj4Om0r52zQLX4G0mocRm0Rvot6FC/FYvIXlbecaQ004l84kOnxoVoCZQmr+WCZ9+oZp2EYmkGv2lloSa7q9P8hp/4jgJrEoqWwfxpdaq0mc5TGGUg9p/t2DOItfVK67NaxZddjkB2rhk=</t>
  </si>
  <si>
    <t>HD9jHYZiaa+faob7J5FWDk2/wUYbbEFbtNLytyaoiDvEoRfO0FxGGAI+94ORb6jQaZQaAlE8tFUeVtJNlMrZDYLlV9/VvK3N2vonI+qTCBTZWtvk9xG2bO9ksLhCnFjI7LXcQYVi9/+TLa+nKa82B2dPQgA2zewG7ym5gU39pr2CXp6dQeoT6Yom0eltN+src1L46mb/YV+UItT1ITTzFhBPYTBqsRuMB/4VG0AcyeWcb6k0u5pzoE6aUXY=</t>
  </si>
  <si>
    <t>5qzOrlrKR8b0PZZ78aj+wbdxf0jMcr29/ssLKkDsj1PGLvsehQ8Mwc21PQNfniCuADrg43LoTeBdI7H8Kbjdn//Tthn8EQsey8/Z5vSX3IJ60IXSW6ss28tyWlpv47wd/9qHAQUyKFr447pvFq/AV3Cwb2/BOiN6tzXwGMJipIQCDZensORLkYX9sjY1u9G05aJBRHoxVHAiCEqJZoQzLIbnhCamd7elvo6E/zla0/vKP/GpObo+d29ZEIo=</t>
  </si>
  <si>
    <t>u8+YPGUUuAstUpOu92NZHspBLtCPE0htVxftPvOCCXq4u8brpDP6szoRUXKzvODfYh0uj8nz9Kcl/l1MyX3Pn3jIR7swvJkw1NMGfhnaWQ7G3148qtrXDPpH6+Y4RjdnPUkW1egLNCaKdYW8an+ecukoi0t2SwHGq19M5ERAxvPCZxJzxmEV/f8SUlzZUq3ShKVmPLa9iExHcflqSa9keLRqKvGwVwd7Bn82vjQfs05SMZ8J94AyRA7auV4=</t>
  </si>
  <si>
    <t>eSY4c32Dq8E6wIykCdxg3GkVoTs3hsUoLjE6YHrUWpvU8bwxhBtoOH15qIHcgyfd3f9loikNEIZCqm/NFpTmnfrK2BGgcPyYt+sIJLoURThk4iWL5QT8SIRgJx6MmLxoKY9WGG0/9GXS+e4cOPTb4jB8+kd25Pg0AwKYq4yEYqY4HzIwS/8QriKNVmDGKHs+z4XZt4YRN59e6xxcLx1R2lQNMf3qNIVs6dx2gaAnxEayljP13z3PCs5v2+A=</t>
  </si>
  <si>
    <t>uNHQ2N8Of7+rIi7HXThkbbOD2yN2X5hVO7RlmUylkCnEoVJuMh3bpGOPVDFHfzjPsfhBEq5kx0sOUD4IqDkAKkC9xy3ZzUEK9bsQgD1ckz53GoLVXOqtYfYWMFrZu99q0Glk3AA5vvqgZWEbKhsY0yV7c12Hiq7mVDmw4esXG1e9/bezUYrkrGof3dZU24o3hjvCzhScx1WiR5ibTqDNoNJt1GWShDvkTGbA8j8gxQsrnCdXDvw0K316XIg=</t>
  </si>
  <si>
    <t>XclkJp1lP2IDU4ugO8igh2k03mJ9NetWJ+ECxZJqMzde1U2a6Dp0WgJHojidreO5I6spCN66P2YQ0rpTk8bptLmjXzIza/KlA/ZN5PwisRBZhNvQgL6v2JStZxRfHJUDS25C4ylQ7Y5ENmpGwi99prVQW4RhF7tDwSfSTuySVl23p4ehDiDnbLbXrrL155S+FiYyAW6vvF93OTC93wO76WdCbPnEl4sMPGouJ2Ea0ah0YaeEb/ii1mJtFfQ=</t>
  </si>
  <si>
    <t>HhomO6Y5ZUDKIFnw7ef1syUNKC6EjPfbttRNHE+Y+y+qvV5d2OeCMyEDdl9o4t86dtfJD+4vilFhXmpf+BcUjtpdb0ipT/Vw5EDAaFUZkw7qczbo+WQn2w/QnPq7jgp2DeAfHHTnDMv4YlQdaBFcibEP23O0O4EAPRmXtrgyBs3fNxmzm6yci8hE56+GLmN7PzDF4oFR5fDUX16KXcuKQH6I+fQwZoVdYN+Fg14KkcO1ok/iy2ow8KqnF80=</t>
  </si>
  <si>
    <t>6zw34FSz2TFQ913bu8RY4qfvKsYsFm3Pz4xetK2/hTW+J/NjqQwFuqMenxLETQsbQswKVXIjgB6QBwSAj+5iS8EmWI1gxcLhMswr7AAvk9fNoiQdSIWs9frc6JAfQLHlfBU9Kgd0ApZqWItn2adUO+o50SGaaCU3wP4UXoOMN8Va35OG43JVhrzy7sTw+TWlNNmNWRquqE8zZoyUeJ3z1dX3fNQ4l5GFJzw7rIOuOmoHM+dkhhzg6EKY57k=</t>
  </si>
  <si>
    <t>m8v2sBPMY+eT281wprvHs5j2ZBx5FvwfWD9xs1qwZngQsTS+IV69qk4Mp5crJdZgCQle9AsO7j/Bt/qx6tCx5gsxJNjopp3w0UTNGznXVW71CC5GfyAXzMPy1ENLS1gzGZj9PpN9xedajCTP6uu5dHLHYFaoFT7hG3KbNCcYgYBdQvzWs7bRGsZpnbDMrzbmRY0BqFhNOnP9kOAq/lpnx7dr1ZxH4U6Q8CP60RSV/smZMLCdJM7XhFQNHp0=</t>
  </si>
  <si>
    <t>vFKvlu0iW0Dx1XAZC1u+wpGjcXBt9Ui9ocI/PcFjVfpemTovE/mvGlQvczj5KxQhtHyhsz+34GgrpCbjNkCrakRXN2FP1/RyOHIKQXaLhwCbjFyQ+rrnCb5SOqC5pFL0mQMNCyFodwtJt1ssnpVyX46Qiw7mpZgHYuwukIs151GThNG9ZGS2P6T8yDmNNFLEmpy9nbstPBydzsqqYkWNXYUfCt0LngaYt7eGXYYWv4T7M3AXSMFu+LdtKBQ=</t>
  </si>
  <si>
    <t>DWTl/ClKnOpj/0kNNfsxEqvE01juWXJJnJnBKt5Jq6L7n8lq15mpQbvB6BoithV+QpXYzAXBoyVjv+21D39oKXqc4i4qNG3mT5vhhfdAOULNAp+U9209bfzo1qerP9LU1pN804nVQ2T+flVcUdlqvPzV0Xu18NjGeBRUz0JqLJp4qiP6JPcrzEgcD1HhCR4Og9sbqG8qJRmkpRlr7vWR6qCinGq8i+ft2Ezm48ugM7yt5l7QgpcILi8F16Y=</t>
  </si>
  <si>
    <t>9ld0bFYW90uW7Ga5U3eBEhxSwydyeGGfz7tIVyKLYTErXS85pDe5MmJ7lKylmvbBnilL9oRIxreXEYEYSQnv57YoyACnazQQw1A/3mOmFh4PoTRVfYtR3ey8cgSWGRcnSYtg+Yt4CPR60CAoe4Uq2nawxD4mGQbD0oSjom2XQ+9yavEf280XaOS7EEW91IoUpUu9q4FcwmzenaBKgXt8eOsNhxrJ6o8Bcj/7t2G1FlnvQb27oxc5sf2lBCk=</t>
  </si>
  <si>
    <t>JrHus8b1pdcB63M1TcLJ+c51FccfBy/QwLYWoAfX+j9eYyrxI7Sw/K1A6rZhvTrYLFmoFWtu36G+rZl9DUOQnwMti8gZ0GuQNK9vFI21yWNKnI+erhmkCwnFFJQkegU6np80AvFIdclu2Eckh8VCwpz+RgYtN7XjbdlcHJrMBwegevhholkM1dQfk3yxtrOZ9k55sc2QezT2+veNhiNTr+xGeFAda2eyFiOxBWlgtTOdROWhIxOXkjLf6SU=</t>
  </si>
  <si>
    <t>MyrbwdH72n/e20xWA1pA2Tv5LhRFExkoz8P5s+B3NeDV2YzD2kXKTXT6vPbFQ42W2WMXkx6aVqy7Jb4/U4o7jHk4Gayk6fT3965kOkTWP15wwWUOUt/HVcoqvSznU1jH6NPHmi/5FUoqI0KZnCHOHIMXe4gJsYKam2WRthrwTdY0M+GibHmfkhzIF99S1/GEjqj3ib6AYjwTrh9sBA5m5h3dD0aLDP8MyK27YM4ABLU574+jjWpAIMYJcJU=</t>
  </si>
  <si>
    <t>Xa18rxLSIzScSMpEG+13eZKlY9wBqH/6WPimobIT/kXbC/TciQJu4vRHROrUW8s5Q2a6tJIqSAAjrhyMiShYcKnkRieDHr3xNqH9qOwoSKj06mQa36NQb5iSAyCDExxSCwvvZgllCd5CaKMEIGVAk1z8v6s/gktgagf5/RNXpSgdSztUePQ8ujykBZoAMyChaliaXl9bYEEbn3sUKuX2HFBzvrhdWuB0a9ivXcucmIdM4CMxuWaFhodJ/mQ=</t>
  </si>
  <si>
    <t>t6pzSvJsSdCsekujLWENL+8BSD1hyci+SDc+Jlq+4HlmjmfBzCn2mT1EoPTNyRVRCfbnyxuslXTnJhTWkWSEY/RvW2si/N5pK9P6vCNfpzItWzgcAS0/h0fOEKjuV8I9MrlpwsFXSr8ZhvQfAakqWhItS4d/oaEYytjeVEJ2wJ7IrstpFrhRv8WYqwtsaUP0u10Sevg4ERt+qpcX2TmN+q+cVa7u8rkB7ghHqDqycmvJsJKNj8xDnKDV0nY=</t>
  </si>
  <si>
    <t>xlLtL8bo7VzLD1Gdk6qBQmT694PnAT70DGSli0F1SjaDN9fz3/Gsxq6EEN5/8OkVvsA7+Lerwy9yNE288rBYADdZsLlALASsSD7GI4JZEOYHM4wbIF2focJFAiK9R9btHvZlVqPaxLAj70ohhwoisAtkraKdKCKhh+SiXofw2BsXNnQRlvBxcaIPM6MhNf3k6977iZMXlgHTMi5J5mu6OzeTB8zQ/kNv73IzAIesL9mV3qdwytnzevq2+50=</t>
  </si>
  <si>
    <t>0sAQGsosDUq5p/UkisHk++37w5J6Y0h93CmvQ0Y8adoOLaMZTVKDSbDcFG+xhWI3gf5ZapZyrTxi38tYmln2m2rbt7OhyvtqPBlQQjew6REaDFlWEfEUvlSAVvy4/pNa/9utfPrrLyi85Gw1AFNYwrbzcArT7UFNV4W+tcsL7wgroz8muo5AbCvtiso/FcGL3s7rXUoOoS+891lXZedd/cTWe2vOjeQQ4LQ5PwYqbQixWKd9G45Ls5wVhQ4=</t>
  </si>
  <si>
    <t>MNVKic+sPS3ESEJyFDuYDr0dAobvHDeTNVBH30EvaGjqYK8qTqWC5uoEtgteF1u7vUprkINzgabStef9jGvts+rgkfcpJNs3QhfuaHPlx901Vgq2NSswrHXI8OVNXGxtr6/0KHuvqjQg4RFosAyLkqHOZ4fm7cLiYlGor1eYzwpPfJobZ4VYJua+8nd0/ME917Vw6HinhdH6JydW2GK41ynzYg7IGi5OH1aRo5hwvKb06v2PcDVB1jVNT5g=</t>
  </si>
  <si>
    <t>Z3tTJL6nWGelqT6bntm4zo1/7LDgZBbcqzKJSYnipx8BQ0C2QxbTeSycsyQieqYzLcU/yr/JdBBssCbTZO2HwfPvd3A4O7wQvKJ+NwjxNYGbBZxx7bT6B5TyoHU6rqrxjX82r3yrg1OYIYifp57FjAWVK23ktzynkiSJfbhX4KGLtLXRWS9BdCW3E4uxy8pKgOEg/XOZxNQak7inEYmRWs99tXub/MJYw1ZiWX21qfrpNRjdwN1aw20Fzh8=</t>
  </si>
  <si>
    <t>6PVZrOTZF137cgVakDwxy2hH3Ld1TvDgi3LqismvkRwwcV1W8W7iToWSJ8QUp1M/i/CV25IHjGEGM7cZqAX61dJFZ2pSe++8yMXkobC/03yyGPLT3/Dx7mpCJeIzBlTgs7yUVm7j3d9LdoUmVnV94tI1nCv0Yn808CcTp4L9j474+w6ZIvjOa61iUZfiUn03A7R36Zv+l7hBBa/0IMZGE2xUwIsPCRL41nKg1j2NexBckOuznSO2YtgH19o=</t>
  </si>
  <si>
    <t>b6egk0Dj697QFl+mMNZyGtHvWPqWy5wGI6BSCaKXWBbTG6IsE0NjsAL9YCVUeQ4+0bcgqyUzMAgbW4xIvt73uGhX6MNoHXSiiWuO2ULAh8zVD0q1v9XCRobH1EfbCiQ1IeWeKd/XS/f+0CWw/5IIhOR9Bw41iUxyv8/mcbrdbAT9SYz7REwUDSdfFv129fowU9DM0wC+0eNeIVEVJ3Y7dJrEYJOWoaoqGW4sX6JBE1YxNUvV3JZ3Qf03ZkM=</t>
  </si>
  <si>
    <t>aJIWtZ+jtsSQn30jkR9Nv2//Pl47/LJpQUF2d7GSAys5vNC20+6vN8l0b3PBNmrdM+8YgoURzAxoy2v6W+pC6Ys+srbwp7hb0Go5BqtaFwpsReZT4dDLa8SbmVxNhsOVYrHLZMT4KVNwt5wol9/Wd4FanV7F7gcFaPnE9YoneVkdUwoTzoy28qPwzhlJsbqg1B+TjtxB4QPiKByP3hhxS+kcwvMFTIJkgwSaAPz34wEpspUBXCsTBWyoN+Y=</t>
  </si>
  <si>
    <t>NkJjD3ve1oqyZKjk3ycjL5wXfXGWzQdmLzZSx7GRLISVcDckvgn9PkVKgyO6pYI8j7NOY21N0MZVNKvM22g9W2+BRelNvhj0cMx4ws1ydDdc13iAJZuoq+GBG/bXeRYtAQkPYUzrv7SPR4bRSszKWwgSjFKgYp6zXE6fq3iOfvClJnCmebM+zKpQ4icTilOv81ZvNWK6rQnRfCK3+M6VKiXEFqRebiEBJzEuePCCKfvav+UTwUkJ6q5f00M=</t>
  </si>
  <si>
    <t>RJnNRKXKscKpDlzADN62tEhzAfUbeYlFK458+Uum+R78SFasYMoeOvbK+h1aypnib8h6Clo/ErOxhPCNm3C1PvySK3RdWuH3PSEJFzTCR7ZFk8gZ1ZFsJg8kUv+Hof9zLza6TANs+dlf59ghA9vg9o/2JUyLN/PCDf7xKhoIW+CanWdU1DOgpaTInc9/V/EDdI0jcQDrwP6OnDItRrg7wfxE3cIo/xk5S3rhMMCW/nRII5DRHCEGYYUrm+0=</t>
  </si>
  <si>
    <t>TIHCJeOVV/mCN/sEhI445gzapcMbFZt7XeijtvCDrqneMRoVsSkhda5MOLiveTZWxgoj/jcRXB/onMtAJufWx8f2L9ptaQMBq/Lxp61z7O4744kpW1mzpY9PNejFbLAKkeBNy0kciQ8fwr7gby3yb2TP2C1i58NQTYg6mwiWPY5fj/A8tTuc3rUKfCQtY9FHZT6EbFFeU+5Z4S5A5EP4aCgC/nThgEUaekTn8yvUUVIr0ibTWnyx3R8TOrI=</t>
  </si>
  <si>
    <t>5X6HNSxRdw56vjgqoChiWbukTEtU5igtRioigSxv9irgRxSW1vIjvVvRTx1vlIfYHyKk/A4XNBoGwMS2NjDZTxr6b8Q0Wit0/kV65TODmzd+/v7wPYjPkk6be2Y47ayUiaqSeU+/vz11quYQfgmcAr6afNNBpD+G+NHRueH2gZvekAP3DyVUKW80xp0Go6F+Sl4UtTKQN0ncw9lefCMYxq5j0A5TTe1m3/CA0JyItd1iJGbifXMy8qyhpIk=</t>
  </si>
  <si>
    <t>aGGyxFmlC66biDu3H5rxASvngtn8GFGRZjvkUZykiE1bI2auSfFOxegRiQUjMcCOzDE8vg6/Eo7ruBPlbojly8Qio+EHsLHsyGtEeh1lKcwmUmEDnQlqtsYRpo+Cq35A8JDfmos7obwQ0+LKlPbz6/mLJnky8r3uzN/BTknxrKYAdAcpWVP3uEWE+WP6SrWQ3mAE3Mq+fmU8Lpec/9HVLHi/ow8WNdBjcjcbE5A+5hwNu71ElE5oNEKDUrE=</t>
  </si>
  <si>
    <t>XnjpjUm6gqIacfNggq6Sy4LgJSSQAr/E2WFk6gO0sZPHIjqmdyWf3SiJ0HE01OAd5izHPMVmjk/do2ohml+GrfTBwtucq7cAXu00PF3ahFzxPsV0lUaz4jC5gNpTgTY5QM8XpFm/l5otmdPx/rKu0rSlrwvY5UUQc9XMVA2lMGGaitMtDkoCEtijTQ8WycNP+StNpeApM+VKAdNdnNX3czdoXjG3JMkn2/kyGFDMemvDKOj13+XmmWJLI9o=</t>
  </si>
  <si>
    <t>Um5pq7K5GaETAIViejDv6AgctDhRL6nW7xC+PIaraTMTctU7nMNsjswcgejCuv6RmyYnppDFaV8WO1Q57b4nxV0Q9XolHg7/dv3jmXNFS12MtjYlpFkl4WjRSsqqN7NWY/rS4TiELfSwLgoRn1UFs9qU/1Pv5Fk5dkyRfs02na2j1Rg1KkApXC7rDsJMod4relcCrnmmpYOuO6DhQWOBt0NR4SBxwiXwNtshUDrsvU+MuPuyMFrzUxyJfMg=</t>
  </si>
  <si>
    <t>Iit9/HtSvNCNdK33Mw8VDlRTnmg3LQiGhAs3cKqoWkk7GgTUmi1ABohjlN+gbhKbyIJMyr5PoOiD6FCzOTwVFqqrTt2hjUa3ZyzHuLrgi8AWQav01EXjWGYe/bblK2vMNXvxftTvVDhIR9v5AkbZ6Qs9rCuWKYK2EQhlUzjDc18eyl65d2Obbm35FSuMTawA0josDCsc22rVCM22bHeip1oOWVvMDdZLHe5XS+sdinGscIBgXHvuPdNSZCo=</t>
  </si>
  <si>
    <t>glxhF/95i1JDPmcIXhpFps1gXC2PUs3y/oAMbOtQ3tlndkQpFLhf+VbgCAsR5SsPQvQWYhEsUwpnLSU253i6UyhNmvQNkiJW7t2+mexO6ye5s+ODBkuC5QM98/Ehrv6RMkAuOzZI2vLFY7TepAc9Mc6V3eiYfmY7RRPYPcLhf+gSgG5NCjnef/zZHqGAloXH4qT93o3lZ6Pnxj1LLA0NpZeTcBWnhtqVQ2QVLUjGO97ZW9PEEKWQ2i1L10M=</t>
  </si>
  <si>
    <t>2fQEbDYQ64kOFFrktFn2FA27XyEnDXv0ThXGY9zeVCNCsY/OICdiWZB8IGmYu+syhv1M9IVsUsebCFpI/u0Ybh3nH8qyF0s/uG0dE7OLKQTgymbMswi41jpE8oNSqtV+4E3RmI0cA5pSih7Cfy1vWW/TVNlsRq8hN3oUzfsN+jD8lv4ADAWFFJsMj+PrIkCLt9qFrllTutbanspe5Q1q2nESsjdWC7UEmYU9AG5s0HiLEEoScFiP3jUjYrI=</t>
  </si>
  <si>
    <t>HvYtt5ulvM1jvCavAZehT3jyMUU9EgO52celuV7ZzdjJfzpY6kZedp+M2v3NsWU5UphHsYF+oyn8Nb+nvAOhehE4nziSiGdpEabOOk2EntYW99WzaTIlljmUAv/ZA0AxU8XDN7LschdC5mKAFG7sdUBscuN+rZcI8PqX+aL105t8+Yf2Ec/HodnT53XeL0TLvDmOhik4mb/99rU7aytHzjdAX9NfuDNXncBGfSP90aj/mmluj6+bgFST3aQ=</t>
  </si>
  <si>
    <t>kankG7yXmIJW1DbELHhqhRhW7K2u105L9GnuYlYjpASKQgudfAaBxUcy8p0QYrdzm34C7CozB1+Sk019YXq9IWXiEmNHDmNFhdlXHipfzv3IPlRQ9h7qPYu+vcN2wwHp+bG+FhMIjZdX7WOy2pm1frVATU9Pq+zemNN2ReDj0vWagdDXR3txf7s+fNtDz49jU5yEEuMbyiwq5iYfpybl6lUknhO8/3/Tw3j6YKNZAdbh72T1RD3NNW/GKyY=</t>
  </si>
  <si>
    <t>qab2fPZ5ijkHvA29Hco3FoCyGUZIb5jfTEdHp/drP5HMqBhaB0NtfQzx7XugfAOQEI7ofTHMLk+MbNgj0LrMtttxJQQicVGZ1Fytxm2QabrGmF3Fn8nr2ex1bd03i8tBYEoxPYCL/qZht2gQVRanjAvD7YykHVPsEi9hD5pJ58Huybv44M+Krzsd3ua6CUprAj+qk/2lx1PtYgWl5LwGaHwZ/6sblJeEFWq6/882fsRiLk1P2VFFbo1HVe0=</t>
  </si>
  <si>
    <t>40j+VuXhgCF1W60WTrapHo4+hriqyxTY59Y+n8UfSJwcI2sv6qgJg5Hv+LzjexhNmlHnzqxltZZss4ju9Pv7dBbKR8nXW6XJkPEFxU2VuPgjTUQvScKFRDCfrmFPorztHvFDLrIeC5VvOne1dFYBachZXwen/S8C5DVYZyksSGtZIL6rKaw0+KjI6oyNxTKRkJScK4Cd7IxUk4aVbskKOK3qAiAVl410dqeF3lc7ORylmDUarmWaPYXO1p8=</t>
  </si>
  <si>
    <t>n00AjZBJi/AO9Q+MZdubjC3mreUI2ms9kAMjF7LSVKW/wtGgy0fyDJBUmdap5tdrIENBWEvuEnSzpztDDnNn9uXK5YDq33oTv05kFwHXYC1W682kg6oPAgNr+volO2kv794uAVUHBGPncBavfbvfXgZEAIHYnVKQatE5tNBnyYDFPYHKC2oTU/Zyd868fakqWzMYdwOKPFIeKMMgQM5A/B4PxwrUjzdMVOAn/KzvWlgCEluzQVKgKLC7EKI=</t>
  </si>
  <si>
    <t>7vCq8CVMvsFrjH8HL7MmKwdPLKh8ltm7+xRKWi8jEX3bUr31IivYdv7UQe/eTrkuvHjbSPi4quf7A7ORhcdRnupI/SmV6IEj3aufU1PyX5X4yCMH+xUmzD2K+hHdUYapccen2WkuiGTk+Y6G/SEK4ogAPl01906VKp2ONXBUEcTEr6a1kjyJUJEvA78sgUzQFz7XSoUWTcyJ9W86NR/UDqJpNlAEmI40PL6NZ9jQaccibSoUIznaSPm+mmo=</t>
  </si>
  <si>
    <t>sOFrd8Qmns6AX8ReAbndO4bf/+44z3QVnLMbzwNO4F8kVN1KmIMnPXzen3kx9Ikp19lkzmaWP3xVQ0r6dteueP4kvNjSCaLWMfMhfITfzxd3zVGcsLVW+WoW9sXdOGBWwxXn7+JQ9fNoFamDITh1w4L7HMzt8G/4rFj427xS1+1HqWwtWJ2F+cj9VsuOqzqC0CirMw8R6QZ5Yx+ojUVM2+3jWCObV1vCVc+QYQee9KUczYZ7snLYXjUZf2M=</t>
  </si>
  <si>
    <t>gSMT0DdbDcIpF1vrt6B19R5XXWPWPyzCamwH4ILgGVFrSwKmCia2jUOaW8GLfC8iPMqCBCex7CImcgJk3LeAo4tqOPizHv4Xe865s/Pnc6+w21XYz0gu2Chz8srU8rii/yezWmNT5/fLBF1+Af4VPdTGWnH0SNqEU7La1Nqmx11Of+iTg9r0MqFCDu8oliJX3oLm234LBeSjpTErlRovuR8ZGM9VMiFyLhiFNICgOsN1jTDFf1wHp2dQCYU=</t>
  </si>
  <si>
    <t>6dpHQOrhaocTyTAZOFj0HICGshAEWJMDnWz1/8VQfPV1wTqmcaJ/R8IJHS8SRqGQ7PnfHDBhw1MCsl9POEZVkMhpt3IipogVqRWqyzDtQiZrxyKvYKy8QZK0sv8ZEoXVA7/pjYseGsmHaMUT5gt63qjC/7nJ7V0UnYmWsjsygUIc7XdJovFaLZ3VwuhPSVghUKTisAXGeLzq38oLlQl5kjpLqxHxI/8uHZmwOmMmPz+r2aXt31SdlAkd16M=</t>
  </si>
  <si>
    <t>pvDbOJ8KJ/uZRa8AILpc6A+g+Ogri1ITgRK5cs34MKOHzQVRVh4FRh7sWFcL9REy3bfm5621dbsOzZmg75OWxnSE+5vCT8GfPP4FdR0M3U5Dc+KDAI7Wyf1XYoBX1sRLQCzHmnktqGzIdGZxt2Ido4Hsb2ole6m2mZCOZ1z6ISKGRS4TI9ivIW18A1iJ6HhLfuzAIXaf8DwRT40DtF24yJ7sj1E689/pdj5KjMpl+eLN6y2CiDwCM3ZkfqA=</t>
  </si>
  <si>
    <t>nAVCTtk5KhzoJKPJguCl/Bb47E57vOM8tCzCkqzjn6t1fVc1KJrRuW2PPgx7xbSLa0jRVkroO2Kux9ymYK/TVWrJCgTqz16KRCseG4fJx09/tUFT4vl3sWDbJ6ZelaiJpwzq58H7fkKdhiGRe6QOeOj4YjQrsycfLQHxROcXH+AsHOSPbZyruwwhAlhJ558pvpCX5T3ytiPAxTSQ5ZgAhxs1zZxmf4nLtsdE8WYTlPKGAATu+noPSWme9h8=</t>
  </si>
  <si>
    <t>bfrSJRph5ji4YmeLuq6UpRYwdMs4Km8B1IHt2WE1XNP0H5wkM0u1SHbH2hOrAe5Xfmcvp7/p3T9BdX5+byM8CngZ1PzIo8MuWPwEDMmlsXDzEokpZoOJLrGTrJ5LEJpp5j/Rdo600FbCWvTCYJlwdB+a7lGiejcO425UdHkm3hYpto9goHUFH7Pvt4WBMkPHHesb8RFrxMFe7nawTEhNdzRtsN2Or+sJvx5vM5f9Wn9L/OgMYpFz+22XWEg=</t>
  </si>
  <si>
    <t>aqjvafrsFbmgM9hwPR3QHJA2hfrwqwNvPpY9kITxeELHRfwvc33PbafCVVl0IC1RulyvkWBACEZwoLymHmrC2DRDSSm7HN7ZqFXSOBs2qYg7ZR95qn5wUeoJmPIY+2KbfO15PKKfYdNxoQp4NI1UYkzZqDEeGP3mfp3O38regjGOaEnDETfowX9T9aVh2++YddrkwTuVGsUrRD9UJg36ZQu8b8My6SILKss2UsekRqQBJ78Wo7JBKJpVdNI=</t>
  </si>
  <si>
    <t>AU1zJsmLkwUZOWjk9AHUBIatjJlKI44pdlwO5W38UkCzLuQBGuwiSBMVrpSg88jpyKNQG6TZnAr/4W584xNYryKo28+LRn1QeqtYVMnupuLLrsGAmsz3WQfXbrJtUZd6X3h8+XDGQQHjtIh9pj5AONc/ym34t3kvTH/Xhg0190jDzJjlKha/YglCL/Qe2HRqIoTY/oBBesm3jyLQVBloW8Wq4Kegr8aFBvw/fo4CHBBrFPo+BSIIinohCWg=</t>
  </si>
  <si>
    <t>bbHiAMcVcB40EZOlVgiSJzxy8Ab6LLhFRqXvhcwHnnOBJfTTAtbIi0ttH+7msofbrBvgI9MgrDYKYZOPvuiCBH1a4QDz5aDf249kLeuBMdSLJr2SgLHMoguSRFHrB/ZH72ykESIOWikQkvF3bB4v8m+/AXAy6m7mOk1hAjg6pWcZgk4DZMVZEsbvUC8vWgmHrpeSpcHxn3JE795yAiqS2UAq3vqp4A9BYEgeQNW/r7fHwqHSe3P8efuBr6o=</t>
  </si>
  <si>
    <t>/ZzNjy1EwXP42cvZPeXDY1ktRu0l8Hhvfo+qr+o+D+P4oVvx0cME9m3ZQLK36MM/VZnUAZoV/iMuyOzPu5K/zP6uwP7ifHPrP2MQmZA/KYmwpiQx3qR9D967rH0rJkU1RLO51JqHiUDBm/slbKKbNJNgkufs3EohnEhK46orr85bcgXpp9wZ07/8z1EeZc30/55uXq1hWXVnYLYJDyAupfv3UG5TLhNoIcU5ZP8nAnxaREW4mH6ofW8IRr8=</t>
  </si>
  <si>
    <t>kjS7WQ46StEA+oGl5LUqEOPHPjkdfm2dWtj/YoCyDSkm6MjWKhZp7dTTjWe53Viztyx/+qy2HLSLrHzibFqOy2XzxwsIed9pxi6RLIhilgdziZWMJfDqZRnsld/fH+u5nnLxtwDBzmICj1ziI3jU7PvqcZmgYeB4vFikV5qDrXbW/v5IU5aPYl80jzxq1cNIch3DXT4x0cO+OH7ItSHyKLNaBcH6bqJgIgFPfY0k01JJpjl/Phsm7Al7VtE=</t>
  </si>
  <si>
    <t>zxmm90RpeO8bc8ZMfvaWZZrtHkZXdkZ5kOrWSuKBhxvsJXha7SCXUFrq/XCYGMlsbsWI8vbP47ukv9cfjxujiLOOQyc+GO4Fuwo2D/KlQlw1B4sQN103nCZhwyOTry9UeZtIvF4OILxhb9DGz/fd4z4yzv2MANWaiD98CeABl1Dps4BpyzjJDWGxKeSaTRV1mDZMRx5odQJK7TOk3Z6nRtzQS+38ntRud/189kO+JfDnJOXv1X9EmaKNONQ=</t>
  </si>
  <si>
    <t>8NhJypz98+CeZYqyz7l1osHmdaZRM6R+xCLXk/+wEE/8Sq9mfmzVBNeAeQKjQn+2LSiNtSRo/7szVFb0zwx4Gf+0kfta8V264VR4m+drRDKbA9ejKuZ6ykpmL1NqOQTNXOhiRHPzqrczC6Hkz2X5dFSZ/z9+a5tHGG1i6w/xY4y3INo56/f21Xel3KmuvdTBBKOMpA2iL8KmhEnBq03dOdfOnHmFK/x1y9+dCElRC87+xx0jt7jaVV74bJk=</t>
  </si>
  <si>
    <t>mI7Dv5FET9eNX95rtPn09wC7hZT13jVszhrDku7zIRc+Bl2J+TgAdEJ6G7GNteQXHy1szeGZEekiGykYGFdHLIAdHqkY8rTzboqR1RnJ2MIfHbmtpDxvtYTeobfK8qV+/vQvFZ+lVtlQjB4S6sN9B92DIHS3L/4MGCkMBvoyLh0NgXXXUNGlMYSl0bD/narI/irFU3R2MDX3M2Tc7p/zab/6LFPJ+6yMnVdBJPbz/KYoJHpeyc7JEJx1fNs=</t>
  </si>
  <si>
    <t>KyJ1+B5s0Sq6PhUnrBIHAA1Rf7mrFqEG+RsIPJ0maO0t40wO+TD9w8+p/VSu5gs9xiZMDmb9yECe+GzRoFtH3ISL829ab/JG4gPWfJx8kQ8apsYFoXb7RT2ByWSmJRArgJYiM0IJVvpV5jJ3LNzQmpI1HhWhKPG0ttaAbni1bmL+sRhFeKYlSVeT8Ba2pqMU/9kV0c1dyVEBfKTXVN/XnYfpso4s7vCAmpmTx8m5DNTje5RRcKGXqYg0Ado=</t>
  </si>
  <si>
    <t>LGRTs9Bjrx1MtPqbY/5lzPOOJ/mirhlXMU8RDq3TSJj6WdlJ1BoVNQOVrCsyzlGEseJsMFdw/ZoX5E4R97JLysoiLeEn24F75YnChYKYTPov3Hc06kH/kdfnikl9uiZmgN0aaUtOVwyjdYbkVaNOpqBDxZLQ5fyr98c1W3fuqVZ5TD9c4uVYvPgJe+e3VaLz2vnaO3o8Sf8hkfgLYifHt8Uj47vzUeZ0OalspPTMWQU7FTHptrsbwuq5h3Y=</t>
  </si>
  <si>
    <t>t3KwGOFAJrKwBXC4gZ6NBtSMSVhEV1rASXz4vAloin7NZvFQDwNiCBLbIIDdtcS2QImSR06p68oY2UQ09W3UHIc4wTQ93MwmJdilV8Pp1rEQjpJgpXeXXdqr5wEOQwHgk60cUCnESijMQWwCvGrjKqilvZyp4jqAksApftCrV+7I9enCxtVxWuDd1Rbg7XM5lk7ed+bosbB7IvM8CzO6dh566nDXoFqMB7V70onmt6zg/KMRLhaygzMj/jE=</t>
  </si>
  <si>
    <t>ynJh32gL+p5CjJGbPVCPMbLl1r8D2dY0ae1pULL1BzJxV+XMx/dLP5YBT5+D7ngS08XI8+KbSU/eqe3AEqekn5n0x0OYtNaxlL7ac1tV9BlOFnkVgGHmHPU9XXrOnIgjoA242zhMyZwm5MVhzuxBEEF4KqUAB/Utsi5+I6E75dfz67G5WGIescbL4QpgVgusm0HemFUl7N/Fmj+aSI9PNmhom2BE1sNI4KJJUmzIN6p5nKBpmD0bPnbUsQ4=</t>
  </si>
  <si>
    <t>9tMKbuT+A5l7J8kGyCf8uSGncVS4P+ZCm8WcyvAkAoKVoLAP0y7hWdTpDMXJ14uXnBjyQhEqEq9/gMHxsAzcAjzj2KFvkhbImYlylWPTdwdru3bN9L6i2L7LK9+Sg+vcrLStdTPp8sdDAnbqPTzBhjSqEE55DDAJqCzfeEGpqMjQQh6wDSgRBJCYcpTShj+OcfHUv2q66VQKokuqy+ajtOqXFhvD7mRYDI93hZ0YWr9bAwVx+ZXhnt8mcYk=</t>
  </si>
  <si>
    <t>RCPvloYGLoHedxLt9/ZWHKioFQPYuxWz4MRaBgtqRhaRCVGpi93nRTGjPhTJSSrUF5DZpIJH3/+dZOhSF8fTr7UY/aOwxwDBCPhzSguux4skLVOmlGwUCl9I1vDk50CiLmqW3j+zYZosn3rJ2eyD0Jfig+LXhPYb6BcZscVtF239ECFVbiooSRwfkLXuBxEfKdX2QvOV0agoEB2JPwURrXx8zDhcRYlK+Ss31VaJhhj68WZsoHv3DtxshQc=</t>
  </si>
  <si>
    <t>q/XiIHcoOwR+t7o1adEwzHBaBWABw8+JVRRkJB7FTLDxCRc1O2z795GLzoWxKgDW8GWij7fcgj9wWlMd4Vml3XumG800W8Vzf4hH5TuENTPhY7bsEy/IMu6vOzF5sAcat/mWeErQ0ayYyN+IIn8jvsFb4SepyXm9OzzYL48s7eggktqdr1R6znZ6dzrVNa8FodnimNgjYfJlfY1CUVrO6s+dqyoiUTOEaAsVSMSVXoz++MmvMlsk/Es7+qI=</t>
  </si>
  <si>
    <t>pP8Z0iMBlfYvabEPb1Ujv4p5Itc983DXPJkpu0iz40nfP+5qJaz1cU1ytZytNnnW4OqP835fQPvDaAYKmtuzYzJyvmOFf2Z18KS5E0OkIUo10qpyVtgiZy6icoQw5KIEpuZhXaLYej+z+nWhUQde74BWjCK2tBQVNPXLhjbM0xlZOWuXDs+BOZ0L3hOmxHJoPugH9J1wcldgtSqoLRUQuM5Ul8WnZlcNXOqb2O3eyrOMGYLcqDFwS6vuBcA=</t>
  </si>
  <si>
    <t>ehrMm3QcfTI270h8634LIs0MSYjqlCr/In6QL1pxTnL2AoBHC3k1g7SO60RZIntMCGe2IwfjQhfS3b45cLRlqChUHXNy4SznRQfQjehPKGFoKxf7eMoBJPw9Ht2DzszfYhItshDgvHevdBnAT89OBqVcHS0WR1UfFLh1i5e6k+0nWXOCKnO3pXQtch+lPS2Dtahnu8X9eSbWSvaBYpArcQJw626X5HQFmsPDdvbEqxDTZPJVsYlNnNtdW5w=</t>
  </si>
  <si>
    <t>YvAMI5qlrQ3ISXBHUzKWv7liHKH2/YieLYFODdMxG/x0Kaw/senqawHYjmdjy+9n4DYgbP0sYjwBpNzWuzY5bITU8MeHRhWVgYjp9SpO7miwxJcBqJx+2u7pfcuzd2gtvVxtzES9GETJ7FSocQ5+lIDGhTSSR7EGlCSeGv/4MdSsolWp8VBBPqp3MnOxtmuwNdIDmFnl1xEUFJOm0mKzlzQJLtQuKxyV3wMeh2V4HIkZ5pIpWtU8oOHTJmw=</t>
  </si>
  <si>
    <t>ys4Mh2f+BnoCaQyB0mePp/Sqv6PJtq/BuLExsrf54PJY/b7Gszr2AO/A/8BOnWaBG7UGM6AH9BMHzRCTDZLl4Yx8QIOAnSZInXbcMjDHMf7p571hium18zVHzMO/h1IaaleAaisiWbS0D958swzan5yM3n96NaIqF5J21NCg9sgV0a+bKe1bgiP8cH0tZ0gFHC4s6p4fV4BySrohU08NvZQRzN7pfQlgfRL0tbM1AcO6/H52YOmPwQmlGnc=</t>
  </si>
  <si>
    <t>T5rSy8VdLnWH85IRymVs0YBdk9Dvs9BU49bcF7HpgsfajY1MTrPUBJwuRS+iyA2S1jLbvQmK8Xbd3GnIT8jnezKydJZjWVxVbFZYhiPQ8pvIK540yOJfoq6xQeJbnw8J4+inbb2J6JuL72fhtPzLMgft/dVRhYzdY38qkaNPm6iNI5u6zaIm5KJdO/nDzTafXaTc6KbVRUBVrVV6eVCpcr+KF34YWp+UGfPhpXl+f2nqggWqF1sd/tHG8+M=</t>
  </si>
  <si>
    <t>WKwQiweyWbk/OhMtJ0USioHiN15ZJRm6hPVD5kz5tu3kQdfYBZlZf85oDZ5wH06jGLXkgAA/1sM9zP0zX706pHlSbL4oFjxmxPzHAqNFYqoKebf5pWIFigr2qO03Qsu59sode3rIRXbgJn922HyAvk5zt8RVNTVlcTA3Uy4ZH3xEb7PLZzem35h7oiPvDcDff5zY2XBzoV9bOZ5iDYIoEuPlJro3Co1CnvMGAH+J+sM/ELcOEm7GOV+hy0I=</t>
  </si>
  <si>
    <t>HtDqpPV4QibwwsL+a+YWrA84e7Bu1hvMtFTfXMZuUFpI+CILy57Cgcams4TpS+35NP++8gKAo53Q3JWf6VZhb11NyQkw6H+7S82JXZ/q7lijs+b1xb3TS0+LlJaZhlUwCjzqbmt4YmF+yKTf+GkgCxKlMKL+6OlHE+PhJd4LfbsEvQA0ysI+m2UP68HDvJeaqhhKUYHt2R6zF8q7/POA1Sbc7G1bLUULG/O41KXn2WsO3xebuDcUojV54II=</t>
  </si>
  <si>
    <t>HEZScGzQ3/VcEmF8arOUxCqaUYQmmB3+ePh5jKkIgn/S2KaL/0NJ4fL0FEisgsdQffHzDkp6Y59j6HhTnyfRiyG80ZkAHspBQzbOy5KZmrO/X4fdsSeWv53W6FUXHnHaJhtQHlVLlhskaKPQXTKAs9pCZONXI648Ror4Tdt24hd5VEBGXhldm7J0NDPoFboSpFJagEiVY2e4H97HEGWR80Dvc/jiSpIu+GXRW4HA6ozXLTvU21l29HUqKcE=</t>
  </si>
  <si>
    <t>IY+NathGbUCKOpnQrNCRXkDeYpZsaK+1QikpmSyGR1cwQGqks/misnNTzfGCNp0+MuEBy1CdBbFZxtCGBqlnzwzfSVp4bKc2DOIvYCdAJCP0N0Ej7lnkzja/LJQar4Lb1TagEo37nZCdBQOM9n2xbc5qBeW8ti8RjEpdwCuan6zqthst3JX57o6ONMDqFn/Vhdo3GC6GUshxpa9dDpI70yblSHa1Fgv9IjAAMwm/VuUwwR6hCNTzAQXsZ/g=</t>
  </si>
  <si>
    <t>FfTN2zlJuydEQT+RwTdVP6z4dEqEylgwYMbSfoAMqRPCgqQ374nxL+XXfiZRaHjNZ3xUTvkHVlYrRJXdzhmRcXjlmyfPty5hCcc8axvmY1YLRTTXa9d/W5Dah+Pt/IcAaZ1ltfXZaZMrJtG3YLYR1mUyVOitK77lLr1EzCao6Op7c7I/SPytMfthbBaf7bTiVthZwpMjOi0LpA+KIRXEqHCYj8VSqEtPSNMafswB0hyl7stYoI1GeHakwZM=</t>
  </si>
  <si>
    <t>i016rfSmzaFPbhcXLkMMz0nQos4EjA2zq70bGQvmAU7bzY//sgwjGMfSy8ektVmtSn89iflBvfFnmRm6529qObjsMV9BBrUxTgvWKjOR6qUD59p6vLOGuigofKxzoOofLRssp1NClMmocG6hN8+3JxAvrVdWwhRFmoGJnfbT0lOatI+GvLd5mH5+eZ21sqsNlRqy6oeyNyDPqXJ+GGqC9IxE5hw0tRlJIXnr/1I+4xtlZ8/M0nhBSefTtso=</t>
  </si>
  <si>
    <t>vkyACvIWVCDOY/DaG1S37HnL5nBgKQo+2WfrLHszCmKhV0AdvIHKCnd1q+VGAfH02P5tB5yr8360KYUq9ZIkhcPJKO2SnXxs6T3Bu0k0/CHBuM8Bd9tVUzu3j/XRJ15JUgvFmqNCqRnnB76OxIZ+h/jd6A56E7LSkNsivFkEkvUDKKxllvSMVsF8xTE/qofiEL93qWzjL6CV4rJ+WVrnPU2Z61buRf8nxbWSHSJAheT0eNXIz0qJ12uaVO8=</t>
  </si>
  <si>
    <t>4ce3947TzZLl3PS/wotAoGqPn6sxLj7fXM+hofKCsRC5FO8EXi2Vm2GGjX8lKTIlS6Z9NR5Wgkr0sP5PkL5bASnQ9ExvBn2Zb/nMDaNA05ZHWynGU1KEA83lzPyt0qp3xh7PbwLVL4zz3jaxVbP0tUsHp2w52fbn/C1+GxUjRXtC1X7C9qrIwUxRpzPWiVmWEm2Ug8cz1DFrsFaRdnVfa/MHBE7K/jpzmgdAy5UjNiSINYohgUAwTwRnLus=</t>
  </si>
  <si>
    <t>UsZsqY1AFyMr0HVSXGg2LnqTMuTHhjSDXXixMwdM0GrxSymQ7MtGp7l71Sa/zLpZeZK9VkebwZSHDkF/udFibhB/UtP3x3EpTRylZOaN00ZGxcg7ML5LlvH45lEmRkxbjkTvF8Kywv1dxcJxCuNw0ZvxvNUcwJbeB5+am/fZylMBYOsrkcg/lI0xy/Rf1JFcUzRt6jfJP9j/khYJTPNxWTZ9GT81Hm0bUIaYEU5LUkE0DHMhWDPgmg6W1F8=</t>
  </si>
  <si>
    <t>8+UtX6s6GRYlI22hwO8DT8UPzBAObVOyzHemXDXOKP3B+BXn+Wclg0+UXzXEk3PT8s/CfapGbz7NfIuMKGIfEu3bdUzIFS/uYuoHuz7TA3KcF8QtNXzGBM6X8m8aIlahDJU+IccAeWUqa5Jll9gjNGw0TNQUEnFG+MwoT3q1AGM9fhmjMDGmtZbzNZ9nrH1z5evpXRPgXenRVJw7eq3qpuh7K0vDyzM9bUBu8NhU22Qp/52tmL0WvnUMDsY=</t>
  </si>
  <si>
    <t>oyKROQCU3ygp9OSMvEg2mHrc+077zH0Ykyp4WbGU9MeKZcXToh9au7WfYsCO44oYur6TtNzNBvIo9/ucypTB7IgCzHZyFQOPnC0PEn467U8Lt1RW+z3yHmYa8m5cnfdtHo7K5w+sA0Xbrb/5QkEHx66iB+lpYBFIigqWaz7OK0rr/KYxG7hwj9z4YXHr2xLQ6udXj2KsriRMg2AUB8zXEtpWQE0dPR+Sy+VN+TTfzng6BWXm07VR8yKVOY8=</t>
  </si>
  <si>
    <t>NDOkYXhD3JMphPlXQGTNZYbJU0SpHKSF1BFMI0F4jqow9P5gSJ5P9Mi3oMAJq5wAudzKpVbIephqY9/N+kk+EgZ1OOXvO/0HIcAKdJHfJQFO+1OOTvvIqhLM+yTK83T/hQatyXPLG+Aechb7F1jG28zAgX8oqPoiBM/9G0M7r0Syz/Wh8Cz43s9W+jhH09mssoH7PL6dtwo/3n7+M7VBl3Yj9ae4ebsELqDcISKfAY+c2dwb6bsqoFDd10Q=</t>
  </si>
  <si>
    <t>qfqpiSI6eXNd26hfhnbGyPT1PVyk+W+ITgoNkaceWdTJnVOiWXdgzCMcjPc2+aPLdRnkCGDQrIfQsucEBB3iYta5+cGp66iVZkhzp42GdIzNnlys+Xzg25PG09sd8ppODBuZksppm6HRvvH06hgYHR8tVlofrxVPtpoSbYMCIT8Cs2O1E3UPK3l8k0bF2eZE78goUumv5Boi6YG0cfgtP52VzK2GDY7v7KbbFCULnzDmGndWSmfuRFl5E4E=</t>
  </si>
  <si>
    <t>A3YgrpqURrseJol14GLbkyl2wYVDVOTsf3OAqF5GantkTrR8Uwl6Oc+0X8dU50apDLxBvbtndg4JF5LVsKS9bNPBoZZxhw/Sneg3g0WwLUBRa8Cahe3NA6FGMRuvg57Sl9g9HqrJG0ZCy6PiRm1/zgtVf+CDsbwQc0TISC7w2yfX1++YmJCgRx7tbtM3F+36suRVHDF7U4Mc6PdrZsAyN4CgKPcbwsQrwaD6naoKUGRlz2UJXvXWGJpyacw=</t>
  </si>
  <si>
    <t>sxhz1mdg1SYAWfz+YNp4G+wvORGgxHvisf7Xqhu7Bn/3wAh44bz/RfXiGMmD17XT4c+QPK610w4FtRcD2Se5GdHTTwKboiO5rKrFtVJPOMlClY2AQs0Tns73AsxbA8a7tfJmHc09pniA/BGd7+kehiJ155zbQXjg115OIzKFZzzT7MMh1byyIs9ziRWrU3wo3IaxFe33aXvBHnEXe5iLvsFKWizKQCUTEFePhLm3ZrIwTuC/50bJGxoPBWI=</t>
  </si>
  <si>
    <t>lCFC7xL0Ous876t0+y00kDOx1OZS39wrrgW6BiaNHbQYtIgZpvfHuDK2aStSSdy7g4uPr4wOlj3piFzBZFiSuAON8//OmAQA6Ide/ITUu8cdQAVTuT/sy8ZO1hpZ2LejV+TZDlBozUsu7574zdJMa1PdxjRuk06l/o+R+qHK2xBDVupk0x6OdOjZQkQ96soq0aJYOwmlsrG8nkMVqnd6giPBWr23WjBLc9lUWYizIwK6LWEP0Nvy2eE8YBA=</t>
  </si>
  <si>
    <t>Vq7n12SXXC6GAwTKt/lbxldvmz652OGQ2Ngr6N31eBmZ0GRViLz39Dt9nOUSQ7PJ5QR0zEpIWuiSrynUMFG+Go6fs2KWxdp7lMiouPUKbJBx6JMZ8ouJNGB1u2p+owqG54PbRJulEMz23VY9Az3POUgf8sFcEYz4DAR9EX8/I3vX47rSagvCcvocZNtn8zncCAr/IXdoa5gkEyTSUsG0abPO8UvO0WfH2f9bd1WBLQoPMs+QO6j2T2PUjEs=</t>
  </si>
  <si>
    <t>UJ1bn9aNye7mVVLsfGjxyhkUI+xscnlXOVZNqippVzY2MGZyMj92JfsXlfh5Lm3FeUmBaUAzomBZlYG22aDrufB9rzSNmnNja5V/HwGSP8sKBaxA9faCYBk8G+SPwezHOvFEMsHTE8BWhz6ptRNbS4WWc+4kYwZB4j8iXGG1NhshMg5ZBbfXjdeZ/3X+E7JiOs+K1Eds6MAe2ZoYFAfGNSwm6fSEGEYGJaukWzkv9e+mCp0L5fgIPdA2eE4=</t>
  </si>
  <si>
    <t>PWLE8tUzgyIMPpwFBzfkgtYR6STtHhBbScpGcLFUc16pQBJ/oi3wtF1s0VdnYbc8fPUEMvGZ76ZltuObmRz9uyNESGl2L2nrXMFNsjJNdZQ3IX0YK7Rko4P7bW+Ljxj8W94Ix/x4+Hdyd2fTBGGkZ6OGH8W/Os5npiYqj6BjkG2hE3KqrBwbunFl+PyaUDVm3dkKPa9EDpXnUlfTKpjtYVHsylHbJXH/uMuAcGSpBUw08OeS0kep96ZQg6A=</t>
  </si>
  <si>
    <t>Ta67WlKZ/xv1KXviYYuo0xdKgQQIwXZCiAVuRX3bwjdAkcu+H7mncpbM6TuLv74zF0jMO12w3lHSq7ZnIXHvo0zNRS5QwCfnat/fmoLTPBVLyX/e1EdAcAOmkF8xW8x5WwoMQ/IhHF1/YNB+vWLSCkjKFIhQZg3Q6xLXXdI2Y2jniLT2tRXzcAIvXuIpCIb2wA9JKt0n6Rm6LucRxMW1/ir3+IzSwwX+MfAJQI8+kaRtX5SmkuobWYfaNn0=</t>
  </si>
  <si>
    <t>JNXrUvntgPOyChc4M77drMM6D0Yfmdh00msYC9Lfds1fOTQoezhb44xJ5e4dn0zjU3hbYwAwDR/sE34i5MMPSvZZe/K8Sdh1GjmLidKaTcXOhkEf/wHn7C5JVrQS95/IGj+INUMS2TJZrcj1B9SXwc9vrAXr6UAojALVnX4T6v2j1AgWLy/e35aMsnt1AHgG9r/iJ/1nwXnaDQ+qG3mR7hoJWG7S2ymeCzcRaF5QN88rLKHAgO6Zh0ODb8Y=</t>
  </si>
  <si>
    <t>HDKDd6wu9o73HI+L04sAuFIVrPgrWqVm7YXscaNdJlW/IF4G9QBIRQ62wJ+2e8J+cxroH9DkbcBQOkZ+NL5EEAVBbrWgeA65e3VdOlBPmFDKthY8B9Xy60p4aWIZDePaBNB0KgSyZESymDrJXuM/99OaOaDQ2O2BHq9hThoDCB3pp440e0vgNgGeYX6BOrV/oSdtFhQ3/BOQGQyCRCvqpB1z+aXhCD0cG6lhsIWLuia4LzMn87PdNGhya4o=</t>
  </si>
  <si>
    <t>jGlcqPCcf9u3sEK/+VJNpmZlYSH0qJLjZ6SvHQlT/zWtXHFcPE3M68QaKl1R7eJRLk8iK+jozKaKW9U3FdfSxt9cVincRoDP90RGcEqPP87Ke2+vdvU3b8WbKAphBoxMYjvqwdEB6fjBylS0acu0+tL220/1Nix3u+neKsR376qNDuwCwNl6wWvbCnR5Hmz8a4UoUx+NGNLxWtpzE2pQkpsemXJPQgksgFC0Blin09C3MAAFojFPhcPl/D8=</t>
  </si>
  <si>
    <t>X/6yPoIUK4tuwQe/RGFyDmyK2T893ttbTLvltYViestkOQGBNZCPjuyfaYBjCTLw7UeccJaPocxFBnO/QhUbZgViNHq0i8zlDVjSyrxbPheVfA2s0PXgdC1StFpf0IJse5gIvlInzE1Q8dlYVCd8uNUCHo+ujruX8VObJKtzrKV9hJttuEYC7kCpRK7I4sitg29x9qgziAZhTB5oJbu6moyQ5F+NFtNL9q+QnoET6+BHBfqYYR2bK8OEDGw=</t>
  </si>
  <si>
    <t>I3yIwYJhpDj4K1oWPibKuHk/1Q+MHlp2unXFor7S5QZzE+BEEdii7FEZRHCtNHA/oT5goS1kUVA+lzFtUxI22aw5rNHkWUDjQzRhVgpPc08AWcfJ+SkzKv+weoIi+FmAN40G1NAf9amIfEsBdHcg/+Pz60btdzBVqVNj8lHO46EvAtCRhqVGPmbm4Kl6fuBtMzN6b+lUXZfZMyGdeQgxP1wtFoXSiXA8r0bEvzkgZp6N2LVq3aMwtRqBguQ=</t>
  </si>
  <si>
    <t>ZnFarlCI2IcmxdjeP8DVeaJgda7x+RlEKN6oKFmPoYat0ljjAkHsWPxwemeW2gFT9OpAxP+tuWhZpJ7SjIu8DIwU6FE1B3yAv8xvl2S/ASWcKj0LrJR+VJmE6Jn3ioKsS1IQ30rIg8Zlm27Q1NsYU9L61pctxgC4t0uRFfZFEP1V8fFiwSC+RCJzo7Hv7RCPG26WexyguAVEY9j87KZEa1po5FR5NTBOXCrMUysoZTI8MlPO7DqQPAwgqcg=</t>
  </si>
  <si>
    <t>TYybmnFQkbJgafXGKOFlrSdT+71caiP+L1z2MOOBihGACNiuWMdixX5qb6tH0QY2XJlihcSPV26qsaRRqU3h66vQWsnh1IkB6FPWLUfisk5xTVgr7mtm9V8RxU3NSONMfvVCuRl0nSF9ixmW6GxT+c5m+elPK83d317wTk9ZHZ0xC3hlm4Hn+hKHuk0U4dSqUl5ajl9VvBrUUu459D/argMHan/bSqhKHiKDqKIxavHSwLfdvn5/g7seEbY=</t>
  </si>
  <si>
    <t>LCHOz73zuTPzoRkXm8qqPqkgaHPCvLiX+Vm5sIVkW4x1idr2G/1ANrbkFv1KVPnE5zpdwll45is3aVK+eNaiF6PUIaBML77PWw09eN2w/bJ4Mf3g8AIpWLgIb1AmzEn2rBgvt5Xx+w03ApCVEpXCCOZNIH9AkHBd2yTQTBJDpIBsU5wblR9Zi+xIPlxT2ct1B37Jo/hkYv/+jTfWnuDUvmPP6MjO/bs0OCjjYtBnqjM8/ZmiMRyaLOtztSk=</t>
  </si>
  <si>
    <t>KZ+bE0Prd0GlGVeVGEj56rvZ9+mVuOhV+ISe+zvXmr4Yg9DpX5Cc2sDJ+J1D2GPHVNdOO+tELFWqbAV98zfgBn5oUYpS7ui1hPmtlL9BC4GfkcFjU9y5wKiBDbZaoB6owSjyMzBU5sP+VVtoN/oC+mzAxcdha08vZemkaOoDk/TokQJOs9S57HNSD7rcsLst+5l/Rppp3+CvKUs8GHI/+dYisP1qipV7e/2yzEDPwsKmaivQOhwyJ4eAyDo=</t>
  </si>
  <si>
    <t>Q6n08wWHUObdQ2Jf1u4coWZF8pqOLKsTSnLEy7tHnkob3bzrtIFfoCnUzWvXBBeAsIWQ89aLZ/MBaw3VLXBanmpb8ec62TNKRGK1bui7hr0rBTSq/2gvY2U4YEApOJIemSgsLolNLRbhAXMbQ9/K364hYyQYb3wDV439gpzvoV1ByJlCkDg/mq+/LfWoGdhz01udlVqDeIkCSQilq3C1brttye3qAZQQXlkgiZJD25ugJdN3NY7FpnPWhKs=</t>
  </si>
  <si>
    <t>+UqQhnQTDQG906ejxQ9vIQzJUBBkjuCxITNdHYVkyZUJ/PBwwK2nBuSz2ljPGaDb4XjtLLyxVg4rPCDmfYeGm+ATY7ycPDArAp5k19rCLOTW8S6Q2Um2mh1mIk2nTu7Fn40ndxbIXXCCfn4KL1DtHLCMJP4+FfmmfdOZ2QyCVSMgKiOtbfFNZFhkynuaj38/rUByX6uOSCPkN/Q2QOUPDUC5gTYSNtBBVx4TCDh7UBTau9LtDUEmFv/M1fM=</t>
  </si>
  <si>
    <t>VHd8EkP2ghlkZRLxqRbzEBsHXMw9alo+J9qrqhO0st6D4JOO1ygbaXqHPdmsg53ZrYIBmm1thTZ0CWZmfZyhwsxHAkaSIjCc9llrRUgl+sIzY6enw/oPa7HcqZvad3RZcKeiIILaQw30Tsph0TxyPFGtv2Z0cyDKcqMt03fo/W/QxDc8XidHWN2rWyEOlc4Yfd7R+55q+YEBKHqakYVBYpQ6xOmsiCnSsWyRU8MmmMGZOd9COvRGh0GvVYI=</t>
  </si>
  <si>
    <t>GuRM9IR7NI9E0qqEhg8n1xWi8Rfg1Jn0ew5tOcHAaHbS97TSQ6APsa1LUQRu2hP6vMulKqB19fllPMxOmI+ATswV9fVophC6PIRLj0F+JHvvUInBl7AOT/Iso+xBiY2vk7vCO1RNQZBlNqfkDsMk8GEhT7L0Atx013YgeQ8FkjQQr7cVwuqJwfijkhukYRO6WOmQ2S0MZfCwVkT6YtdZhsBOogaz7gvFpPpc25F+Woe5A7XXZNLsD9nHOsM=</t>
  </si>
  <si>
    <t>dB20jYyEx1H6WiAuGHqfnW+4jgGfdA4nSDdKIgc6Jo3dbmsJpDwLqcP/8f36j9ORGKkUx6yFuO2KWfqm6P25LY66cE2p5P9AtWN5GdP+WAWKZa1867XdLnshlj5PqCpg1X5ZbkviEuOpkmx0geKAIDsANYk8K58TDB58xeaKRb+ceLiy5hVM3DwlswDbipBfWFkbtmlB3IQoqYD2ft+aTIzLW+myuv86LvKM3MFkhF4N7PUQzT4jRStEaqU=</t>
  </si>
  <si>
    <t>AM2rxY1ltkzzQ6u0pWsd2sgrwLPyvZVaIr9DkZ6lLRMVHOXRkl0++N/dBophwFewyDyWhzQ4aF+QROBockrjsMsakzREPxtAc44UpBO8B4l4wcQv25q0zQklrSi9oBX8ZQ14Mk+7w6jK4kPfy7VVdpEivYiVDPnF2kNQZhmxcyFhCDhtvP7LhCveA6MEfE2GTFU89ncVJU0RIVUBRIX9IOS1lrcZP5BZo51xFb5QBR0khQJ788Bm1XqILpg=</t>
  </si>
  <si>
    <t>wi0USs4aaR5pmEvy6xexJ/XZF44+L1miM/daXId5kN7V5BEfFqIDFMVcxjo9DEgCqCW9griK8CM6tznFMV4UQhnnvqswcGc9uMbDYuvZjQcg/vq4G8ML1eWew9J7d6JQrnNsJ4PY32bAWgS1wds8+MySmYjGvUgWbbLGRqRrCqrLeIC8ZpCe6Q5QqvVfGuIrTEqwYrh/NmJ9zzX3CgoNFJAUDCAGJbfDYL+Z/690NpfuKH+QiKv+PEgJkas=</t>
  </si>
  <si>
    <t>rz4n1ABr3wP0/kXxwuyuDPeCgmLb4/q6DhYwTngrdN0DlTrgIl2t4DlyavSzmlFG+Qslqoun34w1h5ibgMRfy/hj49rVrWB5aNxj0Hx19OgfBPR8PqfOoojs5tV395rpRv2BdBj3Yfg7v3AK9CA8n+kSdHlXkTevsVC+PhNdIcIMqinbaPabRVOKoW4Shgomi9Qxy0PXj6DMxmWTBTILYqB4gKTNdyHHlRTLN92DyZa5wtXUucRb0eS0vAs=</t>
  </si>
  <si>
    <t>E3grEjatTum/59HQnxlDlZv+7jqbgpTlouyzxF9mRJq+dIprlgt/o3QcF93SYy3ByicIcSOEixBW/eT0QYNQPqQxAMAXN01Up6b8a8cDsxBSUdkPZWqDLTRJ6RhHkCF3L+eywp8CJUXXnJp7GmCWB7g+OWgCz65Z8IQsJ3iAGOGffcc1FfBHJGH8Pf7xfMf5+FQ1x51TIEKYtVsW/slK7yn2kO+tTmAhxek2xLHEVm8hylHtCweu007SQ8w=</t>
  </si>
  <si>
    <t>PaXhlGXqUDpSiRlFRGIoJ8wepBdtl3sxrRoOAErlpb3aTgZzEE248a8QyojqesTuZPzeh7NP3/XcH0r6bGchIv2Bf5njCfnTlCCtjKnLV/fx4XrfDNnhpEDdAuyCAath68hYJb0ln4i22pJ75iHS7llFY24no1MKoTet00uzqS3/Eh8VmqQ4KYmVcHWaZMy5es1phfxaimmz+3PpjnnMrZIMXhIxy/yzUx/lDTJHGCaBFRafm8uvaSOfziI=</t>
  </si>
  <si>
    <t>9I9NOXXph06WGlAHte1ZlVgNZ8FyX1HCQykDiR6RVVr5sghB3Tu+qZNEb9PhmywaW3cdiNt2nIY76o0d2SOBPKRt9w5St8UnPhG9OrZVXM/kNrrrEzLk7o2Btk95LChjBuOoKDPmY/O+KZOwc6YTBsM5uNqCsURW4qI4etRP9BpV755m5blkkBtWAXDr5G1xWcwEnubd/4gvGWfGqk1nhQONZMpXsNfBLQq5GT0xKVFoXnVGaIJ30zmjc4Q=</t>
  </si>
  <si>
    <t>QKPcGXcXSJvg7SCoIo1lCrC7FwldiFQPo7oT5OarEF4ZuWmpqsDc94ztObkdwagw4ERGZk8aQjVE1ZyQ+oaMelBd5DstsuRpAHho8/x1BT/RIcwXF44jFbXfra0Xt2MVCxlkUbJdm+Bo3dmnnhcMn/rIEMG5zBw38wEEkNCnk/v5dckSFss3qq6Pt3RD5lfDiwjLc/EN64ottiSuGMFuyknyFGxFAO51Au780X6ZB/10SBd1Idf2nBONOMo=</t>
  </si>
  <si>
    <t>x/T2gqCVW8kxNGz/VwwMbRIEEv5cOfyLrA0S6pDLKCAKByuqKzqmNfNeO+dr2UTHYMbIbZYlxwBfD4bfDFr7TvjS4las7OpV6TaMpAMuQaAaAiyPIdKlK6E9RlLCYQI9zQ6IBaJKAjryPdUQS22QxyasyhiHZs3TmVcnnlWmewgrxQJu357T+/lqfVWxf6WPZTroJmBpW3NEv3HHpwvQ5oRUS3Ham1G9L2cu41RKEsSvfe5j2sQ2L7ip0W4=</t>
  </si>
  <si>
    <t>0tJQQ1iKvSpdLDOiRY+NM3LNWXm41wF4lwWzMsjGlraDVdNrzc+xCcMWxdrkemWN6ZAzL+4nbdiAPSyuxtUkrohlpS4G2LlkNGudmDna4W4xVTy32vfaCrlLTHw92Vax5tlMqv++Z+Ua2Mwi6taX5nJFkfgVAZihFhQb+g6Ai0cy1aBlOridH3ElSEVd8NmaCbtf3RLwRrCYhNr3Q9yukGvZq3v+O60VkWcNgqmndeVq/BGQjle8mBoSrbI=</t>
  </si>
  <si>
    <t>OfsqVJ6uTnDE8Tyg5uHg57oHTWbaXKc6698YPghAGU/OcbUd8LGNLhpeaLe/JHPbSnHvFSr9KX8yNDagz4QLfk7LlNCxlGAJhQpEeGazlyfPr2MMoO4bG89EB+Tr2sRu4eYXnVQWr8gMCK33WmyvUKwe3+2dJs4yx7G7TqS/AnDEZmX6noRsM4RpVWMfT2ZgsgClUfcxsEd+TQyk7FJxWEsRALinaTcVsS61BLDiyQJXS9+Butw3DgesKi8=</t>
  </si>
  <si>
    <t>gNdIbWY5lmB6wMusJiLShmtwrTX82j4cJbX+tvmOrCXxFSfmH2dySnUHo4uDicDy6vhRhlbau6wQiva/nvNFNPzrh+nV1ubIwmyMsFlp3LGiJji///QV50H/Do+lmCVEVHpESvbSs/IGd8l9/PAvLIzNt8o2CK9EmXcJ+byL/l9T41y7Jpq+XnfhohYGC7u2AFRO3AjQ0I0RoaJBbBGmwmvTR5F7t6zzm8ZuyNnUP8yyv3HwroRzXDKDxbk=</t>
  </si>
  <si>
    <t>/mEu5cDtp5MyZRvSsPlbgPt4XjUJZ0s7PkRZbNjte7kvGJZHYhycjmKUvZLKz9HSE2DeppBKMdYA/O2HFPqOpT/E6jIC2/J0ZvViqWOly+WNHARKIhYgZ998aZQ2rwkHVWrNsd7ZEht+iWYDo19kCqyUxmj91aENcuW14HQeHgM0VOWBGRvugktPDsNDizcd/556138gjAyZgBXtcb8TDgpseMJN6bu8BbyI9NdMCKzDbcf22govQSxJPGY=</t>
  </si>
  <si>
    <t>sSbtZyLAdF8Ou2AlEkv2OC9D4q0tHEZue4v4s2njz24SGNJ3r6bRme9sR2u0ZqXZ/gpsO2ONYOfU+DuxkVws/Ys8kzOBKXRB1mFICU8beGvM+1Pr9Hj7/Fd3W63IHhH3Tp6/DAkXvN7H01LFZTQU5thlm5AZktAJ3YAEuLeI+l5eBpvFO/ktYzPMQbpbHNERz3SKsWssRrjOL3SPDC00V+DooT94FDg37H9JKQhzNhDO7cks36Zv41aLR+U=</t>
  </si>
  <si>
    <t>kuykizTJzSBWmIYnDwjACrgUpTSrCBGvNNTu+MxFTnI2O0bOraaTGLUsAdeAahxPpvsq8j8HRkTHNoOa82FyOtMbGgcpo64ADAeUOK8L7ingnfwSlecTQiLLFvM7pyVLeiZVncE/TjTRUQqRzn5seZy8PUGxF9ZsgSNRnsTVyhnT2QC8FwpCQfbMTCbH9DdwFaqs1VnrA8ZylazKzDuSVBFmVUE4p1X86atcy8EELfnhe0eFcUSJpfY7wXo=</t>
  </si>
  <si>
    <t>rg+63f7rr0C8cUHkVPamC95y+IpbeSAu/WQszByF2ZYlsffbMg2MomL6ttg4W+KCrnoVnzOVcUfeO23+s8+mCZVa7LWGbej6+q4tmvDuYNlzaAPcwLJ7e6zTaWyTQQ/tBkUQCSb43zK2FjYt0tLb9JWbnpt37P9TEcpRbZz9NnqSaLsLoZi6iVFtHI+2dmMDSkUEuA7TEaOWhJzxBTv217TSbBtsy7ThNHDt7EwnJ8olJIYRQmz3ljfp26U=</t>
  </si>
  <si>
    <t>2qqWrWoqMgB9lYhOjeWOy/x7w8xPRZI7EBYE4EOu3wvg5snzr+7aMohPbTpvoqc16Pl0RFxXCEy/yXL6km0CaVxwvy8QazcGxMCE/Ei7DdYNrDnclxa3crraml53t3vucrnt/7ULuh50eUFsTE1RUA1wpWLn+kkBE1zk+rRJ0coNi0zYa1xWRbgTO9NJQo5BiRW44o8uGHsZI1NVhukq+cAiTXVWMbyT6TkXxuj1X8uMgwgtWRdUf0p6hWY=</t>
  </si>
  <si>
    <t>TjK7s192vnj7ntOA3/eFocPZURXw/hjC7vFFSRKH0WgbIKt+Q47odkKNi/nyjWPuplWdSqhAzsbK8YX4WJ0NZUWgC4OSuQrYKgxVhnIQvccSGyWrb5r+hn+KIIyzkCg1Yz0JhLEXNf1BV+l7OYLzJZMWJvV4TUoyVy2hnX0K1usOL8JX1tBv2iLtQjSbUbFBFvrfPFpHP5j5oIYkSFqIhYcwS3E3HWLo6Jpl2W2Gdz/EKqPWqExsEbIfuY8=</t>
  </si>
  <si>
    <t>aphZQ49D/OtyihyI1sQEJBzcUeNG9enXmdTd7YWHBmIoXUmz+XtFKn1LYC9+LLAokaVH51FR05+MovW2z3LWdA4x0cOTK1ClhWs5YzRt7QJIXqRcSRKZx8u8knFSj4rRBv2O1Nvh3cUOL5s6mbEv4clVZ1LpEyDE4vNC5XuokXcSNC568gWy7f0g3h5so3X0xJVDXOxHmFtNlny59ejThz4NzRPRhNs8DUMtL5Fwp2CTi/feoZbuqBJUqCg=</t>
  </si>
  <si>
    <t>vkPzXx8PRl+kSrYwgPkt/AKTj4agEvcYucOyjQfhWoJ51gkxdJfVgIEQfEEiIKW0fUhvBZSmFKSmXx77T7bi90d53WN1ZrZMIgQzOF2H6GfTUZDWSk77BeSs50hC+v+mmiB/YS9RNOVBQnjJavAd46JBAM+lpMh+LolSNs87V4Rinwa5i91QdeIYPMd+ZHu2uRgn/9HLxHeGS2e58UmNz3wffv6Xk0Zz+tXrSP9DgMNMgEKDiCo6k89tZ0I=</t>
  </si>
  <si>
    <t>tXWT+RZ9E4bqt8rFyygunbCL9lGcK2hLlvs1GkRtguYSodrWYGKmupK1FDQxAW3mxj3B+zIf8/8pURgUT1tPP9fbOfom1tzc203ro3dp0MhXbF8hXHCjQtSqe+d63rOuAyPQc3whtNGKVuUXZNUABJT8Gl8OG7OLOXCg12L8B4ikEc4d4o6gqoZYLpJdIDt5JAoZvVmTK5ci1Cf1qmcXoWkoKli3DMEi1VuMn7+tpCRJvcASnJFx29kHDAw=</t>
  </si>
  <si>
    <t>LsKsFCcry9NHwg4fELK3dcPG5opSW+u85TY6bQI2exREIGbVAT9gC8P4lRad2gOOsnkH9gjwtj1813p+XgBcrdbuesVvY6SqwzeoCxnqWceE4ztUtohDrLd/l9GpZ1FPvEPWXNJS4T8VHkleVbY63w10qMYflud7e/c76Cw7WzQ9AvnakjaYafmBeXLnxxzNcUnbDv7xvorKlfKHdk/uSxsHTLX+pzDudBB6yqQnqVVp2DgoqHBO+z2izLE=</t>
  </si>
  <si>
    <t>kNlfyGBV81LQcGo3Qw8GoclmPu6Ca3gHb87Pzz1+RfYkiBOVAcVkoRTzS7rY+htNSgHE0YKFZP++3+FBVZJlzuiGhxf/ZAE1cIPfu/KBatrZLCPBTxl744glK10qnPzXUNGa5lkOsOObLhY7UEQ+P8lLUxieMppfRFO1DyHibtRklwwEHIBv31lNtW1T+DjNbQMrEoqJu7oGfLTnU8jZZbXvjT1xzhB3xWy5GVMV2dOY3RZ0Kj5hV0VE5jE=</t>
  </si>
  <si>
    <t>1eouyme9qvhT97RVH2SUTHL0RJNcVZGvBZLjIAy6O7Medeq9Sl1hRPziAVS7mNqmx96vdjkQwoA5vhJKDn0O5tU5vIkZm4hj28Id0MC7RR1tVcr9+0F2v/HZqBAfXBD8iNOjMOOOvSsoOxCNT+jcjjv8Yb9QD1NWxo1RpkqQpcZPANOxWSLQGg4Oq7WUBy6WL3BNFauYC5AnLBXJVRJ/8ybykdsJzkiUahIBVPI25ZcpMD240FQVBMxE1K0=</t>
  </si>
  <si>
    <t>q87W/EaS8P9/oqXxXfl4Yfg6p8hqBtmZNplKWe+61tga3H/S24F+BX1wQc3OFozS4/YpNAhhuK76wHsQxOFaYbvtjFIPZP8lR19C9OtXQmdtJlrcuLkBkKknbuQozF/aWb2oEu5091wdSxdVbwNdB/xCfVDbYZHA6l1oXJ/kZSq2sRYywO0MR1KsI6Q0NTedTyVa39ot/vfYWg2zND2zUufrCs6zbaVLZf3qkJD53Uz7jD7gz6aiLhoAyj8=</t>
  </si>
  <si>
    <t>8+vuwDZIdlRZRPqdrNhSTPevg3DDoCUnzvXjwpLu0Z4MjdgJXUb6xb7I9YFMdXU3fjtabb/V7PczixJaAn8rDL8VWzSEngGI+++s4H6UYEq3k97bmNqXTmF73rVWpMYlpkLD5OgX9xT9+i7zwLTSKtknHfMKIG7GBnXNhzE/UPGafD/uWNjaNa0fJwT8gUjUYkkbw/FRv1MY05d0dFtwgUsHH7yUb9ytU91aUjNFJH7pbZ/kFseXYHY+Om0=</t>
  </si>
  <si>
    <t>ZLdVsQVOZ1e0Bjwn+BM2gkjxuU6Z4XOhXrT1Wvtsxsm/65OSfrzoA4Z5ExtHkvGmt6jOgUKdoctcE7W6sOydBg0QOHpJ0ZakSATHUWVPszliJ0wbadYrqwN5LhRqDIEKKw7Qlv6YeQ0K9lLFsUgUwGN9KuMwWlgHsHExZEeyktfDUbuIP6Uvx84wVM+leWT88yI5qgtGOLXj4ojsMdSyIKJ9YbygZ6omBZpTSPx8NxOBtUJZi3FoGPjn8AI=</t>
  </si>
  <si>
    <t>haTN1re8NtK2A8DtVTIkTZky9jYeIwl/xdPiaw+v6Av+/4pf7I6NgRGt9dXCV5WdOAsDkb6G7i+cS2Nhc5DyPIdLdTi6H2K5oQWBS0gaQeyHJ/C0lUzAS5tWZRaBWk4QWNESjVs1hCMs14OYj1bQdRBuU7JZ3Mjc2WhkKcVYayK4TA6mG1O+VQo+jS+nLqxts0p8ErDP3d+9MqkNhKvLeQkmlPYwkN+rlb3iXK43mQfsnTmP4WU7z0/QOuY=</t>
  </si>
  <si>
    <t>dPt5kst9EksZdQelc+Rls7a335OIOuuE/UpuEINIgx6zhqiXxnu8XSvZ7yhBiljm1r478ki76uJgFBE5lAsUDqYHzZwwcItqtjv9yr0km3PdnlVQtniNG01rarmZy53x2Cz3PORpBDAkuadSyxBnKCTOUVzcDdfaI4q5I6DWZBucoq+Tbgw7bvBxaw1izNgQYBYnLMptDtRoiOhIgA/jeB0AktyUWWolYGw8S74YZk4fSOQkUrUxH0BA3es=</t>
  </si>
  <si>
    <t>WCI2KxBwRGfJ5GNmC9Q2i58RgBw5H+d/ZsKldOz6NZRN2qBzbXvHx08OzaJl9vRcCM6Ufg4/CDCHEFP3KGVZwdxFPWC73qz6pu7mh4KWz24IKOIVX2yyFiBB+9Svm9q38P+/QUuL3KgLvFoYMrjW8rLKtXM0T6mZ9u3ru+gMZzRo+ZG2THRnfrRVoxRvZRK7Q7jpRSkXY5T6uZ/BBPnxnaZnXGTAp6Q3W4VhupLNaZNeoSfmOqXrI9LZRQo=</t>
  </si>
  <si>
    <t>XEdihLIAdIeQ7KJ51kBL1ERxecx+D644ZAGWLZ4wDzdhPRGybrwE2e+NAHapyK7SAlHzqC2PWM2YzQigGQKU23mE3YRwQxQzT9fXK12XayK46w3WFuJksB8dXMZcsG/dWhCq+w6OFVIopOH2itjpl2i7kAenPfJv+BLXKqnLEUa7VJP8NowLCSaIVczL8RNzYO35W72nyoghxhSDqHBT9iE7DKGrhob3vjeSk1h7Ce44xOlVGPFUk7CwQ6c=</t>
  </si>
  <si>
    <t>DByNmbuvzX6ApY61gztI5d3KQLZ7n9LzinXSbF8iVlIQELxpL9isk0Ro8zJ4UiyEGATnVxpt/mlhMxbnSa29oGZHIvMKlNBELBkI9V0v01d//6VlhWxH2gGzjsMw9VaUij4v5Q+9nJ/DO4xLJmxRvlVzSBAVD8Mg5zl+agVzhj+vZ8WWZdXS9US/qpIR2mGJEB6w0FY1ohMcZZlIPOWA/2z029GPD7l0OCv+fq5GCdPI4A+/rQRKo+jRhgQ=</t>
  </si>
  <si>
    <t>LmKdbb4wQ+bdu5USX3U9OPU1WMUYjcNhEvJyH/orK+zdKCBOJOOJP8vWoRBWiy7UVbQtMBqbJj279D67iEkmaLt1wvKNdogCNGA/T2u4rBAm5Zxnsj0Ymkx4m12VAQPzusLXcO2mSEhRVsA7E617OUQF/P5iMKfeP74cqMjTLDXhLtoBVmTOC9OaUjB4h8ypnIKaO+LnA+thTfZdnM4PryzIYQ46MvmKLY2GwHJdxK4tbm89Ld2ZO/X63Zw=</t>
  </si>
  <si>
    <t>ubq08YW6TxaIQf138i0qhFY2XRNx00qNMYjwWqlFUcrkwGlvBIr0mHRiFX2mGNvuwbPxF8wJxMmfJSsxeBizsTQn7yDOZ/bUfkz5Mt11QBpFUjTTgsqo/ONxx4rArMtWpq9yeLJaC1ckQAs0qlVj+y3WaBfBFR5xGUS8xEnqXkz6weMjBhP+YPwn8L0seawTKuOqrOniHBnT+NGb1x/x6XiTI9qEpcc670vt/ObCCpMtksceDUWH3Kya/ec=</t>
  </si>
  <si>
    <t>njwwThbxp6S76v6IfoVBziMvgECnxH3kx1Q75CjpUY30Gwo5eWyhFjcT3BGWmDQMmV16psIVjsMLdIgKNeGAA0R9/s3nwC30Y+8kpX+RHBHQZaJUcE+8xoWylrnt1eJBQsG3XSVjr75Cc1IUc1gyCRqP6Iy3dYAlbSs3SnURIZBLwCPSIrNcTmX0ujohE3Gf6pO0daheMTRGn8boPVyqN8W6ui/ZoTS16XOdpeL0XICaYHprgwESINltvcQ=</t>
  </si>
  <si>
    <t>XKyNW9bCwprjoaIXiG+TRWpAy+kRvQOoOxb9wWuwqY5zB9Q7kf2UVwi+q8uvNI3juv+h0UeTaFlPq1WIxziTNtFLkYwu2cdqij7TVJrOhICFPtE2ey/iDe2OJ5X42ePiu2gjWgNF67G/M8xe6RLaTb6N1F1fvMgL8+IBntixIe7aydC1g6BSo1tcu7LFHgB2KtadB43ys4l3aWEPPniB4/d1ShIchC0eT5HReJ5K1qqi//UBCU3d3rGB4KM=</t>
  </si>
  <si>
    <t>3oI+Jk7CdsTL9ONjo157HuO/JmS9kcaDZA121/HSTX1Ike7GP2rsrOoFANywdCueLrQslA8ZmIGqYkzNMpbaJwsLIz8M1j951vJxzLu2CFcdcsAQ2aXThpfuvKkDi4O7SysLM9gd3tXCcC8zlCBNaOpxl1vHS/Zl7dydx+ZXiW0EGWddfXKiM3XolzcIfECcbuKJCHEwA2YAmKavzfSlDy+tWobRBb4qL65egxJwBuOFCIciK5MH+HG5ZUs=</t>
  </si>
  <si>
    <t>H4u1Qq9ZmYUP9qIowLbueyGgKBozUmAVpvOyHVVGYVkaEAFzwWUEvmT/hggVdi0qIuw4i1ppxwNWvO5gMivIEdSHxHCfnMunRId/yyFGPN9awDGjdol7Af5MoTqizMGAd4Ue5Ujnli0uj29DnK27Qers8vNK9qawiRpXpL5zFsa0bvrZ6NkLnVUVOVxVa3+XLq5om2WtNhteNWKz+CFOYz7R3Gmy9UXNBz4ZMKIEYyFY9sn54J1peq+RsUE=</t>
  </si>
  <si>
    <t>DD2ZIBsSsZmqrbLPM57qLts/zy44k47xMJA4g4BjwtA2UXUXc3R7MhYjyvq4NteP1VQRF+F+/tqX2iK/HnUsZrsPIHZfn005nyCHJj4iZb33GkmvVAQLeOQPlC9jEVUpsuwc3xcptJQUEh7tSWX77/LodnK0Xud59RtJ71gGCWelmhfRMahLfk396YU3JlvMdlPlkjk9IP5zANtbxFhDXCK4s2e6n9UmyMriUoI2Grs/f1F9yOc0H3LTzhU=</t>
  </si>
  <si>
    <t>1CLCPP19zQV4iDfhuSV9aGXmCoOHY64uPCLZhLxLXZdANWDWyTrbOg6mVwrNdAuWcqGtgxplUM+Es5SPyhGOqNSUDCQCxlW3T3uGNntKJ8Kd36c/LzOOgkGp3e+NVotEeP7d05ovxPBRgVSfw2zFcZk9ek0CnKozDSXhOW7/5vrQ5rpAUqespHop8jZXEcrrmPYdo61j3Oi/imK+mj3Q/oI3mJD0kfXMRmWl3EdtyoQz6urafzIzJYn3cB8=</t>
  </si>
  <si>
    <t>MLjicFjR4JwB1vYlKSK+AQDqNGMhFo5oM0yqpibuF0fesoNgiG4r/Y9CdIUKew8hMvu3MF7IV1X3dK8JSHtBIoLACwTEqL44uEkNkoiR9DMBRBgP6AC//HCPA27xJjfhPbeMT5ufcg8t+5LKVK1ZpdcFFjiKQxo5Nhp7x9ce/CxGBjsyjniczl8GDl5hcqiF7py94QnN7GoOxXWh6NdOzlHLq/yt7n87MuoNALICpvr3/RmZhB7LE7AtYTA=</t>
  </si>
  <si>
    <t>8Sor4VPHksxetyuZnYtkL+T8TyX16nQwO0lm7yfFUqIE8Wjb4FGL276/mS/Rh7ZsAx2Skb5T+EWi0Uy0x3PIt9jjmNAHVW0n1/a20qS0fXwBrC81ma9V5GtmQ7bg/SGz6h0xhfBmGyW7XecwfhYs2stsca31FVO/9Ltpw8OtUotcxSN5DAbkKihBv83PEFbYCJNmnCF3aqz4+ObxjgMzU8G2YOOKnCsWkuYRWja70vqrXa16Mwb4eV1JNsM=</t>
  </si>
  <si>
    <t>kZc3JELfN1xPbkE5lWHAZk4VJY9jHJ5L93ac/foHISVxhnYqHZdSF6TvP64JFom2685lKbfHOFR0Ab0QtFkqSrD8gJxaL8crvzDp+fT1RoiIEeAgTmoZK6rRrVXc9psH56ZgFLUFX6fopyrbkIQ88DPVAyZNIHVjY2J2w6q4vgz3Nd6+5QY0biJqcvZxlEvi0goXmrgBbrdVr+MOrluApGPurrTSXVIQYdikcho3LYoeGIVGIiBYB1QO7V4=</t>
  </si>
  <si>
    <t>Dywzb7atiMIKPtpRFaZvHAIA719GYxL8iJsDawrt1Q1gMaVUc2ouOw5h8mmJsmoCtmHnWlsyNTaYqoFTZeVMCqz5vFiER3ayykDrfyNHqrTzJzptqD+2Avdo0jhTYpvz6KdIxh5DR2rZgn6paLeYzryxUytZjM0TFOOR3WLCsJ47HtXuRaf3dNIsRNAjBu1WkEOs1ZNw8uhWUxhgJflfGU62k3M8LXML60+8Fmx6aPijQ3UnvMeJoNgyRZI=</t>
  </si>
  <si>
    <t>QKcMAfvCVrbjht545bNhhpZQEPylXT3hxtOBFd2M7SnaSwbPuQiblWeQgcQofnJq5Cqz3HXof/4u8WzTV3lb3agLUnlUeupahbo2f6z4FJ9NZGUToBxiIibfVUIDABphIc1NhlSeC2KzVzBSFbHEGuh5cxKE0b8ak5tdMZBYyd3Pwoo5ezWipIkJYBjJOuJ0Qc3F3H8fS0omWWelWiI3/amcesGmQ6S2ZVrbG5nNcshsaa5upoUruiG1cfY=</t>
  </si>
  <si>
    <t>UlVRsTjXgBcPFqVjnQ8KIs+hihVFyij5OlXtD65FxpWi5Enzpf3a4qpNLwlxrCnqBV4kbFs0eC6I1IQlWNCMRYtK4gwEAw9aBD6GwcRR71gk0aNPSrFcpmBWkVsHsWI6iKd7C4NGFW780MyOQjFelFRqavknbqehtnZkClT7o2/Js8ViABjQl5rWfJB7+TMB1fmtWqpGF+zqnBhTNBE5rr8L8stdGLVdr5qkc95I7b/6NTyWQVKozxRULZo=</t>
  </si>
  <si>
    <t>Y2TZCxveFKiOxeQ5uVt0TnvWBCM9Vw2tS/qcoh/0rU3JlV0O0wojNJPoJX3EppqiFPNwziZoESdQmdJK2twXo/MUddBYxGGzK6OQUUZwmX8Wpp4Zb912togdSuKHUAOcpKE6MihhIp9UqJVxMlvw/Uc8TZQ0RZegsk9r/xKy2h/CyN/4t4+wr8qpv9DsgFwA8suAnSCQr7TpgMxCx8KfafDWHqqrBZsEvNJBoAfxX/4wJwqKGeNm4rxVB98=</t>
  </si>
  <si>
    <t>+ZbWohJoR0W3Dltu/ZFhZ0HZfjPsANlUSWGx+muB9xzkdbUFSsA9AGGV4as6sh+kXPNjeF/TSLDcEzKJ0omhW+Ge17Q+Kmh1SL0cbQeDWpKVv962Nix6Sk+MDAcvqUfgH4d9TLpLl+7x2/UsIqPuo5vwdwGz1yBHHf17VJx04OEBfwkT+vZ0VRHi62ffYk5WXXLRM6eMyeNjNBBAGgoPZKOvrfHfh3mL5UZoJaoJbouwNfPVhUFB04c726I=</t>
  </si>
  <si>
    <t>hRN/xufizNZwxNO47FbbH48rZ16dNA2m94ZB/+t/d8N43Fn9zSkbFb4Rh2a8x4hWL+NUiRS9KjUpL3u4lo/mVPAzX//y6JM2epu9WN3exGUSnpe80yJCSD9wkMBWdXlfROFPaAGtfZJ2oTZGYFI1D/FvCymcuCtripOmP6s4fBQZ7ELgL6ejqtJ9PW+ZQW3JqlN9fw7/DC/+SK59KGr+5DDBH/ZIYsDDwYaeE5Z6ez6yh/0KmScAjPZK0zY=</t>
  </si>
  <si>
    <t>mQRCcB+9jsuCsYHnCYfjIPg6UkgdgnwYxO+9+0zbHvDqK+PO/lQHa5aC45Cm269zyUxjYQ3PHXEetdxiUfYZ2xElgi/bxouTeeiadK7b+5Qm0uIdVi3IB6ORw24LmLFuBt/941FR13M4kTrkaWR6zXdkFpmzQ42FntefVnA275WsMbkd8H10so5RWZ/sbGjzcbY57hHnIKIJUvsl06ii2ZoLdATIUUufqPeljzOim6wRZg0ot3/05uxr/HQ=</t>
  </si>
  <si>
    <t>GQUb+0IlOezHnE/PBpZikl1y8K4pEvC8nTkIIS5/yzwmXzWMhd/hG8P9iAeVXbFWeH8oHI9vDwU8xDkhmIeqsVZZzPs3kywMeE66m9QNEHVsS/yknyQQV9X/16jd8gLym/XZ6/sbUOpsToa3g5X9tLesRVY/Jpy46lCmOGNfiPJGYdddqSn+R4CX6mTbC9Dfu54oVdVTv3R9BfFmzfv5psvr2ML8zvI/LPiks2kpkj44Kh6/8QOgPDUqLB4=</t>
  </si>
  <si>
    <t>kqAJK0fVW9hAbT9x9z2qTIHmMqDYKmGFIiYdkKlcHAUdsorDQj43wePtohU4vpC4H3tdV5vwSadNBIlOiwfV6CMJ+C78oGYaVV5bCx65zQT7lUfGyGnWVH6s/yzxkUsHpOp5Kszbbz3FlyRkKECnLPxF9mVTaWYU/9tlfI8eeO7XMMs/+6swDa3mmjmHT7/gdd9F8ByerIaw6SF7pJuula7sLO4gczrVN2DTyAtSvdosiU54sWDsDhMf0sU=</t>
  </si>
  <si>
    <t>Z8/0XKOtJTVE4oX6z1Bf7Mrft4CNhvo1QnuAQv9Fl+91AJt04tXI871TBwWturlZN3jNDx0paLhEkTd1YItybzMaL/0akuVoyMcxa7TgAHWZD0RyiVUyplzSmXYDEtUtKg4FgdCrWeiTr6cbEcz1TiqzPNRw9N5VtwvTCDkM8P9FsfhGguNbi8yAOtGns29/H0UJeCy4EmxTPijOqTTuHNb8NqPH98jYC22K7QcFOwxzBuidZQuzes6WQIc=</t>
  </si>
  <si>
    <t>z8G/32tzDdqd6i/j5FlQGI5iXNFAsOMnM3PPBF+/5ID0Kv8GnvVLSP9WGRrrshA7Kn+d9JV/tZw3vLXRLG0unRQduvalqsEEkqTXhsh/jMQoSt2/5MiN+25Dk2DfMCUeNluy+qGZOQt3xxMX98HC8vmLg7yiWC2TPVLthkLq0GY9/QkDK41GWbmKREAGE9ywPJxhy0wuuKGfOFisQinMXNrqECUKOO66WLV+2YBOzGhfRoZ+U3+dPjb294A=</t>
  </si>
  <si>
    <t>+WoxNSX50dRwOOkczDLOo2O2KWusn/ponReSnEMvF/ZQhWjUofHtL9b/CByDMSnRw2sZ0KSyFVo2kBRdCZVW1C/czOdliqUfx8u4Bpl+Kc9S5kq3eaI0hbFQz8vyglFthVkgu2VgqnLgoYo0am2DPkwzjdBthwIckumOBTbqeOXFv+L05CEMJZ0ipzlZw8UFrKE3tUD6/xxsaJoOYcv8moyHhkop3iLa69awJqZ/UgWJ4soAIUj0EEJalds=</t>
  </si>
  <si>
    <t>/XMI1vK5Ap4ujyPU4ukUYHC5z8pQHtqB8cx2g5RBGQa4hRUE1lUIlirgAYWWYnWyh0EYnn98x1k8Y6jOmImr3ObtYvFqfJQj7NizSGnY7eH2cupgCX/JYn8CW2/DUMTVherD2NPKN2dcgbPVpMBRIQ5A0OI+GtwAZf/afqLkSv3ttrekMQIfkQlqJ4r60In0+Kr/xIjc/Ri2zlw3DWmdaguZUPnHKyFLw5pRAjhJDGmDwfHQitThb/F3Iv4=</t>
  </si>
  <si>
    <t>bd+4akxnWkMtIKro06dpZ/X91RLrGmsJ5agVwynP+jucRpw90xhxiorLCqZmfUS597hAeazKyyydZGHD7hcaCDmb0xJ3Hs+L7Rc2po8VIWOj8gOpwYFiXlKX29QTcK+zNGOYPVawOrig+4Gsu6gUooUSSJwbf1XsymbuwE6w+sa2KEHkGUoo6wqNtzSxmMrH7frZKf9XefPEqxbMQk+FJvUjxoWvR/qXZ7NVdDiHikjdG1tc3Lacwf85HTU=</t>
  </si>
  <si>
    <t>WildnpaiFPXmx6Wz0SEukW0kiymQu7nV/7JoIgNt25sCBWq130kK91LSGYHqGXiQXsilTy8rZDlOmXyekzPQzNpkPyjVhDpB/rFUd7gHpzOQulO+z5DsiDiYtRUhls+KRw2YDVVXCxCgwxJGLoWlS2ALhKZOMCSHf9C438mBI0vAeWcSUHV32Y0b30nauA4RpFXOuYoGJlKnHwmXPjtaKBHMcRx7cGdf3FfxOJSmiCKGeUC3R2rm2V7K5vQ=</t>
  </si>
  <si>
    <t>HloRt+ajSBmHjZnr2D4DSP/93q3AmuDaG6LjPi+xdFCOo73UxiJcziuqkuVHHbeFmSOu2GRfdlEB6IVoEqNw86yieYKjwri0xc6z8/DevJTtTyG4VHeFmQCkQrJY7xS28ojGpJvrBIi5AuyOIq83MoGOHs9SRP6Q8YURZuE3MT8jEajJGPauq9PWoKrafKfYzpLXqEzlX7Hkkdugui1mdZ8m1MOQJD33lcg2vNJTZimz0MXG8u+8xadpWgE=</t>
  </si>
  <si>
    <t>iKGGh+bQV7hCUCJ4ImDKfZjmdjOgn0GHuRTFgK0sa1tjBkFyQJkOjcOw1dJpMRy9IISYe5wRscdVGmTAXBjfVcnJZP6JfTCcVqwcDc7Fr2lwf/q5Onz0oIIdfQjgswLOowXJRsxxwU5+tH4qviHRlWh9rz8uEBPSmh1QFEQGlkEXfj7ke2hPnGg0c5ErTi64gXJnJoxM+Fo+xwBFD+XmngRJFSTVuVXYL4k95voJoMzSw+F58VMke1h1JBQ=</t>
  </si>
  <si>
    <t>DWgI/+UgTK65u8NGaVzIqSE6qMG6vOgAi8x7X5BwYQMY2oOOS6GxrueRAKZ3RVh6GErpJZ7EvplmQ+VxHq7hXdSpC1pMrxO5kjdVX27Yi2X90iuEXoBGZP82MzIL4J2i/KTfL3n/y2kPl0v29qaHBc3asJf1+6q0+Qdl8nfhz9X5+yi1y7i4Aj0jl7kt7INdj5DB1b5U70a6aVwUpO1K5mARfuznm614CFeXH98i5aIONIfF3ex9UQJmq64=</t>
  </si>
  <si>
    <t>9e+mBGcjjihxc93SgdujJs4rE0pTuRVPhI7hNg8NAZmDgF/RfQDeBTvLjDdMUe/MHMMVupgACC7/0ifEnXMh0mh6uo2WjXIgwcoqkg9GS1aiPZOu5gc9+oLiefaIbgJMKX4QcyTm44tC2XGz+ldvNQQTRWLOBHigcigrDtByuoTbMiAJ06HExtwhmJK+rYCjsfqSd9bjaNCy4M3WHLY1RhWKrUKmNkX7/OOMQzDwEC8aQGyHu5jWzhbLO4c=</t>
  </si>
  <si>
    <t>zC39KgltOQYzDXRN0wQBbm7S3dBgQKLhE8IrtYT8yqsKj1OYprHT9We8fWCkgx4eyODarp431hC7y55a8pobdaBrEHZbYeHQQPUCKOVqS8gMZ55odsBpzVN3OkKWnkrQbCZb24gO6JnEUXukzkklVW8LqqRE/rTF5fHBUGp7IJvjiLL2bgdhVeTPKNJk7MR/iASO7YEf6E4aIt/GyzepN/aYQ7Vo1P5UOn/UFFnUnK0ugID7WseVkOagx0Q=</t>
  </si>
  <si>
    <t>7JJUmG7boqguf4/7PXKf6NJOUUapbtSSdlQgm0V2Rkd+9IBOPnIuZ7fwflL1aTc/f37hNYD/irrldM3qzXA76XxGmJvJZDZVE0A2Cus/vcgwNRm345DZ9YH/KnNuyu1i1AZ9g7l3Lgh3fWgUtevKfx82ZDW1WfI9xekRsPXltOZ826oMk/rzOE16WuNjWn2k5WBC1EvhXP1tLe6KDrug9SFyEIa5sV9zEuFQnyNmaYA/95YNPo5d1EI3qwA=</t>
  </si>
  <si>
    <t>AMAJ3GpO81O6mpS3ZIo+LjhwrSYVkDubWnLiLhoOGuiPHlbKJ+oFInRbcYpXZ2nAGUueoH0FlYj32XFmSO/LZOgE9bPpS0njaJ9Vg9kWm3ltZr6HhwDoGx2MI+naDGeCIhl7lDpxLLHJrUfG1iN4l8fTFnQ8hysLFcR1iDLGZsJygxkJWFyDn2z+WQYoW7Z0U5x9pWiBeN8opokuX5w57YPWur0d11rz21U9/G8RIa6VyfTKSyLGv8kVDP0=</t>
  </si>
  <si>
    <t>Q6Nl65Xsv3OmWPmxzBJqFCeZDhYGVXVlVN/1DgzWqFsETpP7eYZfzir718xShs25GLvNzonkf/3YWVPRcFtTgCdOg/QRVz99n8ImQV5Dh9So5QhzVTXpTPMrbzi9VDtsBmFzGsL6M2WJLYcupkWM+XouJHLRQ0aWRjuZY11JJsvyDDIYh0V3JlAGbSJmPXZbJrIAFne7VfXAqaoq1zsg5EGvt8fZyK4vac9RtpBhRjLhHxA2ti5Fm2pOhF8=</t>
  </si>
  <si>
    <t>MtRvYbhUTlFQPBEGAv2G/Hj3mItH6g0kwmCM1MNa/07/WM/5BLUVpkXSmyhUIidOHEmWCM0+GWXmwM9hWEzPYUC2GB1r6hZ5CwWy4mE6oZeRvvVcveWW8JpGprs4d0Kb0L1gYtEiXju4g5kdesOl1fsdJNodZStEm6jrSgoK+c17EYA3Q5TBiwfJvJZ+eDnp0fo1WLaUm88S8/eLok42GwgTHtNXKhLabqjVEaPjfmRyWzbA5086YHvSRK0=</t>
  </si>
  <si>
    <t>vzffK99ifl3XsK6pUC83b6dXztaseAQz4SzgpVP37v+ZnJjEXzuMvs8S8X+CjjPkXZbqfDDH4Ap/Gn3kAiXEVP12axM57WNQw0rfJkzvQ9vZd6h+bJ9uROuFF+u1cJ8lx8gAzxpQRa2ZNb73SC2RWVtT75RTw/D622hobkdKhIl54+GdrDnXlZ/ZTcqlDQusIAhmJuYTTc7e9mFhrDfGW3BSzNLUlaI3cEwZnVe/2IDZCioeFajstkvyqwA=</t>
  </si>
  <si>
    <t>FxvHH5Acfns4AZKLoS39ft+X/2ZduHBlWnlmmcoZSIA5Wg5H3s2oFW3Fko+jun91ttpQFWPhjgCqLe+P0aY4coc6buYKyRpV1fZJnS0PZmboZxDw4SGJ/SNv3qGMTyTUZsScc93AKaueq3UpZiU4PjtJdEILfMtdrpIcm8LICy9U4YWLG0Ychy4FoGw68aWOeNKvmnLdO3yuhjWTD9pmKkKVPMhW/vY0mvKLHKMf1C4otveBoEGq9SxIbus=</t>
  </si>
  <si>
    <t>WsneEyMJh39idqJ2/n2Zoibd8dOIaRkvpzMnKS3LcGp9XV3wClgAM5G1EUigmboznyt6c7/19ymDzqOIe/n+YtCAXc7PRjAiEvvDSbYY9BIUiFHaCJsCAng97Gkm00MT2sttOuMPGoTCl7wRvnTwlr3QSbIPMr9MNOCSmHZD/FriDqYe+4Gw+htWcBFkNAq6LEHuBIgLXGOEiQCBHMlEptGnjPcX78dZsV1TGCJtC3KhM7t6mD2/7Q4rCqw=</t>
  </si>
  <si>
    <t>7B0df8ehP+sWBIUNS0y6c+bq9oVD1MsgIJjpENiZA3xuLEtKaG4lLTGHKPbwFjyToHgqE5smoZvRYB5Y/32YoTiM/JlVCKkMP44Z4FsmFcCcy25ewQ0SnXTiJKnXEN+GI+3vCTfmq34LbzvPMG0bsrgIBo+Vzy9/BmECvuT3lQun9eQ8eyYEMW5G0VgH+3MbYp94cStvUbRSQnruxxY1qdWAESnRMJC+QhRweKo6m5oUf7g9900UUVOI0vY=</t>
  </si>
  <si>
    <t>17tF/zgXV3DOiEbNFhuJpmy1vqlesuuVX1fM4CEc+kH36cxBm+x5Jo8ZfaU+gJKSKZ8ENmdnrI9YdmqVdtzcgXX5/oONIEeSYuiMirR7n8q6njwrkFN6MpA5+cm+IVgT9ZBVzSPaoGakEpCmjsBtiISACqUx/3EZV6NmP5aPVfBJpHp813VVS6uD4q49TccpzrIDiDNV6aX7lIUgGD7qVaIoxPjisvajYQjaGkcZuBPEpSWZVaOOlGNYbYE=</t>
  </si>
  <si>
    <t>D7JFmZxF8UhyGjnbj1K15LLQAwtJrlfoAgTKJtyiq/92udBuUAUrMCZy30tFAl0g7PtDs/Ut2l3PvHKcO3WP3zSYhou7J2ZEnrGOMQrchNf+6d3clAB+8WkJjr2NShddTu3I1exQSxA3gZA0AjlaJItnO8oJqzP+fCYNio5WX4xX+V1UUHD5xdvd7843JNEkJGgZrlpjtXuAH54lLOFiQLyzpI3BHWj6jm90DyFs8WybOxy1FWKOO19b7WU=</t>
  </si>
  <si>
    <t>inl6B9sDt6pblaCfBhAlJYp3bp6ybdQm/opvwEEaVyab1LDlF4i+DTxhVClpM5iPNmc0214FMyinrvWCNtaUqUP6PmCAewAgaz+ntYWdIxVkLgsvnBe1CAdwsmtkrheK6RanTNn2fnK2CMQFSZ5orLYq9jwSApwrqqVv6kVDycQG5KjtZTrjdAENJoXy9M+RLkrsHxwGzWveIYUqYvusOFlwW3x5zZaUYpKWrGdRVt0uNlm14tUgsNEL5yQ=</t>
  </si>
  <si>
    <t>vviF0gwKOBV3QidKKCpfcvBuJ9rHSwvl/QwvQcEl//lm79HqFZf9glM9LwzvYW2TJMIIkcLYB+1CrweoOmKJfxE6/kPoUWsr2F5K6ohiXDOsHvOSR2NcPxd9ZxunHL9BoGIZQMbK9RD3qg5aUKU9hYoyXzngJ1oN34P50NQsqDngcTVy4d8nwT60mK88GffMPFTsZkVJxVO0vQ1gvvuXi3zo9lkaCgxn8xiU00ooPcTWdfBPcMg4a4GL+Po=</t>
  </si>
  <si>
    <t>tcbzvbBlQSMMGvmnSeZpyXrZOH6oP6MvYfHbxHzXPAwj2dbD0K1Ooqxm6l6Yk6NH43k3XSiF9FiQPzW2urN6Wsllzv14dyA88xiQz7h2faZ8xRxTOVGZPd6WqNBbLe2pU7k9l96wyw6YkCywtkLNF7pdlwWF6vKJZqTJp3fY6cy3oNxw34kG63FMRtWnVecE6041bYW0OUMk7KKMN0QmBpPvpJBRGjfzVBak2bXXBOG/dlVPb+CZfvwEixg=</t>
  </si>
  <si>
    <t>TV+uH173AM17p8EhbjXO6U4PHYBvUhORl2I1Log09rGW9+jFc/+bjK94cGFgBFe3z8Cbyp5C+42DPck14t04kN3HFXAvbDtSxq7pRhchjW/YDwFr4HELob8BRJ0xbJCwZKAMmsNcXLY3Te7GKrWs2CwOtYsQWn0vtwUo+YGKef/apb8bK/BFNtRBb0h8/J0sgUE6qcRHSqSwluXcMuVr5b2gYMihODJTOsArALSFt+q7nHPl7PR2PVANrUM=</t>
  </si>
  <si>
    <t>V05dHWCsk/FKupgyz2UJSCz2nEv115zM6rrhgoGOIuykaUZ2V1N0gx6M0WOLVo8hNiNrkZ0dttcl8UmF7QDl+PYxviXKFqr5vsaALPepd59MOyaUMbKjawYu/NSaCoOPSVfeqSqodfI8l4e75Ad9kV/KuXNTS1SXjNEYDdVGZr9j3uGI7y1zhzvwJeXx0ac0kuYhDU2hoIJojcNRxkzp7xidFFGFNYj8m4Y1u6500X21YwVgDl2QqpoTib8=</t>
  </si>
  <si>
    <t>FdMxv6FovqW6Fv6Sf0T1gYDyYf758XSDdyLzbXbcPsgvDY2sUpoxMTn8No8oHZuxDVSPO8Ue1+YcgEtwxrZ/iBBrgkzK8/ywfI720hWI6ZpDFg7lSDl0SxvVNsUatbMh84q+NsMKRWeCpTkYcFRIblCICCH6OyDVNIY7kdzoYkbOxQuPG2H719aIrA2mxP8ZlR8zY9be6nbvnk15hC8ezucWK1tj5XW3M8TatoAGFHdDT8Hv7vEaO5y2bLw=</t>
  </si>
  <si>
    <t>unr95TMj+Xs1Yde22pNsqDI+Q/9HsoCVJdfWUHdHEJxigHR2aB2J3VVmIoeDbuYYAcuX4RpzQND+YspEksZRmmaCsT0hR+wI3ij93B8VdY+lKd8gWFP5iqBBCks+NyyNyIM+qjOgq++UULas6erPlY17w4LZv6trfT+wod/cZNoiSWyqVITueWk7567H1h7i4FnsaRIZ0kXStmjlIgRgIQ6Fd8UvR8I4AudZ9C3inUSbGBbc/pL9TbR2vdw=</t>
  </si>
  <si>
    <t>KUWY64VLhBLMRVmpcoj6FSQVBAOJbExvaWIhw4cYFnzqy0lnMM9prvnWcmGysl6TDUkDhrSfcJKFjkGWzSfCK6B3nMPYarqz6bgMLKfeBNBhEmkH2HAleFYy3rI0zeFZbxMkbSHkWt0+1+Ef/kz246CNhuHPCQqhGdjFwrmC8MRhq7rY7JGRbpCUkSSqyxuxXWu7TOwrtSeOlJYRp9dWnJmkZub7tb1y2GFIdi6vXzGyuJFFAPKBWRuAg1g=</t>
  </si>
  <si>
    <t>0nr0oRQQW4bRDS1jo6BJ1iysYR/GltoElSW/DPhdj0TeNI0wTraa4aNWnxF9iqzfpu4QpsbejcJ5ODr9oo6WEymTe7fpAaNq5/COSJ5U7DArLvOTXJsNuWbgr5uGBcj16eu1pMCoNSu5ALjOAXjlcmV6xbNJa7/3p+mlRp8vjqDoKVn9KOuWgqeCwS1rs5YGZfDb2JJMqZumgyJP06soZu8wuPvXMAuu0vZ93EdHZFKFXOKhVCu+Y4RmQTA=</t>
  </si>
  <si>
    <t>syZ1ubM07yB51vrBubDou8nGL9wAe+z5WU7PXetkscw9k8nO4cSg0VtBdlby+yf5bqzUTsppitOGjZ9EXSMzSttx85Teu9rUaHnSgbn0FfWCm3d+WuPCLw+gSKltzOHgC3upnVAfdjfaKXVyxkgu9yBWKRJHYCqJY99AJw4ZMk3nTwW2hjlVv4CIKgUriA+/nCKY97KLeDVjURRRvgjUHXj17Lwu6p4Dp18NnObKtQE7HON/DQs8iRo8hS4=</t>
  </si>
  <si>
    <t>yth20IGpSTeoSk6/EgdIcpn0PRR7Qsf/+9NpvodmeeJg74e9y8J3WoGGOMeBHDdkuvuH5d3X1sJBFJk6ijGkEdorwEPzV7IZq1N6ct1ve12Jf2EmUi3Imt2XTF11EL+5pqqwI57mD7e08Ew74dfyx5i13GS7Bhjk/2qntF5S6CtLPalU/NeB3FmM2xAv7t89Ef3W1LJCMjvp+rN/C4VYvcSHxhA5nPqIfzcWZ+evqhw8RWDFnpd1Mep3gkU=</t>
  </si>
  <si>
    <t>6ZsP3uDZjIHMcvDYUj5RY1Yn2mcfDV61QD8hRahsx/wwI59rgIm/moamwNrZ5rMdsGIakg6GxAE67OMTDIUV59wpqVrwIgdkmPMwvbmTwWntZPpoifwifYp/sZ4Tx2aPg0JuZMz001pBz+2+LQPgTAHSkOW0ucpDKNg41uOaI+mVhtkeMnF1mlJ4nq1MoNhek87lFRhuZQbJr4l4vcrDVSaWMiLGs/QHHnAE5MuwDFRMDqCAjUxe4c+uaEw=</t>
  </si>
  <si>
    <t>6ApkOAa+J25qZyanvVENzSYEmMy3JyzbP8c+dn3obDMxVvRL2gYbigEuiSOEfPXKWJRBXhP1b4v7utxBd33aactJWBZKjpxwfOvuCTSgYZUj1l6/Il8chNoeGOA+SgegszwdEbHnOOeWMDIvw55vHTSkMIGFNw1PlduROdT92ew68l3U80tyb5S/FrEgUY+rNivqlAsgNKj04bk2FBrH+hh7UGcTC9GuuVvQwANgznCQRHWsAB8I76jBqsU=</t>
  </si>
  <si>
    <t>QrOXZ49qe7GqA3yDUOUsy+FgAwmBfWnvHSCqzGHm4SJYwy1AO2Qganc88dVcbFm7Ci8tM4GFVWkxeU4bF96JpbOD3D3hChRFcT1WxGVOaesp/vuaUQCQsEfFAmsPldYFDRxD6gZwhWVhsOP7OC/N9RmtcBssEISb5NHRL0y3eJ7155ZBARUISDfZk5yhLmzWEhz6tb45IA/uT2/PPUIfAf/KbbTPlXSfUy68ePkybN91UJXm/ZSloM7e0rI=</t>
  </si>
  <si>
    <t>RyiBeXucb4kmMZuBg33zs/u6puzV/tc2NecoO2KZp3sRvWUSsTThfL1CASBddU6AX5h/F1opUYltmZL6mY0CdPGoliFTpt4I14gqbp/cK62iuf7WSn403he0Wpi4qrTepC8q3ykxaGUmA0qOsrcxrAz1TdGDAQEjN9VsyNoR4223iEKj0tdXlRh7piERcjqKlQURVwpQBLW4ZQXfHf0Yr17CQZ19Yr5g996kR9QsXdHIIX6DILVCNUTRW3A=</t>
  </si>
  <si>
    <t>w5AhMWbQ6iYCrxoN1VuNdGFEZt0nms67OZcLS9ygle0WU2LVhA4+ahSFzWuulQeoxX+XMmhd/wH047FpYuxLAif/zUgrZTNgDEgdHAEmJOxJXkAcdWxN0yyxKskj8jYgEoUYUbzfaqmdwNEG1VLocTnJ0v/u/Kne9vwVHLiN/qf8mKNaNhrwchHx7H5PZ97CfgQw+BPbDSQwSflx/kutzdjbBFXx3BcRxr0S+P/bNJrDktRTI425vzsLB0c=</t>
  </si>
  <si>
    <t>IzfXhbYzqPNWus2hDWXdRCTd04dv5Ay9sQrCqdGXGkwGN2lMPF6W0CB63JUAS8T8Kp23WgF2VhWTCwIISkduLMNzgvZ9lxATAcP/fYRIQSwF6wYBI/M+uPnbeKRUOqEN2+F8jdDzjXSr7ICNDD0fONVRVBNVk70MPOxiAt+w6wgpAXnP/gWAnhoLlwD7wWCKA7YES73KQA70qGimX2g52zteqnsPuy+6dJWOwi9AOLXekxjRsFNFQOzC3Ls=</t>
  </si>
  <si>
    <t>9U8+jdzEM9liRsM0IGr5XLd0r6jkKfm/snKSUhEAun/lu+bzMRcVjbqlyq9PoH/H5Et8XAvkRBudRLqPeEF12oeft54zMKvNtYBZz8JYwNuGRWelsODgy8O8Ve9iO54E3EEmevpImMAyKv5EMVNnsdi952jNwwdkR/KN7v1sOFZaDlMSg3Mwc7ew2IWMQWFMSbl2JyOPuCKGcvoFjQE/7mszywh/yQJuI33xQGtWUh50k/pSA00h5hW7rTc=</t>
  </si>
  <si>
    <t>S+dWvPRhhigUkZmieLSgc9HcekQkr3JGlxVMqqVxYMtv2KMWTuFXuxKCrDXFM2icsJ52oDpTgLD5Bxqk+ufjPXt6KPe5/mdroSjSSee1hMXSrKEkPD+uiHFXbgzN42bIJgLfSAjBJC9w+LLlmfwi/rAzvi5W4neGq5+1HJRVRbpBAWpJKoVX2pq7Tq/cMA7fkCWU9VzRAEHHXP9PPonBCFStAj8j9DMw1kkNrm7NquU507TOsjdXUGP+4EI=</t>
  </si>
  <si>
    <t>/RJVQCe/zOXFeIfJs4omYyPGVVUtRZUo4YOeatT6xK4P3B13nDSn/QcjfCoBMrhyS0qYxaecc1a9nLi6Sl6Hl380gn3uzkWAMfsyqGhvemdgb0xQz7MZdzpsOVDDl8bNWQmhmGvdG2YJ0/FBaOXaGcWNdwrJJT0jzaNrVBhQyjsKt+2rb9L2t7RhEYePT75VFWDbqgai9R1iTQop7yWtv2Q+v/uVjlEISol30c5+7Qa+/QZM5PMXENfXfaA=</t>
  </si>
  <si>
    <t>OhT+X3Xb9rHLWSEpJalRFgvr1NpWHe/XFjcX02cDMdYRFRCz4486TmC24ZihNiOpSKssL0ta7IyEandWGAmpkVIojW1k7XVYS6QzVMLAL7MdcpABL5cRpYZhlnT9b5Ed9GGBwK2toOQCLbH87foNdBqftZYxk7Q/7MaoBRqNhMXAxr63zkNcNxbPXENIUxw1C/vI5HHEFo4kKxFAlrMQLXw72y9UV72UwY58kp5KXHx83Qpzz/m+nNrrmx4=</t>
  </si>
  <si>
    <t>uGdRzZmzog7LmxDO5NvzIcNG44e5FSLSsU2WB2gcjr94odnjXXrL4FAgNCpXC5uDnlC/THPvMF2IlS3GCh1XeCWW0btJuPNfGFqd9s0O0aXQmPJudM5PSdl29DbohisgyN3QQzrWb19SYCf8lhkvCIbVm+K7dF3tUmku0b3ElxG3oSpoAFH2FkeE5pD+l84EhOY1mrkcPoP+GpMvgZQHcA7IoKiPDnrPcJil4pqJaO1wuUDT3zZ2UBDoEYs=</t>
  </si>
  <si>
    <t>YvrlDQn3bXAsasGed+TqHGlmHyn7YN0171iKi1ViztVARD0gOpdOu84aT+Bupwzt8wRw79z/r15J/rgiV+iCQ7zyzap0XyGtfyr3M7yWCsLaB5INUipe/1y/vpOayDggfWKL3OoRk+WKcaoWjIC2AR7uCdIbgh3NgVbghEMiggGXCTpwC26CJtL/PmzIsfn/rQ8N+0zJCX9IBKHafuFeuk4nUZQiywr2Mkcb04KX+PgK+LCTkga90U5sFjo=</t>
  </si>
  <si>
    <t>cHD0rza5xrJxc2eyw+5asqnSJ9h4oZ/YgsGNPLFrmDw/swx6bteQ6kpNT5Cbz5y4KCbAW/VsULsin6eTK6foz5hCRsaVOZ4mIhs1Lr/gzpfsWXnTkFiW5uThsOjZrWT7rzOAg7DUtiLwcm+x52qHmZTc/v1+lCGk49WhE+AmY6jqIrdWMMUEyXHLvevgH4vncwmgYBm8iIkme7S0AoFesnQ7I5W9SoIz/A1BoausJa9MgbsFCSP+3LdBr6I=</t>
  </si>
  <si>
    <t>xfMP+bGSyPSNFeo+wYx+ZxGUrJFoLhya3is93pn34+fa5akPO+G01YaID8U/InvXb44v0iuKME3gbLuaChumzoI4ieVb+bM4n+YSJAY6SocQu3AYLwJM7JidJKjgx8YmjVJXeBONawOZt1HEC73i6Ea3qugs+The0n+8HwcqYOiq3160hpV36dQqT0PkyBZ7c8atbZfZbnC5hCkY/magp1QvHcpBsAxAR45jlKnn9MPszjuk9PU7ZsYJOqQ=</t>
  </si>
  <si>
    <t>pNvcjMlXN6srJzjogYDU50LEKzG8Fs+rs0YDef3scrKN1scyDjDX6Cd6tzL5Ou2vUFoz6Pk87A3jPlvxUgkoEsvuCBlyZDiRrwpq/vVlyDvE0qYsfwvPrh8GfWeWn6EfiQZlVxuxntpxY1noJz/rEtMQsE1Ci0saou4Z7MgzoBuleRDmGZKt3AvYulS2TZLiCyPWVuqsYLceKBR/Caus59bPCvwrgZYi8gDct2TbdpHqlNIYVX8CTow8900=</t>
  </si>
  <si>
    <t>IM3j85GaqlpBabzubh4xCYWGntkeRSnVs1Zln0Y0hXjuy+Eq/L3fsfMYW3j5dpJt4zGjX0bq/IcXdFXY7Y5IAWx3vsvwJMWb0sdhSvYl+1+aGURgzeCgprREWSerNqgj2zGbq7EM3oCQDboG0LNO0fU0GbdIEX+STX6t/w0OH80m0Xw0vRB9kRtY1cKInbEZPVJ+nJT99Prn1bbMljguySU7MjdHjexjJLoW+mfq0xb8y2BSSVuRvXlhdb4=</t>
  </si>
  <si>
    <t>d4ZwDy7gfJtqpC79aQBTfER7aAHAlf7ajtoUmeJX2yr50O50eZIgPgJ+OdM1gtaqs2Oel5vNxWNvCroNEDGgAO7OwFwEakkPNRmSzAKe99m2YCYuVGSN70Nq86iOBDnLuJ5M7Vecx/BMZJiTLrgperGNhRFsSdWGJ0NnWLjZYuNPGsCeecG5ZDTcrnVzMpf3K3SqtsfvToFuCP/lNeAjO2JeJvZnTpIvpikWP+fRd0tIFDH+3YiPlJirqV4=</t>
  </si>
  <si>
    <t>NYF7kcjOi+J7b9G1qlENdfcTbDwonX/0Yikh65ski8tMHM4eD+3XDGpnNt7BDXa5vLpIe+hTj2lzVJ7dGMk6IzZ02UV2rLoYDLXCPwk+UXtnwsP+lJNW57o+fGacmEWFwSLVmwGsPlNIdWGcxv2ODrJsWYCY+rC8GeuPJDvC99rd7gj2adsACCIqj+c6rgDdj0qmF1QTQ3IbI2SAZ1XgcV0xHqEV+Ylj3E5IVAB3VuQ/2IInXx1e4lx2REY=</t>
  </si>
  <si>
    <t>RnsvPOD6DhDV4D6NdbXh+IYxzDeBXz7bNGUvRYxUqEiIdgJrwkhSxuV+OBR3AC45zE+MqIvar1g3wDCLPnBUdkLlrwvqK7ZHDrj+pGYTDlMA/fSkj9lGXmzcSNeRfh6fTinMlxw13IQYB6sIa6R4ZDDuUv/EMmTwe0dJZfJOkt1HelDveZQD8GXTbr3GikThTD8MwsZNY9V5Au3NB/SGo6RTbZ0EmvDvGMV2qURK51KHPX7naLF0JwTMjLU=</t>
  </si>
  <si>
    <t>ESzpRjW6bSWsiBMTq/cXeX29sxlvfPJELBQ1ol5prVVe7YVX5UiyygphK+ymClO5QFZTmyi1kRuLLRD473PRzW8T0fzQxW+9dv5hY2s4M8NbnEQBWCftncPPmj6x84Uthyns2uA3jOQQLWfa/+N5/CV5uazxH2+YKJwKCmooKRdiHosTgjAXZW6uH9DyRE85GmyoOi97I0UNVgwnhYz3KC5JFIVFjlb44H3fZCChkNu5LUN1vLMII8FUKYQ=</t>
  </si>
  <si>
    <t>rkIoHWYO+5IWmxQxh+13SJdxxTTRczsAAS8Pe8I7GSfpvVkchdxWV/px5gFD1XH+4CLXlvxCZGK4JxJxj1E5vuzNP4OhczFUnMLYBAaQlAfZyhce9+A0UxGTYrmfWwPzpt53CmHOLU9+Avchp6qnxW35Y5f7b7koTx3UH0LJJFQ+3opPFB+ZEaTo/07QqMc8zAq2LkK/7tUZvm2QAI9nguVt0PJdBxpIGu4Fd1DEKHiSbSvD4+Hc9/MZbUg=</t>
  </si>
  <si>
    <t>cmyGurUfiV4lrJaexOMTONNRRNGDRv3ymZfetxI5hgFimNzI0+rVZ2oxkjMRhSUA+msNW2zqZ9WvfhWFcjehbVN7Q8wuEfIm6oI+DGqbyV96/E/o2T3lzgVRA8XNhn4xoozpC/vijFFInweXykNMeMkB0HET53AveTm0JGv4J5AINXD3Qwh6oMx7KGjVv1Q2pFMg/X65yz4ftAgJOG6n/scmNBA7yRnTJMovH/OB/Rpu8m1NcMyhQt31nUo=</t>
  </si>
  <si>
    <t>2vIUTt3+yRPsHh0ybF0RPJQsCNQ0KhEJXDfwXa+HRTVDOfX5faK8g2WBytUT0UnOnUKjRK7xITDuc+xh4rfmB4aNRDMPppToz8sLFN/qIrBAn+QsB4qpziCjD45iMbM50eyDYQcd+SXweAJE06/d+X9Q1B6D6w/7IxHC7M7XI7MXE1L/oNzF6o7xebXpUyFrxmCVtUU18VB/BixF2mjKuB71P3l2VA3K/gGmyryIfBMhSJKLg3weDjNNgL0=</t>
  </si>
  <si>
    <t>ZIUYJ+ZIeds7FtnrzeASsh6G4iCSq3QU73w1IEjNgYf87ErNFFUfNgfCGRXihUbbsPM/eGvDirgaV5qkCg0DNfOaY5RbpnM2jcvC9jSmL9g0iPklzTKpkFgXzzqMT2KItYXqZ0h9IgjluHuNUG/RrmD0o9CTb6JEMZYa6rS+lze8XPxFJlWWXdn5+NaEGJEwcyS1IBi7nRzHwxjxe72oOXuCwQyVSt3+/vXX4nUGtOB3FukJREXC20m0Gx8=</t>
  </si>
  <si>
    <t>Hg3ZUmBN7h2F6LyFjaEC583Z/Ig4zQDWdAz+uFdKqusZS+twWvPuKluWJ1cCjAWMTRV8CGQ+hhawG42q4AfVWEyjDltXgmUmZjv/b0jyTCjpGz6sXFMumzdm5YYcANVHFNkLhu7PetNiGKVBBuowfWwbYS7IR3akBk3q1/7RKvoDY8KPQOHUH2JkrezL824c0/YpYz3QTrQZyhVWZl6PJ9oX3YpUN9pYmyfQB4GuC1IeVhyGb0gCvUeiVEs=</t>
  </si>
  <si>
    <t>4s1EbVBa2bgqkNlVau7I8WNALdnoLzGO9L9dUamhtvNO2bRpWn3a7No6XYxdiNJb1qR1UJcHWQ22rE2vJ6ccDdTVyz5v4THWbGBSRM/i/COOd2+EU8IQK8nPdjxlhDbNg3Wv1u9FHq3C7fdBdYB9z7Ow/jOYo0Z6AqyA44YCgNx8utGYI9eV7fvB0fK2b4hg4uuii1QKRTp6a+pbtFx20AWlvCHB44qw+UoHO3PrqvvJWbx1i/tssnUjbMI=</t>
  </si>
  <si>
    <t>ftbVeyKaHCBeV+BLSAFJVLiMol4VBZ1L5j01MMF7R0BsFAvfguEepTZYtKU8GhE0Dqp0UxuQIFCadIGoQH2Yp3emvSxcUVke+ZH3Y6fWZ0DClk0siVuuH04eACX6AkFmr70QcaaXI1CgOw2q0tZOeJNBaUaSXicFci6W2+3prISRxJRLcF7aynyZ95WoXdoPigb6bnIgZ67TZ2/i1Vtw9ZRT3Z4vuygOGdem98c8KZcoFp631y8zztSbd40=</t>
  </si>
  <si>
    <t>oK7GmULOzWhGrraaiBdmJwFXxiVspQGlTYshYd/6Ajs1TY4UsBq3wI5vpStOJ7schZNqfosq3bW/1iyTLRUPmLWqQnwpbjLr6MqthK0tpf6g+6X1hH+G9aqMyIFbK7Dnp5TiXmmOC3+DLF7mFFUvaS44Y3imqttw/sqgA4JNaFm5VwDLGEepFnMKGpogiuAHa5JH59UbL+t2zrrG3bdZMg3E6HVWW3ovta6tcHnk0SLX3+12a1gV3gutE48=</t>
  </si>
  <si>
    <t>s4Sp3vCmWYld55skqIy2yyNeOlsbLLlpFKeR7UORjs+Xl4IDDFl2zYRwBi9u+Hi+i4Y7V7be9twUvHBx0E/u+OtMG7xXrRMuHnnieFiLsSsWksfEaGqpUJ58YWlGc/foh+X+rgvK7jzfdNkH3Pv5DvWuQIKy4fVK3rOjh0xg9xv1tNz2A6EMqFlXd6bXHwiEyE1ggqDfzY4GWJt2y8u4+iLGqdsE8mQicaM6XM5/Xe+WAyOrqS0uws9KKts=</t>
  </si>
  <si>
    <t>1SwlWHwb8nWb087sPpavpM5OIwcBQDuARRJOfO1/VUJSEblM+S+n3zEGQ4S3iqgGB6ksCUNIKC+pnGpsShoSbzz/debgdyeZ1do7gp6yP+6DYF9E6CeRn4FEKPv0WBwihehPffDLgDxoVsNxOG+JB2NqinssdY2Km5pwk8Bjf5Ab/JxWHowGlbq3L4OfxVH6XgWn1KyNLA3FysYnkL3FP05VGkrLJ8OmiWb8QIVc3aLWoU/s6TrnTVlRLC4=</t>
  </si>
  <si>
    <t>K8SEej4ly43IVChveTuugWZ5xut2/0u40wL/KowNs08NaIsL/hHlQImaVz7F9PYGqsSak6b3i6fx+MJVzIuvuDlQybEbvkb4BY8SIUafH+Uiio5LjSCr3/RoaVpmVdDMjAjNrbazI054MsZyfAaWHFolpMRBV46vaP5sun9KKFnmY+aspgMbem+CO3mKiWPA/WuhklabhxrflM45rdJsVRKmhqd3+1nSBhnS3KO9Kc4/uxSsYbZq73rZ3XM=</t>
  </si>
  <si>
    <t>P/V7z4Sl6sVUCn/y/gkbD19U9Dz04wvsVuDZe7F2hSgix/AxtSDiWPbfZMX5laXKU6ftzlTUELYD/39HmsvR3b8qNLw8+6ancP3EhKJNraqTVXmY7trLgYEO2gNO7vQAzrTV9ii+Fequ9Bexm59FyV8JiZCH03wufYvPNaXqnHVBJVxkf66dcl+ujJQqZwhlWkxo3A1kpN7264LZ42TfMAdfHfen6sR07BwNuxWLnslDnd2UujHu7AMHCGI=</t>
  </si>
  <si>
    <t>W/Zx5tfQyaaO5g4PY95PWYLoM4C90qe8hl7XaDzhxV//4iQ9nONAkd/Mwyt7+Lm3IwmqKiX3S7n/3aJFJVvIWId+EzLA9XnbvI5YxV4B/40I4N2k2ZLRZe1e+V10MmKBUXn1Zc6DypTdNRYSFOurZ3t2oH8bOUmYNeEh/FPu5dbgSHSJHiaq35Ikz9vZp2DS3nXeJRbDFxOQTClPYGyNekaCTnZxSX4MsLntMZm3VUOzzgCmPfw+1i8clgs=</t>
  </si>
  <si>
    <t>QxlOXUZeYDjJODZc/dmqCskKczUBnMJRZgayEnYy2MxTnVFaTpTUow03OPxa+eisk05ITPYYI0qTo7Uu6Cras6Ce+pHKKP+Dwcctq3qJDtSO03AqA07jGZZ3BtZVSCg9ZS7M4aODDq7QRTOr4Mwi485TrPTZ5dYZ+hWbe8ZT1sw8dxutEkUToU6Y3Ru5QAsJVJKlpssiSWHPzIq7om9Tdl/Dkp5+Xo7xTt3jaaucdi5x9trOKDuXP+6bCr8=</t>
  </si>
  <si>
    <t>sFzHS5PosL5X+JSxrFh0LE4/MFdMGJmzWLwpdSkAS3TBD3FS01Btxgd4OMUDB83E3MYjM6ycu4evqbWu2bhDRl52YbsO2OBlAMIaH+PIXQhxFO2jzpczQkjO3WWZixyfSrenwR5m9u5CNN1qCMhS2ToLc+t6/u/xihq40O1irKsg3pzx83v9Z4U8JvbPWBwKh9aA1jg/slljOf/czKPogCSh36r5KZM0pJSSRjp8IOuPylk0hyXkVZ8p8Mw=</t>
  </si>
  <si>
    <t>V/y9U5GCwFjxjUjLti57ns63rp3MciTorOAvnIsJI5PcIMM+1mpj7jvsw8OCyseanQxAOgwD31LMKBlK60sQhnkrGbtz2UO7aCQBeZv+/xDv4Rk7zZqOC4SKjJi02Utee42Yq9Ue3ZBfjTT2Iw8F/SCg/w9SsFp5sngA3uuFnYCPJNRCJLqySWZkGGMioF++IYBqch2k7hxVsYeFzoGgWqo5bm+rJpWE6D5rQjWyuWV8gjwqUNgmgTMUyAw=</t>
  </si>
  <si>
    <t>Liby97Y1uJ3qGRq8fBW6IiJZs0IBp6qe7X719VKb22qjKvyGoz45eRJRKpXaZnjajzwqMCmKY5QGbJkQERWj0eLijUwGvOYRXtLyoo0wXRTvMPGiLnro53KKXfv3Qm/viP1fQq0Qf9qzBfRLs/a3DMgxPqwh16Iyiqp4MU9UDJW0H3jLIdKtNKgCRBLzUMZOoyi4PTcR76g183hMzIsm18pS/vuyds/LvuCbSqivsKfJa9smKSh4U5n6Ua8=</t>
  </si>
  <si>
    <t>iinfBPFSJ/tpZqVYd11E47ReDRkXs/tZPf1msrI01+KZf7oIxnmdv2WvBE9HAqCkUYDIp0Ds51CG2Jp4223Afi2H/d3jv6dlNXPx28XT07Xetc+cv0sq9UVWbo7IXueIvzVBIAS9RFU7t2jdIL8XeqSbMmaqON4xbssjFvdGGccySYX1EglO1X/r54LMN+GKMTK8y//k58pLqlJF9catOy5Rzyk6nmxSuDUVYCfnZm2eFtpTcY9UUkWKqnw=</t>
  </si>
  <si>
    <t>RelVj+pG2AUc6ABYl0JAVXYq192RQ5wylX6TsSBDr1Z7wTFMMt0vrp8Ibo+8hI/avq6z6nAcTCTMM25RHlaLzZdz/7CZHdxCD+7HZSaOd6/HmXYaRI23jYKmtsK9xUrCjeIF/1o6tVjtZOOAT2DzVNjdZtRfXoyWlWn8KlKybEBynZhfTopO09UZK4ydZOFq7RoCiTWnGbsZaF553LfgUlrkP2KF3y0MNeYRtJRHFh4c8uXO0zEbwvfbxCA=</t>
  </si>
  <si>
    <t>ZkIGoUzCw6VzPkIsFVRNaV+yS2giKBrzeG7cwVNWAhwRki6Q1JzZSkwhvXv0WuHNS9/aimv+W1VfydpmaVWMAVu4biGEJLb4ZE7VFRNR5IwlzUH04OBPyj7KBqu80Ic3yPmYSKX/O3c7qtv/OCtz2FKo8gXLRHdGQPF2hHh3dMXLwkFtQzKDXY+2ba91d3JXNR0S08VbVBeOLeWW0hUe2ZcpCFeP/70gRMRsUsEVh8w2vcbhOIajbCUhYow=</t>
  </si>
  <si>
    <t>hFZuM+tp5+7cUTnRQmjwqkE/3+lmlhY5oNtACdq6TtVOFxvvsWSw9R/2QW+BB3z6m3m5E9zJHONktBf6PwzNEMP0n7G8nSEelleb/IRCz2u2mc531C2iklHR78rdUQ9a5d+MQZZiB72JhUCLxaQ+vUM13OF8dyfqi29Jfnm+9W3IBerXxLkZ0aVx0cXlFt/neva/x/lM5Wvgvzqa5OOFSS8mQZT8uHOyB60JAao7giQIbEGu0Fssghdtos0=</t>
  </si>
  <si>
    <t>kZrCTGdzQ0DmnHmsH5+/+dr25DnesYCU7/ofK7iYDUb8tjTG9LtS0HTwuBAYvB/h5QTHii67BAPEj1tctDqLwbvuTEmI8pEr+2fUlCwblk5h8JmwHVzwPTghhDb4VYQI/boS25qwoq7BlXYAU645PDbVrTMx8SAJjv3om/Lp/N7+uZK21DsW/On9HD6kGAFaIEE+btnXfANuWtDmMC9/18Tg96S4uXOZNQkvLHIBHs3/zzvWvIZFutjUahM=</t>
  </si>
  <si>
    <t>HTznIr3jKZUxYQmemdUIz624fhNILzI3HAMtg2vh9t22QccM5+u9bzazY7geFjDIRL0xYCcdRC+EOybde9rKTdwI+ZcVZJoqcDJ9EO329HJ8nyhB/waaOK/DsjT/petQ0MkMdcnav5rzdHFC/niMvTKTHlj6LFZKmwEigZNexpkdItU260Qm6MNeBE52aQiEfRa/Gp01zbsToYWuX/VQ6hDqEHOdOTh7jtCoFAXca1HZgRemuowqYsfmnVg=</t>
  </si>
  <si>
    <t>R7Iqd3ECVQjMqwQjoaSv7k1awqsk/BWhggac0lNKUJ0PZdGhFTQ6N1VdUmkWN2m0/wC6XkpCXPNWihVpfT1p7jeKaUO3kY4F1Fx7PasHrnSa01E8FE4eX5fFEw8vP96wnGcIbQPDLiGrO0PX+8oxlRbhZtdZ/+PDyFQO2EiZhAhcJhp1Tazw63mvko2UvmAlvBul8iiXiCE+mX6QSnddu3f6F/r9LSXo48je9xiLA56ufeUoSRptUuoemjI=</t>
  </si>
  <si>
    <t>cjmUFkGVx6q7JEskHzsnZkBtT7j9CWsJlcv0JeNnuYzvUQyTavCoSHBeVTFg4b7r2P6QsEWcxfwyCFQbfNh8LvMzM/SIW/Ms+uRQUzbDdnuuOrP+l3gcdit7eVGP8uXPOUAdZKbzoHfbStFXrIBgX4f1jszFKB4unZ/De8XIWXTMYaXHeMxp0S8uLzYHEbrv7DVomTCKLjJX+nTEMVVlp83Zyle1xNtdPScVeEBzoUQ85tkb3Uit5DIIXZ4=</t>
  </si>
  <si>
    <t>pTfItBmuLjh7GLey2TuiKLS+jkJtTYLplpuix2dXYfbJXxvCEsEt9/VunRtSc5STAB0wLlFsyZp+EzbIre+gx/IUjLWepgNLb10TBmioxBc5yVitwzGFwf2qE11CoLrXVeoAhwXHOAvhrrJVltdgB7Xw+Vwcy32l4kW+dTdBahlfcRDESMJe3AjnqZJM67GUQdcLi+nZU58TgGRarRP4IkLCEbchO2J9dNepUXWZI18OY77o+sJDgsshghM=</t>
  </si>
  <si>
    <t>apGma/Ty5A0Lok9hTiuw9ro2S6GXiOuqZEgbDjFUMp4p5x8x3S3E4oyN7pmamTdqqBPpnvjzgXgxgm07g/P3jv/rJsRSfERUFCDGH4epkirXCxIiQG+7MlFgSytK9B1FQiFSCoddhmurAN/9sMSuPHejqUxb3xcrj2iLQQGCrRKcZmAOTh60G3UhLF4YJ54m/tHeWh1nZNXaO2o4Q3Px/Yg2T1ErLHgXuUl8Js+bXv7mwGmwhqRNAQpxN50=</t>
  </si>
  <si>
    <t>TT9cVXmev9igU6PmIUFdhLINf6J7pH00EkL20MBL66aRRasF2FxW09OCmF7u3ZW6yr13AVsNzY94ID7igrrr6qJACuzATs9Zb24N2ojGeXYA2yoeRoVhp1S3rrWJ+TcYSjPgMF6n4jJ4a7UsAJ7vvqWIjaod0LGPUEQIr3Ke2eLSi8mByp1GO1fUpBmvUlgSSOTZm1eWP7SijzXV61/ZWBD1esMp9uzPWK8EDW3ay0JR5lRjf/BCIK3l0p0=</t>
  </si>
  <si>
    <t>O6xT6keyU/39P8HmulG60c6Dn/pLklnQTlom+vSnQ7NZQeHryvd/kO4XUTWhpFw25tGpy53CI3jyVzgK7DDqZIz51DEHQfCCdiBWLWE1N3OdqBkzXdFx9gdaviB4WHa+VHexxlFDiGiVkBigEaipLVAo/jyUU0WB7kyAPHZezsgqTTxgVTl3sSwYpxmTl6XdoktmpjLrvm7qvajv8Q53hsX7J4JDnaIj16cdYSqF9LzIR9MtKrttRFwUeG0=</t>
  </si>
  <si>
    <t>hoYNE13SQ8vMzJ3/6hXC3pmc/vcUInwDKgHG3SelfeTRu0kiP0Qj6asnf953JHOYmPjFmra1wUu7aaNy0jCtNMMKw2FSrCcS7JrWOKcyYriI62UujYoByXcMeoqK8sRx6xSG1HqJffS2CNr1sx/fP0fRg7//caZe/KIPVT+55nH2km9+nQJjI6NG63xDSmvreWfwTVQ6yT253B95HXIon9SgNBqqPTdYFb+ZJDhpWqcMUkIxtsnv8w5rigw=</t>
  </si>
  <si>
    <t>9VGR/3g+Xb/iIaYcBUCpcyXWUcmkw3VKlzBhRBO4YZSUg7jFSyVwJDM5xwCheuWUNa9V432DW+vIftIPHQN2dbU0eP0gHmn9Fxga1crXQIBtfP6z1/EBNcyh3MW0/SHfa2nnSGAqPN8ZkuO0ulDx9eT+45W8RLTemxx/TaoqBMEQcDQTFhXTWyNwxu2hpFKN5vTEhDoURg/MKmMadlna6sTxheI7ffVJjN1PWyRVxMsMs4Yh3c7a9Qi4Mb0=</t>
  </si>
  <si>
    <t>jz/qS/5Y7UiVOyQIymT6FMA+nbbG44Eb4/LBX8wqfHwrgY45jT0u4FY+N+ctmyIss+OWWkZH4SBGJlDtYiuGnKKsEwZY1yashq+H6Gc+arBtlNpJxM1p9aBE63yaGWpor9/E1P7M0N+U20Pb9quGkwHziAVkWoksnEe2cxHQ6K64di4zK8Jmx/Sybqd0kJzVWPzwBTN09hmKwvsnABlxAES/GrJdU/j01tbvtHKrU8trrCZfQVgxJ5Ip8yc=</t>
  </si>
  <si>
    <t>U+WtjMntZ2v0W32ByoP2cptAEUcvgdAuSxY88gKT4FljaaYePjlnCP/sttZlhKcjbjijM5W6v1ShFuIvGuESjEcmfDx/+ewJDwST6LiOcavdxXaWIoL8OFjSb1MAMn47YpgBLVO2qgkwg89OL3op9SQIS/mcoqgUpRMbuITJJoydNSzB+5/8i4e1YR8ym4gThuS43rpYhRcMjUWao0EAuA+r/Pm6ssC59zmR1HZsHjMEkxJhVQ8XPmyK/+Q=</t>
  </si>
  <si>
    <t>a5YTTNaeA2Mnc3tft6L6KCwlPoelseFsxTZwBMbxRl4gceXDqdiWU2vITOzw7gYUAe09jpt2GksTPNF1QX7ntU70FpZE+aJqrQayQc1ZKiKsno2+3WAQs12JmTWtTAsVtwtx7+i5o+cOByEhHtLnQzwsQfQdp3gqOj28loki9+4FDZAm6ZeWfhHpYAMhLccwIDJshmI+58jgXYCZgpHm3OgCbSuxllVubK6d9hbTzw3cUBZLTXNH3ttx0Ok=</t>
  </si>
  <si>
    <t>wvNR+MAaWKxyiwrmdm+yjUdl4QpnxybzyLZQjCVdubdWf5zRnzounnzbIlOF+Ixj8qO48LnO7EzL1u/pyT9BIx8kHH5aZ+6BFqJJO0JwCrTrf6cZOy9KaTUSP7Wqq50qjiJxyUDgb+EJxmem++Y4BHrQNwN6hT80V6oiM/TJe/CC+MIINCg8cnKTO6JQlQr1eHZEJ2IDgXlYs0IzkodKcnLpJe/0tqaHVwEy+laE+hJ5j6Tv3C9+261PF0k=</t>
  </si>
  <si>
    <t>6R3lVeiNGfoMBwq9mYaRw2T5MiwYDI9bMkB4fuLdvx2w9wIx9YQtKzk46iSG2E4LClrBLOJ9RR5cJ0e5v6dNmNs+AMVO+gwPNBy7FWEfxeQ5AyyMY4p7QRnPbLjGoGU/g84tCsXvC7HKLtC1qUtszDAsowVz/I9OezHFnj5e4CJU9vJrXFCvMzYc9ntxfgckHPIcm9qYXsECchTxi/8u1Ds18L8hagIX3kCMLJsHU8MroRVI9WjZJzIYgbs=</t>
  </si>
  <si>
    <t>M0grHDs8Wd7jKjxbtCarvfcUVMT7oP9BT9YjJ/RcdgzdQ0ICSKnyj+iUoTQjpsuHFRzPn41HqZ/UuKPXJ/zZK/EplzURrMQgRgZ+iHHqTQuyTHYiGEtCzW/w3ll2hFVKX4T0GbubLMt3F/GZqNXIHfHr0llNfFMH12Oz0Bz2w72SHa93Tvqv/7wDX1vXpLYygbr1JOFPD1y3JRrlQgmmw2u3PE5BGEBub1s8jVQonzvqJjomB1IH/Cot7lk=</t>
  </si>
  <si>
    <t>SyyqnZipBy37/EOdXxnlyXfOs09Smz6TKGMxVCzSl1HXFIH/2HHUEoViBHZ4FpjdmuRLQPyVusP7QUYAUKuTdX05JFYZKmJ4s4ZoAlKOwmPXNAfo/hZp3Y7UWmqXqMtiypbu+Rc/eW/KOgS0R1PaMs+X84SVCVnvy2aiPmqDZD87jVNxSE93VTWiEJB5e12rh4eYPVCv87fokRMvUY2hwrBuKn01Bq+4dSaQ2C9ebsAkj4w6KAPB6I3c4OM=</t>
  </si>
  <si>
    <t>YN/jK0QURYE8EtCxIZ4wilrwLNnSRTSxSYwnRRzJ3wQXrcPUiS5xaRVDFJ/Q5UDDv4uMjl8FjO9tXRRcyvT4nHtCkHQ0LFid8lFU9YirBOqhBhtBM5QoygxfKeKLxADBX21sv0+Gh+GAPnJxG3RzYakcVfw2RRSBR4HW9XsY/u/lFHE3IfMRLltzSa+PAApI8IQy1PDofntTqKZABOLC4de9Xdw9wPJgPHuRZSGISsvLKfii+l+afbqD7dA=</t>
  </si>
  <si>
    <t>M95cyd8Vv/p1Yr6GR514LRY8+ycEBD0yUfler5TrvOC32axNniZ8fzSSDY6bW1g3XLhrMidvWn9wsHaaSVi9tLT2nT8wN1pTXFV0kMdFZdtQQ+7PBDjstRXcqtf/qUAXf2vXlVBhV2YsK6NNXAvIrqlmCLGgdMthWjw9QzZAiKQEcFWdiZ2A9CBupwJnmmrY2+S1R0Dx+5zL+0bVx4IympCmcZaMD4kbP4BMNG6fNlhHpRIG9xpB6V1DShU=</t>
  </si>
  <si>
    <t>wyzaBO6y7CfxsItR9n0LXn8mUDx4S7wcoW57UEBZp3KEcfykN1mhhSvwwEIaD5RWBQShyojuxAD0yylHumKsqDqK04clvLefnovNfZiDNuM7K0o9ALePSQwrQv+EY+R5Y3+9t5u8daGDNc1rmln4PHRSSl+cW9z1ne/V0DaRvHJqQcUdOkOmjvZlA20f3pkeciwfLbzMZlQs0WyoBkSJWYsTwh087KBA3tvslUuy/muENNfoLsoQ8ObqO2o=</t>
  </si>
  <si>
    <t>ei/j8wc4xLc8y2slzy9zpdQObO8knEYG7rM2qV2BLlxxXYGvnkwJjpjDJaqWQRKkGbyEouOk5QWns1J/t7NYOF/jmVkgtiqeYsTbXhTrS3788sTU3kAK4P2UcsKi/vdNnxFBDED31OSXt8VjdLR5ZpkMD9Eq2hhpUDqwoDxQGE/K1SFsRW8726yx02amCq0FEulQEBrq+UZ4y2X0xPmyD3WSJvCWkgGnL/fX3NKXyTObO3x6ipMpHfHd/2I=</t>
  </si>
  <si>
    <t>IatlYmLNH5DHyrp98O0ck8yds8rhoBcru4YdYVSTDgsasF2YHsvUtWmknMoZ2kQGogQ5CFmqUl7c+/NKxxxZumMPQrHsEF5kyA4cQ6pPC/EW22N0rKMCaSqzwgfZj5USx5XftECBnn5l9Ypis2DkxDOmWyVollSDnWGmQCnn22e0LW8Dq23bB5ytlSEAMWpDQJ/VboYOaSij+xGjjbYsbhaqHPy4WfTANau55AiMU7c5CSRxhEVLFlE7erI=</t>
  </si>
  <si>
    <t>c6o4sCPvR/4Ua3OmhEqr0gi/YknVpFXIXvoVMe197+C1lLeNWQs0yZyshLGCOu9NJuV/UtnMgwfP3KPrZzA6ibHhW85B+Dyhd6Qk1Ya91GUnU9JoER1otFUqY0qIcn3Tb71gOMERDf27AOzhV51be/GmZ2GG6IecKlxKhbeaCixIE3WA+sgB/j5oMyT8EPwTlVEi4O/htKr6jhvlD2eS06GRZqy6IVf1eMjmFI5T450PVswTZ82JNCaujsw=</t>
  </si>
  <si>
    <t>AIO9QtEi3S4rtIcBCMXMi/41f8OwbDOsvZs6NN3PRfWhSn1eHvfiUK/1sbcX2k6f4MMNdaKxPgSP9OoncfUE50sOBX0cwzFxy+N7G3Fd3CUKQ4tUBzmFJYp3TmlkJPjAquC3zggS+hLbgAnre+2OzuDDgzOw/VCaPnAGLWrtcZMMZDPwvu8CQP2BJbM7mOAhDBTc7+5soBLA2kRCxy1+eKdTqW/Mh983HgMPrzAOSC3D2Voeq+Ms7EQFC6Q=</t>
  </si>
  <si>
    <t>R3bXklVHVxUzgkdQIjvQ0g3sHhslf2tP9YIZ9Dx/GevJLJ2Pl9pmE+AyZ6JRYbnX9WVenbKapc6Laf0/HslqUFsH+TKrRtnD8H7ydp30ZIveBK/nbYzjdXNzbzMXnYc4ySgqRb44e3zxZ+uLB7zMnMjphGOyw5eeppa0S5GkLVGBtXb5bhjw6ztq9lVyFXNP1LsXM9iUUpyUAWMRN2qKlgbZ4iIXman+JhRp9W/NQzINM8kFvYeCnZb8uGE=</t>
  </si>
  <si>
    <t>TivYjnGyAzyF6oKPwMbi2JiJgAghi72+nglI46d4g928P3Yjn198VcqfyzDc6YiiXpHJHXUUiBf0Pd+cLfh8YCjddt+vwTwLpksD+rQ0due+pwnU1OiuudxSA1/6spHGdYLqtpJS8C+2CRT7RTNYsfksKFjN6NWwR+5dJ+ALHi0JNx2jPc3UADi/yFL+qcaYHmsMp99ngQRqFjnXjLIqhsCdiK1TwfEZUtbBjKX7gP5FueCNBXFET6aQafc=</t>
  </si>
  <si>
    <t>jYSZ2lISypdYC/Kfj4ZbQQMaITt4mMgVC6Os+/aoa+NJbP4C+QLk5VZWnvgkoRDUjYN07F4s0GNWIkBJ0TKs0gh4uYcsC7I7B3V6cAFm03PvwvonULa7iZ1VHGb3EoYN9SC499gjC43nhJLlKymcmLlA0AzaYuDsH4S7f4AOuVRLgSkQrTLzW5AvfsVcqboVvbrtVqIeEdfEhiLS6bTfW7eW4DV0DFoyEVZOGcP49BoWtAeIzx7yr/XzMPQ=</t>
  </si>
  <si>
    <t>YyqUVhRj4NcnJQJgPvB2KFGyi0V0TLxFt8FOi0BWMbc/Gp/EzOyqFvtDPc04AnGK1zJbkx90rr0eDHM05bIrZTYOmW6NJpCKhnkA28RAn7tXAiu1NbTKz1VaADo8AmKWKdS61LWL0RUpnQQsoz40YWOXeXqfRzwtBpmVwB0PFNbwu+Eg3VCXagDyZjRHvNXBFVWxIeKjovlrtJjHCuEHht7NqZt3owiuFoWYcVJL4WhKme0achNEeYkS8PU=</t>
  </si>
  <si>
    <t>J4C1sONFxuS05awHjR0vcm0DfZP9DlnElwV72e9zaojBj331yCcspyykzHVNnUBBxCI25i5ufuJaRppwJK/7KNAgAlWyUd4fkBAhCZ/WO1JC1BAys8L0gGqXTuoNIJ+Q9qb6qrUMXJNS2eQ47cjZiZyTmG5XWM2ULLaPwh+HfCalYL3cAyza2H6KMTUvMsEg6KIQaa9+KcI/CubdxWflLKEyZZ3gQoSpUtQ/IPGgQNvtnfgF+pgWYRCnUmw=</t>
  </si>
  <si>
    <t>odtht8/EU8FPE45G5QNXq1ii3RT7YRP9Y6WTktVjE02ecO4i7EOiavUit53XR+EOchjUweE/ncUpz4TP+g8k3LmuswNKJjNvl0BGuXQjxbpIgOMo4RYn2f+FHraKL4HBkgSYD/irhDso+E0vaPxqfHncHQaYUydJDvHZXpLPTIS21t7bCDt0OkimBjGcabPkNeSESYdRxjod4SEo1EiOrLX4wSrtcIu+y8JDX1s1jWzQ3iC+rAE9u6N2gAg=</t>
  </si>
  <si>
    <t>3BTYE5yOKzPdGTrOuJJIpcGrBuXx4VTpC2lBKvqhe6mTuvz+QS/n+Q1QTcUsBxYLpuJcdzKxYaTzRTDN8L/eau0DW5aDF0/CPoH4T0MWiMeqpQhwLOkHX2suNIpjq1WHH/z0zxPw1SwXLTssg7W4q1QCF1v7/jtCkQw++kuIxzMXBO7XuQVgUv3QexA8CIXEgCy3gnvxJkWnXzFD1Vnntgp1LOsx9NXMLE8eMdRmJwXFDSh7x+QnurYGjjg=</t>
  </si>
  <si>
    <t>WdAY2WOAMe1cJ8LmmjoPk/nCuYTEo6+feLTANCOxuiQfba3EPRRiqn3hcMyGe7XXRhb4GMzGwMt51unEAyBjN7/J8cm+bGsPQ0CiJ1NaHf5PfEPRrVWqc5u36HoiRZjcivST8d4znc+jRpy1Fy4Ek4qQcXgRS3PUOzvjVCrZjarpg2t4BVFQQD47P4dNGue4DsyuaR+0Sfv+3ZYRbfIKWvTnMSl1RCU/zKmdffIVY43bL8oJ3OXvUCJG3SU=</t>
  </si>
  <si>
    <t>XmcFZhXwxMWMpEt838wmsF66iwLrge/eYR3F1UxN3kuUrQf4z22jfry/R/9b9k6NCp+2FG3KBIzHE8GVsp/q+tgcg4heVFy33dqkq5gHRbZVXmVMea6JC1R21+zXV/KZgArl9gvpl/du8O9wwAdL2LVWDKIEiFe1ze4JELYO/Ce0pdPMDT/+IEV3SwNcBhtqle80pFvzLp1UlTZsrw19kxtHkvNVezO/8hHM8X+XfsmgnplpNOTIlPNUXwE=</t>
  </si>
  <si>
    <t>uw+95C6i9lx6/5+X0DWdwtwrc6BI1AI9DFERPVxfDluQ4dwz7xCMYVLvrXwXW9XJ0MURNkH9745ENk6G02MCfRkFpzYlA/x1GwhWDqj++yAFxEXpELx0DxqtHWH97K/IEpu+TIHLg5QFecORhYmZ5kdpEoXfP+qznuAKFwO4ZFzNULdfLuH2ee7QW8dpcfh9IlAyoT3C3js1xQtn0MYeko0sGB0ZHBxEI+tmL/bsTnjvisWZAM5eIaGyFzM=</t>
  </si>
  <si>
    <t>ZOMs4feo/F89upOf/0HyyYmi0DP5eAOoX1cA4p38KLhTJAHLF8IkDxmfnCDeqbM+cbi/yA0w/dhgDe9MTZGB1mP5PTQ6mIIo5b7MepcTor/ExqOphaOBnENA9+ukr2DU6twrVpUpCYnFcaa9oYu7LwkyPljqR4w98q81WYe7hdmiVEm+gCo7GjzN3d6Nj/mNI42hxWLX+1aL5nPZueHYKV8be67Xl196VRBjfI6eCfEBbNJm0Ids5t8gKQs=</t>
  </si>
  <si>
    <t>X61Tez4NsH1/K0HGKNODU90X64yxqbtSogY4T7sEKoFvXOkO+Znone+5y/oguxOqkf2fpHD1uxJkjnn6at9QCfAkgcW+CW/TPV3/qBlaCLG4iByOGN/jWwuqdbZ2ii+HZqR9Pq1i47oXp8UkorSXDuM0Vsz//uZ75vtjVk4Iy/UOhmSHNbO8YTIPGnnShwU6Ah3HWxiC4Rw2H3fP0zG/bfDdq73c6iWS04ITG6WL4IxwjArfqxRk7yStByU=</t>
  </si>
  <si>
    <t>WhehlpEYd3EhiBGvgWx4wTV4RgNy25CcVnaDVr1vj2E1OIYdKVZPwWzcgW/7prI910j4QSHadRV9/X0n6boeosWnMGVMINVK2tYFGRli74fmf4IcA5RDq+ek9LrV7u8MgEzsV84oPnucQUjLqZBwtSNp/IyGvAT6Spw6BLWrbuYlBT+pR5924DfYXhG+e2RK4BprD2VzfeBL6DuuRD5a8vGpN/WOGsHO7xJXNs80qwL7DOYmQkcI0Od3Lac=</t>
  </si>
  <si>
    <t>ouNTWjuCr/gME3af1L7sL6oPNxX4pIrlMp78Uivm4u+N8bNgxnixc9W9gaiVj2EnhE9K6FqzusqGX/LBbGPcwL+bj5x+rmedt5BRzDkT67nNKoq0YaONf0E8FmaBZpMkE3Ax/UjWYG/8rPQ5Yxm7my3logH7G7cSiOmrR72P0qNtsQqDZRuGFutoSPrBXHjn8exSkMlU5eupNTxgO7BgLb3KciUDWY+v+7pivpJ9F/Ui5FaVVtM/DvXVydo=</t>
  </si>
  <si>
    <t>k/sIksoVQl9eRn6OSahCQmLnNuaUz781OE2BjpKHbn4t1pDnX/CY+erO20REbYDmEAI53BS2299BJifb21v6EnllkWYGrBaCDwlUNY+xLmuGPg4QlTn2R7myBKpDpO9ABpIccX9V6NLJ/InnE7fgsB6OqDTEA2wHUvEg04cxX3a4TaW5gH2DBFGK9G8sYUQ9jsSt24XiLInh9a/rT/dFMjGB1O3NxqRPskoOCW7KkRKbbQOjBV2msZBWLpk=</t>
  </si>
  <si>
    <t>c3pDDwxGtXrflXcPfvuACrlNhEJ84oYfVguCbMTY6jM69WW0VKqWesuChiNFYuGdxTWQEClFEaU+dKymVr6rfke06266Kx9TbI/ne+Ggk32fLnrVQkSbDSxFMF/k6357OS7Qook8Jq7Vw1AsCRFQz1Io1Bnd1UnG+5qpNxhauyI53qeuT2r9xfi8KUzgw8Hm0jnxwU1YYaZJXuazXvy/nAztw8FZDQ2HpuGvV2kx/GiYos7LcunG7hmKKAY=</t>
  </si>
  <si>
    <t>e56r/FMmzn/IgT0zDCitpPlhYRup++ZrSG0Z3md9p2BFvyLO8PUWtFsxPbpYbH5eD8HWLt1qLxJNvqtBb/p5wA5q4bUCyRhmidb0U6DZgw54Tx+y1fVDKLIeF2V6a26X1YOGOUdxDriwZ5kBuglbhp6czDnqkbi+g2OOsV6SeJGAig98O1KkguYfiJW/TkjI90qFn/nxMTd6i88FjVGFyU3cel59GZgtLwkML/A+0pwi/PF4uBW+++9t4Es=</t>
  </si>
  <si>
    <t>8gK5C7QA1k8egD7Bjfa1QAN8OOSKbmq8BydpgDfDvUuGONhDyiP5uaoHZQKmTcQ7p9qVQIYALe6NHTLgnluAvr+aQ6/SiaxfgMrWUqMRWED+TIJRxSrSyuTHkHWeaOgQMy4/MDcMZC5UTqWihnud6grxKENSz6vTbaiq8e/ElF1xLiwcd6eeCYmhd6q6xA3R43YaluUudxKEFr+6zYxq8DtHZny7/Qsd72GG4vNarVj/mZmzYoJNCsTF7UU=</t>
  </si>
  <si>
    <t>ClWtimGtZhOdy4sZuRM599+Hw/lNAZlJvZB9XOZWHtlpG50sBcYPogauuRQCYLO+bjng08P+ptDBJ3g4SuGFPQc8ODv4S1LufSE+gGZVkAd03IdfeTxXJYhJsaFu/aKnm8XAieBJL6qfxOSk15Dt9C3/KteDdlE/O4Kjoo3nKw+5G9D8dlS/CtnxmPr5Yx+TD6hzC4KtDkCqYmfcYDt0yf41Sd6a+84p/5OytLaqJcSr0g05WIQuctRNfiE=</t>
  </si>
  <si>
    <t>9GQchCGB5lEiTzVF85M9R+ijOK6eQCRf/WbR5w35V/gHQM3uNzH0Yvb4Qq5CsEz2prHGyJnl+RrfJ7kI4UGUN1CclradVWMNz+hRnHMEWZ8Op3YM1yeb5hX4ATE2tgrL8O1rkphdq9iXhZEl0hCEOn7ojbnna+z3dALSDW1guC5BktKKSNBMhVY1SeZ6hjFTgMUkALSGeKubYjMO0xRk16Gk8L0C0eI+fF/QnK1WbfxoU7XGMtKXL7jNgiE=</t>
  </si>
  <si>
    <t>yIWNnJJHN8mM/Ct476eh3oN+QlgrzgnH5Bfg8iatzIGZF3ODwGQAi/uR3isVlxSzEodVqschBHSgJoT2Mom1HcHkrn3cptDqO0d649NfaAJJ41QkCo2TlOsrt+ZN5W6qm3XUkLultufr5ucrEHg6GNvf6nx8M4hZhOU8pPhytR6XkJaet0A0ybgThrKhICFb/i/RXmNATjsktPeKJAWLiq65w2EVHJ0Rew5D2wJNR6nvRjofx5JW5ulJaP0=</t>
  </si>
  <si>
    <t>C9+/RnF0C9ht9KuVgnrae10UXw82L7wN6APNOl++9hYQ32b7EQipmZkdEQ6ri467RfFTXm74sBZ6vBjTI4uyQ/QxGjzCrcoM0H6zTRfr94QL6Lwy9mYODxMlbwLFQzDASoABDpwVAppYTwL/b0ogPV84SCNFdooMXwIEPcovdtZS/UF639JzTdU7CCBgK1jEnx3xfKV0pAZRuLAbyK3SWhn5E19j1b7hquR6owa0gBK+UKug0eyDW/Shek0=</t>
  </si>
  <si>
    <t>WUlPwHRxal/9G5P0qhZFO5noAorDoT5dD+aJWHbPAPNrbEiV6w8LdPJRNGYLEQdLeGwWF0EtxZfIPn2rodXPawcVK+S7q1R/S2R/4L+s9NaPt8ka7Q186oa059pMugz9gr9E3dwD5g1KZCQGXCw0LQ1Y2S8Mkpm+iCq1yDMTzFOhgcWtaT6zd12qu+LmKYek98242MaXJG+XiM8ZQSnlRXw0FuoFiHyyd5Xnub9KtkUGEucEq+E/J+yq+Zk=</t>
  </si>
  <si>
    <t>np1uFl6H99JS+fbjsHJCKGbTWvMK5OU2X48P56br60CiNoa2AWPdwdBq04AEobwM0bVv8RWKtmhnILK3LT5jvtKqXwOH/g4Donl+VLV09GnCvB4OWEq0Yc7kWjFN0VtZkBywj8VGhO9ewpVD67H09+Km/Iwgcifaau62l1axSfA1FU6fbq0cRd4EGX8+iYCuj/G6O2AI0bI2R3UQJ701ZSZ5DVMaN0ZZhh84uWi67bHGUUC99upYt05XGuU=</t>
  </si>
  <si>
    <t>NnWCMLQw7dhBTf7FO6mjqn9Jz8a8zdNRpScbmHt9EKELIuYaWmFjwpM0QuB5VL7uZDnNDFMmMB5xNbaLLJbcTB/b43pBp+v7bKIN05SA4oN75pVCEq8B6WWsrrUJjpvp4cLGZ/MTiPz3ssX4Kh7Ug4VkDWjX8b0W3lqvGjzUVquio9fhblGEcyhjbGbyX+fC9KInxCXj7HviENN67uR27szCU+CmEfX9N6uNZqVVxYEo3yacUM3UD1qzqGs=</t>
  </si>
  <si>
    <t>NnkW2+3mDotH2zXEj9nIi4rI5Sfk5CaXPQQdKgQQp7jQrNLYto0SUg6l2mgLr2eYGCUf0SOMOkxHtwNGLY6H2Hx4U7HWqkJCo+/qjUUE9DjINvjemNKsMSkn2uZiA6TzwIfMTX+K0rOlmaQURj3dMYh0RDUK3fDVfmz1B7D0F7zdJ6gUy+Iry17/eJry6EsDt7pudnatfpOJ35Dx35w0PagbwvCZxlPM7J+tdVK8ACRveAWQxrP69e3GjQw=</t>
  </si>
  <si>
    <t>PuT80Hw88sqEjlZWzCd6tR6f0kxfCAECMqIVSGJVWueM2+dAmQrvwf1iUrs2ZzPbI+k9g1cqwyo9O+C1PkAIG/Wf83iL0BsMHLknVolNu9MmkF7HipSMl0Plww/HKbMc2S32rFhKXcDmym1/2uRRfZ8Iv1G8+/ilynAm4YASdkd5jNkdn9W9xnP4dIk0n9dY6HXg9WAdeI0KOJtmz94Wg7EEJMC+IqTD1FlmsRpZADzVa3wL/i3dnATsTs8=</t>
  </si>
  <si>
    <t>8lDPKb7yetKCjWK1vJnOkK9zSOkgJaMyqO3B+qfo9sHOmlgzJ94WXPj+4zSbDwnA9WZHcc87JrGwbxEwj4KaRAW9Pbx9dHrmpfsJTyVyysZ86Ik+pFnT5XA9rhpCBmu2Ty5p+h/lPjf/S2q1JJ+qlnO+xZUYF6qo0Yr2mJJIcvHqlRQ8vpjdCN5dToOtGSd6MrMgOeVYgfMc4EQZXUYN++j3laJJMrHkLZE6lovhanNU/hZUN+xBHM4KjOg=</t>
  </si>
  <si>
    <t>PFRmygYYeRk9Ft8aXHnDh4a6gq3wikiSN1EqbrJchL0NOs4YZJK9DEoZpVWa1hrbviH5tIP9TYqZa75BYokWUauHIbkgFzbUXP3+3XMk6nu1Te+psIh1tSOnEojmRyvhcXDn9R7RiADKxy551e486pDCxhCDbxO/ucH9mawOPGBtwRUFSBmhrOhW6hDzDySewaQcBwy691DakWr0wBNFexyuwdgps6G/HYoF64EdcbA+A9eWuWQCsoAEwVw=</t>
  </si>
  <si>
    <t>OPoJAwSn52B0t2GpMgqCHqkV1npaPcKUd8DrHzuV9LhEAkCT20PvqvQuhdOYR5Yw1R+7HZdRtcmddcHGgXwew18uctNO4BZKe5GYv52CNCkDNXDVEI5MeA86/bp0xpzPKBp6GibKgDywpMS51522rHFDxN1rBYTfgvswbdtOICMEQ6AxSWa/mLNrB76er7TkpP57QgTnfmexqc/k8O/QV10TsQqYmTjS4dpqveF+f008us87Ga6f+eP6RGc=</t>
  </si>
  <si>
    <t>KWU6Q4lD9DzgRUqzwQGHaa/lV35NefVjPA5QCtsEPWS+b9Xpbl4zsHwrdwDGRu+udcGPkCeJmyiwUDqqLfDBLtvAlodo68KJnm/e1QV0BtuyFcbY5mk5AWvj9Pc6z9E6arkR/xfaIWb9TgmZ3ls3uOyz2rPrcdMydpRw0CQSA21nvOxxcDkTXHlkJMcm2I4NZCH2prjo//TWn5FC+a4AkJ2BOYzNu2EqFVx9vQSvbqFKO8HBiS1lWgz7NFY=</t>
  </si>
  <si>
    <t>kUxPgqMGzomr2ehx5vtc1dcWmsXdgpCyqEHN2ttgmvXZGmupsUfo+kxnWB903sR/tOh+n8A6lpV+1D9tk0e/bzCrovyOkWcM9P4kEL7G7HjvDIAdGVMCjZbWy3m+u42A90B6nmL+Fk613royasnDt76bCLtTVmPsclbT2/Is07o5MWNdTuyCE05bJe7xrw26zWkSNXwTIam/BLbUaH5K7pfhIOAuA309a4HqwPMNYdsHCS6IZLk3kxoclXM=</t>
  </si>
  <si>
    <t>mr2F4mY94vewVx48uDNjAtrMSR3JLirg7zXOFnZHYpEusMTz+fqUgMhZSuQngXgKBjyF7SdsIsT/pDcq4yUmbetybG8sKAsNkbvaefpF99cEClRHKytEgObExNzLYxBHncCtlzPaE0YUcb7rJkc50us4GLJWXB0nla+7KgPF6x/R7Uxg7uOzd9zTcm1g0hLgQnL/o+eFVKQr0d0laAQ6rAW8voCeCz+51ntLscig39N1YCZ++BbMf2qx+hQ=</t>
  </si>
  <si>
    <t>1YZRP0a+SxN84htC8C6eJcaqJ98J+NwCeFHZFW6ouAwHDgbrDNSyzAM/SXsCgCNtwI1Ojw5Jrco+MDuUasc7D9zhSkokUclsyN1NV/vKioFCrjfIF7RiYvGFs3/s0H78cywufrNrNO7VPtbArJk03pPx2+UDh/sat+85ayhA6iwxXR/UQSg53KcuKhdin+0uks2aHvnJid0um7knM8017OSUC13Xk8GJxSbr0zWov9Ayu24GmQ4+T/ssAyI=</t>
  </si>
  <si>
    <t>m24s+ilSHJPOcUk6Uyk+6gNW5n0bSgi/rjOGxFLqreGfH2C6MT6XB/IvQXFCaUU/o3PR5l0jxoMRdzTKaQ/7wzu45IIqqPh4Pw0YKVc25vJCIbY6/iA8qTpaVxC1M5Tp3Rdoaf5zYXo+Vd2zMddJgluA2OVC64CbB1RWeAhkGJZBkD0C57YAvEaj5UrOfiUnHtw9+uQD3cONSyJUqKmvSd3JrJahXH+szbDmjziBvIxEhPg2lKzW0o6hnM0=</t>
  </si>
  <si>
    <t>Ga/a7r1ISkvQv004qOdPqhlCJKoc7rPz6mqkIpREYP0mAL/y3sNbc5FcjFzcbOKz9j7P4KIF0P56ZpN29bhNUDBjJKNrKBs9tEI42yDqSCr1iCZXOPlSGW49Q2KPLiWNOXIXCYeH1HPSgMl9pv7oM+ZCju2hjQTAbflPF27jD973bKk10nBgHgbObakOPAwMTu0g2mbXyRkIrFigrbvcDJ1dNVqHBZ/LERr7otWwnUNjmIxjg7r1QLtMPJ4=</t>
  </si>
  <si>
    <t>SITADEH6WV0AEvOHmWCl05wx2CVKyqJRYYi/xnx9f5deE5+o/dhBAE+P9y3iwdJLrUX/9rABFVbYCLpwSJHfikelVsdXWeQ8qI3WzyA5t4PCO6PQgG2yEE/TmZPOcOvnSnS5mjObQuax27wdCgLpCFl0QEHM9CDT8peutMOjt6k/3B37eA4csucD/tPUGUvp37t8Y7kI9wQ5IJVe+QPM0F+tJB2KKqZgvWLl1u43WgdxwMPL/2qlJtXEZxM=</t>
  </si>
  <si>
    <t>gak6CA9njlxB9SspORfLDwWB1z+Hi6hWcKYTDT8sUeoLDNFhOCP19DLGpztYeu06GhLPpBFxidcOJnsrmp8KHQpBIggNjNrbLAjF8dbAMwhhasCxJcnocsRFBIceC2bNXt8N54STcxDpfKFKCN1JijDf/Xpdt0+bS6VZLg/sMFHxY/WlKDCEAxWCk4zLnjk9IWNxhdfybjmUVNkS0eJCwF+rhPLpjAsCgLzhbAk4iwGYHV414tHeEfJ/m5Y=</t>
  </si>
  <si>
    <t>o4uGvPunI64Qn2Jjpboo6QJ2+AzD+43Up3Mw66F0g6oh1Yeqf8SmXi0ASMXvbjrYTG0NTCtBI90j1J1htQNzJ4r5KWqs4rZ4p8Inw7vzYOGHKNNlSh7F9BZj1Ixg8COxt8dno3VwaVZxAnanOzoYGf5ncPo7xgPv+UvnSmz93Cz2g9R7e8+JQOWxXC8nJvAHYaiTb6l3AX0nWmVe6xrMTj9EqohhurRS8q1+VPQjaRNgAJY00ekXLFvbXgc=</t>
  </si>
  <si>
    <t>zcs+zjJvMl5sKyILSDnbED12fAmSLbdwndNcWWqF8c8tFrGtZq3ZvoC4NZfXRsJNPGoG0bAUNLWX0OXRzdAZXYf81oMu/DOpmPJRcy4WOoUmy+dcQN3u+d8OyiZbow4FS1T2jBlcvTVrSp+Lk3Ho5+j4443ChEof4B8J+Ke/t7uhdCFugTUTE1ZLATpQ3WRZC5wIgQEuXG2tozx1Wk8Vapyj/rsBowrtHG7XY/LaWGi1treZjvYE0PDk+uE=</t>
  </si>
  <si>
    <t>5UyjJDJdMPDGXuX2rPcS9/pZ250bYFX9gbv+1ujCXInXJFzX5e+GG0nwPg7UnB6de8R8SyPCWf/B1o+XjGGUmUlJWzPQJmP5644WXNihnjLXY28krGFsbAabnLMhnS5Qeonaq5MvsersGt4084B+cGvXQw+3nkfGxM3B5NjTUICHsYRMkg85KFzav4Ihhksh0XWP6lY/avv2YYGejtxrVF1jYTc6JSUdBsjEn1RGap+PyyQeP/Nnph62g0A=</t>
  </si>
  <si>
    <t>x8YBxYu8MyZStPg0Rzo/m1QkWnjvyMVzoxbEhO2xty34Xft8xo+iLXuYZwzo1zSbqttJ7nf8bIHV5wCpD15rXUiikuTYoo0hcJLeOYokIZeDRQftill7Dr8Ei3Z9+/DIJUOrbJ8cGbk9E1rmrTL5/zA7og971NRySompAaCslE7W1SqjocXN+ijID2ds1SLwIR1YXsxJyHicUOxbrdgEofslTVmUuVoODjoPc76AovzBY4tO0X+hxoQmwa4=</t>
  </si>
  <si>
    <t>E4NFmXbEDiLyfciO0yNDxtDnxmNnA4EHXXGdd9SRnXZYn7vlgPvGKD4xSKjyv8spYMALprIYAdz2Enkqqzsas/AeiOnG6t3aDvj7qUj6b2KBAkN2PvkEkf8/79glY7E6WFpoDNFJ2jm1iQw8XsN48eZlFGL40RsX8ptW0g1sMZTJpkQ86LKKWH6pfBbdR14nfD4Joj2UFEVslensx6bqGxrqu7pPpsUZmil3EsytT1H9iFVyri48sjABAH0=</t>
  </si>
  <si>
    <t>ZYET2dundldrLBSwjwg83eqxrCGTLA7TcD4Zajy2Ce16inp7Q1GlWGJZZdVjLh3AGzW4sP3erfkMogrp1EhsxpajTzgFFxm+zxGnmyANq5XCTY3w7hsOoaInMmtv+if3acwEGiXKXgBog3afmFEGo2I2vUJNt5rO3ZICvQRjWELyWK+OLBkLcsY/d77K9cnyFvxL0T449nhQLDDOB1+Pa9QJyvtk4OjU1ZsG08Qt3wmcf3W+kkHAojZwwE0=</t>
  </si>
  <si>
    <t>TohZxZ6FqjGxjigwMbVAoAm96CcuMTRYoho2ZeaMzwpKTTb+UTfqrlE/jwjnoTTjSxTFCVgnQeNE+//ykXTI79G/mdGGjk6LOa2f5CpsjEwQ1ZiMzxNxcfaz2tKaJLDuIWio2ehrJWXXeE3yAyzYEdLhyPXuoXSZJ4O5EcQ35Fy3zGN5SE1JJy7IBWLWI3yfsD/brkS8+h6u3MdA7Vmw5DdSFPEGZIEgc1ndnxIataLaGcGg4l02cSdIxAU=</t>
  </si>
  <si>
    <t>DDMxsDquxBDt9ZTvibBMXu5snPOz9VTxv6As5ADaXasLIQvcemhc9FUsEOQCqNDYa/iX7rXPqp2BiKy4HRt635FS+Yzf5fI1v0UbiQami6PAs2g7+ds/d9jcu49Yp205lTI6sfs2/WiuTY9j34L6ELuhfx/Tby4BgApWU3xU02LuqnYrnrkb7Uvjz866B0YcmF4YM/2qXKXib6XlEMHjVAogzxV2WPs9VLlGAgd23P336AoOuXglQmopjDA=</t>
  </si>
  <si>
    <t>8JRWNzZZwlvxsBsoQ+dImvfiRGdS4C9gH5Z+o+fj1Ce39qCeXbfu8nd0SqdjxRxRgmBG8ry5DWpHg3Dat54ELF6cgo7v2fXu3UkmYJw+c1rdzU6ShzyuQvN+H76WLPyKKcNUIxgQb74GqGmFmbQ46PI4ljRVEDMUSshYAllKCYqFTjRt/sd++8iZVMu3BOQvsSijyuTjvy+ISXXpjubtaob3hjtPCFbeZDay3/WhytkyMtzKCRjjSq6n/Q4=</t>
  </si>
  <si>
    <t>/u3uW0YtUvbWW77cJbC+Y6LPudC15kg68Zaoyp/HDZaCJaL2fPnZbT56y1LIYPs6qdS6lVSxPSFXW29Lqfbo8K7Oze3PJfs/jLFvArzlsWZdetH18ErmuSRDu3t0pMP0vcICTrj4gNJuDSqP2+dz/D8tz9xz2SZsOG1FbsTSozSBILhxUMP/L+e5iZVFlE/Ai5zcQEiB3HKwdTPbXHoIFSTgIFxeNpCeMlqap44btF82R6ZLaWwimXWugfE=</t>
  </si>
  <si>
    <t>+fCthbVBAbQJnXsJVih2jmS5dh+5jl6Mh4D/87Hb1K/k+xSY07L/vidHpHrZ5W2iOV/XCrPQifJAa6dsXTZhkp4r5rVhKpBi3GaNqR41wQjBFg8IyNcIAzBktqWOJ+MtM3Md8VaVX+dNPozJLSy0xT3BYO5i8bkSIu/47czimi7bRfe9m8rHMu9Q7xsNNidclZWb0X1po19LS1pvc/Cu1igRf1uamBXOfNfFY8q59SyR6+58UAjfO9LxpG8=</t>
  </si>
  <si>
    <t>GKYIr2xDHIYIgfPVMt1ueAqxsuiq9SGSxZLXV4A7ynXANYKapRxjThvWi/IW2WUcaZRsh0SrV4NKSMIRoAlAgpMjw0Bi7am78A7YMmAdg4EK2z9rcZ3LuvertYzThRvqra6XxNPppFwhs5atGgKBCc0dAswKOH+Qi0OE9YIHB7V0y9fnD/PTpZGR18lLP8dD7RlHDnCmNxBVN8Ryt5BxPWr3LAYI1GWayRTsBOrFi+U/SZKY2iLKQMSwS10=</t>
  </si>
  <si>
    <t>Sjh4H2bsShEGQQSviYCypOzBHCFDbQ1q8INxZyeDcpfrkFd3VGyQUa0g/u5MQ8ZlWXhYq/1N3Bp6I92L5znndmVBuw6geG+yfHo0RED1+Y2x8mhtd4QZHErSAMkFqojAebzwk/99YDmDzNhysYXuVw5nOXSwaY14xDIvtESZEOf0p3Q65FcfjfFYHpVyeQxfZqpwQ2SZYMQllWV5mudLEvcZqDGA3c2Q67KwRqPmSq0gdSvkgd1dctqgfJk=</t>
  </si>
  <si>
    <t>Xi/WHbFtrDR4lZOLQNhpgU496jnlU3qZ6wdoc1GyPUyr13dutBdJkdidLrQPK1A7XTCCa/ztvnzNoWse64TMEwRl+44lHr7LXJKpA/bCy+M/B0cVMTlzFAwsfKptvPqM4iLA5DcmU1hHs+ObVGmtAj1I/XSaFIHotKYSf3Ebd5zHoUjK28cs7s/S/PbY9d6k/+Ir9tb46K2ksllGTJ+0hKNDyQX/N1j1wk74/XPfkkHSrSJ/eW23WKnck58=</t>
  </si>
  <si>
    <t>IgytbUfD1UHTiiLhGHgXqbMB6PePQGv0gw8ONU8yN5/MJgk8v39mwNbc9z65/kFQ07ho5aCTj/bxosK9F5jSZyniiLG7TyvCXoYWp0lUd2TnAzb9BPZ5TK3S9rcjEETLXwfOPUL+bAFJ7ccqLG92RGPZ5EWkNjyyUXjGiE7+OoTHUkZ2h/wUT1H2e8BqTBHRTA2x3YEc1TMOWh5VxbcgrhJV3DyRSiYmKdBhQS9mFCYkb5Gw22ZDGfjle1A=</t>
  </si>
  <si>
    <t>qYrxMGYeNXvdN+zMFb07V1FgpLa0U/VoTA+F65+J9VS9+7sxjcmoiVny84BwpXehKeoTVXfQNDtG0OTy3rxPrqy1HdsUhJ3cbspopkNQFtncISTO7j7eIikGR62LoNfWI4lj6Jb5VjD0v+gWJjlsN8g9z0DVWSQEatBBG9EuKCY1RSmX8xJbYrTyUmd5Do5CgMsCH+Y6+KkJIbgbxpIqFvD+OHyhSYRTcfgmQrptrUSwdFRGQ389LqudN+Q=</t>
  </si>
  <si>
    <t>IzZ0zqnjENCUs5W0nW8oiCmCcP4m+0bTE8bRZM1qRmD4WeH/6I0mwSo3MwQ3qi9wjmU63jyAVYXPIhwhlsER9XPbwDL0G8p8rRLzFHqVRYuZQGNmYvCpRJBj0qRPfni7wTgMcDE0KJugzX2iTAcGqKNR+sxa5mXiIATWJL6dQ1wii/swl0uKJKSb/BS+81+IYa+gPjt6K23/WgflZJnRMjL1isY4DHUphGvcpUslPepFDKpFjP8yp5M7WTk=</t>
  </si>
  <si>
    <t>QSvRCJFyigLs++a175uWeAoFhJz3BbD3fr6XcB7WlNHkaGceDHPXdp5AjxKkyXjjqd7lkzcb4buGcRzYQ7+2zzgeQD+HTgC6j/SolG9M5xCfwYD+Ej0jQ9psdoYEHQyGy/yl/SLON3zkQZ93dX/BK+K/oJ/Saz5zr4jnokMvsQqIOfmephwRW06o/9YvHi1dgP3vWr86dbBJYNo41EBgnf+M9K4NveXVkEiFbUMhPCRNSV0VUqn5MZ6/hHk=</t>
  </si>
  <si>
    <t>5jFaFFYdrlR5p8FK7Et84ycX2r8Oz98Id20VEt71X+9c7P3K0uObYFAH84pkoWAvm/XcGCd6FZFac01ATM65eBA5sZbQvsdUEnmlB9t5Px9QWTkIR43FjiV26r0e3lLxFejQB+EXAYPvelGaVQQ3a6PCDCVuou0dYlrfVFGh4owTLeOs/dRYuPs+SVlJ8+SRBwimCX73pHe4MIVetpCFpBUh6+586CE9nC5rbSl/xa+HRpo8DzKh7Sr0uCI=</t>
  </si>
  <si>
    <t>tAcn4nMHh90SMFbjDck8epiBpXsC+TXoeiIZQweTk6NsDPNgrPjrA8lA6XTiowqShMj2zH2ANzhU8uIGWK3ZgIbRTYKI7sXC3Ti0oDwOY8k4VYuI0WlTRAoaGGly4tXOcNN7L0f6MV5ttJEwBFdC7NV0xiZiv7FQUF/PTYTfn+zpkrj/klAQbhU7fs5vF+dUbTscUXPtld+yFxYSEJkkpzK7XXDfxJyvBe9wFkmn7ghfUmCFRrqo8DXb1m4=</t>
  </si>
  <si>
    <t>zHECH+RTCgooM8BQQZycwPqGBreAnm2duuaqMJr06m+zDB9uiYCTG9+upg69XmQjW3d41zdUXALEWJYe5OhG+XmS/d0aq3sleuavd7/XqExaFmzGWn8oxsM96DrbXYdCkGB6Hzs7CFWTqnIJEIPibTSdH+1hbCE3xtAPCLXTKhsrrt+ONDKN5mVOZpurkwLF8XkOC3Yq126rP7pK8jSKS9BaLxzgKWCupZE71n7lJLzP9uZBplQP2N7/qyo=</t>
  </si>
  <si>
    <t>yNUWTGNDywUmkqJa5G5pRNa15yobY7WbNEnoqIllKKGJTaJz1f3/oIL2RpYtV8DHes4nTCxMcZl5vMpfngBsN9m/ZIjVMU6GOfAm4oUEY2JUPcAptnLFlOhitgx1WxAKNyJTqp5ql5OgqXEA0zM8vbaFIx1QWqnMMOOVYH9LXY0DksdRVXbZvVjd0TZhsEdrfrtrmE1YJcDDiF2ZWi7ZUeL16o33DQx1XmqExvTJNPvLKOwRFYLlEw6up1I=</t>
  </si>
  <si>
    <t>55uokAmALnIvzimQ04qi7vH9yJk/uK9okw8h5AdIEsg4T8uMN0YFT/3Qhl+T3zflXEgNZKZ2SRcUFLemftpH14oXnsLDAJRFT6fxgr6Wt+it4FNxz/OhJX5WCltvD0zxsbajZXglTBDQG+P0dSnYBSSl8d7CTZD4qP0IS/NIWf8mD1WUbEaEEOaDyovBM+mbDV0lUmIjiKQMcBkCOISXckCOJPZO7K4G+TUK0OBS0N1WQP+eJli8urKFDC4=</t>
  </si>
  <si>
    <t>Ay7yee9idGoZoTGViX0HdGvJNfjZWl06PGu8ABQhi8/Q9P7JU7vZJEChBDPJS2I0w45ppt7SbFVdnfLk9HEs0VnsvwjKOLG9ydSOnU1wIX9leSVf8qYzRmFs88HPZkdXJfB3VevT9PwM7j0glqtcRFD/D19bU3Pq9WKNGd4Mdz+OIQSmbaYT2xh7C34yFVcs9q8I1tPrWFE6ukoGcEhIawWGIlg4455SIYNC7xrKuu6zK1VgQJy075V2reA=</t>
  </si>
  <si>
    <t>htEjRuihMXjmLv7t6v4Tm2qqJpdFyl56H2m5BbAtjR4I/IHQuob+MEUZytovmuDidg9vVjTQfy28IRqw+AJ2zX0yHFvYGvBTSwEqK51oG31qSBl6+n/uxtJBvkqn8trjLc62cG21tjjZ5S7ZrQJgqAYd3sPy6F2v4h7qO2IbKq0vsK8c3rkBLMRcyS8uOvSKLdN6bZfYU5Omt7vhPiea0FunG0ffnTUdQ5gbc/7+MFD/ABkD1HTLR4bYEro=</t>
  </si>
  <si>
    <t>JsWbui9EuFRBAsJEd4jneGWlhJkQEFXrYfnT1lwPw6YwRy2lhZ0hB77rQ3mCHKT8YIF6uGssGZ93XkwbOa9EwYL/gPsxVB8s+tA75hv7wK1pKTALIWwHwakdxCkn1SOQjrCFNUeT5nKs03rgY1vGq+WkpVEg2XqUaql1lp825Cqyc29Lc77gEQ6CGn+4iwYIxFf6VbYCyDlv/MBsmFbN+L+S5/z/am9Yqjbh2R7cQLpIaM3nvXCTw7YKyKQ=</t>
  </si>
  <si>
    <t>CxHiuK6IqvM4rTU/SuT7/L10RV6EAF7BTlsGDOCiLcqL+g0HTTMLW7Kdpf1TDziwWiWY7ecahsN1JHz+4qK3EYrAVvVe/xVNfveS49F20j+pnOofQY5IBrqWIXF3hjEpB+A8Zuew4upDem9g0a3NTrQAUUMn4ecrcqi04y9eSiNnjp0S7nLJ9LPH3O79Wgk5Dj4RIX/m9t8vmWEt47OcetcuqwtyUHZnB02bzUpMoS3EXM+FGh8uQ7sRGvg=</t>
  </si>
  <si>
    <t>6BZ5l+3+3sz0bK1k6vXjcQ/T//byzhRrXZsKW/Ud9RfC/pxmtP83DcKaPWSTShebjvW8gN/e2AUUr7Fkt3Ud2S9dh6K9/O1XIoSN6N7QdjcPGLnwGMvuYZI/jFKrDaCq5nuCrmWcgPFkOlIh3TiwmFVUUnvNGN0w9yTaoM8rZIDBUqS6aI0dYCNcMd5H0E6Cdp/4HZ4h0wejidgx3ffmL8+kwiya2w2Hn75AE7KplN5oZK5ozprzTy+McFA=</t>
  </si>
  <si>
    <t>9HYL6oDEpLT99ulqXRXrKidJsYZ4HCKYNk/H23hur6lMxvrkkoNWNAgUSKtnIyw6aQV+85dcygbL6UvionVbpcW19b4eGtJD1CbiAlNv3QI9nMiaAOKwM/DY+npNoP8GNkiHkoAmp9upneqdeSmDRcBoVYk5osNxcTi8Vmln7EFYLkgBhJhiEP5BKVjUJvvPaAzvHflunH+ShvqcyXiBnnKovMODP0X0ojeHi4ZUpioUfu3jnYxInwY02sY=</t>
  </si>
  <si>
    <t>u+qqGDzR5+sKd4l7baGE556yOa943HZrhEqmePRq/Gnp7Hnrz805WMQgTh6UbxRkpmuoKLN4J65n7vQBDO/Tt5wVocKqNvVdp1wcIe0K59m1rwPxPvFT8tIiFDYkzoI+72iFqkd1a7rA+V3Sj5C8EMMUvcc+1roAeu68zKZqiJWSJ5hVUS2nqdKd7AlOcWkrTEQS5PijWTWHSVSRAItx531RHcNelMPA8zpb8lkKSnDwFYhfvHxVecIntvs=</t>
  </si>
  <si>
    <t>zlDBBo2A5bfLT/it2o28SO7s4CWdIf4Wl+Gq4GvSrMS479zq3wYQex8JOWPQH9UHY7DoAt9aWJ4Mqw1T1Eyrwh9eFcSZk81a9jdEJ1wtPf592QvRH0qC5UlQoaRJk2fZRAs5wqr/YlsX+COb+JVDZSDSGCASyLFeS3W6foV/LnVLr1E65IQZUJlcRK+U25kBBAj6kP58o/WCbgAtbDqNsNNB+CBjCBO3uM/5D+5/S6SwIiJ+c911/Oy+rHI=</t>
  </si>
  <si>
    <t>FKdy0HgmY42dKjoVcVaCU2VutJNXFbGfVQb2BhT+DfQTonOghtTG8gFjOzIKYqtLJg+T5lRx9Y8QK+me91X0DW5m7vOC+ErzcQdguS8V25f67MWf69uMjNOWoBJIuCuvB+MSwveGMDF+hwPqg0aGyjQiG/xoKpXSwTOn7Z53vYjvhMlu2sB3GqHfM/TVHEW8M2wkPlCDNuW3iOCJNoc5ilPXeaLTDUNNPpKsKtfkfq2b9EdkGGrDS6sj0W0=</t>
  </si>
  <si>
    <t>BHSAz/y3X3B9apQhhsvVprsrcL2tw7vlLCM4cDVAwD+Q1ULO5Hm/lPO6xzohVESzRyBAljDX+JVKtZqcLCdkmvAVWW5Qe80IBPW+Ne2QdPHYIBcKC/ZjVWJVOzbmPorKwXJvhhMXSBT0PjHZO1S03GXO/LURWHkzxYvrOMK/FTlYeaO6OGoF4zrnFlvtNKQysuLwA4uL7Z0koF3Ry2Waccr77kmLO3bo4GJB4v31pvYgBuett10LCKgcFAk=</t>
  </si>
  <si>
    <t>Lo06VwxoFz6OTtZKkv3z1XXX2ORkgOR3suIgv0LPRTCIWUKSH3lNlD7Cm+Gih6TPxNC1YYP+GSwWNGpV90HjXI4vtoRu6sUdvk5hT+GksIC8kPKYj/n1fZBndBjvGih3N2xhu0vygkoBapYTawC4jYxdWro9hvWyhmvP2t9Psqjqabl2sFs3f5bDBNZ5AcNM46ciPNwIo3ThqOVLKoDbF/1Nk5c03erkKV2ojBeDFl+Ifc2qT0h5V7jywkQ=</t>
  </si>
  <si>
    <t>CV4O8nOQHp8IIniQXsk2I6hu+2w968HX3PsOkuaKdMaepTZzRpqK+TspgDZ4JukKCvmcujYA7b1xUutpOgTF1D31ZCL8ZqDlOCltVxlV7QHwWMWaX6eEDxWhlVXqZvW0BHfmiMzVtB8Wmf1C99h5l4OjzM3aYNA3UTXPjC+Rz8Dx0RasP686zksIXsMjMtMXOuNgaDuOcYcjpH33/9ZdKSRydlfoSbxeSHgTlAe9OqC0F/v8xLbYjGghwKs=</t>
  </si>
  <si>
    <t>Idvuxj8TkN/OEssVki1OQ2GALig18oVF06T6Wa9rq+hf6b1xAmuLHsSqyhEjrNeP405QvRtdodKDHGjAlPkMLSrAGnyX88RNHWcDYSZQ7zqNPpm8kTz+Vr0Pt7G7/6dAoJGn8vReNAVr2gj6R3q+hsNdVYVSSaoBbh3zkQB5yu1ZSO+q7RimAKjUKWsK474Y7mpqH0+7+0K9MZ1iTrjRCVdYzNmR809dR7u7udXjIBbXxJXf1ESIJR0mKZg=</t>
  </si>
  <si>
    <t>K73O8NQYzsSXmz6sQb+Tj7W8eBAZOUPjTwqSxbexI14mDRagNlOwW8llq9butfdgnfC22HsDM8ThoPrMxiTb6z38+2AnxTNkq8USksMHltteJjnoDFn92Oug5EAf9jh71z53pNNZTu9trEO/wn/92rSBfeooo6SefpoV5FMKPrvlv0NrQD7NpXg/jzUMf4rinUCvSjIFnBC3NDSFX2I7wk3VmEa0nBhL3J4XAa9RxCW3P6iRk++UXZMsKy8=</t>
  </si>
  <si>
    <t>+ye2ttsQ9n9pQBGl/iqJ10m/pjDGVujUyIjvjwUN0M7UJqx1JflEIcxUfqoqGh1D7AaJZsfO0FVxq+lqw7XXmdYujsEQigezykxZESn7jpVz1GBsTuRvr7BulPqKYVnZxzhXi/3DjbaycphNYQhM6aTvd9xEEOuUMG0X3x6dgt3PmkfDFZf5BxrL749/1uKuGrKm+Pv8qbqWVHhQUF7YAS/wjituGlBC06oYhrMvQeJsAcYCkiBEspHD19g=</t>
  </si>
  <si>
    <t>qi2YUS4q7VtqiHFpTnl8SRHbJ0TD5V7ijxlSjWNySAW9fEHXP8wv49a61V2qSIfMFQgiLRgHEgmGDoJ69diJo7fYip7qr0jPfdx0gchr6Czd4rAY3unSA+JtwaHcTxs+lhLFHypTon4LZAhALCsFwVoLR6VHHFT83wxSRWSWxWZMmAaahaMDIFqQLIkPNhYdwby5L3o5DnxlpcK2LVqGAF9zsxrgPpbCse82/HjOP8x+BTXlYttnPHYCuTo=</t>
  </si>
  <si>
    <t>Twc+41OZhI1CK/tqWw+NNLFMyXkFS4aHGFkz5ar5SUAz+ipNy2wll5mIndVg7uO9SzUEcLT396/kBnXIqi80akxR3W7WcihcNAVy1MD7uau+KFczmFPh48j4b8Yg/pFoZsd2PS1+UIS2ZyhZA+g+23O9eZGv1rMNzacdrp5dvhXmoK4FrNKZF4RZ8KqUUYs3GlXRHxhNDCpQp+u9RhUHKJ4Kie9JWEe0r+S/8WMRVdad/GwUdOM6vpi1eRs=</t>
  </si>
  <si>
    <t>dWrd4p+e2HTE9JEWWjYjEIY7kQVzOYPh2NoMSJwSUWZnBn9xt/JVh7JZf3ue2Jwq5ru/nt+nBzODs5K8WyjHJ2O/Yr8e5YdBfaPZWz5d+eHIi1FtSLaRQQ0V6gMc/cqTqvnb3yLc5BRZzGMSnqpUfuW1V5Ehw3LGcRP2UBFWX4BbTE3Z2R0QNTRypAiSJhHMsk5SPEH/kQtsNI8bVVcDL4dETgXK7GsHaYtVSL81JzmTxyOvThIlkTxkQT0=</t>
  </si>
  <si>
    <t>jl9ejAxFf9ayboXmKtRmQ4y/P50wozTbXO+7SST/Jnk0OmQeEf86C5lHShPwA+SdN62YbsQeLsl9vbz24waD5ho1BEpe4KEeUiNTB6/m14ROPqWmNK+O6Zr9SwgyFwi822aosYSCxL+46zh/1OP43bynetr9TkhJ49j/Oaot95MQIXNDxe4AaXbWkUyk7sNW9UwsWPjH8KgH4npRQvgdqFCtrbSFrxMewxO9tGHqgnGgs9Mb3ifaWoawiLo=</t>
  </si>
  <si>
    <t>3FvSlg96msNultp3f/1/pvchjbMwjHy7smz69YkVd2ky4sL9GJVCCkTn2K+Uk+6BoUIxLuZ155lNjCuh4FumoIvX9BJcY7k2dhJtxQ1w7f4llo4ggIoGy2+g0v/agrKqpFhuXCuPd66dvcONdPLeNMzaAyuy0ZTDhN+0HwJlWdIN4tS4JYkLKDdvrsCKDmBfkkbuEca6ERqR6l3Fps5Wfv4WCuxxNI45YNCFRC1uUiZqaLkpOBALWqirHIk=</t>
  </si>
  <si>
    <t>X/25U35h+7DPNvAlrS8M/b/AV5C8kaOa3/hPJqwvje6GF+seHOVhDY574t/B5kXzJD9R+bLhiA0PwP50U2RYWdSeW6wSOzfJaRMUzSHdAJFsryLl7WQdOflwLIunMCcm4I02obgs1rioJIU8D23yWHDH3P6kqeDyljlm8ALD6fWIfrMC8jaDprglVEkboklmjG8STVizu/UAs8bfINcqiZQ2AUK0AGZlRPJ1pO7cbbYzKa5a1tJYxLWCDdc=</t>
  </si>
  <si>
    <t>eV4w6UKZePe1McPHI4Z/FMe/gMw1/c3K4WYrdq4PqvcfMUqGTfAgx+LDhWUFbpIbqTH4ylZ0HchkGaJm67ZrC+yIKSbczCwdabh+OaAcGPzYCzA0K6PDHpz4bR0/kqP7pJDvOud18WB6z+Ow/MqcC3T9E7wiaU2geXDAQ7oUWvYGyIPNWscCssz1EM6BkMG6YtAeYGocUz5lBxICtfwrp5/7GOs6n4P47kk6sEyt+SIj2zeolCFhvJXyBgk=</t>
  </si>
  <si>
    <t>LkvoI8Vl5D7LuOnF9X8pYnoisHjuoHyYy31ZKqyLFyGqQRzAmYTjMNwzVEHEQt9f4y+XZFkjXdOZnSGPFNEXih6OIXM1/6gEZwhLH9XaYH76BfP3/nHV+rMOQSx3+qGtaJXXFGzA5ODH0kcfqqKrWYRracSMdb4/LUdl4C5AA/u4eBX9HovKAgIQoHuTD+crvLwmkbWhMzAl3Nn0Gi85BHeQuSl9rICJzNl1LfKqvePDTfGZlEC18mw+Ts8=</t>
  </si>
  <si>
    <t>Oi6bAaNWAHRkU8xKMScde73WQRStJ8PXhUTKA00NL/u1DcjxN+SepmlNeHdYotSZpq2otH3PMNbqaM+sHUSRPxY6MsKLvdMobtxhxu3/DAWbySQETbdiuKqjZV76ycuWPC1+h5bImzal3jqPbOrKFG5NmombxQL+ixzoyQek5C8+S7515br8FPpDPkdAAqzXB6Rli794E9VmnKUGelNe3/NaCm2i64ErnvHeaAUTyT3BmXOa1Q/0eD0L+2Q=</t>
  </si>
  <si>
    <t>Tg5zbv0/f+7vsd+3/PCGcfXPP/wnxaX2hgpzcy/KtCCTFuwTYu0ZQYEOdFBJCa/7jtehzWMky0zzYh6nTpFUcHpATY51YkNdZB6uBm3ePWunFQVkACQQm0mNypyzqGqn1Aqi2aS21C0Ya9m1fo7X3ORRIsALu3Fk/L1+3oVzHjspsOKzUamRa049xfcTrXrTHTgZ3HQxnHTNcTghUnhGSwGojuXMkyhEXS03QYsVtuZqYN29owu/Z3P0k48=</t>
  </si>
  <si>
    <t>qc+yq065VTwvsZHtfhStQvfR5PK2JnIOSMlZ0XhsKTUEiN8OoLwUU96WJVbBZe2gMTjrSim00gptaX3CklKlmH7iF2LIXV/RweXU2wGtPOehP/4OVAU6bOj04dV1ozQYda7j3sfI0Y8tp601CPgEHp2iyxoKRSz567+1Kn8UX1TpEd5d1FGamQHO+Rsif1rbLjGwMn27bsgh99baSAs3nP3MiGbX2tCtG0ewwH3Q/KZPWhTq+3QhI15FSuw=</t>
  </si>
  <si>
    <t>MDUFJpjF9ySvGmlA/+HZbqB+Yp2eX1m/KREYt9Uq73vJfhvDjxVI5ch2YGELklKMTjf3cX7VroWjvugHW2xpVO+MQtWAy/dyT4Yu5Gtc0bn8SGqcmvOeflPXkCabB4L8aAOAWWladJcXBXYJOL9zPHI1IeQjfVlv5adH8HVIy6QZGoI76X2M/UvzuQtkC6/rZdVBtOS+15gnL+Zu79OyC5uIJRsVQ34P6T+32zH3XNG1Yrr+bTgK5urh3cY=</t>
  </si>
  <si>
    <t>UDsccTjWsejk6Ym5orb0Y2NPTNcyYPtlhqbjGWChbHhdqrZRWoXH9h3Xp7eRkUC0HWPVrp9FDKxGgcr6+mBucQ7YuH2EUpsm9MMDDAuM29aR52CQC6D64+ryUw1f/5KdS7sraR+Kc3WkBPepcbUzwMwv67FpnW268YjlFkyEk/qLwcYj9iJm5x2kdbVXMHspxYUAVVHcV+fiC5I1Sp8gYCu3DOekPGojy+7SMeT/ppnK12tWsEaC6vvhxrk=</t>
  </si>
  <si>
    <t>FFZk/9mUljuFCFZVFeo2OIqyPtF1C4wdYLGPt6V0lqlGP/GVvegup/1gdaBC8WKMMe7rgYo6eZ/AZ9v3YUA5xStaeaSgvu3RZW/AQKqwS8NZB9so0o54QaDPIM8OstfGHaVi6zS/+dirExE1nA7EIFaQ4YyLNqWibx3Uq2k/eHsNuIJOCuLJ6YSAqQG/YhCcDR7aq6Y1MLvuSg3MQk+aliqVk2lMK/llInVnyemfYoLPdfGSsElOQKyRG3Q=</t>
  </si>
  <si>
    <t>wyeubGh9BSxtgSfPjH+Yrihu6XimGut+zpf/kTvNzLPC1qtr5LPjQI79IUD1tG9TNWAq+MSJ3E8Uml1/qnkkCrcoBMZMxjbv/qA68Ixs7pwfC3NnibT9x61V0etZJ6xD6Pgg5naj9cLjRbTs3CX5OeKDOBpT6tDbXoIBUtRzZklFBevoRE+XpkDYj+z4kbH0GrszUZdCTIHD2VYt166Q6Zw3YOtq/upv88ZdnHqfirWn1lSF8aJBsNSethY=</t>
  </si>
  <si>
    <t>2ZdI+a2HosChaborfvyrexx788yfHFuUi2mC2SJdX2eNCEs256pLfEl34IrqITRL1JAsJQp+Mb+5l2nMFH+BfAL5MA16X+UDuYaSdj9VzoskVTzuUqz/3yI9rpqbsJZ0uO45+ZLw4AMTHYMjv9ykG8I9wYHceP2YwVHTiiSbc75h6gw9zIqQH9LdC67UBT6uuLGAjMYRdxdl/CbyeXEuqOnS1iDlgmytScsc+5hrOS93dKMaBbdAbcOX6R0=</t>
  </si>
  <si>
    <t>ZNd1WR/B64PbLk4BpoonqyEU/mY+R8Op33Sac7RsCEzHaD8n34vQOWVaL+gqJnhAsJdCd43fh/plObsX432rzLs+HpQyo49OJY0JcOjXMx0oq8BRvh5gY9xy66Xq4sj7YLUXCj4TgEPMlnDUBBuWW2L331+lPdU1AhPhOJbvv41Kb2oqoaZfNRiDJhmxtX2YWXuilipmkz9L8eNVGXua01651KB1KleBf7BTGGP7QBkpD4w91GpeCW9vc1g=</t>
  </si>
  <si>
    <t>1b0KxfnmQmr7YEosGOV7zAmBlD41Sq1M1VKKKxBArqjxVLnPOLU6mIbPGR8PvDhdzo0HsT5YADtUblJrcNSMAffoka1zZu+K5s/604cJl/nyzQi1rxfs7fFKqJnAgagwX1I7TN+y5aBopzFGpgWkfLlImPhfDUCXO0JnuTPKKY/YQ27eqeP7ot6P2rJUyeqghcZ6WLBmdc5VEYvo2nqYv7mljB2CRe4jqdhpb5AXurIlWThza97pNS9gXgA=</t>
  </si>
  <si>
    <t>MrIgxPkqOTyjDDfDaRvM4PB5ekb/UnCxPgNvtKfWnEcxuSRgOnRsHQTwayzwAfUhwxmRxWntG5UI5+IsAyvqMVYrXfrTVRfaoJ43uhgmfjBy8HNWqVjvd18kZa1PpMYKsCC08RZ1X7qCUq5V0f40kgUTaxIJ4A51vdOnotedcV5mQ+DdXYH99Nbc9qttRu/weOxZpf2HObv3C8UUs06unO/eumHaqYmn/9JwCmGKNjJoEZNWrWrVw7hSx2M=</t>
  </si>
  <si>
    <t>wbiA6n67+gvd/4mVOgPHXe7tmLEzMJdE5hszkZtB5aR0UeqIcjdPxgoosoRiRmbkqxX0Os2OIjFnAr1HsmhkM/PadmTubSG3e/fwpLjK9tCrlHVpYywpa7or0eFwn9xsJPleHC72ejRucvFMnkfUlewW/qBr0XUavOOOe1lrf2rAs653y9NdNHttvlMd1yxNYuikdmZPb1Esaf8XMKLLmOyvmtj0yTW1Ww/xMV8pWHz0w1GE/6XKpf6HqL0=</t>
  </si>
  <si>
    <t>alygYDYzf0eDGRc/0wT8KfaeQXkVCK2imw6K04XVjN0BPPkXRswW5quD0I/uWGhEuiD8QwejsoIhNR8ZtyLPAX4ChOQOSF1HVgSmHjUhFLBnVgNMw924kIcGdQzqh12RJnkWZ+jimtXsfTi1PhBtzsd7xqBB1+giCB7R1QujeNsacDUfJa57zo7/C/J+tRrmA3/P9cN6/4qhSpw0aiOPCwEcC601MGuv3TLSgp32+XCVcmAq9Y1V8wByW1c=</t>
  </si>
  <si>
    <t>RBU69Vqig0mFuiVC5UJTMBBWSr0JHfwmLe1Sv+hl7Ti6Q7QUQFFkEWqozLxHHzU+H5DJQ06oW2idE/AgQMwv9Y5Q4+v7HmgpdS0lZk7uWRFYAlWK2XR2w6rq2ymLVlI6HJt3zLImQp1Q0wtJLZi3McSdPKCpquXSimLNMwycaQnih72AuedPQcBL6f2QWAg4sEZGuRZDszbCvjiuyX3OMt88fWJbT83webmP5HAAog/HXns4L8J48yUmWdg=</t>
  </si>
  <si>
    <t>K/kxxefcX95FOtMGvs3waqEh1qidsKDISeZTJY/2CcQy5EvjgQH9CV5xWyTq42Nr9vy7SZ8mG5ocz5iKmHzjQzylLTxYDjqpeQ+g6sb3hohoiMwK7Pn2xODnJTPAVhGo80tDrIjy5jU5qhoPieXs5gCR5fkYM8Cavt+qluhah3yNJ9EF7bdZi2j1w/9XPH8MCNOPu3pUC8BuQlekYmes0Y+HMEDf63JPA2vTigi9ig4kvQuYIE1Uh7ELXIA=</t>
  </si>
  <si>
    <t>Ff5W2h2i6i7f33/HNWC/TSqN4QFnhe/F8N+mVX6RjKlVIV6SxR5IVWkiN+trfPrSm8hQZHAdv6drKXnfLP8Tqm1rV47eGkMnF6oq3DNoyC8LMNWnMLeZCn7h2HtbzDVy36mUzQiRLNpX+RbLIuAyFoDTbDNtQUArSYwIs0CVQPVbfJMVFrrJDhPr8HSiAtdu6bQSVxBC9p32T8W6d3Ns3qlU2m2lYzuQGA4HLbfTLgaC2TDkeLlsn0cj7Yo=</t>
  </si>
  <si>
    <t>mA6A+X98Nnv0QnvUaxKxG/A4bVw8Vq3q7Nu2nDkNOt3gwFzdW7jbOkFSgJ0iUYe2Y0G2rdhOFdEIJEncNqUsJPf9tWfauVlbWJuTFVNVzyhTJq5ngELHJqxRscDbeJRpG3rP34OTD5UnmfEuM/VZGIrsO9oFPC7CE0viO1n/f5RyeAfFEnlkv6um4QTCfsZBLbL7tEZpjUy2pnkp6VtPX05gIRcdRfyncwrgKrVF5zMILwz5esZkCxc98IM=</t>
  </si>
  <si>
    <t>GRmtv8I3YXY2qJcZ4tHINRbp8rncz5Qtnzus5KB38PwHaS7Yz9McpIGgxmte1CVHuNyh3SDeJl/SQQBpL6K1qTjGS7jaHGUT2gZiP2ouo7dKkLhLkNFPyQa4HmwMfvHLBOkk23ldtWjVAegTKqQGkps46ae8fBem4lnn4qGJtFofAeWLHGOM+eGc9LBximduQpIaUIMvSd6qWKCzAtQuZxxgoTHWEWehyzILAWtTIupbLVQbbezDhmBWVFk=</t>
  </si>
  <si>
    <t>/rJCVnRjVE9CuUfBI6pYC5Ja7jvS1hgQJ5J01mBtSXaW1bBGryhpadRjPzEw4HLJGP+ri2WNxbRMDXq15khIPz49kS6yrroJZi8ukHE5DKLk+fVwmDaT6Ah73f89bUrl8IlhpxKuITxTPqFcNgK0LWZ8TYFDtTfHcSSHgNddyDCyG0Xn85wykA5bLCdsXSEconQ5QiEyLcHGFYK7BtswD9Z9mBR/guTxBm7dADQ66egHtAUIRnyCc3E/qjI=</t>
  </si>
  <si>
    <t>XDc4mCCT9iZxg8lwm1bO1+r8KvZcHHR3tPr2/5Dd6NGCsnD8uPWUHBtsqT9sQjnctduUEwoKQHfx1hmPKiXrsq/8QceKnCilYSGKm5sZqJeLrq8ZSWynpQS6SdbozJWASRInEvcVJGbRHsp3ZE8IBYk2or3wOZaluWI19HI6EGF1kodc/LRgTwnJjchInfthD5WVrGBZi2EAYwmXZhjMCuAkerwMfmkTxXASv/LrEFiWaBqhpqwVMWcD9BY=</t>
  </si>
  <si>
    <t>StiSF5ZREnMOsVGKRADnGITm9a1q/NKuWkyhSMWaJrQlxDjE/O/XaSZqeztxc852WUqjafnfzzPx0bnc/8DVliI/MYJ57T1aC609jHcv3IAlD2sijFUA0H6BIQ0PF8Cd/MBhjlTiRVjGdGzA8Z8mCoLewNwO98uJdvAKJ4Z0ig+0WTeg/oHB/h3mYALAKmEq3w3++wSk7edkthqG4P46PjVZ0mCN8P7Jak64xEZFKP2mQ8qWrn6eZe5FMck=</t>
  </si>
  <si>
    <t>loqtR8yHEJr5GvUwyg6TDR9Y1iXeEdt1FUMkWDhx45dAAOSkcPlfxIEpA4YOEjvMSPgJJpumc4kSH55UlPBStw21xK+zWm/BCHOYova/f0oWmFUrMiuxfsgDk8/iAgpMNL/DdEzQa+v0ie5hgQG05fIRhf1+Xo9/+e44QM3b2nWh7XAPW8/PXko76bz0sgXdct5+TCxpsxEQk0qx5Ngkb+YxdL0lMo5FgDj6na1817wwSDGm4biaWR2dKfo=</t>
  </si>
  <si>
    <t>4Y6AcEAZYbP088bTWZ4KbZeRApXL5vBfOsQFE9UaIc5tQTXhIW3JBCVbuKTh2WQxGgePq7tY27vfkp28WUVqHZiPVNeeSKQuti64cFOAti286wTg+lZcHt0kf84TwYZUm0K+P0/0IDWtD5e96VLvP2mCynoELP7RdFwtbM0lz07V4OLVHCZ1kZV7EKRIg3n6Zem+KIfbgO8ltikBuNQpPWas7WPPOQQgzQIcYV4+tf6XZ7TvSaVybezJCBY=</t>
  </si>
  <si>
    <t>N4fZ1M6/tQyI94NfYLTWN9ddfGyQo1MBqATdF3WpbuAcp6Zub6winkRRrXyaDZFSy5t38tOz5iZf+C3BN+odQVFEAW2ZloN0Au+UxRjvu76UOlB+Ka401Vyd+yMZlAGd88w39XMXrAJMOyl7v2aBiazKrqGJTNYQZQvio9zNi50pqbQJJUEOYixhgQdEUg11ijkrR36X7eUpnFhuAVfI26bcA5PKZ/GrdKlAA9E6aTCL7Y4/0bS4RvOy9Ts=</t>
  </si>
  <si>
    <t>PPF4Zi/dXtCD5kZkeSir2Cn0WYScPzU46rtE5goZHjCPC9oXbuGulYrWC3QDnBf/OV0+TPkr18KMeahX+9pqfGfM2OaB9eHcg95M/iCzatwRnHxMD5FQ4gpZ151i9gBWCr/NkqxMPdQ6tMpN/TUhAAiixOVOynqeh2y/rJJXjZJbeAgokRm98emRf89aHb7Qw/HxdkD6li16WYtPWg90F5GxPEW0nWw87arvBEuybrVu4WooUEDZsB5So8c=</t>
  </si>
  <si>
    <t>h9ntKytGtCRfko+ehDK77Obi6KEzgX9O/ymcm+52dlN+TUboup/0MTs8b3408AmO3oygQpUbxwJtQ4jZimhIbcvGlu5U7UKjVhlXvyKJ38avkeLDiOVd/YZCS2rJVpKlYJoU+HIadSaXxKO8QsTKS12rp0+mhvG6YqMKWuS08ngLlJSWDgWKoaC5euFPG6znxYI5nS2Tb+nkqmR2PGNvX0kOwWCZJJMHVeOrxjidkEtBNbcZMw1L4x06KMM=</t>
  </si>
  <si>
    <t>7CMz7TCBOOGkzQFbRJ2lDN5qJNIVplWWClzyEWLKhubGEm5u2w2z3WsFdVY5k+jql8SKaCI6p1FdqqIgAEwPXbuzbpK9G5+rlmDR+DVcSBbxcAwzwWILkaK4a80CeN3HCAgsHyCd6aB2KCMEu8bk1yYIZu3MvfKliItD5lDak7OptqPMaKz5UE1r1qNn/2z5GHBccwWQHp6F5487zxOEK548pnUfX9orNq5NTn8+9UZmZG5suVZCvuHCXAw=</t>
  </si>
  <si>
    <t>LqfI+Hl952Z8jgSh86ujX19s5+I6XpBmX/0EjomcTAZbddOkvgZPeKXdb8ZiZCXXI4FdOFiROXUBBHT6qp22RG6lXjNWR+reDwNmG0dn5KY1MIuLZCUKEwdff85bxi51Y1tfkTitG8PaoRjZSSoZ2CA5nmh3AyEdycurVlX6k/QZyGCU/0fr1sA7U8Gbe2yPfp30gbi6rfqRcUZgc8DPi4RENPf1HO6SPZiWJ6nhc1lIuQNiCimoriI/EQU=</t>
  </si>
  <si>
    <t>psce5/fCp/8N0yG8vJErqtQXc6YJmmFfiUItV8f/vOBZnEyVtaLYSsRNXt4qrl+RcWM9arfz4u2qI2EuNk4+FS8h0jBMpmTc4hKMqoTvM2IShyGHgcTLAuNhfFgNhWmVECVpR6ZER/2ACkjA/6jG9IY2V6qj2s/4m4GYngAV28a4Oyn1lU1B3g6FYfT2trO/O6S+aOjNiFTi42S9KJYdWBiKbb2ZBt5aq1i/7WHIQNAh9dVh7BFTEfx7YUY=</t>
  </si>
  <si>
    <t>DjCN309JhGoVtMtu8rECPf51NI2+fFWDcYtnWW7GjTIGPrcGhytHH9h6VYOGigFFlrPN1qnhddXYU5E8qRI7GlENimI9YNKC7zAoQwoJiuuQ3/rRLFZs7I0STHYZBu0tT1er94E7cYNgVZAF4ACEQn6Yjdz86OKhugt109J1vKiax0bAlA88poIh6hlXBj6X8bVubJZ36ceyqsAjKMb6IutOsRyGeyFI2lQ6lIdwybQcjLgTysedALKE2Bg=</t>
  </si>
  <si>
    <t>+UKJo8sOrWbVd1MtcRcLs5FGvYcLoKojgDqhMLV5i8vB/NdydI0E7r81YlzhZKkacF8juxU/lE223lHjLWNYoMBnnXHxDOT+bOdwF/2uG16dtyuQo2ucpij7DQhP5DLJJN3KXWoldn/yK1x+LyVb9w4EB3pkLqooe30r4KvsjDQXoAP0SiPxzFFdn0A7OgD86+D0Kh0eYvUocklYIlGpxi0z5YnDtLvzaip43v4Yk3n4/WMERWgZxKOso1w=</t>
  </si>
  <si>
    <t>Cp4rMaaCuRaxF8R1crYD5tA31RKhtSCKpUh1kHivAvHo3am0QyB8H9GVZUYaWaF9/FR0admJYrl+Aqbp+3pWYSec/OgspZYKp1sQQWPc7BE2J4cziiL7Gda+mUeU2NhgU1cZcbjS+0z8gRKCMkMaXPDOwm1zCbvqRjmppXhbUjUEtuxglpk2RaWrS6QquDh1NzTUlBXpxNR2mnFfRIMNgPTFkj+BlFQC23yJveX+o3lQayZqtVr+9Oe/hak=</t>
  </si>
  <si>
    <t>y3IVv4rMvr30gP+MNwnwDizWMuwp7qSyeBlq4/AXG4Ilp5A7zdqwBoJ72e0qPFumDP+MI5CUJY4F8bKAqUUYA8zQABxbpNYn5wi1WPK5y0ZGWuH182qk19M4ptBGQeHa5FIHgdWVmnwW5UbM1Tua/po6wDwCInTjOGyOCP3+xT6x+m7f0eaYL7X4wIhmF6sc6oFsHnRQVyUqgtaT2O+8medZK9Pi/wVUTDpq46c1Yez+IytdBXRNnVo6l8w=</t>
  </si>
  <si>
    <t>LMe2gwg5rjyvvZvJ2rl61BN8sMsTnXuQmsbERYO5rejRmd/P3NcEEgAn7JsgXmVJHpNyP6wtrMXF61Utmyf3JNxYJ6MnQnwZMk6hcs3njygklsXxjgXmyC2iiX8uQB7sir7MZHkkRSgBUZr4/fvNc2j1gm2jHTR3gWWpLLGXRyu0jMgN4DFLV85D2EfqUjX0E2fcPjzzlypiby3bNmjtoLN7Z/rlp4/Zh5d8UifDDpS2rK0dW+XKHG+1agE=</t>
  </si>
  <si>
    <t>bQqkpaz4xyIWU7PnhPiDxtyesTHnMXDP39/skIS0Y0w5jVOy9M2S2AcRoUO4ma2+twEACRdmleiUn82/ikK+3yuFQ9kboyrr5n7MEU73pRohcSz12JIhQ7OX1tBOjopVH5eDgXIArIQi24jaRrkdhfQu3tJVzL+HK8xFF3fcuC6Hmzb5YnPifB5TVIj0tQPKOxAiFHBHxIrw3ci9VSEc7jdpLhl0CKMJxjSTBmgsmJxoearp5J+OCIEV2IM=</t>
  </si>
  <si>
    <t>ZIg5VH6CfhTwLpHCUNjNEfZc9fikkLkQc9YNVV4m+3rlsN9cyg2LFcy15h44tVVaYaiMYmnyDpXm/SGPt7ZPVXuDv+VG2sABjwaGbDEzU9nWMJGs/CxrcsyI7y74HI3YyBGueG/IOfz4nd1SXHiD99JOJ/UeIDCSMdYbfuG5R5QPTU0mup8I77t5EuHlDJxPMtPp24agpaNjAofAdN3QzvuESu3sbnELqEKSarZ0cWxkQd564y10mAKBhQg=</t>
  </si>
  <si>
    <t>6NZvH2VaXETkC7SiL384iXzLHNAnuM28yciDW1Jl3qJb6JWMyYvZPyLa+1LWPiMF8aUnVmJ7nfvBUqLTIJyRKvm5xEVQuvQIryfJdzyuTLTS2iMCME1brhgEMnKIjKN5RmtEfRt9NTtgvlBAG0tOosQMLw9N/Q0DvIX7pet99oLyxTqhKWWyd4SaQgwxEqJtL+CPErE3hkM0jyee9URceN9NmolUq8XhBHaSsIlCHazJzHiY2FAfUUU6QvA=</t>
  </si>
  <si>
    <t>U9viOatZdfiAexXIIlC/9eE0u2F5D97nmd9ySIrxk0n5QueQTFSbEIWInbgk5CMNYmZrRUpn1Upzq6Udia0kXiX/zmvF3TGbtz6d4vtVB3BkBJ67PqYUfhmjrSNvGS7Zu3UP9Gm02Dn/t2l14+EfxV/1imI45CgNvfOLkIiqnlEpVa2ggO01Zyinv4XFylhxEGGTH3C2suLSL6c42xDE7y0XVsB9c5YOg9MQxTQ9zOHXKtwlivV18k1I9Us=</t>
  </si>
  <si>
    <t>Q2BiXR5aY88Y8gtWq5zt95XWkV/z08QHQSY8rFOYVBQFEuT0mF/pBRQmSjA+2PV0U1Y2XBTPkIeM0wXqOQWE4Nqs2bEKqDd7X7LGVZDqiZc+6N67Xxz8aEHu+C/rtiHKMXq+K9w1nzB1+cSByhKwuuZxTZPpF5146MdknAvmZ6cYXRs6sOjik15i+FmIgoezxrsGJnwVZgDMmfZ3+Y51t52mIGXjtu5fasgOvfVSzZe7FPNO8pjg3M38OdU=</t>
  </si>
  <si>
    <t>+meLw/x7Tn7TU+0xH11QTGxCKHYqdG8cW0TkBfXwczPg7w5awAWlJnEMiYViqISvBho/ggSIil/sobbKnXNPdiFAEzBdNdxZzA6VYrY8zPCjj1DxxNc1oVtrlMhOw2jdsNaMygF3pKDJzBNFh4hDeRtw6U4UE+TGFW7f0c/Vjj4W1+jYHSW2QLMQU6IMy7auj5jd3wQGCM7ZiFBTiL/4a9thbwP8qfYHvj/Tfv1n/Gqs2oQ4yTidq9I5mfs=</t>
  </si>
  <si>
    <t>y4ASkagKHNtlaDjye8ol/wnw+2sOKa5T1zchb8urfAbH5j2HvUCYbHdjyZvOdAcaDyIHpYUEuC6uh/8X9tqYCxBEO6VPAHELXWr7C5rFbsF60p/Q9D37iW0CZLFEkD/I60X12Ire6LRyEPB6ch5HF81dbPl/cid2FVmzaAAY7sF2rlq+T148AXqOuyAsyneRfZdZ7aw0ozFXdp4sI4HEjj0azoZcJb0QwzFz8cVsoEZM8qFFhYD3cedPhMQ=</t>
  </si>
  <si>
    <t>0LTtmlQ4eXn2KsiQC/phJfTUtXhtteSOQTDBdxwJZXV+J3H3DrIDi4fCW1D0JGtE2tw9Wo6qbMhBoG45FAOggnccXLBe6p9d2tiD+P3pkZhUUOqV0ArjbF1bgVBumlGXn/4u2VD2Va0YmmoYe7QZIXNUjMFBP8CgDlym9I2C19UWfXs6KMCA9+Xdgb7uuzSeHENWFsRgG1A1SXNAlrIVWBOf6F7tSWoSzRn4PyHq8lxRyfbgycfZHx7+nj8=</t>
  </si>
  <si>
    <t>vAXvwmKfNFX5caAJoYQOoF+wUwU8VqpSFrEyVQjp7wQ9HLtPYqvDIkCFKgIgY8oGRjtKSciX08bJpOj3nXsGWkAwsNy//ZdecrO7kv32d4WOMU0FA1YmORo3Ipj8ckIcxZU2K+yyA0HHOT9Qse0g/k80QTt4fvTUz6rebzsSnFQN1DHksLkMaOr4YcIIg9vMx2MXoLaXrV7SZp1qiODKs4X1idy0kpOvmg7YneZ5LvBAeBdfebwI671r0hE=</t>
  </si>
  <si>
    <t>VJm4Q7/HYEuw3vszOOlrfOQxB9cTk8dIsQPuIaT/c3ZaB4zJoX7zuSsjq5ivvG236fiU3BzmcsVNCruCPE0tXvP7VXcA+b9WtABAl4yRxx83c+mAGOs1+IXuRKqGfGHTZOuY3nn89DEfz+0BmtqP224w03dexuRAwltjiOsG+aOBkePG1ZEsp9PT2yiFnuxSX9+ftqD0nRYgjF1uVlZxzEzwCUFxkUEePVP4HdmPY8q+cJZbyqS2aqXNOtY=</t>
  </si>
  <si>
    <t>1cfjA6epzcin9k1z42aLPAaFr4AcO15cYN6DWYZjlfVZ3GVeRdxl4v5fswSxvDuyTN1lC3pa5Eea1choF1RoktuzvVagLHCxyTTb/jDB3q7ECwuf/pGygvOfdIzURrZymbYca63eumcpzmYyOoPtZ0JJblPNRzX79/SjgXvaq8/lX2SMnUgDj/2AO+xJ8/e9tDv/fGaq7GfYumADLwp1OK4SVCZy0UEj5e8Ca3oCEgHoKkmHmrpBooraIHs=</t>
  </si>
  <si>
    <t>aw4IPKgjt6J/n7/BgdJ+XS/66r91KOlejInR1zeog8rHt3KCZZf12y4ndvjrG2Ff98Coaqt9AKE5jcFUncz/oAVQqn6aSFmgnK0gcURPvghXmKl2TQk7e4A5uX4LO+8GQBaPclbqMuO96ywCShBO3AIeQADVK+u2Qcslrfiyxpuxsyx3AcCz4VKSEzhKmd8+70gt7pPK5b//dv8sVk42Gx4Z5MQyoiSjz+H2DP8hyISibUcWx94Kl/jYyAA=</t>
  </si>
  <si>
    <t>GugblqKbg/RGj1Xq+b6IeToUope7wIrdUDRQfyEdzwX7NUHTaJWZniUViZf7B97WUO+mSHelKSXfTbc1wXb5G+IsmeSwDt/1Zwuzjh53d7enntAHt39LdKNsmAIdoMO/0/+XVT624xThdtL5Gh/0MeLYI+iUt/JJ6Rl9CsUqXMBfXs9Tv8WM8PkYxeWpbvHydmDfLIP349fCD2SyLSDKwcv8yjW7WtDzakAVDLSnG7o08PNzksIVcPA/6aQ=</t>
  </si>
  <si>
    <t>TBPz8oMVPMu/0q+s+tuXYbOLho7WuugT5bBAZEaslho1By+G0vROK+eZOur+00I7gWXCIZNM8tKQtqSlwVZXxTnve10G+z1TqmQO5v6FYSvjSINU2EUgDn0onOxF0VCBJR3TEolPNlomXBBxpApfcJoweWyFfA89ngwpTZrx7uKVcVRjM7v5RoUjlvNLoXyVt78uK/JGkXeCj0/bkxgCeLne2UNPXoCHMAmDv7A/l7IQeykOExT1nwL0A1A=</t>
  </si>
  <si>
    <t>FneG9tZiGiOMfMgG8FtkJJNPrYmMUeBW8QjH0T0rMEP8tIhFXTyubJ9Q0pZMYchlgwdyKi+kiXrZV4iDQO/UWF7vgXFriXuzih3FjPp7BBmkSW2yUkk4qP0385iqFI0oq5ElzDJZY+O+M0iGBFurnCrbY2lglbcwCPezd13JCesIwaBx8Vm0J9B2otm6pazszQYsB4B9eFhIu7eLNjc4Q3qP7OSiA3SqX2ypiz6ZCtBAgt0zZd/N/E+9Clo=</t>
  </si>
  <si>
    <t>RuqicvmhTXFJU5EaNiuET9wp9bC2X/7uIYqBB628JCAtLcLHmYDrMgQ/W4FAAmznnpEsRErc38dHcl/EYMYSU5sFMMrPJJi9gRq5kmvuO6w/YwzYnpzqH41VKxbeGmsdvlNh4RP4BO/HHzUXCCirIGGjyMgwsNL8Xp8Yuxx914CzjAcphGzUaQZwEEZCHba3Fpg9uZLwA5SB2M3lItasoKqeoyg/jOX0v4B6LKuLzrx/kAl4HX6kMUtb1gk=</t>
  </si>
  <si>
    <t>sxo1ME4hDttAhG5tWJrj1eaopVqt0EWDZgqOghq+8a+cQ1lAPe2lMJ6NHec+aHZSgruOgVsbKlAl2Hr480Usgx/q7YBWpaiqTNsGEVUVGl6D6VZitWUIZxW4q6tK8xvn6HwIW3cDZ9lfZE/loW4b24y+W0D1t39B0eHel5cvdI2PXncpaw0MHtltvhLD++5PJsb6e0YRtSXXRuSf8YiWRwq9/pcXwkteAiH9GqHod/Qft+Xm9JmIcqRt7EE=</t>
  </si>
  <si>
    <t>TyMdafcHHblGEMMLdtdgyfnKwnU65KvQJJic2oBq6Zj/WZRZugGHpy52QHKLTxdYaQhMKfVvRKdort7u1aHZOX82pIDQtgtFXtgipgf4hUzZeP8anTzBiKa050AUXFFMx765PO4/SNWFnLYby1jr1JE0FcCfE5dGPe9TbVQypuQwZ8hiIuS0ZbN4Ha4bt1EXoqeqTOeiGHgqZ62LSYzBoYfQF+KepXGZCvwHItNKbilTL+B1zXZpUq12uFE=</t>
  </si>
  <si>
    <t>ZYn874A6c2vf6mdoG8t8uwJGB3Enhf9NczC0NFxW9IiiueMl+JydEhRV3+Ws0TjIYV4rM/Lg1/+6z88RBD2y+S6NK2yCBKBf1tbO5P+GTU/C0pcQFa4lP15gglTPkSbT7q2wynGXB3Hd5fas80SQJz+5V1BfUC7sauNKpmiWxRdHWfoy39qCqt47peL2Bh67u/ITCqFMHBOuRnbvjHEqAV92kNjnd6J3YKa73EFqZRK21rHWCQYdATH0fxo=</t>
  </si>
  <si>
    <t>TgDVrpuPE7kElbZXHuAVM/J8KwrktXgcc4Mf4GavQG015n9DFZNmNqg/O9Xl6JXxnXZnwioM/3i/K8bIWF8l98FZRUGpevLaxBSq8+jGG9dPVfBPq4Fu2hin4jtPc8bVkUuiNMPDzaJzz5xbzu06wNEw8GxhkVwgjp4WYWaJrmqk5Ov2YJO48tzki3g+mvhxtA0SsbtFbUctm4Xo2zRZ0DfpHVHNZGkknjmUWRB1K/NK+qEvMl0Pp6mtgxA=</t>
  </si>
  <si>
    <t>mFVGo5iSGZV+57f+b3KoFR09oitrZa5v6RMMtVBdwptUwaWPerRqRbeasoyzZoMK+dDIUomoMM9z9MozvF/P5xLPDF8ES3rOIuvB0Hn85e3W1h02HNJsBBigLBv7K4sOFerHQNBnpYFqc4Td9VoLDzOfz7PhI8WSWGv1UNjWWTSJiRNdBKHSpzqoD6LLv/grjCnP9ATznTRwC7wIGK0ljrKUI5p77bmcZ7tlWwZB9twzjalg6V6hblSeSwY=</t>
  </si>
  <si>
    <t>EwC82khERQqjErWI/Owk7lV5w/8+xN7sd6dhCYLb0skr0GkglPs30xB6ykjyvhXkc5UybSuKX+/tF+Jhnxwwmwz8iRBrzkYedC6sSzdsopD+nst3QKKA0mhKAu44DanY31InigUcya4GGeigrc8Ws0LO+Ymrc2MpXvrPxlu7xtc6g9iU804/NKKeivZ9IbAXPWaDpxpcwxar+PJ0S1Y1cn4phl8j7dvWA9OebkdLY3DFptuAf1k+/zAdjYU=</t>
  </si>
  <si>
    <t>LlyWuyfRNy98ljMeFD4JwnuI2PCHXoCxCz+qdGpzzsVZur0UcXPrjkej9L/JzLbQ7EtGmP+rGUzJNattOtrsPMTQKIT8GOvW1GHeZ5Vq8hSgS+YuBBbC39Y0nkxrR2Nn1oZaG24NguFOI7JtCjh4LXv0QmqIX/22+20YtLpL0dRUoDzT63ZLQM9jGLS3/rVu+kx9fcEpNHzGAeX5vj72YCvENw6FGLi+Me+i4h4FLnN+VhbK50ohNNTswFU=</t>
  </si>
  <si>
    <t>l/p2ATFIxc3TBOf0r3aFVUwwcdI7CCOo9esD3Q5qhnaBxZFD+naexS56d/XKlbycYigL78/j6599GvdZIaE/GDLAyo8GdYb+fODhS2srTKy7zg3Wt2NQ2HjNA8T5u1f61utUhbfAfjZL/PCYN2q4uSpZ8q1aV4mcnBaA17er+DpFOTXfb5gSe14psTdnO4Lkc0VA+mkiiWc0ScTWksge+MkGnBccEBTdXklCCdGiwQFM4fz4jCLebBYWBrA=</t>
  </si>
  <si>
    <t>X8TTfBUHIMjwVuYF9hyX/+j4Ww6ZcYpqTbEXapEJLiCo9thiFAqKyrquocqD50FC6Z8RfyjUiLWZEwTgeniilu3yRP13KbyHtxxv8v4CVxSV2wtYgUnVnfZP6Q9bxS/sxswg0AlrDFcxQFLevh8IGATk1doRxP/5tYihFhO95NjA4K90aEO6PA0jgVPnoa71YlaJRqanRN8NnlEEfJeU1t2DCUFSVcVolM/DU7o0rHxCCv3TwFsbtB9TRW0=</t>
  </si>
  <si>
    <t>2+fJsA6KdHi+bhHjkcsz0bAPDyEMnE8zVwz3vLMYAvfJ4yj1oiVjZqNI8sgeA9NbSIYgYzIOnKkdgcq0KxSx05LMvsPWk1OZpVvF4EqTcsmo2vNJslADAVMuP+oHFe9HGDWby5mGKWpPdJGI08HTW8wXSmpxpPtPf4wef5JsKZTzBG95Kukr8seyiK4lEUN+b2rJJujVBmSyhqTBita+DpCzF9sXjSNrN1n9aJQNH9EpLtgpCr6EjgwYTV8=</t>
  </si>
  <si>
    <t>7jyBqngYCFyfLmc/5O2lIAwNFwEG7Opex8OHGr+yCuzBaz+dVlHSA3iyGmmRRY6pWxG80zEsBmNzn4SFs7v1jTelZCWvoNpErOc5IflIbUzsCKgvlW7PuY1T1FTf4w8OEm15hrTfE+P6XCA55d39dt7tL9E6Rai2oGXUYhynHdy66JaMEskND2opTkRG1j9q3rQoz9oIxIn1uWkHtb5NY4oOl6XOJ54l9HND+CdU+rLkIqZw8BlkNXNUGBg=</t>
  </si>
  <si>
    <t>SgJeMuW8FnAsVgsPELYqi5vu6qPnMqepMg2eb6u5v67kB0nO3Rx/uDN826DKWhzNcg7d6QDcI2KVvlYVgOTYFf2wiKJ0R1RtjPfpgPlFRa5GRlK1Jv7AHxvP2Hk1R7LhA1/s5QlClUu5j32BGI0fs40nHqftdSVn3wQMNEKDxk1QmxeO3tWaQZMM61bKONmk/PSeAdba/e7NNlXTiCat4BDkjBbgLj2WFLToFh496iDBNy9d3Pg6Llr9oeA=</t>
  </si>
  <si>
    <t>Vns5TcyZs6BVxJbZJUS1eCVzfcu8jQKX/DGlaMixYo0CCLATMcU1pfRg3n1RYm+462mHvP//gvDFRUrAc/zSqKWSM0zIRJeLB03xnRJyLpKB1wHVuUuoR4oXAdiF7sfCOmqQnUhKdDK5xaPGOinAUVP3ar4cpJYotxw0eHehw6kdh8XvmzAAXrhJUGYcCNbhRWsxOUB5ix6wfNIcKFQ4Q4Kkk7BthmHwAPH0tloU2iHDLQL6WQAdwzxYDNM=</t>
  </si>
  <si>
    <t>Ub97rY/8+h55PqOvapU3pqn64jlUH5HF9rD2SYM7lyrdbxr/7Bw76mwG7fX+UVeQNuyxh/zbcog30izG2LD4h0MtDhdIB3XKFCVAKDg3WdO1wwnlJJrrngBuAWh2iG6t8amFUMvtOUuPLRFs6bwwMSmEkfb3ymul4JyF8eFkxEw5hdHWDvvEYYY6OwR1NhSlKsgclqwphlmm1DGIl1V77wR8T4ibCp5irfh5Bwxh0rZC9AWhmNztHDdQSHw=</t>
  </si>
  <si>
    <t>3l0/wVdcAB5OlXntSTxtPpgC9/WZBXwmNIkJZA83DEESmcafJKOMO8miwuYIjTGtPjkiLxIVpY0P3Dfh19D1edv+7ftAHGjXgXGMJqrh6qlie0jgi4GfS5IuTYdxZrOJIQXfSPBN5E1WzaKxKE+lQR9Ar2J9RMYVdI0pSwRTW1T1qZCrdWX716nHO9n4+SMi8FQIbV4KvNDGgziRIC5XzB+aKSVkbreHCRNm+aye9ft5DI+yUcSAtSYmFHM=</t>
  </si>
  <si>
    <t>/TQUmnNKHLoni4Olp4m1byiRTqq2Ibn8AWTJTJ79xz/Z/DY7mClPsPQ7/+24QD7RjLMVgY3orwxUEoLCdJQEKNs8rGkwnfKGFFUbK8kdJXmHVYqdFhD6wNr1Zj7lS9aqYWfZ4Q/QI55N2rWscUw+acujtcVbTF6u/cTvv5iposvahZXRQ4CD/LDiQZh7lLXdPx3bgseIW6QLT8Wtpb/jSRg9SOKw8Dg6tHnQBmoSVVcS385L5+hyy2cJJ0c=</t>
  </si>
  <si>
    <t>RpowURBGwwSdfRcR1n8TOoA1ROq2pg/d6qJsVV0veRcYemZGolFPDMFjVCuPsYHNocVWA+kCIkV1QuUbADv3RIhUM11+PyUdw7nTxWzk/bStmr+ybYZFJVUVOevkmhF6PA8UNNynfykvCQ2of8yaxLHVW9ngEj/QETIsBDBHZgUtLveaSbYCXxtg16+NSuUEBGw/FCyMSqGIfqVQWRo1x7dc5bZ8/OBAZMfeEEx/IXMWEvVVmz9zkoH5aEc=</t>
  </si>
  <si>
    <t>Ph72VKnZEsuoDVZJeV7srIggjavqsPK6mjKvozGxvszgtmu/n9CuRe/uVvmE2U8HZuduWKjeM78GB8jcjUYdWX0MHF3Vdw8qa/gDThm33Rn0Hdw6qawqQgzJKlkMXt6h+o4wjc7sbm+1QUEIWMMaCeJxn626iCmmEGiNGWeJlU+Uvt2L2jfO7UowSn9OagoZEJ8XebjqOJ80TwI9UyN/g/PBkKPRDmsf5H1URxeTHXZvxLfy2LKP46VwYZQ=</t>
  </si>
  <si>
    <t>1KTNgavPBfUjdK5JUNQuUqhfLxF/z5eWQYXuBJ7/747miR88tzpH3dpCGpKmwwrYYj5NP5mVcKWLYLUmsG6ZhXg7k4Sjz5TwL0dEmiSjxsJmVVqdrCrUHskoIEd7S2XakS1Db1ty+JPeMmcDFXUrHh777vLQ1UAyKCH+GrVO2OvVIA4x4Kcw6EL+jcjEf039rReDuFjkuW7xaCgizsfx2EHewRPVTUR25K8RPsuLKtDVKZhizVMmL6esk3A=</t>
  </si>
  <si>
    <t>hlvPc/cif7D6tyNPNIhM/24cXV1+tvj8Hib/IeZVB9SM19bL7ZHOLF6DO41LmG5fZQwA7wC99JPQkh16l2CTgakqgPs2UW6NIhnhce8KTYhhACX88zqWLeTr8tfFOBaSznH2lKxnL2YH2hfgZjSvQBAci0wej7iAlCwHi1OgDlT8GVxbOGzX4jelhBt2PEGQu9Bf5FzGYfr93z3hF5GG5SmVpB+3+JSkRU1boG56Xb/ueePntBhYU9wJxmQ=</t>
  </si>
  <si>
    <t>2XRY71VRvabDx2wiwFHLBH4y8JxsS/d40+Wm2stGb9RwVF36iWCR2cs+CSoL9B8zadUL1Pxv4WE0x9qzoUwvT8bxDQ6P8gC9x4zljxEpg5zWOsWPzcCWDvj+WgvicCDvXTtMdEo9iisbKiNjHj6bQAu025l0f8YzsZuAu8JmGLPOtc0PiduHC5TVFuC/CrVZuq9jb1ALp/vlte48v+H6RgIFL3d64G1FXVosAWUxpKmSwkNqbI5on9b1XLk=</t>
  </si>
  <si>
    <t>Ce/+9+6Q0R5cIpA41HW3YuwF2VQZykkTr0piLomIxRDLqbYfFZ75kLy45qR0VzAID4BjKVCAwSo7VVXjoev6OLN4vVuxUwx6J24EKLye28A9bi/NnPQ9BofAVXFBrDMXhAgy+TKwRZRnlrArpbZErrKJkUxIOCdtvQDQsy+HMvXdp9gVqgKtTVddttrS70MzQMCD4or9qm76r3oskpZLY0aoz/Te23Oh7bSw4OUP7w7fnMl07lkK+FP5HKU=</t>
  </si>
  <si>
    <t>zW1Xx9Ant4uZ+dOzjlEEwlX3Lxatx9Ni/c46Q922PtsJOiS4jZ939e4rV7uJar38XhgsgYHLusZNdQ+5KJTsXn9rvwY2UGn1G6V5DzaJRfZj6Mp2Rrd8oKCan26ryElbBab05CyuUWTOhBj6jXsfYSdFTXgWgq/pvw+5O15jso8krSPYoGOaD3HCQfoRI9lNOcZWBwyQaiUy9Pp/G1nesQRsq+bzpTMP5K3jHstpXr1eRprO6FnVnJ7HL34=</t>
  </si>
  <si>
    <t>IhjOGygQZeShQgoW3kkX5mL2nuIyouIaZ2Ir9i1lfM0QoW3ZSp1Ph9UrOiK9y+g0LTd6u6WEHojk7/xTupdrfLR18AbzssYn5Ll6PZADHyO6sAF1jkKXBgts2JRk3aWSe4Muw2WbKcMFukf7WPxu8PYiHQ8BOhhPgFX/cYSUm0PqvI1tKpYD+R6xEK0x9wNi4SylP1MaFrZZLKEzyqUmXaSlYnHQrG5jKvwijt+KXvJ86ofDNLnBtzwKHNw=</t>
  </si>
  <si>
    <t>A5fMbHZ0iwYUhdCjKg5qs1VGTBzWOGZ7B2TDI2blC6sv/EO+drZ2gUZckVNMq4w9mNr7YD2hoXRg3KKxFnZ5s8jDRqeS3j6YMBozTG7J/aDxCM0TirKkrL14OEdiQjbzM9nBs+WQ4JXyvSn3VD4KFgIX9CKVmA0IrdgqdFFa/CYeRIO05PqXbij9udNRVMdbZt0iLkv6sN7llaFJy6VZ3qM8aaXZ47d5TmGgAwjgWru8HCAdxwNxpNzJ6Os=</t>
  </si>
  <si>
    <t>GqbizlH4XUloOZff/vG70l6SFVp5iEtpdszGDLA2YDClZn9V74yd3AZ1zOahPTeGsyepkJEnBQ4FjzJoJRTkWnlsEiIywed8xPSBhvPurQleJE8F+Fgcoy/tkNzaa1cb5R3ThqX8gmN9vl10l9nVwHu6+sIK7cuZDIrOWnVprxH2cVWNk0/fM/XpxqWs2e1Elt97594yOXiuLpELUQRW/cxGNhWQVASYUDP98Dj9OgS04c3q3zPIw5xOaW8=</t>
  </si>
  <si>
    <t>w2rrVpCVWYIKz2rvINh+vNpew3x/Dj6nRIpP7cOZbj5Qs1dlNAO6TpM5NzzpWbW7lUqKsZDWdPBH4M6CkscYMeXqzkl/Kmeb65egSqhQuDn47uKQr/qLWh/XP1l+ING/69FfaE+395L3vS1KQAdlrsKKu8NzMX9leMnQ+ckpz2tuLeB2YQhgvbJzrkDzWM+xGizNoBR1iehnOYiA/zC3LBAUuKRO1+EmVTeTzNziqaqmGUPIYa4rIJOoRxg=</t>
  </si>
  <si>
    <t>DuN/jdX8HB8viVxIRx0jIPK/vhUGgxCglWJYNhRW8n3iNsqLZe5w56clWQ8PbiRSxOGHGzbVugEt6nOHsaP8T+OcrH35K8YYXXi/AtDBPjnCy20vJ+xw8O9RJLK7k1htuF30CUrhmLZFzO0jx9CvUFhH2yE01x7HNtmuNQe5B15SUj9oo8zk2SRCAtZZhvkExowXj3IGWK3UakST6pm+dUXMMtgdivpJowAV2gp3QKcU1DFQdnIQworwm5c=</t>
  </si>
  <si>
    <t>fld4oowHTPElRWInLbEyEBb3o1sWckaHaVfeMr60eAn2oksFiQhQf58xrCcrO3zQQcYOL9rou2Zbw1cBhQEJ5THzLolTrqzi0vPBRDt6Wqvjne1z6PE/jt9dH2J91n/VumHfMdnPkHAsTzLiZ92hkGUfwa+e3I4krX4t6AGS1/weKZ/vwYjuqAxAe07cAmGMNig7786o84/OGQ8ReSatjjk3dCsjEsB7hS74dKx6FkqW4DYV4sHT50XiFvQ=</t>
  </si>
  <si>
    <t>0ZmXbDSWhw9q1J7kNY3WJSva17gRZtNCdGjJaSshUYdb3yjLgl5YKiuPObC2ruNpN6LRdb3lqzl6ZQ34TNybbGuVZlsOiAQh172zK+iMYIj023CiV9Zbw9M77ubPqqEaEOfdmNOBTpPq/S9VObf5ZH+NYVUr5KJJyP0DiifdYWGIhvPtyc0grL16OCqUUJtT8x6cCR4BW+NzJsRj648vLaYayx/8fifR+llIO6vcKnP9twW90snl7R5x79s=</t>
  </si>
  <si>
    <t>TtmcZOe1W3x9TeBoqjFHCjfgIeLIxoVO148D0Xne9FjsxYR4FA0SaMISrbKaarLVYt+PuXq+gGka4g3FZw6mDv8wdVe6RjBULucda/heeYqJxALV2JD4d4Mm8JgtVuYKU/yUJfyXZTxen8Q360Y6mEzs0691SH9MOBVnZsh8eo2sPEa5bgKLkGahquxP1fQq0qRN3IaBo0YZwl86pTMKU8E24hJie+Qzvnx6d9EZcQpbtW4QpEzdoV36IrI=</t>
  </si>
  <si>
    <t>3VHzObQTbBzGWNy1GytSPXWp+FmLaQMhcABUHV2p8OX/4rFWzh2ItJKO0rQeuml0362o+jwLYaKAXd7pqLu5z6MtsmqfOI+LcI5KSdhIcAaetTOziSu7rqwUVa19HTAtSu4QlgUbbJHkLaQYsNlWNtlImDuBiia3+zJw6ELgmnxJh/LS6jCvRIF83oHNuV0Zc/7xS4TAai6Ik85AYubEKZK5mzOR4Df1EN1fMwFiLiCW5P0zT4XHgnf4KJg=</t>
  </si>
  <si>
    <t>bHIBfEormKBT88cpWAEy4TEj7d2vE40HJAMoeqx/I3c5P1Q7AWWCCr6FfyfJqt8nQ6gV/KQntWP9Hhm7fA6dIWi15GPVdjw/HmW0P3S6Rc9eGPLLc/HQlbFMIUJdGQ5swVNbLysQjdQTuxPGqYbaIkEI8Sv0ROgPG9B+0PIFUd8vlBpEH+kdBLVtmg2OgIt7Yb9Ird6ShGAYX2zmCG0M3DDt2y7VANXyd0wvboOnnWbTcyeBx157lR8wlzI=</t>
  </si>
  <si>
    <t>X7mM0evbbzlyS6s7rzmd3L2KjSeMVhNDp3HoxmhvPqYIxI98BLxsrSgtPQFHKsYJNz/Uoh1el+8SUedU9TMBHLRZcGv5REKnXuW/T15p0nEuA6BnxKP99gmfuXi8+A5U2dCYG9S0W7ZXFORdg8ocko9RZKUVGp76DRzf+A3q8gd83miR+S9zdLuWHhTa9D9sBOZT/kMN5UMaANcS2VoSLMMVTV0jXm14mlmFG/aUiJrrL0RvEl7xpedwnXA=</t>
  </si>
  <si>
    <t>1wuhtu+WF93RjhsnNDUIE56XZuIzdhX4JZh3hNvBGKGW/0usrBQteRKXVF2V7p/NTNqoqqQ8iVjlCi0UDXBlm4tk+88uKwFgoe73Y8pjzGKiYqzWDg1vyNSgPDymyHYfdJClUQrneZ9KpAxfjAyXaWXeqvqD7/0lmp/o1jRugcUkyFetuyzBCvGclYu+b5T2bE1d0UTkCdLw7UiApmssQRyv45aoLYtvZEsHPeHhwKevYUF9IBSWMuzofOs=</t>
  </si>
  <si>
    <t>/5rcgdCYONI/+SucXaQjags09w7H+7SUxyzy6m6Lh2IqUpqXHACqven7dg6xVXTC010mcb3X1Mg8juK5RSg99VN+7elNW3ZJJGshFfbFHddOPzPnL98wvd8b0YmiyFV+F2sN50MJbGSPzi0DSkW2smQjuirMwabD0aRMl3ubPOqc/Mdyq/8CN5f/ZIBIF5rDGEsdf4oNmfCJ8T4jeyjRay5z0hMFl3iZjfMP/FwCxkCYuoNlu3lQ3fZYXNs=</t>
  </si>
  <si>
    <t>HcYbVy79ID/274G97kdwRGBxM8JN20WT25zdxWh0z9FFd1XV4rlNKT8t+q2dLUiapTNi7kQUU5qQ4z0EBfnF8WwLV58TbYmTy584KGY79msDY3SGvVE+lV8oJvGxwI8bw2pIXrnEX8AGdb0fbP9sG3A9gWM8y+Ve/0v+7y0N9PJ1hHXUrWsEzwA0I6/hp600tuedzhjUru6Uv6ujCxlsz3xgyqLNnERoPvaZPn1rGQteqVf6z8hefYM+HRQ=</t>
  </si>
  <si>
    <t>4mhcA4IIbvpEJU/vb2Wi+96pqfJn9e3IQPJZw5ZwfbOMXQxSgdzNXasgSNhDob9zneqdo9kHWVnKPRgIesjW/Amvn5sjRbw5gz/Wmp0QbUh+4rmhXm+0uEMHI79siYiE1oSqC7I6OW0Wcf4mPrzHhD2jzHGEMlpnT7wOEpgXSNchDxWux72cj5KwZYLrAJRrvaT4i3tB0ui/un//yIyQicYPb5/GUZ/g0vqqkeAYhIzXr/AVPCKt4hVFADE=</t>
  </si>
  <si>
    <t>yF2/vlVPGWloiEJAD7fjtTkXwQPXunCRbtmp47SKpt/55ULk/jOMqJopoLCGMcO+v4uwFGqeTaFHxJz/1YmUeQPESO6L2VJAFlzazLOFZLj/YBsCaLAMKER6h9TSMeW8YryoYs0Ac7248evH1uHyKqW/7Zbk0sBVOztFu8gj37Cd06BVEIXOzDA3J3ja9lwiEuPGJem0iE/XtzXIDSHl0zv7DUxDmxC8qE9zofHtHbDPs3DdICax/t0FJNE=</t>
  </si>
  <si>
    <t>Z0lWWr5dzHQLEooiKjT+NAUPAw/gxcK1WVy+5zS5zvA5o6wGEScaVDAV/68Onqk41+Wf/e4lDBJWupLX2QNA6efJT0LKaERSfchHqBudNTT2Oq35wb68ngdcu1fjWSCyAs2S35Q/t7kISDJF3OskEsCpfzcTjpTKnEgR3mfkuNphH9FKwO6SLdUABexFVVl8PxqOpw1uHz7Ie+Ze5T3nXbeQIcUv5DrpwIiVAj0JTFEfWNPelVYXPAlKpC8=</t>
  </si>
  <si>
    <t>/x/KwJ1dtFnNH8mHzHlA4mPF3njucOSpO7wCdSJ2NnP0BtPwyMIC9vwCCUgfizHgSsIrAMkB6f4SxiW6AuXSdYdPF0QNlLGFZwOhRRwsWSHNmxeb+PPb6FSI4dXm1AUFvHaRlMqUrrjwV8birRJQQ93huOnK08PxKc5eMAowJLp+fRKTVH50nPtckQc/6qfekKuOouyAkYp8u/daw/H3Q1AqDwv4dvcGWrcS9MCyt6Sw3iT9SOSzqOKQrgc=</t>
  </si>
  <si>
    <t>AiEjnGiOW5E41uxXbnflK00NyTaXpsUHEDOn1mDqvr1yXkiWga5I/cLJIfOxfVYxEh6eBqQdbzjapqYdqDopBvkivyCfNRBhtbNorxAjSvcdtKfYmlotACNU8mdg9csui9RdxXkO9JZgCV8VG4YzATUjWq69UfG5Kkf9Dsn+F2Sjqrad20KbqqKIUblqadhg7Rd2ZlHReTEqm5EVMUvZQz5L9kSBAXQyhukUDPoKlLpvJ/PR92tWflIAdlY=</t>
  </si>
  <si>
    <t>mHggC3jL89QAXWFrwIFxkNPyRZ6LQZUDsm6i28hJX3L1bbtGSYPb1LdglYaKfQ92ioXBr15pETl+A9nUq8M1zMKqXnUJlznFM7V44rt388Gxi2m0GhuE5eS85izyGR8LbFvUF5uvgFrS6QHIHUYlywNIiJbEDloxPZgAQJpT5JFSc4FaRpg+gry3LGeF7/+5deX4SCg1ytiD1+UF7c2tzl4SCwcoOGLX2rZxToRxO1DoIfY/KlJ7IMpDKOk=</t>
  </si>
  <si>
    <t>arpu0lIcdN3w1C0NvqCFaA4+17XB1LNBzC1fk/rthJHe2lfGbYdvAljKjFkEmi3arzTtq9PeAyRFOydAwe5vpKEKVtnm8NVr4nZqGVcYYDhOarYaQNkVgc0nwhMdtJ9FyTXWlQ5stCWQYpWueNiCdB3qvqq2LiCzpivpudl0mrq0J+taNhuHmeYMQ9aObu46TfaQivUh4hNwkMMKlUxuuOJuE77KP1Kpi+CNW2lJ7bjIEd7Tfggcn8BxgC8=</t>
  </si>
  <si>
    <t>DYYnSKa4IgRMB8NHeJe8mkbOnAi1MuwT2voIcwsPmh4Jg05GIOrf3Zg9W780zu+KTyuUM/pD4STPS+pMZ6qNyLepylvah3o98fcgWHanv/+EU7rjZ5i+k0uI50KdsAhl8xkUVD+xibLu1dgtglZp3tVZV0U/MrDtKRbEraNftPZQNjF5+Xn1Vd1HHgqVzS/99a2ePt7voHU4n2zVUutMmNl2pa549XIrAg/q8d5ZPsK6314zncMe7Ae/mM4=</t>
  </si>
  <si>
    <t>BQ6JkvwLXFvaK8ZtKiRCTIWb4/dLkC/lIhO3enWlOlnEilG1kiwjlrSOG+G4RRo2Js/loN/4oBgCAqhFs0wxjYzidwS/F65Tq5iM2gOBE6YVEdDtc/uC718nMeeDeU7ve/o11Zkxj5zjo8TOHOx5G6FXuYD8q7VvyjKHhukFKJKxUvVb8Kn9WjAD4uM73Z+SNUa224pr440T59lUI3QqvCP+UajhKvfWpbBCZAl4WWvGc2nqOoTTn6afYCY=</t>
  </si>
  <si>
    <t>yIK/9iAVeCJDlEWD8BW7p3lO44JcYT6laTd2gS7+ZN5Rta97UIZZscsZeNa1NryVG3ykJIAhnms8PUtxCo/sprhxkBPslwXOVpQlRG7ic+UOxYM0x9x9JRe1APvS/OQKwSvqCDPsdfyAtifrpTRm0gT2WyacyzQ+3wY18GhP7MycLJqlm93CKqPClIrW9xBS3MaP7sT5UBHPn82Sc05zMdkD/wPSyalUK1buuRt4ENn6G3R6Hu7o8WWbL3I=</t>
  </si>
  <si>
    <t>ziD/n6cIqjdlknbIAvgv+fmvzOUZXCtylQfNhuGTNYJZXsFabcGFs3T13MYu9HRYgEH3Gl+YKQodljw28omKcMzwQzVtuXPL5KPkI5m7Ulyt/YY4oZ1uTdF/Ot9bq+8V7C+v6CaMMR72AljhMjShKhz3H/jm5ZwM4eh3rJD34qZOdBdUkqPWk5aMZ7m1duGsr4HKxm9EsUb0CGznK7E5BkYBe41y1qZKv2JwHpCgeppmdxShHzumzYNmJqI=</t>
  </si>
  <si>
    <t>2cM6EJcm3pto1vsPdhDR5cbUtCQgu/tUAA6wJmz1Ib+kJ+7N1CWorTrHgkPRAqpoM3BzP30arFpkfDNl2UlXjnfXdb4Ld9ZK4KoMMOUk14wt7r8nnhRqrAFtxKT1MlRAbZlUk4Zvz+/G/cKFOfOCuR43MJzrmdet/gqpliMa42RLjcBF1Nt9ssaZ4Yop0aF8Gr8gt8bWVsfeEBDyfN9Quw6TxG/FjWDcGEWWHAzCM3fcoc9HLJU7nfcSVqk=</t>
  </si>
  <si>
    <t>8w9g2izP5/p34IU+uLnZ+C3oU37t//ELllDVisiIp2TiIi+MTuMkdepvmTrZO9jMKdLEHjGMxTpkTUHPjLBNlf0npcY56np4QRjWOZZFUSfoPq+YtDMmtJlltqBSKRXg+EC5lfhitYkAZB6ABdOrCR/l89MkqZ7gMba5mefv/PLV9PpV8/Hq/ijE1bqMT+KO+sBm2jja07/qWBbwcKREXbAYEKf5rlfktFGQdMg94oYHPnt3I957hRy0hgg=</t>
  </si>
  <si>
    <t>mRq+AeECBUhZp0OCFdWIRg22zJYt3zybFtKy7XaRe+vIKWQHtorZLQ0Ad0wnVZH41YcsEDIvZFaPQhaN9RmsEmAoQOBpxbFlNOml6OZJGvve/kr4h630FKGm02Az7JcuuXGQEK2Jp2zKwFIN/dK9ya7W0O9jPjdlYKgVKMIo79g2G4GnoniK5MFEkwLvKn/RsyU7j9pCp+mLr/6nmFhWOyZBtjCiT7I3tv5XkHsdaXFIrLgPlQJMn6tvdw0=</t>
  </si>
  <si>
    <t>xFdEym+eZh4weFjAie+UZ0obpzWZ1TqMNgXgp0R6zmqPFfJt3+PYJEdb/+bju1rRlL7z47WT2XC1X6l6mOpm5ee/v9AQzwNYYsEQFipgRZSgLrjIGNk42kCHExkp7No5XG//OueweWf59CHeRYZO3nXXL+qXLbA7K4DDLNNzNhtWuQamlkqL4RzE4f5YqVLmJJo7VrJWJJEDbR3MgmcIOv3f+G/lX9J11LqJAsLcmntxfZ5KcbQ+BZuLrf8=</t>
  </si>
  <si>
    <t>eGbacGTcdQoT15HSKi2HJd//Ooumn/kNqw/Joi6EWetQquVz4y0kIlnk1fZk4pERQsBb4DasScGhHsOiHa3vadfUOa5TVnamepLH19gZfmlXxPuy2D7TnWl8cOATrXvrWP2pxUAn4Itwam4jv5qOPdOFi7WG6nHS60Xewp2QrUUEr8JNE7lU/3nCvVGQyCCq/TUMFCAWg71nqxnX8oqKUCCPtEuzxrYMXMT7rwqKC0CSL1j4b8pJYHQXrb8=</t>
  </si>
  <si>
    <t>vcZWd4lZQyAuUIfGSDP0nCyg0bDFphFUYtGHX+cHaJpnkv+TVz5d52l+sPlJri3fbdJv90xSYrOyoyEsNAFkcgyI/Fw1+cEAgJE3kF92pzPwnqOGBdbp6mPK8hOYW3ip6fRtxFN8q/fkmbJuEwOi0h+OHk/7WR8twiqxwx7bbYMo2Mam3NJ6J0cM11OKe2RqBZhfaKEerWNvA0RJb3I670KDzaRh5hpR6a5i/mgzxm1G+ILKf3TarZLx+kw=</t>
  </si>
  <si>
    <t>yeGU8h/ONkWZSA97Ifi1xctc3qb1OUevSasyFfW8iIu8U02+udNjcHehDVNsPjK+ZpRXQdDYH9m/Jp/5Z8Ddh/HVGO1TdJ1J3aDqPKFc3X9ft80fJRzS5X5y7CuJTv92d2QoHEMY/T2ILyxzSkC0X8mTYWgcYLN+UmXltZECsh4deT9Q+bmCGTJS7WsT86d1FwK9XcKSbs48I550hwmp5OT+fHCwaTz+cFHcnSBUevL5e8pUnSaGylCU/WM=</t>
  </si>
  <si>
    <t>eZ865T6dew39+LhnmkDbYNvk3+qp6qo+UvDroTjUUaAFA9OTX474P4s4N9GdwozfFn003aEzvXnzneKEj3dvUAFPZvX1EKxoQKiGA43u0MG+7mTfxxMAZhXIMuCNLvGSko5y4fL0h3zJJzCPehKggFnVU/9BvBk1MMcFeMh4MLh4LxxWmlsztieHDp9D5hUDyWtPj9csuaZ1AVcNz1541DFd7Sx67GA+3aB2pj9tZfqvZl0U+BomA/VvrYk=</t>
  </si>
  <si>
    <t>KUaveReFjkkXQt8B4sXgZhdxLKfkO2xptDPi+13F3Kqb0+LMLPM25DWx3s0+SqmifzoDRAbx6BBsLvV7/YDLZlUI8XT9QSYKlYsiE9BvfTSFoPpsDFeuT4X8E/UD8+gicRgxSzlj7N1Fk3Yf64evNaWPZCvD9ihJvoWCmiNZPqJEohiV3UEAUY4eumTUis7T8JyhDaJ2opknENnMrQFsEpJrHk0tyx+HSsJ1EA7H+orUjAoT6+WO7FzhcYc=</t>
  </si>
  <si>
    <t>OtOs2MBYa9JVTKDpGRtGK4ty0n0fMxRsp7zieXuik4nJ6qkZdobrSJr2TDILVrk/KZuabuFqchsfRWFy4+45CcoFO3IsUH00ks+86MLYsD7MtHTjk0HXXJTsw4PFSf9iTviw6ut+I29V0y1aKPRsnHKD+tY9WLWp74Kr/WxaiGj4xPPHkGytQ2kQSYpe7/CKiutmXrtUIroExu6KOysvltVBcDSe9Ze0+WFWRYJZBhgGKdJQmDEkC2VNoWM=</t>
  </si>
  <si>
    <t>UNmMY3MY5Aq6WTFi0dyqR2y9hs0vPF7t7fAwW1v/l5VJSum+tZhx5V53esTBO6LSBnlrHdTLz508NX8JeZHJoTp9a/BVVTpieW5Z/KDbFQXXpis5OL6Oo4Vj8dwl2ImAmr3Vn7a7Q62jTIlUPaFuJwdrQXZlSmeBzuW+Ci409wDNVrUqqT5xkur0HVH8EKMOq3QvH1rcRck1B+YEkV125fpH6UIcEcLG5x7F6eU0rEHTm61eXGqdrFEXDmo=</t>
  </si>
  <si>
    <t>mAGEzNeHTKkHyec1McYg0a0RBrW87wJ4nZGMbexVEtmCwLBysdPu1f2KPB84ma8qjy9WHkt1BDDEKHhl/2qHpKXCQNinhP+CrSDRssLxPB1JCP4Ewxo84AsBuvJxXoAOrgKvdNmFSpL+iBRpjnNrBCZImcdElUVTa8ldIyJggcMSS4ZuIWcCnipdSI2UN3tt3UnaIImq48sCKDKfTHJLxRhbERHfc2ZTqnC+N/dqlYetPK73X63oyG19e/I=</t>
  </si>
  <si>
    <t>qJ4/HvOjg1qz+xB2o7S7gsEtaLtI0MTKOgWotjrdrMUjMn+piJ7nUf5CKvDbRYVdsmaZV/erI376TZFAQ7cGrzIA0cubinMSaYkvvXHjkIuBWLlB+5rObv5Q2DlPyclXc8g+5tD9q8FipTiKfARD5TmS+5wNeDcQmxGgjJCFUZoIZ4xxtMDNNqdRBX3Fk/cPgNyC1MAyMbQUVEIBltuZF1Rq/Dgbcgsf6p6lth18TUvQRdhbsLf5vKJ3EpU=</t>
  </si>
  <si>
    <t>j5Rx5TmLADJ7RSA0QGgW+6iKAg5ewSPiuW+f5BzcMYwg7F0Qcl0chFF6785lRYkTpblXbYhqA+SYB69guvFSaqEwhjDWtNrKnrlCZc01TEqALzgqBET7jXHD5efbeJ5383mVTy2Risf/UrVH0LT8OQB/DvY2abJzGjj7+FJL0OhIZoXNFBDd6qH65JGynRu8RT7dnXrsajpBD6llVaO82n3yh6PX4hdw3KS9scfBNsrwpsLSHUY7WZTFBXg=</t>
  </si>
  <si>
    <t>PMneekZsSzjs0YOlb+4hS1NdYZyflCX0ZSuszGvABS0vidlawjGmusQSWxUzMWE2/oaBwG7vlNxPhnq7DlI0oqeRbWNX1twWNkXkrI01Vglq1T6XRN7/cHIF3l9xrHstgi7j2mQJEqhFaqkg4qhfgcVtEY5GBFlBTtjTMJb4tHvf9vUrGd5hejzBqMtFfk0elnKY/UOdiDN89R+xyHnBTmOBgFeZfi7bDktbd+aSuesepuOHNW3wi1OcDSk=</t>
  </si>
  <si>
    <t>RPgNVxEzx/44in68nJ/vyulcEwDcsTlugX/Xlj8fhpynxEQlWAUEyGu5wxN55WfRohXuSnj7XHwxtuQ6S9laifDQxKqWVR4CURygUH/n6u/K6S9/7MX3FzA0CPblx4rgl5qNW6WMT3neKB2CoR/iSLIKR8zADHPE/aks0Q0Yme4eav1ZZcR9UCvxL5eCxWwFjGLBiyO7jCjIKlqN7NG6vdM5qQx669fc0kNiWJgk42UX2qKkJlOz7gJCsWw=</t>
  </si>
  <si>
    <t>PybJPWUE6rXefNvggG/K1ylCUKmPMoDNW+bcMDeL3BB/QWGZans9Xxu6XTZyY4JB2AxURDBZgCwsZeNiMHaupgFIHRNxHJA875OtdtIBK6hquqpCATSqklc4kxGdtsL153wSnlBPdqGPcg0Q5XygOIBMXKyOBSTBTHIZDG8wveOS3CHJIa5+GP2HWA0ioLkXHMgo+fh4mQApzvcgGM0aJjFG3eWeS/IPqI13/FzbrLZ0koQQzpPeHWd98l8=</t>
  </si>
  <si>
    <t>igwtrzJ0qhp/WGHagCa8Won2S94Tdc4VL8JWC8m4L6vb47FSMu/DpaurEAN8O6u9uDwxc83Pd56KMEeCAxeDLWaLX/Wt+PXNADMVt4lcRP2dYvYgo6TtW/G0cHucF9pXH8yER+IvT/HSsgwOKKsp9ccEYnYURVEkgdddeHb06NL0e/KjbV/Tsva7pNRhurOoV+45N9RKF6utwoJ9OERAy/dn3q/rkPtY6TBBQJ9TioSfL3w+BqAPsD7DbE8=</t>
  </si>
  <si>
    <t>RyIkNu0/8YSdy45hHfDQNa7GzQdNNi+3YvCzHlQmw3rIr65v2pSeaz1D6Wb3X1jQl3iZF2wmYCfU+ei2qwiq5qahd7V4vcAQMCgTlrB39Lm+cciyEdZfwjiCFU5eSYubTwJrX4vX5fBXB+fRbuTee5JGQeK9phozvIGk1+LB9e/Q18ZCNH4dwGiMul6BcVIo5NgZgzXL2MCF99rk5G2wBScCGY9fISkZm98twOV63r2tEZYlHqMrPKb6YAk=</t>
  </si>
  <si>
    <t>j1Culz/A4W2CIHXXEgg2kT0T1SnHwHSc5Is3LQ5gOkbIOQ3RLEEMXw12q+GdHXuKNxvk6KHzWz1yj7mmLwA3U+xvCD4NkPrEnXPRdCPKEnYTZkAx0dSJHOyp1YXyy3LTsGi+MPOj3MwuAyF0S2kOBptMwDDB8VhTCbTQ0ox8kLvYctL1voO2+UeeedBvPg+NMnbQHRKJ3RjKN9P/fufYOekmK6aXLOrKuyDpIgqIuL6LBklGGZ6UyFR+ISo=</t>
  </si>
  <si>
    <t>S7FrDvLTkCrPBnMzB1sO8vW+F3XI7nAkg3pU3PfwJaTxsYeGVb++A0l+fxA9SfkP6RQXdwtQhT6E4IKfdr54Izn7X8feisQtrqo/1WWq1D0/r5YXfYhpntENXQlHyCST/Hg04AyZz7a5+IA0VamBsXrDvlphQDjzTtuP7BGJAUKb7f71Yh6x2lUoRdVP+7cLG7Kf0wv7UkH7isfj7OglfPuBGXfwIIs28PcTtghfe9g0ouvGWuiDkBUmtjI=</t>
  </si>
  <si>
    <t>6LQ7zMyeUzqhQEPVVCeeIchRc6RXV/kY6nelH+YIc6MOMwYNcWL3BJFsyewvQ5aY4WsC6MEoW8QCJcZXUk+9w7pVNAXzB+zCSlRZ0PQhn2mrvn8t+JIPqxiI48tDDQ3FmjEOcHaH4DdlatGzQ4PdY/qUwbiZZs+t+6w4hQuvU2C9ipE5N4gdM+u+YmM8duJTmy/Dd0pPb7eszXNkp8Tt5xoT+T0N/LbI36a6Wrefjl4fctm5/DzsbptGn60=</t>
  </si>
  <si>
    <t>YceQkpKOIm6b9Fuqq/NzkL0dtm/2iVelbDOCk/9waAiTinDbW03jIDMF9Cfh2hSH/+F9QbRI3EjbXrLUt+odVauEPb45MA4ICCGCJ1oPFJ+/WLSNQDoqRNKi2uoOxb4bnyk/aohYS1yXAyVHHx5h1iH5AmrxYp/M7QBWsVPz4ZHGhogW3MkNQ8uqBzs6hUhOfvMljux8qWFXwLGAPev+w3CMZu9PdBks5BVLdbZKtzUohRSuHWpk6h5p5S8=</t>
  </si>
  <si>
    <t>YC/Ej5NqxWAuMDq2YqiRlZfcssPxI8rjDuCQ/cGFgi7+CMakAOyrgzo7/y4WaYtdsrVoL/zy3bfUzcXT2pP0XZA76d5inv2pqZnohbYLfU+ZlneodIw5XTsn8r0fTulgJaqmu5tmvw5B1PJWOpDXhHjtaWV+kPnSQ04FOKHnud+IeHRTloHNdRkWEAS1whEcFPpS1x1K+/c22XRXIj1jbycZpiAYt5eHomTHdQPef1BorONYnh+uQ0sx/rY=</t>
  </si>
  <si>
    <t>HiN3NrRkZ6JtSCSUcybTCmmCeM315/WT6W+JlxNzumBpTs5P83Cp0CSprkFxw2zfx4COZXObIstfeRo5idxWa1GofpNoeiq3dYBXcOiT4JwjQuAE0DtOL76Ove2IRd7VSdGB0+coHcrqpqgNSLIH3nNXKxHk5pX7cHJwhOtaj6nY9Bhfn4GiyWavH9ks1b0TUTfYdaURsOR6GEtt1TXQM8lIxhhYKBG3W9MIWqFWO4dhfQZDn6nDey7IxKY=</t>
  </si>
  <si>
    <t>ES7EvlbWFEhMxA1GRD1ucrM2ANbyAtJJsUVtq9ABYTvqi+GSQ9kiap03eMvXq2nq2Ehv2FVeNiSkDQx3OTucCdiPYScz759eRtEPlAycv0R6cYn+gtjr1izQqBwcoGcnWXuqM+bIE7le1Df81d0rw61/lKjBz8FqIhwUUvW92upBLBaU2LlOg2PAEZ+wund4COREoCYFFRPAAjc+B/WrhfS0SJ+1WEfdcSLloTawDVtajbe+xqeo5Uc4dHo=</t>
  </si>
  <si>
    <t>Z08m6nWoNsGWOEg04tzvz7InRzQPwS7DhBUgztm57M5E8/5HOVHvJ/mQ/NWxGjyMDUOWGAVnWk0PqBzLaRlRZi3p2o13I+E+IrZ0WycoUpgsg3X0DY2EnNX+E9F8Zy3YyYRv7vmMC61mdj0TkQQGzpCoL6vZjMRJsBjQN6RnEbDET0aPMV9Eg8NxmC/HOXnUxVqZE+n9EQ2Is0K4CKSF+KlChkHXBNo3757DZaKmeQWNwhSDBVVGG/lxTA0=</t>
  </si>
  <si>
    <t>cEOa5ihrzGh5e+E8yaktlFvlrp7ue1WtlQ4A6zTalt5V53hx0iXvqBNxJ+qHX9+TtVUJRUjI+vrbygJvyEDy+vLPiar355sM/I+paLNr8WJnxjTM/BAE1vbuvYaMosmJL0xRSUqppzLueX6xCkDE/LrGWY//JtC0yNHSO7h4Jb6qRWxhZUOWWuB6b+QPO3+hqrV0Kevnj8VLJBN6vbOh772FfXc09hXh1BYPR0CxUb1hcmhkv+bExQB3OHU=</t>
  </si>
  <si>
    <t>diglbOQv9CEeotGH/OMaZTaG0CyqJ23DLYRkQSwCqCwCTMf8xL/YxHapQE5DAqAz71XFUlARYUZ2w9jnP5ctTVLlsVcMxDCwfDxRd+3atH2dwW2Dm0DjH3/cykD4YmKKwS4chBVnelusu5qJkwwGSzc3dGn2QlQTgvuMPX+DXZ5R8SoIiUjE/MaoepiuULssGki7fdqUKNg1S3YWyiJvZSYVGmSkRL3kRZTc6TAfv4yR/I4QZU3ugWAyEHY=</t>
  </si>
  <si>
    <t>w/UAI3QVxNyjlx3LJHr9wLtAM7+IjCpc8eBIhCiN/4hCvHxDFOwfCsNVbYOz5tsgC1U3oOBBkI+lgudKZL/IFmX21qGeacX7zaeWizWcnX3QHlyX49B0MBqTrHKoP6/Vb/VyYwz727fgOcmIL+YAKRIGvEZE8uQ5OTWEKGxfCU4pgy+uo7UIDjuzPgO7iIh9OZvMUHA7ypG00346v/p7ZcXCn/H1Jaqp6oHq7jsGWmM/uoU/WigORbKOkIg=</t>
  </si>
  <si>
    <t>2Rm7T/pj4RfzakL+5+BAI05zQH1MJD6G0rCFMm7aKUuXrFThh01zRngTL1JBg1z4Qw55aLUtyFf+/NThTRZ9Snvce0Yl+HhJnSM6QTdRvOmNlSTPPoly//LfzjSZRWpz83dF8xLUd0cRL4KO3UENyMY+3svHYauFvjRciycko9NeiSiFGPVrisImbCMJeqPsm35itbJnbt9YT9Rwyx2vHeG22Dob27yyTmyCCEP5o6N3BuWcYT7sPh9GpHc=</t>
  </si>
  <si>
    <t>HajRIIHbSsezyyk0atDX2kuzQKYcg1JAyAN9y+wWqg/JfRwi6mfbxU+N+VTgJ9Y9iYR3iHUwbMztGKmmeTgk+OnJ3trkv9PaH3UEZn9cf6GxQiiD7eqT7m7fvPoNzzYm7Nag0a+ZsC349zlasxVd9ZB/58GLNXw4pO4HtwpnHiYL6lIkMyDHQvFYhhhiS2g2LW9lmdX7nABcMK6T+1RQPOYXOtUcQ126FgOl+rpsHgAkgfNpsNSZ2A8dGEo=</t>
  </si>
  <si>
    <t>Iu6Tv9dRvWAc5FfRGV+fU+ksKV87lDSdeTUVABQk5z8kutz6UlLAlHBUzuTcZqe9pGAt0MTsaWnjQIWCcnFVEsR9vMfeTn5sQEI6w7aqQdAYnoFhpug7v+0Nfco22Q4KHYHHOntV+L2NhjCRho45RLbv6a/+U2c+edeREFy6ORLRFYLlH92RUGTtJ+EnE6OX7b4HxN6UNbYXWxq+udokULj8BCgmi543alJL9MKifPpz4GMoCUCoLDdugSw=</t>
  </si>
  <si>
    <t>D3kmv4lGD0tIE/WHneZs1r8YMtIS0ubopcnR/fIgeAKvkSutfWvFEoJqyPOfno79+x1VBZNpE5YFkbQi8XsCFw/Gz0BFx3f37eTcdHc3J1O4CVUT6LI3qk8dTlUDuW4ReI4XBYLvpn+xfTwzvQI6PhHAKWJyKWlgdwIU7AyC+tlF/1d7D0jyGmFkAUzwVXbil3UXH8+7Je4w/KfGFAx7q4OS+2JRhbZCvX5wb/PD4g7Lw1laT3FO889pZcM=</t>
  </si>
  <si>
    <t>O0ybYZNqD10UbFKYUEZytFT9d/xndylbF72nLndvl0M3sPV4+sNDNpdh2J0k/kULmaVKZYxWNAVPcnGEk2EwPNYp3xKSgeLNSYg4QQ6QzR9EgxPQKfj61rZyasQqZqIAGS+3egDTStWdZySC2UFsAFG8uDCbstig4Bzmu1LPu3EuWCpcCZMDOT67hzkpdq310Ttzu2OMM+GfE8NS2i59g4p7Qu7rVqB7opHxuXGvN+fOLkOQxU+u+WXL2gc=</t>
  </si>
  <si>
    <t>LMk5wrbmyU4ztf7RUN4QiwGpHNxGoLDnYBsPcedoHlvPlxN4oisno5NkHZ8elnHW8PGURIDuhCw3mZMIRHNO1rreiYnS/kWuyqXHR7Cd+jIulqnsNkN4nX63579UdFHcE/sZkc0dmNfnrgK20fRYBxZTDLlUykagyh1lxL7DC+MajpvHnKFgV2Ks2jtWIqqUVfOjg7X46yDqgBmamu0LiOZwoPnFdmkSe+KZsIk64/GH4/qu1QMBKq++spY=</t>
  </si>
  <si>
    <t>vc/Dgl2Lt8pmD0LbluvHtEXlsw+TOao61slnZysh+ZAmD8dSgzcEmI17/S8AV79Mny3xEjQFhknyzWhSbE4NtToKL8/1cqzZmtz5CMHTIRV2zGd2r2y39U48zLrlJX+ujX5bLdoy5mNI+JN6v4faIhuZ9UYOox9jBhq04nn/GDP+woWdWZMct7c3XoGYf6vxxjRFjEJQIyHplqKcuwdsNNmmzGwbESpjUIM1VTmpmOfI51M2cmaavDc/k0o=</t>
  </si>
  <si>
    <t>6ch0osewijtKSs9Pvf2TsmIdAl0q9kWW6vu4V+2NMRLqSExK6Y9ysW4GxKBvjwWAMGDmQKdXYeyk3EYorSl9Le0mEzcOQmO980IoN08P55zN5wsyvk9Je6XfzplVWZM8HR1rD8gKPhY7jcl8lTQe+360qDZF96pUCslJ2vgnozunF8Q/eJ9GSpLgqHfNoKciyaN9su6WYC7eHKpa9xlKAvUG3n/3I4rb/RokMpSct5RYh2msQUYgXNUzRJQ=</t>
  </si>
  <si>
    <t>dYruVfWmYw6y3wIITSuN7+lJhNkbnSrFP1ktaG4/2SrOLDPZC6ZGFmc33d/NDLpP5i7c6vIUYZtltujSPBprIbXGaA/C/p0tWDGjnEWBWFhCrQQixJFKBHN4uSEnRAFgky33XT9sP76wL8XzqBqnvx1uzqMAYeXNkrCXHuAwu4hLVjObO9kdE8sFfsj+OV8giVrniz8E8Fn/TDLQt5SWeWspxZlSWENhFLevBdwKo4vph4UVn1VIj0rEtAQ=</t>
  </si>
  <si>
    <t>Y+NiGNo+XtqAKlCs40kaEWJxdwWW7U/SKDVjdWV0uWnSkLm4jgvS8jKBh2ldzZxGVFb0bEuSqWMnP5C3/skLSWibWWPig6gW6X727ujOOWU1hmNZYBJsE7yoYjLz9llGHRqqCrzdpqkUsxdDft04TYMp0YXbsiTOPIUSV3dRes3Xa3hn03ORcMk/nNryOyeOpI0ExDFkWyGOaEXgbemTz6ECvxTEYOsCImibw/fgYD9FDa066wGI67BL6+s=</t>
  </si>
  <si>
    <t>J35jXi7Q9jqte51GUWULpdrwInXubKQ/tK2I04dLgMB4cI4ATgBAILRNFgTS2gg3nI93zgauAwkoLx109Pxag4aAZvkGf4PQDp4GkHSwSWEbUu9cpoU0b+MwGbzj5zT+hhWugfTXya7oAWeGESRz6v9sQbwEHF8cM5CsCJQPZJ/DNgNARpJPhPBgIYahzP9859TvJmbBH87KWiNfp993P7LBEu6V0BC80Kp9Mrn91NzyXvCsDs48GVszzUU=</t>
  </si>
  <si>
    <t>ejLOjjxIVRFBEvHFN9GE2vuDJ0SWHOfjFGPCJN3JW3cJizk8BWWBpEW5+N4pj954c4V7luuacMso+U4uG/ZWP1RlTB9bf+yJkhxqBoOUzt9k5jlZ0H5ahI0ppI/P0iidrtKSWnAjaudr6j6cqkd7fVZkisX4IVL2Y/HBC4tY/sh7xFyXfm0cMSpYmS4jbSqeBW/I8AmeuuYujvO+wfrYtIOjkDbhu70Rlsp699LRLr2aiK5gWa2dqDhPkPo=</t>
  </si>
  <si>
    <t>Zyk0I9p0oKlQx1Z+qoudpqzt7qRbJJF4IoDGm9a0v52ebvQ61sVK8BTb219UdaNtFuZAZR626FoIMLLHk0mUhGnzA6dagMpLiSg24RSZiSCdEGOd1mJbNz+nqP9hRlO0KVw1GD4JrobwFTnv7CMpOd/tFDPVSwepmDij/A+bcostRA8bXojOvh/G2XWj6QH9q12CuCW9dl2d27mgPv3i8Y7q5Q/8HIxLpDHvjN4jL1MsahvfsAA9AdFKkt0=</t>
  </si>
  <si>
    <t>8FoenEEPRaL74RFZcFcIkj0HNUjHMCWjO0SyhKD4v1i4ChPZZL42kSP0EHNFvgM9ECCfgRfN99wr/1QknEvXPSoGGSYWT6/IJAXBzH8vE90jxyWXkUx05JSFDfYw5LKLVZ7weGdCtiMZT9SdnI12ytzGFHkIjFpEAAcrBbsyRxDO4NekfuorRgvIGMJXq+ar9OaSV5gJekz2uaDCOLzzQsjiUmRGgOi5dyveYVAoYF8PCUc5QlMy7j1HRcY=</t>
  </si>
  <si>
    <t>AWc+fyUGJLpQxFGyJsHSSJySoI2ySr1PNkkuElZ04TKC4w/Zqs6xG2P4ORcrfu9McpLCvNKaxiDpOprmTo42MEwiE/SlFfFZG/8mciB/65IXzvpc3HoNz8OtDbo8td+hM8N9/m0+/UF8VcWtUvYaaf6z8gqwxK4/7axDgQXp/Tjh4CbOQjRMSJ3gEoypKsIRXlKvEtLnRlivxMX7BvWlvYbA3QEV9dheLa86mNCgMKPk3klSUpoYDRuMko4=</t>
  </si>
  <si>
    <t>jTLnoH/r8AE0JwWPFYUTdSjcyMgdSZjO/bFY3UUuHXPFkiOwE8i7nmobahpnjQ/BBlgyVp7weLwsO/erBUx3qZHE3lZgdxRSp/hz0dzMX/zIwjMXOmKiOz8t27Tl97KDTkgfux8lSbC2/4WlrP2bjZxrgmE9iOqKeTdNQ6NfFy81yqGhkAnlzCT+66w9bmL/jxyLZrJ9NiJzuplCY4s3V3qzV1F/zqWppdZmzOxzqiTiFaLpF70Xwpy2ZBs=</t>
  </si>
  <si>
    <t>t4LJT+DIw5kv/XQjZvEFGThQerdDIM1TToaOXP2JWGMxW4w2p4P2jYeTV6nVfWRXqM71NUCRFrWApYyLN9rUs1B46UNsn6S4UiS822K0tKqj8Cm7FcoJwTG1HqwBP9g8fpH4rxnCcQ+zDoQlFVIROatUJNxGxchaLcf+8TB14aIeBc49vlbqpQP7MCajl9P9jZuobuAHSpLQXw8twsxtVNTlGagj8cLxlekFVMIO/IoaSIr0/uWUAC801Ds=</t>
  </si>
  <si>
    <t>CuDCiEMMgyu/3UANPQOtMrc48QpuDjYQvsR04VQ6RnAn+uAfLYBWS8FAo4MtfFpWb7fSDSbkCA/DS/dV9sMF0YsweX6WgKOUA9dOPHXNcdzVtjq66l/6NGIdFMMO+NkXnxSPCPbl356hnSi942Mapw3VbAaOnZ5lvANEIjD1XStf7WuCpTS+sk2lkKwIg5Sy9lAtMmQ4weOU1zPOwu5KzH3fxJir6vzJtP7JBOqllOespMT/Uc0kxS0l3RA=</t>
  </si>
  <si>
    <t>nRBGQVuagSLv4761PK54xYYo/DtE4Z1vuTsa0y2+1D43frgl/me+MM5fv9h7mHljv+dViSTzOpf2ndPAgEP7Repoct7VfVWlb56aXopJHnwFm/nNjW0qKSGpNCJazOUGKymEK+mkLrist9SMNV0TmPSgwGLrhFIfFpjnmLm5HPkNgU+afx8t6diurGIs4P9qbkNyphvVgzvu6OhbQER+3I3XYp7blsGOY6yvPFQtTBBRpXdmS+p4JfT2gzU=</t>
  </si>
  <si>
    <t>bykcxHl+9pRVXbzgM6tuqE9+F7CMXgUkAp57Mzl8AJby1khHipWTYqEeViabHEqA3peIQ051pB9z8PonFoKJ8VSnngDZQXuklnCwXEaa1aardpHJ1h+Id4QaMWNLNvl1NrgbT5e42Kofls3iIxZ4A7GirVQaPdq7f/wovRPUYQMfvViGiZnRweCRjX6hY/LTfNTI5ssKzfElMn/zrDuLiP4w7Q0gK4GjgHE/oZGoZklY361dyw93+7NF7Hs=</t>
  </si>
  <si>
    <t>dOqagehev5375mhKBAg3AvIbjPS11vnEHFxvYhTn2vJI+VRCKqKUfhBGw4Lbx2lfzsV3+DNaWhJQ4cFWUS8i/Ey7iyJHaXFJZaQsQasB/qCA3DZ8eY2A5UgfVinn0CCoLaYsZ8J3JS8kdHbJ0o5ulQ3FDHkHZMGqQ6VRXevk83sWYImFqP3477weLayL9B1rBSSYLuD+F8I6txjnzVJU+eWIgR8S4MNY8Q6XjV4aTeZr28bPyYHW2dD2vQc=</t>
  </si>
  <si>
    <t>n5LGwvMpw35rYenB22r7iBowxb+HXrmniScbCmWsTFFiWt1p3BgOHKX5Mi1yAwzqsZ1p3gvnNNkuxDYMIH6UUBE37iu9jw18uPxggvYdbRcUMBeXy8oC6HTLecvGCAlR6cgg8Dxru0Rv3pCJX6R3Co57bp8qpQOPycOw63OhlPBPoNz3FhBu/bYr33jOyaHwIU0ed0s1w/lAGG0kd3vTAHNNLE/e7mTsuAh6ucFtTouzZCHlgd18RSvuNUA=</t>
  </si>
  <si>
    <t>TO88j6aM5G/hJwcCpCuLGTblWU5lgE35caBfz1w06IScnmtyaCQvNM0IUk3ih9vYL+WaIwldp8lsNxPkZKoacSpvwTsdGRLxeZwa0HJHU17tbt+GebC4vgrkefRe5bxdVAcEykYRJoHgatsLlUvbz62kKCQYac7k9wdYhSB34tFwe7u83pdAw1o045EyMCqSMFYhsBHx4kKADWkhNoT85gAtNpOxUY5Jqc00ixOTn/xQXav+2N97BYL65O8=</t>
  </si>
  <si>
    <t>LUTVyiDqkerfgjL7f0Yv4K7zx2LOvJzSorjpJk7GoAxdHC199XnXsiLoe76JvpHFainTn5jHUgbIp7hRSfJkBW1hhWjo6DaRSaMDDaE4LqMrMn0VVVKoTPBUdAZ3JbB3iAbktWud0XkTE4rWliL0QhblK71XsTAiQ8uCaKewyAnKo440Qq+X79YwWaFUIo8oIExL4l6dDhBEEUvwN6SiKM5fhzQOpCxu9FvwlqUg+38Mgkr6nse+dd1aYAQ=</t>
  </si>
  <si>
    <t>xQyz3YQQuTUaco/2p5K6SHK5kIxlPJNuPdtonkQvBSRcBd0rYpPuOn7U572y4dJYXJ+lx4xqIN0ZlvjlT7HGDHAy8sPTV2LI4oqUd8iMesYDyeJLVAz8p0XXJRYCkSvV4yCD/bEs5i1B6bvd14AWqWLtoL268NGFbSK9f5n9+KrQ4PqdTQAItpD9UInbbW4BMQkr99Opdh7AYKaBAy4G4rUTy84+VXteOe71J8+LWN54iDo8BepFXnl3IrY=</t>
  </si>
  <si>
    <t>iIB2giI03o4JwH7uSPPHSGDf/mr3wlBX0qi4RuHUpnDK6TIPbVFVm5S6XntoPmkyitvxwRe36reaCv2AgCc3H4QP8Cy6eBtyv+Bw62SNopQl67793XzzIYvlUi1N0OAWKSYO2q6bCVYoKgtdE7d3mWSCWyIRHaqV7Vxr5islVkaIZ71B6vRsEP5k6Jj6q7YHXOr8lkloBgpXAVeZ6KuJgMGDKwOhHPQiN6RKMliiUiwk9jJuItgBszQbd0c=</t>
  </si>
  <si>
    <t>Iq/oEYT3yn85/PRmbkHOQ8CDPftHdXoqOMVOnXfYoNKHggl/aHoV//Cn8YAt1/eDvxmF3FkBwBiIgfp/8WUGpoG0q11k3DHYjY9LSPB15mek1CmSv8F5E4EQJnoH3hp/Ep7rcWzbFrZicZlWwP1Mj89I/TC8TbNAKyDHqGD1bimWhcn46MuEAWNFGUDieImsUAW0gCrioja7iIBIFabY6fXksypFx1bozqtbzu96nGChJEnO+MTcX7gYEBE=</t>
  </si>
  <si>
    <t>sPrA5p5fdJ/xm62k7lnLdzu54VuvU3r2t4hN10nloBPEYGWJOwVS06rrllQBXHWOkAesj7IzVQeCkXaESIgIId4fHQlbBCNnxirk3qpgvKDGguvNC/IQRwIlASgNZAy0grh4+BinpCZa7cTvt1qRQ24sPw/Zpil+rOLXdI8GaRH0Ls7P3qBwNdjaYW7UzEar9DkzRdfheIQKRGp9mNje8lFXQUogSlpgGfaE0ZDBIKaOPd60H7MPjtafleA=</t>
  </si>
  <si>
    <t>zvr/ADfFCD69fa5ysrLtyqwHky6AlgPtoPLYvB1n3lMWVWJFup/cz82k4d52OID1Gk/hEQom6JKL9kbbiXxoXfrvghzhaHd93kOg6/buQXtw7AnD7ltQM8drXcloPnT4Vd4TQhgwU/O+nmGmP+sr950m+dukBfXGWkUoDrhDHDLl88q719dpAmJ63sFaRacUCcD/Y4Up32o5mYtqu3jDzlinpU4rwM8151BvQcx5Q3ztB0mW06k5SobiFsE=</t>
  </si>
  <si>
    <t>5u3wUY6xOWWyMGbn1WDSha4Cc2kzehOuz8MnZDTYh1eQHcFF/5vxPrkuLoFJC1zpGIPzKnzQFpQOhjO9663fBlSTPKOnk/i6atTcOUi65GP2nG3+ClmZ6SQqNxAkBueLZubPUX8JjO6XXsUufAhiBGguAEK/RPpnO7pqJpY181SuSTmhaAPXTWsveInvO90Vwi02P4Ec02b0Ar/sI/iY+eb1T//AZVq5pYCsWrtqgH/e4vgSYhkkTBx9IWo=</t>
  </si>
  <si>
    <t>zzOTQNlCp+8dd+BZgNL33sON4vSxYg0Gc/nkRkGYtSSBptw6JZKJCWV5tdoICPiuwfJyJ4cwD+62g/m3sbvI0olm0T7dzFbivGqDBLW9I54Wy5eWCh9+ZK8a1xRG4aGenUBcwBQJqhQ6iWcM/0z2VN2QfzxnCJfCYBr9M+BOD+x92dHlkXxpvFdZpZ0Qswqs4VjmiUQD3NCwA1faPzha/anHfmUPmb188ikHgQ0soId2AoJp7W3TpegScOY=</t>
  </si>
  <si>
    <t>O8OP5tUuBTGJhO5urerb/zOQVRwwWS9gX3x+C0B+iPmEClXI7WrjBzeH9j6Om9Z8XXs7LLTTzJzCVR20Uqf2/CQU7otJg261g3Rrm8MjfWqVDzuhV+OpXLg43hbogZlWenj/+mqNzuWzMrRdgdvrjgDhi+1pkZDUyfNmZOpIimw+2jj9KQKYdWruQWtSXUN2sTu/BZevdH/7g3Xjzqs3upNafmvK5PQrWeV0W3hnD9lRIGPGq1OXJaFaIrs=</t>
  </si>
  <si>
    <t>uIevt6ZU3o38bnl+RBOfFZmQbvQRug9g5/4CZgE1oSeEWafUiFrraQVctuVrTmCG4YW/um67zm2OEmDt/yiQg/HXAchNQ8ljDUnqv7zB3BzC/lVnedfNvQYY/a1T6oQGvlF2p/fBtk/+a6MQWopBLDLSV1vWFhLyvcox+d17hl6QWG2rF8nYuooFFN6PbdVrWByHSbu9UUMNkzmHL2VMlgcTEzOFuVUuF3WmXM2X6nzVKWHgBO71bqTmRWY=</t>
  </si>
  <si>
    <t>zVYcJJXu63HGt9wdAt0HlaiuBXrIUMkDCi7UihhLnOFHGB9hqnItRydugVXqsaSu2UXmOfsjfwoHNOYQuRR/uX7gVaUk/zwunoPUVwkTGW/RguczchlrsajH1Lfreg/mQn8pZFg4osMD0bmbOEwYM1eFlrnzNn/eMNfGfvhpsxELqZIhTzF/cQjX85wjJMJZiboNr5d5F8fHoG02SHfYwJv1afAnDpIabFGGT217ZX0YSQeW03+pMAruOHM=</t>
  </si>
  <si>
    <t>SJidGv3zpQF5sVfzqePUMzVa11UtDf/yZ+CaHYVWglK3PoPOFiGcXpiHVCVmdb0C3iC08DCKmnTyygPLiO6ZjGo1Io/8SmxCipHgZDDFCWpVU7CJbmGlqoI/7qms3HRP5GYiVW4UPpgIKUrQ4oWyRv1eJk3gB9UpJ7Ck4b/agC2HGEpMOH5Y1lAXUhIqhf8dStwDBqSePjy4wp3872CcxyeisWdsNrX/y30qznUBPnJkStRmCmYN0SuObiQ=</t>
  </si>
  <si>
    <t>cHUelZRPZa7uWieEMfMyRfIkdO97YJ6p09Tie1o/TqfKGPelJDZJumDZ/G9adsc3e39ATAAIQldSOFYlAhYw0ZZ+NHpVlmnr/z5UITScwhtoTfefefKzxmRzbTV0cxDBvZR3EErFE+aamp8fVgURyoknIIgQaPq7HR6eyVaNNPS7d+KpbhF+kountFfg3U5Wa/+h2jtwJgLQvRdADiZMYlynAyBAR8Fir2AxL39+1lQU9zQtOJ0b6eI+xZU=</t>
  </si>
  <si>
    <t>jwHZ6Y4O0xrW1aWLyEAhQ+q5PfE39cd69rTnhHSWqDNP6e9phBno0QMXF7DT0x7MYNNoL5THujSK8uH1b2LDHlt4CKlYGO1JS7khsyjdkIm0v08LiCZ76wyUlYfVWhuFv13K1FgHz5cd+pBq6BIiohmpIuAim1XG+owsd2Rb+NYajf7WWzj2S6iVzPuVJXdeFNUC0z7g1EdAmYnZooWPnMq173wWJeS2MKGDiu29A3LjUH6uJAd11O6zuf0=</t>
  </si>
  <si>
    <t>hbzwv0NnnWjJgzBMKdLEm3mNH5Zx8DsxIi1VVn/qvK94And3BTIFHQ6z7gtf8B20RBK74HR7WuEBK09hDCiVarHfrBJISMk6DOtXIqxXZ8NbRBNfVhVxYi6RDZaob9mi7bIpY3KeuzvXYwcTIrxibRsIzgSjwrzF8rWoNGLUItO7tYOnhIIjRzzGMFTfysIbe8Nrp01tLsi9vKCm4WR23ZddL+sqwXnlWG7J1GG4Wm1I6ZmZmDbBICNq/fI=</t>
  </si>
  <si>
    <t>HVL3B1dm5j7i8Bmup4OElZuuv2+SQRM3VLVk1yG5yq7kirjnMb9wAqGF6ii21qKL3z3kVOuyjmyoSmTRFuLhLGidcpZKdY5tSR3oe0LC6TKR2UavrzSt+poT7uVmaXbxMMUQxfRpiNyPYze2cKdFakmGjP0mYHhDkxpLteS/9CnGIe9qUzjerozkZ9ib8wULYB7HQrziIvtBpiPSCxcZXjr4IHgrWykp2D+gp0bXxbPVu6TEy0E4IS06wRQ=</t>
  </si>
  <si>
    <t>bXWc76C1+auny9QnVx7zLG4g0mlMQC/C4Bx043f1Ifwvixg7IPbGhyozb4rlhdYdtK4Woaj14ssga0wYC/7kwxL90oW7bsrUqfaNL/C3lhAkHJ3HCAvcHK1i4cypI/6CNv31toJkUeb2JNYmULHvEMjoy07ELj38PXMibhQ+6GY5svxqIkhmP5tsvib6kOVi46FUoC3nrMxG2s5qiTAhJo+0ls3rSYxGSyYUv3lr3JrAKrImZ+pTgRAyfDw=</t>
  </si>
  <si>
    <t>CtILHfMfBMIudeLMyg05uZ6VFJd0qV+FfZZB9M6zY4y+Q0nriG2LmE+tYKi9w9FWl0w3mwtiYSqqBhYhdz0BcyOj3gPDUZfgV5qB2emuLER4hJAcGlfdOUpSGz/InbY7fu4ZmlLUgLON7ElNmX/7VzcHQ+qCMHstsw2q2JNgRBssQWPUPgV+833B7o1tE2LRgwDY/18Xdtf0HG0e1XQ8kBNK3jj2uJHpn8uMz1yEGM3goBSojkp/ac+NUKo=</t>
  </si>
  <si>
    <t>dfJDgWdE6Et9ET041+gHyrXOQMLhykgEEwarFui6aEr9HIPEcPhaRxEjjrIvCKW66ya8e/RGGou7i3r8m/igvNJLB+YDwF6/PWAYwoS3CMCx+3Pon8Ni4IA4U5xgvVcAjbezR8eWh+c2RFoJRirzUmOpU+521S5EhiLDEvgNWCkMjTWCs/DvZFt4ITdzFcXyjetmehNyM1CwSvufzxdwIPeR1Cn7JNnDZd/5+yIuFyoW9lo6WoxQVSBT8g8=</t>
  </si>
  <si>
    <t>AGwM4MfwpYGj1mCwMduzJ3C4/y1XWPAPjky+z49mm9aylRvlKtJfloKJAxp8HBJFIjMoBqIMoL3N+vdwQOGlnNCR+wsYd8YLorgfFRkyYBSIEt33lAwK6ktCmwnl1whc68SQaimsej2dU7xHOka/GeQPlBkg+bTvKcJv6NoNgbuuFMGF2VQNLekXtMXX1w/xKePY5L3t8/kPMNqAQfjQvnPVzCHDLgnLXiHFM2jydk/rQ+Cg4a9sCjgxuD4=</t>
  </si>
  <si>
    <t>QAgJl3NzahDg4QVqhfGdW0vR052SyfVdsZcN1HrnnozkMU69MMMuV1vgDWOuQpiWv4nRo4jzw0Ta58xVUqF7Q5F12saKWVBlN7T9MgtgU+gtVkOBEiC3wWfnh4kyF3RkHYKyGQ2PEejAKzH7eQZga/2N+t04Tl8LhMPVAc8ofarB2yYsc4BMBo6A4aaYux5zKpGH+B5VyiKC1UKqIkBhBrOaaYJi7ml6kf41w96SE4jUGS6RE8tWdHzC2wg=</t>
  </si>
  <si>
    <t>ngyItcIYE0BFhes3Lhu3oovr22wX2SRUGPJW5exrUokKK2DTETJlsoXMLF9OiJMJz7n3NxOvtb1ZU5ewO6FiA+FInkev+R6LdHWPLbfBEKZknYRBSW3WvoDHvOkJHaW+hr3oetCqtzE7f/fl4KNuGe/FuFV7ybWqfFCVt0fvyNm2JksgEGQplvv6IMa+3pAk3NSRUJjFApvnF+XxLiZmKjnA1hJnnMA8N/l8vO0HwsFqHPI1oTYys6ZuidE=</t>
  </si>
  <si>
    <t>c+bdH8pIW/I/D+ASasT/1YMBPcqHSDEgRwqcuLqCmbizi9Npf2bERRtus4+GBXkrPb22kJxos2GQXX08waYwgtravb0rb5OOWMnj1xJIL4aPXIMJA8ZJZNiU64SMoChy8HAVd+g1zx3JMSsnjTgNxFciOjoQbrnRHINQC4XxQLdRFX7BaXTjjAikPi1cxh7leo214uVfiKzcdeUqHD/lr2s5UTV6gKJOah+sfzKVd1n1UthoO192qtU/yH4=</t>
  </si>
  <si>
    <t>9hbZUU49OTuTiMYBqdQVIbHV3JPE9NzmbfKjC/tscoQSHCEbY83hCteCKIfgOPhGFDiYZL03XejDLvg9oh2sa+sOmBAGE5pF7iOHDuYrsieoyBqAK6DvraNOiuMDtcAF4C1KjpurHuJjwGUvvgqy+pdlzUapYbwl9g9gpAug7yqayTnhRQ4pux8xwWL0I1E65uzUXxaWPT8TZz02j8KDR+03UiBZFQMY73ecDsU50gFIp0bEb10iGPqOr7U=</t>
  </si>
  <si>
    <t>O4x0hCQL8B+DCBQS1A+ezFPkEBh6DMGXdIiurMh/sqItz1iXLYbCzHG/2bdpPEGKhcF9wqrCfpbMLB4UnGmIsWpXxSW19dA6aAzxXYYWcGhyH2BjnM7iz3y0Y9MXa3l3xkI2AA9N6P6H7KQiY92uZN4u72vNh4NhghDUxfGXdG1s1VTVITw32GxIxc9gpjZmN41vkkem+ZrFh52WwlynzZVpS5kw1qQ7PksQOLn//1XXo3azVoh7mLNFGO8=</t>
  </si>
  <si>
    <t>zIJUljcWDwht81bAFqyv8NRWFtRGNzEmKAKZMmQ8NFLbGEW9iRRpWyuDjhnv/CI6swz1ZVCEjr2rV74PKGXk8fOC8U83184q5Mxl4NHccUe2RnosyageIjUA12DAns0vajGNOsv8ohBq7iGVA1jw0r7SRgaplsIupAY7eoaQkmHprhSkLv4QAYFob7mJ/Rp+g8k0M4m6kZkEvijyHrdPXkZyhqcqpL1PcApbUtw3PLVukVJu091RkGr749M=</t>
  </si>
  <si>
    <t>XtpOTXCrqcYeEqt8flLOo08YA1VrLpt9G8/Whrc5IleKvQuR5kM+BYjtIzDNRFrmekfT2Lx7IFtg/sdl3OWiUjaFnZHS02MuecYMSjQ/YMdhnNRNawkXR7+WANDt97Zk0sZH/ARlpItVroZr5kIG4fK8mQLkY7PN0yw84XCBG4/LcIzLN1NSCDW5RReJDrgWwaPrrtna2Hm2AOvBzqkvrSNcR1hzcIKJC0aWVFb1pgbJf2xJu+eFgqfA44U=</t>
  </si>
  <si>
    <t>hKrJuZN3F4AJW1HpkAk0oLTdLjpHElVbYBEA//QADomZAD5xaOwijXhAfrKxCz0kujR6ESN8R1PhqUaCLupxytcBtJhZxLKUzXf8Rn/+yBoBwUPbmBKulRi2jtqbrIeMOR3+mi+AUwsllc4aLtAT/TjMwtvEN4aran9Crt0//BR6mSQthnBsiifig1dKB5GO5WslgbKqcf4GTYXZP+42KtZugFlFboittZuIW3d3R80gMxfhGcE5qi8b48c=</t>
  </si>
  <si>
    <t>+nmxU5g2K9Veqt4ubfsE3ZtvmCG4zEpP1uC6NOpNBMEVHHZ1c5yeAV1EZ80VZezluTR9bPtS2riNgPytPAYtBmBNz6+Q/4X1qrBRxx4VInWP2733g5UhxI3Xw73ierx+N/zNmMkANfSKfoDX5bBKe8msJOLuqJRgM2gxeGLw+Jkt5+PH+JiNWZ4oejagpF/3V36U2LwU71DKKo55oBun+IVRCVdEU/cxvZkdvve8nUF1f8vQmlr6lPn/WGw=</t>
  </si>
  <si>
    <t>ZdmnGtUoTyVGTutwidThKUeFYF+YQZJHnhg/KFLMJUp0eafzg6mf+8lB09kok9vim9xMFdGAlPQ0CaaVYSZd69ZO+mZ+I/KQfKtXKyxhLYQ19C00ygJaoH+BjvH0pZ1/bXX09eTTsoXMb4f3yj/MwqitEy2vyKsdwx5jfbZwUBVLsIJhyG4aH9LbKuww4GPDcvIiAPelH3s7qDyWeQIEYOwKTLreU+rmWZKkhS5GE5qkseAUHsWUrQUwB7o=</t>
  </si>
  <si>
    <t>Q9HGw+Dxi3Gq3aPcyet1uPD1Vh4kIGP7UE7j4gvx7Vdt8zUfIDCATJ/b7lzd4Ft7Rdif8UjFIPAtP95Ni4gDfTz1eb4LKJciCMDRAncyRF5ouvx7pwp3YiGnJfaOJHMHk99Hna0X9oy04p9WTsVWoSW7IPMeM+aBjf6MaR14ugq4lNrMWZDKa76jVhuh4bzpVi7Ojv+sLKKKyzqs+87IEHDYEWshG/PuEl6VdMGIKNkDGhmQlrQHzs6XHsg=</t>
  </si>
  <si>
    <t>ETYDt0hLbrgJKSD+8W0P6zeSSlve9PtEfNPiTnnsWAQvu8QQhnND4dKCQ4hL4DdmqjYVY7Grh7gCoXHWF/EwEzfEO8CiLgjD4ZL6arrRbIGctD46ZBqZOtyB6KRdv5GnfFDqB87BgeHQF7tNueSGj4ooTPJlvoT4myFafdmGfUtyNnfrZID9xzV464BhoXl7DPa32cf8BwfapKIzlmPh1LWD0DDuC3ZW/Xi1NsHB8+rW7J4nxVbkXrHPsM8=</t>
  </si>
  <si>
    <t>yJqT+hm8Wfcjkb+kHLrJdxy+I3G4PJ61zv+CaSYClng4chQ2poOzYBj9eyOIMcjMCE0qXH292FQ2Z9vgMLrro/gZm+zhBiHh+3FYEsWwgCpUYA74AoWLFSfh1j7Uq+HpJtgN9xWUJh5P0Qub11PegNNja13+xmxkN2QCeyq1cJQyzwmi0so5y1gXG4YAiPaHWffiXEkzUo5W5+YoF1EClpuTUlZgy5DZ+qGADG6lkPO3z+Zd32J/9TxgEb0=</t>
  </si>
  <si>
    <t>qGf4f8y9WHsqwONL3zFb4fDYwMDH+jDa+jwhvq6O+9AeJ/HTOUCu0rs1H26xAjj1IG8CiY3ygNVLCUmPI6t40tBHPzzQoDbhFKCf+QqhQcUgsaoqSfGbzd74FBYcPDmHe781c0RV6xmJzwljBW6zMJDsWuwf833rgvQ639BWPLRa8jcrRmLIgPYCSEMhhfLTr3p4BCSfVstRAVZmcLiz8Q+2r5jCmZlI+qGjh5YLHviLEZXV0cZC6+YScS8=</t>
  </si>
  <si>
    <t>EvJrASeOL9+ukAI+AC258OSjHfzLhE06brtyAGW9USQ/cI/ihwGMpzE0WpFsB+I7V+MfpfEar5lcncdMUhxPiy+4BwU8r1ZfjB4zOYfeuOpKT5Y4Do1r7dx2SQngfL+erlzl9ODHlEe0Mk32FmVHMiGT7FrQByCoDDNNUMzusESAeD1aSHEkxhZOM+CC9U5UdiLa2yk/sw7afhnZDeeWYtHtP9SiwBf/OnDpLCQ0p2Ttv7ny5/OjaWf6aSk=</t>
  </si>
  <si>
    <t>xWaeOxI/otqaN6Doua6wQTtFtD4z32wbSWgWn57x+VHis796HFI19QdavJHBNmjp/S/v8buy79U8V2bPpbOkVF464uy1+fuyQPdZPxqAR5Rckgi+BYEEW+F93COfQZo6WwAQx99kJ1iyWKZttCgi5N+P+PpFtZEwqTBlIFz3bzR9D73+h/Dixkb9CTetY8v2vbFvm8U7lZTmxwzz/H9K+4RxPXdTYGuSphx7N7OLScAF8P+GXJf2MoYO81E=</t>
  </si>
  <si>
    <t>0LOPC9PQfjxpnB2LXjfG81kBrfIomt3E3i2oNaBp10wt1NwMtV8MgsTINKSN8KQaOgU6IRsJBPsCtFrGr/it4EU2ov36tHuSl/NZ24ZB6tsRK3VBFmCvtA8NRX67Y0NHnay3jmC9brQ1dY/K9Dd9dDXOuZxxHDfqngH0V6g4M/ezhdFvVrhQCUrrb4BgLTYDRHFdQFLBaA7aRiCniMMzDd0jJ13Zi0ZXXLM7vxMV8w6goBGqQ6LASjJfxc4=</t>
  </si>
  <si>
    <t>8x7fd1xBPSM7AyvUa9dzC3CDnvdsjNI9vCOPjS3+CXDgqEWK8U7t1skMj4BsG+hBLbnxkEMa8eYyAh77ndjTMSJYMLJa2US6fG71CZbviak4EWAuyfJeRnhy+fcxMPEsDcbb1NkBl0/426+SECt3+KmtcyWQxc+5hU0zUWqnVVgLWbF7ZK1UkHQII5OwRVQoPP3QfTZCFYFkkUNTWXDG8djOpu/xLAW8JM8vd9wTsROd6FFCoAm5nci2+5o=</t>
  </si>
  <si>
    <t>f/D44QlVZ9VmMapAymGVS7dNALrL8G9ZT5XVlUi6TQmdJ3XAzi2hXso9kHge+6UMLZf2nJkoc5wVo5JTOjmnj+lt/UliCS7fLh6UbNJvr7kzYvxatWBbeYshNktAGB2o3u1zls9tW6/RJMF3QlNC/95gpJPmzUPtnkOphkRMVpwHV9E1XQKzBQ3SfeqXgpL/AiICBAXJWHP1hD2w49j0MTJvlmHHrgD0fYSEW6Az9gyVVZ/OCVuMxUzXKZE=</t>
  </si>
  <si>
    <t>B89xvy3yWI7zLMcMogWoym3WjOMxJqzp4GgxOkqWsD1rjMstEnc8PoYLwkYrxmAZ4sh6VIoJxp6t1L6E3h5Qk+bQq+ZvTRV4H0MZd0PUoUg9PTekvEgtMXPE985Fuh1ZPl0CvSVMXYqQwxmsD75f20e+q6RI9fbB1MdBYG4ek5a+d1Lum/PjgQWpCdwvZBpE7oMV5ksjrz5TAe6mttbEPO1+tPJBbJyptL/rDY8xJbdpxw5LGvmgth0XzT8=</t>
  </si>
  <si>
    <t>TdQc9o6DjAz3E4ljUwUKlW/Dp8rpgQPAk9ODUN+BvubEQVZzT8znS5W8IFcSK98XEaQTbPN7R6D9Tn4U1Cgpucak9QlXMdZiq1d2RbIij1jEb+KBVylNr2G8jhCGmI33jZVjNdivvyeLpuJK/Mf8l4phMGxd4fOD++s6hM9LpNDiGfp2OcQmBsyss4akj6wOciaREbcNu42nAnKh22I0IY706fbDju78HlOTENoCz7dToZn7Z53OIQmPlMw=</t>
  </si>
  <si>
    <t>CDII5j6y9+S/3YmBnnbcOsm/hMTQC7hzbm23UsNJEjnYll8BSs3z4nkaNGrnb41rgCP6W5Grk4gvzOh/Nwx1/iH0jpVDsrUzQiReeOE4UYDiNhvVzfQTAfCoYkn0hJ1H1P72Dlp1b/lMe9mFrZPraFfteQMyk34PsQM87fkzXSs7SDhk6kJ64tP30OP1+Wkkc+haJlPezFoTYre7tB3KNZYPVuWwuaVpd+zAPcnsTDFczpznWYkNWlWnaUM=</t>
  </si>
  <si>
    <t>Nofsuxqu1w5c3uXak9JwkkJRNyRH1xyYoAERIuOuSu+ZdE/B+bgWrE0v5mACYiW7iUGo5TDLz11+Y7tfp+sfFWrZ3A258k6VsBVpW3iQU6wjW7+jksknxg2lv3P5Ltbom8n8CvH6cM1bXUM1J5gzom1SAhjL7iWkC7xOKzIP0w1VdSY4UELi4iEPP3MPIgEDPjRlVgfI0pg4Y90Rfiy/TfqYQstGmD66gigGN2Cd6px7YhXFUlGRv4PAZvg=</t>
  </si>
  <si>
    <t>o/NGiO+Vqb+cnUr5MPntZdKYX4lIdFHzogtnj3cRkJR8qAQ6D1maBwgKZGkQ6d3mL71RX0pgMUyyUCX+tt4p5NN8nAV8J8ohrIZ9C5nG8KNiTzAtWdcj1UdZKj4C55H9KXGW2Nn08Wh1YBMWcpyh8L3mwNHrqH3akop7aA3yQX31LktmkMrROW3NFqZZwutmb+SIlilLpXWaySDalQBvkjeBR1+FwaG83vB+q98jaxbjlRGsrItoCmu2LSQ=</t>
  </si>
  <si>
    <t>cRe3oYXZYO2IGjBS56Nl62H51QssMFpmsTYSLzXw0mogmBO+eywUJqYt7WxDKXf4J94c2hDXP9drmfe+zPtBAiuzecr5BQkuCUYhMG1nqB7Oj7VPTAr8toe39xS+FlsvLjNHREBeTYtR3nRDT+5gAZwQwmrGZv4rG/KJtC4YW5vb/V7Z1MR9XTEZtAMCLWIlcvaITrpf2Y1zMb4150JXEyKaOP/mtyVdjY6EEts6o/DmUFGOTO0plnzxTMo=</t>
  </si>
  <si>
    <t>0cqi+giUkX/nryjcjtz94Qtan+mALj0JGiVmurZELVN5IoHgBHkx0K8mYoort4nxZdSKqc/U2aA6OuBVDPM3+CBvHPBbx3+rFCjNpfD20Qmipf8/XERwEESxIK/uL0df4j+UCe4pkSj7FmcOK5ifz6u5G6FYlFRs1heQgiA7yIIHy5dS9jZBSMxSnDO6yw0IUH4IBUvFlDTmpRaAozX+jOww2S8HAl3kqltCA/iEjdBgjOGYUm8FOijs9ZY=</t>
  </si>
  <si>
    <t>UXYX3fcVl44QUHkXN98uT1oT119KVQSkQAn98PnyhpBZLUQwbVPZPeyD5ZO0baD5aRz0OMh/N/X0gSD4+NaSO2iShk5KnmwfgxzFg7fsgT1Gsk4Scoyxx7xWER11R4dekJI+/Rdemp4U8PpjEz8Q6Vxad2lHJ431JqRLBE+nXoMoMG/BYFU/jzu4zjVN5u2FcGvf2rzepATZFyprV5A2k5r9h5U3VwqpY+ELhY21poU3SIjZwiKw1OTTU5o=</t>
  </si>
  <si>
    <t>GlsR7j5mYq+9IBglfZIEpfX+ODCbiEoRPjbFYR2xPkcL1Jd7LiC8LE2cj2ys/pWQ6YssW7tgFjz0K4VWt/3G3bL+BIm1T3ZnpKHlQgkILaTWSNEjqR6/D4ekPUKb8HLpX8+p+oV/nEd7CHYQyppNxJ9u4CTBp+etpvvZolrWUw30xI1aWxCu3s+U2ICxDggT7jQ+7hW8REsOT+zuQuMvfy45UtU1/ajRgrJQBPfcBy5EbDRhE2wl8oz5/LM=</t>
  </si>
  <si>
    <t>DRxPV03xzNbkVJUZmW9Rw4MwuG9Yeok9Xcldbj5kbC3tjLPOwHqnlkiblIL1L+0R+1h3Sf8tFBEX7OhW9PtchjZxXu27XDlDP6QWQPVaVvSmznksy1fk4Rb0JnSOLRJas8XhtFYs+5F8ouJxgAX193BjwvPPeHUv2jyhFM6unnYw2B4rVoK8Q6cTxoGxgH40k5SZ8COLsKzwwtBi6BCLa+aY6SGsfimzbcJm9OgTCYBUgSNr7aSSJ7tbU84=</t>
  </si>
  <si>
    <t>+xofJGeR+Q6nFULnw/3Ii3De/I29jLM+JfTDwRDh1VC8EyGx4MYrSPSNtBE1RX/h8ZCypu1vr0rT6Ogoe8sJAzm9KqTZX3uZevqy/AWbPXh7sVwjoBWm6QYRGWmDy9Vr+L9KBNdKQrfN6HvR9WWigTI3H/Wynz2Xv1ybHfblQ1Z7p150PgPIidZHqBm2XUSKcoIJ2Xc3mUo1kCZT6AHkmVywVese4bUZmr31gDAf2f7Kiszy7+9hI5Bi7G4=</t>
  </si>
  <si>
    <t>T+cq350abOJ8PO0rYA/S0/+JpzEd4fwr5X/DKbOld21tGNEQI27Rb3gLXWJDqOXNk7MqYONrWQqXs0b2Bf4OGm5SPp7WaHrdiiXT/r2QMQmEon8eFQs0nsrTqe0gwx4NjU+A/oNVVg+mnkE6gTOtGOUHCTRYx2ZYU9iUH5+EBC4rxdIX3oiF3xxFbKKT7oeGCr/l7864YJmtyKRkpQoPkwA+I4+/59roVtF4My1GSuoCAj4rcKTFUOf0Z4s=</t>
  </si>
  <si>
    <t>VHRBLwmF5S7GtYYHkKiM1X2w9gDCSoUSxmDNok65un/OqiZXacelx3VC7V0s9h71zqAeM+Opy7HNIbN6MubC4dJkGiFZuT5eYPZz4WfxoD79jr6pcPvUnDt8EnLV7GNA74T039C1MZWl80alzoPTUo0uueNi6aCQwWTNIVq61tPXIrIVyfZ4XbtaR1JWdsW8q+psHCSd3gJAj5xcmEOeevsF+VlTbql4wawc8kLO4PngPsya2NGBMqFqHDs=</t>
  </si>
  <si>
    <t>ohHN0g1xH4XuKRw7Bc1pDn5DnsaYQzQ1CbH7T3TarvKyJgQPmE1BwDgyTs0KRmZhu/QiI3pqOc4YraCkx9KFRRF3yFu5p9KnnVqGUbk0ox2hbL7RJPO/pOd0KFJYPkUZ4oHBgKui167hUeE2W/FNaSkCbOozFTZsUnVc8yQBMckW7yiwQo/+wrZtWVfy6pVnOs6irg7HxZUfMH2PWOlPaub7s5/zmk0VMTCLrw3wAVMwkAV/xRe1XXSRiPg=</t>
  </si>
  <si>
    <t>9/fuisceNegQrjU3llt3HCZxaNWEoJXk51sSMtd+e22OsUzdNGe3/gH8nZGW6nwhO4tatf79c+mpAcdUEslv/moMGarKNEP/29yTfcYOcTwQDzNcCtpAAz1rm3l+Hz4hWrOtPuMuLyy7l/Ia7zcNGcDallVnrOpuqSuX9QAdApOvdIm+cnOiygcCdjCgvvH2cSuxe5WND+18CX6ZZjWWDYjmndMuQebL+DahoWH7dT19DEK2c/V9ydrHbpQ=</t>
  </si>
  <si>
    <t>nhTl0cB8M2ajemrgIwURcP0rRewmsOgEJAcx736nVLhDzmZKWooBRYO/QhbLU5Y+RfzD6yXTerfhkFPNcYjERxqV7D8kiWbs3NYthy/MzokSRD4z3DpIPOTb+Tdnhi+CY2yM0zjQvwaI+KzyxyFS3sMm7SZfwsA1SdnSzIMB49g3hDZd9Rejejg+YgAjQFHkFDVefoAks19+inLrsdyulC0p+SQXBqDFx/25mEK4hXRZmZbY0dynnnHhtD8=</t>
  </si>
  <si>
    <t>Qt6Zj52KVRBHBf01d15JWQ8bgZblAS2vy2v/ZJBJ5LjxFGNWBA5Qaua5xndgd/g05yGLFa1mEjKg6h50fjhn85r+NURapyQseddeg/O9tPTuoSQSq3tktCve1ok5nvyxT9lxUL/JH5iZim9Ky3TcqoSCqmsj645T/zJ5PT9egjbswTmTo2OGpgBS64oe7bZO8MLwkXuB2kpyewHRnV129HPFWZoJFbBF5lm4AK8ExSO3jjpqA20ycUSogDM=</t>
  </si>
  <si>
    <t>uhaHW203pPZ22BB++6z/VztM2qjClMyLSHlp96KcfE+UTzUrG1GZtafJj4ibciAIe1rE1w8mmysS/HvRA4zzb4frunyDRHEbKe79OR2qMjm2nQkpnmBzHCAObt3Ez1QoWQqFgcYLBFJzOIzHRokII5+1U7trhZaBLCHg8NvFfXH7Vg0IBT1EgENBFl4z9ztNTw/CwmD3rjhgiCM6zs4WKF9ADiWB80ahFbQFTVkyJ5ELV4IObtEnXC+p2es=</t>
  </si>
  <si>
    <t>4uYj5oflE679JRow0On6c8BIAq/0RBFYhtGA5NmgPKjFLYJqcBqX9YDs0+uz9byADXi0CwgsPn1H/4altu07YdNl46YIBOte5oQH7lssdfvxzKpBbGU4EYyeTj+X7CIAwpTqmFNvBGSY2ChXYwmVuWz6kaCS9qqFe+2m9SbSz+QCKHnAMesheA2bi+XJtyC9FOecJ0cjS6swC34D3ZS1V0a0H9+EfBDcFnSt8lOAz882IkmxdnakO/bN6mY=</t>
  </si>
  <si>
    <t>hkOCbgIwxEC8kQGTrBSn657Nsvv/IKbga6N6WRHPGYKzS2oD0vquZcTSeWNPymiZ3426/21LRUIy2oVS6DR6QVdlIisG2QFevV+8zDoypoAe6enq5a6vFvTsrIzvO8Rhl1B9oWu3DudvTJVI0ZWL5108wcN17qpIA5/6IjE7goLTuz8s5jenigZHOEcwUZzIc0r7aXltirMdMOBEEsyYpK+P5jHvH05k8VVuftqkC801zHsaoE5x8pqAJi8=</t>
  </si>
  <si>
    <t>YcyzT8IHFPUW5+Zc2CdIo/2PgUufqZ8VqyQ+Gp6WU8tycIhDQ0XcFMF+6lVdOZ2aun05xiL8WeUtOn2tMvl+g8A6EIH0NkaHOIl1c/+PfUUCwSkNQwyDOrQ2ussCKGIC/sPwhlP4JBZ4Sz/9PEoO6inqyKPxkIgEudFhJEtoD2nvltRjBxGPHC2gWoFffPRSB2HAYA7mJKNyzboT/DjtdTfB5s3ZrlXvwfts1IKL2VzzNNmjDLSKCuHMToA=</t>
  </si>
  <si>
    <t>3ukyLsqPktvn36/0Ct9z4AbDso56TabV02VbIgxkxF2kbdLaY5K6XFIOvfEc3Dicd0jwRr/yJJMSK3+1uc4ImfaHSkQLEzkWm5LLVz7qsi/X3J0gOjZ6fHsJ3WE/kw6CiGOtmoSB/q5KHOrQOrSxwWMXx7L4tw048ITaRGtzLa3EkEUeV0/Pb9h2wWjHzR5izQmTk+LUCjGyaCmYaOHoUR/dWV6UHIP1Fd4Xx/rZctfuFowgXJYgt7onGZY=</t>
  </si>
  <si>
    <t>qIRzPbWIjLBZBVfPz9oJ9WyhjpkgGLZX2N0CXZSm38pebxp2/DGeuwT3IZEpX1g/nfSyVSNlhzmK0zrf4y+FPTzMDRhPzYpcwVQM9480zkJd4cVrKPFrY5cYVibfA8vKY6AyqRJ886en5os4j6jG9BOBY68rucok2029RSFLvrKC/ZPCm2vjUxyX/OfOhUon9+2+vtF/FjpWbAeXM7Ii+LUxMhFWRSMQEdhcQ3GBHLoT0irPbQ3LiA+hCBw=</t>
  </si>
  <si>
    <t>x4hdJN6R5Zsu+r+PPLHdHW3ST6g2nqQq1p0bWV/jGPn1sD6fN8L92+53sajdn51XyfuVF3wAw4tK5sFCj9coabH3d7vbYwao6oDRBcDOEtdF8JTk7t2pGfNvtmUEOljogE/7jZNbUOX1jw7rsQtq0oEq16T4lKWO6S5a8KMFaBkur1q6V8eovWyevzQGYOZ0qTiYrSs8HNAyt2cQKzp//svdgwQg8NVj4JhpMvWjOi2HjM61L4jaqBPjAus=</t>
  </si>
  <si>
    <t>6pYKZarjqlgPyuXpGA9Xi+01d+39Gik6bQH1W4eUnh3ADhfJk6JIejehApiaVZP+ox3RF+Mn/6ZWC6XygW3fs9JPuriRNiycsLiTwdNuBbPhwObAV2LI5v31RMyO9447oZcguF9IzJWcco9SIuWM61/s+SQ9clooqwyNPTkaG1hTQLCd5TQrnj6UiPUMMZ5/GLHkM9KtpMonri+A9zSu1lA+oIyZLUGLqcP2vJVXkf1nvbly0lBqxHGFKts=</t>
  </si>
  <si>
    <t>5lUYVkjfAgfYeY51pWn2dJdB+oSfipf5ghzAb5bWR5j1eeKUTdaoGwz5aCrf/KrOmCL6v8XKlQoNb1SojlbWdUsIIVWcSMDEm91g3oo4hgevxjGzqHbtc86iD0nRcGfEYXrFTxeEo8M5CisQ8hAtzqp0/Invq1TLvcMCbILGbtASN9HWP7ZcXdZV7p6AgawnG8nkicjubeiLjYnKdq9Nn5xsf/xmAEsURihJsX9I/uUPiAH1GGHOf+pZkNU=</t>
  </si>
  <si>
    <t>VvWTwc4H1bYP/iHH8AcMHDPHwotZyWmt+AVAeWVeQKSFOM4l0/qLzSU9kW0Kaa20I/FfDBvyte96D3F8sGiMpeF8Y63d53b2BBGTWxBjeTu5A+wxmyR3twNngZ1WZtpeIGwaZmWz7hRs6q8MbykVScBrsQcJWjCK1OUbeptp9TS5PLjYZDeHoPUCGCZrZ3rlr0+VY9iUYWQdJ/2MsoN4CHxoN8lNVcv0++k4jdk4PgyBJSV1gObG17OffWk=</t>
  </si>
  <si>
    <t>gW3MpExv/9BRscFyTbBpc9otAJR7RJNxo6wzl6ul9rqMsy4PNYxwM9LTr6u8QTP8tCwHAeq4SJIa3Q00crDp/+fMqHbgrYOqvfFSUDlVZaDGe6Hk+RJYORVEvo6Tbn67074Aye45BAFBO0AuZlexkRknnz4IZKN6E9O0UX7Ze52rmbI1ZW/Iel01L97+pg6lU/3Ln43LGzbS2OusyS+5Z4nvNRgV5dzg/zYxJo6m2S09t+uhz056EJq/LRE=</t>
  </si>
  <si>
    <t>JsBcqUAdBJAK+mUZbQyU6O1OpJrYi/U65NVnbmySfUB+KnFhaxPH+3BxjdlFVHyiQt++vA2IBsU4ym3Jxcq5iY9G77lgJIukgnnw8NCbGgUBsYgtOI0tp/8S3JmFjMY8Q5cOLfoym4solB6fXkO3Wxkrwn2/u61R+7LJtAl1mUq4GRw/9rm2hMUav80fylhD6Ib/xvSwfODIZpkjtZ/JDlnzXLH/v1fVPQzTrcB+zJL9b9vLYS1PiALKxUU=</t>
  </si>
  <si>
    <t>E7c3gXjte7lMqjmHHtZYnw54r6QeSBABiThLZiHqhTqkNJ53A5ErPFp8HXLwVmoP++tRYw45qI3lonuArASgIfRg0mRg/MasCHPzeLzvmYP2ZBua5hbFGzzLUjrdewBXpkQigCAgJbEZMSaUhy0esVAaJ7HU3qbftPG/GlTEYyOk9V5pU0dQBWAsn7iyxsxNVkkWCx2m2iJ9vxEkNbsuWQ5rmWOiMgZUgVNS8BW07+5XkXdPasWjdpE4B5I=</t>
  </si>
  <si>
    <t>YoZmzagh/vp/Pcvvy/DgqUXUKFYUZxX79w9vEc3J7J40wyAUabb6s9swSX8g6QahlYSA8gyLySXEv89SoxN7KhVCBvWnthwAQNnKZ+G9K3fkUNTAIXyeL2q7YxKh5FgfyyukgBqn3dkIpaYvVcSI/OWUyBuTQY1uBnCd3CoujOV0aT39Z+69JqmJeUeE7mEQwEM4L6ZAQgbSKnvXE/wtB6C6M8NJAv76T53sTnrXs8imgMrLNBLoBOKU0c0=</t>
  </si>
  <si>
    <t>qGdiJrhAfgIWCoJG6h6bxEu31UFSoO0kq8RGYUQI6C2BQfyy0zfVBsj8iixqQTRK/3PQUcqsEFjuCkR1SLajA1ErIgxFsJoQbZj7MV5LXvbhzUxX4MSXsr0BPKwy0MNSnOmeaoWGfqWBD4AyWocwDhZJhBy3JuFSj57be29tW65lTRF+32gIXDYkvQBBmwZvs2XbRa0a2pmz3Cxi9y9ekUKMjYQUngHiEMwNsMNsxVDCqGfa8U0E/svaP0k=</t>
  </si>
  <si>
    <t>6nnsmoZVIBGE6jNIDSOn86/OVCbYM+g0FaG8ONEvEfFmCtBuBDC1ivCDCKc873CI8i2e1j77CXEJoHJxPmLIzbQ1ho/MDHqEPR7BP8upTGUbw0aK7T9LOUhuQFnJ9Rxj+RcUJ1A8PBdw9EdGQHpvCCQk5UE2Rg1H+zv0S0fNMYmPa4/TUoh9XqBxrVcOlPgkpKWKsIuQscczd4yHnENBbAjKUZS1PBmKME9RS2/4gRGr2Uv6w7LXRtwMUW4=</t>
  </si>
  <si>
    <t>17H0zSTjL4KuEF4hBWwEow+3ZPowVr8uc+O6BC95NQ6etfojszL44rSnDJyEpuLaYsGJD6Yg7sxWCTjM+d+LAjr8Zsl8d8vFK2Y3e4vNYG65iUObVKrEtucdrdaJA7GtOngIISBRprsaGmSqVQ9YLEPSCWTE4J8S8NbD6o65BwNAnL9oPJ2/7FF4pTacGTBlQbudiZkcUXR/S748YWfUdR1lUFYrCh8jThfjGY8SXM0MHUghn5CpLwuInQ4=</t>
  </si>
  <si>
    <t>KPJIEarMSJRbhN9Ixoe248cEEphvn4+3Ss6kD+IWxhSicVKWx8AoC1eTYallATlWEW+0WyEJXSbHynhE02Ndd8f8969oZ3guRdwhR5PMrR/cuqb5I6MW5RmlMP+KWIjHA31iwonWPeo/eAOI6+MbcCut2W/r+wTX4KFDwY1T70yEV/FkmC4L58ViCcTJ7WjVDIsdLEoJyPxq9zTmDi4Wx9F8UXXrRBI1jQpkmZQiiXBsh/WyzLHxaICbhLE=</t>
  </si>
  <si>
    <t>G1BtXLxKc/8JbcNLOk5PspcRGcS+Cm6wAYjun8NMhRb2Z9SS/JxggbZMiztWOsvotBExlEf9t1hl5b8mjCI74xMMFjDcNlpeoy/6VVRGQ6WXMy7lFze26qy0uowqr2+fpjD+YTCcD+KOfEl+ePm1mGspeNc7dPrwcpiWtTdsVWKykglfY9iHkcfluOsjiweg3SB2kgFuT+AgPN1yxVSAPRKUm/uF9tDVBm9QFqpD4c1sMu4AycidDGb4zSA=</t>
  </si>
  <si>
    <t>QMzUWxY61Eoy7VSmmEfBMEcN5lDmF4cO6UB8YljpeJ81Su/hYS14BIV9HzqiQK7jyy2II0YGHffd2+VIL4VdpSUlV7x2qoQpWokoA9eb8rQlY6rxfExz1ba5BfrNbRAl4f/y3Wvcyh6m+ilQugtWvELmmgAnaXoNUdXBtiB0TMRR3pumhDIMtzYnoZYKpkfXuUospdawdAQrVENhEISHMo2qPwgBpITiSloQmy/PP6gqHADqvLwt1JL8PrY=</t>
  </si>
  <si>
    <t>NqrBJ6KomV0sO6HxRjTOiyjZnsevrdf5GYkCbyiCGtF08F7U1eKupnrA9YlSOq3NiznsK+K3fHRjxktMqaTW7L6b0qs1imOyH9BARvwz2tvoYydhfrZ2EwbZEXvjo+2XinyUNbNZX1iAU/YMf7rwrtskrcX67Zulg1o3hshLqnS52ce2uP/e88Jcv4ZaGqTV/Hx35leVK3uF1ykFPfXTBEiTGEDy3sy5AVHRFHB8e0pqjKrLHkRfD5tUZkM=</t>
  </si>
  <si>
    <t>4i5zAN6lz0cY87pardwopIi1M7WO6nzlyaJNTwf9PJSSmd1HFzvfIP+a9s+kzR5cG7wIdh8drc5T8ZUE91CnXAf3OHAaf74NhZZNXDKUhWSVHFPHuu3Aybu1eo2UBaIQZq0UIwDVrHD9tEHBK04G1wmlQxIZrDikVZiIxoWW4W5xrVUwbCPZSEcoDPqvcK2qAUChiL5qhP35DoMqMcYQAZlTix5LieFucopn7tK/vNfbGozGzI60mHLofeg=</t>
  </si>
  <si>
    <t>gos7fjWDKBHkjKmWAbQXR7Xt+ZtmNCDna6cI5RRnmRgVkxgh7UacYsgESbxEdNZ8pd1GN5r4JAkYSU5HEZosj19w8H52iNNxHd/1Oxlya+LqZ+TMBOBugF0dohQ6k7iGx583derVmMXBWYLJTrTRcC+Twr7CaodW9OVgOIpDZW6AqhvKuLnjW4I/cFXlUjPSoDoxaYmwt4vkZZ0y9KrE5R4cguA0/YIOHBondYosobbPkOA92WjOzxiwmGU=</t>
  </si>
  <si>
    <t>0VNftto2TJAZB+nRhWNHM3vIJrJd6WRRE9wyEzp7aeBoCYpvDEKhQcNJvb4tAlUO0n8H3iyiZ+Xw0pOSgUaj5VMBd72IOtpZynGbX+kSvOcF6FXY1VAclMEG1GG2L4qfmXWw84Tnve1re7E8VagIbHmrUIrLcMQR8SvelmeZiYQZKFF49Bw1blsv/3jVPeMSXG5F1uyMGFCEzVFwuSCHsNx4fJtF3wYf8nwfY6L7+NfQmyYDsqwGlyepvzs=</t>
  </si>
  <si>
    <t>83U/EJiW8LWt1QnxWbAoHnOBInqNxA8lp8kQrd1wEZuscAeenT2ojo8sEGQytLG29+N3OqUWNc1Y53/dRPHZ2+irS2dE7TPYspkI2yWs9mIj9jRw2XprpDq7OzyBsIQCqb1BpJPEV30t6qNcqjsWz7p80tZXA5gN8sobFq0S2Hrz7qjADpPtOBE5u+MqjoDooQMO/2M3WxXFUJlhmShIFZuj7XWnLckQIWggaoJ8lIaMmV2CADQyn6PjviY=</t>
  </si>
  <si>
    <t>3Y2QBW5f7Ndws3Pc/Sxr1SynirlhUMOA9ovawZ/UljYVG7QOkoeU2d5erqcLLcKBppBI8Tq/hOK7084Q/m8RhoLw26g67RUtR/FrUMrpFmL2gb3OdXCmh8VurrFO0nzxnOhUmLJj8GfMa5LWSjwcAa9Rl2qzK02DRNv5UzcDi/2HZX06PGblxOinXiQ58ih1922FsWtilA1ZqykNbY/fFfu87m0vbfN659uPOUMd0mf8oJsBf+IfokgR1iI=</t>
  </si>
  <si>
    <t>feLyHBq+r7+HA4zT2F6SpGgDP3Z3kwdpJy2yYa1A5xOiblCuKiYOeGDtfhJwvyVrUbqYTLGCh3VJRHi4AOLC0/IXBsHRe1XZse409ZUxRlh4YjWGAwfjf8RiojLXXaSPye0Efmrum6v12j2j+8CU8YgvhOMHTR3kbFVJ+y/tEyrBYOXN2IPXe/9A7KVOJgBHXda4YYQ0c6GGMuQyyrCt56naRma1VuxBWRTExUc/6tbTbmH3l4kweSrp+Uc=</t>
  </si>
  <si>
    <t>ZFJEOm72aPOeaH9F9l+WEOoHuOUT6DYO5somWB92S7xIPAD+bPEwjiSlZydN7zZpzIX1egy1pfXUA4tveC3bfx5Ba2S0/mOI2wlPzLnodZhk/Vw4NMJIAHB7cmugTnks/WA1z1HR/orvk3Oytou1E/uhKNTEcEjkBuJrio8K08ymM6HF+J/SHx+DHfiYlmKG6Opwepai24t92OrEMpo9P8UPD7Tj2HzAamsms8K4clg857ZrH6UlSF5oPRU=</t>
  </si>
  <si>
    <t>NEdXUsQ8+dDam3kl5kZLHM/4q5JzUynY5col/RiYKUDqKoxaM/cVZwsbzPAEHzIN2AVmoXnZspu41BG4PLEfcc3e90+79MrDMYYXheaek52tH63Y8TWdYXA16ROwZFPl//89bXuHNmp6UJtgdPjt74iM4xs+9gaveqrshNtKqvknFAIGxJOwL2V8J6936zFFCT1pd25E5ynMo27ZT8DShnIGEG3MCMUnUaBoL1QuhyOkg/Go77tmF9+CwDs=</t>
  </si>
  <si>
    <t>BLBefDhNzA9G5ERBvZw5CAWn5NWC3N6a49WvN7lGmh0xWyWdMa4ldb1oXZJlWt4GwITmoRLDMOpdailTJlVxSp6raHk+fYJ3WEvxEbfOW55PRG3p6tgqcaKe9AxsXTq1uioAHzSBKgrgfgapRkk2dXfmuAp1f4gYB17QuRdVwK40nWYcVq8O6FP3YgGB/duEpGbRruM1Ehlprx1AG7UNr0O45WfoVe2XN3b1z26y6hlZTabdHqRaN2Gnmy4=</t>
  </si>
  <si>
    <t>6xKra0JffSbqflM/abXfBXhpYHJ1fH848XRrUOQ4oBcSUh9Uyj+egZVoQwLG/K97w49H8Ic8WH9uvNPQI0fJrOPVaGW00u9/gY++/c8SWa/s5NJcJf6DFyvP+2Z0DNzVMdzQbDqWPpcuh6Tsz9LojuHduk8vLDa+mLBHwzOoh6c2b6kdJgpIw7ThjsEXCirh2rRaVSP9Sm1avfmcULjdCr6Ak6CNSu9PkXo3UBARWFH/yfXDj+r3XNh+OVw=</t>
  </si>
  <si>
    <t>43adQlCnpOnHB+XTSWcm8RKPoHvmplLkwFlBe+6s5P1vKMzTs/UMWHzSGD6Gzq3BGGazi8T6Yrr2HSpcSltZ7UYhd/5o8lCrXXN6NyUQlXc2DmZJtQXF6c3/5mf93jfULurRYuyIub6aCUp9ZsJ4W79zvacVrIakUisaJr11s9lPpx2YtgrtzqZfUT4xeGHXrwvfKaos+t64CeB718Cbonnnm7nF2TylP8F4KOvhlT7BOtBaqP28N56UzqM=</t>
  </si>
  <si>
    <t>M/E4b+IvWxyNq3GpA05P8ipUDstrzlS8ZtIqvkghezoIVWjpDnzORQs8BTTHaIrEsu3IJxwwmovq+T4KiUnVwMbb4DcXSY5TwBDD5z489Yg0mnyxk0O0IvdEE/Egeef3Ar+AhrdCFqwEY/6opaBJDRyw/p6jojLQhyLpWRfyE25bF9rCT3gbQdNjtmEWHvV88fp6FZdJWotYO3KlwTEfUBAsevNjIAFqWmAsKn1bJu9pDjxInpwtRZH/WxM=</t>
  </si>
  <si>
    <t>10+5Bqs8PTr7bBcCHwxpUnfGdSbqgB8FgifjcEe5sbRSsP8sEzzlKqb3tjpiCsnr4NMl7UjgqHhezf7oLTWHdIaG0hk7nUsmxxQI+/jglTuQgr8Qt0E67h0ybTXX2FvbqabxBwkrCmc/IIUdZcrRfWijd+j8P4oVHW2iltuGWriKO19UaMTNRpPVB76P4nuBdGiLQ1wdZWKeVlcg023OQdGenwotF+07mKpzz5OyH+YPUdCb5JpMIOxhUOc=</t>
  </si>
  <si>
    <t>2mE+Oj17JEOaIhzgR+Y0UjhlyHkNJdtGu6J6BjnNhKAqtLm9DySJlyTHJJL6gyW8v3wnE0R7/6wXUsEJnMK+60sbUEZgpQXnryebS08aOhw5C6DexF0JoDJax1XLr2GmOQIDgiNiGVwhxegtZgrrPZhTERt2qK/h+/hM6eZxwDaXEYVDJgty62lG9TN7l5lnQCD6pcrxQNdSJW7K949+lNDMQeWO2ms7sQP/mKWKXPeo/3Py1LZ+uXpy//M=</t>
  </si>
  <si>
    <t>DppwJsqV4vBz52/cHOAk6Rss011VO5MRFFCoHA1Uzq/CNtFBGOVAAjNV4mFgkWHkMU/Eev7uHRMnxPMSIn5eX1T/tmT92joWF9zs5EAxxGC5+FZeJr35fkVMHebRUNot1eSUeU0TfqlpNs16pKkFlI14eJnTyR+il7L22BPOaQ9ItsR4Ql86EIQUzTmCNPHd2yuuQ7XptlhXH9Vv0QyluNmub0rt7DUciTdsvdTpsilwjBLOQkqIBgBGIZM=</t>
  </si>
  <si>
    <t>e7dssMr4W5GXm17uJcIN00qMD+Je5EQ2cgNnBe0/lk1wCFmTdcxC0zvzAZtzhleYAy0jtsP0J+JsZO3IpPG+yyaTOfOSP+TJ3VmY8ElcYoBY0nyXmLKpZwM2biPjj2gEfpM7bxVrq5qH2jdvoGp4Br2+QboFsqXlW7UXgmlM6HBJH/dnZ9E+419J8Xj0/JBIYtd5q9+1tVJQZov2ik9Z3goZC0kJzDgKVazc6Zw/Kq7iTtLZcAFqd/55tQs=</t>
  </si>
  <si>
    <t>AiFS5l7p+FTMrMtow/Dka6OwrW8XyYjl2jFUkxPMKtnYYQQBdJqvWGT59GIEYcJNMY/Z2uTV41vWf+iF3b/9Yy7AqHLAzvw30rzAwibbWlnDdTt8DzZoZdb2Z5a180eYLhEnYcn8E6QUUIrWgwb/b0oCfxZWXlqS09yukbbz+5KCVbMtPymsGW5eqH4dYEvlfMfO2PRPCszV8i0JwnmAPx7CrbOpOcwrvs3sho9K4nqE26iZb7og+TJwfRM=</t>
  </si>
  <si>
    <t>BRBI87fzLNhZ8+9cCYMeNx/6DpkekQ2L/BAz1PwEEqZAJf8mhqM4OD8bhI5uDDrrU3fSLFY3+TIgQGuEJMK7zneb1MDqQQufXGPfSRP3Hz4nHuyz2NHrsAky2o3otf59kPSSzw5R0iDCh+CzrZ5ITNT/EnknEFH9X55TDe8NG7+/+oKaETNnJAM04R9j7Yj90d5sNcD7oNUFE16x3T6NZaqM0toevCtVLeOdSqPNoddx0Hn3FfczK7X4/Y0=</t>
  </si>
  <si>
    <t>6w2M5kAGM66E95uE6sdujjY7HGGfeBofI9BbdxlDjEkaPFBM4WrCTlPKY/PgOjmel7UGir+vPiNFJ52A/xPdMs3cRJVmpZB1NhMedASj/KYtJs14OTpd6r+pfTvmn4h67MBqO7yeUjaG/wAv2Oyw/B0KYeWXAYkkFUXIG5h/Fe9BchlAUDCu6/gesMDGwPUz18Xye2FHJy3BqeO6ej/tbiDi/x5NuKPAlnKEw1lOIbnN3RoOehMn/KK+z20=</t>
  </si>
  <si>
    <t>wggsNSA+wcUGk/aWJ6Fi/72GpSzta637aLUVlHErPwkf2zQhfujuzAAyrC3aboMgpuHTyCSDa77CuekZkNL86BiedJJUd2r4YiTq0VY1qDYtGY4KCH7az7hCS7p+5Z9T0r1sQNFctDfsQ13fqerFhkyIcredwNZZVIqkB5gNlTfDV/tyIZXClgq1wgUsfGziaXfSkrKvL6BjA7wW5bWNiUlvfoMG0uKOQNTtJ1zaCx6Y6m691AMArseuTj4=</t>
  </si>
  <si>
    <t>kcPId8/b75luQjZS9RczdLcYyRzh5D7iQJGMgv0pmSkseRezobVeI1rnumERSRRFbKxGu8/Z7KfBCleZx2lDkq050GenijtewOjQIEHQC8JdJvYbxEy24QbP9vfiQGoPF98Gez73A228XiQbR/Qceb4u2WPToKUrCQUTkWvjaZ6AG49OuFYfGhEoFEdt48LDjMLczXSX+rB844CFuVi5bxzZ6bH88nojHiHk/f9tN2dMB2oaWPigZjn6iY8=</t>
  </si>
  <si>
    <t>PoQ4nUfECjDRau5DXv/LC6ugdPqxUPqYjaKqOuEnsaohRqFvQmHS0yGaB/xJLUuY3Ph12Km6oMh+lGzqX2hjj2wTqiIUoLAFg7HqI5nT9wv3AAFnVsqApB26zigCccEoBEMlN31S7Uj4ucsnQ96G28vrLWYbKurX+3FORxcJ0hVWa1J4IUnHraPqQVvOmnfiVKriuOr7QwpeX5nY9zw2b+bb/FmxiuSO29+dLdcEf879HFEm+t/+UFf2svw=</t>
  </si>
  <si>
    <t>L79vjgniuXxHyuq6A2a8XCJkd8J9qeuE0i1H5JlfVG63JEIFxYMk2dtqf5o5TcLhw3+nhekRElKh5ENzaqqBMBkDaebcmDxDhJ6S+PusKVDeOybEUdglCsRmZ7rQnfXo4NCKAxJlEafZgzjGV9YH8Y9vYNwE2qNIHa+uvvHhVGF5C2j8VTdGyndS41Qz+ULJz/cmr//xy9pajirfRFDkvsZfajmpFHCKD+tVSUxFGJPX8+v6pac5Cr0iy1E=</t>
  </si>
  <si>
    <t>ZTNZ+zeus5S6SYA//dtHevlnszGU2rOngBQ3x/8KLRVvzr6qDB2dZDAOX4jgdWHt1L8nORmghOqfRYkmpqUgbTNW7Sb9SyUwHji4xsRTI8qC3JVCdcyXRvBST6+J1dJdsgRMxrK/zmzed7Ck1lPaihvW3AQrlSwpCkXMHLN00PMVJidELPFUPVhVrafBepOWlRa9ALFbadnlWDkegfcUBnZSvFe2bn1IJS8+r92xFWxoQkAWaWnwjX4HgW0=</t>
  </si>
  <si>
    <t>NgH62dfDGNq9FtY73lAAZg/y5v0HlInCkZyMbKR2IPfNsQVjoUSEG1pEWO+qwoS5s7RQSKIRmsleWB4vN4qTcd1KDEdzPSLdPAAoc2uaEM2yfJe7XWaxazZSzcNH7QdxO+kcs2g7TcOnLcdzjedGOcsdBztn4e2/+MYfixluNCY+vloq1lC71e0nQGsYmNilvbZSRk+ZbnKsOJI3huwE4dIyKNXjZzoLaftShxtVFAnaiTbp1D7sNdDDrWY=</t>
  </si>
  <si>
    <t>cL80ZNeu1MXCvHHVR7vJ8OsEDynAV+IUEiUuLLY9Y3K+CZ6KmzH62a6IWMDAo65rC1dfuzE59MslxMt7GIT04ure6KgNrSFvC3ADyUPmYRD0syPDW1hdoDnwM0BCzJaCvqszFQF8qqrVygdIaCArNxt9NSkCs9PzQWLRvA1ZMzwqxXqR2c73Rtjr9tbR/1Bax/ShVOw3NwhvX35CzJfuFFQHOFZdObyA7J7RngSrkN9H2jbHj3+jlM8AKZA=</t>
  </si>
  <si>
    <t>pglWPx5XZMQaN7m0KxlPQfjmn+uEJK6OToRUeabS9zvbPpmnQa/cOTNNeDLYu/F0R0KsWEjU1CEDBHZW1Ldu/lm7C4KKBX/uirR7KZaVTQr9qCBNYGXuxWzqfvnQnuCFWhuHhTEp25wp7v6YcgMEpphg11B6eQ7iaUbRAd7ebbMFcXardcncdb3NyQvNHDR5yjcALzT1OWF8DK26futyk/ic+pjTl+QwCLWiledtLjKYal69B0t1w15LzHY=</t>
  </si>
  <si>
    <t>HWn52FhgBOJvKyjLs2uNGo0csjRY3qY1DVeu1u4DvM1l4uPza3M4C8SjAR8xi10FnWKDqOwKoM3qj0NpKrEOvLQZU9jfhiTxMxK4ygugc6sf7/zeJxmt+wolit7zxaVuN0dlvH1Xm/WvkNq9bfxErzhf3hQa4IixeirRM6cxykk6QGlj9YAeeTKgrNwuRD37mU9SijBvg7Ns/DlMOuLroizxgDu6Bk9/1oSf9GSchsHG1xxh6ItPtoys1hM=</t>
  </si>
  <si>
    <t>gNpsMbTt94ls6mtzfMGsPlXEw9xIlnRoKkZi6KULaYMKristNgkLSozo21un7I4p4ELGBo5qq8Jed0L044Mg5JYnWDL5rz3O63aY7ZzTQV4+70KSd/0PpYWMibE9b06X8t0Yty3689RyLSJyeKGvV6PoBFGbtPTuQ2vKmCC6Zub5yAxTtMPxtQgWUzgkwU4pMCcwJhzj2JnGYoS78HCIAyQ3Jw65vRU9lkiDCQsVyyymRX2eQf2UyPzYI/M=</t>
  </si>
  <si>
    <t>8Y/IS+wMzNmmjtQHEE1/ikIxmIsDTcCGcWN1TJkdxzz5t+oZbfUby46F6JtCvyTja8PkqBYeOon1+g4NzpQ7ve46Cokgyl9lgx97SdWtlC4dHVJqwfF1M9CsCsDqE2nOJ7Ve3Xx93IlFjztFXlh1qRNoj3Mc/HDUaj+0G/C+7AdSCgdHXEFtKrT6OSVWJ77wju2euGhWHJxWmPa5j4nL5sHdqU/AJbDcDDHiJh+WZiRxB1RJpesGf7tdj60=</t>
  </si>
  <si>
    <t>rMwhKqEUQMSX4i0lG6kMH+ZQSP0tvMiEpPDbXuKx+7HHXd+xJRv7lHx2MBcVJF5YkBQpwMvxWh/+Go5mAOESwyb88Crh+adI+xARxUn8/zuHXdrMPBlPRQLLVQ2ztnv3AZVElo03N57I5gbYv7+cfyggJbF1BSZDgbg6twbUiQB3AYjMFnHdgOO9tkJSsrZ6SdpH1b5MNex1VnIc3xYTGHLYOaI0ZHVBlZX+1X7rERL9QuSjaQ4bpFfthyA=</t>
  </si>
  <si>
    <t>eIkkF+qwgS90yZ9D/j98Rm8B6MUNMNgueXFdENzF7ocPW2FHUonulV9VudHTEYxNM3mF//SKXGnN+EZsvQ0txeMFtBK8eIoa0RlLicnOoioAcKDgIJXNqjHWLPofRGu7auESjbnIpfDJtulYWcKkkxTvEKVQQ+2tT98FhpChXNrf7TmqZZBjYzbsjjUP1AJF7DEWonlwYJA1dCuHPl9gBJ/YD2iv4nqq5DLRefaQfCThgM3tpzT3YmZVuHM=</t>
  </si>
  <si>
    <t>CU1gQQlvoTIGQr1g7lT9s9xcyVR2OzC+rLOwyogW858oIlzCSNep2n9KY+8NGFzJwkInxkWvb8wmJvHpaEOPJqd/GMVVbOMz4HN5oxa+d5F5h6E0+pXdzdq2I7yUTqyeXyIZqtVwSx8htQ/uwbd3Nk8Ntlx45UKoXi5ICL91b3LEfE8fhgtj9jQ/12Scu+GZABz6Z8Erts9NQGbZfYWUDL7sLqJJw0PbJGyssAGEh7vteddQyXKSbxaX0cU=</t>
  </si>
  <si>
    <t>CPBgSADx2i8epGRCffIYXW1C3mHF8Z1VpivGYWSTftXjJGPuzS2xFHk4cg8kvsVy4ap4LONwUDrOlM7l/3FwCd8IZ9EczVBFR9QjP2GRHP/7eckHNn/RLmY+YBD2ZvwKXHq7k4bbhno+05kcF4s017yIEq1P1GaSc9ce3DXDBsxfyhUeqwkNf9NpohEK850jiTEp1aEXEERehTgFMmDN2QlCk9Cw10ncMb9h8CNyPYHSw65Le/+XGcBCm8M=</t>
  </si>
  <si>
    <t>0d5O1lNCXU/S2kBY/npVbh9zQBPy0ZbDqAKmYCI1hVmj0Khbet0h5MloSbRxHRNf5xhnzf4eBRYM+q19TjoMpwLmPplX29nxPHqPsqGXTR2EUSdSX1hWA5XoOyCtIMDAFkBFvMupmxT/aGwm0Nq6GSqGmorYAtN+v/wSpRPIBRY0QPCvcG3ZGSdYq7HAUyf349upMQv8M6hgq3gxQKODg4xSB1QX9Z49kYEmfk7jDISXHGPmozdWBe9vVfg=</t>
  </si>
  <si>
    <t>Dpw7RDCCgFau9NchDcE/TcVfTASiKpZM/ffzumc5O45ktoU/KmcJeK0Ye7cNzXwYE2Yi+o9chBu6Js1V0UoWvYRGtsU6x99OOOOJssvMPpNiHEUBVtxc3ndZR6rsgSlkY9D1ATngJkAG+F7Hyxebjr9HdVtT/jUEUBq6Ay/fRfTiteIKcR7gCxGmVh8+AzlgrnQnQb/XskNL6Jxau1HSzmMw2wW6t4FhhJxhPo26H3P8ee+5qoGbgEyLtsg=</t>
  </si>
  <si>
    <t>RhROIu1UJiKFNrn3n9oN5jLFvUL00BA1Ag2ah9Uv9WcPHnYYm3HJOP+SM34Lde5QLwpoPlCGkJtaVEyX6R8KlvbeOZVyGB3qjc7qUKgdvuoFidnVCF0zVeMVOqLOsuWCYLIHj8x+4NyicbPOrUxR67ECk4mNqoOc0NE3CDybPOa8ivC8XpKQLVmUMwC4kXx4rIy+ZVFghJt/KrrwdfsBQBzPlZCTtrConh4DOw6vy+CpzsNe+3YtoPeHM5I=</t>
  </si>
  <si>
    <t>tkc+U96coeU3FOdOvJNGtEkibcSoI946GwtmnCh0NatHoNO3pPzTULnVqbpyBUlwSNU5NKKUbHhncfACXozcICOZMUeisdkyZFnvz/FBVcs3xQBYNfqSSBaJ3b1xU+pNE9VEhTptxLB1TAAKORvtM19MK1ZF+id7QObEeMy7Eb28ZAgfYRqLXbYYZz8XqR68FrMM/HCrq9+cIPBt+TFimUQIeNVT2sG2p49bl0OwgBMWjP5AxXjH6iIZ8N0=</t>
  </si>
  <si>
    <t>KhGpgXKYcCYLD52AZv1ln4dFffacCQGS3rMJ+DIfZ2Wj/ucWZbttFiCNJUr8oo5+SwQ91lNxX6V5+jo7S7+Wl33J3Mqr6zII8XvidodGaixvSVnWbXlP1AM+Il2QnGrLC2ZFCxPS6EUM+34C5k4hZlhSO5akigz7EFgatfe9dUidR6zEzPynnjqj76g9PiPD1LD6MYwnvGC/sEmJ8L4NB0UBsnsA/Y0DKpC0sBTqMAU5q4NYOjLJbqTngeA=</t>
  </si>
  <si>
    <t>SxnPd/gPNjjeibUZ1eWweRn4g3hZYBWB2+q/ZItPzdSbyV2kJSR/O1qEaJPLPEXGl/hfxZZxEZCvLo3Zd39khsUuKslOrl0qffy/zqaVHg8AK8/fnHBJSioOtZuz0x1uOF41f/vONp+sERzFn8llcF8bd5DL2rlwGGkUyX6FDv+X+qPbRYV8XXjoVMo3TyACf9njO+jS9ti5gGdRCng44vFeimuY1h6MpV940Fnv6t8YH2Go1CvOzeYzZHE=</t>
  </si>
  <si>
    <t>i/sD8bhdRWuf2q+/jsUlfzWFx1diAx8YjOAFDiGhCjnhI/ohGJtYMeybyFO0nwqYumAhltAU1DOUx++lL8wWLRcaKt8chq7PvoAGOIjYH4cd1EPn43Gzpx6DQpE0SHMM/T6PAaGfCDwZcIBPA5zJP23KKBQEhONT51mi2NfyI4QSmXj4Bs+o8Z7snUI8C48sg8LpEtRJvtbRxvMcuHw9qCZBcOlLHhXgkCfgkNim2zrqO4hvp+n14mI9dak=</t>
  </si>
  <si>
    <t>oR63ZCQf4mgNnw+B5ianqCX14wIcIglyN20awW4brxzVVzWvhRzcxrwoBw2eWaQt5NF4MkAjDEHfszNUINI+SO42Sq8sp4GU0LPUIAA2ch2ukE46iQW7tIALg/nebXf7nCXT+4b1pIM/L3+4EAsHKjHQ5rL+5BoX2D/7ylD9pvXVDU0dPFwSgP5NH/moquWJBjBbHvLf9emBxBP6oml73MUMZ13PvL79s0c5uhs7fUXc/MMpywQYRHG2n7w=</t>
  </si>
  <si>
    <t>flk9CvVgETPzizbRM0PQOp2Gud4JtOlVe9mrA/1ezHCyBukO6iaEWr82HszQupP0/R3o0Tt4ELHIBkok+P6DdUYZA7QZNyOeM7iP5gRn+EvVaQ0WRIfdbqwBgJtmYu50n75MrCnx8hdMbNnkvDBdEMj6XCIERGbJ+mvWU7vsqmomlBbOfgqmonJR1YJJsiIcCp2dc/N/v7WukRs1mOPIFm0aDx4up6gjjWSRuuAW5zZoVZ4+UBqJIDwa0S8=</t>
  </si>
  <si>
    <t>CqK3OUNMUEkEUaGvTukcKZ6M0HjDi8Jr3N/tBw5ic9qtCwfl6LhQiPnhRwlzr4Jc45w07d2+BaA6NvBwA+FK5Y5nPVd2Z1bPj8Ta2uxMIrz0tmBMtsbpquwFfMstZOThd63t2uwvNoWKo6gUWhFTx4hgpObmn3FaNVZDfV69b9Ncj7cmiN5cZnyv2jt9UVpeWHi/m971lHe+kK6kIlezD95c28gIWAd4JkQyyHB7g1QslcoYHRywiwCrT/s=</t>
  </si>
  <si>
    <t>tjgu7Pv+XDMnU9nu2+ZI0hjpCLB0AXFss28jv8t8yvcMgPPCAYMZYfbRbqN1fLVc+0uLE58UWYThzY1ZqX2p9omNUOuAjqr9ibz78bGcwZ6rz9xI84Jw7rmeZwMr0gL+b996Z9JCI0ozaWMQQlLo0zgapZmCkReTywYz6GNt2edwXsZ23wjhF8z3StBHbhJ/7STy3K8uBjJ5oxkS4niwo3M6nOZOVuZdkaxeNE8euLgfgSVXpAino+9GCCU=</t>
  </si>
  <si>
    <t>hicffPPpOF+a5g0G1gVfloDCkkEH4SW3xqApC90CSr3rK7XL+hawCMj0qSxfoY+FKx1mlbLTsNcOObkpuS3m2tNuGDBhkayjBCzf4bJsfWm3sDjnHpIsmJmv2M6xfR7tGx2ZCXSJBcRohLBMlQNjQuwd1hIYJzJVtmLI7xNRyHvjwQU8dKdP9KPFjGaCT6m5bfBF/vscgEMyqTo9sRYYXIAx0/uqigA4f9uy1FGuaNUAC0UO7kmHc60QRKo=</t>
  </si>
  <si>
    <t>ooRfN8GgHNjxxumAI26YO5Yc8+v8ZpGRvL96JjyXxHVhwpt/gAg1TOA/Y+vgXB5moJcmxhyPwHcG3V58EuvC7rMROGafDpMHR5vJ3i6kxsNx9n+XDzY5Px/6PZOu/hm95nNtfD/qz5kfi/wbY1cIonf0P47YulkMIdv6L38sBV0YE+TgtnjSkvVKUcFxC9kctZyM0hcWe+enw3bbFIcx6UGwdkJ2M6rN6f4IugBIdpGNBy2Tm5Uv57r9+7Q=</t>
  </si>
  <si>
    <t>cr3+kDiCVUN4h3c5Xs/l7rZJfSLINXThkEaD4f+RxOYJPM5R3H6ZmKcAP2tBn628snk4bfA01NRfOivFB9rlAuQFkB4HX4VAQcWdxSxS2M59gYX9R0aHN/h3iZTBB1ICQkiRd91nO9L3fU0uqNzqg2LgeALUiuFG8kwfznz8726zgQyd0CY/4L1uRezaKrXVznvhuh+VeP9Et38AKYVgaFgGRvFo0LBE+01FsV/Oq1z2bbne0xjLnAyPr74=</t>
  </si>
  <si>
    <t>Ai1Xz6SRj89514XLpmSyBDfHxCvv98mdfK5AQboRQIVZs7PhIhRphuP+HvjjTxTKcl2Nmv1pzgE1SjuwjuIsx9dtYW1iSpWkXw2dDQ8OACQxEd4qCUQ0L4yxeLpBl22d8PWxKaHhzwrMbyWLfmsO4vkVcq0XixWNhMgn1kIwo9G1HnWJt9Jd5ICi/X91ffuNwz/jhkDam9UAUJm1YCzmpFkMuRr18AoTa1dmzkwx0+rjeH/5omGPH1WyJQs=</t>
  </si>
  <si>
    <t>j1vhKXLR4002q12iw8ldia2tkKPho9bzizxm2HMhXrEP3xw1tpkFH5wwW9ODFqMndUuOV/Pk+wXep6dbOBJdEG6cGK4YLF/hEUhBYVQAbM0DLA82HRyx6NggDWzfOdguG3G3JKXySVCUhUAg/+DSKfAgKtNY8RK1SBwwyRl2DVYXJUv4aDPsGR1O1a5xxXqRUkotG/Tz/smF6EOXXnm6U5BiwWX30ly7ldYBBHzPIXPAFSCJqO5fFapVeW4=</t>
  </si>
  <si>
    <t>3zRcPiUplw05H2s7Pj2FrRyvx8t0uimOGhksUwFKr/P7VmO2zozwaKTGBziVvdbjmfvTtFmCZQbxmWPVbltvg5fRoTNJTJzP9cxdnRiHmOzDOinG4Q0o0muvjZ2nQw60XJc0pP0AHrvQxZvQWuPXYHo6o1li7lGsJby5WuayycSnag0RD9HffN3I2ChzVpD4v/kKgR8YbbfRmGg9oxiL0N5BRzxn/NqQIrSJX01pQNAwO+nfnq4iXarnCC4=</t>
  </si>
  <si>
    <t>Ck6dv2twuFrvEvVI17NWPmABzrpD14SrVjFZz7ZKlrsM/1471JlX2hXDVzFTdVj9BPZ41ESDx6NjaHCRJo7iuAVPg2popT/HqYfthvnQsutyEDkO/Ehyz0bU67Ko78E/3BnRFASpww7wVIp3U4oh4o20NLuzQUXnGa+AZtXmOqNLYPWrbLz/ERpeqw3eSCjLOgdDoUN+rYBjx/TyOtt7FBpaFFn1sZioTg/GKnBCIR2ATM0b70cncZGjLmg=</t>
  </si>
  <si>
    <t>/Yfv/koNI8p3s26TEwhP4k16PS7yzyvCIPDw4aSeOlWNLHKylTJoUWmn9kVuuIirPeV4IFWR9YaYoZLYiD2FjRTkmmEOlFDGHZaHVUTbtWQn4/zaUDz+Srht0smqpVDZ2J4wkw6ND2agjIpfZDb0Pprh3Dc0tNXCgm7tUzn0PwkpztMwLrlmGuh0FnR+le7HavY4rMt1m5WsYU3koUTPTJRarqwJFYEYMLJ8ifPICCnDENIuxZhzG5a0ihs=</t>
  </si>
  <si>
    <t>KzSXKvw+VExqagXP3IPOfAJzlWCWaBx+GNgDvV1ACyzgfOQXfFN0A7M2nHUjuI68pMkW/H842G9CzJVyZi0wmAYxqC+WtC0hU9dM7JJhxlD7/myH8OWI/W7OAzlQkgG0YOOvPRuVOirrmgqK0XCZtKeOfE0nVYaGtN8hKtlDVVJ0SZs30w37onki2zXKJaP/quNantSe8c8MKGqgIV99K6RY6VDzZdAFXpa8TKmBls2c0XRlLL2v66wRYsE=</t>
  </si>
  <si>
    <t>domVogAawN9Jq/G6Ys1Xzni0bpJLXZJ0adqgtMduIm1DUJ10bBgTYwszOoxvqQkB+PP5zmHkysY1LHcWUWWdugTUmslFGVNaBhIea5yEN/QrZ+FdrPg3qlddXLk5Z3YmsvdURycRp6WC24NUu+/3Lnm/5ydOe2nVrAwjStChQzSO8j2478MYuhALa/4AUjp3BCaeNQ1cKCtvmDKbBuJQRIrfkhUMT0vsVPTxiA0qI1136cCGJlZhqS2icJU=</t>
  </si>
  <si>
    <t>NUk0y+KTvQn9LxRQARJXBd2PyZXnyzBakFK/NnHLGpmT+EtDbzzA6sMS1ZUxf1TkwsSBqROB5xNa6/7lVvuziBD6KZK9AOaT0Nu/MYGsGc6T+KMuuokRLqpG1FecMQZxk5kM+s4tMvpe7DX+BFDVTHrMB73tsyWrydV0kxreMiKxJUuByV/cCX9YcnZYFdrlYwSxaHCssum97xv9JX6Y3fkfTFQwCPr1s2IKSnisjillTDaH6XQaydyOEaU=</t>
  </si>
  <si>
    <t>W3Z4iIrw14kbq64pimDVM3hyVnKCcYcpue08LTMKnxE1PSdZnyxkDoVAJfNSezBWlQxC8uLTC1fSopGJ8A/M1oDxIM+MhG2jxck56LAtOcHRMfqI/IXhve0BWagoTlNHurTLlgXpOL24c/1gbCnQRwWUBu010m37tKjVaye4Kau7eBOsZsb2k/aSjaTtlSA7xkkmtWobQeGvgqmphI/EkfUzEHtWcNQgeV1dLjMD2w3Tz5tShCA3XROLf80=</t>
  </si>
  <si>
    <t>b7r9uRf8pHUxyl4HC+gPCjQpkfbydYql10OhAIjLoX5Ar1qghQwx4bCiU2pYqirEGtO6UXAB1h9P2FfXY1BOIpzYyBmPyD5Ud3Dx01rhRU9gtD+HeITVy0xO8Nb0G834gk415TELgb6Hv2D/MLBFhkqj4a2IcEXsvyB49z5AJbo7ohb6qirJnBYU48BAfVbbjAJYarULS0wsyG1589N0I4RN8VFjbgsZ4rZ7M7Xe0qvqZrWjQGy0oKPsT2c=</t>
  </si>
  <si>
    <t>y6oHsaIgHwNKWmckFXNVQd5wr8PpZVtLO3q9bD2lG16xb6T4cD43UB+7AE3cwRCp/2U2Jeu0vjQwnzvg2m6B9KvXWzUK73SP2yZvCZ8etANlM1QXa8FBkXIgDo/r1HOcLOyg/F4GMSmaHbvvO31eQln+MhDXQv6cWdxBYrVDo5Kin+rN1u0LjcYnFEC8d/6Z1nod24eiV5kpe0zZZq72cCfzyZTe+ayZr7zJ5RoSuas5nTFTsbslsm68kuc=</t>
  </si>
  <si>
    <t>hyU8PHVLlCO2RggkqFVToCY+GKCPhteG89M6eDJm7XRCUcq836m+RTFfhg8PhCZweX+WPKmTaRsCS4zZ6ck8LFUkWb4LhMcWM3xEsUYFC6pcJWYBhq+uvzKbwtjqvQWspa5h2errwCu/czRI8FIp2t9kTYPO+udRZPOYXlba3M4h8mk/gM5gW42NoimrssnN3GHySdOJ9fDCVsJsi838sHv0Uv9BG0go2KlMzKZW61yGha+jnIRrtsp75bE=</t>
  </si>
  <si>
    <t>gqARKhOEGF0F7f2vgZocLmnGbTs9rF2KpIKRcoSmnxqhB2bmp+89luUALzy7jxd3oH/mETK3CyhB4SIs+WWixi4MPzRU1QhvefJowuZt5bhlqnWVkI7xrZm6iUgHcY4cVghjVr/FiYMA/69aWHmTC3LOaDOBjc6t1rmkawmMmkfT6mU2HLJuP7FIxX9DXFMWqBtHug9AxIs0uWgegz27G1XvQtmt7Mcp0qHdz3tEC7M8nvY4tKgC8En4J6k=</t>
  </si>
  <si>
    <t>4H8w2n2uNshRA/Swv7oZRTkqvluAKUO8PaGB09+bJ0aL48Vw0nRchVq2NWbk8IBN9tyCUzNAHniTloaPFxc4Adt+KN3OVYTRqgBXI0UiTvl75p0y+WYCqJGHncRyDhNB7EqIlaa45J2BaMKFqbNRvVea0jz+mw+KQu4xqj8T8qEApOgtO0OQbCOEExFvkOwKlpa5BWqqh1Z1g1tloO3++URVT+M1tP4uIFT5GfM7pPlkvi/XHHMojpQwvDE=</t>
  </si>
  <si>
    <t>W91VWrRaffNjtXMmK4TJGbrsuiqmVAJgbtJZjunIrC8Er/tHoh/KMvteFvAtNH9J6gAvhh+S6xyG2YI/zPuQ2ZKVPvTeiHWphac07H6MyCmKMXOoplklJWukhtdlg5NJbyaG/lo9AQTtu6bJPOUv4cVKj+rJ6vj0RezHQTFTItynn7jtRb9QSyldsB3m029JyfWSjABlddLIcDoECitSKm0/wtLgdh/Zd6xP0JH4ctWMA8+xVDM/oBkh//Y=</t>
  </si>
  <si>
    <t>RNND7VVG+26/NHyNghEnBr/SmFJeNOGgg4jYdCFUKUVsKxTkdaqCIyWR0WhTNGt2vKvn5uLhuKBwVMhVetBMpOdI6RKnxJ2oyfCwdftb4w2Okn3HxeYEdqn+1y3u6gYwM8slYnXKX9mUD98/3Ki3eYZJrvuG72NjXao17XLuLCalfvtc1AzuoH49EseGkTQK7MFYj4YR9O9Yxpue2z8CSsaUtTuwiqKxF7ZJ2kiRu1hzofckWM16/TmRCaE=</t>
  </si>
  <si>
    <t>cFnqloHKW2EECwtdJH9mR8nbKo/yg6eI2T/UXVGe6fWwn5BbKPeEHNxdXLWMglpBi+LhQKw4ebwWS6zEpep/HgvWfnYuz3t53jzkn/gGaCheF9b7J4+kKtqWaowZS9jmjZhp9a4iHsEXQtNlivVniy7VCl/edznUYdyrDxXT/U/Jbzw9hssg7RdFpQlb7kTujZ8I75D0gMBJbyMlZYfJqrEc+rCpcbCZ2zPwcESFiesJ/Cf5UQEg/shApJ8=</t>
  </si>
  <si>
    <t>Piz2CbeRvOqUjOly5agerKaSdt0w5zVAXYiH3rfY1KUG1ep4eV2FvdbjyqhYblTnVbhqh5DqglQTMsGS76NoDStG5l2BFaIqOOfNjrEUCKnDPGwCA5VmXwvheeTUNDdU/mvFhFvHzlcnb6xHdI6UqXG8lq6GwETkTU/1TpxpjdNdsBZOh2HhUNwTKALmGOY82ISNIDpDqmGpNDvaaGIBTjXJzSn2joSM6LEos4+2I/WECAm0ObJ+fTG3ZI0=</t>
  </si>
  <si>
    <t>n0TCKUVRa6WJ/5pQLAHvPsMxvG3RaJrmF4iPfI+O/2+d1PjKe4bYU4qEe7BizhQplpi+y0V4MQ1mcLKJCatSdChu5Q0boM8scE8wdX5Hgcz70CfAtU77zbdp6FOi3c32znW7ICF4WQfy/v81XfWyJz8Dkp2mJURc4nzpOHWEGBVvJG3OWFmpqKrgGa+CAFlvvmPAiv5VotTU6yNBFNL6yLP/u76DrT+ofePQtTREV8zFusNZ2iUr6o0RyC4=</t>
  </si>
  <si>
    <t>lnjpgAtwrpwYkKYxQUlpkrKmAguNBn9MjezixhHYf9gT3s836aWM+O6tXSHwA6qHcTU/wDCpX5x2yIaNyHFFNhssZGqYYBNCWdBqv4lkZt05rli6OJ30fvJFTKN9uEppW5UfCtKKN8fJ2rR75EGI6N0acKZmQ1q9ZJtmGpKPse6y17xRNbWJjSOt0ihFoaT0kGIYGUsYNTCoWu1oMECVVgu99vl5bbDYS9zZDtTDermIGLxJ+oKZfnp/OZk=</t>
  </si>
  <si>
    <t>c4MsgF3JEzSx+R2G9KiASmgcS+nh2CGuaRf5T+4PKFuhD4WUB28rCUWmJKTCigCIJXgNhO/tGFp3Xcfm9OfjIJSoIrhWv+M1xCxgmzbMiUqt5S3Rna5VrJfsl7e7dEldTP8wF3f/6UVKSDSEhN5WJszmrLd9QCqWyedfrZ8+0vHUqd/iCCNzpGk5xkAcS44nmZAC7NQdDuoGccMvIqxmdfEz+ooEHHZlOGMnMXCTKQXoDMIkNP1TohwsVCo=</t>
  </si>
  <si>
    <t>a+5RmYJX1ZNIO5kqHEd0Ov3U1mSB0Q+E2J+AvQTz3eR5OMdM7Kb1j1G56Q/jnHWYiGKHExQDUqImaqLjCmJLbHuC3EB9vTMkyBuU7ivkdMKp1De0Sk7g59mQHXspnegrNa1HPiPVtaTghCGR/HzzDGbVzcJ4t0HjZeNaJGlKm9qdIz9SsK7nq2Ixl/c9ul7Fx2O6aRGeh5n5vJ9AED8q55Ws1jTGdyDaJcH5A4+iUtOzOdatwZHsXD0c0lw=</t>
  </si>
  <si>
    <t>tZPco+7k/21U9Lekw2SSaTk2IZwmwN6dgmOxaAJMQQUV2+grWp130Kt36H39LIk7INImB5vf51SzttdFKlKUz4kjClN0i9A/E5GthwiLju6N0S0RQ6KQA4BzmFBcEWRsGYejdQKQf7C5AuCfEvgybCEgReW/4JWXbufotXzGASCU0IAWHVfKASkohckmWw+/ZwXDjALn6UUb7UX2GV/8ZKW8Q1QX2rAQTJatPqkIh5qEamnF8sZykycOA/A=</t>
  </si>
  <si>
    <t>evX5M38jqV7UsjeCqFiaIzlooFn06Vs0FihMBRtgVYWq4SHgXNUmSuT7oqaKexKNy0SY/M9PVjp7wqCKpP7q6Emz34SDlWGV4s31BWUq9pZTfh3RZt2bfjXHbU8iQx6umitPKc17A9zkuSdjXtBScstnQ0sZzVX4xdz/BXWjFY5EeMrQovh4EnytuyH4nvZTQ5wpZR+3K+j3jY7IQDSq2thUfdcFNlXP08F9/ynQ5zsFk/FCfQr5ioGAhiM=</t>
  </si>
  <si>
    <t>5uOpRfj1d9Kv8bDw0yVuesbWSpI/a7SLBlSWWqKwI7sABFfXNgc+Ka1hqEb+WLp1Mofc1CIsxjO+aKBDbdx3tizn/5QQi9Pwk2UMy1uE0qvwLIuXj3SieUI3XoVFYlB+ywtajpnKYy/Hpqbt+jfXpef7K7j5ATJKOSMjyHqz5AnKxYlqDpLmvLsRA0jowcyvSWkn0lDbVimUr1f5IkLn2m70ShFP2sRRJXE+lEkHsmMsAtgTVNw1G3ri66w=</t>
  </si>
  <si>
    <t>ZigiMrqSh4Nu8nkcoIT98sGEZMF8lxUqR1QFg9JTfy00TGZ6zdMZyfcobuH4IUIRGf6dvI+ijVhrCEsff/xybMXHyuhueKdSXhMobpG+4pCoAgL8CrfiIjWFprAKEZRp6/ecYlmOuxZ8x8EiH8LrVzWKBsfxu74n/xO7KKRNfKfKomJuzJT9GSJQpQsxcScfXryHlS+9Bi7HjLkV69pe+Tw4/mMrQT/goXYu1zKC7WVpwoaOpDiUihTzUo8=</t>
  </si>
  <si>
    <t>1hdaQoJoJztVDrnrwSeYoYqZmP2cpS5AqmNKkDbr3Xhk51rFWG/ER5O48ZVJHBRovCMLE381tGrgA0fI55ZdaKSj288k37FrRk6ABZiz2AzSMs2wOU5/d6VFeHvnVbTowltah3xPVtEHtpJvdqCbK+hhnk64bFqpfvbHJURzigD4Wi5D689LC+Mf+0L9rlFBJhcxOVLFSY15GRHOz30jL3cYqYT6E8ted3oCC4ih7q8uObzBxd4HMD5BaZQ=</t>
  </si>
  <si>
    <t>jml00ua6YOdMO/3wCiBpqmOh9f2Udd/HgU2FZRJhmxKoFLGNV6lGPbbBiPifD3sA6+Qf6HcBxAaefRMYVkoyHaQ/ZoERDZVl+R08DyoL1ioow4eOII8zeQ7LliTV1betF2ThlhgT2+DeNguYs+SGtKGVhyHtRNTFPGoRy1lJ9Lejk1rQA3R7awonS8IlEeNdsYgLkGR/7XLdeVjpjtGLrhtH24WCzU2wA9ZzRWxGfm/oOzxM1cwf+14779U=</t>
  </si>
  <si>
    <t>5i4PpfFpfPrgBW3QTjk3Qt8ZB9OkaJol1v6j+pO4D9iTVoJd2L/Em/jqkL8XxOb4wbUA6JzvhTbZ09gGI50nHKnVWyj6gd2ZAJc2WRsO11sjk4Kt/HOC+SzlPH5+5H6zMu8EggerCGjGK+AS7S+4hOnF8gqDGDQTP5uYPWM0HNIsxU5HavX15RaNNaDSJICJ457+ETO7VMQcYQ5HbJe+UitG1zK4x34W8zeOq5ljfqoEZoeFca9Dx4L00w8=</t>
  </si>
  <si>
    <t>2iM8Ra6b32NRJeOp9Gpr6yAZEAiZIXjF4Jgz3KIRzQOKztGKNpszggbNcGvSkljPPA4mmf1eYr/hVYbHSSHPRKOKQwHUE7skYY4gcJHtEZVBrBV/d7yeCuacLrj7pvqK2rG2O2as/NSuGssb7WdQv7jHqhhsWms88TsTHaWonaESq6UiC4hARrdm02D6K7jfEYZV9DH8ucvpKn3IPX13QGW1dRJCSlg2Eld/KCHT0OAqeJvvYbgI6A/Qt04=</t>
  </si>
  <si>
    <t>BPd5Mals7FCKe2j5Gp3aJXZ8ZiQv/tqWvVGf5So9bWkR5ZLcF6cl6QB1apQJtC9g1FzI13rXtxrlJ8A1nJc/Vl8L7vOV50vhERtMu/ik1XnXqPA6R9/kXu8vqJ8bAaM1A7e4/yyf/Awm1xP/d5HFiTYqjFR199EENiKKhSWBzzx09xGYrXaitt9YufuI+MVuHSf4shbTgQrCY6nL8ZPgG0+IX4isIPBRN6tvndEM8oFngftmYWxspGAvFf8=</t>
  </si>
  <si>
    <t>30zordua9kX3wvaa/ehymhJolGsedPUT2ERrphrbgLhx5BYgKa+fXBxsc95Nl+BiNxXci1y8N5wWj62AKUIExKy1yAbAq7FzfeCxWF/GjMcFbaPS5K6AhDlM4aHmOWC1XP+ZVvIcdBE9AGkJ07M58YoTg4lLRcHx9AppZP2wLAupw+pbabERpk0L9nb7xe9QtHPLPmBtsObuJKof/fi2ou6zKDso7YFIkj+JbzmDz3KOyR2ZQRg0ATlN+dM=</t>
  </si>
  <si>
    <t>u6xKXqjwm3ib89bnNWdNaFjZxjxfC7IOSpQN21l6bfr5McYRdB/dcM/zdr5CeM1qneV4SlFW+9qtNv7+RZLhtHJg+CASebZeBoLtWbBNlIYCF/Myu7vqkA5I6iWlsPDp2AqxYVHzG/Hx5qWudWyEqPlAFAA/6qHjEOC3YJydA1DPeqxlGE6NyAr44Vh84GtC/ib8ePwySye73Q82JSmhV9kfu1Lsw32ENLkSo97t5U+OwfVXexWu8ShqLXw=</t>
  </si>
  <si>
    <t>UA/UE9IwMTbNWU5rkfISBK85BaaZ74cJjeKuGa+JMJXnb3PfCl9+27tgzjppcKGMuUCAqjhnJxHYgUka5aTcxwtwqGpL1dxRxPXr1FTkyi5hMxe3yqNF8t4+B8J3cIH7fFnk7WWs7D5pCV8oFcYdu2p1kVHuAJQQ/wpv7gtExOZkdU7ZxQGOuqPP7SiepT7ZdMWM5/azgT/vfxMXcRMs/Fht6yJNPIUk8KhkC9I7ZkBTx+gq7k8FtXeL9JE=</t>
  </si>
  <si>
    <t>QHVKx2gXKeL0Q9G0N3zixnKTxQ2oCYjT6kmDqFi6n5ljnSQnJHjWtIbdLHWIJsHRaqpjB9PBvK3bDldKEQZISEa3YzIrNwFOlo+bGxMi9irbFU+itjGlxJ+6AS+V+CelpP0dl2tVbVZlMtjolq5LtPB2yiwe4egGMl5PM0AMTWS5+hbuwfPBqr+lY6BAEV8kT6ci039y0KhWwcB8tXF5sq7c5BJkuY8exF8cv6n0AcBoK4AOoImoz/isdBQ=</t>
  </si>
  <si>
    <t>Rq4unM0c5hgmY52ZZNWQ8ahgfvlrxpE1eeDuozr0srAnHDy9VtUhUcolHgoEKrcuvpdR9ipWAJBhmp379tfcpGh7zHr/7dp4MGQmaLO4EUHgKX6icI5iop8d1dDfypleAEZ7TO715dsZCQtaCnTKh3MUr1ilvoyxe5iZyjnEkr+VWmrcP3HnEvarzjPVvf2gSQRRjxku9ANfhU3VHo8l7ptOdLX1+sPwabePech/XfxtUu3RUe8UjSnyoOo=</t>
  </si>
  <si>
    <t>keBglmde00KGVZJZot78f1n9qDcEa7/U63yy9KYqgcnKyzlySfLEzhr7Sd5w5LLgg89dEMAE40ty+eCusKVyYBqzUR719Z2jrmbT8eMDkIn4WqOlbV6yjvhrgr3LhjmJjKy1mQkpQ6DlGx+K/gh1VywtsP/TnhpqtPNWjJcEuTkHEsfbQmg5g/UmZ4svM9NWnw6vbU2INFG9VZ1NKp3R+mQl57+LhBrjPJ8dUzYLHybIWK54WZy5PUfOoZo=</t>
  </si>
  <si>
    <t>yTnJSDShwyuH7Rwvd8UmSLZ2ygmLcjMBHCUBenoZjyXd1SiScoc3niJnhfUZkkGestiTB2vje+tFDPklK43/Zi3F3q4LCXHLxOrL1WtlabFZkezSQl4IqoDHWQha5zhqo3XDH1bZtj/8CE6qD5T0/FchDJ8p1Fy2Yf3wpnQXYBSXKwyLQNl0Go7hPQwmmU58uMMZweq8HHpvdAanyCAUV4bre4gtIblnCv7z+4IzS0jbsI7AGzmTulCV+rU=</t>
  </si>
  <si>
    <t>jgLS7DstGN7nUEl1MH7/7mf6jayL6Ci4OSQXCKec4sG3slCfrEcaNa75Q3AJYXzQlr3ixx3FoQpIvs5H7yIzZNjCnMZ6rXGtnVlIjbT2WKPx0cKDGbT+WE7vMI+kHkjgMxygco5WbA9Lfi5soYUpYaeHAwAghfcbZRlY3Svjmda4ZCzZf3i3B/ozQLYSXdqZ2jw6/XWOT4LSiIw5gN8OLLGZAK7x66V/GkS7xmWHSJGwpSOL8jjUqGfRMBI=</t>
  </si>
  <si>
    <t>dIw0KmB2SJdCUEwi01mxNETHUBQy2/ZUGm008TQgJLKpZ6/nXuoTAxyLb5rY4s0CxoHxLFPTIQ+8ogZNy5MMwzJ82niu14BQkM+mTvq73Rzw5cxhZsxlPjGPCPbFffQSShCxe8+BnedEGPj9Y2VtslK15xsnWcWKwNwqDkyBV/EbCwAuZcpCvAORnZSMTxGjIvuMkx9GvEIlVQaQX3EfsffG8hv0+KD0Nrr1/eG1UtaQtX3T60NTxbC48H0=</t>
  </si>
  <si>
    <t>SmtJtW+QlyoQV3kZAmvPIeJIE2tCX9Bl9MOm+9+IAy9+zw/vgJQ/ZqNrPDPLBtaHQceLMIYu8ZTxhjBk2kitXZaJOOMYeU+FXGerH62WpGJb8FvJBFOsbpGbMPqtyxjNxvLkVPk0tNBddOl18HY8W72hjKqiKNSoD7MK/dB32Rx47IYDt7WjXX0YT1PqaTP3x0UwXmq5PnEG5ER0psl3CcsIozGzWYrc1ZfWHbdV7jND6Ng5f4V9UDB78Hg=</t>
  </si>
  <si>
    <t>wiSBf7YQdlpAVYkKyCwuThwRa9VCba5jj03lZSrO+gWClZtbw2iSYyQruWHkF+jm8PK25XgZnovGD0zFZb+YZePnmmPrlflpM9R9MO4CWPjJdB3vkFm2/YaZVVMnbcvZ1e0DH7xwdG1ZF0AoI8/pwulp4pCmT90qAmGwP1qrRECkMfiwO0NVh34CJYyo5f/aWguA5zAMc37ZnrYUKKapbfJVMi8MtyEA0kssSnwO+Jxw+Spd2lDxpbtjyWk=</t>
  </si>
  <si>
    <t>63dgGN4hs9sYC1pXOBhJprOOCT8SHDU/jz1lhj9jIXqODXpuWknfu7a59+U+Wd0nHBse0BphU0QIPKKC9F/Iy97AcbtoZg7WrjKwAY5+Z76fQ+e1tUksQDgRdoYPWN9QhAEixVWwGYp2SdDc0rh2D2bjoQOSSe7kzeB+5zjxZhA5+zWn9ARwkZJjuVoxrGjaQd5obOcZFf6Oh5frPs1Vra4WSUMZJ7syRjCfGsrdedq7nYJZ/0r1eJWgkwM=</t>
  </si>
  <si>
    <t>sOZk/IqOxqo1L0JzUdLN0oyB+yttPtAy+wDim+ZqjX5rfHr/wzvWcBJKsA4eWilihaAG3x3KrCWV955iWGU0H3kxBuoQAmErvfg1Ka1RDvFZvPSHHoCxGqYrCJecrTthYFDmvgK8KrlE1GQwqSBEtgGAvougjfLpXS84GE80ICQs6G+n3U//V3sNWl/fnVyEMHJTNuogtQvtUSgwQN4hHlwbLzssV//DKhCOykeSWVGBlLW8RqhiPxYEbB8=</t>
  </si>
  <si>
    <t>gb8VBjr//g/8A7o6FgyHRnw73jvLpnRUEDUT+l2hHR8FTc77tMc00PUu7ivyjDTpkji7hOJQLIm4VNXneAqniCSh9jONqOB1MRZaEO+83zTzbdEEnlWXuQ2sDuw3issrfrvp6/tnqbcWBMOOGQE47QQlX3Z6497RrNK+dBhxEVTPmpsbOv0248MgKAzwlwO0SWIaLqTT/5hjjJtrKbnCjZqQVYzUwz40WO7pt4ocQwzpdq5dtgZwn/0ae7o=</t>
  </si>
  <si>
    <t>1xNq6JzHY8AKZjbvouhCszHWuvxW5gr9hsORVC6OkNzGpsXpOEpXD1aoh5gjiZE/SYAF+K7BIXcPTH4QXyi5fGBJYjJnlJv632v+dOpR8rQzwoviPQYx1PDkFIMjvBie9vSRyxELqEhg65aemuk+hnHiJ7FCUrOQJEW+Psp9VtM4YgZSZC7/glpdcI5ur0PsYK079oaaD4Q+E07hzyMPPbqzVMXK85emkzGjgE3YojY+kL3Ly6VuGnrjy4I=</t>
  </si>
  <si>
    <t>xoDNsQBaS/tKk9t3z1MkcJv7f+5UlloG3HkSLBoWT87aDkORBKzwjJRihV7XP8Ns9JAc/kCP50Z12JcDSm02R2mdT/aHccaZGjufv8gXTDuiabEhIIQSpfn3NlBu5wmAQSflUlWjuIjyVfhLCKzAS0cabLqaoCw65qL81g7aW7oskROvx4Z5i4jZsMFlwqfOAlO6TRV4GohY/FXILsDs+chpDyi30Qm4FKycHIU1o6FR33bYu6ghQE5EbOo=</t>
  </si>
  <si>
    <t>y9CPKsv8rN2HUa+4SrDw9a7MX22+oYcBorLeabeR1fPzotupyBfzvmLNyKYtbQP+4Wafx09MUD7TdfBXUlCDfvRbxnRTv13XJvawcblU3UvG9nQYfgnVhkxg+LrDzXV29eFvikgRQ0RAP6yyIPtVt9y1JsxctKI3B1Imw2Eg8TbeuQAXQ3PAcldvHgMfv7qB4ua4FdzQ6kYl5dr5cZa/uhj+3+kCtbTFSX3XdPImtq0yDrPEqUdb/PNFwGU=</t>
  </si>
  <si>
    <t>+xFlWZdx0NAUM3A5VlE/JojmHaoCpXY2f7JPBKVEtU/j75Ed8bw9pdZwXUUXQNK2ys8FIWzS76qgqVaW4fm+1jYGJy5R8CfwkknxSKPhLdam4HduLfHj/Am0osnIPEsJ7xQ9GLMgc7yqBlWjINSjPPA8YrmAcAmUY4uuhW9SVQGSXlSJhehgQvYFMjlaslShcd6PAqnrJ46kGdaKz9TyvkGtcuIGnAnLBLEvFob1e71AL00IcuT42OhiJd8=</t>
  </si>
  <si>
    <t>2Aro9SxYr35Hh/mAeSMXphvbBVqNCCYM+Dx/qrPdhZ5u6N1icBwVTGwlt6JF/mGhBdSjl+wlUpRcHE3vw3+hmft8amkoL7+wlbsLA8yskw3s2e9wBE5qU4J+j4QtO4cOikw2fNwozmYxCcdQ1wrXx7EJeUOQ7LoEQG9FUAuoFzxxI+qZ2RNiKJ1/UfvUzZmqarkSykiHknsv8I3y0A71rtgy3xHDLVaSm5sUfdb9Y4vXUF5+RY0eaZLK2IM=</t>
  </si>
  <si>
    <t>0dg+0uqCmHR0cs+KvbJ6cbD5LOAbwdrQjfdEefOCjUGXC4kJC/nPj7tLtK7UcHPpyKoHwhzyIwh/jIUW3k9+IkYZ4PblmcMpTsmpCl9kgDuv0TikOLOH1KUeb0dp59ZuYNVHd5GQScCx3YURHm3JJ+QYxnoDrgF25Ng/bt9g5EguFsflyc1G3IEEBG/7buXmL8KkmdOOkNjH8RaJJydSy9QnL+cVOzSfCwoslC45vJdCvwNK3tWnQUJexSo=</t>
  </si>
  <si>
    <t>BM3vUjOx37OIARAr5MWFzPbwPgXPP3fNYoHqroY5NjtEsYoloYgUaGy6PV8eobHrzCAtCnNNyHbxLA65sCYUjNp7Upxv1vPQ48J52K3Akt2kSpKDbaQDsCP7nMWCOsiMTbYkII2yvVyk+gQ3C3CZtt5gPAhhJGzFhRPRV6JLeRctVF+aYrZI1iNKnSkMr+zue7UWtkPTRO3FaPE4Foerrh2BhImDPXmeFdg+qQO4aMzXnKpW5AiL3VRunbc=</t>
  </si>
  <si>
    <t>h77SEo5mDcUCOIYnDeJW1T//v+ukMJDzEJYQjD5VNyT87wtNg4SCouGl8gLteffQ0huBGmhPaDc1anw+iIqK76BkiBUQNO0lVF2l25HIy29fqiMKTnEgyxoM+cSQ/gaYet25LLbQ1SxokYGMmUtJue4U4YevBJqImJOWpLKgovIDDacGi9enLiaRq1PjUAmXdS/Onys80UCJQNHaG/fknPBf0mGkdWV9+ez4qdsaljcAHNQ6RY8NwcbMRbA=</t>
  </si>
  <si>
    <t>+5TqfIoW9c1IjbLkrORn9d+mTYr8wi/FhR2EShfga3/HkUv2uMKp+w5pTjcxVuwDgd27MQc7KsJ5WKDT9Xrojesee6ipeItgU+30uk4Zzll1BZIVO/mN2dlTUhqHn2huEgWsVBpkLlYpDGC9Q3IR6Of8hKYXNvlpOOneaO6vdVIlwSMy3Rid/2DwvtxeQMFYjyDzu9U7va/P6ayezwSYKBThMFhOJpQjlfWLERs6jVYxkGYIvf9aaJx/jI4=</t>
  </si>
  <si>
    <t>UV3pi8kEm6T4ZQdqo/a4EOsv7PEF6iJXMPmn7TpWZi1bTcGFld1XzK1zbyiEe/RFFjmW46ERfBqnE0jP38IBXXTKEm1OPcE9TcMOKT+IuAJwyhCOmPBETImIkC1Biwob65KXILOpupiNpiyWYDwm5BTh8Sd1UINQ7gOBAir7Uh8J8hPcMVgUfvmYd4REtoP+5KsD0CsOxlJ/AmWQN/WBRno+LSPT6Rwppr/ZUskBr0G5F2H5liCUMg0ZOwQ=</t>
  </si>
  <si>
    <t>ILkcCPotxnu7iNZNkHp50fNGGdTsxxnV15fVQOmI7KMlWgC64vk+Gz4RWwR5mwzaYQmYapBYKgK1U7gE80Iovy3XS89t/OmtpdbGh4zbbGxGWJ9Fb/9AodJHeZplisamvXUJ1Gz1KaZItH1f8sA1uFiXuzF6yOidXj/SpaCNxKedbu5NOvWliK7Y4FSFY9z9RJZPr4xubN2IP6zj+McFna1y7se+TIJFJ74CUj7Zn0KOTUPrR/8DzvIL/KM=</t>
  </si>
  <si>
    <t>Cqx6wsGtr6rG7dxC3/51DW+hvFrdM1JCLN48VqlJCNIrme0HpLuHLVDrWTF6/UOPR3hBpYtJ0lIQLWbGBWlETDhJ6QuzSoxpAqgJw9IXm903ZhUXzrknLS5j7l8wK4jkZAu4LJ+TJZiWpm1Kw+zvhzgIBqkSEpUm2fn/lrrO0Bf5oo/fKz8hDGYI1rHN6Kc+snWi4dVEQJpvKgT62aivn5yVOwcyGUDrLwg4P7h/8lfUWhEUg+PP//n1xaw=</t>
  </si>
  <si>
    <t>QIv7vi6nYz4xx6yAEGzVsbij5J33XrKoT5Nlwc73DRckzPxWyA1hNH2iY3+cF1W1KCwYkwfFbpnEPc0ZWhQkpdfREfdwN9pwbnzPezBC3euT5hDlrVwjHTeGjtLul+v4+R6YZqoRIFUD/L2fWTUzucIJHzHP+7JAEwl5ZcX3sTkkf6ZeSNZzF0uewXUP/WNjvoD4QUirRHzoxBR+9YVmMs9R/PtxXvKX3FLGadcn73KWk4GmnYayWnjav/M=</t>
  </si>
  <si>
    <t>YqsFaaOV5JWk7kJA+rSH0I89e7EP51HfC4lZxrCjnoPXszbZjxwQhKNuJlkfVoWooL14AJcPPMWm11FSwTVKPHGSHN1otFLmz4+5QOvFCMNH1CM084rLUuN4x01IKGXUjZnnvr2aGweF+GLkwM2ogUT+Qy6u1otAMCOzS/MI06/JrgEYQDplaa8aG8EHmXSpfAUw3p4swigE485yoQhFkI/sxNQRZUghENUtPFNeta7Yu24UY2h+gH49YnM=</t>
  </si>
  <si>
    <t>x5ZXMDrpawrspQWaWz+Pc1abx/UTDDT7jZtEjHl74fYQpUces4kGix4CuXslQKnb4mGm/Xzkl5T/c7kluUCbcjFbd47lxbpcRCSYumYNpmLf1l/CJ2sKl/u/IFmdSD6C88S7SFUnq1c1DPWmBDyZr8h6UO9CsVc0MLBZFN5d73iFxSbstLGh7rbI361sB9y2eSxP/zUkcpuUm6vMBzSIKtZMIWGCRcbbtDEFFe9C9KXLyEBIiHoa/C3zynE=</t>
  </si>
  <si>
    <t>ln6ZrXttdXWBQK2+rNVSxveuCkZ5ae0yullIwjnr85WgLtlfzof4DIqSPIWevRw8yL+APYKGMBQ7st252qAiwLDsazCAY1VZFibAuTxPtetfzDRqF+ygrCCoCETOynnTf9D6GQfIdOxHy/gjg5E0fhokx33aUgcjqUWO5lnOG3EU5dVIDD6wL8Az9QTF2Iw7l2oqUG51sNiey9rHAYxTxUSIgtTqOV4A/IsjXr6enhxfKQsptHxMhQ46tSY=</t>
  </si>
  <si>
    <t>hrM+5VoCIovGR8tB4J59mQtb4rXu24lSTaIPF4QlQ8wKXBqN+0U47zQ19ppxwb5RN1WkdOmR8UEw5Yn/k8f3meUB6EqNQclt6ShzjAPEmzznYnGhCJRG6eBMB4s7wOfLT1tuvG+gPoo+NgYFaT+JvPubrn/eC5Lxe+rm0Waslk+REGLjvUOs1Oed0DV9Mja8319hLCGZalxJEc2t/OA2OOMvUN8iPPhNQDUlr3MzA7sjNZoXfTlOttcwUE4=</t>
  </si>
  <si>
    <t>JF0U6tLUDnz2f7APQLm/p14w4vvrCTcOa3zv4kMbuTJYd93m9LuAhMXfXuFvpmEtWND0942YRWhAfe1pt3iYJbVWsJ8Yp4KHPAP+Hawfn/L88J7E+KzqjOfVqA4E697/nRXrq4vpJ7E+DkBpltTgClrvHN7XDIQCKeN9lyj4g2SO4tLZwfEPmEKXHqAcBV5rFoLJ+WuVHRpW5rza7r4FAQ9aYgcT0KDNzNdoA4CENJVNhrOf8clx6t8wOPM=</t>
  </si>
  <si>
    <t>ZZ6Gd/y78+fYycYsZsgZDpHISioqeTVDa8QbsGgRsmuQ1V38wQdlXh4kZga8zbHl8voEq6psVzWQ5EocWokb4h9GmsC6Gh3fKhSmETYOGzMcC/82ABteAVPGiChu7ZdX+RnJ28cAozwAhFzgLdDlR48qe188x77aNy5XQoTap8d0/jdzaJkhd+3Wm/lmCSNVS4dQx1fzv12BsSZpFGWBfPK5uMJpaHk+/ZGyOHOR+2dLCoJbt9qRkNhgPW0=</t>
  </si>
  <si>
    <t>jfLMTUlvyAFMlfybshdmFNcKBBvK7p5jKC4ZQ6mPZjOEBsmLQLgku9W34vK01sa0cP0yg2Q+ZFVY4RFyqS/yM7S+jDyR50B0etVs7c/PqcGVLv+1ua0eiCC3OIBZ8j9oiV6JVkYq5b6iedQvCJ9dSLCmPhAC4ejIs0t8ReQiHkx6zhHz42t2UD6SntSLec/uSnHuWMjmqqSS+0vty4Gsh+cLU28wwSPnKisdR5zlP04J081P3qzYv5u6zLU=</t>
  </si>
  <si>
    <t>mGghob3Rooa0yQQzamBJxV7RUAjYGqlHIUNaZF7erkLwfn/GU1O1RahcuyUBjltw1dqXo+5YORafpe+6qFU1iCjTWxM0OvBmkcfrKoV71r+QZys6ao5vdXLQlUEI+dTX389lTtRJNI7XI4VMwD+5fJ/yaNR3QXqCeCrFjwVQ2CqAq+bofbmzkb4acjfhn8KUJPNdfhSb2NaWr3Yro9ESwosIBk6hs4iv6wpv7XPO7JjSe1s4h/QDWxy67bY=</t>
  </si>
  <si>
    <t>1VuhD3UjHQOEeYF7nLQageZu3FCMFutCgcksuBXrVhbyFVONhmJ5PBprMJ9zoMLveFRBFZJxPgT7jIL0mUw/vHpmXkPibww9XIJcjKUAAfbevVw7kErVGF4GawoBqqsCtU1PfGeKXz3i4jRhCHVpA7aocigTijL5C581FcwuC8BYC/ytF3S0H/XV044LU5DZCB/3DBMsxSklac1aSWH/TuL8B58ljGm4NfK/3eZrCiI2xi8wb8o2+Tk29Ac=</t>
  </si>
  <si>
    <t>iGoetQDKSb7OsdPcLv1YIP5RD7zMxcilGVc7S42D7+2L+VLvh+OVEaqmwSPajmF4qRrJPqh7Gs31rnwKyWdG8kre8qv4j+TXUTrmEGV7cWmas7eTZRCRd59MmI9iJVmnmYkh4L9zpSD8vglV5hwUrv5Sm18WgLn4dpEbYLOxT55wT2rpDQr4Qgydv0bx8THmj7Gq7tBxxLMRM3ph03DgA7FaNHpNfY5EKss4jZoBaVXb5bTR7W9/JAb6OEo=</t>
  </si>
  <si>
    <t>gpOz4cunjO0iDZ5F1ZlN/sSRTE5ZnWPfoRKXsYKs9WHQoTpmPr4O0woU7BJ0xDIOk1v6WXij1rP5GMKfWbN4MMFkSmGXVlFyNkVQ7o7rRIiccFvkCTzcMJQ/WCwoESe/0MeLGJkZxu3hp64JpQO0f4Tt8QnsLqFQuvI7re3jilDLXdmKE4vZ5dBMoEkXMbgttEHdgsYyTEcW1pcMkslOWHewVxUqfvsy8+h2sA3M7shY5Kab/qvnp39YPN8=</t>
  </si>
  <si>
    <t>LSihEsdlm7exv3HB15NYhIKjw/AcX7onDX9JzMkJLXxZFiDneqBsdXiUogVLP9B0UW6i9Q75kmLZNWJkgMJw7OAL+VV+8glUn+PTbPDnXvwHc7zS+3waF7ncx6QKxmsFaSF0kJi2H7m8/DN0VJxZZE5SfN1v7R1QtToN/Z4LnfQo3jINt8HDXFG0m2HHdhf8RKad8u5Xrd9PF6IRkFd2S+HqOHwr8GoWDwjqrcXPWCbjyTQ8RPkdNc5W8Qo=</t>
  </si>
  <si>
    <t>TPiyMmALMpVGfqMaEcK3epNzJ7QArnVzHACJhbWDPxMlPCfgzc4YcucQH2ohN80CHPEQJbHY99DBi7y0ddgvy01VXxScWxVxj4Zyu0L2HQ/Agmr9OYlH655+AYzMJIvv24SmKu/Y0Q9IyaXE58L7tHuaMV612cPz7HT+UgAsfD/TCOt3ft19oZj82HX0oGwpFy1L2suSveCkiXTbvaw0dp7Hz7UHliOHj/wBTl8keXvNtmAcBvNjYgZFOoI=</t>
  </si>
  <si>
    <t>wntBKIU6kX4rlICe19sWSHhOK/oq6z0eUUZ1rqBMG6jwBBU72iUtrzavF7kh9HWLu8gPxNcL6pMZwELLMwggiUZXS0a2E31DzhILcr5/He26ClUX7pGNhdsLgJpR0ZQWhpxlCCwErKXkaDKqtAB8nqxnGsA3z0YSFoQKN3LfHIT+FstazwgI52MNiFW9MboVgfcAcwDKIyEiiI8VQ2O+wpFh7SvvdEWRw1F4ucJqMuCoFVXC0KlmnsUBxbw=</t>
  </si>
  <si>
    <t>tQDgx5apucbPqXiMu4F/OiTlpcVVogxwS99hTMHOik4jjWXm6C007lUbeyCf2nO34yqxbmivtxmJCTp1mNFXrc2mY334z7DqofzZMbBwkwisFm5w24g7Q76AZd1lIW4Dd4tWzZcjGwa/wvVNHZAdUA3KWaClY/9Fuho6ewFFclmPnpsyFZAKKT7P9DEJA/5uENEs/B0lvBq+lq0vUkJrQ/uCxdajaxymFsZtofxq0Cq8tsRSRCO1Y1JUEUE=</t>
  </si>
  <si>
    <t>ctMvn5KuptF2LUT8so4JBjX0OHvZ2bYiqYnY0PmnPgdN2m9rIQM07tzwLVm6cWky3FHKjMg1pzGgEEEYx0HSCTSRKbPCYRhwOeNGUnXb5OxtsmUpreqSWD8Vsu1DFpuQWTUQrYH9RGF292ASOPUSTCSz9i4Fyip+6RnvHI+avK/FQUY70erTFKnfqZ9tHXPW9M7Y9/WbXyue93mYBBqPp+d4eTwLPa8KA6dapkQby6L2coKRIxfa+O7AmtE=</t>
  </si>
  <si>
    <t>gevfINImcZtxEL3jqn7Z5yL2jGVSWLksdSvRbM8KWPORqdCAgFCwEErumMXyuLVag9YsrB8+n7hKytBmRCjz8QHNMbT3tK44edizd0e7VBZnTnYq7gVXif944xkjQzAU8er/Z/hDQpIvYi1gM1H+ysoyLY/5CyGR2zCcgeg/owvSp+OUdWsbIQ1unduDiLRpqryH/NtFlNQxuxooLTJgujzwK7TxPfQB3j0ooXuVxBY0Wa3GYFph+YOS75Q=</t>
  </si>
  <si>
    <t>m+euNNUsHu0PJQwGIdyJHOSg+kvSlXSmiLtALb9PMsDrjFEOf+Zp+tGWQ9O9/3C0q9pEAo45UWeM6WnACT98RVE6deZLzd8JtByLAPuEIlxabnXM/i18YB28yGvjDzeLrDqmtGIsA5MUlaqCx0vQAvOj+EyHESeDhMuggE4SFdMNJ4B6u2zJn22X/8yWppRxdSVC8rEkI2qIYX1d7wA4GvXYjSUzUvxT4XGjMbd5LkjOC4LKoojXILMYnPc=</t>
  </si>
  <si>
    <t>E1IJeW0C3a9DcynX8ltdIYh3zzmJjTEiquM9fg18Yjy2ywr7NlCCv6E8LUe0EBsCeYgfH/Xsv0TlGXo6Ge9+UK8a/WQJdLoDPKEfJmplzeNJLNtlvYF5n1o+FlWDu8A3mPssf+sxIo09fjZr40TbxVGW63uYLi8lCLNy1mp0mRQMfp7nlVaK/Voac0NGXOFZ9e6jsbP022Cd31qRul7gcv1WCjdqpjcFRIp34lYIcrgw1INlGCWUNP8WQkk=</t>
  </si>
  <si>
    <t>mDO10OYy2680rNncNq+MjQB++I8TXIdtnQwqwm1mTcuIdzBrq9xaTvDJWiOPxZ2aRf7kvaDo+rng6/+QPUxSbsV8+CdWvln52dGEwGQ+AJuVc0k8FCADl+9Bx8ckhFP29gOA4vM1NlfHmQdRlox6qd6vvhOMdKqIE6SKleF/weR/ijiDAzhfLNnW3UVQkoYI4j/Q6Z81QEUY4K7geOkZhANUCAtL0dgCQRz7RbcVslnze+z+j288f6zR4AY=</t>
  </si>
  <si>
    <t>/IM32vdNqLxjTIdf8AaaWlO8qDpEk1lY6Wn2VuM0EYd31qLoK3IhP95t+tn/+S9EVZH6te+Qqil9YkC1PXYQWHKySbcMM54MygdfaKOjCI1R30bqTnvEYO9MuU/FYevoMrO/8frcIJyejOF84wcJ+9pe+3rpNcXQMdrwZa8ZLp9s7Iw6g9lYNYbO/oD+CcPd/kcQdrXUW6TR6rp4EiqoYB7e1b21uDcnONXpeJ/1BKY7a1UUbVCDii0yBZw=</t>
  </si>
  <si>
    <t>tTk2hA7zN2mQK+a9Zo8LC/zFvFkYf6rYBVkggwMfXtZrw3N81Q7lN72lX5mzATn7XmoBRyoopXB8otI92x0+V+ungE7Zlz4Mg2RvmcJpeEb9SuuHJ/TizGcYKeQxftpR/o4GJe3P2K3CMw6BrKhJfxe/LxTEG+sV1MM2gfOLvDK6RuCZEkmEZ2LVC03IrIYlT5rr+5v4dZxXank4XV55nxcugFxSqzA7Lg2acaujsx6Q39wixeGcAAV+bwg=</t>
  </si>
  <si>
    <t>WWL9Yd/gCofZdDb2fShM3quB9/JE+vHE4+cEXItQQjvG+N3pxdD+cfXrIBReUIjnxJVKreFUkCie5Vi9txQuwXIV4U3LX/T9+p3CSVyMcplBFkvTz0zXu4OHYoZSPIVd9k/YQvWFG9+DEGoxvTa6PTmZ2GdTibasAzMSbqZ55kOwH6WdOxDlkgKcDC7HGpARUscBaKHyL5OKlkTyZwuWgZXsw1DWePF8P0d2irgRndT43h1Ik2SjVAGNvYw=</t>
  </si>
  <si>
    <t>YNRpBo25aLDFQC13FIGf2ImGRVw99hMQi/8nlYMShXem4qWtOkDoYnOvcs32ClX4iwCUvdLGMPCTBY8WriDzZgWIUh05N5loOSEq1qY9T9J7f7wLdCBrxTe6guo9kNLEofh/mo+TqO5tcIT55fS+pNPLr/cLfRwURaAJmVW7Qo69NC3nfD7/ZSHplE+hTX6U7QnCCjZpeMT9hKBRyrR0nbUTPXVJu16caquGDZfVToPtcB9DhOLWgNcxblI=</t>
  </si>
  <si>
    <t>IkTaNPEuT3NELMCAz9t2//cqFGyXu/eT4kvRSMVXegjQ4zU79V+eb0G0eRz6R1AjJugAV0wrXGuEHsOfn56GgykcIUeRJQDCAelbs5/5WWaicn1vtcKbo9jLCyum0NC3eOJiZZ9tYPlEab0uMmvukBamac59HPhchGNhLaBEakvzzyEqZgtsC15pwaxZICg6pi2mCI48nEKZW/hvKw6NTuQvLOXoO6Tz+P43oXrS3+WFzGzQSsmxBZTnvO8=</t>
  </si>
  <si>
    <t>1fMjWH1gtYBnvwizQ0XGfUaGHLozQGpD8kpsUildu28tlugBMkRyCcx5dNbw2LMHzQdJonw74BDD4lGullNfC4N9CGGJNL+SZ8IxGEOXx9h/MlarVgYc8Hhi2T0Lwc0nK1CB2PFkc0xiUa1dBcr9dV+rd3JEvbxd/SOBKG0INR3c7ujwtPcmAKbj+Y82pgOzZYNu8IGh/aguYbef7mDw2rJ4srmP6FSoSGK8c2iuZf6bxcjtbmzc30Eu7qo=</t>
  </si>
  <si>
    <t>XPkNh9NCCfhA4KXeW8kJW2aeekaTe4AfCdGsxUlMYGkuUzdsJJO9S+CErhe6R18+86jYLtgm+862ThLFGkPXwiHky+h08ozWpn61lGV0o/vOVZPdsoZwk9jCrudnDq9iZO2LqcuQ59YgA0WfwMINLISCSU9PlWrTmGm3MkBKNSPiRhOsbLLpWuxj8lfp8tEHPennmXTNmMiuQf17sU+wiL7M9ZfYX4qtiSWrDa2+y0Ojcn7ptYNVM618hyY=</t>
  </si>
  <si>
    <t>27tgSIDCdY8eGstvax1urrRfk8fVVmIXnZnJohaOpts/5Z3afMgOjPTqt68ySfmiy++XjtNd7LzDiULTo0hLtuwstjUrRDsHg8+nCgx1u7Ka4sa0qg6u6yU+T/mi7dWf8G2dDQseFhR311SDX58YyX+kLqdkYqOHR0Ktaw3Go1Z3Aqvuf08DQDYI8cXVumCOsOoKYS3Hi77FQcP+xf9vWzrTUM9aPoxziXC/ZRAkKpHJExb98YE18VBX1nU=</t>
  </si>
  <si>
    <t>R98WSQ8oZ3utOvHUfwMam9dmUIUa8GnfgVL4LAlLek0ZazikzCXLjPqdwYQrAyWCOhPKUi1GnOUerg46K4itHSoO/BXQoi/RyYqRIVnvuqy3imaeq072IKNmPWg9J4E30tjJvo6La1DZCim8KtpP698hlix52vHvQbmlSQ1H65u2L+FnoNeLA8z35Pjh5rBW2Wrb7UDDSy5mqbaLvVFR7BEPY2TFP6RX6+nnxzYgeR6VdfiLXVh8/ssGTeU=</t>
  </si>
  <si>
    <t>dLa+7gYYE407iBUmEzzT2Ywcc19rovnBg8/M4iAtQ0/sbf9lvltO/GYjzNQHOGqwl3pRH2FaiFaEwO1MyWmXOrxN58Vwx3EOUw++b1CFAifUsXrL/nOUTvF4ToeFA3AelO0enmE7c4BHCD2PnTSVUWa0DW5GdoyA1S0zLV3dLDrNVIcsgubNFtgOE8ookatIM//E+ipDn6rv7fQavFPwArT3Ji2s8j+DVcwbjGnxzSIZuJmhVCnuFbz6VFI=</t>
  </si>
  <si>
    <t>kAfO4uQpa9oJWEGtsWW6j0qNS+3zHFFPsGmjOTavHyAEWwCnBE6klwSfHvh3EeKUq7X+/+8HFuEQIW90uEAI5i8870vPgGuP4z2ZesC7kA/Wc3XsbqFygYr9GEubpOKL2A3xkf1EI4Rzmj5TgmqivPljOKFrERkhpW/rWvESNy+d9htTChAYFRVKsG905Qz87sTK8hypzL62RroGuZxOQp+l4ReJCtOm+OW3OuM6Dli7GX+7UHukIFFBeG0=</t>
  </si>
  <si>
    <t>iYH2C5VvemPAJU8lWS0wL6Sfk46r+NC0J32imunvoAejGirjKjobn+nS0oOL7a2QjyW3d29dtfTXIQuT5FrLDHG4H9tYymNnArJikLBad/hzPwf1Aa4DzCx+2U+MqPYiSVY1qZgUI0H68ZS/bmyEzdDJ6LKHXf4cuJpJpgaPKDY3Sb9gvVs4n/8Xi+0sxcyumXn3ptxxv+X9IFO/u7krPYMp48dcDUZ/PD5kXk+/BqznW2ua4TPIzeRe+lA=</t>
  </si>
  <si>
    <t>1IG4VGwebuqDPb55E2I7t07El9l7p97AZaCdpc9E8af7O+lsZ82cQ7v69KioPBmQ/A/eKnHXym2efouqJ63+3tSOL8jVusLwIg5/UB2jxlnTrLg568UhtKp9lLW/Dqq613jhj9NQnUfMT1gyIsJ5fYLNmGtric3qmX3wzJw8X8Y2iGxXcqt1HYbMqUKGmoud1Z5Ui5QdND+oES3hJ1cNa+KTkbweApZ6ZQCRjC77IBPpwFrUHeSX+svmE+o=</t>
  </si>
  <si>
    <t>+OMgp2nrq4C/vBB/bctmqEauzHAWc3EwJ3PjSyy7JhirhyJnT6itNE93ajefp2bRaNSS+UDrhSpFxgonIe0vZbeD2rLMPMNR70SmymIOPfbdoz/OdYctLhYemTfN/3wBwM7+lvZT6XOdjeFdNGwiAAWlHlKREG2lwD8GD5YNAZvfRWRBOKUGCoO2K4cO+axRxNNJ3uPAQrO+Y69sFHM4thhAgkFVg+Eqxnt3sGyAAitULpTSAGSLsggEGf4=</t>
  </si>
  <si>
    <t>9IvGGPkaJYbBZk3l0mlh8YvqOLXOhVd/lTZzRqAEgMiRIugQtBFdvgg2iWKAqgxNJP8u2jPB82VWTI9wFfUhX2gm1MwC8lk8aEA/iWdRRAYuuthZwxKPzlxNZBqL7B755sKiPf3oNSGjwN2PSxRJt/78oQub4Et/sTJThtzLqe3KCscc+AD0SxyaacVyjT4orCU5/ETKCNGuG4UH/4ZsS0ailEyLqybUC75/XRPD4HyaWQ8WRISuoJmzQ8M=</t>
  </si>
  <si>
    <t>z1zSdgoWHZEoastBxNA1BdhzpewkJ5HnJIYzUuqNr36ZuJ+nHQYeDCRf10JK4FHXGhTT++ZE0tvjpfksMMYYkws1FYN2yph3Ll1OhD9oZzOmoUR1EeSg8CDVgetxU/GZB2jRwjOEz1rHxyCrzjKmpKMcxhEiGskGXxqrxvVpGp50Z9kpqPikI5vYzbNDtM5NJrH2PBb23YYA311PqRh0d4SHB0pjQK0NnH57hpUMg1kE8DEkvbccRZg9iUc=</t>
  </si>
  <si>
    <t>io7NXJ2TCrOWMxigoXekEoSv5haQBygCVl6jOeqca17LZ/ZPr9mj1H0fbmKWXiw5weV4iKUpVrQNbm3PJq1n/rSY+e/RSeAxM/qY+1eocmL4s3DLyqKbPE2z7CCyY+AsaAoDRDW0uMQ0A0gE2X+oAeaORgRLIPf+hdUtXos8DYWvFXWV2sCuU7rfqqziji8AgaXxSh31c4jCXj2EjUVTdMUFecYl99yANNRRhqYCW2e2cSh7/Ge7NaU7klU=</t>
  </si>
  <si>
    <t>z7GrUJJXSY11SHHci+XqI83P6PrcXopWhiAolynZdd8f6jZq0ZvlLzkHZwbkAJoVdOFUPEcYYZuSOLBEh1K3DIb8zESZAOej/PiWE0CHbFyadZ8HWRNdpFg0fiIYGsQFcIxmN/8RK3Laus7xqmtGKAMIpWlHvjZ6597CEu3Psiwf+d0iTN2YUgmHSx9FeJcf7iB2DQ029phNFKXNgjB1Ad01+pvkx35kbdVUPPSUR8vZf6fw7ESe0FYLSeY=</t>
  </si>
  <si>
    <t>9NXZmAI6d8zxjRrGN5tAbWUkga8eibD+138pEC6M6TsassqDG7h5tRtvtupA3mMCkNbHjMTjG0Rde3s24wP1Vp0sRxjiU2a+KHHy7xjDsBPwYM5a/2iKH4XLH+HhuZGAKeROC0QE3OVH/Cc7CbOjYDwtfYx1ti3q+1jilaajybZPo7n1RuZ6oSxY+i6+122oSwTmldgf/cDRTI9iJj9eAeiYXepIlcE5/TtMf/ktp4NDNqmFJa8lIfqn/U0=</t>
  </si>
  <si>
    <t>bdnQuhdMakAxsidX8W0BlggJ+fXseMGeZasZa9zWuPR6gM8CGJuYWkJkUKsSTtQG9gq82fpzHVqRpZZGugXDK9uxmA/SXFtoWZ18G9A/M5rbv8uXenAXlHjURZdQhEkGRl7R+pGa/g5FWXEo5zFoQ54L9Sbx26isNJ0qSPw+hA9aDmgLCiOWq5OMsTwjkTHSIZuVFRATukD50u5Abcmm7eY8wDuGxYk2h7A7UX0c1WDkgcHibImnqn/bmZk=</t>
  </si>
  <si>
    <t>SxbsKV+eLY1yusKgwgCcG9ELeRo95GTXfqPg6/akLbLTHer36sSEO8sFcImaRLQ2fLedMT5p4ZLS4k806k2A19+VWkcxP7Sbi3j5H4g2vM8hPDwB0+Nm01sazIv4lauDkIeHen6c7zqZ6TfDUj/e/YdkKwMFIQVeXm9zE4+jbLPZwZFXwWvVLhkEMpGWgMu89swQipmu0edqdlDItZVU87J4E5raehgXLSKGfOZ6VZpNdwyXIoxwr5+LhEU=</t>
  </si>
  <si>
    <t>k2dtZNFKOqCGg9ZAOx/ZPBW5hw86RS+2n5Auq/BWuRHicSFsdy0e4I0jsJi81wBbJNtTIouflklcEad2HJx79H0q1aX0ZKnLhBBaNvHHsaNHSn4/JfFbsyY4jYZxp3TuAKrQVZYc46uUiYN0ls6y8qbMThCwMJ0pj6hm1RXoK1dFksjpcDfIlS1YbXT/de3TmNtlgn5SNQYkPMrP6aXr1hpTCKqpqQJQbqbZ++JaoXFeoL9975UNZWwon6w=</t>
  </si>
  <si>
    <t>j60Tr6nvQaP32hEzOnDmI1Zb0nbkTFd1NFHGPxGVCQcNxGGfpmlf9rtuPZh23hxo1ZA1soF1O6RrchIh1hLmK5TkzhP5GO9cVCd4SAcRJraARnys0vcynfwY+c2enK9pXw1iu/JrE9UUn8NiivyjNkxs4OGlbzJlwmlVCynX5KeAEZllZse3h6WrH+WKE0EvOoQjL92bWEe4Z9L+8InW+td4DWY2tTKEypDg2Jnt/gNF0pbd3miU87fF8+A=</t>
  </si>
  <si>
    <t>tdpbiqmE/kkbNU3sGN/CGdEGNdk5K3U2w0lwmg78XPliXcdSZ+qLhdozoU3Wc8AxezP763dBWMjfR+YVaZdEHbg/P0z2kLQ8hjpCk8gcKR22cM4emwIYUDKudLPBWo+kh3lRghiplw0UEGGKiDxGhor96s6MF86yidUKchm0UTFyzDKVPx9tCmj+3uyyIwT8EYVE5zJpf1jxPkJBExERxTf/lTO9GeWMDWwAjAh71exnYKlprLYyYTp6IB4=</t>
  </si>
  <si>
    <t>P6i2MKYryZzbulM1sBCEYIpKVqdOR9RAHJt77oqiOiI+d3U+uq2R9N5PKcBe5LQmVxCo4SJd5b3jnBUk6WT7UoEvx2jOUJZK5YKq11Vr06EIgFKkCbzFq5FCDLlv4P7ErSaZXYWTO3B7krMayhCbshe91dsm8GrpILPcvfoFWpChJfSjSIJCZ8X12Z/D/x+YXYueu5MKvk9la32QIPbrAkvfumM5vvC3b6jZ0ukH1aeMx2/VJ8evDP3cuTc=</t>
  </si>
  <si>
    <t>8QLr6NV3AiQQLGBnTWy8hhY3M7Yy0WhYRiktBlGvIlTwk3IP08xnlxi2UNGJlUUwBOgPGTf4k56mlMZhzBxMDmxiuW0GaBM+PxT8ShooH2ALFPRlV5UGUyHyMKZLJ9/wVyhCoy02yGx/Zb5+EYr20/rpXK9s2CO9ks9UUTleqJWHVGELdZSGB9lk8haJhS+N62BkTkIi2SQth9mBJfT/DHX5OQnxpUS2IIn5PcYqHqnzJTQWMTrj0CgkvLU=</t>
  </si>
  <si>
    <t>CwKud7XcyI4UsgC406uSVI2miGqpevScDHBOSahtO44mogrc9B83XPqgzGsS7l51lL2y93ey9Ez7ejhslgkPm6fu/+ptjcnLQfZJlWKcj8ZRHQnZZRLRS4vIqRDYhAAJmK32aGdhagPwHo/ZVmWgCvdsHAiaF2LhhTLIi/5X/OSkJuGe3vsSqASkWUb/sjIe43Nd6VVPTO5BvWPsfQm7Kv4XlrED45mN149vG+sVey2kqGcPogukcnsQ3+k=</t>
  </si>
  <si>
    <t>i3OSKEt/EAbBgi9Pi0R0VWEdPgCPtOi+2wkIu3FAmhh1ybN9ZqzJSxHpF0KbwrI3zW6HsBVclBR6RHU+i7gvAGJ5oNagtzjCbEz+MAqRE+GZr/ZJXyf83HhG3AUIdWrAgXq004YynO/PXjpoiFhj/w8QIQeoONTZhuS3Dxo7oqXCfGTTNrvNHMMzw/rbEN6bJUvPgS8BAakFhq0/dRf3T9OOH5FFH6cobseuMcyBUfnHW5iAYLLqmdeRXYg=</t>
  </si>
  <si>
    <t>H9sRElQsyN3HF4VhNvJClM+3pK1krWI90KCX/pEp+YjYQIhpO3nY3QlOUZreTA2KfsfwbMDsI53yCSCRSzVky4WLi5O2ZRmUVfVyp1QO+a/lY7SbOcR/8IJCf3SrBj4nRdz06tjkbhnVIvfMj65FoMtxMB6TRcpUBXP9rtiC1GFgUoGhI++Lu/9u9ehfcSZYYKXaZTTNMjsMHA/oiPKdcW/3m3arJzsNeJxBT5z+vl9klPpJO8ct2Rs2kyQ=</t>
  </si>
  <si>
    <t>yJ8hGFW29i5pSQk+eSLbeDG8PGCtAAwnfC9AdgDl8dCK12hToH2kc0lzFx7khdVqbr8fwBa+tmgEKKgi4kMMmKfiYwIzbfVDXBd30Lub/iYcDWTa8sh6+igKYa90AC5mfCH8Mi+Pe7fb2DZW07eS0cq6naOAq6Fl+fnd+gd4v5xloxiZ+3ZdbaM2DzP4ZF1WMKQ7j9XIjGJYYDi93EgR9eUzl0RjRa4SAVy9IiUhrjjRexE3hgLfJvSEq7M=</t>
  </si>
  <si>
    <t>ApIbK7a/7wDqCqm1x/3yxFTQqayohSefet/bAb90p6pybvWRmDDvfZG6PbklGtXCd89/BkkOr0WZ+LhUjqyj8s9PP//wS0aPY3f73fGV7u/Zx1vevs0SqKXy+XREoZpWa87FbZjoy96UaBirqkPb9svQLEX6fxQXSI0bkhP6qBh4jvgYD3mO3WYJEV8XDRUWuIfnlA8gFcOv4VNSY+7J2dZqCbl5KUc6jKtyOylheFM0+/+YCEej56XC7Y8=</t>
  </si>
  <si>
    <t>6i62WxSW8MHrYa7RkB0GKih4KCwMA0R+rsBdNfpQzsZqyuQervt6y0GPjrE/OeDb8k0aU37AjIOE3Ffo2/0goyeKc26/OqywATvYU30nWDyVurneVJfpPVuriwvkyTQhciXAEnUKhsPxAS7d26ehgYBftJ3Ywhz1cm4ERC8sls3br1e3SvkDKJqY5DUt7UeA9F3/4wOGxxW5kiDhoC2mp1gCIrRuZXTOzfDcB/a53nNbaIDPUGwncRRnPmU=</t>
  </si>
  <si>
    <t>j5uty3FdNd0rX27Qv8HFpdi8Zkrgu1d4p8kFtHQu1GJcRSqPogEzHOJhULVbIpAU0sbFq9x1fQp5kyfLZMp4vSyg9kYt1hkb7h9IeO6esBBode/4ABgrQfE2ncMgUjl6ACT+U+A6XvkbuXkn/L74VNs7d39FisUVHc9swdQ1IHA9392ZLvxXm4j7wx6CJNGqNDMtRibvQsOTpcKO3iYdy1DRF2QUwuOB6slW8QlFa0KiEA49JHW8vimW/QM=</t>
  </si>
  <si>
    <t>Yft39eh3OsR1E+pAyFs+KoUZ+hfMq9HN1s+qfB/G00sldRb/+/IVaHhpgU1F8CVzkpk0hAY8wlt8jJSqAHYD75EjQBLpvqpKU7fm5FYfaJeF/sr9dOq6upuSqrGLr/Oy7xCXGBq7YkqcbU6XCa+omLxbKVyYs9vVmUQS4cXYOYJDjntnDD74dMVCasWEpAY7zE0Fk6FoV+5MgDAX7w4KTzteLw40VR0+d0IZNa1iz+fiopszgbyCG8TlLkw=</t>
  </si>
  <si>
    <t>+ObAxlfcCLJ9fqIREpJstRFzYr7pNwzuMnApdi2KF3wtu7Oa5oFnhmAyACFmwzQ4Do62LfgplxT24PZEsOlV8yImpy3ci9y2SPn/yqMoITdwvA+ZovnwesA97EsJJqyK5EzzM4xN2pT5mwkIiHFMm/qCTydJoLzz10f2gUUHJ1JtL9QglT3UlXgAVZ9MHw1vRpS60M4n3GGFkV9TcXUmPa3Vs1RvB8yBQkJGdwtJUEB/YXHACuZ/EtU14yw=</t>
  </si>
  <si>
    <t>CFnDaacU1lvXNze1odp7R1i92sq35zcJSpksCFXn96GrnwteIZV+W2PeWZdZS9B1kZ8voqAaudkJb2hO+3tjC3At6/DkdZXfmKF7nw6B8pmwS1yVGzIs5lO+YcLgzxQkKyCAmnU6SJMYQyY41hNWlPMb747GBUMZPfE836sPKS2ig0bWiY7Uy8GoG9cU6VSeL6n5TO0CRJN4sRzVIFTHhZSwGgb/40l3hH/Wj2Gz9Tpahbk9DPRa+3LLa8k=</t>
  </si>
  <si>
    <t>3qf6jRUv/Us0MsNq6mOljqyAOrlT9akRASgWk7pMH8RuRcjFk1kj5LQZtCTdfzJWX9Lw7aMxfn0T5aegnhTz4ZX0mmk2KMjItnySuZ2nI2R4YzPBGkFp6LriJYr3mi3FuzJpcitbP6hiNoI7FIIlDF9ER8ZdP96j86rp0k4lObuI5XSCL24FbCXrie2kYL+/ra9BEU1bmdlkqU6tc5r62k79KTdQ8cT/B0akcg0KkWJNWcn5EciSvqnoqSk=</t>
  </si>
  <si>
    <t>lLvODkh2mLTgyKpruCzMdDf4im3dMEspN1Ul9H20xadZl90qqATEy3GrCwShlvwb7scBm1vkwdoIkWZUs1n0onXHxqJAt/XM5cZsTcCvC1pjybXzk4mqCCRt5o/p4VmUjJsySyhaPz/lT0QIXRfG0m3hzbIHIl4AohkBbDlBeemRXGTUQMUc/llgGTwwKRWvkJK2Pu61Uo0BEGjLVWtoOZwegpPQW72FIBnwdW71FAqHmhQP+0AiNZNnxtQ=</t>
  </si>
  <si>
    <t>GhG1aTZLIQRGceTR8pZvACHOJanZrmBMjXFYyTHLuDolMXIfai+HGi9Jtoiqttrpn3iAwb80FFubBbBa8zaV0DBEULGxAirCWWM7C+iyhywOqMqSyPGrmwS/NtYCznD1PLAUC/yOSjpEaEB7ZZ+s0oRhGLKeDiwPOLqi+QBbp4z0QKXHDSECuBs8ymtA7OoqFme0OOuUNEqvbwPOxpcxyERaCD/uREiTZXOHka8XD3ko2YsPIZOsksSRXQo=</t>
  </si>
  <si>
    <t>elSg7e4Gkr1EbI7ebG7dMa+nga9tMmeRWIT0Gx4L5rUU1JgcC3W8+yq4fzJc8tm0nr43NPXYuJCOCMK9+irePuWpHoRMpwYQSYy9VeyNmJ9Pt9mAu3sAI3mtPBNTu80o7TnkbfUB3vGj2m1o5AMxltsZNO1fV2M4kErO+JsKoH8rYY/O+jTKNAEJGIXx7fuxblj+jKjhlgey8VzWmSBJMaHCMVnDPxrNPRQhP6fi4Hy+PPzx3NUsIEBKTLM=</t>
  </si>
  <si>
    <t>YQ3jqppHm6YRthYgiH9SWWUGIan0dQN3pBaWwNAEG/VjcGg9G9u3T1F061yEYGUAoIjjfIGLtCIneyxgZ6zs9vto3SSyvmrVhJeyPeeaRmUN4cuF1CV4KOf03Avj4XkOjseSv0PhX3uWkuswvJ7zGKN+Kqb+HjmqRP5Z5PYWw/LsfEEDBel33GosV44+7UTfhrZdqXYUOYQAKV1OLEnSfAMCnHOPzEOMvT1jhk6qqGitRdRmX40bqgiwZV0=</t>
  </si>
  <si>
    <t>3LTXAuy2XL8MUn5rQLjOfcxUHDk+ja4pUsJaS62DwkLwpRgEJeKUpcFKd6bBVnCqqB+fUcUbWhWzYNLUH9qZFLGQLz1WPjuHd3jVc3WMm1HNRfc066Z4uyse6tlid6IzNAIaMIOq3ad/W6hV/UHSQ/0+PFxnx6FrmKhgJHidsBbO1MV6iGMzGWdXJVNJsiyAU96UvYUHo4hxtEYHe2LWDRSlpI68Q6NIlwlBVYcHJm7C2+5DSnxI1hbPgA4=</t>
  </si>
  <si>
    <t>k9VWzeptp0XB/HcOuT5G3FA2EwtvWaQiEoz6g/rCfGRPuzoF6dGM/a9ilhwJHkXuGmhFFDiyQD1mKKma6FiY0JfpZnsKSXagzXGK1gY/gW0ZSYpE2Qm5gRgLU7Gleo9hdjZLaERCcrzD8Mm8oWng7cq1V6e4UTit9BT8FxNjUZp9bjK09Zw4yTnbFEIQxeb2lJf98rKQIhtSJUm2yS0Tz6BIrdmjmVYaz5nPsU3NI6NM37lWiAMJSaqSqJY=</t>
  </si>
  <si>
    <t>aJ2h+bWKdzG0HuwomQtuPfKxg4isJHhZEayjoXM0K7sov8GHSu5OD4LhZsninsD51z29lPadq3J7rtVMKW2Vehdtv5pHkwaS5YqrEh93eEa5hbo/7Fn/1qHduDK80jYmaWxSq455Y3NgUyTKx1ER6xAzmkeeizH4OTtdQZt+BLnI80ZlLu273jX+lKLWEwHx4pwbNF7cw9dYRfiIQlUXiAW5E3vEqodZkG+E3artlTuLFP2aoESRLox5rfk=</t>
  </si>
  <si>
    <t>Bn7LW4fSwbiRpGvYBPhj1x5ktgZ9jjACToOVgNtQk0KYcI6Q0QuRjwUowyN5etg11rhVboEIBoR4DaDTlaluaWmt36Arxh10Q8x2pXEJuu4h0VS8Y6iMKTfD/g0hRGvpd434rsgYFpMfZomlJvhX+qgFnRGhDjEREmiEl1ysW/AHLRg+3O25utHz13mdjCIahaoRc1Y/Y/THioRfqltnaaJFegf0AivWKyHbu2XMuZk5wXiig9shkb5j8ds=</t>
  </si>
  <si>
    <t>eteboIh7l6mcGqleLNB6ImLTHo9FDc3iy1/SDwjiFSLpznDdo0sEkX/NsQxhJG2CzPpVe/LERXCmkGlijR82HIdCyB1lC+RXAy+EzPL3ytKNDQu/nbcNSJNDDpXLyOONIc7YwsBHSdmju7MtZaUQSUTcjLfKveXzDYruLj397LPyBisyi3u8NFMY+1S2zXe5CQhkKUqmU7MYolaDXsTbRWFt8A5Cg8oy0f9ICe8A4pB6mhEfkhKZWB7UfkU=</t>
  </si>
  <si>
    <t>5ljESpFAgweN5QN3nplzRc2FeWcxPmtRX6H21gPF6WE7NLprXT0YtjeJ7SSDmv0C+SvmQQQFlK66Nzk4uQHX15lIDd5ssMXbm/XNWeGdjHNGyAveNYhHOKOsA4HNCwtPK7oHY+Tyxu2WGk/HbeyWFB+xyrpm9QXZ7zjFHOtoU2VsUneNsEyoIUY+x1SagJPPCZaR2e/Y6f4nSgz9KqhL1sAj//Q89BhU+3c+fd7CR1tqlI6gfnmZH87HR7E=</t>
  </si>
  <si>
    <t>FJJ8LXEiN1OmTVgtU4ou/R1Og9Rw6wLONajc2XzXwRelvSs/MG/4QXXfzy8iqKoIhjfdC0fL9bC+uyP+qJfXbT8LKcXgy0lciKdHaHeyt+UnZRboXpETp8lhD918SmDo5wMj/qE724lNkVnho4gQYniUbT15jPEPQWjvqMzeSlT+80KcyaPu+H1P/MIN227XM/WytW1IEcVM5iJ+LEWn+vPs5zqP2EnYplpvvyPWXyRwLTd08ZBnBNHVcxc=</t>
  </si>
  <si>
    <t>UvycBL6NUSVoaRc5VFYYNKErp5O47A0HiEXKElsq/vL2KRWO6BaGFg6rlRcIryDFtZ3qy2QrlYreMZG7ZFJ4O0QHN6LOPrE8tmVqpSZHJzna3wyNhe9bRGuFJvcOzA3xOFs1VOd9ShdVGZJkZ0ginxuLhU5g0MFkQBcQ81TuE9CeyeG7GIVl8ZOdWZqwWY1lX0oyosqg8EiBmEefquL3YN4emVLr13m+UDBpaMpoJFxFRTPpLrppr+TY+Ko=</t>
  </si>
  <si>
    <t>ZRmp++oravYMwgxxp9z8mQxIBjEmk6PCK71n+ot22kcII+9RUUQLi4Bd9tqhqkUNqipmPo5W1EcLnbubeodyC5oaktJyqRKOdpWArVN943ZWkvDwTbxgVbfnDRmt4ZTL0KT350zV7yi9IZ9ZY19FD7sRJVrU/G/6ZPj0Zk2Zb7PZs3LaFOFnl1FlhzPj4x8a/Ex0hgXZvkQcyEc0FYA6Op7lnF0UQnIRJ8jr0R6Jl2hT1+4zdRtyqq3cKgg=</t>
  </si>
  <si>
    <t>GdkhfRiSLYcyVUg3hX/KxTMVCtTBfaw3ktA/SxAZvmtaB6aI2ShfvmiJXJGgZ8QCzHZycXaaxrXsXkHAOb3wPdeTU7JskLLCog2K8GzlnDmYi7ocwci10eWUUy/7oJHs3AGrhKzfDu6McamiVU9KBLUHKCLgH3cdO4W4spzS71zpkkYa1GQ9Fk03WajwfABP1SNXhEPpTuBMVDZCo5rLdAmsorZoQDcuZ5OCkLS/569mEG3UwzxMBeBkIz8=</t>
  </si>
  <si>
    <t>ocOGk3s4wHeBcDftbqHZEL2lcv04G1K8p7W8e6MX5ghb7qNhczIMWwQfQ3GG0zwCGEnf9Mb7gFzCHzwNElouI9qTwrSUSj/2RUhoIpEyBhiLM6Z1an0z8/Iq3WpTIaA1S29tdH/X6bum3PoRWtrFGMSuMvrxj22MYe7I6XfiOjYTS4SgL6kgrJAiDcZ5IQrEQg58bHDcU/x4ip83PkGB7doR4Nj1rfK3B9hxiVL5DH9ZrBCHRXPrwdvp2p4=</t>
  </si>
  <si>
    <t>PNzP6HS8SgOouqgR4gi4VBKsUQKt5ROax4ZOJppyQ63dB7mzqDNZjgQFaCZI2k50fiS1PUuQ6af2iJHCoQF+Z0S5dPJ9V3ldCl5VMPoZnoA0dgJLgmItWc/B6nufRdCi2nmSjADXDMaQVIyo7jjnvHhVZ5G6vKOX+fE4OnGg7/GRgTJDat5HXbNWoLUOlnHr3ToXT0enofd7H2OECUIbbJuLH2aZY/TmwJCZNNCu1bzQe6upY/ADLJIfQ88=</t>
  </si>
  <si>
    <t>4v5ENYrQ3pI1Xay5YOTJQVf9/K45MntWBuv8aIlQQd036KpdGIKHA6CSmpaGh4FnlJ0Mupanr0mzXPOEES9o90LWYiTj/Fi/F4ZSI0uD7w8iflG5+RgB95HA+r4jgK0O+fwxyOfGNDVKNwYk3GCEGRCS9o7am1M2J/6u6Ti9s8QZ6Bi2zLadgu0nn7zrMfwzqqsrqC5Z/nUB3Yp7D7NhAIQVFQLIonYAUqdlMud2tTzSnwqPC4NHq/SCmaQ=</t>
  </si>
  <si>
    <t>6jA0w8JYgiq8bHp6KzeHWZD31j9cVG+ePizzLDQ7flZYfBYD+qb6MIBRHo2a7PW8+K1qBKKcLRSlknXZbXwoPN+2Fh2VkEBY6DGxIgo30+03ChcZtO3yc7S4PV4TSt+3JzOxZpEK0gRAI/KThrD5SGElDwfXmUDMmRMJEX+3k+3VMwNogeY1jsJcUUl0YnVL5HdSioJm5N1mWLPq+QlI9Rl3PpuWnY6lkZdspSb12Ng//PN/fW6AhDU4ny8=</t>
  </si>
  <si>
    <t>Gun19a6rUCPD0lpB3he+4AZSpCFxNLF8TcZs0oG/qKYBG4OEmTTFytNXhYgQQJvwj2T9nEUK36CJ/FucPHYclUSlYCiir6LhiGPMV4QZAe3BBLopyVUndCDLYDm6cAbLrNtGjmo2NyAlfMFYWmHhKgrLyS7UeymVP1j3oW3i8o1CZv/MxscUBm8rWrE88kwmvt0XILcFBndVM8HhHvUnNRMnPV3vgyFV/FhdxDU0/qhpuC7SxNQq+C5sKHY=</t>
  </si>
  <si>
    <t>tMiiBvEt7Rzw669sd3zqQdUORoae6qj9dy2WF++/2wg6LywKPLe43UNbkvBh1ppXtldN4cnodqI6WLk/dLqQNdbW1BP4FGN/ktM+yzADP/OZi8ksQo2MyibSqj0DFPhM1ZhGu0hbzULdrA+5ucFn7CJgePFP2/ybpFM7UFXUPKSRZY9UAKIa1c/vlvI334mwUOhwuhaUw8muDpyArMHxhMxT3DEgggWNGOc9F6Q0hpirOP4OPQnuBNJnDag=</t>
  </si>
  <si>
    <t>Vqou28L7ncdHn/AsMDS7d1Y+K7yYTjLZhNrbsxP6CxBJ8SQKZsYsGq3AYxnFjI0F0ut/fY10Vo9DN4rjMjZDm/0FF8hp208maBU5VJvrSvEPPwrKEeZofkhK4VlJgug17GKvtgjl3ozKPigVYBwrvsYjTevsgdYcgcKA+m/UInYW/x41OsHht2aZacZEx9qudxw5p7yk7DuaieWagKL7FTSGwcTFE3jPfQF6ILqsScVWdx09pfKxVEjeaJk=</t>
  </si>
  <si>
    <t>dFB7gz29JnHuf1/yVFQruhId1nN/UBHjqtovSXS8n9hN3g6EGYP04W8XbQ0wm0EiQ7a0LXFySfAB9qEh5lHLxi5mkc0JmZ84EMn3nN3jaBQdMSg3kloy7q4LCbw/00ax+933aRouY8hkl5+n29x5HPgyoiCNzfikpezluhrn7t6bIEBLwQJ4BBa4rOwePXedACtg1imaO1ZnY0rttfEfgT00iILm1AVgM7xAt6ObTPcYAbE8b6d3aTB9SDo=</t>
  </si>
  <si>
    <t>Zq9ULXse72CGJMaoPvyDi94ZmCYTlzEfnGmTT2eS2+m12Sz/5E7v4zp9jwOEw8QwGaCPQTsTQGeJxtipG9FxCWrvZvdJLR6EqkM5EVNsXnGwLpzudd5uT0pJoNYobO1Gagk6ayqd7A6PJPvCHjb99MWriUGt9v5315l+jthVjEdvJhQXe12KsApiey4eXYpWYppTcDt25t35/1j+r1a0MosJZtNr8tYlglvu0VBfv9aSiVuvvLQyBXvU8tk=</t>
  </si>
  <si>
    <t>mMMhcipLveN62xOTsDZ/pYqGWF23/4s7OKno6AhTekNwpOZFEVyBxJ6ncjJpRvhDtcgKgHqexfVmGUH+wL9CBvRKBVcgXLPYr6oL5RotF9Z1NZCA5ZnLQbgZqDoRE01XD4XVfjZUs6X0qZwTyVvKiYcH5PNl1yiKsdlh+/wuXyWdcMe9yy/S44rP3kr5WMo6DHZqwxUGeLqZ3DFfadY3+hHW8hliToILY6GEgjZiz9WGny1G/ZzRR2jHiG0=</t>
  </si>
  <si>
    <t>/jlJYhz0MyoG1JYtrnRdhG+VggCPd/loNBO0goISWlA7nuBxp3LYjYdC04WYeLf9vXukhrT23DzAvOIQwNrBOQ/O4nAlZRwWHx2fA+i2Pm/lTkH90LgBRIjaUVztwNJbWjFbfvAe5ddsk6O7bOhngW2AVZlg3itBTXFi410MHEIuIE98BFURQ73PFO+ml8zvAsD8aq6K0DTyNvueUIvT7WF324JDBmBxmx+I07AYj2IShnP/CLo86/HI0+M=</t>
  </si>
  <si>
    <t>L39WUC3FX5LisK7jsx+Lev3JF2ry+kuDtvaoUrptQVcAf0akj7c+zTPfRXZ6GBr6/XeDVSkVvqYm+8hUXAA+YLRIJraujuBAmOavU98iMdznM9iWasFjp/o0CgMeMc+rT91SCK+07L2qtxsTNDT7TzBwHk2UZb9pjWq9/o/a876z/8Nt1jiyryq3i5Ca6oCggP8sjpWhwMKV07tV799jM/Ks+nFETtWUnm7sH/RO9sP7bc3z8sWPcM+UapE=</t>
  </si>
  <si>
    <t>9bGlGFaoJzefA+ZdicdahKFGKYgSkfNoyY1XfZDV3fsDai8PyIRzeY7Br33+DWtXB4zuHh3RNXSlrJUl/WrgmOUY3IRyHXiv1LiJIjjlzDkaSvin33tDkjN4eDxPFb+GaJz8UK6cI2rgXyZ5Xnnttx5a44U29obARehwW+Xn3XWnO289BFqTN2RroB++mpZpcVnfLkI7WnyAo0FPDZTE+7ExUwmX0OI8JoST8EgwUh1vXvesgrR9IiVNsGA=</t>
  </si>
  <si>
    <t>OX4YggekZF0oXAfi0rP0rEzcx+5NGxLfQJLVwi4csAdMxnn89TRcVrMSCEmyr+FLi1blDKoasyUH5Id7NnIIUaf2nVIB4kLTKuEZ/TYEcxu9eLMpXqpM2DhT0l08d6MKPkxQ5NojQaOcQWS8FN2IBRPLjJNF0ghVyMihEwq4ApevXAcjXbPIecp4yXer1aIC0Y4datbgE+myCrpr6UAJcngJkeII//13lF9KP7Yw8JOYFuYh/lH6H2Muja4=</t>
  </si>
  <si>
    <t>sxaWUFuo55kClthVuI87FPjizou1Hlc2BIiaI8mf7Gduhek9mbT7+6wvLN3LR2xgbir1SnJMRFfu4iT4bG06EVi55b7IuuJhdCO9xJ7LdYUIQgSsWajW+B0bNluRFBxnuKqW2jJIu+Llm7Ul7oatPqOmDExiccOf+X7DP/10etdzbKbxJc3+hPJhPKoV1mxY2+62HvxfTwMV9aSkxksJ4EAOMsqJCmsbDYipSImkeCgXgmwXrA5uLK7IW+Y=</t>
  </si>
  <si>
    <t>+3B7NrGnhKcg/3ic0VxAs2u4mUPDfQv/W1EhH6uMaUzUWQoVVzlrfEBt60uGYw4ZFmafag241EDqsr7LoiFYnWnmwyCArDmmCROoaWSXaeqhOXiA/XPKB9fq88Z2OW242e7+PYWfwmWtolLDnGEZV6WGgX2mZLHicxgNT+9LmF9eWdBs8PkSrZuEMAIm7XL6T6VivGs9WuVKNbk460XWdTLp9rlEcEkz/VGX2nYuOaPXhh+Fc2hLKqtyqVs=</t>
  </si>
  <si>
    <t>KlhoCM/HMAP92r36Zcmogh1rTnJFFaCadbVm9GE2AZhuCHVzTQ4RIRp98W5aclhmoKb6roE4ZExSnL5CD2my/1H2BmsSvvre1bsweOa45mOKoNB7gWBJWZabbie4k3T9Ce6EglPAGr9zeHS5qpWXrq9rFKOW+5z78XhIkOepgj6aEPsMvoc/gAQQbYEbIY11B8QRBcZV2bof6g0ew25KcOzzGDOb4teThvCNrn04rgDHhztyDE8TSD7gJGA=</t>
  </si>
  <si>
    <t>Drl3wh4j9eOYO5r3Sgu6iIM4eND3gmLRkvsz+4vRPTHBqf1yCoIfY8VPaq8TvM0ZOcilyQYfClMy/EKt99L8PXYpHInZL0AhoBrIzTDIW9lfcxujfFlBo7WU8dtBUxtTM0NKfMbqZOZyZu8E4nBzIYAoeX0pCXcegTyG+GYYcTjbko6u3bAN2TPsYruz4Fea1t5jI7ni1z2nCmhRuw/LP9Aw5NtsinY0c4VonQhFsennCUBpaZiyoFgvIy0=</t>
  </si>
  <si>
    <t>0uuEja8pqxVK7GYV7RE/BTJSSJ7eI95EGcjvqmVi47CgvV/h8mSSHmQcoIuL+KKJKT4XDOie2FjWkfrNgq/IiBkAndBOzR46b/FtqDAi4s4CDHCuu2i3yl2ycm3yrNQqAXlL5KWOHmDpl9iv5li9KZUX367a2jWBMHuB5WrRSelFvuFxirAZM2Z5yIYeCk+Cj6LE76g6Lxx9LRS8R+X1UFheuJ8yNb4bKHGTsrJFgUAGxtbFIwVgwsbKAFY=</t>
  </si>
  <si>
    <t>IJj/o181IqLKK+JWGiRF4tHHnHHciHkk0e0ilEbb3ZLm5Q6I3gR9AcAscFc2x3oqFlB/XPGlvoLFbjMMRjaKovm+ZsYfz3tm+yKp0eZfeYovtXB5O4Vel3L8xRxpIJXmOjTrrMizQ22n/ihoUU/O8zweeb6X/+751cDRK1b1P6bkEsnbT+JBNDewWcUp7YC5ZPtSJqoMuevjjRBb2Ub6ITjzo+F/eWJi9bWvHj1y4OPsrbG2A/GDde96tds=</t>
  </si>
  <si>
    <t>E7A8jUV8Q6I3EfGroY7FRk2EOWBXoaHOLW+7lJkZwCynpsMtp1l+pyFPF36oBQJ1F2s+4x2ejRAcDEDA0VjdhOmMHsjHjTkepO6n40L8GNNNT65W9bLkSXeaBirSjSiQOS+RTgqn39cfRvw4IVjCl9KUZbI2qZAntZPmt//M5RuA60IZbRB36pGfBeBX6Gi2xuIMoamK5Hn/ahEjfoiMSra1XJcXA8U+BKrkQZb0Fifpdpb8jD0TF3sPUis=</t>
  </si>
  <si>
    <t>Wx5K86kMB9f8OSLD+U76dsSz9jt9aJDejlh6x88XtvLnZpwWvs5CxPTpuFw6XyiV7qDi3kEnxZ7/KVmcJHva63Oy84/9W8yJKzSGvrcg8rIJs1IeUcHQqStH/IfYpzS5ZTtZHsgE4YQfkxwHJDrCI+1dhIkfiBTMQzfska2E5RC5UEy7SdtyYEJmKE/+DU8j1Tv4TPj6tid4PHEeWnIEMU1ErZcWHi3jH4bILvbKOyXroOQY1uqOdIhaBGo=</t>
  </si>
  <si>
    <t>53fJFFaq41v1ouo9FZgKEaPpLXX3NsIgQwFN8EckJtRb5W3++PcmBZDv2VVev6qm4NI1GzQFQhzMrp51oQnN+x8zCRRdLNnGrzHyf64g+KAe5agQZwV2RxOL6F93Fndl4BJjTNV/v1rWFZnnYHLthvLqRLFc98qwHxOROgTZz117+NOVxOLZoY7U35pIgYStM0qXjF8AbEkIxhVIkhJVKbhfKOTRfnObOnz9qJDX48+G+EDRyNtUCPflCos=</t>
  </si>
  <si>
    <t>J+UCeVg7EKvp/WfkCVlvbx/klqjpHU+02QfP/BRXlNEzEmC8qI8wEQgLZYbGYaDLVQThdZsFnxUTXjOo2Z18yGIUA/D+PlkR+EqGU0ypqjTQgWBXIv+/2StLYgIEY4+ElKyP3nc/GdN1ajLmInjW4xpXKCaywwJMMp3UtGMahZFm+HcmVWP2gbPka7J6IvqQGqMi6DC8I9kdhYCg0l7ASG6w3MZP/WAbeKF0e6ANEs3rvejBIS7HGG0V9UQ=</t>
  </si>
  <si>
    <t>diEappNY4GdEMy47j5B+DnN1KQST0tilhSf34R0qj5S/j2aduTb9SQGmGL14DvLG1/B8kCLAZqF8B/sk6YJiqScflbsyUwKIsfKWkvWo0jsj3/bQydq2mMQeiCEK1vm0ZJVIGrTNKZDm0R+TcIdss7DEgjaM5GSb25Zsp19iRt1tKwltN6dBWE2I6EWFUxwg9WPyk1eaMX7UfraQCFbh1RCP+UOpt/e1CJIBYALT4Ow0jmddZZMXF3YzGng=</t>
  </si>
  <si>
    <t>Hv7Rwun6Htr4dLR3MCSEin5PbozE0CLItCReH6ENTZKqoLj4AfXVbWOeOimQaHn8LGlBEAj9+gZ8idH0lA3mJyqRMo3RQZM/a/j0U7PAUdesc9siD4WtQ/qZGVUsFNlcWpVTcfaQI2ZxBw7dcrxpoXDzfCUA/9Fh6O1PzcgGenuytffYHsDZI2rKYUXW3KLfw/SjcCO5WqPW6z4cw4VzoCPeRm/KMbNFagzQwYjRlCAIahrECXrRAt6QUeM=</t>
  </si>
  <si>
    <t>InRJPKSi+BKnxmH85Cso68WKp6UPqtqpaqER5DuWAVQMp+tRrZLxJESuvNYYYz8saCEywiO9unbeHn4Wgxhn4U2ytSkY08BMMeQ815CNjKP+eavuMAd6nS9w5aqkJ/dstPlQeeoP/3cxLodB/eilfqEv875LD6SgctjSzMJ/kAXHtHKJP1P0CXJ53nRsNqlAAatwBKubr3yY707pdx9RDDt35fnCaj5Rxs0igktXWpmSuDPzV46q2FVk0xI=</t>
  </si>
  <si>
    <t>/y5Smwi6U1VJWMseXuLWjUpMCApilubGXrpl/4eWvZB8YHrbGr7GQ+RSaRmbjc9+mfnsM3q79T/AeTiF2O9w74ZVyGxRaKMY6Ytw9jSio7ewsu6pp7m9Q8JuvPg3GSArmfP7f9x+RjkyK2Kw3GvLCEdSvdQd0NnLOcs4s0BPDA/Pn28PDZz8KTbG/Fe0Cr+sHBgKQ/pMNPUtrjCJbYshVitYDCu2YAUBaD/Y4Lb7YplfoGtEvKZRNEpQcuc=</t>
  </si>
  <si>
    <t>x7Odo8HOBWDTJGXuesq2mtw5tHOB/mmaaMfX/abhy5TxAaeQwTCXW4fxWoHMWWfAooAmXsddch0N2RPZiCEvGMj0Yi4GuJSW0RZewe8yGpMzUOOrydi71RjGoCATJ5cia1rsrCW2Pjfe80pOWBy4XwnpDq9O5+6OoxNUeCob/TLqBlS9Dy8ZePthCCblUrxKX8yd84IViVdWiWimQgjrrFjxtEfDDBjsyauij5x/DNUBf/01n1t7F3ExTL8=</t>
  </si>
  <si>
    <t>c1iJIlL8evrX4oZJNHpsaiTi9Z5UQAhAyWGp5cLPeVxo5RPgkDfRq7C4RFT0cnCULFCrpEVNRC7NBhncsaaIAGt+Ns7vozyp9ldKYiAMRzKYjeKFPlOAvt4bM+Pao1Z7bM/W1ST3owmW8xvAzVkWhgeFMp11rGIRLLDhJDZkGhRZG8Wl9/o3JXMDKcaLx/MPWimc0L4nV/V6XeznBTOwCY82jUz4+szgyg5ght5l7LRvtD7SQjchk4028Y0=</t>
  </si>
  <si>
    <t>KfmcdVxOlD3GKBGEzNYEqateNVK2bKLhKu8ZzEvbGdPBoZc0IlXQC75J0Tkvy+voREYW89ZhB+/CVwmVvTwZSNU0VjKCTFl/2BsXKz57Q11KVJ/PSP0SPs0aDuFtS0l1xG+v4q1h91p3JO3wxRMRN3ohgypTWXCzn7kVztFwsk5FhmJnzDToopd6STxOijB8u/JBgYSDKMFE7NBzHsClw4rfSDbGgzsikI64H9thcUoIqNCwQ//vzWeNprA=</t>
  </si>
  <si>
    <t>lpSH4xQnQz1N2QnEdqjuQsZfoO43EyFI1M9MNf8OADeGFqH56/yydsEUQh6ytRoZFtH7vEhxj1zn77PPwayDDR8r5OvyddphGNSuZ8DX9ZydyuXE6cJ4T4LFqf+Qgubdeqvr0TUXIeNLThmoy3OE+FyZSON7yE9uzg/vtihJMPDJCgzBcZXkq2nu7oOa7TIvwYAHWp+nRbIIQHFLAZ6adgKY2r+Q6GR/CNkB+xTkkiKnJrpRIdehGssqqJU=</t>
  </si>
  <si>
    <t>Qm0fZKmTHyb7Hv+IEeVje7IxtJ9Stm/nE8jztvj21Tyo4PBUy9Ue07qMR5FzWcExzzfMb3cjkA7+GYxEu0DQe+lpYxfezR6gE7yN3wqTT5YKrDG7N1+glcDJ1Ysf9l4FzkPG1NPZnyKFwZnYYjwzEKE8DhfI9aeGE7xVLuhk1VTRW79dAFiqzvKTGBg7iSvCgtYEv+ipINsuvCURRoQjP6WBLimjqSc5O9rqhBo5bl7nOSJE6VL7qOP0X5Y=</t>
  </si>
  <si>
    <t>xc8TeU1SWtNXHt0NVrMYWHtmIkhuly5eC5XX8000RRtbI60M+/jkFo2Po1hgfLJqTZDcDYj+bOpE6qgrFDmyrbTZx0Waz5KpPQyURhdLZHmcgELUrwLbiQZAfwdRZEHnYQjUi2ks1yuVgM3+k3rCiSQANoT9isXsNA4LU7cwUlxP7PI0eApLp61AUOjrVaZs9XKxl8J0BXHPsQM10yW+rAEzYTdkvBzLurdNZ1nRIfVZ35cJ8NlD3PjYsU4=</t>
  </si>
  <si>
    <t>DTIag+djPvNAiEhvLWRzsc+nDhKbqS9oHaR0CxlKSDp7VnrVSB+ambtLnI+1v6kxqxFLxKI8lOzo4bR2ujB9YBsW7cJMoCK5UQ4bnwjQ+7RwKt/sq/jQqZ3xmZRKK8o0CME8CLqbtr+AYTxlCFmAStA7K3zyw585pJsMo8iJiCrIFJhRqrPkpTSgKp/TZTONFN2s+R+Okf0+Kd/QLwcOW3DmNpQd5myfGZYcn2cDcgeTy4d+OnYSrZIpSyM=</t>
  </si>
  <si>
    <t>LN3RY2BUBQgn8WvDyyfFegJPMTEVcEYiDG40H3NmPPSwnJWPkH+T3A8OaRRpJio/leitdQmuuEPkgFwrzjXgBnFGhNZxTWbKl3lsgnWqbhUydIu5+y0kqIl49/ZwQcsu579hKYY1eiBh7/D0TtTbtDXl9EyxwgK1kO4T9oH53ZmIQo5ErrmU1CQAHnYiOgjEIJbgMV6RgUQ5uyd/z+TClv/9oHwoc6BO0bxHw3m5UGsyty1BfLSWiWqo36k=</t>
  </si>
  <si>
    <t>CyenKnS1yrV4NtT73z5AhCg3gIFAakei/005wTi0EDkoH/FuP9KGznQhu24g7bM1/BrQG0JlL1feg4rOn11ZaXz3d7/v3z0LkbzK5jSI/0u+t3zw7Y48w62ScYXM+pZcIGG5Xs9HDaJQ/niWaZeL4N8lk/2Fwxv4+vJrGRwiMwkqCXAS+F+cEplyTkXWFLXpjIDjU9Rupip4CDfqt1sdY1XKLRUoIczq2+1ELuo2fYuM6XfSOppzPqixrRs=</t>
  </si>
  <si>
    <t>JcoXe/WQ46BfF++lJCkFROx9hgKSXgqLgIIxdrNsxWZ4KtWy5tJVTfbf665zClL9Z7s69u/fsWsWxLEU67zPBI5dLBWM6MijxcJg+LYKVWVCerrF1B0ABX8ERlGVkzhKzfil/DoLBT3V2e/4E35mx9OpgnzsZu6Xse4+9Rez+ksIZ5vJpJGiPtaWVaoqW5ddoOsiwfCEU+mru86Xj5u1wUFTDx4lVK7dGjXF4Qzz7LBTrstyDoNOGjL8/n4=</t>
  </si>
  <si>
    <t>jtY8qihJPeLDWZjABhuxZVnv45PWx721IBVDbMVvtjybdOCefg4aa3Fc8hw48wJNpez617lO9hVHttXOCo9I3vfNLs18YERGbSZOEeI683dTkU2lqv/jyhr+uy2g95sOFEEn1DmajPSFHY0hQcbNdQOK1Ml5XZ3rNIe1bZahwoQ/DuIMo0BccRdDa9t49FlWBnkFnvSjasgb9/h5EV2ebxrIWDNLEp8pc2EWyizR9CVtdSR7HICKZ7hG5YE=</t>
  </si>
  <si>
    <t>/BpEoKaAilHU1LAXApRmfehtN5hlWgCrBfZB0PG4mHi4Vr7jt/8NXzz4+/5lO/Tm8huSPKTMVCF8ozEAq3jt9ofYxBkFCFYZ9gmgA3iUTdyxAgJ4D4CSWHyIBCGN2SrRtQtDTuidax8OjeUWjrg/lXb4cnF3B2248xuZROgegdr5MRNX6i+imPNl61Dt7tKgSSgBs1affEsCXNOnF8/A30J0wYy8qE/XOw+sQVJscpIwFHPI/VsSahMAvks=</t>
  </si>
  <si>
    <t>SeBZOvroVv4Q6uO0eU387193wcuFQKEbRwbqOUyzCPTJiENnbscrtzWVmzyxHX1SrClnQB2maqjzZxRYd/JoVFQTp+65rUc8+ED++w/Qt9E7sLqy944kjWDhyOyxckkZs3s1mLJ1zL7gXb8kh7+YHlJeWRV0djfL8AfnpAZdEQnS+REFVQQSFRgHExKFooyMEpdXuWG8lkQgX9o3GayEC2KaTppLuvWa51C7PHNACg7aGFdKDjZzYrfHHeg=</t>
  </si>
  <si>
    <t>GwDNcbDJ4Qow1wcuQxRmQk38Orp10tHZV4O0cZ4IbLUHqcml45WNGfq70HvYTMJrIGJefxXRHYJVb2nRQVYZgSuWlsQb1kv8kV8kpUS8NwEnGfle80lPNAy/4AFKmP7a4qSXopd7CCPfVn9nqRejRskmQVvwzbpCZu/wcBxAgvHKeuaxtT15fFkCCaOXjmJsROcxCTJwUM9R8nKSBUMSj6xotDZlZxlXY+bOam44SOe9pAcjS0J6tcIK5Q0=</t>
  </si>
  <si>
    <t>ci2MagSNpH6gaWrTjeFWpKEf2d6C/JycAA+rYzbCxwwQcJc0VZlkhg06akkkxhroiyatAfjfUb+ugavRorJOxAXw38eWnA7l5GkBYtvHMgW8d+Umg3Aggby+OXMJF+z++8kmRjXUGIyFDzEi04M1hBqAoeANYocjGSPImI3y5baT48GGamTojSVr35grPPb1IolTZoXwid2ChXeDQ9HReMLOkDzoTapvk7bPNErGp5eUVdXNQ498D4xmEu4=</t>
  </si>
  <si>
    <t>0rMjVXWzl5YyY62eBaw4Rdf7lgu3E0VKQM8tb7EaRXnkAGGpoBKWv+6CbROwSFRtXEPadzkB6C3D4XqWJ0GO6tBMtP2zh/syw9YpTahpjZZwQymmW8v9aItmjjPyAH0IURVE6lLP+FlyMpdIii5YA/OPNvAyD6vpUGYC3SHU7yMMlLglN1kgZyebcrRDBougMGfbW9Q2VLOiUfyBwHA18BGfuFTMcA85fUKt0msAc3VP5D6+uBCI0k211gc=</t>
  </si>
  <si>
    <t>wkq3POht8p9BwtCt1R/GlSBITJm5hajkNyot4U9NEu0t6PNv3XjQgmBebBsvyW3qXr1DfRXXukZbl6cGAJ/1P3Lp4n+LIr2eWXbsxJyNn1aoYQzBngSrrF20MaWxlzn1SizkWIruaJq3qJzbspMUqg9Ut161aW3ZYFTa5AFCuDYiIqvdwldPZcZ3Du9zabCHpMfqvx3oU7OqJzrminp5IDdAtAYWDXR8UOspOlPWrUXV9BrOSCU4/vQN+zo=</t>
  </si>
  <si>
    <t>vXQBP+JthT0B+uCvb1C0CRVs/QLMXQYd0AZIEhogLzJDs8B+l9txgcGA19nYeNabT3+I4VngrIeKAedcJUjXY2yzsarC5FlB6XsLgbtIzd0QIIEQEfnKb+7CjbvUQtAPskkYl7/AvgKyXuDjSIp2mMy4Ygd4G427V/jbUPwvsWdr97h7G+0rm12N8FDw5LkG0Bb2TtGPULQmfkwtVjhWmHF9I/ouqorBZofykhF06JkyUWcmh3Z9WM1rrVE=</t>
  </si>
  <si>
    <t>zmznTU9BWSD2U3Va+j2L95I7XCV2w0pb6FPSxc2qebzcFXBYRnPczhcKXwnxeLbG76vjym0nAGHCU4Rxc7muuwSwFzWweVtQWnoXUzq0WQhlwdZb5A4S4p/IeXSkdeHJ3/+McgDWpDMg11pwZ9PprF4+Uwx19K7XMuQ7aj1FlFUG7StJ9sUUjn/8vUXWHQUEAD0IAVuVmbxYvbsZo416uKYyAUXfQQIHvFUSGbitZaWLJLI2grl0WcYAbj8=</t>
  </si>
  <si>
    <t>qDo3HUf/jimR/I/3bkJJd//PISE4ibOppNEuQCs50S8SEgIp4bqXBtPW4tUesSqh+kghUuhoSe1FM2P1D9Nhz3U3/hu7k+7YhizBawSAk2AcWk3bFAkw7l5Tj5Kf1BYPQAExNPWPE7sIpDphtXWE0RbuuEZ5C0PPgvlAeeLn3kTeBnaVvhdhXupspsgLVie68XW9RPNliCe09YTGYJSuRxgSTDB3lwiAa/wOvRxJ8X3xBn7cTgM2NZsDPrQ=</t>
  </si>
  <si>
    <t>YNaRT4GLYK62KjeCSuf6qRqtEVEY7VbCQm6Gk8gj489NpiTSCPFDqBpHZzPhLm0L4DZeJXtEGXnHYC+dvBURload/Op29AEPMEFTMrfx8pXuGNDwuDd/D5nRgoOBUApINfg7eCi9hZ10guWWH3IkSlZXrYXM3KRSYQ5gGL6d6SCFpMBDt2j11ov3iMGhCdHE+ApW74tzNM3PONX4qj1Hep6QjphwpHfherZFy7GiwdHF9gAazezgn6e15z4=</t>
  </si>
  <si>
    <t>w0NhfDTk2YIIkqWMqRk1cyUsbVqOwc/2GIu1J6MCRsgEnTv/TsAsdnhEX4YJAUVUNHHrzfp+9EFeqDRnAb3quSnZkDap+J/sccScDBeVUeMmze3EOiRK0Kfnseh8WzUc57yUsoTWmI4eBNjXhgquPLbWTMblsHkTMc7ebr7A2M3pLHBG6M6qjhlO8b9YSleG/k4kaNln9gZqGUCVo8rzPXmtCOguN5vGfzwp0xOcnXcZiF0kwTOOYMVLjI0=</t>
  </si>
  <si>
    <t>R5kku0T6RBTg2TRhgFZTbYZZKJ5oRYipOUdtQGx9pa3MaS+408ZWn8Zc/rREUDHc3ICOyS7Kp0wYBxT1i4XGr7RkP0+Oj16fEYGczwVFvHqh17Qrzy9c2/DQW0PqqPbNnVu2t4otxZvmXrICeLR2mL8UgzrjLN57gxLKrrNSzbV/qHT1U+OfJv3Lo58ojolyfiVezhWBYYkEfpmRpvokrDdzfvptntfhnVwGPh9E1G1JtKlHgFkvYFTQ640=</t>
  </si>
  <si>
    <t>DYt/+xzTYsP2NX5oAMHFOwTXy3+C39WobSQ4nbvkp48eS/vUpQGPI42S7hv+kHaJPlIai3d+K14tfGuZbTxMz7axDbm0ApGyoCg30Z0ojS5BfwJYtDSkJLmED4u97CeUxperYD38SpTk7odovDDfGXCeN8Ow4JKlpJRsnzUaPq8njER514mNd8FuWmyeIr9nprnzi/JE+PtNi1s6VwsQx7tuqfZjJ3RVBGvtAsORJI56gjqU+Sthnv+zugk=</t>
  </si>
  <si>
    <t>jHh81VRE9k2pO1mIRZJklG/J/yYf4FiFgWafT+y+Ud+0rTFZq+/wJapHvkQH83tVICufT2Oa0gj2z712GDbtqlF0rQo9zNtDM09fDFQz+0gnH/qWIEYTcsHgZBRVHVAmzVLBjZ8Iz53o6xWmvuYS6zFPUyh9zSoyfXFkvePaixTQlGpkGxbFLkiQrbuAWhI1AAx4QnQFtso13N24J/Ela9vBcppOZclDlC1wanmxjFbSZDqS7dLolw2e0k4=</t>
  </si>
  <si>
    <t>wg9pnJGZJddOQDZIdA19clGKtA2Rcb0wpI3wVOVaMndR/uf+60wSD//ZBCFdubUXnafBGcCEBYgKt+vFFADlxo2N5MW6Ffd2G8WTIWAlxVb2ws6f+CsseYc3YiR90bk28S7vBBIhh6ogwkqovkRwcr5NbJqBPz2A+kYWI/FYaURbPWkZXaTsYRFRbaGCuFy6ZTRRfv/11wjkJN9FC5pUNaAsk6qr0GqO/hUwAGHYqtRrMuvdFKP4z7HXF54=</t>
  </si>
  <si>
    <t>+vGm5JxtzMn1CH/U4viyU47nBzKJMZ/fR+VhyzzYSHpV9sZ1bIFPcWbeDfJPP9mnAoH2GN64MnI3MlBlDMACM/IWnvZpRKgm3eDYGzYL0R6RbEpNVIMoAPDYFqGesWYZBIKMQ2s7l3c1ocCCseID/xqZjQy/Za4XzTgA/dJKeHUh9WwrYgd4PN1IDzm1d1XcywK0a0+rBGOyBN9GPbl2DPur0uAWJ9IAapsrpX9NEeKga6mZ9QuAbqC6o+M=</t>
  </si>
  <si>
    <t>cJP3S7nP+wAVRlpyd7JIaCuCTx06XDTVv9J0q17zVAOq7ineGVwOjxkfhXYfTX/jaGd7O93gJ30I3rHSdYULOsNtfVlOnacZV5XruVZ0bWvtTai9xYmsyEpO0RJJzoOuj20G7UKzOtMMD1WCCeKfJahBDM/PN+elI+A6789WfgnvwWv7BXz/bvdySv30ozUxD3xW5E3pwqsvdJMSpSj8HE8zoPwpYPkGrCr5gf3zz5/JdXj5rRH3jvnQQLE=</t>
  </si>
  <si>
    <t>DBB7w3z6LnwHCTwLhqJcd+40dj8Ovf0cSOVO+urnRhygjM1YVjTc74xGQldHxTS35oNMCOm61mZybh0NUvZnmSEZ5XCenHr6AOGGeroCuZQeN6YXkTEe1VjXTfF+5G5rTNO+S/UNMXStlOAwl3WZbsAimDV6ZzJb6lSi3QS1ylg057bBUxRIdPOakPVs/qkjSwCGt0+dQyscY1UwSVtl19Wmq/O9g03TRAFsee03ENpAN1YzhGYSvHowj2k=</t>
  </si>
  <si>
    <t>QIiKuhrRg7EKq0f+nWR4Af5cZ/5KI69B1M21dzZDR4neX/7XGR9FOen7Q7tSwUgGU/AI29kHgQUU2C+04v/fvhRYi9l8zaFxMbazhsGn5dsr8j7cy3kVQLgDHW0pJbSFBbxqLr+Ht3IEKwuJUayZ8HETsabrYjVJBJj6LTLymlai1PFEZ7Me7t6t/hFWKGryUGyJZ20ugQbk/l/LPXUTFWTq/J6yEoIZHovpoCKi+76B/gSxnr9/iSrGu1k=</t>
  </si>
  <si>
    <t>JgXtkRQDkFlzaGMpaju9wAUB4nNtuyE8mTEIYRWn+5OwVNzW/ZzW5j/7q0+489rxxB7Hu8Ng/L/07r1aqe8RhiNij6o6888j92Rlx073BaxnTWTKtZPz+m0BYDDGtQ+nV0tI40aQjyeobushzngEk722+LTgnsx/MobQb9oVPHibQUO3JOvRKQgzd+XxDYirzViW5BQMIyxSn46f9lo8gpwcKEfq1JJuIZf96Cf/7GhR8Zhs9VcJNITW8bA=</t>
  </si>
  <si>
    <t>0IT3k9ulLuMnRHz1aUn8ejoaRmC9QhW0dokikUHrPhzLX9ZkMQaTHYr9CKa5vmdc1LFlyM0Tyonjy7huAoHb+0jrcZ0C++CBKW8DbIPdtGbUoveCb6zrRmwcXtJPlZT0olFMNUe2+fhGb4RlRoHVIpxw24FKfEJkNgnNRglpBAkYm+4+ipobnxbLGXTR3s4+aDMUf4wrbMl/3oZDWB0FG+vZldzA9OuJmDQAi2wBVGadhujvlfAg+GkSnbE=</t>
  </si>
  <si>
    <t>mWuhS029ZBVq6OFJU9BvBtDGiPcz1kRDEn17bs9TlYpORk12y5zvnLE/MJ2paFPEz5xknkH5iWwo3g5ojjrKwkJZLI+EvZe10dKnTppyAkSzFeu4HPl+RUcaUltA6WvRZ1t+Br493JmjAIO90ETis50/OqAh014OmXvtlEWAdI6z2hNJMNQup4yn6HBW9LZSyQ9eh2wqyIGxe8NWAvWwWq04LLLpzdnC6O4Y/ge/NEMkHNg76Ct9+W16/+8=</t>
  </si>
  <si>
    <t>ynht0aUfb0nFAvkV1vFCMpfgq/c1dImuxnKtmWXnEiZgihaKHkBWfp5uiD3CwHzoUp4Tu9c/57qXOerAOeAirAe5jfAsIS4Zrp7D5Sv5Z6BI5vZ3XvfyQ6hovMta5uBHJH4WgS6bztGuRK+Byyzq6kxQdom3RAvR47dclzdgE23LPZqxem6tyMjDKdvVwD4ysM+Xo4yJ12n6rByfGoO/ysQmBKrMlwNy3/kMlUYzGSD+VZdFLjQcs2EeyIo=</t>
  </si>
  <si>
    <t>IS1+M/CX1T/YN6LHrMelExVHlYwarOyjmcOXcxIZzUBp+a3cfmbhQqqRxv6V6FQ/YP9LVLxskHcH2SyHt5LFl+v61o42c4i4sf2XwKkEBusOmNtmjYvpDRsduVcEyOpAUqf7SNosoIKiMoxnWxr4LENmIy2ss35HmUnBpB3KeKUdS+UNZrkkVc3Y8ewDNdCQDpetSJ6oHlq/Skx5J+hG3Uo4nOrUt2rlDh+ynsIJSJOqxodWtB7E++RvIJs=</t>
  </si>
  <si>
    <t>qjgQddJp+NBu0uljL+sbwwu4/xvcQY7wOFtDCL61aUEpHsHopE7rxdd38dFUTuDrhEeDQ76p4BC9668IGZMcOIbc4oGyTE2dVcsquBh/LwsSj7wQ3BvVIrj9M9w3yYEPZTSVPFAo8wVg4igfM5tAWmegs3MpIIl/joCezQNa80ARO65zWTHIgWcc42JYoUpcsOGLyhqPYrZNQvd/xJJ2e5hSxr9ttIuB7N7CSso7cuFczEBNmAaSoPShStM=</t>
  </si>
  <si>
    <t>3isalqO9t688/eSm6iGd2PGO3V7GgPAZ5L8HMgbR+Mpa9b/b+NZdfIwPRm69737nqi3IgrYhzRrlqtMaUUFmoZnGkrenE/+ybZYthVRHG+iew4n7zHXue7EqJReEseq1Yof7cjIpVewCBo4+pTqxPKrlYNfXioae7wPkpazHxctrIzxKEewp0RYOAfIwTZdSKBeNqBH3RzDdsz8IS2S52fl7l9DVbUHJd6danB7S74DvkkicI05Uq0DDZ2o=</t>
  </si>
  <si>
    <t>SIqiq2XuO7u84LQ2lI9fxn8sr47T/sezzSn2+R0dG1MGN8pRdmmDEfOa1OmWkMaMsdqqfq/IBHzJvZVg4dBKnIGr0LOhaVN14DDLNt63KGYmcXHXVPK8NBD9d40DJlDfF+8cqHb8k4LJOF+/nBFxRmkRhdZIRXibYjZ1Ac+xhVqtmTaHatuutpc2PjFWeMtgrlibc/0po3lbLstW9MoCWyVUlZkdFmxIBb9ccC3shiFhLVy3G2VovGHP88Q=</t>
  </si>
  <si>
    <t>7bLnsHSVAJa3s1qu9PirQOz+8FDe1pjp43m/+W3023wAZLGopemHPYweyrN2sfyPxUySOeToJGlECMvJfpn3eFtqXbFWsOKeC/nhTdRqsJvGtu5Nwsdr5/1AyvAlZvPuZJ4GZaa7AXJCYsWgFOZWaNfco5/Dlqkf5vm6IoRvQztPk+FpQO4UzKyG15TsNU0Xk7ll8kyGpNIbKpleqXcmOaBRIUJoFK+b0yDL1DSprAesW9SF5NR9/aMPOkA=</t>
  </si>
  <si>
    <t>Wdlx7cLEu8uV4wdMFuIexpSay3Nqy+hepuCo63Z8L4jwY6/RRtbhJh4YBfX3KPOgzkAQauwC8J72QYjnzmfBKoweDzqhclcpRkJWY5AUsB1y7ZdsHVpylfZZc0W+7Rl8+7fCFlwhx8nY1cgvS7IPeZDK8SZtXj9pxbA+Uo4H9v+HVnvYGSlakgv9HH32A8R9mlIRkRgmENruHpBjGFYL6IhPBN3S2Fg6qo9C9SfujPWqFRZs271yWjIrPVY=</t>
  </si>
  <si>
    <t>7bKPUP4Aa2U3jwiqtaxWoD+RakdWm4EXNrygI0jtj8VnpYzmKyzfzBzAoS9wxHRzHkRSl8ddNO6TjpQiNPmzR7BTlF/2oaR6Gh/AWMYpo8v2K+/ExX2AQnZFHiHGkEQgcouf2/6XzRRn3IcZNsW1+dCgOGr/6uWU6MKwXvx8/xVw5YVo9xSGt5Ev7WOpyOdPOV0y5MwJFrZWl/y6S08HJm3LDOi2E9/5pB2+Eu3VQsk4bkG3Nb29bijkVkM=</t>
  </si>
  <si>
    <t>CTgV5PQMr0z3Eo6tkmN+DOYDUuMAPa3Sbmg/JihzK1FQMA5Hfe4UpZhXBe7/n9HGzS4r4yCegyZKbdcWluFPB3PTUAOu2SLkbH19+b0FGtgGl37n3bgLvofmkj9njt5SYj1x1XWoBCc9zJ6I+OVAyfm3PHViK3Kkd+prNw9qpqdtfK4B4ZlZZrteVBIEEgsQxjtt74YlvzZhDHHeNMRW9Hs8ETqW/vHNGrXYiGmquoga+9JbkA9nliQg6NE=</t>
  </si>
  <si>
    <t>dDISACiafFapuXfRQvafb587Nd6AOqvGgxWILv5fDB4o725IGWtfqM0lkl3oa24JwTHZg9tLDO2pphiclAdHWUFQ1rADZvM83IOy3m4xdAR6gdAV/ZCAupM4ZWIDpa2rEaP953gAngcXKzDhX6K45gYaZ4T/B7yhE52+qORn78JgBtZFS8huS23pWYgPlX/0uAdysYT3Z/+yf5cSqNljuSF7iXh6VIb2xVtebSsXC2YyS2PFRmCdL5EvzKM=</t>
  </si>
  <si>
    <t>4F+B0VfyDagIUAPfGVTRpkedxBjbJC3JPZsqC6hCXFKXxIk0fH2wS3Gra453EIfrZfYRZiWO54uejohdp5nIHJsn8jmYfaiZaOunXgwyKR5oN91tFh5z/5VKlXW/mHZOL7/tsc6x7Ql5wrgE0ZaLGL0AG/koZPl3rXKgSgpXQsbWeP1St/pjg8nsxE1wUda077IixVRCKhkfMbmrlvNwE61pyMgyzzU3s6b1nv/LNE6PDJBXWeeMWdF0H+w=</t>
  </si>
  <si>
    <t>6vu2ht2oMy2C+eBb2aa+CtLUfXPbuvaPVmwVRIeJY+sDUxyJj36H409VXSvVDvExoQHqQjlJDAqvp++BfORtVl88wSZTsdyZ1KLhLj8zj1/bF4QpsQ8xSJHiA6oXrSIEIR8IjBeNyyUnj/N6SfTmL6ka3gNmGjfOV1rmmaYPveEjOMRZpQ2AcAtEHE3yDc2MAPXQWe4oO8xhigl7AWx9z+6Urpyz4JTCGgVIsTfbjXQZNIuCah2T6p2q/zU=</t>
  </si>
  <si>
    <t>8uzHowuhyUA6U8GRiL+oqaCphjGItWbqtjdDAsmjGiNcWFvIn+Af0vav8D1bRX/Hm9XRSlavRnm6qEv2HxTGj/6in5ytkqM2OygdJoBXgjiCJ78lBdvtrPtyElapaodvedV1wh3Bt2JGtH4n2QgCZtIiF9FMTyMzRToEONS4H6RHbydmEr1LvvUEB5pxS9NNiX4QStJsqkqoLxYVuQEXT0GBpupJWLH9n1GrkBSM5gTsTaOwtlA/jhiC7sg=</t>
  </si>
  <si>
    <t>NKq++FdrkposphZN7QG/8FhukbJ5sJ+Nc0v6caHhPX6zwPqfR931jKR7s7zzivQ/RFlqtsCAhXQvlLOIWiyvNMofklRAovEcP4IUYbve7qBSqAT8f8hPLLWNMv7EKFO2uyitTQ4J+eIxU6ajXo5szzQw05NSPPfsTjbng6HhY4slpAjRZ2jCLjr7bOVyfm2GuZMQ/CHboR/TBK3pPcGVdizVaGdH8++/uQ8lTwyQhOFwLGdnuWtxuaTVWMU=</t>
  </si>
  <si>
    <t>yQ9bKGZi9QRdT+l6HRlkUj7fB3cZpBp6z2gJZ0IlPJ+4oxg5U9Jz9+RKhuicQzgchZKaBf2Kb3NfB4TXwgaGgTco0hchVEnUSpN6hlKOM46PA1J/ldsozCSaa52QdRYhx+VwO0r+WYILVpgEAo+k7jBsGIn2LENVtHTESKjRWC4K1JQC7s0lIuHeBZyk7tSdLPh1t3sUy/eJjjKYxqgJjHtc4S/GoDXNcCrgmvup4CwwwfoK0tGZDIeLjHA=</t>
  </si>
  <si>
    <t>wUVknaBnvM++RvoXcxgPvgFpJGbIOnWBQHdLJg7wmYmjGwzmg7VVlU3NWx0FxLPPetYakPdII+x/x2tLZ0WmFdItg0pBFw6Rf8T8sfwB4VLVMnPQ/v034o5IScsF4KTycc1imJHRSC8vEfqHbrJHDb9ECv25WUQHmsnYruSi6eFwdjr/JrNo5FWGcVaWJ5pzxZkEjaB5Kf0A+ZsAgSm7zvWfscr6cLF0EcAQkNvw31+6deuNbnOgrI0SwaI=</t>
  </si>
  <si>
    <t>0XNqp0zICrAY+qUw7h4etd8Kjh0fD4eB09/CA0IItgege1RrCbKt6B5IQ5EywAotnU+sykIQOXvA6m0lL6qZqR1S6R73hrgn+tDktq4pqeyUBBwKXcpaPcxybPQTV0QaW8pKMDEV8AMTjurSnwe/vag4Ge9GwAtL1sUiBE/JRXRLMfZqzDCJOq+DDzdvvpHlwfbnb+HtF6VdGithJowcwsQXDOqhs4dQQATCg5DKxGDz9eanWL2KvPdEHAg=</t>
  </si>
  <si>
    <t>1soXPicl+xTa6nTEhqujifysvuzcpbv3OXtaTxEEKgqhLu8+Tfkh7aHPiKZ8+eYD/iLvpHMJliXyQBYWWV1cbVGAHWvWNgaNzTWrDH17g0bX0C4cxNcVd/0PlOb6d52kwNxeH8Qln0DG7+8kWQJ2PK8CgR0JjEEbe8zp93Qu/xukuI6nIRq2LCbNAmDunYCntNocAmBdou8SwxskN70woTabdNgpCJTBGeQeikU30voFIvqPYoEyAECdRF0=</t>
  </si>
  <si>
    <t>aPvVhISkLDCEAl3Mh7/uUxCt5y8QJpJ7OhMK4HvaL9w04yucHeiPtIR9PACGSHfjEaJz/XFR9Hgd5fcBigijzEhxXBSt+RT+xAH66bKYGyZC4v/1mDBax/6tc/d8u/ocNSakWQ9y0oFRZATVGmEG3q1BJZfP0Fb/V9HT2MQAgjbyRJwKmnFPWJLNEjDaKTLkOm488hLDXsSiYHzRyogyJMn3SR8pqaMevuUBwTYU2UAo+bVjRuY2Llqpzyg=</t>
  </si>
  <si>
    <t>XYdkWsStXvguw5Mpgw973xkIqsBLNaHBpV2S1avMsc7kHBlhMWnp/ICQiBhDbmoHoXN3QpmyHEqLoYVot1nfSzBJLl32clXxgUyPVeX8WBov3JUPorHZFVYdXkRysutpPmPBs0Aw7lpxC7ZSyJJGTXit5AsuuZx+cBYlws3Qk2ocVZx59474pS/jlxWPsUSgyb3LX0mzhjuqeQ52i/GLfnC0OuwPYdvPonPM9B2EIENmmBV0bFF6BxEWufY=</t>
  </si>
  <si>
    <t>uY8tOcai6k9wifnKQ+1Qj02D+00A80jn4F4zRYRH/8sXWVVUX7FimHE8G6X3OmL+u8iollz8OkTG83M6zyjiOUCi2FOaQD6zPnD5h066h9cPqJphonDPerMjMpC6tjp+zgBAe0+BMGdByS1W/mBPmbZWDIIducs/JkHe7y4+NselfBGL9r2NC4SeRzAR22trU+E402+BvoM/Vxi/+/+NtUAKvUGJDe+tshw0kvrdDa1TremiJ/E1u8c+koI=</t>
  </si>
  <si>
    <t>qQvuuwTNfIx2im9cKUlxsHj0yWr9KoLIsRpgb4c9SceBKRvwtHFS+qT0Ktme+oSQgKCTPsdu+4F9mJp94fTx5kAkFEwobKsY58vQEi8GUU/pTuCXNhvOb5JcRWWOOtn/cuEF+TvyQXbeJUlTEr6Mr1RLGRXSEiP3T+h+Ypd6ZEmVT5G+4l6JXBM0UC79/sfgvbxv/YDGD0Ge4Wk5f77IBDhd6az/L1CqDahBjCWjoKhl1FOoMoC5dRZC054=</t>
  </si>
  <si>
    <t>nismKH1Hv/GprApmzw/X9Yewx0/BiLFA5YQ5UoHyjxpVw4iFBUAslGqqM8dx6ba7qfOVBesTaMwPfMuZPvDgip7DCp5jSKNRigsTdzKAuMpz+uzs0VPrTi7n5iGUywpa5uDc+BgMV4nCkhnBWrXH1cF1G7s1ZH/MbfgKcKGZg9ehqULvOykZG0/Ijo7rubdfv2Yi+1D0NLDbqiMrmGFcs0tOEZGzIZRUrFVULW9QdRGOTm4H3QZOzf31UH4=</t>
  </si>
  <si>
    <t>p4DNBp8oIxcLGTEDKTftCEe85krucPBgQVURnKwf/aORPKQBJIeumc0huc3iXV71oG6zvEl1OTKGiXSM7xqWi2FsQoI2d0xbZ5x6lNwP10ZxadIC56d6QGg9IfV7Y6+p2RolhEJvL8V36ZT2uDIBFpDF7Vwe8uszua296KWWoN+MpncU0r+pPH3c6IQBXIcLAFBRsMOFKs6JTcmODEKCA66CCYfMWOEew4uEbQocNLm6VZXeAOUINMuA2qc=</t>
  </si>
  <si>
    <t>vTGVYuSs+hgl+L6ZaxoHM09bgae4e73xcY1ZcILJOmkFx6H9WwoXs/B0Wv8ZF5yO2f7adwUcJV6NDftzwhw/oLG8DWwmoUfopniqjQSCfcT0KyY2aURcKOQElSJ7NIYo+DLBWdk9JxFn6BEAy9H+pp3/hbcQW8rk8UPBY2Lzec5qROj2ri2s5nCUVswUKYA0cYCRjfPDciVHiPpMMQZtbZxSsgMN2tdgcxsK1A9o3yBvOWuKut5aEzQJUVY=</t>
  </si>
  <si>
    <t>p9G0PRva/SCLGKcHVsnoidC8hqIi4DvP5IoJqpKvnaXkNYnbEsCutUB200ZJjFd99/vZfE9k3P1dfqLuoSs7hjhs/8hSJlttYBQKr+XCikF0PzZ7gdnzwfjnMSdcfKLqdcM02GX2ky5iNiMKyJBbOUIN8wOmR4IqR2qTvrH6ERTR9KcM3zE9TDkxLPz6Yyl8d5DJJlanKFRgSzUsA+Aar/QcsCg182rgkN7zyqLXErNkr4SK4RM5WmqAwGQ=</t>
  </si>
  <si>
    <t>3G3l+1CqpEia6oHnt/r7gW07vYwV5Es7yVomiX0FzWWhhjnrINiq57zqp1RL2epkFTrUG8pWn7opqkdGWX4gQncp84Ny+vLIS1cCHpSYhIUJZUM+V+wjpFBmRQoKa3iKvSZdwWVUQl525UVzvtAL4J/yb1clZ6kdbthp0nU/UDDMRExtU8mc9F15zef+0hKebn/zapZj4wNXNl0mo1FmvWDz0sHwono/hR6XqwPxoy4xvyjlRiV9uo4ajOY=</t>
  </si>
  <si>
    <t>0+C5sIpEh8zPtQXFihxvNB/tVYQJnjxetNDY4M0WNp7UkZIuHnr+FH531M3l9h8IPnWbVNsE045Yym/1pZoN1f6wQlwkIA3+HsgqZRkjU/ef8OSyEbJPBVnOibx12wKO2NnLzB4YWpGgck+sJzsmpLVy4QIJlyA8jRWYYTLALbyckAHRFIcvB6fTfoH8lW6EbPR/O5GsN0atJyWh2OSDLRdaCl0uuWE335PKTfYQKRKmS04Jd+xf9xtBoug=</t>
  </si>
  <si>
    <t>zcJwdIogNeYJ2TeVsYtSgL+ROdmZ4n8u8LfAX6iBdeppUeq3xSmBjxA1zkaK5tDEOIMl4OLvj5N0AHikpan55beTxKi5a9DcALxLDEOQQbWVjWGC4ZEa9izzx7/OxoPH5FfB67Ajg3QA91SULeTphw+3OM4VTtyLBPhH6Uf9D4VN3CyI5iGYWb6QuVw9JYCAV5N+gTJqe50hl3ggtwPKQChn64lXplVWK1SlxgD5mtnyd88EhPrgHeC2ii0=</t>
  </si>
  <si>
    <t>/aq08rGSz/jroFeofzzxdKKeLbqecdW7B1tRTWG82K3av1WRXLa+Nlp/MKjLm59vSIfkj1mgzX8Zn2E8C8oKOJDM0t8t50CSJ9A5HoSzR52E0KzhTLgAJHIyV56zyf1NxDPdoT/0NYHrR50pCTRaNxeLlE5jCnmYcCkHqLrj5S2oVQ7vOanP879KJMapPs3+1r1SoPhukWiDbhFywzCvGAy2pYuFziRqk+OWdPn2Jze6cSNFmxYfIUknXQk=</t>
  </si>
  <si>
    <t>PsEgoG77ErnTSZtaF+MfQc2Leq9LWL2oqKERY/UGd+X4N6PCtlG6W+65L/7YyDjypNX9Te8XnawuNcEIsEYlOAyzl7h7NTyeR1UM+w7hbHwb9yGhSjqxtEL2r57nfHZZpdnXgh+VSsNb759meM5+cJ/P6qOWmueEBIBh+qIGXO2aHeFk8OQb79F3n9nu5sFKMyR0k4U3DirlLnk0AtuwVz+A6LzbTTM/+Be/9SWQsvBDb5kd/m8m0anZKro=</t>
  </si>
  <si>
    <t>Mfg9jxfaFbsIbglkhAgPkNVgqBhPXWpg8MUhJce3o0WjPK3xY9X2ID4OYg9OP827uYbuanF74xZii9R4rUbk3NG364+G2asL6pOtVowdcDlbCoPPNiafDiAq7JNa1E6Mv62Kawzm5jum1uPGnN2Vm8pIj/IsA7mjedkgXQ4wWhh5R7wNqfQ2zFy6nQpZ2okFgcTPJj7oTX4bh6ErVRu7VoNt0ciJsvTW86SZ4mQ1vIRm+L0aQ1gEvbbtoSw=</t>
  </si>
  <si>
    <t>DhpYKnP7D10U/R200Bt1eDL63hBeV65Bbet3y4tfT6DvXufKEcdG0r3wM5xGxcg/J0ei5ZY08OOGoWjCw5uQtPpU1isO7ov2h653sEqyrTX9Dqoo6rQmFw9xWN0Agh48vxAK/u7Ya/x4S/B4//NJFuIl7nxwIe++PKYcG98T0CAhvbMn7PUOWCynRDZG13tXDMoP25X92PcTyB8FsZ1wfmRSE5RiZLhY3CqC3FnwcT1B5WuPdWEv4a9SB6o=</t>
  </si>
  <si>
    <t>zc97UH8aPuHDLn3H7G/76BzGeTQ/AT1fJBbp7sXjHZxeWCVTyztR8j0pj4E2qIx+EDt6IM4JWnor38EB6Cru0L6gzDc3eX4EpDmEK0q0wOf0vO2Jz0saC4oy+HFj2I8WZkytCOhvjUkRJhcYdS4zq3ms9tgTavz7LlN1nQIZVwNv92Nspd7UcJMtUDnAQY5JwztJwVnyz3odthDww2MIDPY6tEbHYsoC3LSS5C1thVkMxVHRP6dUArWKVxg=</t>
  </si>
  <si>
    <t>nKsAcdnoVf2xxKhOZTygP/lCFzqx8RQLpKqw/pTi16WRyZQdEgBFOGHFw7toFlua/5LLSCH8DOsWlfa9zIT3WLx3QZd3X5Obd86FphopsCuqB+QrbZbl3DXqbF4hsJEbxWSvoOO1+sHn7kbFnUU85K2/jFT/LrzYLM5kein+2T1ueuwAd8L6DaA04vkKus/u31tSChVHSRhNTz+dIcfaDnpqNeIOTi1GQ/S+kksXO33kt340kWAKlgriPTQ=</t>
  </si>
  <si>
    <t>AB6Si0Td0MTbXw6EUim8HKx8R+IvUB3OuYPOU2Cx/koxOQB5Co7VYOoPwwa0olUNpAY2Kz+0wNqib6m3wT3lsn1BAKnE2a/pL5S07hVotDJnf4J0IHeTP9sBG5f5Qb8RirI27d3zt7p/sknbSDf3ZU403yko+TummFreP9cttTuKVAAik8BvAOqBqElSOm50VxGFfd6YTV6Dn8Rxhs29xX6RYl8dHg1SuS5JahqiYKc1Oq/5TzeehWZfQh8=</t>
  </si>
  <si>
    <t>0mBPe6Sb+JrszH1wp8ST3vCCwb92+Q12OPrU4ouRGFSR8hJaq3lx0g5/Q4ROmobs/v3c+c+IYRbiwv/EWUQwwjWRLxNyFfDETGZ5QLPXM2OcQbdMTRaToWqgvlK36ocYjgXCmBWQJFzMd1I2b2ubtvOiFqT6rpQayJtUaIgDZdfLHJsONPJjq7FZ0K9BtifvES9reujC5OgqtNk2719C+/mq3qun7oxfq6aa/sPFPp/7TjENavznLDHPS0w=</t>
  </si>
  <si>
    <t>/UbsJEM2X34mzcysz+htEHAwETRjRT4+oe3OF4qxO7fwhgvqkzYMTbUyKOsOUZ7ke18/x8/3H3Uow2B0k/WKK9CDLG+XzAF8WUk3emZGHZ7Eo060CYs6TIBPFJ92cotoN3hLmsVPgWq1BfzxW8tF88VpXNITWLcMyMTMBKBg7Pod8MwvxuW61vefPyPFB5IvDjnTumT2GCdzK+gIOxZsnSkp5qlnz/0iX8W18cl9LJHyWKXlHVDBPKe2l+8=</t>
  </si>
  <si>
    <t>nygMNVy9MsMeDk0WuRYrDXjpI1OlAyMRdXsmERqZCZs9zaYk/Kd6IUCeJ5Lx0JUFlkuJP1eI1CBlR1EZIC0qnK0GpsFvcAUgPyalY17KU6b/gupUGkXUvz7obva+GyYFfUW5uI2B8F64Hl1oljIc3msL9eJng+YPuPHPdRyphGhS3lnGbz7fIcM8r1zAZrdLEc79H42qa+pQByR52G425m7/sZbwraDVXDBsjJlX0ggtaTyN7ihnG3eDT7k=</t>
  </si>
  <si>
    <t>Dw71Bs6mPpS5VqiQhTwDTBrNuTK/M3TYS/2vemPn+9S7BgPlcIroBDIJHduo2dm7lUev/xVaDQ5VSOlhehI/zZLojakcIaEIKFt9MQLKWIr7yL1Ffc7xQtHG+d9WuH/2kkWjSWh7Ll6PppnDPXu+DXBoVZaJJjWS4ylTiXdHHjuA819FTB1FcP/QO2zmAwr6jgFykU0iTKjqTnfhnX0jLAdEAz8AJgOCGfzd8sfUUKotPjrEKuA84NI5AHA=</t>
  </si>
  <si>
    <t>LfMa2k7h+NnPvt+Q0QcTbPONBUr5mt+KY2vgVfkznyod9ZxYGkIHWs0JSEUuImBpr4KEpBi2ZctBs973E4HKhiKe5bddyZ8rpDDwiMWwnGL/1OS72tV51/6hpzwIYoDAtUpdxbDZXCQ1ECDjNMd5xFaBmYy5NHQ3nMGUMaMdMXg+qLaCvDjCq2RdrDPtVUkR4fEQ6Olo8dRbHLHpPLjQngbQ+z7KDxq80bpbNJqRhLzzdINkuFTHU8Bn4FE=</t>
  </si>
  <si>
    <t>iHIfvpqrrGCq7Jn7VfauYX7CdEZwhm1PXJlZiuqaanSjlz2LE085W7XJ/TdhUK8pHwVx8lDHar2jipFt2Gl096/zfaXeL0BTlwHwqGT6loBnSmi83+PIQBPzUL2sNVscnAfxW66qfGS9kcnd9G4g4TC7y/2jzWpeaYIlzN8R0jEoQFFwEqZ05QrW6TWW0iaQ4P1SgVUpS6jdO4Z+oeIhX61k9xiZQp77Qsc7WOO/O+0Ve55nk5jSjD0MZ40=</t>
  </si>
  <si>
    <t>ojBOBEE3eWa/irfUc6Fw7qW0to3mT/w557bpjTsGw1a2588aNH7pz1gWmu/Sze1pswTXmsT9/et52/n/XLDzlCfTNLuh00vd78YA9QGoabRAtw7/MfU8LWS+llsA6cWLkN9aLg/E452p+jC0GLOJK8/dhNDBsyQ163EKKi2ptwW1HGnvycNlWckcgxa8PGdpZt9ddTMPdYXdOrGx0NL5lKmIhirjJ0y/7THTrTBWpAwn76uXHNq+TVbEXs8=</t>
  </si>
  <si>
    <t>1TI2Np9+CqhjX1A1bZIfTVIxsVmyQxE/XyzhoJrYtZALvYhMbweTylbYo/K8Rb7SU3hFcF/S1yVMCgmjazueZ2Zk5kY9K0vgwRoiGIGJ5B5XatsxFj+XER/Q2PflOiA19G+EeoB4lc/MEDW8ZiMVDEeMC6xSuS83+aKkVsI5H0871FwUYf8xt9HaQzlNbP2kcrFWeQ+FwDPigH9/CxVpFVbOxZSO8+XG+r7C9bHJBEuRd5cDYhoPvai2oA0=</t>
  </si>
  <si>
    <t>iKGZujrYyCnl0xCheYcWYbzlMOCJ5MT4Dkg40ywsLVKVC6jrFmWqZYgmGohMjf9hXLITod4+fAt7yzVeSz2iQCVr2r89YNvUpaF0kMqhbkNvrqKTsiu6OV6cGAYbcVn9ZrS1N80I1qnSbFDItuEcm+AAfZT0qAdpIg3p2sy28NY32h7l91Cnn09xshUE9cheHXxjWZqzfjviTjv6ZhK3HppYd7vM9UapUDTo+4JVb2axmRw6aUeo7UdniKI=</t>
  </si>
  <si>
    <t>H6N5jZDhNIsp3H4ZTLDEHzf4o/iK8YoK0gHf7Q11dr0yv4VO6AcqRl5QEr+Eb2JRc5USe23xzaDD8LUBnJh6SeNbQJcRq9A4b7/XQT6KYRvCr+ypOSY6nj2ybHqaHoMyvbv683ovtzdyb/2x34FWyW2z1+1nscpkd0hDhChLTjIU/BZR5JBL2IeAkq+TqRdgccIIlGnho+t+QDxOSkEtnuo/iiJ8NzKcZC1KvwW/ukLvHGdLODEuMI1+WAE=</t>
  </si>
  <si>
    <t>UIrDTpPCCTxY9m6AI1YHQEsZ3EHEmIqQHXtgYQ5Uoh8mU8BRZy58YDOERm56jTEwsuuMKRlR8EnZy58b10mTDQF8LeXZw6wEkJKQ4IXrv73ig0CgR0JsLZYtIqEEf0keMHfmNSJNreLWr3pCjqY1SFs/WKmzinKzJjxEtRnlA6cUh4hBkDKnvWliMIsfrNWB2/7ivEriqTGXBL7BZFJzNcbLZE3sCSIoSjiJiwFteMFVm/RA8Yilm0RicmA=</t>
  </si>
  <si>
    <t>rKIEh0UnB6Y80kqlaGcyWAuW791TRAaeKR8Y1oDsOfVO14hnw2lL8QO9JGANxiE5ZjzNxjgIpuF3H8tfO0P/xEBh6uaUtl7xe5t7fZeXYuVca6O6Xep4qPCnJjAX9ki5WVyJK+HWNpT+xxMbBIqzD0eFO4rpfW5xdOZZHChXYkMyhDbnN/NRYrWx56OfuWhF8/7q6F2Tl6FDDJ8B/OuKQ1nnHKF4ciXh/L4/9+gnpaLSM4+zpAy/TeRvRZk=</t>
  </si>
  <si>
    <t>/BpTfSpoiNgUCCiE+ccrB8BEiYulDeIsmhsIuCPIXM2krAi5TEbzy9jROpKrEG56P7SSdGKtBqz+d0EYZ+jeW2HPI+dEfRB9O/p8JF98M6/mtKiR2dg6mFMXnSdX2PZKuyIBhxOaRB0AjvsTcLZBJbjph1nNZ7ozaxCHIT8gIKJOeWhBBR3Q/LwHGStCWePTZO1SYpoSbZNnbRECZ8+Ofpg/JdbKOs2EVZy96jTBRvMIBCya4TAxrb1dF+c=</t>
  </si>
  <si>
    <t>WWdft6WiRyQy1T/l2L+xk621s07kuFSQPvvMf89zrqIUWFPVc8vZcCDaQpZpUqWxE4loQDMQ1C4+RrSpsPOb795smWjJc2GpcQG0e8p+ConpndZYwylXRHXtnGYU78K2RuG8A3yApNowy2R02xy9JAyQAe4SEJf0epp+z5LqGo7oZCeuXq/08INgefAo7qgHvn86oBssnfPIhWwG/KQq1peKLsJGqCBAnnCjKSsVjelx23iZOkSOOU16B/o=</t>
  </si>
  <si>
    <t>BC453DUKz17K5PGdV0dHdtYRyQBNC86DhciYxRfPeWziE/p5Hqk9USgmKWZFiDlxXqPcEA9BapF3SSF6FeAN3llM4pIqpuqwhY6lezJxh81lrgWIJpsYDhQ5BH1OBj2Y2SRD1Jj5GW1jJ+712rbvs5CZLO6f77xj1/UhsMhWAz47bcc5XmTRaMXVdYwQfyDJadxqIqX6mugkSxsMtxy69w6JdtKFfCsT/73reRqWvhgaP/I2GuCIf6LU1cs=</t>
  </si>
  <si>
    <t>K8HbfQ2aZYkeMVAU3gp5Z3+sdBviZK+Q8hNaho3tcFJJBpZQf3RF/T25h3I1n/s31bodoEpjq4RwI8HSm77k2ggGGScXduaPb/+mbfOvo/uUDppDdGqfbjKrfofaQ3vLkk909m7h0ZsWsJNhK0Wa8AQq/w3uDaue+EAh9nNbQ/yAjecLZEVz6rTL5g0e6Zrt8CryJoPUwhM8B4TnSIxuRASLg9/c8JwrjoTeEtEAQHlIJv55gON5f2CwuiA=</t>
  </si>
  <si>
    <t>fItpsd4QI+Qf8apnFhZiZeyE+10jUFnjcrpTMJmOPcs52yWrxlTJ6x4eeMWaNul0hbxBe3caPSnwgTRXTEK8NwPcKzI4xqBgbNSPW87k3z6X0HUcAiFzbE/MMrdu6JusiJY9hT4j7tWIw81WXtM2AX+M7OTqX5sx2hSAw3W44Ue6kMIP8yYaHcdAekdd0cA3Y8S2GaPl3D8eXx+CyIoTM60v5Bi1NShBfJ37Ip3g6ZHaOJ13F5DLkDI27Wo=</t>
  </si>
  <si>
    <t>K7ldEr7ADkvQ4nfRGf+VkBzpF/S7ZecwjTsJlJ0GrwqwgHAOyaFneaHK1PLCeuRYxdCBgmHIFdXlinb+I+XCi9IW0YLGc1PjWewJI6RNUx0YsGxtSsZYhUhYDQ58/8PiW9F+kYlNyh9yT6HRMDcWXr5MG96HEXdOTMO4L0GwEhTkNovET3fRqNZjImFH5M2mKHrDzSyR6xMyaDTRnek3jghAzJMn8mTzOdFTTm9ZEW99hI96B+gp6S3p+mM=</t>
  </si>
  <si>
    <t>x9PX5WCaK6s3Xxfe1RdVxSZ1safmxPTP9ZzuMF6b2y2VqvkZUBmANWT3A4bkCCRXvK8hOBawbBQBKRzoOuGAWCHh1ZdxIdK3a90NcXy2A2A4fOMqnTBKRz0DKb7mG6iCK6wJeYh3FwIGLMVBhLZCcCRLftKuswQexulvsz80ViZdcPOfqShzDnOk5ksoa7TG3hXuAb2T/01IN2ztW2XVzdJMhYoj68o7gH9Rqb9cbV0NXXSsudenuyMuyBQ=</t>
  </si>
  <si>
    <t>dcQ8g9fTtOMPPeYeh125Sbxio4LUxnQ+bF0XGm1KZJVvs7iKLp5IZXLyoBd1rt+LomDMxlJGF2266cemoNJw78cL/GmN/WU4ykdsBpPSE+fPb1z7Om5XUcn0Ra/U9HmVAcYBOMpsIprxwmpLdnPx/ZReYwkgUIvZ8xj5ugPGRvZtUxkyFJD6GU4lVjOe9gB+Y5y+wMfNcPNqm2s9CSJNEtxHHAK0+U63iCOUDq5q4pWeAIBWdpRo9AFI300=</t>
  </si>
  <si>
    <t>LnZONFL95cOGsYiG/Aux2f+xxQpPedhWRmMDeLte32lIWbwdhVRXlH+mN8bf8tQR7UYryv6HnsjhjUMhu/ZJTvxjHuNTBOi+GbQhRbvLNayqKY6OlUrQ6Wpf5FuE5Jmnb2EUa/UwRZrnoDZtxcxZ6E4xo+koAP627whHzRhIeFf8NSpoAvNpYplpQwQztGpp7tMkOeJF1MH8urKdKtBGRUzBQUD18y5nVs2mLqLLGVpuSt6P+6vjRRExVG4=</t>
  </si>
  <si>
    <t>i8X2nmluPXNzrlDp18tSgNvxIqPyZRVS+TfBtFaoyih6H8KVC1Fg0HB04R7/L8dKFhHwleEW8um04d/wJQ+c6u8Be4zhDZLhpBiqxFtMR1KgzghXTagni8ZDs6qa4Ow8Rs1MZmbfqFpPy9BIVjQjIQ2fW7vyUIJ+iTpQyJdvLcveqh6w19BLxjJn7BJ9itK9as1iDXV56Fvg1VWNAzwvR72/Sh5U7cRWqpKzgKA+XGTX9NdoI920qS8AjTs=</t>
  </si>
  <si>
    <t>OCqUJH9doiC+wMe9VQkliiAyijdvJhXPOu1P0EsXEbFiX5hJCtNwOoiRX6/wVYgUE6mmGFfLXZ/7x/jVba9Ywygz+XWSbKXLU3MIAW+t5bTnIoIBbyw06a7BStyIQpqOc6iRWx3vgcwz2wKw48m34nPLBMmod/m5pLhNo8D+JGoYKeuFTes6vX8FbYO8Psn5GePLBddqyCYOgSRv0jMkhBzOgaEnpL7YgYO8VwK9S4d58mJrx3Wnw4Edsjs=</t>
  </si>
  <si>
    <t>T7Ul9RX3httdbbDNFNWt5auDns+0kHfEpeUlYSA6wsVHXlvuTrJ6FaW0F6O1DtdYHNsblHy4Xxinbr0670knKBsDmjIfb1H3IzJKs+c51Wpp7oTRk7xbvyPmNAJKkzGlPZfGr7+Iy4ApUo+dwNKZ/B/hrLitZ7n93YY8j1MHbfqqu3Y13SanFoamYieC9AdpTYl98NzwzBJy4UAcnL99l9s1FYQQcu3jzEqVwRq909f3hxUkaOGxh9OAL80=</t>
  </si>
  <si>
    <t>H8Yt2+XDCOY4z+vDx4YrVXGkuH/kRC/V+A/BbMX+ZEEiNVZCeH7tYM4QqxHwOgWGJfbvm3J6CBcObXCEAqp/xMtXW5frMGoP4UwdwTFeVEK1Si0b98L87DpNg5oE6R2P3GTn1QJn3srK6NP7mfCiQuwwnUMl+7Z1AmNadrQWPHldEFZg2Qz7LUyafaLV1yiRxKMegmGgyZwk3lSc9eQZchj52Fc2dY08hBa/2WitWEGVfTsgfgoPtorzxyY=</t>
  </si>
  <si>
    <t>R1XwRHx0SsM8JWR9NfokLF89YU9+iUKoU1X8GbcRm7DTDA9poZ3ZRK6pGtrrMd+fxVIZxfgKA/SpLAVeinxfyMRY0eLv9qSE+4odFzPetnM4OuIhftKxNoHMt6NHrJm9PA0V0gP4DYm6wdfBbMoqpwsozGXMXNcXF9CM/41OHy2S2boOKv2SkrqggBo1Mtf4s3Mo8EOsmUVL1PDOP3Nv6LFbmy54NnITCbA7x9vQEXqMMVVCFaegrauWfKk=</t>
  </si>
  <si>
    <t>hVhFUnO6O+SuqgdCiZPls6d0jNYpW1EXfdonzGoJxxLYqiqslefyAdyZAdqC8EsT0nyHreHC3eZS35o5n7gP37ArkWd6gjDLnBalF7S5pcRZYg8s3VzoegXkZD9d8JrYKqy3o1XFqcVpcDtEG4zOSSszwt2DohDsDHf/C63pxsrZSj0a4RuBYjNHGgnxt+Jk7vkjMtMwl3AGcqp+WfHCF34Wti3Wj4VB6+kBmgOPGdYETtBHKr/zunen6s0=</t>
  </si>
  <si>
    <t>xjmhKh1qHOXUgga5pCbnRw+vJWzsl6P/cy98DEDMfghLSigfSyuf9LgPkf0oAv0qxr7AWQNGyFk5zLgKLTDdIq5oL78tvxOMl6VZu1wVckNN39607WkoXjVHXI+1Yo8rpGF3sr03Nh9tDafFc4KjrZNEG8foPSZwJEzObl6+/nkN9g+2Pob3HwGiIo9KjYct6GvrrHpjgZLZzs9OI+Tg0YC0pZ5hWKZ3PoC2Krq6TBsH2SGHzWOqm9l+85U=</t>
  </si>
  <si>
    <t>Zvrn8dEO1aeK+ChvVUapTdX0NYM+RNgBvoSVh/jfksQrmfXpk7JKpRTq87JrDUIA4xzGzpHhITZk6gqjDmr9o6HhWBuP4zlX1edqc2HF7LJoMH3IsPhgDgJhAC2XWBqLYtL/yAvfk2Q4SYCxI8v7ePFxf6g00zWzoIVvcL3Fv5BjqQb3HZAfq0i0+Euko08KyDlsTbp4Iap47i4jlOfvMV+YffCOMdNf8w6Zj+W5zpFWzBsLPDB5QipwRWA=</t>
  </si>
  <si>
    <t>NezdW+57CRH0m4oF4vFnBiG9KUWgt/hGCCAxCQovr/iUrHDw8sNNP/fJ6ZItDSzL255ZfWT7wq/ug46a30wgAnDdyaj74IDAMaPC6gwBlKd5mk6gbCwB9LplI8VUfOjtb+QeAS9JRSVgchh2GNrRgNMP+OYqOE6M4Si5aLhhtPa68ZwQtrw5coG5UH004qmEK76ENfNC5E20zNQyxAJ4UixotGsuUwm4BRcugapjnpcaua6Lszi4aAeNJrI=</t>
  </si>
  <si>
    <t>QXd+IoYtnNp40P8vChbXRjei02mlqJUCM/PnY2MWatbetG94yMWu5VW50LlmQ/PntKT7ZsZheWzRhvFyuoeNbFppNktHLNbYVE8t5ODWKmJU2YxuyDTZ7SXDAV7NsZ2GbrrHUfxry2/kNYQzy/QBJFlScqpGmkhdjTAxXDul+y9jH5YpZTnsSoPuRz7hha5f7eGpQtTIIKDr4S0a+EbYK/Y0Cus2ESDHTAChvHeQBvK+0cJNf5x5+iKSPIk=</t>
  </si>
  <si>
    <t>Wh7F+w7i/7d4aXJ8DOn16eatWJCHOISgrg1m8WB/IyeQbLlUfluzce3PW2nu/2WZ+IXTqNloXxh1bqU6Si8Ow30KjjA18mYRsnTI7gY6DDjjvW7y9LZvHDnWtF/3MzgFK7dKseWez3u0PCTJdUSQGJ4Nw3cgH32fxpCxKkR0rmg0i4m9yGAUxPXVgZ2yD3UCypn0Y+zSSd/Q2f7IwSbHiuSPELBwoZdZI2Q3l+WGnB/s/knexXUebxYCe2A=</t>
  </si>
  <si>
    <t>yEvgZOIBl+LxwwoKjDiRLrHsFzKgSWkicKtKa3rmgfowjEB5M+NlwBxqVWCy8oqKpiVD7aXM3aEdyt8VWcYy9OJWEmSIFW1mJqJ4H6P6q5G+ALJ5ecKb3N6VWs1z7j+WkjUgTOYw8z4C1NTDDdPevOnwXx8GQ8HYEZqBn0a++9NHhAQYwgcUHxTNmZy5lKrukCDIKgnsa0GNyttozCxgXpmpKdGz6wHeK1bgTuugkcwZj80/0g3uK00NG1c=</t>
  </si>
  <si>
    <t>bqbhH6ogppYrUS3zLnJoV1doKUF71vpUbvOrMKGv+COkKNifJK0/f8F6iW8ngxuGmGZnYmkOU6INQCOuQezEeymcTyZYzhjEKSNCJ+bDlOGsbFS0Xr2VEOPHbLn8RQLMJhyKuXaLd8ygYEH/vks336GRCh9asXubpDm5RYoTbW6iyGi7rusErqdiuynr+i8rrF8iE+o46CXI2ZTgEsJBZKQCcRumoNWbAZvwc8EeTJbYmVyl2w+1CYvrwVU=</t>
  </si>
  <si>
    <t>xtzL0O9untZWrp3w7bb/N9EpFc4q8GVwu/GZFRsQIVrZm2lVGRd8+lyOzVrLf8YNh4rjrLTiitbsCXPgv0Nbib9/x+Veg0e4bXbUOxrqaKsuYWAHoUKkCkMCLohc0dYKu+7BqAiZ2sFt4gYqJVZkSOskBYb+RuMthtbK8kPHG/cABS66torlP2k6fxbxx3ztclt7ZOVtl4qidOw2HIwtbZiNm8rbOYQucrhDrWBwaf1QKEcpbn9dVe47aRc=</t>
  </si>
  <si>
    <t>nAO1/PIp4MPlyzX248JTtNV5CNRv7wrTuOJosnYjqEYut+BJIoPDWLZrEmbzuM+li1TozASqAFt1YwEc1y552FCBWYUfsRYTF8/yd2LaLXsPzzNn9Lrftbq2mYdfQFiaMsA5AXS5EE5zWpoXwXqLgRfzzreEvjT757tRoD3LHhaRzgfAXtlHkNjlPEXFGHFjtzMApV+19PdvV5DmFzVI5RLdai8V1Sq4zviNmpFINgjxM6yI0za0+v9XrG4=</t>
  </si>
  <si>
    <t>249w174cv1VkjNzzbx/uBBLSFDeOildyG2YdwLo6sHdpPWVm17inj8K6asAwZMO6mVSgdtKp5X+zkVGAJsxkb6CKtv5w0sZmuqNjoteWo6aRLMnkW8fVPpoKsRp5Zdace3MEw+eyz/odnlP52jaoOEuQySkAg5IeFdbbl85J9OwtTavtsFFxrpp75YQAIkS8lYrAEAA/OmcKNXIfDn9q2WvbRnT89Vm86n/rZCWvUB9A0jpG+pwu4MFMJcg=</t>
  </si>
  <si>
    <t>R8MZVKXX+gdIm4O8q1SUdpURwlgtsh63XhK7WaiB8J4eJHmC337662hLKd5DV9dXZnVubKkQ6cuU/XiNbEFTFw7rL1OGMFEv+qJN8/ahiGljtQKfGn6osKXttCts+aE5d84HMkIBgCqEDAJwjJO0ij1PFIyrayqUaZEuyIUuv50G9jx5a5tDD4181fWTHd3Nkgf8tXjtynqHC520nbs/y1OtgXcuWq5XSSw3YVqt3PYVFXBvTljIjD3HLc8=</t>
  </si>
  <si>
    <t>SSYfa4Luy7DUraoQGD6LIPcZi8d45GsEPG/GXxSWKhgN0HEpnc3QAvmqy1s+YIbwFjswgR740o0shWmPmDYa6ItqUeEeCCSi8zNMZFUN5uLHcoW0J7F5hCC9aXDNS788jTGgjAZYQZNp9MK98RnzgKInzxk949FNrMKdjk8ExGq1tTHWtZd2aHO+ikWCnyQERrX+JVY7eXy86keOx8n2ZGieOCv7bFgKvuVptPPZjmY0n/URivIP8eGzlOk=</t>
  </si>
  <si>
    <t>t8S2ygekEeflv3XUgPoiO5w6V1CAut4ehjUi11MKFvTcn2Om0JmUDz3P4t9uiNzlf0YkbaDRd5bi+wZNezjsHkeicy7478T7wV2cl6jIKKH5ERP0DiQbI4SsGPa7WRQMhmbRk5IJjiLP+8N7Tr2Vf/fGN/edyKKge+WdiW64z94PAwXkip3LqQD1pMYY5R62JNBHLxO56X04LJ+5t4IDuoO3h+GgcAYuRLz8t9BZeFpZN4+FSXbbYp2dMzw=</t>
  </si>
  <si>
    <t>DXz+WUQ8FbaufxFv3ROqeY6U4jfhEcHDHd0x/H3OGn5xZyt4EH23DMuNbtg3Hr3wPoBEqjEq0+1jCsksvYe1P58RMSBNnR6fATLUhbAOGH4J/s3j2+IT+VrpkKssvZFR9LkJuuAqh6Sh50ORd8qQUP/hVfyxQ19DqCKdOSIKp+J0ohYtSaGSon8aN5Cn6H4pfoKELstvcAuBP9TvL1qAIC4PpFP+kiL9f/AuC9MlOFlOI3N5O/NLO9mIX6E=</t>
  </si>
  <si>
    <t>lWYuxfLf+joftN9Nu9WuRV4UPW6E30KjGYz3NU5Cmpyxn8kTQ4JxYtb69/DcprDTLMJL8VSYmJCmi5mxMOwjcJkZVTxxzD8R+/ngJLfdAq8eSrfmbN1QD0wOeZrHYzYq+EIp8tS78sTWpinwgatHZ/Y6usm9Qe7YWXMipXk7g1QQeikTzFPT0Y22uZrp8rfcNdxX9X/g8mVdiB2eaAjOo00bO3jp3EH7wI2+1iaX5CX92/TB7OcSGJ4NHKI=</t>
  </si>
  <si>
    <t>GzKEeSnNzJYu/DyU4FcdDIlWQ/MfLxje8WKNnZDm5AfOAScZjDGX48VNgm+WnxV7aHThBGGOSouMqarahGGpwyl2pHwvXsN+nbmZOwo1hYBNIQopqmQTaYq7PMT97IPi2TNWloW96OnCsn0zwGH1wMmVabRrYHgKE0UvMUFJKJdAymbK2/zLogQz6iGKjyi8JgIBFsZEnpOCaD6JRE12IzGRwF5DwagFd1BxOKq9/VT2ILvNXP9li9t4Kh4=</t>
  </si>
  <si>
    <t>0Sst2Xo/RkGG1qNcc3kdNEWZOMreIgHkweL6xjtPS/Rv2274LLUEGiuVxtHyeTytxSacv6G4IdgFaQVqVNVnE1TLcTFIJFCuCmKfSln+gRe6khup6hUDCnuoAIjfQfsLOBdHULeUiIE4cvsxcGL5b5Ze9CD1X7z/SG2r24VkWBjL0TbETxoS+RdlrmZwF5d4sYZ7SiLY5dGzieq0TmrZFIO+aAl0JF5836V7GgD4yoJOG7P00SqLhjIuKAQ=</t>
  </si>
  <si>
    <t>49eqRk3g8x5aKBAMqmTqw0hgLXg6xxRL1K7sd7KBTpDNoVwKETzzhlE4WmQyqLaFfj0/tb1wBVJmcNob81esjVGQ/ywlsSIus/wY9cbHAEFj6tnQVzbN+KDOo0cOHcD9HyvOJYf5yUEo6sNpaTxgQK6pAd64HUhziqBt6tFTUHNqxgjyaxYF4htj1TMuE8lP+4yTcb0w9Nm3HCsOZ6ktV+mkufrcaHiDO85NOrKUnyyVG/QYR5HwfTk0jjI=</t>
  </si>
  <si>
    <t>fgvIFacUgpKq09jZuxMxnPAEKmUrPUPuAUZ6Keo+ik1iXc+y/WRfNlo7RwhAMly0ICMkkEBiNdNaMjDgJsPjKOYwqsNhuL+EzXapALpsfJocDsgY/HhkJVu3WsX0F8Am3h1kZBvcxLDuUX8BZVxCDULCfO0uJI8dQRMFGtQGmCPZ2ztv80srgqg0w/yxECQmM8fw0C0kQF7hYsBs5y6s9QAijGWYglDZOeRKXMV3XTEl6zeFOJzEfY+ZB0c=</t>
  </si>
  <si>
    <t>Z8ZVclcIsKrRZpW3ZY7qAmdyyUrEAKnmGy9YEV76y08Cj/Yvz4pITKhIxXa954w2UuUsl1hEt/mrJ/lNj5j70UO0exTH1hqZOJ460k0+f3Uwnjoa9RSxS7bsVdyuElyORykKV1hhnp6sCmAravg552igv7K4Z87hceZlMS07Of+oilQp3TO0W10GdXt/dR1r4orqlj7E0fdDfowQYPU6r1Z8kZTvASJJZ2XWvcXwf1zbjooCk47d6eSDt48=</t>
  </si>
  <si>
    <t>vMW02HYCKHFcHgtwBF47SPwVPgNPfpJik1ng/K9yIxd7COaV6FLAMe17zqwXCvjATt5qUKSBUHp/OQhjvDKKASEGLcF0fKQW4hoCAJuD1WJjli4gdwfpHnHXSm8LBSzQ3bDhWUk1OiuY6E2DqEyghOO8Oq0fxnSMCKHkT0OwNZkbKZxIiADnNLf+DbmNo8kTbTlNd3lYb8uSvcMqCM/ZgJeWY608qQ0YFzpEtaJ9BEjl8yiffLCPi1AOe5A=</t>
  </si>
  <si>
    <t>BdVaySQHGbGR7du9tzycmBd0nhzelz/vD9/iOosvhIrLBA+ZoB6cvYUC68v9l43AaZwn2Wk4QoUMyT9kaPcms1vFqYjLCp1/OmgHg/3aIzL7EQyU5LlEsPkiNkiEqFIf2BIyuWBuiblBJPjzHi+y+9llEfOx2mAPUa6WEj5qBVQ/i4jYzaznQN74rAsKPKsk7JBid56NRzPXdLug5KbgWJlfp/36fYKwRDe0wYA67tpn+E6CmqmslT4sLY8=</t>
  </si>
  <si>
    <t>8v2NJ5eZlU0fjRkmKMiP/Hrm2mx+J/0YINZTyqVHpM8yycRqh4gnuJC+rp2lI5DsEWozapN7ILfuGrzgxAbh0PE5llIA7bUDac7slqkpI9WFDsT63306NVqLgRwVvigeB2TvvLEDdmaDrCMU5xrEVoeDlEHWOcexUuawByf4cYSc1+RU1aFSpmyFVYPB7A/U/ftHb+FXm6Nts59D6TC5JAe9jChktvc4BrxiicqtKjVo66B2HJTK8jT8ZJI=</t>
  </si>
  <si>
    <t>kWCd5OVTCqdKCBtc7TZ80aUtwoVBUQ/3WgKNl5GkNQ0cElCcVz7nyh24lNfTDDelc0yPaw3h6Iwh/7CD8zQNF9P6YJ1LvScDeYTTPJC72QMNX6BbfrEI9tMU/h/i99d65LG7pMVK9tx+juaAC/TLLu/QD/H8q1Cohp/eb9RsBl6BqPUGkjvTb4k0Gp8QdDwJ7znYRqmB566nT7FwE+XGu5cbnAxpE4apAjGbCdpJYUwVkFCtMXoRgIxKObU=</t>
  </si>
  <si>
    <t>FRB2kzrTe94zQ41Z1zLW4VTt6sgqNr+JnLafhudY+oPAvn9/NXInKCK4GOBQsEvqg1loUC8BAGzQ2722Pv+EclW9zyepntVT9ZAMGz4338YSMs4yfURNU/wQI7qbJvC6YOyCOI5MsJR+g7c9hmVJRmk3LdzsDHTX9KI/bV3HJwYjgD9tnYf+fIzrvyIQnBF9zLhWTN0RsNYaUQn3dDFiVVtN78yUIg+6XFy+pfbknlp6E1RoyZpExD4D0vU=</t>
  </si>
  <si>
    <t>cjUdZrdCN/klkAFL3c4+2azGqcCU5r2KzpnWCdXHzp8buHPKNmfT+72KQWvrElBdprkBc5YBjbio5TSsXEs4DLqj/WMhS17UkFz40Ay3QVCF1DN/O8XRJY0fRovr/Iyar0YvtD7P9mmCJM35B7sUS2xynZyknH+f4Izb84NbIPrW/eDyMKJlouD36gyuYQdbY+q/FkU37qH0/YTbbhAcDcX8dnJEQfLYVZ+l3V7zwUt9w/Ai2Bz19UDIRDc=</t>
  </si>
  <si>
    <t>eyMvfdOnotlPd0LqJJeCRlZ7kmp4wZCDaBEFXWFC9y+7qShVwP4IJnsXQAV9EIkWUNuPenivvD+1Fvm/r+nSeCPEsxJjGwRHsPCZSVYiJU0IZC3ryT1Ky/Uir6+i3cbv5S46X8pao8m8c2AZCHxFE0M6hoTjxeNixiX/vO7YbP47QD2VAerZhYwFIRXbPz8ZjVspTj/bR/+UF370La6GdPtDlvWhjE+oPxWmxDNThBSj5hOKAS9hl0l81E8=</t>
  </si>
  <si>
    <t>mHw1y+dmg65Oc9IR6jLJfEr5ub8PnLDu0RriTLh6pXYJ2yF22voOx8pMhPSWoXex9Z+QBxE50p1VD8vU3RBBuNCd5LnfC5S3ZYBRTK+Dkmrdtpq0ogM7LT40YAZJmzqSRoZk0s+8PEuDKVS7ffrzdE8SCc97LKABxkTu6bKqqyxGSGH/bt2cWz4Fadg4ponGlnmhtAd3DXkAdgWkbGQLhvaUTZrXmTDgrbdQly9vT7HqdScD+BPg8thZGxY=</t>
  </si>
  <si>
    <t>yOsGLAOemIOZ7Oh/mUGxJUewPFfYQEXE0yJ0KKPk8hiCOw4/AdlxZLDbhaRL2z8LGSmwlRu89kuPoLLBFM1WWdttL9znik661ww9UpmQi1LQE71O3V/b1WiViiBFH1KqCBVoWy7jcuJtf6EN9H8ws6rbB+ASF1cYvrbqq4XCMTClDf23rzU1dNXJYX6xjr1UkOVs0h0g7lQ3tQuqF9E+napT4hM/Hbm5ORF5sGCLuGLZ5KbBTvRMwKj17nc=</t>
  </si>
  <si>
    <t>t/03mTD/Juuj1Bhs6YARtDyEel4RosiCCWL6yp7mgLT/6JfOGRzBRjBYukVNHSW1/j1ZJrRF0DNygIEqzFCgGO3QQhVXo8GDpcx9IVV6Onic1ixP9WfLE/c/RzVDhdvKwFGuIm9ogMkgzz56F5d8nR3psrftTkYa6cumWOMkrvFLTW/ZWSjnQyx+Fo7HAKh1yVa1gN9R2cUZqt+lqQGqL9nHAks+UursRN3KQB/rF+L2kaHIhdQJypnTWsg=</t>
  </si>
  <si>
    <t>de2TfmU8JR5NrY91AE6oDRTZBhMB+MoslU96XzgTly09FQ6ClP2NQEFpS9Ot2OuCeqqGhBRvQOiIrHEwAnmS714DQFEb35GNYz106tdR3fJUe06F/fJ1eA4JU665bCNTAAWforjxRPsYz2rg9LKIhFxwppE3OoLppeoeTIaS8GDdom9w+cFu12NzBAS7Rrwkfg8EoBWCybM9MURm7EVrRoBHiWNvSgG2EvC+3xMptuFuyTtp3VTIbSEN0RU=</t>
  </si>
  <si>
    <t>Zn/JG7AA9jnXe32l9x4zTbEtmD700lEMQT8r7wCr1YTVg6rMcd0IJpVc6uuz2nZoQ6vcLlvD//dy07mHRAxZ16EcAd3ezDAjaVJ5EYLw/U58zFqd8I9Rm7KNCq1RN72TflHh4cDw/rwuF4sdtI/Lr+hs3h0uV4PY7hMx8fL+nwQzAaOPay1HRQtvyVHugfsXrU1b9ZfrqgANi3O6YoLqlGXAe4/RUH4IEgxiRf8MzpJ/5DI/2/ph3cnkQ7c=</t>
  </si>
  <si>
    <t>DYBGLTVbGzuNwyaDTXJEwFKpdJ9T8EAQQCjdbSYA0a4KpNc3H8trwsl4s/ymXcUI1eFRkfeASdMrJ0npSARbd6MSRgjJQztNlZ7cPO286uaNDiT/QQACS/CwC4mGM6QCZPy7gTHo4vjGy6KuKlkvkSDnF+Fpr/kBoQpJy4hec+FB8DF3OtqAXQXaOnKn8Pqyon1BpCODRPmpjFKG5umNc+Q7EBjkK+1XYy162jL0iahedcnu4uBBZC+aSrg=</t>
  </si>
  <si>
    <t>NNlDB2UIoF4zCUFdfCUJQbtxZFQPttqkrxPaG+Dh8y+BDGuZFLp1h2eEzrBClGCAm8N9M7czoLHIIUauoePmt1ixbm2+/neG0aQGufkwTQBtVCqgXsCefKvUeyBCLNAHkYJ/rEMJwZjIcCvM/UYJj8/OEfdhIWDG+6zibLiOG/yUj/C1gOwSwErs26a9KFApZAiwGf3u/pOWDfgEJCaT2uscPu4mWUJVxZuzKjCPtjohmXWH3kdgC3g56mk=</t>
  </si>
  <si>
    <t>mUbvgPX8EVZOWedNEWzjjB4LU2WmdgF/uB0UY5DDyXzNJawlpzKEO43NSjV1F9ta2rJOBwLZqfViStRq+Yjzvo7ZvtMUrPx7oV1wo87BhfzNaZq6xA6lKQgTuNw32dEpBlBSrUfOXRTcUqzsWUKb6oRqkj5JbQCx1W9quYgyVe00kLO2Ucw2m9TUEhf8JUho8TT5NS+rogD8NdvJ9IG1xKwnhp86BS+LMLblYy7mh1S5mtfS0Nil95Ew1ZA=</t>
  </si>
  <si>
    <t>XrNtQyqsR1/Kow6tgzSjSoLqi/W0BFjPlYwa2qscKm7/Au7tCVYbiYrrrWIB4WfUbR1zEHTDMwlUm4ZT1qMaae6ivZIb/SptDcznt1vR4OEE1z3iM+SJzlnArY9rwj5Z/VChOZxvR/C9eyglyjHCRALgSCuvla9ryP5DehYIxDYoqm8uN/MK/7CJVo0bbVLPc0D9vdim4AzoJ/iOrdhigN0bGxpmWC9k9Ia4FtTB6dj3Oq3PW7X3Fx7Dz8s=</t>
  </si>
  <si>
    <t>pmJ7bUyUoAon7fYqzNw+JTZf/D2eNapF6wYGq8JiAHnqDWTfprsh48TrF+I11dSOzKHx+cx+Xcd6DAq/PMtQOhEgyftgKOp+08nLqGuODMwfriaHu40J5+mgDJLV1pafnkB148ITI4/mCaehCPJ/C77ClrRHRoW7Zh4P47SOP35OxA4JEkIskc5AsP1rOCk8Y2bBFQcNlGg4QjhtfgWYmUI7b4WGVqlymESM4SxJRziRkRTdkvhZmxEW4gI=</t>
  </si>
  <si>
    <t>iP2XJYM5zjINOMkogyuzzzsVrBTCRE/9J5NWceUtkNlA1hTezK/h4C987qwgsA8IYNTYArDOip1tZmEFVOP71TReuJ0DSt9Iy840ZB1Y7LjexGEgDKSN5EoXoo8Jrgk3XIRfEV2eY2T23WI7tsM+YzDKZxxB/8Apkoy4v1iwh8fCvzxr8Nvfdd4FF3iFNvtlWLoSUx8MBn+3DuoxF0zXaJ2tKKXsTcAPaw5A1LlGKhL0j4YCAr3TO8QmiAk=</t>
  </si>
  <si>
    <t>HPUzrjEsB9s6zdqpN1FsX+81D/N/gtTDVf8csTt4d9ke4LcJNQC6N1SfFbI+nrLv2tc9KRNi7A+1HaqkxHlWthvvs0a3AeIpth7saySzjJLGbFiyjVpxMaL1s3k4LdjH4dFZYXBfBbq1dh2fxZ54bF8me6nBF+leSHGAVx7ZUcqx5jc25xehf0xAwbDSg2y+sM5rwyoJwkOPd9rFOrau8dsATpjNQg38kwAg2dCKI+mrf4ECfGW5o4gXzrg=</t>
  </si>
  <si>
    <t>tip/OiQEonR2mwboQIKr8PLWP33/yRCToiKBjcHc/yrnFE4LWrF6iBD0jRm1NbyRjSGk5QTTTlyq+4Pn2hSbfPYBLOncKoZJqzXT5myA4ZQs4L1lplWXM7Xng4Bs93pbBB9bXrmbNW/t5QtJ6v5cdwIPgsg4JsK3eReQgSRdzvn4S/ikzPJHI/9b2bjhea8FjcXNNE0xfuXmaBRZmZ/qyWdBuizY50MLjwl46yBkiVVEY8DRLqVgUXwIXAg=</t>
  </si>
  <si>
    <t>u9h65cl+vHMDE6RN79XNyoxXKqqRTmUJ14prhO6MJA4Ws4DDhzaBRhK8Esn5p3+vIeQp3+wDXmEIiy1brmmlT9wzt6+0Rd6n9IlxbMHoZaOEBg6G/p2QjZv+cox0gaYStLi0G+gvoa1mMx2F3u13Jz2x0mFVLAh0alAUFyETaG9Sh5jIJT8I6a1WICtjDsxOk1h2HBqn+OJcoBS3V3QsOtNM+YFUsviz0sh3sxd2rYEvBlmdnRTLZ6LdArw=</t>
  </si>
  <si>
    <t>MK6HMUZt9Otf2E66hBrkdL3a+H2m1f0c3obo+Lj4Z6yDyJjZR4cEJNCHpWr3/MBu0UI6PhtIsLtHy/eFOnhnzHocHVoEt6NAP8UH9WcOdJFi52SJAVaaJ81QxgdOQCkZ2eaJ6TtDxpQ2T1Tz1kssYMTJIcfzAagZ5oLyoMV2huZURZfb+jaR+29Ddql8WcRLCVf164npDiaEHtj8854qebohmiQ156CtuOpYuS3fbL+yBG6BQy/G2CZZ/ds=</t>
  </si>
  <si>
    <t>aJZTfQkgdW76rUMUSffCWoHCQrGYoZOR6i07qR3EKgk3mZFoyGv17jQ+olO7yjAjzbQ+vIQvaBx6r+UOb2lz9M4yAt4kXsYMdhEeOdE1reLZQSQ3nUGaiAcVG6jfYGrABxj0WwKwlK4s7BHGB8Yusjy+7H1JPs/gMpxn5eR1xe2G6GHe7pclYI/5h6gaLjyPGqI4F8nbRNF59c14HNjwdnPc9biv8gJSgcQagc+5flX1RqNASMYpPjESX6I=</t>
  </si>
  <si>
    <t>3pd5YnWqn/WCheyvfI75svWV9Qa+M3rc6+NkP3aEXbGQOsRQ+f0SjXj0vpQQlZCmpiz5BXtT9pxfOuX3f6ox6Hyc2QEOIasvRb1BJE/CtpWoCa2Xu8cQdNe0v7Uy846JvI+omptBEsXLiKWoXe2QUPrCZuiDvr6yRfpmvLrS5PUbob2+4YnOuBjOHKDBvCsKf6U+0s66bWyQwfsfm6e4+UllSqYEcJfoOVY1ZLSRdIxzKRZyM8kbfEqbYX4=</t>
  </si>
  <si>
    <t>TQ0CqjOMNWeUic/wxtNDwIiJah8m3nF0TilH+6gqSeR7EEutZVjnG+ZQFSLs90nXH1niDBwklIx8ekrwQLNafKhBXpMQSGPQZM1YS+1esZWnMPnPtQDerfJltn0PaMTpaZwp1pE7kJz+sAiJNJ5VXDOBDb46NztMWWVC3Vf8/yFbOwgK8Kqf6TGEa4s+MgmqCDj/l4BRjmZLZ/2myBUDCKLoIVdUd5zv6rJt6IlEI/tuylfcyGuhitTnhWU=</t>
  </si>
  <si>
    <t>Wdf/NrZOao98tEEdFC7FYV5/IFaycbJYexs24Id7Tyb+egYf5MR/wC7v6EdjMIrkPe7HvAlDbc35OLm1exqMa+2Dh11boPsIL7Lm7HhK9J3o3JvdSuYA3u2H9Qnz+zyTPazG1HhIk+io2jycbbbjMuccazA/03avAx8kIOZDQhT6lJPOp0Q0HYERQCGKuZF7HkdAEYhaQ/IP74K8mX9cZXybs3HqKmixD4f5BGqV3dD55coLBIfQZE7bOO8=</t>
  </si>
  <si>
    <t>20cWAcX5i9ZqGEI/LmaOLS0EhO2l5UO/fjuE46RQM+FDRKcxAAieXz06zCMEf34SI4GZpMY0F03dbYeRv0cmIsJxZFi+BEGyxNcUx2r2BJkYCJ8DPL/ontxT6VDh6MAEONmDMdm6A0svzOt6d3J56Zhr3H7zfFQN46OJINFhLUf9rZta/ZwBsb9md1cXv4DhaQ9AxmZz+ymvT8OUdRi6A7VbmsCyQSjHpLD1J/VIVvawH2sC3pDtMULthp4=</t>
  </si>
  <si>
    <t>qB0HuqmZz3MO/qjpLbOnRlTT1eMLSL6m/UKRqR32J1bdrIzPmHUfCdTcfjfQ8Cp8YwJ960LFz/tc8am4TjtBTx0cG8si+dKF00Th94Ym5YzkNdyMFdaCza7egEXbYezugLgMV6Xs5coNotGJUO7+42nPoj7ulprirhFgjq8tmqXjTm7ANLOzB8ziwGIcXAYX0KE+zFvu2LFSsZwP69CBy44GGAQV1rfBhgHDZO+7uIYopL21FNOfnwuyYj4=</t>
  </si>
  <si>
    <t>CXNqJ5tahEILV0Dy+joRMllLKMY0NaLfnGyLc0HbQBBVBgB4UiNb8rLKH7FJBtgPxWDPy8t2jCxe4ltQjdjPM/HtUWm5FRWS+5aDiAoaDa/9eTdOd9iHiTyqDch00+spMh3dYVP3+mABusM3RCVdLdfZqFI3zRnXrOY/7CJuAmJ9ExcDpYxdvOIjY+gMAhqby5vwKPAPLsRnguq/VcsCDiVY5ldUH74jy/j/HUg0M9cIoMsQRI5FJkTTADw=</t>
  </si>
  <si>
    <t>diG6BnsNzMkDW0gMdR7W+ZV/zzTJo4PRME7/XlBJIngpghJ60fj0PWnOqXf9JQrTIA+cSd96wsyMmWi4yOE4V6RKfiGqX79a7bdpSPQHNjCen3drCb0Mint8BSdiqqdVojf8gubr8DuqaCftISDnIwb0O5N0xzbiLINXvypQwvlalpj/hjDkXzLY+LBYKU0I6pogCdGy+5Z+IW/yItjD11xg8OeokHEeggKFvL/aQFxllxZc5jZqTG4yEI0=</t>
  </si>
  <si>
    <t>huUj5awycpAcHNxD27Em9/4RT8O2d2A5Ikqx5eCrYt2JI0d+O8nKc7CaQwp6ri2LEoBE1TjJ/G4lRWE4RsVkAmna9GA6RmSKZVPRMXgqzSNza6NLmdn4A1b9LpJ2E+BP1xx4901Eurqi62Z6uTGFvFHKflbzJB0uZw3Um8NUc8IuV2OCXs4HkW8DFit8jDBn3UKS/L45ruMCjm4vgnxYZvuNxxRB6Q8v7S0fkAV2O53JAOKMBLh/U6656pc=</t>
  </si>
  <si>
    <t>4xbhpTHwDh27K4VICufqjdSpPw2DI1xT5jlNSYoml5PT/4n7hgC0L0rNDc7C7mUuao2lc+H5NRtVmmPIzgFhc0JE6S2fhbPNc2VBztyDRTnCMEkkXcgl4iaw4jDxHRHvUrEC5ADUM4f5p19uBebZUmof/gDLyWqJUK7274LBHItRZecIERsjoqjRk6Iz7szvrhonEmzAOpegGGHeEz8doeShifnr+FKTPE1ovtIfDBaiD0HDEXHkrFV19fU=</t>
  </si>
  <si>
    <t>nUUbPJ27wntVUDvaiuwPwFSrTdsXwJ63kUMKc8+bJjajuCGYgmT3YN714kDiROZpVw5ZYs8wzny42HUz74muzsh4nNo8xpFVd9deC8Ox7PDPtOk6eIIz0E/KaYvjyJmo2X6G2HCS657KXSIkf8LS+w4RapcweMVHiAFiMAmRMnML9zgJEZGijCYWap6DjLpt2IYPYwvDfGUGFJBxbPaOZZpihrrIQFWM2wQTHbQPG5A/t7ogIExXAxDrTi8=</t>
  </si>
  <si>
    <t>rNNiDRJTWO7bukLtLbs0hsj5YuUp+WzeYRCSAHadekt5SNqwrgH7xfh11w0bFPjOv7zL1+rN9MWs7inodtfZfFlcTGWjK3Ye9oL+EcMGR/HS5bKiywXsXeqvq12MDZdDGcUqUQLUe7PLGBlTxS6wCmHCyhkp1qpK0gQizPczREtaRnTDET+PNGMxW0MRDQ32Z2Mt10gy2YKjxunwxG8GfGQlZuv80UTbC6+2e5ZwX9Dzfo3QdMFD8ocN3LQ=</t>
  </si>
  <si>
    <t>V2DLPSxYK+MfLGtFuiWWp1DAF0D5VPwRvOYzQohLlYUzJFX1JTIv0Ih04Y+/4r5zzwIwV2zsiDBw5q6/WpNSpRZPWA0bgRy8W3X3nOS7cXvu9yZ/EIufF4QUtAHwJ+vckLdSrnQkZOAMUV8gU13b6iB23WleWHDYzoWNI0MZkI/E+ddesros5YXU5U3G438ppu7nURYp/4Gbrup64nrGNbqv0ua+Hl1XBW5AGnhMJkkC6Luz0bcIOWHm+J4=</t>
  </si>
  <si>
    <t>r+TLoL9Qt1kVcqIjFWV/nWCrGaQE2F5s2Yge/wVyZKGmfc63iT/vJxkFGbGufQGYc9UWjD/u9+WzJnn8FLjdxioOi0ikdN/q+BdCGwVO6pUPnjiGJT/VGqV1/qO64WcUqL1sDOM2CtcPUzpLC3jNhUrgB27Z/WTAii6ofieLF4x0w89N6quvlDDWIMETFw5xoFP9GtVBbh3wU5PzsmEdO7N3+jhdtEYhFMddoepeonrBRy+VZQN1zpyrSFA=</t>
  </si>
  <si>
    <t>0tL4s0s8QZeAoXo3JHP7ZbuyvhnFseYq2AlCTVe+MTfVOiesnsQfZzlPMFq1IBfvb5SpHhjkrQw3kyA2RiDze/hJ3Qymt6TRGtVh6Ba5EGrkdEHhyO6k0sBzfe9YKF0mUIq3MRXrsST9KJkY15zQx3lDvD2rVXelHUKv8iJpfg04pNhoUsD9GyDlX+gO4DBy1cMRoflf3kxpemg0HwhZacemGbWteziFp56iUVEtAtaa9uNTMs8iGHJPrqY=</t>
  </si>
  <si>
    <t>ABXQUHukS8lExVYpBCqrkxDYgcS/fZHu0MOSRHyAouFq49qgVqfr8f80Cm8LuqNFIk7s4FX+vOddYaVWAiTjyHzzfyjiNo8i/xJSiuBE7Vpfj9z0cUBXoXQzpywSs/73vfbNbVOJ1A33NnDWdQMi5W/HnhW8Zvol8Ck/RZeTlWR40MnDAcfmkV6DFP4w5jO73JXbvWru0QB7GQmtF7AWHCsXdmRqwQoeQq6YH9c3FQrmVOQyep4bna1s/yI=</t>
  </si>
  <si>
    <t>8IJHneUX55MmHghVB9HQ91hiit9FC404Sw1AuBhchmnvO+LzFtXJatZvGzY8h5e+39NbwcMcUjlQJb79+BPjNXApJMslkfRv3rV8iLLFayS+oouAS/Il0FVGyca1R/uRkdDNmOHZ9JxrlWV/oeG8adp06/2WcQnq1qGaj+PspGrZtFUbIvE3QrFB+07DfmVtcCzCLARFY3J24JI2SH3l99WQOGTfrPMx1B7QkAhitg6maysPSVm8rDcA/A8=</t>
  </si>
  <si>
    <t>knaU/zm4rhcgqhZkVAUgXyMkkqueZ2mmOStSk6NzpBskJTOCsKBNIYlsQXiUkmRg/nOqSlYFwYuU01/l/epwznuqC9ksm9cuFXmGXho1XAW4TbNCOQzzLjlK5iyEwdwfZyrDtSDLuLH02lTDo9pXJK42uxBAzp/p/XE0i3kwoRlLSnl4FayigJbcLaAEzvp57bTe0VPHIS+L4KFzwY/MHgunzSJqWvm1Zvgih/cKtwId0xYyKy+grexTkXU=</t>
  </si>
  <si>
    <t>YEHPNMhc475XLnxLvONf9P2LgSZDYQArbPOTFFYp6DPHNVWSe9CLXR64vXq54mSqOmO0UYNjVcbyoCCFdVR8yD0JFiwql4gRTBrYJrcYcE2rP4677HFX23/rSBbFACfeyy/OlWrtlC9ZbqjVmBXvg1+u929MnBR/m3m/3zg2OdnyZl3lAnt8LwPTXq/VznxRSw0pnm8RoAmJIyzDHdHMtgecRP9w98pUryr/Lt6Zvp7xb/5cFIFvYBGZJ/o=</t>
  </si>
  <si>
    <t>Dy6mKOrHpctxZzhNjY03ke/gGYpdE7TCHGSG2roriNIbxFbNus0hB/u8dN+d1wnkYdPtdfnmQ2mTmgPmhKUSmPPlhHOu6kKYFvTTG3zmOfHRUHZmskMIrEexYgqQ8NAxuyo4aQSSXu4F8VEnqgjFz7N041Ly5yXqHMB6jZoOWXQAlWHZFG0rbzFeKfTtzyEviKU/JpJEM1ZwmrGa2cpwNfzKceFGvbwUu4GDAT7BukcbRoSKXlMdW3BBuh8=</t>
  </si>
  <si>
    <t>F/lQt06gsUw8UqJ2yCx2EsIrBCq3yU2vLirhBq7W6iJl6POVl5DXCJ9j23JxXm3wuIyFYGJjJMB1ooxsOKC+dYykOeejo86w0ffN3CMNqhrLnZ+xBJHXkztQPorBZdrqfdkG3fwsrAnKSwRTwvGII+86xfZYkSgqBV9RHLKlwgVlGK8sBqPXF9Gf7X8C8Atpjh4EdptBiwA1fW10Yj8UwJCsDzZrPUWq6ltjDrpMvsAsQ1iw9Jk6FAemXoc=</t>
  </si>
  <si>
    <t>h1owCqxtVj0O5PIh4X7VCpT1ZJAr2aru9ehEuHZh4BVfE7+3fgmRcSto0rsE5Syr3tlytOKVqzMP9kRWiI2M+QQOFRwPL2Ao0gssKgDlIj82mKxwitz30H6/VGeEF73spt8DM8/iR8fYOpKLc5P/kHR7eFeblyTl+1A8sPWWuvQl6n4KdiDWxspEdjDbvU2jZWlCozavwh0gee8LfHA6tEgs5DelNu33UvumZq/SLK8MJcXAbvKPwdY2pB8=</t>
  </si>
  <si>
    <t>/+gDvUFoqjt74MAk7Mh9JHhW6/YLpEpGndorh6+wxG/f5u/ajH6mwD935n+U8Q+/sJDIjUsyAVrzVdeY0zGESAv/+uF7g4TrWtF3hICaRKlQQQjnzWsq6BmQRh9ee+Km/LJc78MH3GexvX8WrFXYAtgwXWTNJeTH6dJr8kZS1OXSUcKWrc2hlODpyFUGecezSYw3WmMG23D4tyFtcMzXYGxKWemn/bM/KBsPm1Y4pVtoeFDhUkvy4e2I+Jg=</t>
  </si>
  <si>
    <t>jg7+ag/ud3oyZ21Kv8bVXp0oql1UF0P9d8j4D0GYIu+aMypDH+tnzyBm9WV6/rby+8wqNIfNg0jBHKZzz/fH7+fu2TRlo14TEBUmC59XYE6qyjH6Cfcwz4bn3rgUU5oXefoleS/Cgl3hQqj8mc/d9KeeYiOnUTymdJ7lv+fZ+dcgc9/aZVZSJ6d5pQYbi7hxCTM1XJEDJ3rRJD9gAaUoxGJSmGd/1tWfouLSUW7yF2mrHuGsY6alkKds1eE=</t>
  </si>
  <si>
    <t>LPGmSwJ0+ih4HI+ieJ1FM/Y5V9PU80GtimdDu/DkbyAPLfIf5TJB9JomhvAQEoyx95QzjU05t2rsITeXnPiQ5LhF/X8Muy9tICCwBKSoGRAmVZ8y3f+PF1AbNtMGAqYB23IiAaZQU4qMkaz6w0VStWfr5GbekrFk1JDhRxoczcmy0d/czjkMKPRfww/n0V4JfBMeIt+NWHk7Mbj4bHD+0NQk61XYUaQVHw4TEaH4sHJzKlIUrpJ1Bza0JuY=</t>
  </si>
  <si>
    <t>rrlK8WFdej/P5CJJkBonOdnrc2VGguOsLeuP7x8dSD1HJ1Fpt8oXX9k0+V+KzcKXinneK07/nK2FI6GMcCZLR+zLYXAyTfdWfFuh/qiq/WhrwXr8AQm1HKK4RuWYdL3YF/DJ6K6HY0YXokyIMtGhF8AlHpCCVZzS0+eea9G5Dp/IRCWPOJqzKQjZ0x5LvzPLwi4npbuXFBnWtQ3oCXxoZ5dg8Lg5tC50jYyHJCFRc8abHIbC8vATBCyYgPI=</t>
  </si>
  <si>
    <t>g1nOOQP5Rh13jGvgU8DpkyHZYEl+0RSKTJ/iEykCdlKCxVlqDIUh40c1UDreXfgWdC60C15oJPM0e5qMyzI8wp6j3sxGMwRgGrcbem1XT7XAzopKvQGxh26JRkNjplk/WkKOPs+k51SgubsZW7mbOIYSanxIfM570t00c7NOOfJnCFhI5RC6/M404IZrfkijtEn37ZVfIuy/aCHeQo3Icpk0gknDZD1KNWETm5GUpe8ikSJC4AwQOkQQQjk=</t>
  </si>
  <si>
    <t>0XnM8UW9bm4ku65r5IYwZE+58a05a3wyZHRD/ZFzL28VhYCW00jTar0kdFeD0/ZBDZSZtjpUzWFOeqhr2TB4jsunjUdyv87pYmjulElyb+QrqfQvE85gOVdPLMB5ahsdp2JSZLThBCvUumQAtROHqarJugSBdinIh2kVmrudIdpKs9z9e+VQIp/ICuh7hV3iM2YSg1KSe1TXyL+k7/cjPZeiA+pyTSVfYwBHmadHYQbrdWy1v9jaAvpBUDU=</t>
  </si>
  <si>
    <t>WlZLYG4rzPdL1Lm2C7p7xZrJ297cf5mjzHwizxHLz77XPlfeteBQcwZQaSh+7tkWdQekMVpJGndluG/8WFmWB70wScok0GqUkuJ/R2x3CfvHSPV1yXS/3Dzn8qWxv5wZMZl8ScFyz3R8cABE6QPMmUJluVlUAXa26iZsdtd59yb3/bgEMebUprb9r37af0GkiIgEQTGe3qJsk9Qxu+eVzhSngr2GqHt6S24PTeumaKoMA+2rFC6D9AYgF+Q=</t>
  </si>
  <si>
    <t>+UNAavM1kHCemx8d16ODZLy2IxRCnW29qa5EOMxLWkZ4ygdL3OsQ1kRS9tob8eu6/yHi53NuSnjCMMfvNcawvM5sWjfDR64ZZnb4PqKhLDWYux8RoS098CajNj50OuyhS7yxWVg8oIUhRqPbA+kSR48vumTkC/wmx7dHl6dHJWEQhBj3rJ/Tf+x8VqYNxIrsRZrv5RpP9vD2ptf4kiMWJ6/VeEJjauOvI01c9oZAaLdPuqJDZWGFB6kaeIM=</t>
  </si>
  <si>
    <t>BUjfFHqv6bRBP8uUtoQnx83azTccUGpgn3uhSVKF9c3lGvfaAhRB5Z9RKOTAb0bhVrMG8A3abv9UR+VSb9t9PGpyl8wjmbRGq4vHP67muD/oLcP7JSUuH3CPfGLHZPZdBJwFGrYy+HY2ggm7vQfensVmMJcoMAEdGopcAvBrgGyrXQsYQzz0Nk8MfS3G10gLijUN10xviY1Bz7kuAIBOuFWOBnH0eoQHsE+1aVq81PoqXukdJxvoye61Rj0=</t>
  </si>
  <si>
    <t>0hafcRrojy2lulOx53zsJ2HkiYmyIgGk499ogFfXSFQ7OUQ4I0bGS48lvA0FhaK1wpj31ZJsOxA9wcNYYXD/jHaFOErCef/FJSUUXS7FY4Zu3JXroNcCEVF2hW4FLcBGgyZWJB4zAvFi55xhNI03eef7lm2fGOQpj0ATzth1uAWp16MrOOUoqIhytLnCeKLXz3vSG6javfWodnzaI7l/erLmlFnzodTPJKGOAoz9UoqbIs7f1nfH0Sest5w=</t>
  </si>
  <si>
    <t>k6p9jMXBQDgRXr+0lCCAW1ru/nHBhp2l8S8d4EWSJSv+JYBJNraqya1+T2at2sKT/ikP9LPW173VgQC1AyPs4ksG0y7MRDvVawz9GEnYaQ+eOfCyMryNmTFq4q3UiVwLS5VRKvTAHs4nyl+mt/Ps2t8rHRG8FCqqz2+ksnVjbQTZjpi05nqCyHPejB1mb9Q5n2n55QSDZ6ZYNYilJ/6HYl8BimBpa9cuCadyZIzFONfQIg3yb5AS2M2iEQ4=</t>
  </si>
  <si>
    <t>uhjTWcMv7zFnEu0pKnHhixbbkpFHuDPUq3TAIAZkI2R4YkdSxEKQ4QCE1olAqgOPrmZaGXBen9jwfk4WXamODQyPBQOf/+ejmZJHf5tl8RfnlqKqWCRtMv5H4EDnvhECo26dIq2UFbHbcuUMV4s5R4VqyYvDbS4CqYJ6vlpFwF6wGZtcItjbCfg2QhrC7FyldhYOze16tnUGUqvMXFMyxIImuPpAommA5u81afQp47DhACundH6woG0I/Vw=</t>
  </si>
  <si>
    <t>AmTIHKT1zt8tAb2iE8WeAHhxt51gFZPBMAtpOGPYX+Tgg0e+wCYO4DO2ndrZvNIFvPW6JmgI8PaApdOTSvaSiEf8MP6E6jsOsg5WEk5sq4cxUrIhpVmn5JUnAaGw9aRwAc1WNrveDDKmb/y+SlNxLXcGMOBTVj5nWXi5ShbNE84tFc0Etk2YTYiPtdG2DMs1+5460ihVykMgn9/eZgd9jlHWcj71o0VUxnxc+FezZ9xyPABrIrbUaymKXH8=</t>
  </si>
  <si>
    <t>u8HXsfo2CYZsmQv0O7/th+bYx6//hZHGrdPj4kxH2vhdDk5KnIgjNtqN+Mc11rTW/xtAPHJ/G/INxVAusxCDxPne5ot8SQzVhwLWOGGBxE26AuMD/lPe+EUoMNafyUUzsXDI2zZb4hfMCKQCMDypfe6l0yIZzguzmAW9LLKJhNh/ictIRbHpcxfbsAf/332C+Cg68frb6PnqO2Q6I5kdd5168+2B6lLWZ7hFPA3XWyn7Ps/M0o0sZl9Ww7o=</t>
  </si>
  <si>
    <t>FOHx1GN+EPw/cIXiF1KCJh2g4t8i52QKjfdyWs/kW6vrDxZKUX/p7Ecxj8AtHDExftA8bFCHmco4eMQIFIo0x/0+5rRB0+n7LiuA4UaJFWFb8cR3XeWl6Kn4Ig8wog2hNl1qn08cTyuVQmTZaw4Rnhc3VyH5RbYocLlo8lQZeiS6JWFc1hE31/xMWfsBPjKaxH9hFbHWnG8swhkJkWfK3We4wg5fOz4HFfv3DoujuxsBv6xC+8Fnsu8ooxY=</t>
  </si>
  <si>
    <t>T1TXMout1EUoCyw02L/0CFeycWy31EbcUjhy6broETcERva9Wv2L1AdJlfxztS5bimbZMXgV9fb8O7Rz/I99S1Qm84VD8WplfpaiMp8Hrso9sEA2havpzE8t94+CYrUVX72iHQ9jglw3BJfahKAPX7sZsQpr0Yvm7++/RZHmjyE24GWdqI1yBpOT2SjL6aqD1LD27wgW8PdPQUzlhTpQ3LugRW9oQKjHV2m6uF2+uMLFbs9k+I58a0c/Z9A=</t>
  </si>
  <si>
    <t>QQ8848pRvOKt/eRl+Y0HqqvSV0GkdBxlOYj1gr1JhydUgrQGsfRWN/xNi19t6/rCOjnv2w9l/KXFzPiTHFIGW8Bkb53C6VJZmtT+avA4FZpVCUi+P7U+uRAP1QbGW3Rb87Ur08TSbi8+5G0UNV7rx9C5uKY+BVw/9bK/NMYlro6s1iD0hD5+Kgc3G7rrtN9Daa2CuqK5R0OOOvQR/CxXj0SpnkLSx3VOmFATcnJfA5GSnr9FtBUtwIJRA3Q=</t>
  </si>
  <si>
    <t>9w11FZIVb5yMUujGemG1KUMjk23D4JYsavYpJA9qbIHGOmo8zJFmvLxWEGH6NmZXXHYLAdtNHt/2Mtpu+LlkL++3n/tiV3yOM0Yy4jrB0l24YZEgRkaamWnkiDGB26W5zw/TphUxzrdFXspwEB7WgvzSuA6RbBMVHlj1nf9u0KVIYGoOcYQwAf/AmL89IXj1ul0+guRXqpaG7BAuN1h1w86F/4XAD7qTv9ut6WQsved2h9/xTr6NGc6Wveg=</t>
  </si>
  <si>
    <t>tJmgD0H/LBJDA4dLMvugRsTPaNVaYdh3JUogZqoeWuHhKWTxYvl7eTIZJTFmJllWoEqjoZc0Kk2aeMuON5UfwId60XWCme9K0HpeyUswTLg+SXT+A/ArLEjk5uoJvlUMaqSQSPStTbc8y8VoS47qDKbw6hWKLfbybFm/DnUPP+YJVeK2CswpRf6/6pddRRrRNHjuq5VjxmQYHbghDz9/9PcbtuEcV+K4vhqZvQjX+VOJMGmSETO77YmxsvE=</t>
  </si>
  <si>
    <t>yof+iDO59AZ4u0qE03vaamn4h5GoISru/lXlXukT9Ned5JL0RSqFs2aOwd6ge037UEIhOPmQSAJRdMAly9Mu8YqE/84omGuh25YnDfXNv5fr0cMvRqXSuRav7Sut0Lv7l/NgESlLCMlBoVNP3dYRZsAE+Mjp0J0pFf0BdrdOdLusChGYj9sxPZ8/C9qgHbwRNnTqLPbDLI2bYSj4OqGxti1WUNV7cD7lpBrsVehR719zB2Cb/MLTfD3qJXE=</t>
  </si>
  <si>
    <t>DLOGnbXWCmmgxhzpF6NtIKHoaFRsnxfcx7dZZTvXJoufe/JkfOoTy1RsQ594HxjF5SO5SuNLtwZHi/AQkti906A1WySsMcltSH4p64nDxdeHW6m22dol7Q3XKxNB3+WB7/o8oL/egQJffQF+HhYJxPgOqVEbPhUsmgGsbxS+FhJhhgzf8Vo7eRkINZvls/iWrfGkT/Z77Nruuv6DrQIYbeCh3NvBUrPDvQlhOp1go0Mh+P/s4vYhzxrEj1M=</t>
  </si>
  <si>
    <t>bJ9axuN8FI+4km7wpHkGAId4/bO1HLmedULZYBk845mIetrgnkwLLD/ojQFJbk4Bg7MXJSRFeF+3pYTAORYDjfSwODUMjXg+LsXUJNWK875QGihlzb7WLTqyXgIDCX1Luiam/tfY4s30WbsVRxMi0UYOYzvu5lfOtqvg0cmgDAG2wbNxVQs8MP42NzNh+EYKslbvwO6DF8Zg9ZoQXtXWcfwHZ6B+uMFHQVKMozRnbITlqDOwKn9NSL0NRLk=</t>
  </si>
  <si>
    <t>eLiGYUMx+J5UJ/xz3+xD9NIChYTe68tyfN4PUhf3iaFOXXqJJCso4rKjQ2BOU3ErDF0ORz4yoE4R+4Dkx0PwIlABNsqcVgDlR0AZn+GXVah1CygRmcv4j9Z+f2zjl6YlwnnnR+Nc03NwZANZTsNlMJApRwwZs2rkXd1b3POep8BAuTcNRXGLq5TGE4j+x3O+AkzQTJds5mwEZsdsiAhNUshzzCnlU5YdwIO2GUsqIGV5O3YYB3H4/M9YpR8=</t>
  </si>
  <si>
    <t>+gtTVU3GiePPzTODn0MfCRxXOT8+hRZheXQByhSmBhiAJdeXs/Uwd9Utm/a8sKxHnzpbC015Xkt6nS4Ru7tpDTVkVDrdMY2uzaNVCyuUIv3GvBY21hHZLn1Xc9Js2hU4deAW4l73kqApGr+v75y96gWhbCdOfzCDBSeqDLLFA9YmOhGfWky2BiiaOCbWRfIraR1dSM58D5t2PjUQRMuznQXgRcuA8DKG1sk8k3OdBkOLR1H/6pM2EiILJdk=</t>
  </si>
  <si>
    <t>1soiOSF+OF9rpl63hJBdfLhiSAqx+L2jYCNdty0yS5wVxdjn5lPYzk9aTZYzLwnJ3W22A0n3fhmd+CK5KKo04JD4iDo9yeerGl73JJxGXs+LPKRsgqNJ1ybRm7++b6sVXkg9JDxxlTl9hizOQdrra7OQDBzXmsWJZe7GnSEwU3zL13NXPDPWyZXaITHgRJz0MmcPUNhKuyVvUDQtBllqxjG1Lq2s+73Hv1dZrcEeATPWK1TkKM0pLQkn2gM=</t>
  </si>
  <si>
    <t>11vcg9OoHbpC4EfLNHLL+jm13nnhYJReWUhJT8CnvNhs04nWttj94ExSTp/Z2QucmUI3lk67Eqt1nI0xvTmXT31PgkBHULL+f2fPgO0h5+D/VrBftkWRJNp3xKW2tyavpvRO/fIYQdOQUy5tcIoP7I6QlLG/CCMAd1zxwWTAG0H9UKpFiAYIye9HLU7xIxNehG2MtCXW3Z5Oju5c14MuOni/b7tVh6pLfxRTDIWjOrghO9seioX1l9/v4Hw=</t>
  </si>
  <si>
    <t>VCJATP777fI39bqVt9aArfOeA/6GvBt2+1s/xhTrYEhUnGPn8MqNdKHVZol6VjffKeR+FBClJ4Ugt53QEeDpbf7V6nOno3NLkf8lcwdPcrFOYHKRf+XI3dX5QwqT7BotcjJ3VfBjkVmXXh8OlBKizj4J8BKCe0v9gfb2NR4Ydyx03L3+9PwzNfzwDXMwd82+Cpag7N6vTo0NfoT1ReXc6l4RfCaWmmbQdxWz47nvP68SSqIKRGDtk2dJLSs=</t>
  </si>
  <si>
    <t>TnBlohn2E2Y632LIhVhRyphP//7mXWAHBv4GD+DuPL9hDFmuUeJKa1tEByyiU2mByfBA8jRPGxJm7eAMi5U+sdj3LBrzVuNAp/FWVpO+e4sbTbUJNY68GAuM+rWudU4qckmzGZ4dMZZLtbcav4QDHDLSLcQGfIpNTB3+XZEtkW4C7Q2gO1ZZ/WsJet6SqWmT+XW5y9RuD+dLKkvwSoySU6Mp8uToy/Zdf2S+WuYBFcxEZtnbdqY0tKPJHVY=</t>
  </si>
  <si>
    <t>9lF9tg5UYXZko86ATS/MGSXvlCQTUx5hULxbZljWAkGsD76aVy+o77V54Flh2lt6AyY5NZmL9vVDpTur2rcqV7+J1hW8K2UcU40uGjfPF1OD4wMEbf+FnpqUVKs1BwxLKrzvRFGNtS8U5mgb6TnwQA+f7vhsigwrU5p0menN8QFGUb1g0un3OBm/fiEihmRznzVi+U6nB/tNk9K4SogjjH1NraqFZDwwn7wsE5MpRPK+Jcv8nH02tov70kc=</t>
  </si>
  <si>
    <t>X2QPu0V5cpcA9/CJF+qilh4mSVWTJ3A3oPaGhdG6prPRfRbkVWaujl5tFMrBItv6tYtbGlYzxYF9+sh+xTjZL5WRYOCTiNvP8jPd1qEUO0PaWei1sIJVWoCgedVJfrKmwcuRU982NlNbWVG/jh6t1TdTFXfG4Zwf7iQL1iKHAebQvIEDio06qoQVy1FwdE2r76TZHtrHhCnxEMcd1jSUbDDM1F1FJi1hCeZDKEqpwYDjSbzy78dyG+SxwpM=</t>
  </si>
  <si>
    <t>/k/3rouAkt9YqA9uTKFjoO8dILmjQOnQq0TV+/MhmQtnS2lnkLAw+9XW6pvvyvURh7a2L4umdzFpTw4ZBPbw5IG6W0eFEb4aHsYoIcL748NcEA/l/hOBaou2PfcxLxle3IcW24Bf/jRd16KTx5DKHDUnQ5rGLVXRQnaxKkqzRNoB71VdT6mJjOmJuFNU0OqujOsg32u3AmZ6FnT0ZdH9lkX3NmQdts/e8tAPLJAEmV9+6uSiO9ZiWad5+HE=</t>
  </si>
  <si>
    <t>oKiseRgFhC1+4afeCz/GWZpKOQucxQRibCcBLydcw7mT68J49RQng0OHlNLaC/BN4kwwJtO4BCCAbzR2L8HtBbUOyNxm4R6042qrBBhz4RmeCvfOP/I/wNIpLj9nw1vaaFXGaBr9zMhHEpOy5rfNghsNb08gS+qXBd4NwpRR6y31bWUj4zgn4GsuTnb5XQuKls9TA0ykfX+suvHLew+xK6oj5ZPkRF+feVO1upQP6PZDru1S03GxDAv1JYs=</t>
  </si>
  <si>
    <t>5OKnuKWVGI7Btg+DxRrwEg1Y68N2qj70JcqJrNuwseHVAdR6Cv/gsl/UVMcAdX3wegfgjIajf31c4jKHo1XM+BG5qNih3rtwaC4LVCacABvQhM/1JLp4vbci21PlyBfpfphblKnhxFp/ALl3U1lzArXmmp2w3c8SAXFskBbkGbM6JFgh546f5sKjNGDHMiVwBMg6rxSgJ/LAJ81jcafeW+btuvJJ8P7bRVQnIjf4432/BMiefeb/nQxjhBI=</t>
  </si>
  <si>
    <t>b7l/ewWUdy7C+13R/piEjnZMMl57sy3qAZHJoiO9Tx5j1Sl/q2lrym9t/ixZf2ry8IQtFVNhawR4P6fuU2pVQdNQwk2+Pz7VuXew7oGgVV2/NkmJe6juRAmII9NgAe6MH2G7qKeaUmNaq3WCFlBKejjcQn+ZM6Ay5O73y7Ft2j7V9B7uB6PMaCVksfyE1VFjEKrCewz6xZBCpYgiBSfcxU0MeINvgLEl7UR9u8kf4yFU6nUux+3SAr0ZRgA=</t>
  </si>
  <si>
    <t>QXbQRVHj89wx7aWnEq/+zFeCM5c4NlJVoqYDjitbBIGyMVUi5/9DJ1gNgWyVHZ9sUkUArG/Cm3dqBLNN7YJ77i5ZdJfQ8IDWPkZiLXKhVBhbfZSb9/T5eIxqhoQsM4OxjfCJJpSSoPrqLCOMj4VueJ7qzFakClpcONysUrXTcQmzSpOj19fZZsfVjWSd5H0wSWMK2tH1iNZoiQ5StcKtiG8UthDfpRJvkuMUl86mlt/PzJGSq4M571M4OI8=</t>
  </si>
  <si>
    <t>/hTB8zbne06mXAISH1yaGFV1G+yhhsufAyqWKButpfoD55+SorsUMO6Nqma195xNxmfhZFjcld4oEhogbKTmPovg1wxhFSsRxleS2zGHSeny9jCDqiqje2Z40KocP7kIr2yDL3T1mjNhVY4kOIRaKWqYmu9splqQrvc7738BePvRIxLvjr8lJAHNmC/Ewf7ozotFC6qXDgf8MtIPLvcJEc8Pa4K/6yOfpp8BgehMwYqU/G+fZR7T6UY9kRs=</t>
  </si>
  <si>
    <t>E6pzGBD9Uj2CWk6LwjqDahdTd3z//1P6mifKfGyvxhif2YcWlI58qI2bXjrX4CHKwialFcAGFaqISIH+Cx4wFJ6Dj7gcRIGXKL7/yBEe3g8NZJnJ5vysT6b+pIm91DVXGuH5bok9DWzCi9VlVM8oGL+rRHkRA3Gvyb5z4DrYdc8S3FJ9RmcOeEmUyDgxpCdiHgMcoSqVqu2OoUn//c26HS5HpYGbyk0PuHx55755zWVPu/C8TQCShN17cMc=</t>
  </si>
  <si>
    <t>fnLXVY8RD4eoBpci9Dw7nKRbe69Hu/1NCdJg/kcAr/nuvWyI49ODKpAaR6ZCpIDpdmgJRTZLSqOCqlR98iNqawyuXZ1FTlZ4GHFaETgwLFXjBJgQo/owuQ+feHufklMumYnt6Mzh94MTACR3lrZrWyGH3O5BqATzdTmg40dhLXn2OJQyNbqRJqPIBwMKKRdf89HqB90vu2ymnUvfHlsQjGZPYBatxzRQYJ80AnlbpTylYCkoMt5suA8ngxE=</t>
  </si>
  <si>
    <t>zDJkDW0hyn0v1U4kVQ+l0mXI7/NeMwt8gkb4PV28yN/rXtAIOBaqIUztqDsYxPQuTzv7jSyWP+a7ZVKgqgMkgutPG1iq5zjUXmSoDw+t8sAgmDnfgfwt7+cR5F/sHgjh4QIyEkOcaKAkIcBk5IqPKjiy8rUDO4+QVbDiPDelTgbEj+w+XE7VQSHgX/HQNni2bcApaKImKDbOZHBPM68hjq2Frmvrg6JP4dI06eh8AsMpYaoJ7OauZ4on72k=</t>
  </si>
  <si>
    <t>SHQC/eGnDVjzTJHXkd0nb+YaXXXA8NRKendrmdKt4WmKjnSalITD5Ad+/+w5RhURJXkBT00IhS6lyr1qoXMY/QWHSj6m5+qudIkDS8NALxg2c/JXsCZfADvLiXXuri6TPY+JwFeULmWYqD8STHFIQVXRIEcCl8zmTQw3gR+6YpGVQgoxy6o882lfUzmDBdD19/IAheJq0NBrTziJSH98otRVmj6EhC6vW/tGL2fnTIP6LJ2bPss/S3bKJkM=</t>
  </si>
  <si>
    <t>heKLqQGZtN01KaIkf6mcNxGfP/w2911hMjNcf1pi5b9AXnHYcGH3uI0HVulu3LlEXTBJx+MwL6LhB+hil162H8Y0Ysid0nk1vKvh/GyBleMNeh+/j3LEyQd1Nm3UXMdGuVf+E06Z3N2rN2pnw8nxLwucvMtI5Wkktt0707aH7Fj6PdIhlUw6vn+UeYBRzDrj++DHnL5hbno6b65oAkk0ThiiB/E1hJmeZR9uSV+9dY/U+5AhNnuMeWXGgWU=</t>
  </si>
  <si>
    <t>70W4LOOS6PZGfcdAQmyhko1XzjxpfsX/Fup0smNYCxGk6cZEFalv2Wjavmlti90peBpckbiygTdDjIZ543DX+B08VRpIPQHEOw9AOtY44zkzJMSZ7/ymXlj/gY/KCfoQsI8LnLaRiHQaBKj01WJwYyBoOWncPZZ8iAs2ofT1gx5I8NkL/Eh9/KvOKToLtnm+Yr3C9RzT8O5CnnBRTJCFVii1xxcAVS+2O5AYOmQgCcDSRkppdOkfwoTUPFk=</t>
  </si>
  <si>
    <t>GYFErnXrCsAlgSDWWOHD7noc4+IEbQmqq8gWcJt7IhfeVqS37UYdRk39x7WM3hdBFhRKJy/4/AZvDZvFWFQzUnhIM0T7juiICw+OGYyDtYKhMjQxycjUjaW2mksmoDd0q129EafZ23zLrRskTp2o2UMN/jW1QR3UHE6vz8g6A3PtT0EK2TMs/oPPWYr/oRBY/lNSnoEV7gm5jfLjY/jBJB8gJLtRp4STzMzN+JqzYfZ1CDoHvBqqT1yXOeQ=</t>
  </si>
  <si>
    <t>nDBBI7yMVS33uFwJabtzdFJuMrlBoW7DP/Lp5QubzAzc5E25O3GLqvBGqHGR9hJNoODsg7oW07ube3L6dPPOTIMZYWr9pLdPJGmATmFNOlLVyBHBvYI9V/RgkZfeRs1EVkSgql+Ayn4R0X06cpoU9km6KeU6JlrxlZ9vkrrEKGR93GcdvxW52epef2r7ZK0XfawRCW4E5yXp6b7sZtHA7QQy7SR+NEAhbFpK/l3T1xaeIZDZFb0ARDjNJPM=</t>
  </si>
  <si>
    <t>LQJn55AzLfFb5TQyJChijspwkcDAcXnyMZmPa2sQvUFqVLmMgUeQ+nuOcOL8mlmqpJnz7umoZpryhF8IEo6GHRwODQhqkh48fVZr2Di+EsmDKzpF8ixNW6M/dUYzAO7CxSQyjFUxNOz7e2UtZXqfTDEDNyRSDSMxZ6Oyqm+fT5WCIuo2pcSkGZ/fbG7Fy1iQo6kD5MOjnXSxX4/sRJvjk7Ph9lfxb2pEezph292c/taq+5H0YRJnRIOmY84=</t>
  </si>
  <si>
    <t>/LLlRwnep3sXNSdPjxYNK49l9ABdPUnGwowZIn3li43O4OMRRGT5zg0ZConnExDpyzrMIGZj5nK1r71js/6DumqV+0Bpo3t6pVQ7koSY173QS0/9SYKuK0AhxmvxJAMqgJ3331OQ5xbA/OBu5Wuu+I9WJSTYWP9ckoHC3sdRcOclFeNghAZ2TAxMazBirpvOYPUzI5YzbVoEZ1xOu9zB9caeimzpXSxSv+GWP/Crv4E7w7N2LsHUu9rih0A=</t>
  </si>
  <si>
    <t>TYabVkxq2X4jzZ6nBNxohm9yQbdowzqA/0z78wMFhYG3TcSJaxlWzB6+1kXt8RD7UqOQQyqRUsIRbn4HfKSUqScL9XNuVoNi7GmxpoXGG63mjFnHo28TEyLSNhsVvmi57SL0ZIwEeT+3t92KRlbuVty6EIrwVwJxUabCJGxDN79gPDkOy9IE2t/HRalfpwVfUJlC/zmOusH8UCUc6RiRDAVhXBbKrusJM/7N2qHlzQw0iJ0gt7odXbHYv9g=</t>
  </si>
  <si>
    <t>WlR7ONm8Wc4UuuP2YaFlOewTg9uiarEO/YAIzMBk2I9FbJwLu9NePwTaZD4l0iZNW2BEDX9M14tKU5fyprI/uZrTXEVWZAy0foAEutPjFAxOX4Py/e0nWKLrVSCc//F+/5SDtj9BzDOyeLrnUKDnJ/1C5XbrfQI7pkcncivxnqPqfeqwGCc6e4UtxWQRFlOsLjLiaW5Sd8UWJyBKTZBCiNXY9LRw+81FjuKurHYqNwAubnC7LghhGVSBTN8=</t>
  </si>
  <si>
    <t>P/gKi8M7BEzuv4MiofBLEfH70gv/TY8S7wulZCy0km502DAXjzj4jE+FcirOUpP9yALYC7YCzbdUkzOhNayLM73UPtDryQDZeJtoN7ccNXWpaXdIWEoi7ECKxN+BsuT+f/LByebWco/eWEWYn7BK/tCh037Tny7SZD/kE0VgGawKn0zJH2q7yr5YfMGHFepvgVcq32AjUMA8A7o0uOLK/l5pkuPSATbCS2k/J0f/4fhJE1M/wZ6cq7ceePg=</t>
  </si>
  <si>
    <t>wpxvsB2ytyHyvbZx5atb1aAESuudzf7VcsJSd3Y/jrRB75o6LqfvOXtiRMmxpO7ji7xo/uXkgwqu25oIGK17uaI7DEe3ZRxCYsmLQBIskaGJyFsmn9xK8BCnQ/n7B8hhXQg43OZsAdJAyeN5OAuHd24C90coWqM6TihBs0Y1XqD2tdBAh45DihLPEy594Y7i5ca40nkBW33Xot9+IMvu+8F+NnXZGXsdI0fPwuG6e62qBwTLj+DpqW1oN3U=</t>
  </si>
  <si>
    <t>+oD380VdRmSAxhcgeBpwk9UijaW4q05A4ZIK/JqWlR0ywit8FZWPqJVgMvAT/kNo/Gus9rWG8McrSu8+tvaTyiTh1T6EugASSiCYKHsdHfXyl+ZN6iI3VadbTssMgaDbjS9m1XQZ+azsJrJd8tVE8EP9JUX+Fqn5GO1EVvk8zeODIR2/wBeilP+Ng5xLXn6+mQc5wi4LMNTcIllOaIHm3TmLfIx7JdFjPsr0HgM+GroYPhs1sD9JBTHUyYE=</t>
  </si>
  <si>
    <t>19j3VoGqzc5wCL4tHDt7xUxxrAIo7HbqHHQ0NKHBy72NnXxTmEcFUAeNA5ZWYImfEr4uhUpAmfunVyGHsaNUnuLp49oryBvmWLkLRY024haC3D8PigHcqBGPS+gHhbM+JQwrqx9nYnpU57BBGisVXQyyry8LnD4BsK7qjJkcmS5rIPjAb93p0s59loD0GipgfDiA+MEI9zfE0lfnIv3jRNG0tpefBVQ2WB8WWdtXuY74h8aJn/N6Y/fwjP4=</t>
  </si>
  <si>
    <t>jt+VZHwQeLUzXHGdz0wk8G0ur2dXp6YGOrXR1OHsDmdcAnjn/JUSgVvul2JN7eatO2ZH47iPHjOo7oZSpxPh4szuVy5+ZO6MlzBycoXR0UbIf9s8+5t/lzPFlH+l2cfJGuSpsrYr3VQ31Fy7RvE+e9/0qrXi09kFMpA6z9e9hq1wR/1ROVjP3qT7XM8JzD9e/woVwBFMvdVai+BPACmvenSSFuphfy+Os79aNzsx4ZNNK2tyVjjMRju8yro=</t>
  </si>
  <si>
    <t>vIgVBhO1uxfWoJadknCZTMQCTYDWlK7e8i86ltFB/hjmaHg+x6yek5rTlo+/jdG4cOp75us7mP3prO6eemN+TZCeraiZmmUNOlIEDj4Cj8V6knt29dkt5UMqeeVD61tQu9E8qKNxlnmI5lQ4bzv4pot6IEJFnC0hP6ZSPgUwBO780HYqYkEImE/ftYfEOfTaliW6k+3sV0vYZSLCJTcMg1sjU/NoCxROqbDYd3+SEYmzANkNnC3uLAmJG+g=</t>
  </si>
  <si>
    <t>lEGPCiipQbHF3DLH2jAdp/xTr17uiFpdC/3PAMTv4QNXh28Kg5TsT2d3DfrO3jP6mjAKC8812znKRCPCGUaiJ8wueaibnr8l6IBrwE5HkqqI9fEkFXrcRWdRcFXa5ljjs3eONlJQr0VYyshuIfdop/DpIAQv8A05BP/UTg1kWLXee2aWEBJyJR7tRcBkyIRpssqyUuFQSHdv5K1U4yqM+xzJWyOGCD3OYNreU9DCMdURfQmXuunw7O/HmxM=</t>
  </si>
  <si>
    <t>RNrnDP6z9hU37k2fmUarl4+U+EysgGRHAjRdyWIraNbRhI2diDP1JGbRXQStD/M/sOjOcAlmvOYqJMgShJO3313UA/T7+utmKEZHnW52NoihTT8sfZMXsRV2wf50+dp+wt5a/j2vQMi226voHrE9G+tPIlpVBuoQd8f9Bg/7LU1ZVRFnpK4Py+kHppkuWnGqCav1wzBwUO296XXrqPUaV6bcWaS+NulU8mpR9CkiBYOWsgLRrB097L+hTLw=</t>
  </si>
  <si>
    <t>XZWQbSkVgmkpKvzCQeqk9t2GErtsJjLKc8iz+LefrF2Eu7Ofbfn6RFt781eKAeOQUIipsKhc/pobHiAm0QnS+Vknf7/tHA4rNx9GRGFkPtke9dXEExNE8rryhCr4SfhREXHUWuB8Q16AfhyZI9f18dnAaSYaLZY1bHFzy9/NsJTeld28+y3erN/hbJGum8N8Igf/W7ky+j/xAiYVOj6Lr+EcOW44icT7Oh1E6Eek+/fbL1Hsru3WBTeLInU=</t>
  </si>
  <si>
    <t>cDckj+4X0/eravPRx5a9ibEsnDM944Ms9ciLtBFeGWq4S88J4EXomP4eaIFi7TthgsAw2s6jZXPB+bXwVYrUw19K/ipZVEbt8C3veAVzR9cGBCXGv1F6fGWICFrvcIutFtnoJrKe3gMUkKefISUuG1mqTz9zAVNwv9RJsgrjDB2M9cRzesBxv9aMrMfKKaU6mIheYJTXtL4bIXfCwFQZZxjpphpEDTPohnsAHcu1tAu9Z8+afndhrhvF1XY=</t>
  </si>
  <si>
    <t>LrsU+wmo3iMmijXWNZ3qTtuT5khGLC4yeE03clvZGvoCjY1LCM8XVEh9xZF/0hTPW/m0SY9AEZ/Js1aSaYVIpGLh2rktp0JjYHv25N5myRqBaG2v0nl4rTnuAxpzVqhunOGfuToxEvlqcAjHm6UXSpXlngTGB/iX4jPVCJxkR5ZzjKKFhfCivYvGPSwV1RlnQ4aM4uPSHTp2NdzAO9ZGzM0VqS9PkiX5aX72cRYBanBri0ytNsbgM4dbVz0=</t>
  </si>
  <si>
    <t>eUSAYSsBQEV5fch9/VmzBD9basxiBzRhIhBGHUzBthIy4lqbuh0b7Umgbyzi/8lex43Es5mInn54YRp3fyIPuKec/JeW+9hecQq7J97wtQ1O6yP9T7vWss1x8O0JwGHwWRKwCY2kbdR0yELXZTdhuk7DasbxbMsnoUf+zh0ZDgQjeSXF2Y2rLMxXF/v89YmJ5SQ/prS9Cc9U8Lsid9vUFocFToCcnmhs3LKSZFHwUmsHeAavFN9G7jRcnTU=</t>
  </si>
  <si>
    <t>+yg0RIhDITTAAzijHLeveEPiBA7/n16uV3pli5pBT1Vyj30LsiEVVfdU2lm19K+MuNxxqi3mLKIAz1smaikUo6vZfcROhnQdN+2CbL6wacHmfJZLJH32Ngng8reOJCDmWeCDbfJYpyvpqlEAVkJJUafj0Wtc+xyGnJat1x9OLp0b8f5tOiW0yV2JU7ME6xCDWyYSI/OsFl6UZo0QPtUu4pts3wudoHnkRKfiRCV47n8tGbj54Su/Yeftwa4=</t>
  </si>
  <si>
    <t>RAycHAcHaq/6Kgw8a2xXvWraqZAa5K4M4IiCfhPKG3tUNl/9/MzBTX/rBkyX38zO+w1Lwo7hlPMHQCZ58QljV2yb4B5H+kBEdH23CJVfymhbADAOEQVjRXCheapZyDrrjfKq1xMk1iHdKAepL+ydxema9UFKys5pTgerBUcJJOXWNGNbzf96js6nI2Y27giwM0BZvUpEBDW+giCmoI884UEGBbW7bZpsb2JNrNhYIwRbsTx5IDG3XUqbja4=</t>
  </si>
  <si>
    <t>j2LVRtLBNFoO/AKmBzRE5n3PrlC7zuRr8IOXZziJ+d08RDvVrb5F6asv6S9cadIEj4bD6f7PuL3+mVcczlOvKhs/PClfncuV+LxHsHoVkTXhYNZwxQ1RFZ/lbF+BYB0yHOXSTpLt/6UnQHdQAkRwGi6dXVPIghR9EjlgzlE6S3vRNswpeVJWOlwR7OrCD0TzZjQYooQjun+O3HJt/3aO0rmP2xtmwnvUiLPczwjNah0ce9t/1Iol8BgtRBI=</t>
  </si>
  <si>
    <t>jOgoEybOaCec7g49K2GX8sk9crMGWEToZHnMFAnWCZ1LSvmg8bsDVC31zLVQFSpBylR8CeiKAI983tLLEe9m8eKmLHYOSRv+BMsxv+BJ2llgYE7mRsH8N4aUKznjxhGLevBGdciwgevUa9TjjPx+duBx3MpjpeoYA5TnGySBlQTsNJ2zj/e1XaRgGRXImHkRXeZQLibSSHhrctkVXRs7EpZ8D53pwWIXzomjOI/p9eo2tXu2/nH/qVJ+cKY=</t>
  </si>
  <si>
    <t>kpB9MZQGheaHFIw1YB/dMZ0vY2xZEnTlBP4fYZ0vcagKdFt18e3cMtgQHGquN1O1+dIdkmBLXTrDCvxwsE5CPJV+8dgulCPT2rjQv1ZNPSM/Wa40+ckiQQ2V557KaCX96LSZ0Ja4ScbTtCv1NCXwF++aWx7+ndgc0UDsCj0kiZ+Gr+nuqJ3r+zsmAc1wFBgvICNvGdAgHWOPnMZoyI0EbBBBdAzFnq2nMJQ1k7RNOl7GGnST2EyVgbRtF5Q=</t>
  </si>
  <si>
    <t>djsFEPoitiAB9mOte32kjvW03l0YjTsIHzbe11vMWdP5elnJCdeWFko7YYk/ySudJSn9tZ635cyOLIRDTa/w156fubdxXNFEJtHnGHEGc3H/rz+HkFAkEoZSfoFQluLnI8kn9tnK/Vv4GXDeU0pZDe+J5Elsj+Z5cSps0JA9BB/9YcpbiJhdhGTX9AUBv8jMEhSOCwoWUZOqM8IUR5NddklR7TLq3YumLFXqZ/JR+5wnLQ0FWkNSdplRjJ0=</t>
  </si>
  <si>
    <t>8/eLx8TSynjb7NtLQMT2bRYoeffM3e0bIzPM38ZO/hOruZiSvtuPxRJFgEcKVKGqxEfpHHz44p49JSP0VWD/2aWqQmkXKEd4Cj6YZyA0NiOq5CPzqE6mhba/eY/gaSTetAWaiPTSqLmztwwjYT0bckbMa03B2pOhs7lHDIf69tjBpKFHzlwFUQ5RikOz70bDZ5S8EsNyuTnSvgIjxNy234UTQ8F3uVuMg0VUwB4KyX1iNQjD/IRoZ3zfqOg=</t>
  </si>
  <si>
    <t>456qSqJJU+zwwzdEC/w69DN6aCqSw6lYvLRYeLY0BDZcdEpCecPi6MLxYs/7aWGqb07KzShENPL2yGC3rBPO+bkJVDZaMUr3+rcC+I9Dc6n2RWbHdKw/SUdYM0ucDnREkWJtWHygUDej2Qy5AiGE/MiBDB3kav8yjr0Qc+5NPz4danSdMd1NZS6JlOY1p3fpQ5b8QAIS1sQnPy6rz4YUDjmvosDKjEQVC2dO+yS/R7gElc1ybhuzsDmJxs4=</t>
  </si>
  <si>
    <t>XU+h+Lf/Nvbppj2WYIcL+OUxdEbpE/+7YUiD9LfR6ngFiDEj2zQQQyiUIAndqrFLO8z5q+08zOA8x59X9jRdeMZbiMa50D4IHTB3hLjrgTtOJLMwownYqGQe0yfubtiD922yLptedxxinwPj+I3QBxTrUfm3BR2cppv2MZa3tJheKmNT/5ndkj/r1FEs0Tv0yJwRHF6pjkOBrjGfYNaKGoQWcFo9uBbk4jGFe9/vFwLWv4NbRRbrZhhUtdc=</t>
  </si>
  <si>
    <t>DeGwbnfpdXLvjFsLQtLFM+0uxRlgpO7pjq+7vtGYDtvR0c3knLbKDIiCnEV43asTL46skUqgO/OQ7FS9w9lonJAJNsHX0TRYtUO7QcXGkMPKn1DG6cDszLSdCKE+FdJyJ6WOZ+H103SyNxkQmPtbiCB8Y92MPQU8VOq4tpVCLYQc9nzWAv9VMJC9JYY1ZaUKr4vJqZTZcZ9rSfd0sSgRG1Amgeu1z/MRwKH5U9fqT3P4w81PGeCJIwm+Qgc=</t>
  </si>
  <si>
    <t>ilUgUX6mBvxi9YyApdmQTo5r6AoJ1PwOl4uiHAWUpk+VlKAYQeplYIKkFVzYfVaB/zAWFt4jQUvnV+Yc5ODQFx2eQHbscK1c9ySuWxRvedpX717F74xYFZoCbb6WpPbW1+Jwu22GvtKO3Tm7ozQRVK63e7q9eRkOIiC5HvukTTcrf+MGSKFoFf/21zrD+M01mcTEfZyWO99r5rLORF91VXrGxIi7Kxe/V9GjMJBqLCZjRHWZWRFXqlyqRFw=</t>
  </si>
  <si>
    <t>iQ1Xnev62VSGjIpOpYx4HwnF7Puni43lY9x1v9Ng30ScGRXu7D+bq+ZXhzHnAqd5Ld7bGbyAgmWspUmBOqAiynpOzl78YfY0f9RLXJYjSTspCU7O7EUb90/JrvR6bLcEvfbyDgGixQFZzQ3drFyjiset6QZ+7hG4IesOxvscDmwqbuhSVAgPEIvFMP3sz3QI5dL0ymTj8n2dQIQYSO+cQ0VajLr7X/k1vJkQSgvW8FLA5cGS/Ay2+ZWYeus=</t>
  </si>
  <si>
    <t>xrMs61Pv64TrcFrk9EMy5uSqxm0WvP1Qp3LsgJiM8HmTRAVf6duWdqsm3HJnnet9ubB3Io6mzXiZ4tSPQ60JvdNaLqrySmew7q9599d67rwH8BLqJoYwZ1ZkSozTeDaepOd6N5iX/mffHLZuS3It7uvhHLwsGq8M1ezMoZYLfHllZJ7HyBl0YRDe7n/pJWg1V/tmr/NGYR5yJ84bWGDsuUBZgbA0aYmjMdhzeQX8RIPV+yrpucP9m8ZLlvU=</t>
  </si>
  <si>
    <t>q9uJPX7huNsjUjpi7G9i9OY2Ztc6SZulZOMDeVPX4yEDTRp89OM5FHbmM/NK+IZjveCgkFbNIAe5RWO4j6XU2ul0dPCaJwPRMtqqgVp1cgnyButidB4OlcohhTqhxGgRofQ3oDKpVSBMDQByGUfD6rsVmcuNqIjner3LRJxHMnevAgeCAYPPLwJj2l94cDqnJpSGNHS7xXRbGVjEJyTcxT6ZD7hrcPAk7KwZhjeuqHMhiQKBIGZsWWjPrJI=</t>
  </si>
  <si>
    <t>sMBm8fahnaAXyyb9bULyt53Op2p/gbO+KPbjRIk5BWQWERI/RLLx5VGv3Z5drvchguqC5ETYv6llTTU5MTtaUKbghIfzyew1RRzarIvbtAazJ7ijWtgHhL81ADoHD9bdBwJXrCr26uxpQ+e7rasD9OViP1PAugHaO76qlt6DvGmOaksps2cYKqeCSSSpzFKvwt/yn8AGk4XB1mTKFw1bEY8A1xAojiqt0z11FLFVF6iHKuqNaoJxMXJTzos=</t>
  </si>
  <si>
    <t>JowJHTTzMxIE0tGQd1y1lJBeqYcMC7oCeFSc9oYr0t2QYI7lcgvCUo6yopwi1cXeBDVMAn27H6hrCCVU3WjKanrjoQ35jOhp0IIgKlnwacFcyNGP+8IzWepgX4IB0TNgjbgnj5IQYmudNOagTSAfdT5q3LGTnIwmipL5o1xJVg7VEuzeCWEsZjS6IZp+FEnvJAi4nYEGPDOOW9XcO39c+rg5Ej6jYuHJ0gXACd0S823DW6sO3K64vCzgq6w=</t>
  </si>
  <si>
    <t>PwyYUGN7cmmjX471/R41VMzImnTg7NNDKJWGX/5diXuzHQzKe+13CRIwjTr4n+6v21QzpeA7AOEVqDKYmJrrq2bRZ16lMKCZf+Zf8Fl2E3zqxebkQzh8dPQVyaLns246uLBEcdPbUxIIHNetxKoQhuz32bvlfHdAqDxsRHy33cRHx35QM/tsNkwb0NTrqqUatv7lekmlJH9BGRFdBD7LInUmRZE8YsUV1WjVaJzoATaHLgnZ/2DQ4EEPH8A=</t>
  </si>
  <si>
    <t>6hajNsrDzJNdIe95KUQ/AQxvJ7jO1oEb29r2f57aKhjDgtwmQUi5rFK23CzabeJ0vTLZQz64BSiHf7zFYAtfRnoqn7S4Gaxlj5oqw0FHhxeLP+proVrKmtQSRIGBsxucGt7A3AnydHS5GsTGHy8q+GQADvkZb2tWd5YaVWKR4367cOiIb8oF+BAqpXmvBf+R4GNPQ3H1FDkB1MAP5bgCQzOAUtRaHrbbXAGHfOlf8m1U+5aW08J/ash4JH4=</t>
  </si>
  <si>
    <t>12jGuaxcCkcVIABmly4zNNgYbId/BleFaaPVMWpeJmek7obAn1+1kN4PPAPeQPQv70znM20AKyV8HLtZbrZgfyvmc1fttAmvGJL0IBbHGqbYww9FmKkeswfsfGvjZAVAg6wybTIXwtIe20bEppi9BbMtVep1vAeO0t7dvi6niv8e+EPbeGycS4NfRXlw3QilYGiyzgeMEtc1Dd/l98B/SN3iosmFjKqxVZoUshJjwZ8cG1vCp0L0huAetMA=</t>
  </si>
  <si>
    <t>o/UW6osGO15/ZX/2zO0uELzCKVNGqck5p90M1PEdpm5CjxBnED+R2+jozw/LI3YlzOwDqKNlKSAH4Gy4w3mDxbyNvVroFic7s3LluHEoRWu2XkRWhbKHvYPa1mKdEc1r+JmWlcOGviSppHRqB8Bfa/iNRNlcSi+Ch+/WssUzLluAgI1Mw2JAu84MZJBtJY7isJgGWDn5EXXJyOOeqXwWi7x571ArO6wY3BX/YO4pu2fO6YidK2876ru81U8=</t>
  </si>
  <si>
    <t>xCc+c7D11Ns8hjxY4WaHh4PVLOEVouQESoLdUG5hO7EFao4TYsW+wZ31QgHQQ2ASV+6J/GPeJzPl7XvCaXZkPE3TdQdn4hE8naQ6iUV83r2jMQjGeWuKms4/0ujfmxUoWoTkXHTw6tuu/Q6++nzZyXb0PLEjW0FFJv/ylQG9HbiuWkaj/cBqytLwccBvC8vZt15no5GMXiU4/yMp3F9YZfmz83aoEtx+d4bkMYuINIRmrdzFy+7NCgKG8eQ=</t>
  </si>
  <si>
    <t>mVxf3PGDi0omQNbnaU772Tfnq/0v4d7aDhBKpdrWOEM8W/3DxJT63DvPAI6FS4oewk4dvwmXk6FBJptVkukAeHe0ltHcNsQ7lsljC+Z3WdYdPmLfxoCpj5zJBC8ksjSBueID2EDuCWfMjC7NYKGPr+4Y4joh1fKvJOMv7zDhjZKMtGkSIGWDiZY2pREPLNwuKjsGELy1ge6EAD+lLZejF5ULd28pyn6n8UeZsiQkpEC5g7qTMCSOc0Bm854=</t>
  </si>
  <si>
    <t>8uZJ3XrObMwdshZJ2a6Mq31nNftoqBguWcKluUZqd66dDyhNVfVYOQT+MoPmKwFO/eNR0Q/ZyMY5myqZlhmmUsbF7p64joIRoI5TZbdPP1Rxy35yja1niK77RxS8hXsxwpvawy1IqT1Ikc4Ywjh8tn2GJWRmuevOX3kzfHgxLH8mizPJU5qjY8PyU7GoR9vjzprWwe0LSg2yRUEMZ++0kqlHxqOCRzgB42XSqnhG+RbhHxfk70CJ1mmjLy4=</t>
  </si>
  <si>
    <t>BEjHjV1BU0+TOweoOim9XpRTaUyGq5ylEdLYTYcDx36EpqlB8dKK0D3n6pBU5NJove0zCqB/SLhbzZHKTf76tSt1JWxn/svQUmcbuoxPaWrykwFIFwsvVCMbwdhlZurrIh4R17lNtQCOiBESAXpru2rmIhYqvH+Dn5y2gBbxeCvAdYrzG49kFrU7A4msGQG8x7yt2RwmMfgeq2meDE6I402nj013b+xDADPXP+I2vRX6vbBRUgqHamicpPc=</t>
  </si>
  <si>
    <t>Pm7suqaHwnZgno2IL11gKjPsEvPXTVJYfuuLBRxuEmn8FAHe76sThePOz4Zd36VK5VsVfyRhfl6x08U5JKVoNsRq1denPv7oUGyzm/1p9643DFjP/CN2dTqWs2PsXAGzwB3vNI/cj+higWI0Nb+l0U43Veab5HycxNxad1nPxNgOKcxhUD0HxyhgWVA7wK//clsCR9PCmLz4x+GCcizZnR9P0VUWQnCfBGVEvjfhM+2p30OSAklRy3uYbiE=</t>
  </si>
  <si>
    <t>2Eo6dkOPf0X6+SzTji7IiZe/WRB75PPcULtrPZ6DO0Zvuwa0XnoNULkPqNcCgBMndSJTXbXcWRIqCrr+lVva2t5ZTjRkMynH9ULWF/swoNqJRYUzIPdDBHOGrW1LLolyID2vaVHCrof1UHALh2HMg1gOdk7+KxiWrX2phggE00gorQ75wuXfCYdjaXjOgxMvvdNHSI3p0B/yR7k3hzT5VAkGgiAH8rlm8Y9pi+im3i2MsKNe/XgeV5kWmu0=</t>
  </si>
  <si>
    <t>LRjrOOibRiStWwj8IwOvPsM5QtW6oavU3MZhomHu1N8VDc5XXdwg4+DqIBZSqmhzDrIvUGfQ81vWBGbhHt8OIN64oaeFN4dcqx54AsRezXysQCaH6kh/P1xRcGkTzzDvt2sTqmP5IzfioDYk9e47+NpsYJiT3yMH24jaHw21RuV39KG6VzjxuKp3GoviZkSo0NI5DxHqSrgYQlChX0CVx6qttNQuc1v2v07q+fxOih7xMLvIq2uJMJrlbp8=</t>
  </si>
  <si>
    <t>VZgnhMBTndaR/Rrw5bS2r9ilQ1eNQ8O3nsOgVAo9SjzwJ3VGYhS/NBxD7IQQVXHMI781ce+PxYJ2pUm9/tdfoAHwTG3EDrlIKZTt0zwo4YcFhSumWIv/be5xTC0rqrnv+6ivPuhagQdKXtEaFxsr3JTyM/5d7oXa9rLxXYtNy9p4E3dEsU2vHBnyuPHEwf0UTtACGOkrJ8tCzsEkn9Rpc9rNgwj3rvXfXaHGlfZSPJpZXorC5WrRgrYFIDE=</t>
  </si>
  <si>
    <t>8ydoc/grbl0raTIolRM3UQ1mGX7D1MFMXiahFIcTKdf9cpj6Q4KZkizvxc+odSSCtaLzmP4igoS/qha93/riWE8vF3YQKfQGS99YjQXcB6JLEG68DQRXK+2Iw6qSUZ4cJF4JfmrI/70na2Vfv6o/xMZi5OapmxEKYK6Xwda6FW+Uo8TSlVYN25CCm9uML9x9mrQl76HUU+xjG5ToHjV2XZHQAfypWDECbC3u8mj3c/+IrJHw/8YDSSFqzu0=</t>
  </si>
  <si>
    <t>wGTNSFJEP54ALW0GMfqXh3FBO5s+/aU0AT+Hw1PlT7O1n/c1hYOCzitk2buA559/A1H85sFDU6uFiUZ9uyARfb2INbumfRDCg1u4rLOb089Q842s7JJwLtYoY1xB4wCtR61eu/ZpCivKlD3GpEyJR1mK7zVxCc8wFCaU6UKVIlYQOujyuH31fRPzrMmLpDUpuLFRRn0lVqzg2oRNBTt1+04LIoNvUpMNgBjieGHtvAuv2k/pOezq3diTW3E=</t>
  </si>
  <si>
    <t>Fmq2h/WRfFUAeQ6HNExySUa71aMTfhXCf3WQ9N2+nzqFJE7f5Gj/bJ+PV78Aulq0AUEu8rapHUwaYeh87G5XAYoQRfvkyD1Io72CBLBIYW0qBIdsAk5tXgREDpEiQHmdamjKu/z9xPAU3ekDIFE1joPw2GB5nFA5DbHApgltDq0t7RmisL+FjzA0i85bIH6oajzMDvk+uS2ZQH+nMxqP1m/qjyMM/9+RDKRi3NMJh/0Or+PAxnuCS6DZJXw=</t>
  </si>
  <si>
    <t>B1sKNHgELvFNRQeOhjalxds2au0aCBISima2l76JkJQWA2/MKUr9zud8sliipQCfeL66x9m5w70euAqehDYUD+6L0ge1cN+SbIfupohs7Bbt0WrSlUybYjndqAmR1NnaUn/b4DnbUzcVmhjQD0iu8pGDxsoGHUaLubN8JFbdta/41Ac+vqN1lFxeaxtLtKxdvYKQuzqskUSpVVCbGUHk0iMfs4s7AXbGjZSWg0FYcPHuIXJzBIrAob2iiMM=</t>
  </si>
  <si>
    <t>74YUNlka1uFstkhCKo1gl3Whp48YI2LWlHgisW2cP2iJ9A4Nl7rGVoDWMG1Fws8vWmfa92voILq9J6NZ1zIkEL6Y6usH/thA2F5fU+gqXbhZhQ8BMyLPZoSDqoJCBOOVJzABeRrVLDeTMXg3z1T49xXh6N1aRebYv7fxZ9/lsaw7UcgQ6lwo83vz7g1Mn/qp7sb2SohJQIOHO3EKV/jGcyHP/S1ukPPscszX91Jr7nOYbWNJtC/wv9MgfGY=</t>
  </si>
  <si>
    <t>5weGwbg6CgSUJE4yLW1XqsQczh3/AG7AcCjbmLeJIgBw6pHh/IxXL45B2c44IBCEA9CuBPcwQdlzwGXme1DWzYYbWI/kcpXYTjI42U13SuTApa9Xgl3sA4ceeFXUqHtzmoP85Alh1QHiRm1WdXS/TvZXR5XcrXKHjiP/2l8+bBv8LV+t/Te34GqL/8tv2DPdLqk83QnjM7BTHw4Jfud/YDcLGWo/zesZInEnnpG8OHmvRaRqqXKNfDhfP8s=</t>
  </si>
  <si>
    <t>sH0VkcjV0cfGYmvjh8RZkBdKVpylB9bCMDAQR55J53XYK3DQXyPAesUl3yXRvfMCzCy7gz90ADwKtKvShsubathEw/RLXWdGTucizXTRO14yJwrfqLj6AJSCFGxeNvvnWn7Ub1ifFVcwPgpC5LeMhtSid015vK6z8b0m86vvvdMDsS7EArBDwgvgQ5yLoB90oEyGYlFGJ2XfmJWnVlhs4L4lcYXupFX6Sq6vSE4C6q1g7a4B3rkTZjki/j4=</t>
  </si>
  <si>
    <t>iuN1dynP+uI9U0Y8V5ofqZpnz15uVmzw2djctUWLGb4ONeYeuiKexcU3FRbEk74gUf5uW1TS6a1Sr40ao2A6DBo+hYDijdvyP1iitQt3xNGHOH+Zz9JtQmrg8JYgFRdWhViGKhZEeKUlstQZlNs5Asef1i8m5wz9DAQDh7bJbz+IvsmnnfMoYGYLx0X8lxvlvhdJA6vCnc+PMluAydQ3r+xdxwmdLgUdRUouxLDL7kElANiwvqHcPsklv9E=</t>
  </si>
  <si>
    <t>P1aBsi0dfL+/ye3WKrF0z7i/XUDTVLV4SvvaqqihO91gEhJlBmT/qF/FB0ngCcF//EWcsluExc0lG4zTYPB6jCdM76b4UuVAEjKdH4PKnkqFG/ePEH4goJGgokry1rm7GfWuhZtuGqhGto4/6N+n2gX903t4zcBn6v4O9XQ1nbQRL7yhiXByr5X0mL5PSBKA8x6ke64+dZbeEn4VlDzcFn3JR9JIqLn6cT5WuP0Chr0DcL/c8tnwv/NF6+4=</t>
  </si>
  <si>
    <t>Il2+UZLlaGpcj8goLJizEPeYAeERkDMn4/j/0sIVFo+MMmgin8uo7/VUwMh0H8a29NVRyvMqcjjq4Wj/h4T4w1GUEMG/5LoDdVB5UlwRHmum6fjNFsZW4/fPcNfKJv1EhIiGJ6R4g/XEVB44Is9saReTFLi0wPCte/b3FtxoJE2PLbxwpsJp2G+xu+bsyWaJXddS3JzZZon4jiNaDYmFtKxmDn1CZsxYzCIujr+q9EJN7b2Efx4gHALquqs=</t>
  </si>
  <si>
    <t>MBBBIx05dAM9MRp66Ex/3clNxhkuth8t+1mU9/3oeTVRXSIiQReTIp4+0lplFEUtEOZ3Y6KKMyPCEAEC2XlR3fhJH0sz+EVt3/KcHt3645LB+MQSbM0XzJz3w7AKt8P+/jtfdKX2T3ECIOYD2wZn4RWnz11OrDZO4Z2kOqT3/a3gMGRcbUtECDtR2j24m/1vN29aJTvaBvkbInQaf+vhaknR3MDH8CkLdhIAP/ExsDIR6M+Xwemwolm88r4=</t>
  </si>
  <si>
    <t>1cMeFqgs27CdvmWvm4HFri/pp0mmMYYyDdKrS+85vKEDW11qTUu5dHuedmm6APrY1qFDrU5pZbO7QERf14uT1DW1YgsJzS5FjWdcUnIMuGXlTq03GoFSd0f9tWU1+Du3IMHWvRZ65K9THpUfI1osfdFIqYBHjBcqGQ+F8/7i+lPAcYFSxcmdPjb88252XbSLegEkXQ6FuOgOjv4bbrdUgMv/4RXkSP65h3rqGixBH5FbX5MRiRXcc0WxzMM=</t>
  </si>
  <si>
    <t>U0tRHgM2zCSZOE7AheIZFFf2mOE85ek6uRYiq3jVyaOfG0bocRFHT29fLDuz0ETUE3w4yLdOYYGjW8Fp0u8WsISoQi1hCaQ80XwQSTz4nJe4GJ7m2cCnNKEbGXp6UMsHWFsfvamvlKkVDJwuxrVLCecMc1uVnaLKu4hLj1hurP2eYUMD1kyMaDkv0mZR8G/P9ekdIgtvullzAs9JGwz3/Cqqy+NxMENqMnFy4CxySVaD2+RZd+i8lMeonR0=</t>
  </si>
  <si>
    <t>scZgxX8bPv87ds/xA0DcmIk+KdBykJremQGQCgU7vJ4NT6mscYA1SO+Y4o7hTQ2VlCulUVxgVCNumyyINkoRGf4bzY01lxzNOZyruysLheu1R24kG5opcDEBx8IkEZa3KrKqeMOEeSbPe0VDIK4RbRw3nLu8wHOYhI1fAOi7HUkH5+yrMptRPIWcure6TLIhCCa0WSXarDj6XMAOzWBNBWMxPsuzcozkx38kZfYJ/53lVIgkaJjNBeVDnjc=</t>
  </si>
  <si>
    <t>jEGFubBHdn1iFB3QMXLLJ5LU8hyphBogzT8103AVKv2jcvHXaEseYmdKjmE4+UIRj3jZhQoFjYUF0NVaeRWTOV5GZdK3WoWm/DApFcat7cLP7VF1S9WKE5JWnPV3CqdPlRl8G0AAEJMN93gvdez/0NNDrt/Xmc8g6VkwvEeXdP71KaJ8yyDv9UYru57hbwDnkiqx3K88i8j2J+Iv1QoqniGNslx3xbeZMBIfni0VYHxI7m9a2BQ1Tz+RWaM=</t>
  </si>
  <si>
    <t>1SUMVDovTzinRHdvS981xlTAEmlyDvWpcuJixfDqYMTEtJkD3SIdSyOf2P8PPtZaQYJXq7trnr/8/5ON/FpfC9UysCzyvbvfozIgShivm18/tfUbHGgKKkAzmX28ukl6W7D/eX7YPGZvC5Z+mt7Jvg3/R0V35eJE/a0qy/hyomEv1iw18fpyV2+tncgzbJuXAIrV402vYFqs5n0LTXMLzulhkqfRc9efZp0RIt45gnrpqAKmjZ0r4r1V5ys=</t>
  </si>
  <si>
    <t>LONHtXtxT2VdYekTZd5qP8sC//7PxoYLmlS0FXqC2Gdh+1xDF7Rp8R7Xk8lkJyjGyZ6XA5hipf2CG8xGSSnaHp4BYS6JMwrJlbbau4iwcG1alIlYjm9lkEib0n642m6oTGlgh7wuN9lU34FVffpHOsVXa7BwChpn9dF/84yacXtLmVDPPbgzjiwP/O1IHYZYJOxHFM3WNtZnOurZcta7zaO3KOs/WBuqvPtfZj8RVYxtQp7He50OfbDDs5o=</t>
  </si>
  <si>
    <t>3pcky3ZXDmJD58Tp++jlxFrb+nahXYU+8lENugc843SJoz+6U+rGTn/9VwzK2wWXbDaZrvwrM2Kcj+JS+/Ttkn/4o/QOACniICiukd5keIfqwd0tw78m2oA6fLnzCjPM19vcdyWCfXQ7G50x/+B5WpjIx2NgDAUAjBDNim+J0wIzzpI2jFsu1+Ro+qnOMq3u+XB9l9b0lcyq0hrbsyHVt/SCAz00f/m8p815JXxd7t36RXK/pUhS9OF5MnU=</t>
  </si>
  <si>
    <t>7bv3oZ/gN1tEiqW8YdsCVWozqRxjxsfU1H3hmCphL3QpySeChVukG+39w1GAAs+cNVl6x+wozzZmdzdmKxaL84TQdIMA8U8puARaQUIvEkBVbJYnu9Uk5J82bQFrd3awT+1WCV9Nxq7MNIyDZy2kNKPpc7KngplDEfXHzehOYgb4554uciXiHTnK89PS2Zo8tWJ6nmXs6xhMvDwcpwANlE1215rHKQqgqddyOnu4qI7HySl+/IE4L8dX14E=</t>
  </si>
  <si>
    <t>Y8YHINdSBiQPWhExo9cNVFzRHFr8FCIawglYodzoCbVuEhTAOJeKOMsP5Q5cc61FLdFk7lW6fz6L2PKOBdTstVVQnRz9Skxl82rBgMNfkpwAD0k9avas5ZMaO4csdR+o73sYR3kEvTlaUrlxYNRwimiayu1hPEOOJOVMBZBGWzunrstis0+2HUgLnjrt4DrKt4Wy0+ZkYSTSShGwt2qODgtx9SGFn0xjzuFDVeBvVYmmYgZPyO0Hhq9ByCs=</t>
  </si>
  <si>
    <t>67X9MTrim9B7Gf4u1hr3zc9F6JGnLofAaOOhvL2Ifp4SERGIfdTPixCwovMp/MMP/u8obTqI462fj+caXqKVqK7YBLvQwgkkz5+fQgDV2PxsnnNqzDNobBR1zq+YTSlm4ldlRX5jK9yOlVo+Wllm3cxHzAYJ61frNj7F/a8ljSEKDGjkBUd/+IqrPmVS7SoIlygvoTwvFopw/rRiCtL6FReyfHsLQDsH9F6QRaIt8aJOI5Vv3n6CZrm9hV8=</t>
  </si>
  <si>
    <t>1PQsvNnUCOp/pCkenoLYRaslHrhRE1nPEqsTpggcUKPm1MN1X320AZIZNjkix3Ljqo6hAq74LMD57OLwV5KJHrizTovZvyoeF3Rlto2dkR01ERJb8vuRbL5J2RYflHWgW1QXBHB4mntZjIdtJAgazQlv+4vhXEkUhOqNWyIm7cL0d8RuSNAXRft5VKy45TnzaMkmyYiAvD/FJ9/pDxrJovnG2I2EhX3fDhrhGgzDSUv4rs0Humr6vNPeQhc=</t>
  </si>
  <si>
    <t>5/NVLhvobc+trZCJvbMXQZsyAJPl/HqZ+rheTwbUfNwVWZKixObEwJO6JKYESD+DFCshJISJi7JkfbdklKEOgpIRkQIb3YvpsU7okeykav4hRB1zAfRFxx9Qh+3IZabHV+HE2JSCQkwlbv7tBMIcLbwTw0iDaVA4ZNIpe3fTt01vX2V49udr7XaQxN0yO7lJaW4vdNbsHo+ixLbA2KPlo+DlJGmOOxFPG69nQOZoYxfbVPC3kxeJXqjtFYM=</t>
  </si>
  <si>
    <t>59++6eohUnvhY7cIBJvGMBaBJcVFg9vsrhUEZHa30DuZuarSoGxccbH0SwmtaDCmZvMwh09kbzIy0RthoECET+OudXqiWhErjZe6JTVGf/LbthX5K+3FBrKLlr2yFW8U0AUJqmbvdiAI6M7xekRkOF3qszmrm2MFYwIPYb/xHILc+bbBV0nPp4yvsCG4My9067pUavbDC7yckR9iZElaKG22I3A9oBDReMmstbJyGJKTXRZt+YyrKED/ckg=</t>
  </si>
  <si>
    <t>V8B35HsbsVzjmbO3M+9lzL7h+TRC/cGjUUbyu8wIyZXGFBPYs8krAlSMcaqO5yMEsySiD9k2cOpQ/QHBOy8dwARTiViBmd9IClQtNuChTJbXZOR5XKQD8jhB/4eB43AZw7+jcp1V2EBiQcAeuiyTeD9nopZ/Yq+978NfjAFwRYrdNQ0AW/KA4f+iwoGEi5F6HzsKFyi2jMPRB8PLdGhwu2GK0VrRyMJGtxsGQln5GBAvnQkNkYWmF8+NHMI=</t>
  </si>
  <si>
    <t>odNCEJY6482DN5WtbsJVzHwYolT4iLeScyX9oMyffJpenKmEZR5ARYE15UI4D0GcbEqWkkOKu9fxzMNtr30MPAgop2akBK5pilgjXuZK0UQ5ujh2l/Vf+6ceVpaG0Fj34I/Z4CN6mrsW+jc6x0QLXf1kCJTM1GPMnznAhVnDzVUuEVlctFTB6XF7gF0FDIkk85XJ7UZJy/amW97gqX+7ro8OTYmOK+NDvGoC2rQLLrJRw/lJ91fCQMDo8Ek=</t>
  </si>
  <si>
    <t>tVc+is1+5VrSFNS7yzdrDmiocK1J6dDI2GS3NVWxS5VO3viE4t756+xVUrvfz0rB+tw4dwBPPj+p9FithnI+tJfMD80uuZOF5Dei9hqVtaWmI+noh7bDsYfuCJEAzj+x1bWz9V5/uhuXyMWX+pW4vL4J3oKrf/zpMglS6DP9u1NOP2xhr3rSoTWWO57/THt0MsSt63qYQlCTQFPh4D8VSuXr5f3ZYx71PmF11erxLcosmYeBprIDiZlLUHk=</t>
  </si>
  <si>
    <t>HHiUMCWYYWLjC17ZuANWxYZ+UNyagT4TxriHsREQ6ptwSvANPjnTBcGiP9Y0/w73Tsqsa9lI/rSJiI8lLEW06NTLT7J1tUg6/R0iRV0Sq8ECrWfzcGpVlIkjIaaPgpZC9Xt5lwjAJfS1UphT1Za2/KPxGjS2ZpJLlxKsEWza3VSHqbtUY4nz91GORXl80r2Cs1RUMod3PvwDHLxo1O/7XxfTlWWAbWu9SxnVIm/K51nGGhmSA6s15WQDAHo=</t>
  </si>
  <si>
    <t>+56WrMMDNT/XcMZ1MFRaZoyOz1CxzB+8A1AevsDbgCdicNlKQpYNM2JVVoUy443b0svMRNLytcUuhZzrTVT8E25P7cljesH1FZzLEmIkAKqT9CGLA4LlTANPzO1HIkrjn+qaK6FdPvKbgS6SXrdOPBH+3RD8QbZu51ngRdAvCq931nrFHoqoWhtDDeRK7vnrlT9Bh3A7GZuFF7cmMEhCOjhA7XOnE0ZNA/GSaXYj7cnHXbbuUVxzFexFcIM=</t>
  </si>
  <si>
    <t>teh6LkC5RULlQ7fw/G5+Xbhzl+l0ijWUm3adOCIGggy6tV90jQxI0HIvaqEzodFWTcAdP9lIri1QBTvyOrYJ0zgpLEA+5A9LTQLNSmEb9EPBHxFUGuwU9unkwSjboRVDVQoatvIQP5t9UGW0tA11r5+7I2n42qsrJCxa5ly33an8aHD7B4o6s7LSebL4aErPBFtVfCVE5R4udLCcN3iCkkFrSRpoQzbAyk4m4T80pmB7s3bbi6CwOj5Y4rc=</t>
  </si>
  <si>
    <t>W4oKSb1lnnmP/NajfepeA+nHMIsvIK/vC6KX2G3TOkUqCyvzbTjCYrHTv3DIGqc435O0aNkq4nje5tMJ5k32gQt9aY1U9LDm68QgQUnuZPVQ0OrUmrwUhGki8sksLflQmh2yb1LkoWIoIMcK+rcvVYMW5PZRpzHFiEhsnlaOTd4m2liXisMi1IPLj92g9FQqZlHwC02YiX48gw/KVbrT2QqevPN/WKFihzcxSn37yYIkQM3UP/yVWwfo7As=</t>
  </si>
  <si>
    <t>Nk/cvr06h8AdeXXhEtF6TgFrXAfa5W/OTwCnxfeQEuZQr2wN8yllePR2DQvd8Ryac2JLt7BwRM1KUyFKfQnLtpU//PTg5zv8g953heMKGByoy/yG+Z5O37SVqQ7IBXVb1baV5lhSoJXae3CcWauWuXC0pGwOGPFJnCWh09jdUpL0HWRf0wTKCJPm9P5d+kssaaFSh9Zg8fAV+DbsEHHO5mZhZucjgdyrQ/qpp+F3y/9ppO9TPETfi0H3nEw=</t>
  </si>
  <si>
    <t>EmQdQETrjLt9EEOoM/xu1C9OjnLmjVnIxU4xMJb/UtJqv8KeXRF/3Gu5k7o3a8MCqKGubTDx8Efar7FSeRjv2uuTECWz4nxM1PPFLO9zs21hQBVwhedvxv6eOgEN5+z27Jbfv0zCSyodGmbmpD7Ktg3agzlwgpWGLaHCjBz3tspAQoxZcnIoFnxy5BytUwtlFtnBZ4sVPSZthmeqy5zf8iKArauwj+Fd22MX6mfM7woQRaORx1Abh4oCGp4=</t>
  </si>
  <si>
    <t>e0BbXe5+gLUCT/DEi1h9+gCEXz2daMOe3h+GoKKu6HGtaXpscBC09FjZKqDUp3koPORWDaGxNTTKLdonYoWwhGbWF8t9JEJqQccnCHH7DtyUGG0p2zIqsTuiSDsl3ki/9W2XaMm790sPZFxj4+HFtXB2pDEUT7mDDGqeU/zbVZNPA96gnUDvaDElp6rBjE6wQK5bbGrKtJyK5hDTJBDxVElPLzspRwkpYvUhgABtYVFpX6XOTGfrvw12AGw=</t>
  </si>
  <si>
    <t>I6hqih2+zho2cfqJTMnNHa8PrMNiBhCHjxQnj+e1z51WjhAj7GjpBfe3ztAlmD1yH0nrlgOAdUwz5YnwskHWSRlU2G3SgpKk5LVwFFFx/GRyIOsPzLeQcbUwga1ChTUnoslb/0n7JYG+S2se6ECWG8sGMDiag6Pq0MrkclVg51yHGwvin6M8dgAwwy9YiGZivvoA2K+A4mAYrvCfquxf7PMKDssG+f91vcadXH2cBo0MNnE6CJbJBrVpODw=</t>
  </si>
  <si>
    <t>g5Un9oZLEU51k5GtYi9S7qLfG/rUf/PfdGZC/5BpvZ4faGLn+vFzjNfZgp4RDkHMs+BcYY73PNIX3uEwznusHYGdUkJEJ3LDorh4cM4V55xJBTYkUoJKfD5GqBkUs4VvmXYDlk7zIQKc+6nXwYJVSYTiTGTXEqBB6+8gxyvlZPY6bT6++FjVDDLgYH9bwAXS7jRYwAlQ+RyN3tEIr7mRrA+Lp/dO8lOZz3ha+7+T27nwkWrJIvRj8vknD64=</t>
  </si>
  <si>
    <t>bCiee0KSsAfYFUfzRdfax9R5eqNg8qLYLFoE5ryvwoBM+/rgZg5q7sGwFVRnRRiXWeeRQyoHrFOjZhqLIQih8g4JdTvNQ/0i4Ecv2Pu2vrfbvG9BElxm1wRT8L5L+jYmysNDMlcXEiP+7hpw1ZUxGz2eLCWeua7l2u7fG8PAtG2VfKscI077wHnKyx5wztMsfkaE7P/EOdyfxxchFIigBHJkwsA5Xmby/oRHQgHXSzSu8TDWsva0DPlDBGc=</t>
  </si>
  <si>
    <t>PFawGaabmsKCE4NDwJki67Gso+67qGmeq2+A4goOLjNVxFKc7RE379RCb6FeqZBwqBAe0fXiPE7Rjt+OOEUnSEG4iKLiH3pAzggvTH9PlZCTsWRIPWX/f8u2XumgkUD/L67y8de8uJRAfQKDOywDOAjZJQUJbJtSUo60/fJUQUflCQoaSNwH+8nbRC442a71cbcjNuib0azBzWyEHI6Frk7oHrre3C53xWVkdFwl5iU9Fjgwoqg15XU+qzA=</t>
  </si>
  <si>
    <t>iB+Cntp7NFYch55nAQdtzvS1S7AgRfn+P5KCEIeVs8E8gsVs5VGxm2HytzxiZZwNg0h9QIUEZnKEOQfSP9qi5l7Nklu/Nx5Bwp6iISbSIdl1CtKLvQRHTNJt8HWBM16A6wQaSMDWMBSI8EI5dsE2+ZfQUpVgBGYPzSq9Fnt5ZH/x21HYRQBhknxCi3zwPN7xlWDSZz1JPCM6M92zr+kXedY4ch6EzGYfFtJlNa1cyQ4peRzEDgu3Ao3+Bis=</t>
  </si>
  <si>
    <t>VdyNQThie9QZP8Uckr7oQt6Y86v4tNV+IJdGmuNnzHSdFnCVnVB2YTeZzq7Zaehf6psOARRHCGltvtfaTDoy/q/I48LQObFLtr3iK84QnNoFuv5GeJayAZ2e/B8Nevj90TrEphn0ywYm7b4nu3z6KwjMRhZ4N89j6aoUqM8bCgeMiVTZYFQuw8w4Zw+GgClMzqSVWUivx/EsYXvyRjf8nf6kwP0OtAX6Gba79Aq8Zd00i4R167okmMzOmKI=</t>
  </si>
  <si>
    <t>yXSAmVgzzsYsF/WlXt1jTtleUX1K4DDYVgvLvqDWwyz7t8IFPnFKME4c/AT5V0PtbFcnbugdMFx/jzh/GaKX+iZXEPrI4Bwz24fkbrmdFA4Z1+oUVlaO6HCJc5b77mQMtZB1o3lFOiQOBvqr1ecglXNp+A4DLa0nBmHjV699bR0BTnKwbT1GzSfeyRCmVejuFgU92qE0HDN3+078EiZCWRlcJ4t1X3Extk97tk7Md6g8bzb8DXMijnQ/7wU=</t>
  </si>
  <si>
    <t>pY7GPZoWE26wNc1BjhKLS4z9s4YybIwwjowIb7bdWWxpZLuGqDFcNmPKeCSbMTkCgeFFg8q29ZyQzAwAIyIeMfvma0U+onI3YFWxFq894aW+ScLCScuQxEUsR659C1xOsFVhXnU2jxpfJyqPTqU7cfyrw2lJz6zTjh1T1r2HBYqsaAPCt6Z8Q3FyPpKe0dMZLiTtskBEXzUCQty5Fu8LMxPQElrMt5D3HX+8Isx3oGzCxCu1kkuvFfaOWGc=</t>
  </si>
  <si>
    <t>0OggstizR0q4cjOCTALh2OwD+eUCcoCez3YaofytAiKIFPr+eOoIMC/MR7wXbmWKdQt2gx0jOZafYP/elLf9ke7k+B59AZff+vZAjAwmFkDS7wejdX2mIb6Qcf9s0yChXJ2RG2t93iNt9XnP8DLQq9bbz4/xaOafH5oXlGsm0SC1dG5tz0KvF7pdzmeD4/PkfnhCBYyVfTj75PoCmfwcELGm0ZjtPb/IcZ4j6HC5FaduEqNUNnqi+MJqgK8=</t>
  </si>
  <si>
    <t>yx002pTCeo/biSTDueDE1rC1bh5zl5xnuJ06gYCvjibwYx7ifGgISNpC54ocKVba4V7fiWqeB2kRil0eeaAALcHzBQhpDFd9ErKlbrYOG9DV0iDq86DOxa3ptHGx9xzmIBd9a4AAgvZqrC9R2fdnyFzP4cRRgHbbgcYUY1uyN4Up2+hh6ehfv/AZogGmOazdv0A/TfTC2hobiBcE7Qj4aaDt4EnOmLgQ9N57DvEo8D6WQA9zRaYw0DHBRgo=</t>
  </si>
  <si>
    <t>2LCNQI8MMpj9j1cLGdrpQ1c6+g9Sd73z+6tCbeCklw/Ecwq2/zZ122/dRedro7NI465QBgp95ld/umUgbXPsk/lfJzRPYlmn32gBzRGmtLtgZl54dZK/bard0ogRXVKY6XTgLE2zvwc0wcIT0atcaTBqF92r9UJROslIjbLNorm2gHouILMtE7nU6F2J4nwmYWEQPNQGtfcfg9+aBNVhsHPXpY0xxP//HGKWy3tYKauFgmA7P9/9sZeRd24=</t>
  </si>
  <si>
    <t>OLDRI3RLjIZrNT4RclmAMbsWOd7/pZylxZHGXXNipCyATr+v/f/3xjSCcbeat59MPFN8FfdJ7CdF7HTgGtfbsUJ07I5bNa2iC5iACAXAr9Bd6+ckWe/J3A1Ayadyj/0rufyJF9qviWbZUOx8WggBFtgunPH7sXJfZEm8+LJhSPWAbcjTSEnpcJHUNuIYf7v18lYzddS/km3vENbq47FuyW0hqZNpvPVpWWl04pM/xFlG77hXR1O5cE0UID0=</t>
  </si>
  <si>
    <t>1jJY7QZorAJLdR7PfK/+BEWA2KaXx3p5rMjFJTvXNyF0whG5tWQQDFKHThWHRVuBX8I7XYrgNHb+l/5jpSuxZNRyHj3AAaETzrXWnUXFQQTzjrQHvChW7g9dnwNKG/oToeM9wQZUv3o6MngQhLInjRxD4aJ9HzYoNgBmlbKOQ5jhgtS22s0YHt2da3B1oaoiPKQd5rkjiAfov9jDn8lYjtxR/Diue6jespe9fNTbpC7P+W0KxB6e4ryYCu0=</t>
  </si>
  <si>
    <t>oWu2TVSbiDRSQ55vynxg7dKi4xgAQbe/PtIgTF/Cst1rVPyMTIhbNfIZio17etTHyIFyYPBgsmOVl1wPP05w2lz4TmeopvRQ2h+/9/LXd5XJpRTSFkOa9inic9BgsbWlhBFYI3yMCUDOV0V8ns5gPtMWdy5OE+S730U6lhoFMFGxmYlhf2YMwj3SspunI4Da+J0esxU7YWXYw1rIgrrcKDLdKgrHW0Jgq8gdwba8HLPIIntF451RY+/P1Cg=</t>
  </si>
  <si>
    <t>BY70ZbVMja2bBQDe+rtlx46kMq2fAnZ1b13laYazAyBj/lP3kdRD3Y5P4uj8rxLF26HO+0ocIH1vnie3WO+ZYh0922H9nn6zORIN5udjiZtUhQowzBt1QN3VMf61Be3NxB3ozR1DN5kBKriS8NaXxnp2Dek7BvBdQjO8yusBV3dFMfmtlUnHRxFtwT5niUaSuw7PVuXWJtOxRyUi3HH/DesqdslrsTDEefzIdaKd2Nrfp3lfBqyiHCxidj0=</t>
  </si>
  <si>
    <t>YM+QMs6JwUt6ip4r512c0ko6NaOwjwPBj9DkdpS7SOtG6/CnkWzMDWMborVwpzxPPJr2UtyT+4DKoyBdXN9Wy2qi0COtwQk//XiM9GnzrVCYvlqJcCUtnCiOuQPfcwg+BdOYVBgQWxRQ49i6Xb7HrLWii2tCLLWPRgmGq/cMPCIVbXbBg23EUpX1oyzjsUH/9DsOwmW5TT59RDVMvbFzG/uEIOYRwOgYiLb3nxz5thJRrXyQ+XvII8k2HPM=</t>
  </si>
  <si>
    <t>YMYg02fix7U0Vc1biWMLsDirnHE+yP2dzqeFy4FN6xBXC2zS3ahB8/Z5Hk/Cn6hCzOpvigIGcx1rTk8cFUjh8Eoviv/K8bSC3bFSQWE+ywy0XOV6H3jh8Y7CAK5VabXLLVuEjyhIA9Cy5E/LuHNO838UR/RYWwraWFsS+enKQ11rutOdV/71i++3DieP1hAbM/iJCigRgqY/Xqf6Dk6mJRkS9mxZQ4rErff0uxcn/nGEPHQqalaVVbLZQeo=</t>
  </si>
  <si>
    <t>CJVwjxeWRiKqNKFyNz/7/Bnvv7MlN7hu+5DQqWXBKt+ZLVJenv4YayaFAXsPX5GONpN2M7hTbFh/Eh5y/tH7u57xgOBr5bAbGtCqdAk5fOny9mlyuoXOPdoNSYDVENPHu9IMbuMGbtj6L1rKUgazZlyTC47yW9mBqwlq8Q71J1q2VzW9MhDyNaol5oOZTsyZcuKYUU2n49mVzj0fAiNo53VW2f8z9/T9i52Netn4ZH6y4llVl6Y7fZ3kfmg=</t>
  </si>
  <si>
    <t>JTaYhNx61BLQO7Q7BL5VJ0IbIgu+ugGn6FxsgGbALV7fn77NsDCVCSJLvVWibiUEeS4czIQl+xW8IArVmxo/NWVWgjCUdsg2XkPnBw8rr1xEf91fD1BHnquymGngtl/IdtZDNCCYo6qA6yrKv2KNIb9e8qKsZAVjCANC88D1xvrY9+nfzBII3cDdHCP+K78yTjAdV5ZDyj2OR1WcialZ/16vOfMdGJWDOyR34fDcHmH5/Gpwy1p197XTTkk=</t>
  </si>
  <si>
    <t>jCgBDnav3j726u9vGGCu1zhjxXNDkINZkmbijl+D5q1Y0EeBwFedAjy4Wy3LtzZe1OMiqzeZVkDUMQJnxPEiJPo9QxJSiEJdF7tftuW4X3L29683Iq5h92ANAZWjLQN+XGqIBr2CZw/qOtPa1dzh+UmHc/R2U1Uz2vD8pRZ4l5y2T16eOpyL5B7dMGBxGA9x1TK+09sYLKkzsId9nFImnk9RYDvTuMOXR6yKHz6feDIOiZoWhFKnJcXYqOA=</t>
  </si>
  <si>
    <t>qnASZLaGSg/D3dCRyGA7WWBnMd1q7gg5vj3h2dPJbohNoUhEmUW53FYqeaRFoPE5OLdC9aALjB8dIOughVjZPFXLL8fGyFSXEHsoxvw5BOmx8FaDFyGYRRA9jtjuQjnsiRw+Qz8G79iZQQQ6KDvdhKGvC9M+m4ywi5rPYV83vj0Vg3LEJDOFrpnbKsDc2yzGCMPNbZTDoHoasjUhcrQGfnaOXPr7KAST1cggES7uxclqXQae2qALaYHCjRU=</t>
  </si>
  <si>
    <t>yOk7rUyMKPBk00jbPk9T03J4K4p+p2TvKRHG61KHB1QF9axeD4cZuOgQ6AvdiwEJXk/AdwduZRWhhOPXAkLeq3WvwvlliJOCQfPZi54CXhQuVRRdK1ODaWv7pakEQDKdf58T4UTxE6FeRUqAouDbmV5HQKmjKLC66z9Z8SCXPjBsMPy74w8rIdXrxZ5NZhPEf9FknDmhVXQkYdAuM4VxNdLcby+N5GyQ5YdFFgXBjM0PcLq4pVclR+Myb44=</t>
  </si>
  <si>
    <t>0oo2uuLhSXiHY2Vz4HQKz05zCQs+wlebOKXKGKN3agjp4820rWLm0hCfHwjp7OS8pRWtM8wkRE3piYLKFvlvshK3wlRxURgRSQtXwbcF3csbE+X1ESw0rZCph8v3kx2J4/HHc25PUNxlMABZE6FC+bQGsVBv5B+zv7tNHSokmB9/HJHEdTXng6AiZWlhpG35dJsdG9brtZwlshOQk321m88Ni459D8xoWgX2+hfxQyfHgcTSFSQmwILvmb0=</t>
  </si>
  <si>
    <t>cymF3Bz6c+kslBcJ1rCX899YCooJJ7sCasingVTQwllljEDEQRs8R4MRdjTKFZl9AwqKh3GJfiZAYHAIjhGlAYKC8yIBpuqZ1xonyAgYEDSFo2zrvxPT3xaFzPGi3iH9l5Of9xR1HgZKTJJpUYOl3fuLxwDC1tihNYFUUnsDnLapXsKkAzMJ7BN11ikmMdxRVM9fR1LWLovh5aT4+fEZmOI/k2JVmJ0aTsdb0wW+cGLxps8k/mQCsZ+l/9Q=</t>
  </si>
  <si>
    <t>XCDC9SCHgUCM3X25rMea/vm2xYtSDy4twi/AF2X+8Ce4DQB+ZoIbybKdAX635n8Nz6DlNmv3rB37hZaGYkhcuA5MNKt060Mowm78S9vCgNXE+XfCa5geRaPlL0Wxu6nfA+DWO4Dw12g5+ia0n8049XFIoJ/s+t3OSqVbokv37dzPustSXnsYJ5vE7rPlzW1AHjsntIRXgD5Df+NwudCHjr9zznb+6rlDM1nuz2538g5ivzDWWYPyOcTK/fQ=</t>
  </si>
  <si>
    <t>CjfYT0cJ0Yqofx4pXPKp5RTtbyhv6xPPum4NAZ/0/4G/C9erdeBKkSDK1tEHfnG85tnsoMHqKFtzBzuyVhZAvhdqGeWWujZ+Um5P60YO1r+V4v082wQBLgOaRDInCB+EUb5VJSMp03GCfWlOOyQdIgmqdKTKlZ2eIfK4+0OJ4uAFwMzzuFPEci4zu2MEKPwAlubM2hAGtmZJLnRYg7Qeacvn7xykMCcxwaMFnjRfyUXm6InmlLzBKyhhBAc=</t>
  </si>
  <si>
    <t>cm+4aIpm2DgplDgXtcrcL4Y9DwVr1q/f9jyy/GfoMW+2ELZ/xYDY65PfUjtyTSZoxxvkkxluR+dztuO240WxDWWjkYInh9BafB1aZhvqECzJOQSsmRx1O4pun6qK4cCwmyu/nQlBBqbItB12NvXEdBWEUKngwUqoiXSJUhVCmnorgttxJxU6FkbEZ9rESFxwJwWrO02IRUqOKg4zRajV7ZYz/AcW0JXd29daJXoYdDbUWrvNEEu5Dy+fjwM=</t>
  </si>
  <si>
    <t>0DnKHqaO3AcqybWm8I9NOgZdvmT2mduoau5459MfRV0qi8YcYoT1HSmo8hOR8Mslxr5JmhG8Bb06dsOaceavUu1iIGDBGw7i7ltZOfcCx5RqL9tV70SJZx1oAuqWdhI42ovITEhRAd9E56rvLuvWTuJ45zzOXFUNQKk28nr1DrWc0KeFs3UPIOqKsalxgzeYiA0wNmdTgMJ6aEJ7Ddp+5ebKo3sNsTE6IvIu9o+eP6IYSV/YRPj0FVpyMA4=</t>
  </si>
  <si>
    <t>y23t2eTqUcGHMpnVhy+UtWFQ+KpocFS+H3BYVY/vT/G5XGP6qm3yKpsDOYLW2gwVbwgXFXvaiYJmuPGv010aOvhlSNBaG44pYcycCWfeZDg77Xh2dXh9XcKf7x+KbKXJRP4E6SqCwpwUHN5LS9/UmxWmfikMOakdezv8hPeDAEa02zKbHQQYYBb0/4J+uwElGPrOg3NkcKBPfdn3sW95JsmEN9AAccz4O8hjszg1rk7lI+Cxru7pygUlpds=</t>
  </si>
  <si>
    <t>rfyv9kkiqJHQP3BulU2jcuy+WizPCMHL09RuEOu/F5NTWY3zfAjBItaG8RRHfLJxoSbP7fjkUepesowvxjTA+nX5LYVCyRS9xtUnf8SY8+6nm/W6Eoj3e/cJmspil8BJSXZWW1so3LDVwxYHT15mbydg1qcAUfhacYbnzy1KWdNeEZWzdwvTDfioC+6X2b/Cs3aNzEV4pD1UoUfYKFKhTynm/u+dCYZTn39VEua7H5yhP8ARfSMIWozONk0=</t>
  </si>
  <si>
    <t>BjE6NLn1Cz5R0Ko6nPhAGmQ6AQptStbP8ogXISwI3qb9/vgHMmpkV6Kv3RxOmTmtsIj+3jovPTd7lGZAdr6nIiG0ocjF6xWpmUYx5iEialCxw5mhgGg5I8VzZMnZinUiYZvUdjTN4bLGYfw1lSlm0CIHdLwXCCX/yUVFv7CMCBWkzwewlSC2Q63CN01WdpnkDTCHfiZdMP07ZbyDFp7vqzFZ6RAK78uepmJUrolsLxlUB1UeqpVdUJwW5EI=</t>
  </si>
  <si>
    <t>IpecPh7c1NWCsIFl5kyJIO5AOC7JiI4SLUgJFasrT/xNX4aVTzqpzxZVpkl7DDG98bfeZivT/0e2CBEnS7uj2gdiCMSK6M+yzD9R8+5YKoMELRI141OihYHEGEAv8WFxDim9DPw9NjDbqMJcPZiWHoUBF+akLszOjwJ4J7ef/AO2vpgBugD5LW91KbbPXe0sSI9vQV9GaJvUm+VllT5w1k0Ualcafbkji0HgD4LptCSMICwkT/Q8ALcj8g0=</t>
  </si>
  <si>
    <t>IiBJIB7aSuSnis6ntL7mZZwp7YjzNxwL7GoVdI7oLGYGypJnvLTUtG7As9cPB0Sq6hNCHzx40z9sbCqKp4J43FPMPxRsBBsyp4HdgZ6HWtTfZYMG7LxwKqFwstZ1n7svc/I9cJJukT8LXgDGlqKXz36jvVwk2nqUQcT9sfX2b5td9DTGMXR5tYStHjunJEGb1HraevP4twS6UP+EPbiO/LQiL8ZFDsU2qtVRmMfqbM4TDLuax7eV9Jy6XpM=</t>
  </si>
  <si>
    <t>O3HCNk5VKOLlSVL3G40JV7K+3qBZP6y61seKwkBAy3Wb+daJ5QEdZUqcIToQCMU2sWA2yYu98oXTPpppKFLxyO8uCMGr4bWeElXP4sXT1GEylpo0ithCshAx+XrWr8IZJAqdUVhjmkq/+SoP3qgh3PxzBNau5gryPZR5bsYqRrABAVCYHrJX98TQxGai4REGR9sQ18mHAubqUWNbbXBH12i2yej637uMRxztPkM19H7LNq6HQ+Oo5FtfmUw=</t>
  </si>
  <si>
    <t>KPLlcYV9nTzbjH4h3QeIPeckjwJsMrCgBXkRxFnvUfIOvnb5OJ0chJueRyP1KxdD4xZBW/VMede2rDRkyTi9kC3ZNdJkDyUZp5nvAKTMBJeEqu/6/4PUC8eUm/bvzZH9n8oNG3badVF9+NgAKn2+J2t2SmA9dqt/Fkfu4Z3nwfnBQTorR78+DQo1CudKpbEUYjNZi5O1aAjw8lBU/8s6VbaeYpua6Y0i1uN8JsQkb4d6dfAx4FGUtjljDok=</t>
  </si>
  <si>
    <t>VsSg5y18ap+qudDqrykvn8q6jhXRgDQA2YRFAjkyx6IAtCRKrLaHvQQmaTVHAOAP+jwaszUKROc5mwtQDnJ9TLaIZbddjEEMBmdUh6TR+6yFlmOKuupdbbZjFS2XLNBvRZ0JXPeLbVQrztGOkw4dgso/QLSFwrf8Z7+wvnS5s2ABDgeinLl0+OEoRCCSt+R4TAGSt+j97xICWWVvs56WKjFka9UGxBvPa3wlJoJ9lFRL5Az+KzEZ7dloNj8=</t>
  </si>
  <si>
    <t>W5QtbNvstN6tgLFl/sFAVWEmJsC4zODE1+HRl0bm8xpyIMX2gBbHyQ8GpPD7mj8YqpL/Zmfk9q/nvgm+b6njtnY4fL3Yf5+c6O76i/mb2XUyK6gMXOGIDODEBdjpGzonbAmQyjiZYbM+wIJwA0Tb09GGPtogwttuQokX1NbFjQXPvUdtxoGCU+Fy26LgSUu1bZtlc0S7OZpIggfv9NKqgEuzeeICFDDqAP8msesGXdBXa6hMYG5XTcuV9TE=</t>
  </si>
  <si>
    <t>wYqZ8yzN3UAltHCE/A6FAS8+wtLXzPbVOvcRIS9OJVNWmMB0p9lXglsBemBIzw0+JZEqnpxOsu4g/uYIDH4akW+A1pMwp5G4oAW7NtgYMow1ZyvXDdh2WF4zwQylPKBepRSPVrQHH81CppPLYTChG/2M9jp7Jtryk2qbDKZnVCWG74/Yvb4/SbmmDbwFkoluNiO48CKdeNW2Jb1+3QBuF5tdFqfwZV759KaoMHFdzEZV0PW7XEhigysmODo=</t>
  </si>
  <si>
    <t>ryCvK0yvbNQgsZBvLpg4JovhHCqSRW0JtcKLpWU9KX+SfiUXEseeXEqFglOXY7gSgksIeTz9fw2pRHVGBL1j4smF1V4X3uUg7CkySHNE0w5FBgUL+fpWz6NMhx9oRG6kD/OUqxh6BoVme91o2KSt3GHxOzrg5slIw1pRifRxIEyYEIDc+hwyt2//T4Md6naK/tRlxDDeai27fC57rQihpkOqVAuBHbWl5OuB3jzXC2QsGg+NCNq2ZXSsDdo=</t>
  </si>
  <si>
    <t>izSOOyxTxgn0ndhNb/FUcsvbPlfUZDlKWDl74Ddr5ztvf1por4rDWrTM7jBaE0X8FA8DNjfqrM2IPpXRKuoU+wVNLVnr5PKj73gbvyNrceJphK7IWZMCwZgqMct4aEwZM4SkvoxwndP08Bh4GKjmg3P43MBaqMoTHECcN3+uuzophV5AKF2eEH73ME1f3kfqJG4HJAsKqTjjRKvEIZRstd6Krhwyg/3ybvZSTnuB6QtkBBAnDpLJ4YwqzsI=</t>
  </si>
  <si>
    <t>PeK10I2TI0zWo3vKlT6tbZ3g2F5DWclaOXlDHwQdv+4YI8bul9gXB04Gun0uOQnbGNC4iztxMe90dE2mC7w7/m/EnBZAYREmKk0AXshLPPnTW3hTY4eEb83dIA5opul2PevA4DvD3qMLHuMbc0R8H3L0gWjjeHuFm1jn5ClDUFCbzhLaxpq+HO5N2dGYBW9pUW6hX8LD3Euy66dN8yIJKD06XSf8unNfYSD9ntgw77/3/5qTDnNAUZPGsqA=</t>
  </si>
  <si>
    <t>dDgt470cXolhIPZYorkqvLNuWkQukyCSaTbmQY9Pc0Ka12YOBcBrdi79oyjxBNTz4sU5sQHWm/56c4CgEJ/zADD4yDZeEYRcq2MvR1smQaZku4HrKZ/BbHz7vhYhXO1hon/YKYTRTbrR/MQldlj9fY49oWi8REWNOp8397vd8kJQYd9eheACdZs3JWmPSUJEgXT1FLRNeWPtSHVQ5cdxb9QgZxaE+iGtuu00KaMLnhnkhG3W5ALIq8yqxmA=</t>
  </si>
  <si>
    <t>aw7uPXb3iC+5935pvvxEYTbTgi2MnDP5BMfZJjCiM9vSi1Fg6J/EfyqlEFNq7okCfS5s9f+RD4UPOhq9VN3yCG56vgjl0YaYczaQQMmtR1HCg6Kme3yGoD3yOxr7w8DdXNKKIkZYZP8WkV8FdMOKYmmJpAIh6t1DzjVBgLZh/UUTfCTTOLeIwNnxhcLgjUiLhbMvgM+PJWjZj0M+yt7qugctmGBTEf57IWHVeWYX3C1eJaBuYRrDQw777wY=</t>
  </si>
  <si>
    <t>8Cko9wVuDBBnGOgc8lhnqH/e2FTSpp+UbgSsWaXbv4bkfLLnoZOUCLfEEj+HeDq9ZsM5hK/0g+t59yupXmcN14gUHi1HHo+EzmLhlCSjNsyeW6TrfxGNebqjb+sRSmJQLz0ZW7HU2NkGVMf5bdIXRijxsX96h7zXmaSCtiKtwfcPT8O4zFFXQiMMwK4UrDox7sF1FuUMs9APvPD5RhNWWXspDGusIm+gkW6rKYHmUhD+Ua+8FFJhTPZKCOU=</t>
  </si>
  <si>
    <t>GCdZulSLXZAf7NtEyXYwJb8UOELpVsMWapyVx1J4c4/azdLN9tTa243cpMSXyEVb0mIo5Thsmdj42NMkPyJAbvGZ9N1W3CcztbHYzZE16x27YP3AR09GBoAB76Ig5fl6cBj5dKrHmZ5K4cgxPwy/FnOacvtIaCKnm3iIW/WBoYUWYPii62fOoPeNKRatEsr2kQifgDIDOiUT0U7Su9fY7m9aOFT/0f+Qbtg0YtwkoAhoruIwKhYmUcOLMPU=</t>
  </si>
  <si>
    <t>yhYjYhUha96qHtV+prBV4kNOUHG7SukiPrTwDMK/EIDg6fAb9ZlJWsTkeB1RlBjpV38S8yLEb2FY91vNZS9iTZ1Svj5PuTHvXytTEne+z3trElldvsiI/xZYdbuvRLixmoEu59M9uDYenYPRVE+ZDA8gZiF+qw+IFFnTsWhwwBMQGZHIPAb/RlSTDmJnYwgIkl4tIKkGM01uLZ3zfEfH+HVIdezUzNHCPyjg/BRVhKk+/zKXxHuLjKt5Vb0=</t>
  </si>
  <si>
    <t>of7DMLgy0Z4Yg9l9dOf2BFutiVcA82YtGsWBSkYY0frmp5kvq20oXB6Nb1kkGxvLIw6Rt4xjLT1brPKjlEVIVozoSNv1qDIFJMRGgjy8qzIRahiqB2aOL9xo86d0Bfp9rk6BxNGHfZTZPP/9AFiL8XOfJPQtPfNfSE4KBJu/lUMq0SU+nYaMVjIPNpocCMSuvfL3zEi3/rFgHuoNpcG9JU2Ci16BK7AabktxY9GybXXx7pGhH8Gd2SJTZHg=</t>
  </si>
  <si>
    <t>fsBj3Y/pplDDSywcEyPhc2KkVqepmR14Pj8u5V15hR7M2Vr9agWWz9S0RYrkeevOCKbS3c3+ahXllPiVQDB/HzOzaz5mt6D+s8eSVuGsKQW4hP25B31ToT56tK1mZCwiwM+sOZJoUcUkf9/JZowHQI14Pd+VgIu9R7QawpVCaWQqqUMMFewdRLtJ+5uJYvNFYoKPLRmROkMXkA3Z0+BmCrmuEQ1v11o2coTvuQ2SvyY3P19wpcmYQAjIlXE=</t>
  </si>
  <si>
    <t>AcvM1GoLcOVKh66LGbIhjkXBqJ76aZZzwWbErXWqghAfC2WjhaCBfRDrpaQf1JkL0BCAJCPgawaMbzxqKBuwl7EdOLJDc/E56cAVcpP53Upqn6Xkwc3MZkBAY1jDbynRwUJmhTE5kondxxvYmoL+7kgGF/6UUIKsPgkYPPlbPZCtSJ0oai2tVRcAEunFJy+myy2uRmI/JuIjyhjzkOEesyV2Aj612JMdLwT+ElsJ08Cm/feSOJeYTXwMKUA=</t>
  </si>
  <si>
    <t>vIgGutgqH6uvr2nEp77p8QSkat8yj6ruvnZqtOt+37FZukXSUm1eDVUHkI0EDXa+1JGOhsesjlewaa4DMIlMsDit09Lk3JEKeU9tQp0FmfErSVR1ubUpv50O9kL3G8Lh9CSdkOpuUZ8+8BS+LIYhWbHOu+jEAMssnnKuy0RbYgMnxQFp1hxaT8rLequWzulZdK0QEJ/v77Uu/0ElJe0NI3mUFne3g/2oNcg9q+3e3AzxpHB55FxVqq+qENE=</t>
  </si>
  <si>
    <t>CwVwW4F0eXDdAO8Uf14l5e4LyIUNbAzuCmYtK6AacY9m+gU0OynIiWdxgFEfR0rUvok/20TVsbL692tdMYAeWV7R9RSnO3u2nY3cgxGxkZkb7pFH1wGN2qJ9vq3hoLRw/QhAjymwb9csEwUUwvRL5b3VoWD+qFpwZbA802etj7VK2eTUQmdzjENXnfPrOT1D/TBM4RhdDyZXrBaQsTyuMwOHZVvgMzKqdnm+7kwyK9gMRvzzmeeQ0QVlPWQ=</t>
  </si>
  <si>
    <t>Y/P2PzEATGGKnbYCE7Qu6b85Fkepi3z1RWX2J0V9BYp1BuXCtUL0fNdCu1eZogTZjzNZxzdkl/e6JaMfoSo8b7aBxm1cnw/bUHCRgP1N6PMg9qO6hNzK4rdR6iFVN3I+DdfMbGrRYeAGlsLIY/TfgfSD5hmH2/8C57Bgv0WSTOioE+1k2zSnK2zV2ue9P5wmfaYHArqzQ2Ke0Cj7Jc8/P6Lx+yzNJOvZMoU8zBXFomVc7T308f+13tCW9VQ=</t>
  </si>
  <si>
    <t>A/FJ6mM/mJcYxo3wm8VVwhq+ryT2awB0UDLOdJubq/b3T1G5qpiZuru6ni/ulJOv24zKG7kXcprwdAHpgTUeO19Tv9f1Jx+g/6ZnUU3agaDDa9Hv0lTuInc6fiqLCVUfpPwaW23wFLhYqTmW3sm+x73hDBDXfFOiyCG+Won6wt89oEleC4k826JzgTUtk8c6cK5sFN5okZXzT0bCp7xa56ERyZnpXojTaXo8E2myOgfke6iYjDWo5L41ut0=</t>
  </si>
  <si>
    <t>y7uu54nTdTotzqiUfbAWgeIcou/w3KsMgZOi+V3Zjq/Wbhfw0wA2TBUetKo4uTq+MJiVq/6e7w0xpFf8lAyyqDq2gvTjyQOcJIqE/SMM0Hx8DTn3AnoHudhREhREO6rWgoABa9VGhD/BVH1nS1nalc7E9D3dX7gs29GR9nHwMBx0axENwlf2kVoNExn/KMjzJWvuVYbYHNS9kZoqFUZKwx9KX6pw8/7GelZ9qZbtAY8qo3p3jguIY+rVMZM=</t>
  </si>
  <si>
    <t>OzfkVeK9N7OlkpUNKCJyvCdk8uuKHBCWrvpiZ9m7/3lNaYyvBbsl4JZuv4rAFOs6QiLjzJQBb2CvCDssIZt3JK9vBVrk5NhZ3w7wvlNwtaeFjsMfYufgk39/wbY/7CZshPO4hS7xsFHSzR8LA6aCx0Uj4Xf8BpjZia7aEduJGPmOYejK7IFOpXvMkqbyD+nrYGFtbe6kOBDgpeK/2vZHpR02HPHt0dgAw/aT+61qnNoZRCv0K44F3/4+790=</t>
  </si>
  <si>
    <t>vV9D46DBsNV0SwODyq0aGRhAe76ETJwrAcjRoVtHlLTniBl/RciuUMUJ/kBAKy0K+NWOBZsCP05uZ7y3mIz8EtZDTPHpfVP3+gxFW0vXLADrGYOaSl14kRfxBfKFoBu/XLTBOJBlXDmjPyy+xlWde1xR6ckBGlkaDmpnL6lYt6dCa2KkwiigM09j62gOJLLUUjo+LYbHVI0OGw4aSDM9Clfz6J546pTNEhaU94cDr6LXmrnIX3+l3Ly3hy8=</t>
  </si>
  <si>
    <t>LjOrLtVTaLeUfaIYoyJa0zSlGcHBJlzUimtFWfE041AbnukLQGljpg3QR7IBQX91TKbd6/5//rLy6/BtE1wAZTDTiZ3RTacsPTLhlOQ7xbzsYf5frZcog4MbT7DPRvJiGe3vu1u+CmKW7AogczTbdql8dz2RSiY2AA/mcAiOxfCU3jfJgdfucJQer7viq50423/vZ1Fo3gtSZiGskYmaAJxkrbu5WEg1VQs5/+Ct63O6wgSVXOWa0HqC7Vw=</t>
  </si>
  <si>
    <t>vmnEvQAPZ7Yvsb1Gx+0/kyccBXSck6r3T42aWZK6IvCQQhxTf0TKiLiSQEeZwzqEWp5JRXuaxKfnzF/X9CXaHtXaOQqjgEQji0a1BBMhbdFoG9J+bXa6c/0qOD7Xw4LvNdnmyLuG0YQLJSZGjf/qBbLAUa1AFQ03pVbfnzIC9XvzeZV1CeiedLBcg+H556RiGVj/cMSCkfBx0KfKJNFYE8Of2d2+DAqU7LTG9XIfzxpKntXjmvpHcA1CI6U=</t>
  </si>
  <si>
    <t>qLzvR5EQkYCNj1fPr6RCo4i2BE7FqLx/gE5ZXsrWQ3ejv3Kp2So4UCSYiywPxc1a2fk8VvAV5nQVGBJwHYjH8IXHKrUbrioQ/ttv9HhZSL10M/qE4vzeu3373ejth9Unb6gRk1EsfQt1OabrshWm9jTmnrUDXTQrvHKPqMBArU3dpVMd23E9lR/aOBtQ16eMHQtmVAInx1qyrqBTmZOBS4El2qj2rv7cRivs9ENHzCrkcHZJU/KLo2Zq2KA=</t>
  </si>
  <si>
    <t>NFvOelTIJpy2bVIv8EZorJjJ96XBFknylCNnQXiGH95Bi+yrkHRXiOV2XzEgfBiZ0RBoc634UGB+257R6MXTYBZwLcNDDmofl7ggcY1QYKtifLCYxOTJQ1wZcYGMxWqKd1hMTGAKQ4Ys8YoDWx+QM+H7Zh8s8eXqLXe+hgPhAPjGrK/d804iT9psTmEcl+sb7DMOdEV5z0KTrD9eSFa9xP43NnHLNaBQj1Ze/1KjRclG33Vn40PrLDIiLhg=</t>
  </si>
  <si>
    <t>cda9VFFD/ma6w/AHRWoTjDqEz+BFz7vySuXXMp9i7wU7sLg8uK6iLsoDY6RJV9B8R+wFcWPN6d/zZODFBxS+BMFcLItJ20IlADQ1B5CK4OktlsZgrzqonjH/kKkt28RtWOkvxkRX3y51TjDKT8CAPqSVuPxYnjL4BgkJ3EY2hH0gO1OuTBdXMHihr7ajkbTg4/ln+W22m4zni15pgNWGjFRy+JEbWg/jz7V2fLtizg1i01HqmJmfXxylS8k=</t>
  </si>
  <si>
    <t>WV4ppsR1NIgTjUV0HYh77OTqeT2yFSiPkh4rl8upmWI7U4cw/NkWgez2wNBH8B5YBfwi/oIJMwnwBma/JFlOVGs9MBqxrwa8nS72xKqrsqwOZ9XspTpkSpr3kk0xHTCdYDYFAfSTHk6qCD0r9Pk8CsMwdlSdp66PyKVV7vB8w87igeGGkb5NAvC27+hSn9e9iesdNj2q4qG/CN1ojpIzO+ORrWK626xNjFBybAEVjv0HnKWP9MFVj3aUe1I=</t>
  </si>
  <si>
    <t>YXZ5Fs3naFXUuS+mXTG9NfZHLAfqa1opa+wkxlkBaonnfrP/tqN50e1mz3fX6MVxhLkuwGu4qTBm0++LcS61W++SxdVqu8ShPuGIxtXvJrkLXIx8Ha1mfKUmn65Pef+IFHAl29C8WjnXn5nYOQmUI9WnSU5zPHjG+iY9yPocWn0WwqdmCuek1qtplBRhiM+4pB0HtwxAQ0H4AxMKuvAWoknSU5xv92+slbAoSHkBqz99ZoTavoLb5SxZFQA=</t>
  </si>
  <si>
    <t>k2QlQE2syKw+KbetAGWhRKYawa4I3zcnpLzjCoHp7FVRcDHqMA8v3kCvQASgLNwqJV61j2v8IKeTno5tS0+HJywFRN+b6WPCv2y75r/ULXywr79FWWPdtBTbPUlYNg3QJdRoaF6IUWxktzVjkehTgj2z0/MCBIWwjHmFMGdABRyVXTCiUQeFMZoHp4mqIdUeHWSiowOxu6LbOIDZNTnD0qsGIUd5ZbUL1kihhoJDdUwxB98r1MXMIUwlDI4=</t>
  </si>
  <si>
    <t>SpOZOoBBzEdEJQLgOb4nXGv52M+fWj/dP1II+H+4SyHfQ7c2dxMgZOWzDX54GkWsjXEt8DIzlgTnYv8/IrpUHSdGH9nJjzWUl/KPun+9iDWTdArZvkI/1OgtR3u7OXoCssb1fAJOudXr+qTTZoMnUVOUCwwO5VDUd8DMoqSgahE+yMB6Ub4ZWGMQB5t/FmNDky1bPHFQCjd9nLrLY6+kYSpXBDZ6RAxUoXCbXLo/oaNlFz0KssocL0oRL+U=</t>
  </si>
  <si>
    <t>RaKy6RC3lh3RZA/i7tn/08uvH+LbIPejYApTKbQEkDPh6SREZFhY+Y6S/zpDcSSclWeMYmO4/irH3C2wkC+9ypiuJDcf8AhmNfu2kjrgs9FeaBS120RqHDW7xcDrkMGMp8H0Gi74V1TvpqG7S3HuGLZG8v9E8u+RetWlKANUqCzNS8/ArBXJdUDu3xE6iv/+taZ8JixsZwYGamj9boOGs1A97uRxUNm4gFzSMF3Yb4gkkrwmN3aALMiLmls=</t>
  </si>
  <si>
    <t>kap1BTW82TWS1BvMtLUIo7WJuGqRMKMq6jOs8Ij1i6c46z/oMVvm/z0rzUZPDHw5n3tQ42Rmn20EKdpLax7SmQsO7rq5fnC+qioHsPju1xIUo1l/pMbDTmCm4DTRjfT1x5YdWLNH3jhmc8vp0oWqsokAo3/O+eaxIBEopH2MgfuD5kxEQzGSs9tzoxo6HJpFa+I8zmFOvGWaue2PAjb5GQafOljDuqKIelgxJCYsIYrZJxinEL8dSkN5zOY=</t>
  </si>
  <si>
    <t>IMf730u17WNDqvegXQd7sqgiYgHFTzymzF3tXQIulUQS6P7SGM8YAncnrc8BkPBIPwmPPjDrHJ01DJEh6rDsMOthmgB+7BWONpWPmRcA7A4rcXP2xdkS8XYNqHb2Xfo/zpq4a7HJZUkX0LNBhEcV5C5di8q8zF2IYPesT9EmrIGILg54NNa46V4gl7PYbHcRYAgw05gac7K7aR4TpHpXQ1++B/AsJi3xUqzAMpZj2aw2btpmufgHC7Efyp4=</t>
  </si>
  <si>
    <t>Pl5/F5i7ta9QinsURTePsXASZdtW58XxNJDYWj8JjT9zr8AV4oTBCSWdG4CMRkyYP71SyxEZ/H1ZQSHzr2crCPuiov6CSNsccMjl4Z4ARqdc06UWQGsV37Hv4nvqXf/gx/PTxrz0TpuQBEfU6bLLUjTj90fVcb3pul+jJ01h+D9qLoO/k+IXAuVmN/R6bW3AKsCm6H/RUkZZZG7ia+7ThnK6RmaUF4RixuZR8QPfEkqO0meUuTlnyMM8+xs=</t>
  </si>
  <si>
    <t>5AtByhhsXuX2OWzaSIkvcC0eyNLhcKVmxNDpyypjZ3ZuQB0X1Ceg4xzYJc6brb5snU79RobvbZTppMXhHXFcn/baZ2X3vakVR92TKP1zb2+r5IfzrrrePDvV45FrUl5FLYPPThcI/OqrjH4Vl2gAoohSVtIwZsAJiuUvjOtivyTkMXiYc+Wgwv3BQAPqZmKrTCgz+/qKX+pwzOIzt3n/h60fYarjKXmVmBzCSsCUYo6BKhghHaL4SRpu15c=</t>
  </si>
  <si>
    <t>SB9tQRK2cKy5Eu9mgXXBJzHrHHt9JXEP5511pvu119mb/+DibJFN14visDwLRtk8mPPPGN2P2xEHZPtiQN2rOP+iF/Wc7VTZEWbG2l7iR87k/M72MNpk9I7WxgFVgolHzbrqkeRXwehiIvwVXToYTzlX6sH0AQW4aEUEuU6DSmmAfzlnSNHVVii4HUFDkZG1awCFnjM2ypU/Ebe9NngZxtZcSUFwl7BTPcHgli+tem8Xa8r54XZX4hOs5bo=</t>
  </si>
  <si>
    <t>1AhfJVN1Ty1tvCgi2GmEET4TzNA2gG2vwh6djDJ9ecLNNLavCHafbmcYSMv9/UwP3Gu2uznriprUem+N/39zfE+5wlzOOeeRa3H3vMc642vV98RiTQArsI/mrcqLN5GM6LWyj8lmSAu/JmXH4LTFpN6jq+zt6k4E5AVY6VkoSfIjzRukFC/YQXlIzz99uCUYdKb8LNfYx5MKY9X5TREU8WHk5epIM2Int22bSTDmrOJcoNNZ4xZhv84R7tQ=</t>
  </si>
  <si>
    <t>SHET6gt/oO2IezD/BXsREUGQizXuVsiWYfp+wseXOQB3LBV0QaCrDByqU/X5XqV932teRutOLghAjB9G3WSKKUrs8SAZJzuJ2zIQG1yY+PWl+FAJJG+fUYh6U/OySn42+w8Z4Fwj2K+KFOv4UPGdoccOQV2zYi/hWhYRHIz4Ke54QUWko6hnGPn20Mtv5s5ALOqJN/yOxfjN0Yd9zXc3565LLzC/5n7Gkkuhoyv1Vq1ouzdQHxNduT+1VFw=</t>
  </si>
  <si>
    <t>zfUdXAv6SrEo8lTBko+mXo7I9jDMOMboe3fT80zIhyahWl217yzpQ30w4aUH2OCu+HOPyD6it4sCi1AS7JqrBniFsLDX44EfI2x5faH0wnLwSYv+NWJDbVgsYM4TiDOY65rzHFMl9QKbr4Zsb3DQzNBSqyPfFeM/zcsY5/sjRLXlQwQjpe8SB+C+4lkacKzTsfvONV3qoSiCjQZPHx9pj93BKVghxfzbcSaVMY6A9vJjFvP9N8EgQ2/o8bI=</t>
  </si>
  <si>
    <t>yU6YnfixKzlnRb5cBn8wX2t3djN7LXuC0OZ1MS+2rGctRtyhQrIAflV6jxpQ8eec+0TJZZ+oT6XkdDVeaBDz1q7u31dcrB6U002K0k/v5jjava1wYv/M6LYinCiJ+QMwZarKIk4DsXAJK7ZlTh6vAy0Opan4CMWWEYJCQl2E4/G1NnHHKZTd1cY+d0L3ksiffaDazfS5iCQ+OsDmsWJJcRd24aQmiPFS8y9E3Ok9iApcM6ckKd7TbgmN4VM=</t>
  </si>
  <si>
    <t>LZy3oDFyC2vw5GAw4HbwXKU2TUJDLDDJ8VbnSdvqYbK6wdE9fHfS9+FRHtmsu50MUw5b4+OkYvyJ5KMXYCzCtNX72//N7iavfPYpwr5oYEFQc/wqX8gRE23Xl1yW7zRrgjv6YssADoorTqinbddXsjWRMLRPJk6+eqb8L7BK2gjVU3Mi/eMcHoApKSBylNrI25lXERuJxCFoLlkFcZ/ICz3S9yGtBTJRBN8cW81R77gklhG93fQsSpgl/m0=</t>
  </si>
  <si>
    <t>aahYD90Zt50/+qSuzvglP2fsAZsxiY7DhlvGVponp1mpnO4WVV5AM5GHQVrQV6/V12YJ9b/WpVbDnpa3kUhD+J+CXFQcwbKT1TmL6ikfSiFqTck8HozlpAjwHjlpneCVZpN09neMXfWy3daMrtR8BPZ2um7PxZ7JirfHmVe9dRZtZHCdwikBAvm6Iu6x24+LjHquqIGms8xX+3z4xmq064OPYudTcBpnWeQiVSkD/4je2+dCJf7mTNqyV+o=</t>
  </si>
  <si>
    <t>asEUy79O2+cv65q5vu+MLEq9Uoz782q3vj/hNPtq2diuOpJi0KMcbAfGtgHVcXi1OGMPdPApn6XU/wgw0jzcv3BWgDL6eAy06nucSaNLLAYJJ3pAGEGfMRAlxw0Jr7yE+f4Nc1tmIC2Pbg9uC5zgV/YE0TZ/HEYbo4Jx8bwdWdA8yZgGBd7frCM4ptmMa5k31clNL33/qqkTgPtHs618AsyRT7oa95QE4cuH5VVST0WzFpt8XorxBE4CkTo=</t>
  </si>
  <si>
    <t>lTNyWyGNUKtAwJlDHhPY75UEyKxChyuEQFAL0yyLXG3mPeecvbGvWCK4KdilCogvuqPcryG3og62YlCG9yfEFMY7N5wCWBqaf+gxe0SOy441DB5bZWk9k3hx8QCYlDYeCjjCGA5aYEYvFANkAZwtsiZ1nIjRDycwahXnbM0hR5Odz6q/NkiBmUFjkGL3Mn9rwnHexlZJ5Kq2TfvdV7/ecaHYMKPOzrAwW0il5dF0yAJUZ/a789VNKoIDSRg=</t>
  </si>
  <si>
    <t>nrXMoSM9BqiTyrOrJzXY2MOhKyDzpTdHvOJ3eYMrYLwXgxwnQh+OM6iPMhkbwl8w7yWtL+ji5fYXPvuF58nSb7lzDaXu15qhWdyClyFtMpH1MS7ntGFLNZbyixtimO1vDzmbpZb2Ec5q5FLrJuv3PUWNrdBDRmE/7r7xfaAHI1oWRhe7W3peu5tJj4BtUWAYBnn2LGKy6kYebQCavtML71TDGSYdmZHHvUV+i71S3WufJuW6Fh+kdTkTTGo=</t>
  </si>
  <si>
    <t>WJAfk0uylRg/om1sL0SdjDV9hgdvxdHfMgGjBCwMzKfdDmZeb+CJyGZg/7eRCE7F6rEbdfd5fc3DPeBSUdDIePKS79T17N9Rl3Qq2wiNYEYYjr/L1/R1aYa0o4YiMOBWiefuBjny+HSLt/a0dvsXrlvORcGz6Cgor7s3O9YqOvTOZa01L2kNjaF3UMf/m1z4TBoBuNFJuj7xqLNulkUftLpUFt4MHjIj9652bMlhN9a4U0kpYhCtzeUvD4o=</t>
  </si>
  <si>
    <t>R64GOxoP/mosXCXjJYnHkZoxM1ClzUKKNuOmpb7LXH7r2OdDFQz3M4qxUcLqKHe5hidBezEZ378kJxsjIa3MIFjgMR7LO3zMQvOPG+euAYrzUf81FOdU+7vHKwKi/ZJMKpCOEghVj9CylQzCCgXVsET/pnup19I93eqZHob5goiBvd6PFbdKEubqLn9/HbUvmeK6IJ9kAg02JElesxot6Jl6wr9plzAR/pYZ+50VdbgSZfFECIt9nzcFJXg=</t>
  </si>
  <si>
    <t>FJWqaLmtrRPXB9Z8meSb2fivy1/DlNAz6GFPl6nQUUd7Uik8XgGGAGHzw8i0O0RQrueafENAHg2sm2ErVSRBn/OOsd8MVrQUA7juoxM7LBWiIf16eB+6eOwovDnlH8TBc1vl3OAvrJ9pjTxtc9g8y616Saab0VrBrKWcYcpIfGH2sBxmjRUJytsYlhMas2chMQJz9mfAvfYLaO4B3jffz4kZVYuudVvBRwfFnBdMywEoOaapO47iW08nYwI=</t>
  </si>
  <si>
    <t>wlB0YGNNmN8tEwRoBh4tuKuvON6eauH0tXyuOBqVXP6V+HehIzRP9Fzsgw2sF4km+3uKGPUyO6uEJtuHb5FnKSvAIYS7Iv6PQhzF7Gq18WKe8tTZXpiPJBnHUBWEkVGBjKkormNt2NaH3bfVK5W3pWXjMU190L4CafnFQBAF3HB0fQ4OJpoDRQ6XQOIqYZVfNy8CP1H1qn0DVoJ3EK35DYB0PJu7YX4H9lv6oiM3WPRmhNTn0t1RsXi0XI4=</t>
  </si>
  <si>
    <t>xrIAM2ESv74YMVRdCfUQEeAGl/ffI8BqyOKkZ0CkOlW5wXZKnPaYzMd40lMTiMDASpmpuY5jnEQ3+hvlRDmlNTjjF4Do3sh8wpCcFkskxAlJYul2zPn1zKifgH3PhPc7FNZ9Qff2OMHSlyShbB/qaV6q5RbOIcTFsKDID94zgjIbekGl7MKHmPmKn5d3nwmorfbx0fa6sMFepuWaeQSuw8rE/b7aDEWDXSyNMNduEiwVmM3azkYbiyfqb1g=</t>
  </si>
  <si>
    <t>FiGQCBzcWxH92uV+IefEVECb95r9hyT5vAxpaG2tj9jgPQtbFahu02XcbWYw488jb48MBDZsJWRzTPdEucqOqGd5+fjDH17J8/MX53xhIjwZ9E53LGSC2be2VUBM//iDX3COcGCfkQaP70v89arGorOtl+HhRajA8J8kr2tZbKHF1yi8+QWoNH9WbtgUkwIqtL8aq2XBndY5C4yvxoqWtCm409tsVBeuNWhBtNU7Eq6KMqDr4bQxAqp3zSE=</t>
  </si>
  <si>
    <t>7pr7aveDwS1qrvZla6xh1hugCtmYia28xCksfRktP1ERxeBCzaY26V1nqDguo0Vg64yfDvSxqL+vBX5/30wlGFP6a9NJVgYz/GT/dtCWNdDL/HlZXiTIfexdK6z2g29lDGDF2Xo2YkxMSLEn5Zoi2TAv2Ti6C6DqBpZsSo5fZ2seEdTnrxffQgcDEGlr87ZOsnUJBvMrG1U13lv/8Y5B56ecMRT9kofe+7UCrQ0lJM/qKeRHCLTUrYHsu8s=</t>
  </si>
  <si>
    <t>Hybo0lI8uq5GOlOCihXJaVh9NvpqpqKTY4O8HvS4FtWQk5StTrsB2FH6WU+2uhWnypnNbY68su6N+O3zrOTIxj0pO4MND3E388mxhaxzUfHCv42vj7d+84i9rA0A/U6q9wNFl5zl8eRpOKNSiHgr2PgE/p0q+7paTfwM86aRCymg8YGt1E+NTRw2P9Df/oKKXdaitgBbKK5TW0RdVYS7SV7bwCqEUjUmZJPH7rHdaSWZzqezoEIYdvSUlvU=</t>
  </si>
  <si>
    <t>qDJJD4epBrrnKhiZ+mZU7E/RXkyqgRaLjcOzgwvPNKGwDckUr1Os59BytbiKU/uo4lRSEIEw36l2Z1FaYyJJMykkILSzchLHXDtK1gMuRE18VD+IkSm0gFXOXxRs0OGGJO+2H/4UuASq9ZAbiytwr0jzQUcZiHEsNcr/r5g/dS8oGK0rM53oB/kLD0mcczmVSA+JD4L89GuhaalKdWjlwp/dHkX7f+77FZHnRq2je6llHWXBWYJRlqbP8Cc=</t>
  </si>
  <si>
    <t>Z6qX8hpOX8EPKpJ2pMakfllGnqehtGNGaRM34KFugvOjLaq0mx24YA5hzvUXywTOb9vWxE8Ay4YJL4FiH+NKnBpHDuR0Q5jud3ux6cajKneZrbAvd8k8d45LkEVySUftCd5L9KbxCxkC/Vt5Qep72iMzmCTTszm8PBr7OVMnXhbbyJm+R+F0Y+8bO68GGxy1OLW5RwFkiMN7rKCZG8yDkdGd/nQ1BlsEbvlqGB8QiwZRtr9QlY18b5yJX4E=</t>
  </si>
  <si>
    <t>0GKpkM5pBJRWYMo1XvxAPbdpsdL0FZNmMFHoum2uHppwsEJasraxpc8ToE/rDgbHZ6vTNmt8suKAdsZuGSmp9T3YTl2K7zWg8JODDRfQWGh7Ne9V/YgnTadZMwBAavVSk4LXL5sgfiKZz9yGuWw0+3gK9fUufvOQJ1bkN9faI0dJNl/Os9TgNkxHJqGtJE4YnR/dCc70PHaJHcSe7PZFwH6x08DDQmhadI5Fks34GYUC4FfZgozSS4vaWJs=</t>
  </si>
  <si>
    <t>pgsmNLE4vOmobOrsjU+Hz3om9N2qohVNnkseM+I2te07vPdeUAq+QPPah0gjEXkR2XzRNQGgY5WlkqVWNXLZkQNVt+UKBUmu1/1MUmTTGMNks/uf3eMpqT4rdhccYAnYQhDpfMK2tqe6vSNBgezzjKgUNTUZVejaI+NaoRcr+MkRywvnGrIK7UsfmrVhFQSGcLkwT+CoUp4CL5ObSyv9DvtkSSK+vixVPl+1skUm9zOBomOQl3/mW8UV6Tc=</t>
  </si>
  <si>
    <t>FDed701ub5XGNFPxTmo3lxuN6ycinXOzyDzAutY649aHoTYOlSLwMabET44t//lM3WPFoPk84xIyY65k/jcZB1wIGaw/lKV1I2HQctkI6edViupRnWGjFL58koIgy7gHEGsGV/8ZHN72NkCO5bLoznahReWoNvN2cdkOPv0jEfDBSQkvsKYFAg1ortb9o6UcNmQLZcOPNSGLKzMNROtokrz8UYwdqZrZSBIaoV1KqLUx/Dt4t33ji1h2vnA=</t>
  </si>
  <si>
    <t>z+WAOWN3htE2nnKsT1KHYLHghSw/Z8vTiN7o75k2MOOuxPPtPK32jQD5qWxqJ6cr/I/PudrIcIbmS0z0jgIelSQgy3Ve1h+gcZzuRGIxuU0TeMe+gCR1cif3uwAhs487SBLMhjo0+Qr/3Xv+ajYZmE2YPuaiMH2dZanJZoIYw6Qw1UAUvpSUvmbaEAs9HnnZj/lppiTvV8qQG9u8cKQr5JTwOLDMvQH+6TtAhi0n5R7hBlRY6QUWoMEsbc8=</t>
  </si>
  <si>
    <t>2/9VBfNFb/vs2WgEvR2LPG0IbjRJX7U2IGJLPDBzc+B5pW0aKlBbVsbOBTPr3gZuczODTY/9XvWWZ0aKxK+edqufvpRK3g2atTRknOP/8rTezVaRU41xmxOqz2bffZeSSEvkjLTsHAIQt84U+pFk4SlJiAUBXL+Ii71yXBtVn1XA2woqEBfcp6fwu9uxq1LVBw8NEa8odVQlLJgnNquw9MvKgEKhst0UaK8dGh5AY92V9vplgCcsVG+P9Ok=</t>
  </si>
  <si>
    <t>w8v+6W9WezTSx7qWy2ZATVpztBs635zaIrJtGRrUqaTr4VMEFETbRfgtf276F2ptinZOaPrRRc5gchY2JfK18DJQ+glJs0hqNqfVixKNHmi76J+RPIoH3Ovde1UFmdz3Oa6bLA7U9GVZQosV5Gzm+s/j3HbnrqZOmSH3fnI7IHWArsDJVsK8yIDs3sOjQEWFAS6U9wMvOElpjFBCh7fVagq3hlPavLV0WtwKoTGoPYVU5TSHwQs3CRvV5y0=</t>
  </si>
  <si>
    <t>14W0kohtA7OMuGwdsDL9Jl4em6SCjwJd3NzXhZrcq3b+mY2UdeQSn5xESrbU0fJyYGnMydGXFTTFraVuLJoq/KXHJf2L6gcl+7WVhXbwp1ChgN5hq9J5eWjpgHj3o798Tm9hvyZd3sYA03k7BqHGb7YRl1g4X/71RdjvVron2qSKQc2oZCCHYgZfUE49W6/4LaWzlY/AywE8lzBsnUI6ujM8EcnhMItTn8CyUi8peqcpR7qjM8T20z9B/Ds=</t>
  </si>
  <si>
    <t>6o0ltlebGT0f8rvi7UnKm4sm2xiFirP56BRGrSVKgdbLoe9Q7CdyO62PPEYAABS/QaVXQGMBiOJYrnKIlDBwRZ4IKuAga78WTLsxlsEfBSjTO0syCLn7W2lqMhLJHOg0/fHPt1KenmD0IHm3dietp0l97VKFpejVlZivjQRRLnsLqzmdqu4kfbZ0r6w0WIdCdEVaRYnnBDO0AOcaGJ+GAiXFVgc0WWMwNdxfLbmVQk6QDN8DUwkjX+DJ2Lc=</t>
  </si>
  <si>
    <t>eIw3dT/VpgFaS30glSPJ74lAgfEEs7H+UJ35NtYb57U/+9vcL0JD+yU1dva6yIscZHq4AwrYEI2h82rOBotA6eBgy5iPcSJZ3KMNyAjM7FzOMmF1BS33mMdIZKKKgWV+my14mpjWc3bQgVWreHQGfJpDRWR2/9xxFeY4l9FcoL4BFLFR9J1Dyth5UdGplp/mA71yflawuaRpbg3+wqM8MvT6mZbBWg9A18+Ca65zQafBqtp3UnwXLam2qkI=</t>
  </si>
  <si>
    <t>++MP12gkK2IhI8/pSu5IeBBGtUqkzBYgtZvI3CKniEeXDj8WPd5R4KSijWdXSqRKZ3pqyhAiXiTwQ+H1tqV+o/zXd9GnNJpIQLf+s02qIgc+M73jtjMsAgNRFs2Foo09CKSKljVHpdCQPTmKqYAhvR6jnI1QBg/loe6LJWBppKK8l1IZrOvpbNkBBMj4aw+D/edP1XTAMlrbKYIJubiHKhtZf4+Y6cu0gGRt49XolPz9KkBr6uRUHHLYj08=</t>
  </si>
  <si>
    <t>KujtLO1mx3s+fRRIN12DnSNFSGurLc+ZgrFPBupKIO9IQlT3enXhsSBH60WZOe9UQz0TugXHKDloEtrL9AfN8+vvdh4WF+aEuo5dhtqPRs+N0nk5NauhzXSCUZSEWyADbqggmcXvCKoonKqObw/0TBtslGPB2Xi8HByrfRAPS5FndWCZ5+YK/SB48GCHS+pTGOC19ph5gPg1MSAFNSzBlRmh4UBS8cjiNKbF2VmTmy4sRZCDQbnIlYkRwHw=</t>
  </si>
  <si>
    <t>rg409vjj8iBCfC8jqvcbv2L4wuVa2WDCYHTNex38C4Vbei6kT6xC7X0hLtpAxO3wjuBM3thISJEv8l/b88bDBaraSmBW7D237rkfiBEkcuEL8zOMuSXiLVt0Hx1mF6iaoX7EjceMogyI3aM9HESG0vkEHHccbvxqIp3ua9wsxq5YNQZnZVOHeMy16YApDMfgf/n1/roiPoDzsOVJceHR/ykbjoBVQgMO19VKF7BcjWQPKTJJ16Z1r2PKWbQ=</t>
  </si>
  <si>
    <t>JWXzyYgo4301k7P1YNiLh8WBOnvbCkxHOlZ2B2CEfF9bwtBSSpx8IjeCcgti0XWVRqFy2UWpEAZxZtBxc2GwdGyo+WN8botBmvhwaKnDnC7VdiMBewdSDmUcsNS6Ab0YD7zJBg2ex0XMcPxJHqBxXGxQB0GTKMkMVfRy/kUGMmnIA9kE76oKpn3iVUtj7LOu0cPKi+pxwWT/BMN3wiAII+t8aBYzo1NhlKOEqoVYaqnTQFV72q8lZni6vYg=</t>
  </si>
  <si>
    <t>vF0UrF1ljjLhlHc4vacN5QQwIK3fxECNT0KrhSJ9JMVm/eCzneg13J4PSkGX4EfO6vLaTUdS7RNey021CBOW3JsRprRBt12+IE9wNvXPADTnWU/Y4qGggSipOridk+cMLRSvkhRGsHUtwu1y19JkoJQvFKZDqfJ+Fh52piy/dOJpGwEuZj9YTz7RNTR8GLhfr/IvN+v0QU7/sc75W/G53dfcR101Hiz1zikXB4PAQYbA6qCdHRy6Sr1XudA=</t>
  </si>
  <si>
    <t>GZDGihPvL9gXDb2gi+/NO1RmXFGqf2K7wsj8H6Jiy06cpnP6pWQVNllANpML23juGn4uOA4yILIPavFocAMHISnNq/j8EUpbYK9wpkMR3Jj8jOep/f3aGlQUc1chdT4f0qTYYZ7xmWMnrnGofyN9UlZqSWOVL9zQR5vOnPgKxlWOyK7x+76PpFdJ0EZKjBm1UzzQlfpL+6sILdnX21JwfYyHuykmARXjxCc8FKnhONrDHMQKVmRd7HT5PsQ=</t>
  </si>
  <si>
    <t>WmAFdOG1wyzMItesNKfZ9SSBE2dNHqov3u+XmHQBfcaLAmLFcSDXxlabIR7pn5ep51PKGS5hOU50QC6zkbj8a/ADLn2X1SAX0TBNLoKtNlbGfybgxKpNhaFFp78EVnz+8ceWezANLDBQph5jOh6QvUanDi12fEy17y6IA8gu+lTSR64xxNojii9p2vAgesO+eu1CnYgiBosf+hTlxOhXudgfIDMNXWNiJqvq+eCIV6NLasHpbPE9r8wBmcE=</t>
  </si>
  <si>
    <t>ORHzsVjtoPL2wiU+kKLxRv1WtdtdPcszhOyF2kZ9kbfjVMuKzZKUbXYwu9PTYruMktxUWKOEkdzjV/GwBF0mDyYEiwLuxid3TRrivOmxvz03uH4JvVZjtgoLIaFVwQzvzknN6tStsDK4dLdXxv+gSiSqtZBtFpg51use0hj8Qww/GIUOhuQ1RcAHOCtT+FBOaPysKzF+Tx9LzOsSRrsfIDjtb9Op166Enw1Fjk9ICqjQyYJ571FaNfdbgFc=</t>
  </si>
  <si>
    <t>74CTlCSwjNkTyXN+EK/2iBT1YYQLsE3KnFJk1148+zX66yXIS5QycLrIjJBTyal2nWmyqoM+zJYOGg/PM585g3ZMileea4n3r75pSdf4fWZmRl3EW2zGUEKXCnUgMBRumVXEzjcOaQFoo2eXhRy1h2BCxHkUc7wuQ5B/KkVG53bMHfgEcNKBR2G8dit6uJE3b682LOO9HcinJWKRKoh8kLVDAfe3nN9a98R5NCRm+TxLgY3fxfb+hjzLBQY=</t>
  </si>
  <si>
    <t>pldfFv85VOIPE0V31P1NFir87lIPG1hLFLsV+RxmB6D9c9QxHv5LGoeyC6URzCn2vNfnmoFqmtomdQDL/LvxgRizDFewOWzaYe4gTkYRGBsklSrR66YQ6jwB25d/2P8iXplPei2Ybp2NwGhc61kc1BTw875lPOfHdCdB20PEdpUPH9EEifM/OaQwhNU6ddmSj0T6zFOkwOZVLn37wdFP/ZgebAq30AxaJsIpmbL0WZcBdxKYlgcK8pTxA/o=</t>
  </si>
  <si>
    <t>PD/VsK6zIeEWkX0iLoPkSbrQ9GRH3GegvM4vrqs9EH+BPj5IjG+3AgGW2L8n7XCvnSewoBQ9InYXePwA6yN5qDV+tka9pLNzIdaVCiGORXnXi6S3FsSstCP/eXtVbtHKma2Q9ASMyP4aD22mAmaY/dgySxQ23sxVaDioiUDVIsagacF6xl5554MEQ4pTXyVnMSEnqcw92ihxK1bRTxVnRPqnvqs61O76xgzZzfrxKQNjpCtj5mRVZY6n6Wo=</t>
  </si>
  <si>
    <t>TX1TsIrev774mnyd/ob22oQ7lMxk+vpQW3s5Bc61BX1gDws9h01faCPMIMtOwotiydVfOAY0jxVjs/bO3xi4UShRTzBbTHKO6ATOgSnIY9NMSLwJgC8zoVdDCs8m4Y8DaiFolmHWx4iHS4eFWdED/ulw82oQ3X4j24YTvq29V3pg95c6utyS3DJcUM/u314XU5+rchJfLkP1x9zLPCKbQNSyFFLn8y1LgjSStBfzmVgmaE7kz0z9rH1VzS0=</t>
  </si>
  <si>
    <t>jeYgeARpuf4ypYBXnci5GEd/8gajckkRWMkpkqZrtUbCQTD3CP2CfRQQTQwYZQbe3RCFcDjxoZvTr+omlI3VcGZUnggaaX+MmlokXVJb31Z0AP6xcZkJCibpHrjCvxCImJHqSyTQKclRc7Ryx9NuEG1hgJ14nznTdlB0AMCFgTBmcAGN6i27AdtsK3TAJ8sW7vHj2GRJTfH4T5YYKmoEzJVPdP+BBgF7wibkxq1UBjjWkBl5IXjM14xAxZ8=</t>
  </si>
  <si>
    <t>vDgPThkVfeGbY6iUYxn30/HVu2WO2erMtHtYNfmNIkE6sbxkRcj4P7frdhGTyfhqvljLy4uF2lsMkWIxRvDEVG/yUiOIWZpf6lYF+67KV2xUMb4NTgtjdrMG+6HQlOVllGrlw6G44jzGX9L1rgK94UpUDIXRpK0RFdGrkMU+1RUHWSXoMGh6iNwwzpMzViZzg558wn97/FUhiH/tYsKF8+eRDsC35BFXH8KTULweamjadFJI5eDszWhvPbc=</t>
  </si>
  <si>
    <t>Zw/7dy5jKbmM45WwuxaWF8c9yOAIji2E6HuESJmxsDv1WXXuzx0k/St8ZPUZosOHZ9FRe2UEuCffqXFtOgcnNopnFyMKeouzxRJ4mYAZkWbR21Znf8n+nOHvaX1E/nDHdcI3AwN4odIlGhg8ukjh+NWYviOXyYQZHNXVdIyRqF8G553m4a1k4wSQrqCpYOiavy51SzFYhrsMZu9LbKpFl+aOvsX82PG5pLRLN1dFVrvyWndQhtFvrxxs/Rs=</t>
  </si>
  <si>
    <t>xKGTPUMeTTjbb2tJnC8sHF3J6CJQ0STVN5eoEHyk4uPiQuvnRREliYg3+CkVc490VdM5TIJ/oiD9sJslDmDD3OqW0zfUhruQLsN2nGSfHWEY8v3Z8A2n5gGRKozUPYL0yfymZFKptFqNvSkdC7UsHj7oOQV8SF8TY+JwQ7KBT7ybJT3qO4h9R3ZM38acY0ksTs2j5ZX5S54W4+9/jKRHWofX6/s5/wLrYb4hTW592+JvxNn7MR0VBt4PdLo=</t>
  </si>
  <si>
    <t>7zgft6QOwjbGEWgtKpFZfhZQiJd0GIR0iVLMNE46ZsE5WQi5u0LHZ+lmzdD7aBQQV7eLUvFHJghAinfo8mxfQplacv3rc7ENRbaHqrzeDeZNk6/5tpTzxMFbNsSKrfnWerqlzlTyOzO5kf1a6jWD1ugZoNBgUhTb1HBjnM10Pnp9zW9n61RVkyXcq6s7wJMa07GPbpKofSCveHRlUqZIlTMAhOJ4/PrrhtjSdAqsYYDeqtGDHqfSIbC43cI=</t>
  </si>
  <si>
    <t>eEyxNAOUBKQnARmrtq2eBeAaMFaDtSe6uYZeT8mcbpVsn4BhvKhFzD9RAT13g5SXecyEaAkj53jDQkhS7apCHRSXCAz/AQfIyBZuv/e0lVSAI99rf00/bpPobx/VVkx2EQ9fkIxZyFA+neGF/N2IkFTsh0xQ/TcbUxSPGa1zFqyshCTuk5mkWsKumd1k4sTeiWQrW6ZkDD+48V8UInIpKH3s1fYGarbxKFPibyZi2jXr+ssbuKnMPRkQY2Q=</t>
  </si>
  <si>
    <t>cAx9e4LlH7xOcTJzeO/LIvin+WfCOo1cIpDNROYOitjryJKwLf6bVtzZz+yiGqBnqHLYG7lXfu7aFg7DADMZRbPOIjfqxNq6pXZB1y2ZvsCmuTgfI/9VgZjFsKLhwHBlssHiUGC6xBvX2RhTr59dENUAb7unwQ24UYrJkMxdNaHdoDOM7RcrQjHeCFg0U77NqZ5QGde9+Hs/8gxE8+pv/x3nFdWy7DGV1Q2M9XPAJLm3sQFB54m3fKDo0xs=</t>
  </si>
  <si>
    <t>MTjP+uDd+AEB4H5XmR9iMCruGRu4Tptqcrb9GtqkfDV9xzNIIpWL9/3UWZ8vhwlhTSSyIt3GZvE72MxcPRrkuvn48IBR7crMgei8CCO2QLFk8N0r+0WhYkCBkCJlqEgHhhRYaqDnhu1JCsXTNPRyXGwhAoHF0lo4c24DqZKRM+hK6pt/2CpRYXf35drUy3nWYLAj2FvhFYsaVEdL2QK2WZeUCy9+I10XoT2Q589mrfezfkOxqcDSwFDBfko=</t>
  </si>
  <si>
    <t>x1y21ggWiwuWa9RCMNtXa4H9xu3bxcqpi5TN4MdTGg4A59Y95OgZkoyEd1rac84UOkP/h4co8H6M3bvd+kiiAaKwhGpB2G/rPIO+9NWPW0sOGYf1insMagfeYlcLxMqxqR4dAFBfOZ/z3uDaGnkiSIksEMP6MVFcLKK4Oc2tCtMS7VuqnOpMouMJkwl48N069QoYesCREfgvJ0c3iHbYLHxBwbELWjAOvpw/ccHwRo4e3Yqe6CuOdT/4VZ0=</t>
  </si>
  <si>
    <t>2eXXHMakbLek/e1iq2/9bszvxKaoqtyaVhj2/WseGZ2Pwp23WPh+9KYC3S7YLz71YlAJEVkSkJCbFLvlK+no9maiVgjP5ofTmFBXrscQ+SkcYA8AWfIgFendXRysAFgxSMU8Sd72Mb0q+XOctW3RTgeUzYh8E01yPe5xquG9Q2aqUvNWrjEj2+tNY/h3hTPCjcFJTzkHTaoiM0OWP36dqOXBYHPFdlGDT8MbEJxPcxbhs4aEUm6D4OS1uxU=</t>
  </si>
  <si>
    <t>etIN83+DwE3AS5mB2SYwIDMIpLVtGFodhjHAcBg/r/XWoNgZJouCic6AEumerd5g44iJDbyiRYsHCKZWTSmGsfetFJ9+IYlbBwduPLEiW3JYBzNGrFMkD3mcmmjVzRNLeu6WJwi7SleXk7V2FJSVPNBLB97xX4jkjeZpHGH4LuNBjW2dutb5fzVc1ygeYsDZe9VGV9ObkBZtyE/e57ytAhpapOtvmGMhe9P+zSMD3n6iQKvb0piSeDPZokw=</t>
  </si>
  <si>
    <t>UZNL6oKygnleDzcv+EhVAE90qXRtVRkbLGjRwJIgFugDzrzp7eGZXgJ5lz4Sva6NX83fD9CSlLu1Q5BGxvI40tPuU8wkN+cv9tsWGZ/IcAve2WT3VhbX7uPYodDIuZH1nn53fVCtf+1L5ZTVH+gUaYMbswzhTRSPqDCuEOHlc/u9m7rqsr66fveeM3VOMCmheRZ1+gTTlcCeUZDly1Io9xHVp4XjIJopjm26WmQbgRpa7XLMfdi5IwOtq7A=</t>
  </si>
  <si>
    <t>nMYO1sclz8ipQIiFY3ePG3SsXngDhzUUeCHYSOApDflDGupM9bydA0hDcEiga4PGFsBW6hmRuF9+JfS4awNq97zW0AvRKH4SHm+2fNmd0PSghcX2gLrIKApvoNHqF+hjx5aDSDU41QBVVSw5b/5BeBHYmm/fzSXlE4ahGH2H25Uok/itu9JdeT4S6H9eOrDF0wTQPyKgQOVwf6OJxjJDJc5pR8Qa4lMhFxeIPcV6Q7a9mGoFhw7v/pFHiHo=</t>
  </si>
  <si>
    <t>HBGbegxg6F0ck6+hCTW9hFFxbnrn5KNGUJdxc4kGAH7jLVQV6EEaDNm1+9k8vadQcEr/kh/R8dyiauoQCQfvGxoXf8YEs7bJGOW66mXh8JBxom2DuzU6F6J4JLiSQIcCNihKj9G9uM2ebc8Afjn48NB+EHtZC8nGvJHg90Wq21/U2VLmzQxpvZIwY8lPnUYmZ40CfBW0I5o7r0bz4Lb0DAGWWP4QS43/n+cZBGbGtiCWhF6QHrO92OIEJcs=</t>
  </si>
  <si>
    <t>ci2T7utFyDUKw1w2I9Q3yQG9WeawBFC8lgAKfLQ8k5CMbbGi2dItqTyCzfM9qxePK7AnPeFc2MOySKlCaH2NDmfWy60+Ywba+8uMBDjUvOEL/RL+CtZSLzYljEjgAXjBqClsWIQZq9wN9zDhyMneXzYyZ0gEbUMVmD6al9a/E1VOZYGvHfqvc9cBIJ5S2bHsVXCT8V/EUB0YiieFZ0Zbt/4WWuYyAvlRqjwNZzxdJOz6d92yK3mkJQEe7WA=</t>
  </si>
  <si>
    <t>oZ18vW+LomSbjrviM/abFb2AF0bqhJb0pSPSpilm7+iQHqZvGVkSpFscTCUpKWDMYAjvfW36WoQ7NfSaXb2BQR/LhNgbiiscaTDITs+7f61NknX1Zn0AhICEb5YmroJb/Ef+JTIaER1Iu3vLOED2RSD/Z0rOl8H7WWEBrXVtT6UXhigGLx7lxxEgP+a646H0UvQy/qvu5Z3qB3A6KXoI8BHoBDdirEIOl71wgk4efGcupDaT+uUvhhos7ww=</t>
  </si>
  <si>
    <t>sSxYkvklxFQg6UmLJbg8BqFVh1J84eGDWgtoz8kS+qqCa/9Sfh5hmelEzfMk4oaAJc8Cn5L2GTfbSuemUS8bY2zaAhoV/2eKK/EZvFSOO4Hse++GhLwQqiHJ3nf40YXGqKswI/P133zcvfRrRlRAzCc3qZcHY/A9/B/qjYa8Uew38qS+hJr4W3rUHKiuTYME1YNET6UTC2AENeBMMwgN+R13+D2ab7wQgAMQV0GGOfDbvMnUkKVl7rajadM=</t>
  </si>
  <si>
    <t>yZMfoZqqRZGcNKd5mlTLpgAK2q4O/yuxRUAZu7v0YLIz58G1AS08sBmWMi8ghICtqf0dgenUynhjOpYfMRfJjmT5Ofz7iS11mmOoVQkRlM3uk/fqGTW6EP0nBzHDXHS6EpRkxJ9yevtivNpgqBs/4YuLpv5SWcymYplI+t5h9W2Ohf4Km5NtqHCZgG8KGN02OAygib2GpRCPWzf54KP1bfTh27OdK6iz+BgbkfTVPUwpE2Jz4uU9xAKh8os=</t>
  </si>
  <si>
    <t>7Qt+905QOQBlO4BKCZM8gmbjG5lTffmiqWWijce1Hb/xsylR78dyF3+5TaZCNONPNtbKAkk+L5URMW7N/0XpfQu46f/DN2FO3XmJtVTkxcWuotYnFmnqIKp/HR1/WwHI7cx01qH/MmN9xwT/9sVk9oBjsKnY8TKaGPOFmUHcBS+DDGR3hx11qiLxXu15LO3snX0lJTEfuOMYxxv5dE1TtrUKH4FOXFNwkMqjkwHn+0ttdxD6+NvJkNmChkc=</t>
  </si>
  <si>
    <t>0EuZjEsjBKTSsy7d/lqU/fybm9nQyIqhG/NDIH9JrSP3kwzMhc+SBcO8dTfbup/IF7kzf0gCC7w8+TuHAJhwe3h2k6Lc/EJshzqMBhR12mEs5eHCODiBxs6Kvv9sOJf066rQeQGqi/VpcDcLfGyCooXMZcLsOi6f0bmr7APGFr+pkRMdmLO94OaNwIdgDNNvW8ziWfHi3ISFmixezn1uTyw/4C3Oyr7+kMYnWhJLB0kWt0gQWkVPZmA2JOY=</t>
  </si>
  <si>
    <t>7KZvMSjgl3R1Tb42gjgZUR8t6vbl8VzpdpXhJpES823NcsyXZ9WWlSGXDbALMlkOX+rV0vmnCiNoXSAdzLg7WdURpRPhNP25Blo2zMwVEYy/TlZlzQ6GCbL+mijr0uvZ86C797YHIrNRbzn70quSqCqJFuI8w4JVX8MZeDxu9GSt5KR6+Zp/oPAbyzAm9fp3+OjkHE0oIg6WSFoP+weoExqr+ZRNcBWb6+Wl2RgUBf/vifQ+qsjUmPaz3lQ=</t>
  </si>
  <si>
    <t>7+Uv6Y5vq88lwSi6e/wi6ApuYdLdZzAFIY+JydNUlDjzM0wBbCWCiLxIinyplhtOq3kz8CBTRomyQiki4fX3T3a6qnhqj9zDBztVqB+s44TNWtuhgdJ/csNOl29uFWI3uEvumCx2+iMjQ4hX56EV04NmQDv9TAiXugcqax60bKxPVW8oJ8afktyqygoQ7w5ZvfbKGJnxdHWrdyCerYLyvj0rZfnVfjizK7QW9jApFhGBsfZCTvwpnvItPBo=</t>
  </si>
  <si>
    <t>V5tEGBQKwPg9+If4jycgRPPEMYMIK//qG/ij1tEiIpZFUjbjB6bJFQ8388u6ToYnUkzF+pEQEBoxXHDRkV/9TK+5RRDNknX+KDuEm48IMq1Hgi4D1HzqLAfQyy9DFPbEFZT/qcisxW0brV2H9d2+KKOt00XQU2O4ZEhMutet13nyEpJPdDc8lFKr6LwPjj+ljj+lP6MX+ZtBpjuI0gs+mGHNMnTFTBwmfz6yRuat51Mnt0ZPQrc28xGuapg=</t>
  </si>
  <si>
    <t>g4htllV6T6f9DfcDt7/yXVLl0u58dKRSHF9GzfJ77lwjtHj5VF0gf56QS5EkxqkqIfAZE2HflJ4ok167UMsV9YJqggDzp4C64uHxtguL9GU0qa9FnVPCoNZf0kyWWhiOVDvEdtGb5LpsgF/Di2NhkeUztoo2aF0aJMmRNppt2lEpge6v1xBuEQOySkRLLp3MF/hmNPuOLz67WIQ176B5UwiaOqRsDf0ru/ZpoPUCVUGtJbEQHnHHJQ/ZtG0=</t>
  </si>
  <si>
    <t>PwDRpvMHGH4YIM3Z4yjCxQrehY5f7nD/thfR6kf7OSAgTK7LDI34a0uQVB1EkihvssX/tCShrnr6uHuuACM449NqGwiORlsROV1R12VYjFniEhfB7XMoFayT4Rv4A+RcSYqEkOlPyzRZcPB274u2SOlLoMZ6K3nqAFl55px2C/2r5riPokQzxWLBWLyJxSqJxJTZKLI1doK+qeB2QcZbvMSCQEi3kfg4BchRez/Zsk10a2EwiDPXOlkzbLI=</t>
  </si>
  <si>
    <t>hNDfFnrASliCiZInXHYYHPZB9g9g/AeYNtgqOe1vWy2BN5I74bIW6T9VOQ2pIFwnL0uymHu6nPPF7B4NY3XsvKKMySemxYpgZ5DyUsbVdUU/2v3sq3c0ZaCpSP+SEe0lhq5ofmyKqrYKUSUyuDQjXYhxCg1BzjDQcuVO0ayW+LvtfA9CnqoLulS0WbcxkL4/OXtkytV0goepypioio87SFYxFpqugTB/VWgFE9b+LqO7z2LDUxxXYjWbxbc=</t>
  </si>
  <si>
    <t>q8CLPstlkk1TKz00xDHCsag/r0vxjbep1rHonc+q+EzYlp+KgfAEzAw9DiSKLnfyslskmTOYXRDEtA8WWe7zP++ROuH0+O10nptd0Qb7LF1KWHbshmIDWCWJMPfp1egsKsUJcYf9g9SqQsY3CqcarRldP6YR9/xdpPuwXxS89zmffO4/taDNxo4ZBwMyBQL1Q+BikDHgbNFI6vcTkENWhHSepk7NDQmw59DXRH4fa1te5sHtOD78U6GSuuA=</t>
  </si>
  <si>
    <t>RjQOM4+/jmRN5Jm1dRgX4ihz74Al9f2tkDeGLEtoqhVeGyrNLPCr5KF+toosnpbUjr7Eql5YSN0aGm8AY+e/eayhKcuoe3RmZrAH6Hr1OpYTqoRMTPjia6nDCnJItjNO/nZoNTfdRMVznoRrGj9HdB2dtFyRXRtaf8fYgeSqgg0cMtWqzh00kLQdQDLL/TvxXntyQfNHcCaUSnQo6VcIsYTgT690HUzI95URkyEzvV9OtZ3tfcj+ORTEv+M=</t>
  </si>
  <si>
    <t>nNSVVsEHTySktvX2ypxPPqfO3OCsB53/B5HxqwdNE6NqGyh6VvAJ1/Rybjm3o91M1+3DXUvetLztdtlPorDs4uEv53SUE6LlBZMzf2q/eAk8a5F5S19XFkxkmp76LuX1s3GVIyxHf6YWRm+EEMAqfdPO3iqBBPXsQQKSIwRgZqxbF49bQlbbHLBqc3m+6bhS4l042xOLxtCLcU0HOxalGYH19r5QXXsB1Vl3SsYZlq0SXxY4Mg+nW7hgUns=</t>
  </si>
  <si>
    <t>A0hLTMnc1+UrwBjzyJpfK9VOAMBE9AjRYnvnBXG2BUH76WCdjRx+Tgme8M8Yp9wZ4onisjV92Qz9HFWs++qsYozf1i5/b7tFbTRCmLB2/ETEMvpWVJwKHYrvD5ys6fBe00XXAzU8UvddmSg8/2X6/jB6mtFg2fqI4pDGhDfga4r9SQEN/eeDcQtpAVlHfcpsRtk+WTvP1JZ2hYMr/k06Xen3JhnNps84YaEqLN8zn/297z8XLlhchatbFQA=</t>
  </si>
  <si>
    <t>pcgAlObzMdUqVhRP9LlJOxX6UEBAFVggJ1gtEEr3c/F0/xZHgigXzdcaS6OXRjr3EhydhOkY8lmbNQFnx6E9zMM8JGDBrQB9BluloN+ulGlN31WFF5P2up/z5D09v87wOY8f6AAT/yWff0rGwSjrnBaORj+7Z8Jd5zaiesGu35dqQ2Jiip853SRINkxMa+xijGLJ9guxIDwFXBzlAOj1gDKzNDUKMfpIcXfePCYDe0j7oljMLjqIRf3j1xQ=</t>
  </si>
  <si>
    <t>H2AoRbpKgqXURPlm/yGMLaj7eMhVOLgTYP0TY2hBUR4ZoI7QEkhstUK1atM50NU+jwqjnaaxzYbwx6i/GSTBn8MujT8YZ2LLL+2opTD/njxHgCeJDhaa73kABJH5APzq9aAui1BDQwX1n115kF7pZPQoNWewwGpLgJ8bWGxVaLwF+pZ33rkDGanHPDGRA4I7WKB7u68MxAZOGnaetBc1zzNrDr5y5Ym43WbdAuY2yNo4WkXZdhudmYOOoy4=</t>
  </si>
  <si>
    <t>BHqD5FuxADZZ7j3U5zyZXGqwZHjYSGEiEy7zFpgfT2bww480JB1HKzQFAkwIxYTw8jh62Rowr5FxviVYoF3mbeVFERkBlioNEcTbW3Ti8WaOIrvBNxxowdx1m1TzpMk0cqU5BOs90u2GEkZiLswuOYN3ZRhQQm3hyz9f79Db561LeQoakwDo8rsAQW6xPT4RRkIgA+mltqMbNZnPETjIUFOJD+IZJLNh+lWctKC87x9x80UeojmvGQwX7aU=</t>
  </si>
  <si>
    <t>vrpk9U1fNqKQ3N5ucuEuGrTPNTMrplCzsDJ/X+iDCKmM1bLOXPp5weG6hsWE3ALjwRVmW6unI96QX13VenLjjU8OzImh0O7vzZJJFV9Ia27okUEu5Xcwss8lZdMCwSA39P6/PAmtPmcsI9Edqn6x3iB1xc7fHHc2bTKa64fpnjkTciR+kCjh8ActRvoXoYNAo5Jt/7QA5/6gjzF6vh1r4Q6tH8whdnivRORhjqwichSob9bSBPpylSXqPlM=</t>
  </si>
  <si>
    <t>JyDS6DtFKAG2udFQE7IJaGr+YhjJghiVMkhLnoUERFggxBMsMd5YwZuglJyT9UKnYSyW8c4nF91pOPysXDGPB54Qfbu1ckDqjPMc6rCGiCUzg+dkA2/eG0hnhr6hd5tZyWB42GSm8GRQ4fWPO7dFcTxkGMy58y3pXR8mHg5NqyxgmLrUTVHG7ILZBKZFLINY2o+kiwhYTWzA2poTV6UtbDEa5XA5Iyrk16sIfaMQtPiN6KULmnS3SVR+fGs=</t>
  </si>
  <si>
    <t>Q3oFhZEdRkG/5H1rgd2DzyNXRy8IFaWYKMbl905t9jCoppFQ1HBamGteF75i8ImLw1A1335k2miYTjS8r9UGKenOBYImSAeS2uBckdBplsoFv1wWZHQW5xuLSrKXx21JmSzlrIvereDuHFxaL86Au0C5OLDWNEvbO01LqxXC8MkvwW8TSy8NW+ws9CWLhHDT75cVyuFzXWO7lxxFke3gMwLT3PswMDGTLSh9o+DmjyNcpcEBdjn2J8Yo6RY=</t>
  </si>
  <si>
    <t>6iag0OevFFKi+3qQGST6D4an/AR4bJTnuDN7qDlcna8Cl+7W1KCLS5VxmueIuh5J9nfVSvf0cBbG0B7FXWFnLIw8gSd/1wTIrN2QKC1ssdpW/yoYzxlHS2Kgs1Bon9AAenx2zMqxrdFKv0A5qJ4f5GHEy81zbGd5fp2ePh0yV3ecNYm3uyc2b+jFkJQJdcCSWwl4quZFrOYXuhQoXtgiZqau77Nhej01N4vqqJc6CO3XH62rd5ytA1yaxsc=</t>
  </si>
  <si>
    <t>Ef5b8/qv8jUUl9NXPFGoBaQZVqK5GOO2tjs2gpFY9UL+5+KmyC+spfKeV62DPyDzbIDK75ksNvBXjXzyV2cIi5Um2mELqZY89zv6jDcBo08/foLORvL6R2/sbNAcOhQ1aj6HvXAiN3PWWUVRspuBllaaQ33g+f7vIMSOmW06XsWTD/euDbnncLDk+yAlK5B5xMIh1w1DwNRhUaAYRrpWzgd1GT7/Rthmzn9yxLyMnmVe23f0eASDjJG7fRs=</t>
  </si>
  <si>
    <t>nEK1M02quQoQc8NpxvLxqLXpvIyl7nCgkRxdJnjl5jEbkI/s/hLYsoIhqVcGv0c3MwoVF9K/s/MM0UzSV7xeJmkNbh0/bbzgOIflValBgm3LZoWCmehAgV/zmGd358IIrHRlvgJ3br0PrxnT7Q8+vHMwnTnlaQk645LauvXpZbuotR58AgUg2+5tzkWXGjyhY+vrS87KFYAjQCG9aov1XTwJys6XDYljY/FX/Vflc/8CUAHdm1I9fZ5rz7w=</t>
  </si>
  <si>
    <t>YU8fuw6gzj4iRVnISxjPIJJ7gut3nzigpjEWnPKiaCCcRo9JMKoRQK9iSUtfx+ermKi54WDKMNs4tqzFHY4CIN7plQEL08ylauFB+XSaBh5rSoIWUl9wepyUb9wed2ZlckNzO5OiW/vV1JtJ46Jc2AWbmdDFsbvOd4tCA0skbc2FzZkDyDiSGT1+OHx//IQR7ODWuhQnLiTfs9IGxgl9vBjrWrt+b+a07hATHYWdbBj95+4v1fNQDxyJdW8=</t>
  </si>
  <si>
    <t>LsL4c9yq3KB2As/vgWVU1H+O7Nrg7oVkbHbT4+/20GKODn6NNbIh3+aUJD40YgWY+DK4vAKD7/dwVmHeIcFI0o7xVVFzn3/x/1HJSdmo55mtrUUIOls1oRHwS3cycRU5Z9QB3pZwUp7gXX/9nNP7IhoDXg7lpVi1bvWHgUsyKO/slu98CK6gpZnzM0aMBU3Z9itfMwZp5o0g1dveqsg+9K40ql/2tUDcgy8e6vbbdmzhe+iSYQe/b+bKru8=</t>
  </si>
  <si>
    <t>K/8jLy0KSf7TmBk8ck35RGFx6XnxpNplKZK3f+3O1GdPm87gKDYa0Y5FuE85Kyl7aDOY3FW0fDdzrv5fRtx57TKn/GviLKUGwc1q1U6DaD9MelM4r9qnPTqIL8qE0gHMjOrbpa/yG6JWCrUcdo8tBZrm+3fQsyJNx/eLA9GZ2+X8HB8scAk6m5nZXPKkCeCPTfqvQqvgLHRyy8V55A94USR2ojMGlbeZQF2+S80w+75s1sStjkLqOgYBU4o=</t>
  </si>
  <si>
    <t>jjJB3Tf2y95U4bLvO2pY1IcrcMjdbw10OEYVcG7IQCmaeCxZIwqvLw3t835hWK4Nt5hWl/V9FGDchdzVklIhS80gbEexb/Ehy3FLmmi5rD38sYG87VI51lLmQM4C3HHTkpdkJGqTATE0phVWhQHffUEdy1LV/qtwuuo6Jv1TfpR3+QX0VJ+0yILfz4Nw0Xo2sXTHJ4R7vxUYcFfgIfYd9FnaFAeW36YIUAt2LgpvRzT5BTLV7q5Tq7EmUSg=</t>
  </si>
  <si>
    <t>Oap8kuFXPvnCdRz6cTmZcn6ybPEBORsyj4Z4h+zHH74M4XF78fiXZOrDCRTW5+kVU4hyeH2wfci9Fpaq3jez2lGxecOPSDm6PyKEkBR31N6T8sA12nQBErSG8oKc9+EXg/MoR1R1gPU+TmhmU2+tTFhGky2FnMUsO3qqelP9Vq70zEH9miPRhM78nkJpZ/WqQZ/Bv/r1rTjbcMRiyx3/Kelf8WC8i9tmxQ5laIldm2m0gGcIlJxOVYrQRF0=</t>
  </si>
  <si>
    <t>3eIRWyIA5RJQriNHvETsCCPAti+O6xkczf+5JacgY2+TK7gpXAiMfm680XpAPtWcclBDH8mv6g7wstDR+nDkD8tPNIiFJkKZCCdM0krn1Q+tVNayVYnVbF9VIDvU6t6dY1cHY2cnXDWlaVlaB0iummjv38l/oxJWX+JDYIm29T6yAa98S4F4ODbXVZO1x55a0UH/wEm+GV0C8p4CfIwGAZm6xhfD00NdrZ+zdVoAxHD6ogEUR3pXwvfcNVk=</t>
  </si>
  <si>
    <t>UHlmajpeezk1dJfz1yKESApk1EOwFaz4AS46Bcfj7Qp8S5ShZfMzErlFBgHW0gsnF+wc+gJE8gB7lujffbE8Gq8TdQwIM47m3hj6bhCPhA4ZAuJS4AySdTw97BVwVnFO5XZM8INMcVB3Uu8WsRQzdiAYmsuIiAdAjPPVj31Zd3oD4aFZlQ479hkCKhuep3d3vlrAX+CD8xMv7GekgeLKkqgib3/Op1vZre6NyK7Y1SsVjTTvhVYSslwQPoA=</t>
  </si>
  <si>
    <t>Fn+Z0FrgJNhQSQN7gMKUNdimxadzxWfeVpcXVnHjvq5M0SkfO6+Ag9L/7WlfFpKjNX4HsY7gZCfr5BdQ2phyImmQlINQ3MfH0xLT8lY9TZOYq7dRg/YzbHWRagTia0fUw3M922RDcwUhpIcdUChQbF6ukBaqJDz84/FANU3m9T4+bRjbyEwSaxg0qHRcCm5IDsBXhhFVKEU6SA2+KaB3XYndnqJ/Y9KCxHQSZuCGCIrHDe944osuMedA+0g=</t>
  </si>
  <si>
    <t>iVjwytcnUTBWFydp7oVDLLQjz1nX73wrLUGShnUrEB/rnnP0LyRQGQ4j1EJ0nvolPybQLUlFT0CqacdxKtx8c0OSQ5m0o6PKeTLWV46jh3MmNkrfRv2wNh/TznvhyhzZm5sJRV5U3nXnWV967IuGVCMzmUgd7V71/RvZEcf7JrFpa965ST4xNQxxglQTnwcW6Jal8i2byP7uvRwMYxddUXrOKLcSGCniE2HoqAVKn3ArBFuCWfDI6/GUAd8=</t>
  </si>
  <si>
    <t>Yn4WyxU8HNorXvSyqXwvxubV0ntA3Ktj3ChU6Jg2pF8u+cMew71xxaeOuyPpxYkz94KjmOxP3kyYY2sVTawamHy3MoiTSfnEZPXmSJ7r/NcC6k3plY8wU+UoX236EJA8daF7qEleg584IuD7JwdxV6zyhY/MEo7RJdtX04ZVRZo8RPDBpyUi4Cg2nqr3NJJZTp/c43JJiSRnbctT8ZLGfYiQ8TDZLkBFYOeHVTojsYSl0eNMoo555JxZaeI=</t>
  </si>
  <si>
    <t>HG0yMYVAbkPKOZLT23flUMfoINXvaRa9d+j2wHorSrayo1BXIJDx8WkIjE5nSi03wRS9NQ8InqFWU970ns1Amcb8XFsSueGgc4WKT8h/nA1230SCq/+PVYzS89T8Ig+Hjrnip1wM59d/X85c+BC383Q7EmLcCBWP6ULAB5kMTvWwApDeSJlgyy0E32qpllDxf1wDS6T/ERPbnF+NkzXDQU3gAbBSUKvtInHtT0DNe/I+tqPflyxf4dyhflo=</t>
  </si>
  <si>
    <t>2XE5mjLOROrbcoyFv68M2yxw9rQs+1j1My/gdT1Ili6brKzWwt84DE5mRo9dAhTjqSmgy/pZZxSDajVqXJcQihg7vxFfaAy3FD0V5/6ixd/TuD0JxUzLXK0kiBneeYsGT8Fqy+YiFc9TdcjqmaX67BMbwZk8OG3rK/hUj6b5V/ePNZMpbahdp9lmJpzAXSAiDubTYkoeCRkYMmKSJj1JNa2AreMdS0s1PhIDLSQk1DpAwpPkI5c6sXNfLBI=</t>
  </si>
  <si>
    <t>Lf8yACBaxrV59eDWFFTzeKMkUh4r6/22MhNbM56UOLoQemYrEK1s+Jvii78D/tOz84JH+C47IiFx1JfZenuUZAOrk54hK5/1EA/uVkuK+haoD98JGT+JGdZ5dQNI+6F4AYjlPOP7vdCNxuDTUUX7j8+ux3S0FsPNTeFtmoEs8uknw9mSPWuXpVdlG1a+7SKbERsZgLDrIrwPlM6wJ45dlRLQ5gC1TPyQ6uNCIcKf2hf12/QQlZB5JSl05ig=</t>
  </si>
  <si>
    <t>w7pdXgJnAaN3IkaG0pezxlNEsRPrxUNtFYmppxEZHy4HxXW4+Yq33+QZl+WAXvePne3KFNl9muf236NYl2tlLbIRrUjvg6Vt2C35Z1lXZfhpyb1V1QrUfOt8p7R75bpaTOsjFEY+ETKBv4ocIE6zhwJjELMJRmw9eOSfLzo3JEbOksTaU78mkHx4nyX2/KqT8mCMsZeMYdMtqtB+YfgDOzgfgDRW8K6JtPqsOX1Ut3Sw8V/PalU3spLNQ4o=</t>
  </si>
  <si>
    <t>EN1kxl4MVrgwKX8sxmerOjio9ypALZiOASaQSPBfDjWeb1m3nLxHQ8TpL10yWaV1GEHE/SyZJx73JgUoN1RvkYWapYBeepgbdcIRapKPI5N6WlHX5r7hVvfUlhH4rMyAs3vle4oPczFjAujTguo74XV83FcEw8k1R380Xd81KckU6Xb6yrheK0oYKUxBFx4LBPJ/3hlS3rGecamdJoVhVv6qx8+dnXX5r7YS3Pw0qQ6/edt11pxvWnAFNhw=</t>
  </si>
  <si>
    <t>v6+4laXtXUU3D5DfkmOA46xGf38COJalPaqe4P+WudZk96wPtPM3cObGUCVvupRW9ki1qXmRHvDjpzmh7sH4JAnY9zb2URHp+VxojWSdRQQRUjOHBnB4fL/058Jl116EAVm6kOkiYyqWxm65DBUQvnJWLmLmpCvFRsaNUxVScn0XUx1BiokUcGKwsfFuOZ//n+Js3r18zNgns0D5EmHcrKLJa/b3zD9pIM+rdMWD8FJDWJ1ih0o3tpBIEH4=</t>
  </si>
  <si>
    <t>HhY2xMMd3qJUKK2kckTruMwDXJ66Vw2y8NEgarVaAPDEzSSLvdcWLzDMDVDIgn6j464nCNvQCxMpQgQtG8bK/LaHjZpJ5DbwPZ8R+ozDjl1qYX1zwYhRMvHPciupCzDdfzc08O3c932xeB6CDMOVK575uiMbKseyKopXN9um1HEbyymX0dJnQyDiGqcRit9uI2qnCUqeAK3SpBkEHxLMrptxnMSESVfykgZQqAnw0IZN84gfpcp36cD9Fjo=</t>
  </si>
  <si>
    <t>4RTD9ENizczaBG09TjJkHCBLG9Kkh/IU+pT8AU4YDRamVCDZA7yPt82U6CsqOe6pT64tsfEwKHUh2tpqRme1CluxUPE0BvYhnqtigiv6L9LTU36vlwcIHWrbc9frTV6pVLoYPDyvUYuVJ7h76iGlYH40TZoJKDRqaeBv/LTSYOfriY4QrR4rukm+DX4dPe/BeALIREu55b5KS7ZoWYJM/lHJnS7aXpmNuYoYJ0mMriBOz6LU8orOsdhHBuc=</t>
  </si>
  <si>
    <t>o7KD+fcC+vhvoK0zsEZVyEpbEa7Zs4QqRbUrroeWL7gbjdy2LbfTlC6yRk8HEDkK9SUHQVAiEDO17Z1ApT9oreT/BrtXG/OgBvkxt6N8TwVogKf8iVBhhQZDv1NK9raaCY210jWDBiDWdjxlQ9TcB8fCOxdTAl4YejEGA11Mwtfzyb4miZwBME0Nk7qAVIySl808wCXhxzkNGzTQOKDSDeUwKGNRmHmBgw/e08aawrtGh7IQgQdVN7UNbLc=</t>
  </si>
  <si>
    <t>jO8MpFwG9NQyAVE//9jyDYsfH1M/JEkCq4/RQJjtAJAEe5AjfD6x7oscmOtnDpQeKX7qb9rBRIOGPrUrwaPYWMl59v0u+xjNlMkoycD2kBc2iAIDCW7ufixO3ojhTTWgkcpPa+33c/boScSbhQgt+uzthwFeYuJiwNkomt71V9P3Iji1Pnx77XGk94cgTM7QvOeSURKlCVG6s/NMOBnK22oo4pBNnuJu3UkzziGsJlmDFbEMq+TuPf7eCno=</t>
  </si>
  <si>
    <t>LWcXQjlva6WIKvXXJkQ+9AHMGhJPB1IQiYSjKVnBRd1T4fFIKrKu8d8QV9js6xCGTUdCvKy+ocrX+UKBqI7mnDCJvRINtygAv6OWcDhrpzI2MxOYGWVTxdjOCcrUAxtWvYtidXn9e/MPCPC4x9T1S6g5DgkKK7auOmZO2oZU2ELLphoM/KtNofk/IR+dcnd5c3IoLvsBn6WUeIwKSAOVxQcx8zBOqxgirJySSjsXs53L4AvU08PTVbP9yqA=</t>
  </si>
  <si>
    <t>+bbkgMESJJTuW9CmEUTJZhlBLoPvqPRosb7NjFIVAhdC2YWJ4Y29x7YdHbrjcUYw5Ez3eLYMStx+rwvVTVxO7CToQ7DEsQBpVkHzt10KXjnHzI03pS2U1CDaKHYjn2REghw+T8Hzv/3Lj/MoG8TvY5MULmU+nALB4N/+m3fTabtWyam9Sy1yKaU+Pr3j8+Rtg/LeS1EBU5HvXmi7hNCeDWgBIPIBK+mShPGzWAolta2a8OIYmGYxcCkjCjc=</t>
  </si>
  <si>
    <t>XtOMLAUrYl2q3aA8a/YVB5i7kGkmMcJCDIjgSdYI53izmzwotLUGtYoecLrAvebuHUn0VVvllYMXuk0sKA9Yf+cOdR8TV9iujYhTjM8JHeNlcfTKVBKLMSBRO3xy4/or3o52PNLWNuR8bqGDhLXAycWWzshQPbWRBU1h8sseUyrDxWCDUljds1Hn5XNb1GgNZ2GWGuAKmB7PlB2ZIbwozr7MkMFYCAUaVWmv09qlmTF8UdkfwhzBqaw55Z8=</t>
  </si>
  <si>
    <t>pjpEInuGlwCiUwU068gxSXISiSneDHZhrAWpVMSAAXRP3sBTU7oglr4PSaHcxmVpwKUUNDzi4HfXfmEloiDkq8ui2EErQk7rj3yfPxkGIRcdil5x/lWY2GRP6/DbWJqfr3WvkSjb8G9QJgW0pzFtk/GnHf5lbMmFHYxSGJZn6TSNfONN5KT4/RWRfzyt1IpIeY+ZpgvexUzgylTtXGDYNqrBS2DR+Ok4AXbS8jfKiSvN07Jqh4ZmVHndDPQ=</t>
  </si>
  <si>
    <t>AAISRcYqgSraMUs/Q5K6J99TUhadxkWtvCdN703VHxhQJbs5a3oVkaXhrHX6bSsaX6TeHKUx5zWfFnl/ZcCbfay04RYKEPxsox5rG716XKFsT43c4zDyOsBt/4XvMa+zW+oEBotYUrDhu4zuFb1HifOrYzgul6z+gfhEXQY2lduzs/jQvK4HapwllDiDIYjEh0mVvoUr51UHHEUOehwuGWzDv/aW/yYiBcl3NKR11hwZD8SQEWJ3dXzgs7s=</t>
  </si>
  <si>
    <t>EybzH1OncRkaOOz5ojxgIJQvR3lm+Bs5lfN/KPO+sEhTfzwmO1gylZL5sjNSI4vroWo5YYEhuU/WJZKWXIGXDou7dhO6Er8RQQwEeyQZqOT5dnG5OfxKZmRrOWtBBDn7ZfgK9fmke5UIqaVHpYaeg2QUhgD4a/8fLF2d6A94oNE6aOjcH7WQb9fleUL6s+BxX436wbxzNR8oxF6feukoJPrLReykrItMAaKwQ7sbT6WqPvXl3Qoog8nNBt8=</t>
  </si>
  <si>
    <t>iJdaeXWdKwgLMglK/vDRQm+EDQvO6YHhWSvgwRdEjKES+KF36slFMFPC5BJnsqCEUnJHP3+cpepsYfSeNqfHjI/VeBFqikoeERPKqbPoWv98359vU2z03jKv1n5UbsfPdr51fmyOcwVXXOzqWjBsR7Bimx7zncVX3JgdVETm4BsmTlg87wBr/L6qCAGtGLypJs3Jbz/KJwuK2wFik9lZrEkrU7PJUlSJpqmTfLgws3ubuGS63kxuSQrpZfE=</t>
  </si>
  <si>
    <t>nZKDA2Wd03Uv508cMAJcZE3vLa1TiOV+kVmxV09tBOWQAxJ5GSQcV+A38Yx2ro6dFplxMPjsOUqSHeMXcr0OdFYlM1qVHsE4b9P3jCnCnipGu2Rp0LvFWJkKZbp8CPBcm+RWG2BTK4SngODD81cW/iQkPVMCU7iwrhsN4KgUrzcCDA7CImpfAoePWq+R64R+gy14RUu5/lL33I7LXk22V208vFGr8ryNY+DxGoqrIPBcEj8dLbxrTY5YLVI=</t>
  </si>
  <si>
    <t>d5CvSi8Z9tPdshiPtZob4E2XANW72rtsHVwKSd4fvy3RTsZv6YdvNsfVkktAS1UTn5ITrpkfUqD1JsU1nWZz40OopiRrqy+BEwH3f01ehJpKa9qKBtfd2yXBnx9q0RSgwQ0lM6uyePtoJmD5gri5+4T1skMUxbZdcJXML/h8bDTsXuaW4EHpXQLowk7SyBAsifxy34vqtk8Q2Q4iolkMSLbSOMNeg+1fp8cFN1YHbkkirRVH1r1CWTnTKC8=</t>
  </si>
  <si>
    <t>7jCsa6+VtUBsr3uiuukCa1u1LF3QP1ZO+wgME332kwvWQJfdqvE4o01gjPgrZbNzowSU9QjatZTpcBrZwcBUsuL26NS+RXBqyL8KNlwJjlydh5uRjktbeRHhO3uf1c5uD/vPtE5rJTi+aJmTweLwoz23TPxX6O4Tu9Nu5GhcAAVgi2+lYXPywe68KYbJ96CIXvw58RgI6tXQUiBVlAbKypdxIzHD/c1og/oPE1LzYeoNFQ00mik3yXxp+s8=</t>
  </si>
  <si>
    <t>5mPYpFQKi3dnPs5M3zXgUW3jI6mIVtcCs7r9YrKQXNwQVVouV7NMvIXejDcp7KZ0DKWFu10jhz+Z36CjVrblcKgMMLVei6tldRcKGWptvPKsNeF1wFAXRBBZjQeFHc3D/6PKvNEaWpCnDBxXU3qds7cy/i8Bfbam+Tz9/L62uERlgwd5fDQOiJU5tMwos+Bs3rVMqD8CK9xZvsx84r3NoJeFBS/WDouL0ymaTl8tloaGQuBKD4oE7DXIaAw=</t>
  </si>
  <si>
    <t>NTjUFlwLclHt8doAU3AxeSAnp8H/A3cxBHC4WovLPJ3pseHAjPWCm0wGv4bUhw6FwX/ngpyAL+2kWZ+uuPch5TYLKIssqbYqHv/CUO99rDaZfm1ABCBgJ/CxqVT1jw+IkrqpYzXjFq4C6DByys/dOyugvY2PRIG3gUOa8n+wirlRAOSzvh7D9PfH59Gul2Uw7xgyPKzRbyqFVd7zZpVjGCNbfLx1NXZr8P5Ghj9RfMrwFCyzzYQMsZegwbk=</t>
  </si>
  <si>
    <t>IiwSGQ1oz1mAdEgaCveCQhdWibtA/6UHAFaWAU6nEQ0yZkm7g+Z6JppvjoANPr+meeU7iSGCm+iiLZFj7zhUomo+eseuHC5glfUCRPo2PaEL3LbG1j1x9GLQ4UkvPyWOju8re3yHsehTctOi3sr7s03XCk9sByabXGJScBg0ysSjZJOwlIMiQdHy6udPuEP8kqi/JBQMEMrHK8Lnyin4MPyIZj6U9KRmuXPsPlDYRVzWlINSUtJWzX7BZIo=</t>
  </si>
  <si>
    <t>8ongH9UBjOBKam3IwkrvfID1N9mgDWMcnud05d2sP+16kMLSfcvserAy91jClvcqiSH2h91rYHC5qzMOC+LxXaeN3YIJ0W61uHqdH7HYwGyqHKptJnYuT+9Vug9wv8MTHp2IRvs6UAGC1miMyGyzBqETyYM3Xceq7fONXyu9ZuWRtkatvdjIYO4kqL0eOyrwnfDyXelKB9lgN5DDpYRLJ3PAqGhR/Jp/LGCc4dgguRykIeGLigAm4FTDRjs=</t>
  </si>
  <si>
    <t>NupXR1anXn4ICn+FiSMTJH5jPRK8F+Wt3y9cFZKdVRVcZM/pVuRXoxR9SXYewtfgloL3RT545/oA4RG+ptWEIrs9SvpOeNN+7QEAxmsVLCa6uA+gQTWqwRc8jvR336a+u0Wiermeflgspycpj1hQbG6JUbE1teabmPe/eajSoCWNytbOQAtxCxfW54U56y/Czk3+ufU5vkrCt503oVt6TMja9GhnSh4DqkXNLDwMcbacSln+OIkA5h1SL+s=</t>
  </si>
  <si>
    <t>gRJzFlmjeLxgAoshcPyYjUUPd0RIVHrPfLj74kUKauvazjKzXQnPdzpdtVUjIvaRxqziH4fEjIY1do+JCdc0qGfoDB0ENbAFzySXWGg2SjpdAHj/a9xnQkOf6miU1X5gvt9otiypHJd2Rs0zHYtKDnllGwfJpaFB1E4c9jzCgfHWhaoe6kgEG2ehgZtaJ6aJK+anC7OAz5RT1rhcLi7HTU311xL9OmayJq6VDWvF5K+78Xi6MF1VknIwzok=</t>
  </si>
  <si>
    <t>b6Ij9g+ehWBtrcoDJ5sEbAwQ2DTnpcWkIA034AWOWCRucWJ8tCbZ2XeXtsUQMbMomuUqb1oVQbCb+J1+kVM3Sjxpeo0tpc1GD4XaEVlZDRz+uIyBeg3rJqRmnzca75DoZi1Wmr9XYiTg+hG7Y2SoG1+aEroa9Wa89mWQGSe5CrCdCC8LEuOsYWhKCfQZS4aI7n855ZqZ0AWwj23ZxRhzgePgzF1r0sUfXTI0hiN1YDtA4kfZGmcycF8xKOY=</t>
  </si>
  <si>
    <t>E321IeLirJfNOYeY0aZCiP32SFJMBU00GRB7hUKkQZgzwvhVb1I/slZJSyOMK35DqgBqvwO5X+65XdtBLrh3tGEE2qUhYPn0C5p06hNGU3x8ZTvfvRvTyQqrAHXJjc7X1nJvIkZiOABLL8IVpOP6+Tawr6zkOkbcz4XPeNIRrWaEejK/pLvy0qD6FsQKCopMLhXm1boi9A5th7eP2RefhX9b3NOGX0JjeNGk23qeuHKBr1QKKcmhxsla48o=</t>
  </si>
  <si>
    <t>7yR9B7FMnNdrWmq8UyH/9g310k/7mvW35llCP8XKNFXoNSjjSvF9FcQLMhuPzyayfXcCoH/ozquom/9ssT3etl36y4eQ257+VP5znrmplo624osBtAkbzd55TsJHLIavjbUfWlfxkFaxmkz7SRhc5zxFgpVybR3IbCMfs8/8nD1zIUMlFjzBnbC3GhmYeOl9vChobD8DiWDSO/VyKmp35+ybt7aLpce/1tKGi1rC4zCI0jgjIbrJgsVModI=</t>
  </si>
  <si>
    <t>jUC4L8fQjHzAsQxWqKVH4kHLWxZkRIG6S4abTt1OA7TYEr0e2djvRM0AatWbbqP73LZWy65oRgPFiSMYaqS24fAcImypb6skVvSHxoGW2zIV0FCIQP3f5Hy6cO1olS+hX3X2HxZYjxrpnhFtAS1ARfeY62BrkdBvPc8qvE0z8wcZN4wToGzYJq8uNsEi6CjVJzxt6jQfiMzOnmu8bk++vi3Uh2+MSTkyzdOk5ZEOYeX3AnRLdGpX0tv9nyU=</t>
  </si>
  <si>
    <t>X+YJM3c4AO212kSbo6g5oGJFdjBTB8pvPOiudxrd4563wPft3Q62PX2ogLbgehZYh9Nb2EKSPc4EGhZvZaLP+OYk8269atucRLnFHkL79jbfaAorwFxfzLYs5hZLjFce58tmrQ/eNfH6pA2jcgNL+hgdD9gq6cE/cNa1nU4daRXTn7BN4BX8EJ/+Q2qd+lctKsQtdeosxGDwQnhOaW7DqZ/JGpt+KpwjLCo5dv3wCaJ63m+aB36pss8t1/g=</t>
  </si>
  <si>
    <t>nPgTKrMII1HV9mUT4/Zc45HBggyYlQac2jEYbaArtxI6+5KewBqZ/aUKb7/Oid4FXx/DC/5/QoYg7olW0Jtfk8QSAtpfc9wgMrQaCP21k8iwW1Z0wzenshJNZpMUF4ZQNwj6LOWe9v99ldRXQcieiWYjpYaO2JCTJRlwpiDbcFKuR3YJHPukGgJw744RMBqxMVbpfJVF3hhBkrX90k1tkax2Kae7Pb74zT10DPnPYeVrvBPwTwhz0T/Adus=</t>
  </si>
  <si>
    <t>BZfo5jb4HS9f2yr9rUiYtElq1EO+6lN0Q2Wlt0M8rwLPfhSH2KjtqaKzNg1nzo1VgOtASpb40f7V+L19D255rAnEXeerLe7s4Fd8DGBLYtUxNtpdvVX26TdK0vryuX+2uBiCuvejHUYLWnvl7xLLnihfKNqxxGE5wc+lQ2UoFFuH0dJ5Vga6Gu3qFdjX111s/5UKJqK/eZkS40TllGSz3S8Sq5liv5ptxr8BN47K9rAJOf3eQPS68pQHos0=</t>
  </si>
  <si>
    <t>6OR+GA05xMWaI2WiYLNDlBbr3C3P3rzVy8MnHsLIOOtFKIWhTzXHW+6qmtxgVDrD0hPmqYRHx/butrNywpk0kfYBvBUC5XLEFZWhfJWNBA49DdD2mdwrBdilZ+uctwo8U+qIhbEFiyHUyGw6iRulV6gOyog9RvNJP/2AGEfIl2Q7QffdjCbJbMUOiu5FpwkM9FDKQZ9p3T3hepdjgz0kdZPDLi6Lgn9IqZYeVw4s/Vqz6uPKCwW3RwXMvrI=</t>
  </si>
  <si>
    <t>hJBTQxEXw03xv0YDOHFJlmeOZx9H94j3y2ZqucrOcKKC457aaVXHAE7NjngiSDeBSHW4+a/3RdUbbXS38ufbgaAIOlp4qdiCUqSx+FCliaczQc4ClVCwa4deHw1H7F/T+SmFiNocas2fdO6FPXyjMITGZroh1rI6W+pD1kNipV1MGGG/epIRqGYRd1tc53N15Tx2OYmv7Sv5nvcKBlKrpZi+fbpydsS+fANDHEME/AKrU/pRLs0t8N2Y0EY=</t>
  </si>
  <si>
    <t>nPNEj37UANohIkbJip1gzYTpom+pcmNBOic9/0+AKEsJbdt0Xlq8MU+SNSR3KM64fG1hAJggl7SKZaPD7+vVncj+pVLmgk2HO33mP9tKoGHkbVBiK9j7xgI4tonPiJdgvBEH+dHf/ucU1ghoiCwj6tbDecnTmeFVvkVQXl7F+hxZP9pcJHxKzF8gF5op7wq9dl+jI1DaQvhOW5ldxR05GFbohhNgjc0aAAXm/jZC3VmBUOEQpmk7CdgwVxM=</t>
  </si>
  <si>
    <t>jQq6JbLDMDRMDSrNFDkLXZePbF9Xv/C6gtimcCXKoDp9Kj6HGYODdkcTlggHs6IcVmdd6RuRwRFvOB1rSTxyjdRUPZg0tf1tCki+4rqlpp0zbWW9u5K9uDCrVyKqP5s4Bn1tZUcwo2UyACGLCemFwNzuMf8T3BzbSgnZsSKRzaLDFCV/JmD4xqlofeFGtQaWUEsUd0E6AAcFEdHCHXhqLNvPVnI26FKxRex4oVxpBHXGkT6TFaYQC4LP5aM=</t>
  </si>
  <si>
    <t>GsRGsJC3Ek61GoQSbXom/Mbk5/22rxQSZX7oCE6W7LP4Rlq1rDkBi3rS6ksrK0mMZBG1fZu+Fusi53jVD8l+suhTQrhK601VsAwTD0ASs3J9KUgXFSTfL8xNPblVVS/y0YX/Fp5z50tkGviUc/YuEcPEA5wwFsyprPPrMhwOmF0/UZWmPVmdU118uh25gU5yOGVBDTWxWCcqiH+fXGt+7muSG2yNj3qw0saHfSqvz5Aa/aXoiqZfVJyqE0s=</t>
  </si>
  <si>
    <t>uop/94bgnxIetzpmwMj5ljkvIhuVw1gzCFIFPHP8bfCRF0JWU9fFhbV4lzRg4zL6GjG8HKtMGeEiTCUGu8W761Q3r3ZZgxva9wUKkPsk+L+oEeBQ7ejMMFk8/JboNGhCHGfgrfNm6WiFKFL52jWlrTGvDTdYvZKBd2Wa9pkIUGkj4xHUdWH0l3XbFlLUO9/0xdCi1t3wTO6h+u2lugGhZt60b0epBoZ3/weKUOEF24tt8stelNkKV66cOtM=</t>
  </si>
  <si>
    <t>gAI51IuGSOPyRJ3gcSmgrRZSo1Ef4kaZI9h60oocJJ+LtLDdnsqQw6CZt7THRvkFwEcafYRw/W5yw/qiGhiurob2nHAQe1dwmNRd4C1vIqZvTGWCr2yzXJAhfkPAbkiQ0SLhkRhG35td/6ek7ygqNdTRGbLLnXGt+tItABtMdhXphOCNk9p/vE3hJsT4G40swvKY9hhIS5A/m8IbIgvpnNQ9ddjtiUsdpqT5DvnQkPekqHdDTiwAXW8NfhQ=</t>
  </si>
  <si>
    <t>Zj+8rh9BgwapJNHko89t+2bXkEOCnAH1S6432ovVyRPpMYprFPpr4Kgn0LhOVXwcaM+aPyBti8KCfjI+tdyAEoEYfPZMRhQWJN6sVmfFhhQ1pozt8WdFBwb9+setgxSy389E+0WBNRd4Z0IT7WAMcbDbevA7cul9S1LGCdwgymy4FAlp/kZQZ5U/dy0tX6uDErUBmDmd01xD1IIoKoayBEzGlVUb+VQDYKqAHj0Z9PQ0HZL60hIGujzRZlw=</t>
  </si>
  <si>
    <t>4f7tY9QKew6DNqWa7pVW9O2ErfoerPucuYco32JJOTi/I5CG06qGb6H0dFv5apbAD2RBUKpgAECSIX89wXZsLenpNWGNOXdomwvXy6g+iL50sxs5eJJAPVmi+JC8Gn63aCWQC/9/hy+ox6vKzlrMUmru7K2gv5msfr7lgErMB3Am4EZp+RxjO64D9G95GwdS/UYGtBPEali9/uBWLLdZ+4JLul0IqdikMPSpS8BJR2BnxB/MWq0L+9GaeXI=</t>
  </si>
  <si>
    <t>PGN9xFoYt/01VzYELsJnyoDY47mblrEOceXeTbhxBmZobgG/EeWsfYF1JxT/uv3rOoEV2HUuzD/fhTJ6l8ywh4PWLeyDUtrsJSYMPwUCqtJRESVrQL0m3JF6qpTNSQJVtDJ0JGJ9jBqZ9bsj0hXv7aVA8SoyGaJHiowNugniD4YZHub41dnfjkqc1JBMPsdq8opfA1NgXhrNYRPBWYp1hYZSSkkoy3zL0d4u+qIH5L3Pet4+c3r7tl+4jtI=</t>
  </si>
  <si>
    <t>NAwO4wUTcF0/n3LGEw740j778BHQ+viQRAtz36SEl/z3TGXLl2rQx49K47GlXtmXaaN06jRedgtcMccX4OxX1dlvd5IGQAKLyaN2l1lvKHY+QWrzATwiO+GkpSxA7mYyppQxC0u8zt4IJoldvv0I+o+z/1P8lIqyLwT2xh7uhlw8otMZN/hf2qyGFSqmn+7HnGWzLtbpFSOA5mGf5eJ3g0rLXquSxx7PqK+5wZJWnlvkJcT1iRHC2rigMGE=</t>
  </si>
  <si>
    <t>41L8S54HJ54pQrC/dHcxmeLLyz9YwmX8tGUg5HAp5AEg0FyxjL0Zw2TK2OLdDErBFIDjZjeOTtdJvsu6OzrJRS2Udx1Mxfy4RVerlOGdjMO7U/iZ/X5tcy1QL9ReUuV9Yrl6qqSViOMK8y/PZ4QomvibH9yvk3tGZmk4eIbWlLktU5qVeRXFOnFPBnWmgrHkuLRaPIauKpXQQymUsMx+4qegjvy9XRgnWZ2Ojje7+gv1CMaTeho4zFlxB2w=</t>
  </si>
  <si>
    <t>8L02IuRjcxKsMl8fm5fprHAzO6HUBSNC385j+t2OQNNF53eInxeFCmltrHfDEKBSH5eMq5yV8q2j52/jdkBRWEuNIGXHji09xC4nQbQh2fqx8aSVnYIOOd3zp1IpfNyc4rMXbCGmnQ0UjTsJJGPs3HSv7/Q+TWveHdkjgLy1IdslZohFKi29TCIuWMBU8ekgslC9wUN1fG3xfEZ5HqxV3yVud9uErNrzI6Iz0f4cnTSkvDV1j20nsDpfDgg=</t>
  </si>
  <si>
    <t>l2tN3Q0MfzbagLKQG/gX+hHEOinzNYYYjJ+s9vQGos4XXgkfe4+eVJn1xcyeTERXf8OF1FL2aR0btsl8XGRGwD/78jjf9CgjTI57miFTI0nBa+X0M86g52YSmeebptOiayrNwtC+mHYEuhoWfJ7pYy5RNLE1it+pkMV6yKcR5PdbKiVy/CLsvPmUmEr3bO7txesHeRfKPaKvUv2M4c1SQrolz/IgfCRwAo6Y29dAjklI6ej4MPuvW+KuvBw=</t>
  </si>
  <si>
    <t>yV3OAwEpnSmTj2FDLizgEIzp9ydmDQtZjYdUyJkQFXgIXDHFSlZcMm0b/im3cnlS489c6Bt2t23cz4JA+VjWghHc5ttzu9MtzSgsjIyH+4kCfbeue7wHhuKyHfndFaOzaP+R9Tt2t/2ChP6UKaM67RknX0/FveZOjYgJ+Tq6LphH2arim5sWFEuh2vWO3NdQheRNVj8jftpLOMVQtLwS6NYW9KMyDxBagdAyAubULtVKYF2elliokbgSOAI=</t>
  </si>
  <si>
    <t>jf0QAAh8Y3eVKdtly4Uz6qiLrlNX474R9BQnevQsRD2pbPfZi6xCg6tDaqIZKatnxZFi83B52cTY4QvHCGYLKG0FKOwQ8OYGUPRvtvx0l/QbREckWbtxGldmq9g8g2qOmj/SGC/145yRm+YczQAB4IfzaKX/e0fQeP2EMC2G+5eRum+c0PVy2oaJzhN5pqyNKV2Q18exrnnn2Gnfl2hvlzLw20Vgsbb5PAQcPt7ePiAgvAdqqzqYAGpkN3A=</t>
  </si>
  <si>
    <t>gyvxppLFoBssuz+Kkh3ow7YXhPOTjZMn22h69LvdyP1Rl1r+AGOUYIRr3xB9xYWCteE4kFD5+eo7qmY5QsF1vzy1X56zM7QLhBNPsOqObxjy94BOo3AaMsoGNDy18QRSibirHLWbTzZ/wYDqLBJmWkib4DUnu6ZW235TaEmQNtYrmWld/FwyvRZdeLlGNNzMaPZXj4PC+BGk7CQ/tN736IM/cVVbpNQMainTTI0wzHObfkggZ/K2KjdJayU=</t>
  </si>
  <si>
    <t>+0is1XVmkTnz9oKp0vmKzCzSD4SP5b2j/5H9OxsVZMpMO6yDVwFU4PjkzaiiRFBsb6bvu213kTv/qAh7wH//bVg7HVSzRp7NhRJs7dDG/ljGOqJWGzvbX2subC+aBsT56BKp5Hf2iDTgISi9EwuDPleZbMQ0RN/ilYR5pVdpOA/4VhuRovlTZDSBu/ulrq6/7fspcBUH57QmKF0NOGJ0HBugFleJV2rQ0csrEUOSXQ8JN9Mws21WfJ9Gerc=</t>
  </si>
  <si>
    <t>w0irSSsvEen3iiXmYTI+E04nCvwrQuazEyZD0xXREn84v6Le6sLgpmd6uvucNpfX6ett+QnGw36VnpsahwThJUqx24QGWRYLA85bhEmJuWWzdJKfUxfh1dvKUwA/7FEuao7e+ozILmx4sQ1DR1W1Kl0hFn06ItCgjANrP7/jiA2NNBCTIX9pNtlT8moGm0sfm87q/FBzsyuKdKHksFah7HTgVmC1UrAOONWKjOI5CAwjghEgot9XtXeKP4c=</t>
  </si>
  <si>
    <t>IaWB+hnly0OXPBkOKfttETo3R7KHf9hUWDNXSXqcrKPul3i0BChPAcLH3bT/BrBNmvkP6P1j+fQW/vZ3S6G/uDW59wOEuWtf0NRnjwvBb4D97HI0Y4D3l0bqsbRwVMDZhk3GWRg6t0fUWqZ1hacnJTpRMf1mXFJIUlEEEaDbjyWzftXs4nDIUk9yEV10OzmvQeaFY4niYgANhSLhY6Q1SxVWHouwBPA7uUdvStO9IpcZed8dMZFbwZc2qWQ=</t>
  </si>
  <si>
    <t>MLARag3NS7EUkq871DB+Lr37QHIWSl0TgoNXjo8iB2PRJcogex/EMauzPs7ISVCut8JRPgE1LzQ/pXJ13ktyMv5JALn/c/ikfofMWX0Q2BvgGE/cIc+jtjlQI9G+757hZFArSKpXNZYYoPnk7A3tHlLf3SLijHOjqD0OupjZMI3SC/paPquczB/NNtxJ4kDYwT43KmENi90jTWzPAN+hYh8Q5Xagpn40vcC1B3lhEt0i3qnCiFxzLr+b3kA=</t>
  </si>
  <si>
    <t>DkdMZh+jccPM3zRTq2NhIe+QS/6WJ3YEbG4RlGTwxh7g9p+2xXTj4UpsqqBgLe92Y37EZQdV6LUAGzTNrdx2q7HXt8KlY9wJ+6kCeumRcT0TxDULlRxPCb9ZcTMYWXAvEjq5yx8vZJDhuvDio97Meic7FRa7piAK00vRsIPLvfGj+oj3mAUymjMlnjSj+njIrMNqzxfun+1CE646d316FFfjo6lk1AQ0iFDcKSYtt+32r9hwxOx8ucUc+ro=</t>
  </si>
  <si>
    <t>Vh3Xh8tl6D6YSyJHzEvxQ2KSR9qt8hM2bwiPZe2Ng+2kMVeje+18m8Z9kX8AdXusuPNL0IJGOwB7xKXpAASbjQIiQogcqTM33oBWpb6lA328jmjEMig0Nm6O2u1ZTxD0kc6h1Q3wLIZuTpoo0WvJXKahmJcCmiVtSdjNJDUYiVAi3MIa5rPX3BDuHsvEprC5PO9Tq+QPzoxiGl57Jk5SooVzWbuP7VtFZjd0gvmYSbWaMVPPJTAZF4Kjv5c=</t>
  </si>
  <si>
    <t>WOuqdQN4VGRluG9qozq/r+4wkXFr/h9IQ+JNFXCMjWogGve+zpH9KrFnsB4FfeiNiQomKzYqLmfUlRJPTzSylUO6SfQR9iQfCAlzFKre5WM8B7pKIDGuCm4S5a/r+kUQu84qp/umSiPP4WG2nO17AqvO67X9lp9Xbgs0uvPMxjivj+QfR2RgUdfgzabQ9WIXaXC1n2jigXai1wRepPAAHx1f52TsCwudDFYJIbVWtQxc/PgdjU/vLbzkOB0=</t>
  </si>
  <si>
    <t>nOpdLZUdIFquw3GpDS4rFFv1ZqCvuJl9CrGG+EhsL2lf5IQu6AMGigJ5h3YtXi4o8SUS9CyzsayeS/hQnQkJ6peOKS9Of9XZMmnxJhs0fH4TKJxIW/561I/7HBncSVmknndaVSamTOKU8nbHudwZM9lcGbdIPiTU3JbxlhMXHQicJ3V7atbOwW5Q72TAvXNJeDDctuB85fc++IMrByx2H61bhSL4W5GjBNBvm17gEbUh+rcvlJ2Kiwm9S68=</t>
  </si>
  <si>
    <t>8mT4G9cJ3uWG6z+KMTPB7m8lbn3akAgSbbNNvfYMV8EjNOCIDg//eupfRmtA1nNdSlxqoSTgvAk840e7ZXKmwiN+gEvkJKAyRCBwBsVQ46pD2cJMGdnj1H9SX1uzrrxJ5SYslJPxbB4yideF+Kbboygi1VMmxZ5aZd2juRr3xIYZM1EH7f4/kSS1GW8E+gV6oPsFWYEFlSIc96IzL9zd5Ozx82eWu5TUlacxe1vV7hIwFqgBpDvuzb+BmE0=</t>
  </si>
  <si>
    <t>BC+LdzFEJ25uaU907g/iLVaIn3gDToLPyg+7tG4I+ENW0dM7zvEuOxIbh4d1d6mr4/dRcQKayqGErJ3kO5chBHZVW5ta7LK+RxGI1iCWU7B20q/NbqOe7I0x3ea/vRjJWTZZO3iaK+SkOPSaTph9isfoPIKmRQ3/pjU1sUihQPB/aP7YOC4nN2Bnp0saD4QwsqJAqUVfIQyPxmVD3esrmlGG3SAscRK+lVK1pKr1Yuw5R8TDlVMtLA2f76w=</t>
  </si>
  <si>
    <t>dngD2BKkzpZzGcV5ZVpwb1DaAfeLQLWCa9DN2NKCVH6hECjKvCuJWA+zNST5vpEoeEaqduyw0v9OYi3cy63cnwxjFzDubkQRDZ/UQHeNEfoQgPdNLnNNlWBMKlVOze1Q0sD/rVymORL4+gqdMOZF7dyA21NXuJVSSNxNZvd12vMqEYFj4NGI7SgDtFTSv//viZPtId/AhF/PHgfqj5NHgVIB4EGmmWyV3JCJ5q3+8lTLribd/h54PiBTC/g=</t>
  </si>
  <si>
    <t>NHYyDCwNEV9zAS/4nflU6+oD4QeN+BC92aTI5+i2dJYGsHlnULT+4RdT90g4VMjPfjEidqIZMYc6A+7wDNWrdlCxjHg4xjX58jvTqC0LbeA5K+rdBv561lX14Ptd9fSdqPiwXFdHoHoP2N4u/jC5x8teimIbc9kOlHlOFE4UOZYlz/73vlnLn3fbpoYIFkt8TTz/bFlD84caxVTs4X/+/XbNR9c6kIsFWc+jmrWb0GTzxMhHVNw/F7lMUoU=</t>
  </si>
  <si>
    <t>qIju48Gcu0Tg8JemF6dGspsWeI8jzEbN9vVBLYAgNnCZ1kI61MdIpScHOgGjmoLjitzxOyl4g8c+4jcn7FINkulaA8s0OyWAlmavct2wH3WoDzqWV8zX/3KaEjHJbZKfZiTSFscg0emXqWDp66OYTCgzlExGzng97FXUyaHOpKQTtUIqSe2HM8mY1YyDYjFdh2dCk/3d+1KF+93MMtu37f78XFjje9moyRPaCnhlzR3LvJfSREWEunT0E8Y=</t>
  </si>
  <si>
    <t>eetaL54dXFMufsvpwRDN0DD1iKTPIZWBj/+lCRrM8AyBsrEJENTub0EgHj1Ed05xcW6gPCYoe0DVihOeAc3DU5Mkj9HvIHUYSGAy4vGysk+l2yP+zbI68PwF+X6jh+MiIlftCjpv2WnNmK/JvoWCMvUzhqib7rQ5cgJxzJr4VLbR/XHwh15HpUzh5RDECZ3+4+v4qP2LdBJb+IubqYGO3sWPbXAmqh30wgdS/HaUoq5BkXStwE/04dcIENI=</t>
  </si>
  <si>
    <t>Wx+JApbd45Y7CcIfsUkNUeorbNd2w/ptr+hEyQ8fiRPoXvLcHtc2mnRJl/JbW6BLOv6FnXShbYlNjbt/z+7zTd2Hb6o/t8BLhDEiT+386XRYNE6emD167XxpxMgoTRrJ4OE8JymPm8y/cFvi3ZD7JITOyFwKlHUy5rWFdIAGJXr7pMylyevrB3+qfvATDR5UaJreklpuTbRAEhFPBwm4j6RQCTZn5ymYo/tY4OxuPnuo97nBPS5U0F6Qb4Q=</t>
  </si>
  <si>
    <t>2LqXAApR9Q+ANQDeyOUyyTfpwOA/LIVskCv8hSEgO5rnodSNBNTuhzG21R3wMVufSxFzsi9OgqLQzHPeKl9mNpddeKU7ZWLRPqAgFf8QpV5k+RlVnVMi/bGqqn6cDI5ZAKsBN3iVynfo3tRbcNJeuzmTVsw+5m2Lc0zyKHrGq1XmLYsCDu511fSgI1XaJdSVpKh/fJC6rFkJ4uZb5k1kLsgzfychsi4jNHNJ0GxmuoSfeWQeUw8mzsdyyTM=</t>
  </si>
  <si>
    <t>ptVH29hiqucbTFrDKyqkJxNXTKIP8DwrB6TWoMPgLaqIeICOwZKEPIG+R7SXSuw+okw5FZP1muJgKbEGxBynd0rzTxJVdy2+8rHX0hGjqqTJ6s6CY3z5qJglT0lNApEOK75lXxNTYXUZUNjfsP5kckWE7vki4fFbxDzECGlTr21FtkJXLOSP0YIk3KwryERKFnQt7sCNDvvi7rVo7WFt0amWGKllMxELA+BlRby3vUi03w3uiIDU0A0frZk=</t>
  </si>
  <si>
    <t>rh1his9S1jtOAsOJ1IW7tbgLwLtFWthlZ1IUzsS7wM8vAMAE5cjv3cMzO2C0ZGIjikhEGsgRBdwyGRjh2UhZBdWZCaghEdUUBtvc3LdDHUKLzL7H53hZMWFEoWvXhu+BGEb8dLGl/nXO0UGGWUtCTudl2MMaC7nTP6VSo09MayGXI+DuluOp9Od6d2AV46CWmwA4yWhUHwZHQMgWccuqh0K4kVlb2cS3h/aq/yr3qMyBmERn80Hjq6buu1I=</t>
  </si>
  <si>
    <t>IEDWqU5/MhXCXCteDZD+Zujg0qsPtkgLZjIc3PVeefPedpceSeTiOR3l6A55IlUNfcJntVpiVGM9YSFIQlkd8yoQU9vji6FNFunytEaCuRNxRaCkOp2SFRvtwbPHILuSLjvT48GRHrkvwM/LY3RnWe9/Ljh+TZiAuy0nkeesoWWF6KpSe6eMeDjLmPPP0linlCopKhLj/9BsZaBD4kIGJoaHiVjGg4qKzfVUhcPXDHMjpY694ABmGdhtzRc=</t>
  </si>
  <si>
    <t>BGFoD0JqF6V50vQN/X1YJ3PCyurJKEJ0cNU4akoG+nhY3nw157Dz0gbDMGrvxZ8XBjxSCuhDu11plCTcp8Dj7aqAGkEiesU7erPv6LCGccfXSietG4g4Jz4Yh7JqUIcqYk7I6Y2dC0u+6oX1vmEvRwa0t/oNMjDD/ATqS+UbVCHooN7ZONh2G84wC4Lddjm0kUMJx+4hd6qE57NYrBUoEWQfuP5+43VawpmlUwOucUQjtzF437hFIqhqKdA=</t>
  </si>
  <si>
    <t>qmwWhwvBzwXWnghXEogUlkT6rkJ5gtzzo70eUZ5GzxfK72CApcv/3w4l8jgDlJxdkDwqegQHlvSDtyw6wCJoQa2FlPOrIUsLoGZMFc+8ABWXWpoeLMptp1iIKhtSa7wzsmxX9smArWkct8MpRoHBGmEFNT9pYzhKJkFtma7ELf63lSB0z8rTzN5avWOQB9W3GIytoBdXAPwBWPtdlEglTMvbdIpbcj3RPkfOrY2l2oR8qx605BJzLEkh34M=</t>
  </si>
  <si>
    <t>3lASC9FREC7hx4JhQrsN66lEYDI0irSR3uWSkNSx0EOn+FmmdJkCHWP4V6hsiN/symW+axgk4EC1J6c3L4wAGNAf64XqVNWATgJNlfKAKmHS5RuPOxE0IQVpDVbGuhvWZJYukC73+63dMQSj7bDu9cnTmN7B1TU1WbhVN05/0QO1cbXu6aUaf2Pb2c1a3kOMCfaaduihxxVpYL7EB3iy+ICPt5hOKHqiFLSStXKotGaxfFdVBRmciwB1U20=</t>
  </si>
  <si>
    <t>+9n+fkAM15yBlZ0R+UBflZILlp/2Isjm+W6b5ZwUfz1gRbV6xpEANYAIN/VWK+Rzu1eMcOPmv7pIZjJSsc9leaLmIhLCntTKy2EkNOLljhjIh1V2/Up/xsk3ah5p2y7EhCemLjbQl7RMY4ZkTvSZviCdXZJhzfv1vzaP5/UIgb/8J2HpsagKIRa32OqF87hVHySVYLERb9d7aXp5tFilpinc0IKX9biOEug8CEgPTBqbasZcS0PzpniyWPk=</t>
  </si>
  <si>
    <t>/Kd0aQmzidzipb55xSKJgN+8FZ8L0CLQtb+xZnVAb5ojfXsvbTrBVaj9WBRBo2Ca0MdGGZi+yzfaMzysD8kF4WoUlI2yEeiuuWDwtlTiVPTCC252kCDBCf46L1BnIfQ2cd+keZM+az+vKz9BcVnUmhffnt5Gr/9sKHCWAdFrBfPNfPhgDqyXEyP5rckLvcyC5p++p85m7KRvqGAKUJGRxEmRBQTn6j6UiOdlsHVodYqKAUTqe0EBJJDi554=</t>
  </si>
  <si>
    <t>FryHbYCMh26VXkkGy54UqwPHJp7YcKkzyflVonMGIe4hhnzSMuhKuI3ibuPoqwGQEvScfV7AhZ0LQrxftiGXpkSVLhL/i+eQRMqYXXzVveJup+RPDH3Oghfkuzyk3eXv8sAD5mZP2hUOszo/dz4Xbbef/Ikm1HGntBFpOqRFPsj0YRohaVBcVugo+DfLqJvBTG28t5tRd9WDaPGsvBPpCSYrXTGFJtNwcxLFPiqKlj7rB2t4DJSMUm9Xy10=</t>
  </si>
  <si>
    <t>DpkE1WNofcsxDtvZdd8Vl1ma0cNk4J+q1RWwBvW/cbb3kmxsZC2PKp/3OZf0NhJsKVGGRE5v0hvPL2zU8dBwodmeatEwDYG74TLE7UT7qaBAAKuMevJPAgGyT55kHzZS/aRSKaGuDTkms4TWjDBxJRGRl6X5TKsDz1626gNI0NTyGfIlOYucMOsU4dTWwxgb3h3Y0T478kidZDBJm4durgIxeod6nRduSfjTe1y7+EyxvYXHKw5brjFOXv8=</t>
  </si>
  <si>
    <t>0G4c71wF/iAAI5gD3IscBe68XX8UoMsgCyC4Tjb1lyCW4AnbRcM5+ZdisJzMhyhq6u5d9dzaaCCJF9SYl7kT/WU2iOM2KoINOnJCT959wt//MWtnWa6bnTxAU0+Js1FOaJE/W/rJureY8VvFJRxxTkzJzXJpuKsOO8jSdrPYbTiOVGnapOM9uVyPxTlEm+pe9NE38sbnBo4NPKNc3tatVtTmPxTcnU6qMjJEI/Eq8yk+xddQuMhNdFRXF68=</t>
  </si>
  <si>
    <t>XBB+ZmEYR5OIAE0deMC/wXhnfl2a3d6YB8TIaAyTXdUJjbKHaWUBKn1CrF60JdPBeLRLOiP+d/MJNS0mwUL3HNt2Y7+2G877C95M1QCGz+H9pl2bRXl49NtVb83kYecQKyQidtL4rlzmx3bU8qSS1jx0EPZWsDUeLmB495wtmPSh016Y5XEHe++h8m+kKUhO161jEysLFx0pqv9pOADz3uZiDK1glCqjW4xtyI6XjnckLKTirbTlHFBpyjg=</t>
  </si>
  <si>
    <t>C/APk+assIcBsAnpipN7xu1FPihDGNZRBzhdemC/fjznuVWUUS6aGj723fnLEqZvZe6ec6WFzTulyKzpzDAwP0U3T56wmlj9gOMIDvwZ/2oXqXtJOl302KDQL3SrDORdey3QGgLYZ1uHW/NoLdVYAJZRLrMH0TPmL42tBC/gFGqtGjcxwDFQmxllL8J3EnFsa2sByq/bHJJ4UIn3APrNauajbl6DBGjOkajKiWqf6+4a2uHQhrrJYHGlIY4=</t>
  </si>
  <si>
    <t>Cb2GKS93Y2TKNlmwMX5NPdDqRbAynMIUeoeg4jvucOTHFoIgWcmEutijgpHdtCSJIcKKzbrT+1vse4oYxDz5JOjI5ieKk0spXpHu5uw8z3EXYEQcaSCyfMQH4aY6fQfh/o2NZg9R02JyvmXm2rImzx5nKPHq9ncFBupXn/t3lx2J5bn3EqilAMdr8yTK3NwqYUZEBZUKzbfdUGgpWBOZooPj1zdGmsJp5vwqJHWLqTUJsk5LsrsuoY2SNPk=</t>
  </si>
  <si>
    <t>O8bDVJfyntBpZFtP5GZ/GVLN4twU+5Nl9B88sBtbSvHd8Ktd5p7eu0IUA2blV+i5ipFNpNVxwscLpwof4DlbxPK1KcsExtyatmQad1JTYhUmnoBC6sz1iic5F0dP56Qt3PcwzvDYsvrFd+3OlAJa4UGzxLS+nOOqTEqLK77CjJYdqK8yqj8cOExbZOUplxrZLvioTPYDFuAwjFUel7tDTz6JFFXRO02XAxollEn+mJuB/b7lg+pfDJo2atg=</t>
  </si>
  <si>
    <t>zQOOv4WKS3Cq+aLtxNqfmbAPFk9lXdEMmdKv7Ub7svuaY4ce6Bd85JzZp4gUksBmttAvh7Bh6qGsNcA4w3GzcB7+RGQJbEo9amxeI3n5Ws8iLS11DHJwnUxygzm2UVEoJht8jC4tbZ4mfRMt0QlZgCrqth8/4oi9Eg3UIYg/vqE8B6qXeYQoiJeABAYZO6c9Y7HCmsnf9HyNn5c2zuf5HJlJaEA7k3lPgLSyZBHYhqir0xFzHF8SVecASU0=</t>
  </si>
  <si>
    <t>DPgjgvaybTqMABJdafHST+d+tq6Kd8zLc5lj4Grj9wVvrni2QxaqBZlep0zlYy4h3INg70Cnb6l46odRRY4ZxzL1J9xcw/Z3Uilr6aDrFJNOGDbZ5YEmlKhM9Px/q5rI/5pj/JbTCTbE+S4sRUx5aFq+sJeiVQ8y8DGSaLqvU7zpF1MRl85c6M0R/0fcYzSy5iRBcr3p6vMFRO04xvKSfO2YjmITMCBN78jGwHfTvAUstR+f9Fl/1YofFSQ=</t>
  </si>
  <si>
    <t>sm8iOmfHT+Oln7CeO9mi3WIbxk5ZMHxTpIK3XniduursR++w4CgfNRr16KVWSnWwn8HH0BG58iRAiSKnR+JALCCAHTtfy3h2IVnkpDkxUKbWLmihkwNKkejoQ1ph+V31KvTfU3JPeR+ilBwvJSBFsJqferKedb/+k0pmqOJzOBcfZI3+Zx4kmcT0XqH98nimHpRAs+zDJ2fdUO6J3ioOCNoIFB9TJkDjSqYl8TIP4MNtUT785PzCG2tG+6c=</t>
  </si>
  <si>
    <t>ZZ9/oVcMphF3m0217EHnc1u4Kt1CTKeC81wBOh42ibcp1Qq91fKEHZfEQyLSLQngNkZwQHcAaYBQHLka3Xz/c8g4EWtdEtuNBviI53cdHyZqHAPZ/Ssd0NhauNvjW2X+bfNmp3N1TYD/9xd7zMGWZQtyv/6a0uCnR2MrcLdEWZF/LsQ8RUBAD+c3WkFgyg76CUzXUkHHogajkuEIRQ/eUqnlUL1oDNJLwYLW1DJQiK0I8Q+cSrx0mx3QEwc=</t>
  </si>
  <si>
    <t>ftoXA3g/t3QiuLS1vscLGlewyH9Zk/gHkS2fJI/WV6Ic0zU1i/Q//Vo9F5032rPM2PNMvUmQCBzCaMOxIsQU3zXJqo8QNltUU4vfnfGISE65xK6TSzONGdHovP+JxNcXvQUhPEVk2iozSUoFarlBOyGa7lBQAXUSu1+aSW9D1BQeqaKpkTEBYflmDiDjllhjomXfTq+mGOFdwz/Zgqej1OrDzEimA0oDM4nvQ0HywaKO4Q2RoZv3M8EghZM=</t>
  </si>
  <si>
    <t>yFbyjz++oWK1VKAV3OrYcoH0naVOUiq4j093R+0mqUY5Yp2cAd1JfrFFk1A2p6r6SvfI9VQOeQGrKAKWakkcjmGEl2xtxL3xi8YWtWPHh9fgAkJlaoi0GBEgepWk5xmBecl+r/hLwJqThW2G3O6XBj9SO6wHaXDGpv7r/nkQlrcaH7rXQ61pjNyszyQckNZxuw78qWcQFT9bYecuDeMUMvtT3UYJXI2GJrya+ig0YXpSsCn7woJjoKVmJGE=</t>
  </si>
  <si>
    <t>j8vNR0GVvUWbIkghhoMA5hJoNVF4AMXZZyDHVqR0oh5ySZdslBiYV7+2FKMmRzVgEHniTwE0vIS/POD/AKa8gQmHl0lhX70E/Qiy9FDATkNRnQ/LRCEhRmcXSafaVf4XtcBVnKqwRSwBI6ZO0VL2XSlcD+G+ttxnS6vi2VDgXojWe0SoGEW39C279YRZymP1303C1vk43zSjOUMguhTo2Ql4HsViT2M+XKUKTnJM1UaIJvZCwD4GZyE9aLU=</t>
  </si>
  <si>
    <t>KGlCRS9gRM/hAL7DWietPofL/38TkIzSMODMOZwr3BZQdTo0bS2x3qDwpiEfjGuz5X99mAri57YY6AfE3lnQkfy/q8SMkzrAGiSeDQ3IW80O4uoNlFwHidknpiFJWP0+pUZB9znx1nkMQazfHMskWrBspep+TX/BqmSA84XHKqwgGbJsmr884dFOFVPBkC4TrRlXhLKB6Aw3AWVaCfijN4HNQUZSJwPlemxqGAAervmLbK3z6gwUbhYr4Nk=</t>
  </si>
  <si>
    <t>aIBoH1tGpyhbwEUanXNpoIeSiqCO1aZSkL11NykcwbXR6BDEaZ91W+e5Nlrpc5U42EABj6mmN8VpmlIf/YfmQs4ceEejoMkPCvkvqKJ2VWAjuiFXN8Jjjx42OHQRDBKVmS8gqnXcv0orxE2+aMMoDFhDQ0jGRIg38mVVYEt7OwMQ+F5zQzReZV7H9+YYzLnksJ9hXq0DR60KWZlkZeRtlncg3LNvCdzHyhUlHgxcrhaJoVx/nIq6MXIhLRE=</t>
  </si>
  <si>
    <t>mhobNfQOu8nWIcv9RfR6q5XjkEQnkuhOwlW2pVYCmKSdBPoZNb3/5wAsM01LMFcNf2hYKVDyzYVZLqu1pQUzZBQ56bZriI49XZ4zsY7N0Og44Czjsch2jmCHWwFPhRRvfrr/F/7uY+mNCvqwfakJ76pw0qB8VITe3ATbmNTVV7zddVYtj2tIBDHui/yIFjDXr0fcHlh7sF8x2EoRIbyNBNLdJ1eTgMEykopeD/Mcm3yxGb82UHx3x2a8hBo=</t>
  </si>
  <si>
    <t>C//NG8/y2ZEzBS71R8CVY1xgzCXvI4TRdNec8hsYwhwNbzEi22gQEIEKY6DUSCJkt0VD7LcimDE+shFw+ntmvXZDyETMasXm1/Nmvrh80DE+/2PpwhG+q+x+r3l18/HQChuOnG9XWoSwXqh8AYYAe+Tu4plZlTPpJQXH1aPnUafvU2oxN77J8GozSFHE4YXjd+kjBgaX7Zgr+NMXeckV6ed33DOdBre5BK0vHTOWG/+e41UEq/Q2P3dttqU=</t>
  </si>
  <si>
    <t>GJlYaoK8JbMcOtrETIYBwjZ4R3wv8PD6RENcoIlP2mddewfpr7jhVEJ2XOu21vYS/3lTr4RRmOpkYOVkuSYIEymtueXtPGF9g0dMKctfI+o/dQAR/nGETMLYSdD44/yWhq1Tp96/j3uay26nYDL5/uYJCwPYtvfFZECdIGcymSnNGv0J6lMJ9aIDN70DJTu4LxBS67NxMyngyA2cqz+YifAItmV1k0mUcdXsxQsiSjJ+vqtzKrPN/htJPbY=</t>
  </si>
  <si>
    <t>P3GRFW4uqUkWti8Eb3RLjkvN65QOKFO57RKqJWO8iS1rrBG/+WrHAvjcK8ydiB780GLX4b2sRtbFJSqk4hBSlJky9eePBR+LzQqQyR8Otc/9adtSVj4sZKqKrJvUZjKmfTP1Wwt/W9qRIrmkhFGuSarBZBIC1QCrpE6smBUmLhTwzWK6Mzpu+zrhnkZFSUnq8OwJNrJRF76g1VUY/RE2DTjMzVUz9MWHLxfGaeckAcBQg1DGDPrhJog2ytg=</t>
  </si>
  <si>
    <t>NMqhZOLd4zJ+dGevGe6RoExvHDZehFKRLh5gqp/Y37JH8m5pvs7bOFJGqAU5KY6Baxns29NcQURfkWOYWrWJgRU+3pPnM8i5m0Qez7EWQRKWbXC05s55PHTm5nXG7QDn6N6mIxs8U4VZ0lGFRXrvHgp8flp8OOHX4XNM5VHQCHHVqqj7Pi74lsyZVdCNA6Ib477FHcVSGKC1CSbMJTG+XArOIe0CPPHNK97LCyuYsZrXIXq60f0BOAzxVyw=</t>
  </si>
  <si>
    <t>cuVdAd8UhwMRe+fDJzI/H9cfg3zMFJNxqxgDkhvy3Aq+vmGisgWPBAAGhVW7WBsEfqZ51J5YDPnHtkuvOM8R12znYNejA3ZJoe53WT9Q9c4oIwiwIBUGq4exCaJMX67nDwTSBlTm+VheRwSYi9/tJIzg2s2qIJfodHzfezdP0x3nyuC36lTmBedHJCpEYb/RXOZ2U9XQtK0NuLiPvzrIdAlBXvX0kyvf2PtCjbMGXZiWiK0SnnOVHTKpfLE=</t>
  </si>
  <si>
    <t>6sdKyAgjTDMPFB51gR4tykjcGM3hYRJBzXJkW5G57TCudxoY0lYwF3KAjTe/st6Gq6ok1FcI2OK3a4ZCOVZnogExgJunC1/oqaKLW0vdyRPhtXhF3WBZZPctkEQxtjaT4qUmRA5ZF6qYX2VALyljDwDR/TFSMPFI5xdH2NHHJXyHsxSMYJnipLT/Flt2plK4HFdI0655hX1rw3t+hhTbW1dweAg0vKKVBEs6RNY5Gz+HrQQI3t5/YF210wQ=</t>
  </si>
  <si>
    <t>g8NNwyfKxqUrsC2YyOzRQyLIjqwXsmr9YxzG5CjGVMGaRkITnJt7b3wiZLhyVdRNr2dTUuHYjcPYmsb9dpLLuifGKJeABzVpin02mCjdZRn5kswOb8yBJZK4BZe7fB8qINQSb7AG/gd/pkzzdDUCEk2OLM/N9wUgQBxgD+Nk6I3fkR+l3DVnRoL8B2OC/kOPZIPx4h9uiXcG5WCinz4//E34A9FkwIb3MlBZfh5Icp5a1mophZwK2KXy8QI=</t>
  </si>
  <si>
    <t>Q6xv1Yi6H0dkiO6PAUzQ6lTlq+X876GG/SIN3A3R2ILsupHhsIvhVmzsZgeTp9eg6UG7bZwP6HHEfwk47WNPIgfnpObgmJM7XQxMrUzgHZ5LnuQk/njtuM+ffan0dT5fa3X++/afbgWqO3uT3Vq2iXzvqkp0Ag8TBWt668RMuC6/qfqw4M4pxDwXwp31sIGv1MdUE7XiOde2yPcBnNutbWetsHCq9NQv0+lGG2Vt7y9FT4xfDizkd4ABYwc=</t>
  </si>
  <si>
    <t>QT/Hv9LqzQqgXp1nUkfWRwfC7kPVdcZpKW/wTPhnOt9LPocIJLAOUMu1CTFHSeVlWQ2cOf7LrKEBb323e5YoAxX6O0e+Jn7XYizHfui1jmghp4JT92Oc7CiufAYJIK1dHEGEEAPexyukZIA42zNHrGtYCJKIpufngpB3DC/xATJxfdcZPoWulk1qDHDJjL33LDWG2cGbBqmAnnspdiCbfIEGuE/jKchN5ML0TAv6kPT/dH1AGmBAGDgj2m0=</t>
  </si>
  <si>
    <t>xeaE+rX0FZ9M8mbFfjcdHUwZWnbQC+aW4b7hUNeGyDVHwECdhaKsurMKDK0Hl70/mnqMqWejd1sb3qVIQ9EoCJQ3fdU+BNUy0AEF/14anWapAYnhqa5QavZb7kj4KJHzKmMJ1x5jVl0YTnpBScOYf5E8V1GJiTdy/Mguwm8uwUT1d0Mt8p7J6iK7WRSZyIQFzg+BZy3hNHJYm8+qRmzcrjfheCa7Kd8N8KzyFG11oHFIqcOMDl78WbTeBBg=</t>
  </si>
  <si>
    <t>6gF+wrPP/1MIwMqaZiXHaq4StpDTGqswWYcbVAc8Gf0ycI8Iu5R/SYvJV55fSUvmlvDOIjGB0usCTaNSqjmxV3blWo6FEvHe3ayRuKOChiIa/Ypfd4ZnstaukzOlUghcarSsBV0BG2b5wsFkUXIky8bfyE0pgsnFYmDxYOpCHmbhElgd/X/Nz/W39ktHPqnal8L/IJZOqUG9iH0G8BXidvhwfz/92vGw2z4AE+za/A5HLce09nA2Ahv9R3Q=</t>
  </si>
  <si>
    <t>aS3QjJLyIdk4CHLMl/+F9Ctwwy+UfJe7UMyH5LUOLuuGcirn1EaFTypPT8pcIj9t99aH5Rio6Fnz+lGN98tXoedHTiOj/v6A097Qmo/gtjfSrYoiMdV1y2O3EgRBAdrHyYCl95IYhsdSXJbjkqjnMBpTMuhsGCOe3azdNmviir2A0g9a6IA8/oTQq20eO9ui8F/5ei5vaCWqZSvkiGKySqqy4oVlwVIPVFSFOU+Zx2gGupU0Ho6IrDAUqG0=</t>
  </si>
  <si>
    <t>JstCRsR4YQoLdcRJikynBqMevbUOqgPygR6In+GQ6MNNdPSbjqeBBJBqvNSlm6imvXMmsfxO0kHkn03rqPpsYpSZ1I8lSFf8y2S3YZQ9fR1fsRMEfxEiS/rDsTurzYirOiPt43iJFhZX11c15eb2yoIM0ns2HKIpn7Bi3Wl+HtAsAzKtW/VsbTgG30seITIdVW9YCYZeHaq5WMaBCfa06M3Q6+9MBohn4JHilyk9xvICndVieA0t9JWRUIo=</t>
  </si>
  <si>
    <t>4EMyrkvSP/3KR9wF0IdUypef+L0k4/+k10nlf7ktZHM9F2UUShk9XFNLSs9OL/dF2tRAf2hqWehNdflHxyqhW7SaBEk23B3+4U/ZdIA22kMGH+y348bFVp6q5yA68R1d6WEnL8AUUCYiFpijYUJYXTNmKwk25Mpw+f5uwNOvUUC1EnqpUReRtxL0houC/2apSAWKl6yWC026/5TXRWaA9PE0Ql2NHQjCN40KySBXr5EBHQGwjt6cK4CyxzU=</t>
  </si>
  <si>
    <t>suis0dhsisQpM286iT2FDSIDsJyuIbB/IpqUwwaxLpqHvMtSRmeXjoWSjKrLtex2/4G5LSAQ8omvlxPejB+2Jx9ACVNsUlapfowq6Xj5jGN9oFFd9Xy3WNE3pW0h/siHdfPzvHTb8gL7u7CGZwJHr88BaB6imFMar0K649e8XSnuarP52YodJyXMN/k87n1K39a/r74rdohDziz+haUcIcuCHOwMkyFxdBg0mmmKPlIt7K/kfPdbmSmDfTs=</t>
  </si>
  <si>
    <t>nFW9+uxTbjrRo/0/5Y8KFKwLBxy5q8XMDGgtrGNiZ3aeJt8+u4w2vH4b83dZscU/SKquzrDwG9aw7AQsUJUHEWzCxhdFRPI0F57lhdR5W7rc8cF+ai+G1NspO58GRYbIysgzhLCmnn3B9Vn7u6IATBGXz7g4uVMnTufLRLRp3lgit4H2orKMCyEpaeh6wRC9dGz5Fq8JdAnQ0OXSdpSsKSs8pRXriD9/vO24vr0IGYdmLBiYslX3dZsLWWg=</t>
  </si>
  <si>
    <t>He559pchVpAjpkNa3rJs7FxqxNrIWY9yilUh7SXiIiEXeRy9jvcRT7/9IvMstxBJFKeV/rpUshXFDUXZk/LkV9gj9jlpDh92OJEsPZWYXp6DysHYoLJcyw0HZoIylRhY1Mo8ToflfZlssGWEoQuM1OelTrtsDKxXRrbstdE04ngEsFK9SBH0efw8FcOGDD4FgwJkEhemq7nVyRxhn2AB3f898i//DHwaSjByBeAF0/ASV+3iWVRmLy34LEs=</t>
  </si>
  <si>
    <t>UNsCAPYMTNxoCVwni9HNVWRs8aRh0N/B9kvSBUsJCPCa7/SR+JJa/NWv4pLCCrFxNGaLOyZsKxYkZ7pTiSl8aXiC+dwtBYK9hNA6dNJuYiaK2A1xlUW3maA+SrtAyrsbr+LFtFLKDrWAO6nehitnlUtiIsgIU0Rq3nAiS9tcmWqth5wxkxL+ykkpqpCQG6Xclfj17GWwFN5oJtKCKG0K4DqUUn3aCYjibVGVqm+gKrcE0of6mbzNvanKfYw=</t>
  </si>
  <si>
    <t>jWS0zxQdlIlGi36cN8o7wgCq5tEaloyLEaNfVy9HXx45G6/hc4dvzn5jy4B8MKEtp7urxc/6/b4zfGmYQO/QB2gYQ6nHjswv/Q2HPRV7+q7kUeIYeovjYwzrycvoYPzUlhUZB2J3SIPcYfSYzjWTZDNNPcBeqRHwzUuZqT/qFh5j5Xk4JGDkTOA7CeBkZZgOtf2K6Hj3jLQ6bOOTUA5dEYI7LgkzDp6NgcpLzgb67VZti6knD0EfLYfAAg0=</t>
  </si>
  <si>
    <t>W8P4Csb5CNACTI0Q7FrPFAehm4mbTRoFtGBltw4LbNDaTeIYQOGkJezoxHjTZvvUMgbeZNPPpvxlynR30BJTHN1vLJkihXy26daASX2Gbbz+mfSAQ6gKghrq2yIIe03M9aWn/Hui5nqnqHNSzdqJwew2xmWROH6BTulxe2NjMS5pkYRJ2PDscWvWEKsAE/hk7dTMGbQHTmOxC0CwxQBnb/cith8KPw6tblPnYwR0nAMyUcSr9RA7NP/lnag=</t>
  </si>
  <si>
    <t>4GtIexR5uldlptsn/cxxP663n4qYyQk7f6V8V97TNVjizWbfUf2mQ9bfdcS1lMd8KpT+iRzSrShCARIESHEtEX/i8mpktwYhROlwocCukXWvguX+qQHaBygS5agrAoMa/JT71zZb9NCBqQKcL3dvWm9IMwq8408sYvuDdFsv3yQbadeHqQkU/6MET5kG9lHkBEqWzJLcW8M2AJT3sb0vWXTMEd89ry/f+ZWSpBVaogza3NPrbQMucFBkxkk=</t>
  </si>
  <si>
    <t>xRL4+lSmXBjDfXr5H37FDOlCHRu7Wzl1p94jq0cFiGkxGvIWX/UoucQzrIwBAiwgD9YvCmCwmYKfMlqCeWMDieaWPxK1M9YOcGQrViBuMNbttyPVkY3EtpP+H8PqCfCOvZfcfX+s7k72HNaS50nYZUMBUifgq4l91e3/Lb0Q0UG3Z+eKtOOf8aOt7mT3c4BVXEKGYK51YV/GCE0h75A6rtmal7ZLbK3wPilX5R59O5lJJjG1KN3lWp4knj4=</t>
  </si>
  <si>
    <t>fX08nLvN5qiTSb4xJoUZBvRgEqA/vDN++Z9agyABC+V5JswpQtHZI2qpEB+uaydbJBAVULSCW0ihu6m9PYCUZorv9zniPphwG9EhZkegntZMk2xW2O6iOPLOZwV3NRcTQL79zPQ7/iUsCDcYeE8hLiXfXukyoEiep7UPdD0VCudV7wz9DM5j3l767KGAGgw5L/ymfJo8YrKeaATpFbf7KVGQw5Zp8vDF5kIzhrMjVah4bCffbN9aUgRxUWY=</t>
  </si>
  <si>
    <t>yc7DHHdMEaBR0bEISIDQO/Z5e2udDkCt/5u8ZM8Ss+tOTSP6q2SJZ1os9plKHW8UJkebt4pzke4spWgbdfcLOFBbEb6BSLtVmDG83oCOLcX3dCUtvS5EWax3yRDrOKP/aqopDvF1r1v3zQD6d1FV8NGxN9WYF9BzC3w5qQDhxeu3VO+M/jbeYrSjm9jwfsCFHTA6g/BIzDAaPMfX/DbpMtVN96ZSrqqhKH1gPkJk89D864XXp5UURxYu7wM=</t>
  </si>
  <si>
    <t>k8VxkMK1WIKvmn8Y51DCpi9SqtEUGiSRB/4ZY3g4NKoVPIZPoCA6sxN0Vk2IXhky8ZCa9IAwYmYgp05Lbu9eQqnPU77bcsTp2HAJDTk0ATDKrJAIyDQVeqlw+/CWgBooVnNzuDd8GDK4uIk8s7u9aC0KdLOdg4nlY6RQP3O8Vhfqhvy5NQPF6ldFFLisO2Lhdhq6cmfKwXzLrTnNzoCWkKC6xnqkeAXxz2DaCUKARorP2Kv5DwkpNhIhHL4=</t>
  </si>
  <si>
    <t>m8GDP9f2R2hln3U8buSTuFGkiy/6zzysPj6uuIiwYEMBciMI2wjxuC87oxLKSDIcWKBF6zlny/jZDpK/XEqKEczi0jgRTu8U6cg5OdUHOpy9yksKI8HnJonvdZ8e3xkBJMLyJwMeXDTGrEwEZIQTEFegjMD+2N/m2x/nal6NAcCwY591f9eEFSngnpw84sX/a2qCFz40Z/2mlPxB/nkT6g+HjpU6eHvGLPD2d7Xt5fUbNktjwpjcAI06y68=</t>
  </si>
  <si>
    <t>Q/jsl4qCD1i54qf5935EGv/Alwj2x29yoCiXN34oRNSf1yl71kc49h5/6c5NPXMBokHgFM/6ya95WZvtapqcPNkoMg9mTpFZBYG0DkQLUEO8q4h92HTm7zE4Vhf3AQOclA3lzno/QezIZEoAszf9XbhtOfi0A6Z+jXxFIlYBndYqZabiUpXxOEeXxZdJLhZnf7BSwEN8YL/nZsJ5hesP/BcQbWNBr8XE97ah6G4ntC+kIj04RokVmuTpeY0=</t>
  </si>
  <si>
    <t>875PhaGrSRqmuISeA4JxsXPS5ocgje0AQ+0/CHTaIZPISmVTgyIzxyceESstc9FeUcAyodwl+9+vQCze4a1Yk778AL1zCV8NBWzylzkqWibff2PTKyOltquaGLP46n2LL8aHnpame5FUVAH1/rgMqSnKQVXIPbb5IfOF4bLi5zRj+Ul3UZLpa4SO8snPYXkfzdBiAsoG/c5q+QYwJgqvN1+7UgIzZU2KjC+WuHnTN2BbqW0VLjeZVlAHQCk=</t>
  </si>
  <si>
    <t>IUFutjTrpqqFJSz+dMVHg98+gYBLmWI9lgy7hyIqdCOVOVMx/V9VPU3zR3CqUlMJNZWg2rwNlfNUKvy2v7APTPXbPldHZPl2TuTjQP3volddc9gM75CO/xgUGlzDnkRdV2qOii4oTC54t9XOgZATLMME1OK6x11AnlLqmk5vYcQrh4k8dStDgZN9gQ5DOffGE+Ei4UJ/YfrmRsI2F2ewK+zZVbiYmUqu9Lz2x7r/2aVdoMbrpjJw09bYQF8=</t>
  </si>
  <si>
    <t>AFcJEhrQP2vw+94J6227k4zeVBmlDTozKzAtMknxE5sz6rWqEQ4kNkm90g8eLnCndeUT2k99EcS/BBi+o1mWFeRwzpXauxdLoucln1nvvC67y7eKE1dc0uFyhhEWlGTzIqtp6MN8UJuPu+peMr0JF77uLBWzmJWCWpgOW5UCsc60AyjccIujh0E0/fmenUTRTGMmyCpeFtPhy7lg0+KiAR+IiiiBPTAuqcc396/A89f9pCDsNcWMMi+KPPg=</t>
  </si>
  <si>
    <t>d2pd6yIolcE5X0F/mHf45y5D+/Td85dX1WWzHjcOY2z09IQfYH8PsV22lNnmpT0hayP+sOl+9LndjvrnCmkawkzQVk10blsmSHfAdwfcZKUzanIgjuf1IO//BHZmxvmo6d+UK4kPtnmxWYF9LfwaEnBEhCZDqLtQfJWmKSbWAboUnRz7QjXUdMvwpJ2+12nxYXHaoL019s1FyxpDNBsxDUA0UTjAv7U36K4dkfnz3A8PKV2C2up/gUDZK10=</t>
  </si>
  <si>
    <t>Ht75ilc1qdj0HMSP9G0H1cQnUk+CDMnIR0tyC7P27LO6AwtYt+kjcKdG8R/MnyqW0mETqEcv+sUR0G+RFmQYv2D8hlJeTWPtgF2Wtvih+5TBwoNMmu0/RBQ5GfBJFTjSuhi98ql5J9wXHqcbVQAdvy0PhB5zHcmfyc00mAX8zLtmTEju9kN9IMmi7brdA8ehpUsFM3SrMpU3kotGSPlW8O/cFKErYKOUiJHxDg7eTJtK77U5O2rZpfVXrCY=</t>
  </si>
  <si>
    <t>jh9l6c8lwwAGIlZdmd4yIayErXCe59qwVKhfVDxgK48tLtPtFLyjCNVLa3sm3CJyr/jFyP0MdNx8wsvpxp8Fd9X5PGEubYsMG4GAR+9OT3A9M6y7T51EAwAKldHnuT9JUIqCO6qWrkXRWBp9uSluPvx/kVR9YaEzyOLxR4PqNpHAVGkZPHr5Pm48aGXALvbpXjGJzyuEFPiBN6/CvlZk9ossDlcNVATPCVsBgqkZe2vUoJzsOFkRuCm1PBU=</t>
  </si>
  <si>
    <t>/+/eOm8eqiPwDBUpnp0he6b4EfL57GKviPw5hY+RaMhCYI0+SeNc8n+b+ufizMPEsJke7ypD07NQBPY7VJFZ4fLz3lLiuHn6Je+ife2ckdrnnEI5U2jB79RrV5ZUOsmThSxtt0PbDqsx97M/fXYBSnRjkryhmcEjKPzNakQNEP0QTDp3w5X4d4yACQBNwp5bkeLcLq3WfZBGRL5RwqNo+xfqAZ9slzmZtGjVucx/ycw0vS7gBs46owcxXYQ=</t>
  </si>
  <si>
    <t>/dHFxB2Nw3wupqtvDHHIVpv+Cj3aqXArrhf8huNJF+H78qkQjjSnAV9KzypySTnnKdt6/T+/yowd6o78I8rRT4IS+SLLtafw9AMpZyIPR5u1/gwdwUvVUPsUQP+hwdszid4p5Z4CcqN579PqWo1QPM6wTjGhcaqezXtu2iDVbl9o0xDM4CrcFKqPWnN94w5uTJcg6tuG+BWuYFGN6RJBG1Fb2x4AW/fTWr8ZwGqhjaoo/GZRED4ky6gT4hg=</t>
  </si>
  <si>
    <t>tS3MadpgCuQaWyixZvrl/68Pma2opFz3ENOxwKqIS6JjJyPMOxWzRavjHuH4HcfYl3/k0MqgVfSCHJMnrWg4h8XjYP42MJbfqJmfIf2CsuH5d3t8wZg6uqcAhsaraw2oOQa5jrcZicEFQowT6FN+Cm5Izcy4A08k0pd4WrX+C9n8K6ezcfZEQTsPr5G3eV6JxVPbbdS5vk6TQ6JFlUeZ9ZPh5j9ezK67hyNBhJIi0W17KM9fY3TjEtjogFM=</t>
  </si>
  <si>
    <t>W5hd04idLTst4mGcohPCTeif/OofO/tLBLMBN3bethoadYkuKRr6hlNATiPOwe4M1yA1nQVbPq/TMhulY1l+AfC93nRwEGSQgToyQmXr5eWHrETukRQFaX/O+P04QE9UfdTcDXLN2eXtqOgoDjI++6sISgA2CdconYN88shha29Df/o4PtECzxMVGERqXZJMq/EVgz/QVWMvCxkVCb7HDkp1HfbmDVWQnVpCPfZYSFgVF/IFu3wKsJ1cv4M=</t>
  </si>
  <si>
    <t>Lc37FpeciNH/0aH3Zg0aoOZQSPVB8wNQdg077MWUR8P9mLzxpFb8OPyXDLcxoV3H32QSC54c8WgydxJAjrPKaZQjFsE5uSFK7aEKwlu1YXDTymAT2NCHNnv5ynMz+3B6AelzZ8zo7ud3wQaqnfgmngc1RY45GYS/mtbZP/N8WvvKs2/9D+GmKM/Jc54hSvv6wLv8IP2XTM8fvJXEP+kRt61uuYRvWjZrB9R0YZb2NGOJWYLVwdcf/C2GnHg=</t>
  </si>
  <si>
    <t>O346zLHMJ1Yf7wCXZO4bDJbviCpahd9O3YH/54lW3IV6//TsiAjzb4mk0Wu4Yr3uAgPfitIbw9XU2I7jgFaLHd//PWQz0klITDAUDE/TIWpJRC2iL4CIuqs9JMtl5P+gGibVW1JzY3jRYT7kSFQj5WWONeBC6NHUMSjXe/U7DvbI9sKVyhg4hdOgj3ycmUmuZBU+zWmDHHbUG1akcTq467lByVsoF6KLTrxUqo/UbUUXhYZmQyKhLaN3b1c=</t>
  </si>
  <si>
    <t>2yDkh0YgdRikCaprqpBRqP/t0W4eBXYXY9Oyzvb+OlF6pW7kDZqfsVw/GBg90BRNOcpC1VL02w6/BT/hGGn19e5X5KOYWtERJx+h04PQIQRbwo/zLFtbXNBGQx9cDd4BQCG/N54sRJl5kmdWIg6NG/nEWfx7TExr0LVDXMZ35rvCs9GYWopY/aQQHYJhw2oLSlIyByqGdboEzKgC/SnAIFUEJnv9TaZuwpkJvaVeexC/XuNDUlJWl1wxZJU=</t>
  </si>
  <si>
    <t>ERw1nS9H/bbj5JIH3kti3wBkxnFY+PHpcpC4xlvvDe0/K8KAqb0PYM9DaWv14otOK5MZUyysKUmhDLk7qYG6glCS+udrR6wxa0iL64OJMvEPjk1IPAVJzUhLbtVosw+lcMcb92dUI+bizrEih1Cg3rGpmedfY54WRgMGB5AKShNHXQXoRkOgK8cLRR87zfvkp7LplIId80io/KZ8RXOdvTQ1v3JzH+yGcdgM5mM6mcjue0JA5H+p7iwpsls=</t>
  </si>
  <si>
    <t>9WaPTXncyQfdi/5LowpP+AUl3crHTR4RWJST/nhT+8bPu2Z+rdMOm7jPTmTaezKRObIFE0jXeFVZUV8FWEgAWxaw+s6eaS54d0Wo1OH3ZMv5tKWhIUOy94LsfE35wK2W/F26WbwIQKAby5P+e3hN8TaFFpBTNRt++qpFIYNGqt7NsnFxEavVGxcI69/kyJuilfAlYJFpxo1ALpyvjWpPuPbx7zwTgfC0TghKHGCemOXdyhGwZ0PjAKF7yX4=</t>
  </si>
  <si>
    <t>zt77t+U2ZmdSaoRnPKIdDuuS+XtRT2qjcfkf82ynUJjh8vaD6zQ+uXoeiNVO1hAfDDdgrj1pN32uPPqeALE+xAGy4IrVPjtb3vpfKKtccd5ySCtmlfTrjZPDWQJGrnEYbDkqT52g0tJHx+GRx2AfFVPvp9+yLkYaL6XbqatGxB5UN+uYf/P9vVgXnVTBTa0ZxyskgMlcVia1MNT4N9ZbWy1hr4xzm19QZPxdqQ4T1nSJ6pOy2/CuEskKeIY=</t>
  </si>
  <si>
    <t>FGMBfvVWcGkbEOa49GU7QkuWw13mteX675h35TOwimIo+bmrAZSaeKcOcfvXMhG6zpPz39entnR0Tlust/rfdHm27XhfgyyGjqnvl3s+nXOr9eBq4OTqKUlNC0D395kR66z8EVmctW6ircTWIFCa073szr/TOVfIt+OZGhgdrrK0x1KOIbT9S4iFWwAaE08JNgvoFK5+YSyk1GU49cwGJMDW2yDUyA8C7Ngl9O7MqErKrQLAdsj62H4D48Y=</t>
  </si>
  <si>
    <t>zsXad3M49fE5yoHecp4Ej+TrcrZC4D4Lr8ZpTKCBEAEsj3jmbgfryF9zm9uOO+pUbjyJqssgGWvFBVTKwyVxGUs/MeQsviSKuwPw6+l1Z4Sna8c14/E+qDLYR7r4OylBd7zuoTJ80KLU5YniohRk77Q6r4fuyVPKFTV/Yc4Bm5NJo9QZhli6dkCqI2VhlmsmJ3OgP+2QA20NC7uB8B8fZ3JqSHf1VylE/GugoKtaY+iNy5AoK5/XbXHy7gk=</t>
  </si>
  <si>
    <t>g0O16skm8JIv0GIoylu5NY3rsPPqFUMfKNVtk2Bc2vAC518r2qi90uPTwYZUfs5KTJqMoQVle58Sb5tsNTq4IzzIsN5y+p8YSomVjnAspfZwCG872qX3qZKJGujObUzMdbENzDW8MKgCtX5MujvpYe53qZk4bFsmeF//HIxNXyVsACiu4cB2Ut3HHE1Poh/XdEDIwSW6OjyU1LoBUh/G7Fxb79lm7GNHfF5Z8Y3kDUDUUfyGRgRsnvqSSUE=</t>
  </si>
  <si>
    <t>5/4U50yaINOsV53AHmlrTvynVWaFscDYAcBmexslBy4oullKhIfNxQZ8mAT3fj4ngTaf/oQXjt3rZGAbvTSkJZDQf6e196I2F8XQ8XXc9svPeCpVGH5Pr7rBFb8EQvfmkBxluQvdZld68ZQZmM+TN6EdG6q6ljk0pbKZFh9qm9LaxWpwZbZZDJU6j9AciaL2dVopMCxh+e8Moz9G5DLLrsEMtGjtpI5BT5TgLcgGebs0o2ruQbLPmzmlYJY=</t>
  </si>
  <si>
    <t>MKMA9AdiJhb46lV7E239W3DZqKI3ggUHw5e4XoW8c8krvtc9p/yCp1ctd6cPTeW6OBxBSaMrXgH2q7vEl5rYYlYROsPMAmKSYUSXm9IMoGl9mBKT0h5WKk71gTMY5pl1JUf8EyiUHZ2wobFwomiVCM+rKeFmmkwIK40YBQNgXwFiBgWL9GjulHPbWxuqRg4va1FxkiIRQJcsfGX1icEP3Tkmb+fG+/mlene5L5ODU1zDtFl4tr1ceS1iAro=</t>
  </si>
  <si>
    <t>xvkt58dfOGCSdmPXA9FKWM+eLHD46+wbZq9pJ5UJF7rbh3O0k2wLk1nyDSB2cnBeXqZ+Rw0rAVpQ+dPMwQO1qzonB3vdiJE/XbZPmfilbHL8jljP0kGV3+GERiO+IFRFxS3a/1ks7wUxEARjnM70o3sl0KLLykyJLzOAZa9LysJNdOzdLUIR7G2ge652zU23YBFJU69jwObfoyAUknNAleWmLTBEbuYtCP8Vk/PPEMkIcT5ItAbCzS4/XSQ=</t>
  </si>
  <si>
    <t>inqgc6p67Gleyts1eO64gOQf6LQvWNxK54wh/zX6SYmhBOwSyG91wAdZJCHLafyml/RWoYtkA/PvGr7iB1nG2FTKBKFLASMi9C18Y5xxc5S91tZXjS0oIxF2pTFaavKCsblcY8Ik4PjXkGIF5oe9UQi/4r0bzFwlbig1FRYd61gRkkqAn48QbUiphpjSt+CRmu8yEiKuWOMy8zpjSuBIwTjTZubNkRq2fU0NOZ7ptL3EAgXMJLJkli4Q3OE=</t>
  </si>
  <si>
    <t>wTTNo3Twk3zROe4QnozT0xmxvLiCtV/wSEyI3E6Bhwux82aM76XA0kIkZpYZXcy35Q0SbD8Ft6UMBD+ITTsmTgZmpWoHuTB5JbCb7ZMp1bXcf6JWg4KDXH0/BSq3w2ee6BQPwjTFc8lNa+en5qSHP4ahIFWF46RbIrdkMjT32QfAbrAX0vvjCJpVehgcJUfTU4hm9JCApuGGfmVZDdGeL65SWc7e9JtG4+/NQAah9ev0XVpkFzO+bSrXJ4A=</t>
  </si>
  <si>
    <t>xmR8H/2McH/21x3K0OqFCr+pNP7Q1pPZKyOc7mZ+duVM7T9Zwg5xF8VeuC9R/ZEvARsq8PsrL+BZ6fxmz3lW++sOSgOoc09BL5GbT3XZFWHCvnjecsVM6UBeQnso6MbrRPxfYQ4pJgvBqKohmYxt4WtcVTt6ZjQzK/qn8+XCcLxq8OYO+EJBXx4rn9pxugkxBsqFfWXZwfwEoAOe0Lz0BzxfrKzj7MmlM/nnCMmAyTNc8w2Skz2vagMd/nU=</t>
  </si>
  <si>
    <t>xWvEEQDYdeIKcLvn5e1yF0W2E0ie0gNhK02Ufj4MzWrcShCLTGckPKzk8FyvY/SCMYPXuT3PWoZ7A7dt+uvmHrml74Sv2mfPzAuNQM0Fn88bK9VE9TaeRA2P/EUrZneAjjDnMT+euhxbUxmE8Al3fM1XiGiRickUkkJBzthewVUv7k8CaxY3zWDI1+oRvYfYx1G3acTZfwu5DrzVYNn9K8ldHMFtVUQZKuGpYwx7zgpDh2t8GeH4upb1TV0=</t>
  </si>
  <si>
    <t>CiZyffCMXGDlPbpHhXwljsx4wGm8zdplvprCauVXTZzzaJwxoVAud51g9hRd9E//d8aF7Z7MOySx+r3FPqnQx9Q+B6EkkDbj2T9ecQ1lLV0WfhiWvRpCZAGLWmlLkC0rhhZR9WE4VggT9EVC9TFElcHy+Tkm15xMbGmf8goVAW9cdHf1cJmHfH/Z8gZjzRHJFLoApZBt8vv/Oh5HVVnpXU4spubwis2ky0rof+jm6iOAISpEt9Pqi+tgUUI=</t>
  </si>
  <si>
    <t>gEHWW5dxrVM1JC6WDFhQaE8WDTs/rHtdYoNcaorv4R0ViW4fVxQiX9uRIFOB6nJgc2B8jtotoqADWVgp3rNszY4aix/LjZAwSjA5FRfk8cFjvTVAo+wTAYYbKU7W3LNAAwDUoSYYDTFH2eMXfxkowya2RfWg6sqpVTrB0oFrD0iQPz0/+RNs88HyZ69ngQsTHjciAtyYuaxol2EmGF96wOs/aw/f96pISmPURCyqzMI7lurG1ivaIEfd1hk=</t>
  </si>
  <si>
    <t>UEnZOuE1DQO4bu8t0LFdMbpMB1o6hZ4IOpMZYSFxcpxCtBvpOewKPvAla54O39zWP4E8oxnNfxPBQIJ7zPH7FGe7q6GJtNWyKVuuditJ+rxjZr3w4QOvuZhrgKJZLe2s/zLkwd5TcGdDhjYt+qi9ZE/Xgr5zN1TqNpDjHUc7wZFwze/wao3YTTHfk+Rz1haySlwNXZV/cn2MQgSXqD5sMJ/okR10W8d8ciSXGQAzPoGK0PFenQJ/58PpS4g=</t>
  </si>
  <si>
    <t>ed5utBRarFAmMt+0S8EguOlSQZy68z51jnvfSweveZoBK45Q2OWtGPCPDC1EIbLU6pJK0mB6vPkH1yOoo7QvY55duLAnkBvuiGp7ZRlCHoiPj8fgwudyVAUN5WeQVXXJ0dE+7F/tl0nXEW0ScF6/ZKUUT4kD5zHmuVMoJNaoee+26QZ2MgeuOvXPBRy6Z/NanVPqOxuYZHc3OBQXZBWYX7rcPfrBwmBdyT5q/c5v3FeO90GOuQF1dt9v4Wo=</t>
  </si>
  <si>
    <t>/kWhbfxu78XOOrJg2NXBWm1RIuOScK/uaEXogjufrEGsX4YtS0a3tkvF+VWq/XLznjgT8dLebqt7TotnWd5ClxO4MaxEK4ghCu/h8gVeQlRXp14bsF45ulkqfWiRAuu5SkGY+yoegAC1MNPz2S3mmQ2ERaaIGB0hDTy43ZvhioYE3JxxPoSQXYChRSPmmmPN03SwRj5QZPamazXxgjsj0zCxr5cRHH+UKyvrnu3fiFYuwaiZowdyK1OScj0=</t>
  </si>
  <si>
    <t>Gf51vhOBqTcBChIPyQrwadLdddlEpGg3264xh4tNy0ZR970SrDK6oJUrYjqyXxH8jT1zdF9J0kE8HK0VgxV2bjH86iyLzgtid25HqJ3lG6LmbnwNtHWw1PfjzdkbRq4VdlXX0Yx89LkXmb7MclZJ3Tkeo0LyCLNaDvGAQfIeEXtQdltZv+ndvmNajnuisa0BMm2w6fmAS7KExflXDz8W9Rq/3IzO8p+2M0uqQ+8p5LAbfWWnGzVBG1PRZKI=</t>
  </si>
  <si>
    <t>NQ5Y17fkeXI4xI5fz50ULjK3JCUapdgrY+CHmNKkG3aEAMAVbmAsAXlLfR1B+1REE0CX/UKpLzBu5iRpMwhu6uvTefapHsqeIm+BHuOUhss6sHf5PvfyFEINleKPNOSYNIBLYWtVMgFRkiXUpjbSnh4aYWqugR//0+daD+bnqxknga24h3XYzrRVnrpLi9r0ivNaklVVQhkmmw5eiWk405D1q73e68mdcVOdXDUFtMgcVry37F6KDqDoi0w=</t>
  </si>
  <si>
    <t>rK4QGGiQfViWiB/03GJ27mio5FBZtVMDcIqSiuiQ02U+upMmHXFVYL4H56l09fHYZermcn0Hhz3/g6QVwlXk1AZ5o1lWJlnNwk606zv47C0rCAaiYS7Rowbeq2FwPK2AOjYbN0IJW6ogbWBEf1dmlPcCBPabDARduidUMf3zVDsz+EL+yeUDqyjFYhHg3QwYQAOEMVRJsb+k3YuXOpXotdpWz7w0Na9JLahRTeM2TY/g992elXbl8CXtDcs=</t>
  </si>
  <si>
    <t>nh9KE7ERK4rQBUrkIO55ZYIyRbuozwLvyLRFR97q5Ey3Bjg2ieClwgwGT7h7pT2L4HLS26LhdkDuchZD5YI+XhwEL5tJSigPWSu+HVlSutjyx++zyaUceKE1rWuFy43yn3Ht62L4vR2mzenmQlf9M54DAMrg2UdEKG+gjbcQSYvvWfkxvKgZKyS54zUx90fq1iZ32UOKqjSewvej11pyhepWc2/FhmvsY+b2qX+JETBZBAEYCRChBJlbmic=</t>
  </si>
  <si>
    <t>48eZ2iF2Df1XnRn/maXg3vOfIHNeXYtygFNHCZB9eEhMZfOa1+QuktpNCn2SKzqdtaa7ecqv8sDFGPIit+FQE5WnjcchpYm27TpvW2VtJHVbqMjeacvsulLie+CTnPF2Dt+1FfaqYqYO+DSSsGpIcPJDB00n4/bwN3m8g3AopHGqRuJsdm9C31Pd/s/aRSvFDdEDFqTN2RvKLnAET8KO5tjM/SncdsVibsX7dGoaM5ZwxC/DtQLOblImdtw=</t>
  </si>
  <si>
    <t>yoX2pXv2Fj1FFnaBYJpEDvY2hO5PBJGqYiEeJv/5PhVNzlT7K1pI/fUEKbF8j4NHJInCDyYDcZnsJCih9ogZf5oWwle53+qY9dZoleonEkgOwukwVQVCKqckcx9aO26DsDBLLUe40cPbDOkn7FV58gdaABVEL/nQigfE0oSBFLoUA9wWojR8XILymaTLpdqH2o4MSx34bTDpO+RdTdpZ3N2vBUDYdebwCTB6gdpcgjtuvNsM2og64y8ehw8=</t>
  </si>
  <si>
    <t>Dj2+0ucyFgUThnSAGOYA5mUH3hoN5Zc3zLaWZFURZugedYKuFMj544E0GDHbWNeFWHAvCWaTwNaTx7kp3PdiXgjQnaPowJG4cRD9UPqkzumVPv9y9FpqaJw0k2TDNz+tCnO7/8zDR+LJIZTAwOXdRNQvoxu3eByHw8A4vqcnrcYfuRVPqPlkLiWWekJWFFZ+MsKDtV0j1k6dfrWGYDorlzWq3sakj6+nhEDQ47rdIgIlraWXTJFhvO0rVlc=</t>
  </si>
  <si>
    <t>E48SZPekqgaxir3Rj3F2larpJ0AXZPmV5ky1pgply0C6jFss4iHjvxDWatl2qFCv/Jhg37vlYSO6KyJKOdeTDyx/OZUsCwKCZWpmx1Rg4LKajC/zYMH+Q3XANYNtJPp8Ql0GUfHFiqfHGVgk6hrUE0aGZ0r4XKHw2SABMVMd4hjoYneIYa7dnAonbxSUAgbJ6ipReUNVcyC3VF4K5WHnIbNFwA9RnRSDyWmo2UfC19Ils2NI/g6nTpNLstI=</t>
  </si>
  <si>
    <t>bJjrXWHRjil1l6P7EcKDNlAzlm+qK6JBM96IX2jxLwbS3mBr+YvBiM8iylEuj87g6Nk6HA/pGsJI0uRjOj7smXVM3vGEr5Crxb2y5VOOf6X7pIs1TmR1L4H6caZ60hL6gPGtUTOo1yFsIWz2Tq5+tVHvInOLien/jVXzUDi/jFxEY7S0jog2Gi1qxtXBD4oII2d7iFUioG9hJNu4at2PJrh5cLEsvYyVqfPNlKLTn/poY4dAUkw8kj/I5TI=</t>
  </si>
  <si>
    <t>5rr4WcrYdmMbPcnGsokYjMYg3jM32rv5sA6vO3Qb6U7cm7uJRzT/33IfWLMgRADZxiwLRM4ORm4VTuNQYuLIKiBqUoJoNwK2/1mQJ/dKSkx3wIziGtEioWWpq9LdUX3o+8yCE5ZqGNUqcSbtI7hgPB5mFNLqZ/hKrnfym9HDHVLNC5kuG+ML+LsBvfw9yNMeVf2orAvSSoiBZdVcKuhzT6guQXssM3ErjEURlWJxLTSyCb+/a9bRuKKcUfk=</t>
  </si>
  <si>
    <t>Xb/ohbI6QsL+IAwDQW5zdmXbXptqGEOwTpFdh+R2ldDENwUhaV9TIQR44agnmsvpiQymhMITn3dvM0m+Jl6z2MA2nXFzgniyWROI+S6LFIEpQ0aLbhkm8q8+gOZp/bIQvoh3LqZ5OcZ6wcG+5g1mgOL90YwQV/T9TYK97NhjfE3FSpXBCDl/LoFm0C6ozsEhJEBX32kYr9gFmxOS7FXOXh9ITWcf9Pu9HvU4y6OmyhvIYQbJJbmjnlglKno=</t>
  </si>
  <si>
    <t>msX9O24ZUiqlJJI9lSvnewiCxHxKloerZZM1HySFtZksBOoLrSUTmJpTX6Par6qq6Mx6GxPcs0U9TIiOREriOFoue1gvt8SJCku/Lh9+M5IV+PLsGoicqOb4CwJO2F+qomjuEfxGFAfoiRtGPXrL8Aw4OTbP6sCaBKREznqlnOFepv87ydsxs9odkdeXZVkYj2R46mwzg9xe4QClBBeVKBLcoBqUzWW3O3epNyw6SzMWJI2r3bLV8YSfSrM=</t>
  </si>
  <si>
    <t>ia7Hx8ChyiLLVk/H6CriPb22mm7NvhVo++kOaaqG/IMHBcFKpYxvHMxFAPgYpJfX5GkG0sRtww1F28Efxze/ZMptZq0xRc7nvLtwLEhWNE7vJzMk+bROk5WcwAEzgVs8DmTJLffHubca9f4Q7mchiaOnCRw4t4CIjFU87IPuN6JpYxM/+io7vgM6c/uBTycpqcL5x+bJV4svkhuJUHuq4iz3zSrEkFTNuKoqTaTVRC/av9q8eWK4h4j5NoU=</t>
  </si>
  <si>
    <t>SWU+tOSCdebOay5Tgu5g+WF/+2FjDOxS1eeyYPIKkYENDBADpJ6YeCVvuAN8y6T7DUH0potANV9JxF6CMezQSXifG+eX3LqYswtQzDhqQ5w4HG8AGU7RC8f43iM9oZqJfXjjM/y1bVftSS0gQUQW3Bs7oQnmnFZDoARfh0qzj1XD1ptv7e9ju5Reg6CiVEUkrDQUKd/g89m2yaf/GvKqbAWTzzFtDlp0hdu61SfdnSwxXu9te5/bJ5wEcQ4=</t>
  </si>
  <si>
    <t>CjIBAzdFz0oX/6pQHmYam9y/wv1QK3jRg1icf3P4ceESnqo4JNa0tu3gSN4tCT7BUmfOsJv1LzJXMfwmwdZhuUZF4UVVyP7igWrw+CCp5Rtgb16IPvZjHcD9lU2ZOUAUqKWRLEw3SituRp53cOGSB0eC6NlqhWZgTE2feEPWmEl/8gGNVflsN4zyZjCPdfingfmadZXUZuYTyS0/ispX8E14NqXOQoM7DYZeq5Rar25RA1M6uf8qsj4puyw=</t>
  </si>
  <si>
    <t>q1LxK2EsDmCQDNJKgF74s+HvIpmP8yC2xEKPN+/VbOabNKCsNXP1PPRHvFTd23Q7ut/m68QvAZFNS9d+E6OsnpAV1g6ABLiGrslPVtQkkCcb1Wf8ZnD223/rgenoRD8lsAYNjnKT/8PRz8ojJgdZb+kr1MXIpRCOljlvOkAtW40DB/c5DDFeKq0x5i5pAMn25qXLRi5POP5BJSJsPoS+CVfvjEYuwAVmLantjoyKFmBQyNqpy7rq4RM1j1g=</t>
  </si>
  <si>
    <t>NaQBHQtlb+UpGdfbUNHj0k+bQC6xDQHQr44DRzLai7t+6Gku0neGzJu1hvnJfUEGwPaptOsfm7LCL0aYl9U/cyevmM+ASS9+vzR9xPPN1N9jv9jUCRF8h5Mf39TyO2UO3GfPV+ILmDvld9KHkfaknW6Yx+z54Udg3vkHKB68AhteyAol0ZPVl667YMfkbP25EY07JTPAG1ExuzjuYUkIDUNyaXbcfOyDobgE70bv0/4a92q37n2iXDLsitc=</t>
  </si>
  <si>
    <t>nO2Sks6jkLpNnbXC1eSqRzNWXBXsYc0fbOjPBc0gKVwE8CteNewpQ5Z2/gyVhj52sk5hK2O/GVgglGAG61DhwdAdZkVXLtd4Faqnstun8uUOh/vJQ0c15ASm0S5heOz9/P0+ETFI8AI6D2Ws8PwM2848g8iTgBFmZb02yBrT3yf9urgp3pvQTCSsp5aH2CsJDsL2tgN3DrxYQaMSZ8P88zZdQ0OAFP4x2eOQLTveJUrcXS+jHTFpmZF4p8w=</t>
  </si>
  <si>
    <t>b2iDsW98I9R9d4FfpwwhDAPAwWFZ14d+4lqOQeKjENtIfvyIo4h1lD0x82JI7JDdEE1romoElTdb0oANrG1JBTQJUQNSLW5Hd2Wi1/ln5a2RvOy2Hnj0Pu5Q3ugXcz4makX7FeMs2ls2SEkgBg/c7slXxZvs6D7c/L9QhKiNougxGtOpBtj1k/qViQQkfoqnIKCpJhNJCggUvs8jnEx+N4nU8w86OQ5m4KAS9TlrztQA2sD11h3bdvoGASc=</t>
  </si>
  <si>
    <t>VKBFP5/rCDLW3q8bf5WLqd4Uqa06oEtCdM2y9MV4iU3QqyNa5DBvq7fjP4mWM/5ynutzmn/0v0vZlAF4AJMykRXNm2QOgRgdap8Ni9Jo8z6McD2QK4fNedu/kMvwpv1IYao9PGWWTruhVw7DWIG3q0INgITCxjHDf6mITzjjBAIB4w510Hd6PtRPy8BXYXNLvkTyvkbR+iBmHQRfsfUGXXGmmhIcCJIh1poXfQWxVZWXG4IxlLNNbEis09A=</t>
  </si>
  <si>
    <t>6lljSyEWp2ZeWrOOSZiiuRhqOnQjIRq5xRFIgw1pXtQWNnX3BO3c+ZRefgJmsj7tpsZFEVBwINJk4wCg3GaxT9xckHT8yLG2mmGKM0/Is17x1wBCchFex+pJqUkoXSBk4Sc6bn6QbKLP1xJUqCVugMt1QZyx+G29HnOuzp7W/zSJdXOgh8bxnvIq72hq51Owut8zV5N7StwHoEuQ5cvwqwkF8UI581FqUak9jaJ/fgTIxZlnfu6RVVqUmTU=</t>
  </si>
  <si>
    <t>7M51vADJP2mF7Mwm9WFWSLR/LoeS/Nh5bBFD26DNQpgAzXpShB0zuzIBuCorR/nxQwkTNaIrZAZ5zCPlDQg7jpn9r5hsH2eLIKde+5PINwT6byJLO/m65fTTLcOsAve2evEH9awY7BWuiVyfWU7TWK2YJ1gxNel/T8N+qksaFf0GXef4Ccoi080b+y2PFbzV904m+MEdxKw7TpUtxnYdVmEU8hu5y+iX3d1rnJf/JpARAMyz5mWyXsZRtjg=</t>
  </si>
  <si>
    <t>MhxR48BT8fUr0rd2urm/TlbxtokyrpMyrXhpY8B214RgxfyXg4LyN8mcBUSAwsV8rFfrIKpWw2jgWt242QDpT0iOxZqW5KEBiGErvmtKQ2Pk0lZVwgni1bFybwq2+tZII9VXnuskNnQFriGFoTjRA94EfOvZFDhHBUBdzBh+OWVrVitRTUjUZPmG/094782q8LaG2rvgp5xUwpieaXT6AFB2M+UfuOaSHGokQOrs2wGtyRfSRHhe4ooljIU=</t>
  </si>
  <si>
    <t>KfZ6bT+iSfKXUMFUsgVowfOGkJ9ddjbhvmiIIjD+BLLgw9yTr1mGHXwC4ab273vVlXKKDgrKuSfL/PYR36DahYtZ3aaUns12AU+BXGOMT0TRl1ctRG2cJGoRLCAtO0iUjULtfGHHicl4Toi6UiRVHWJvb6czLRt/ghyLebVWnysZ4SNS1k2yIN8SYLwPOvTHBrUrHILcJu9e3ixbiT82tKcv2MZSsSOG/KSo2UDaKPLbjkXRPyQ+jOltfys=</t>
  </si>
  <si>
    <t>RFIKCT5n9KlkZJa1QjukY1vmNeieD7eohQH1D6RwXaM7JgmtVz7agW8Pih1fJCQx0gdSrIgURSJOwv2U6J1AZHM1sGP4bz9/bpek6HgDlP8a5C8YYZvqcCFXjudo9FMoK5jB7xSJUuLWa7cuJW1VZr0rSIW3CNAVdKV0a9pzcSYLQeuZXz9mq/avMeXRtNbezOEAgEmluTB7+Mht3gEtBbWENlDWr9ONoDOCV/y0B6bIzanGkDqChSQFJwU=</t>
  </si>
  <si>
    <t>BmdAina4hgcVnA6vqzXQF53q3Vtuh1lvE6/0Gf28P0RcxHmWrtcvdcLPj62ly3VjYN9LGgd9rj6M/XNLIEt3M97t0xH0ys+X2PmLwNygxKqp0hceDRj/hpUaX73bkcPVp8s2wlVMnpQxubqGki5uO+UTlrPUpQjA+tztLXRISD4XWh5nlT24PJy0g9FH3FFAmSLmSIT0vCyIhZ4BiCGt+K7a3Kio0n2gdoipDcIhDmyEzFfk29DbKb7LSjA=</t>
  </si>
  <si>
    <t>9wIK1+MYkziahCQ9kb5TiCxZQ5iyNQ5nhSlWCskmDoHfO47zWvcHTasKuFJtCjTWJJb5BKfAAjrhzTOV7HpI2UUVdJK/YFpQeXawP55awtBXkOVfzO1LBn7uMSQ0+5VfJZfk2ZIvyQKH3bObRpgURsK6yQnQPshRLVDn9NWENPIMxVNRNo1hmaA3q7PAxDvlVhW2hSE1sn5qmIiEbHGYLWpQafoUD/+Uu5l6vyLbV4uGjSalCS1y9q4oDgE=</t>
  </si>
  <si>
    <t>THQpKqWyw4pJS9kJtrRMwyuE3IQJK4Zv752zJ3qx2Ok00JS9+tNo3qLw9AJNJCz4E51EKI8q7lTxFc5LMTcT3q2nn3Hq/o9hRzYe34TqA/NDr+mJ0LsHLCRQSup3PXbR/z4KgZvy7KeK9tWwxveY8M++oIZutoWiRDIsf2Nu47zcR2PJmBaR4MIVmJnN9xO9g2B1pXwq7jztnuRkCOVwSZa9jsmBMvofyn2SlCSOgyrFY4MwZfwWlnlqlpA=</t>
  </si>
  <si>
    <t>X7GClqCyAJYYngBas7dCuNtiuHwDxzenI8/9peq9RUuBoWjuArsRyYmtr1MV9hdkxRkwk47Q01M5rnj1uUQtXgWikLuVTnlM0KO9iTpqOUqX5kDr4MFQfz3zRHHkkap3t34GaW+WCcZoXm1G6M/Z6gCMiLQYKhcM0ewL9HzCIWhnt5Nnh7GiPek9nVlAwtuLlb+HdEM6cnnMtE//eCQlN2SUtPndkD5GFn1OX2FZodI+/qvLAksH3tmrZgc=</t>
  </si>
  <si>
    <t>asm2qpzj2nvpN/9Qn+6KS+0ixaRvB+3dTdHQgdBwqW7NpSOiQn18BqJ9DB9goJtuuVXcbyl18VURc1uvfYDZe2aV6T/1TZ3AM1tQx1ydl0dKsB2TM7PUrSn+Wx5EeSBfpUP+SHMVM4DMYugOYrIb8z/N/PM5n9A750FdfvszAS0VCmblHPbFNXcfvOjbfeiiHAF7Jki29/bSm5LT3K0D9BenzIIGMqpHGLrdvMaE+Z9lsUBZheQCRCDhPFw=</t>
  </si>
  <si>
    <t>FbvbvECdumyKf/kBFieOCcSJoaIUIhJRTYUwzOqRGc6qgHkcLmzrV8gBhDrtXD8SvwbPCFtjpBGtA6tr7cIMWbLk4HwW/+6JE+JIbDQobYY2rwuelIc/YgvI/UlOjmC+jwkWC7Uih2ZBKirf7q0/T9HdsVOZjV90nuKd3Ig6YqfOeO/GbpSK30ZqgfRrpeRdalBD8K2G1mPgbE6+yVOdUduc+haaizuCUApdAs0STc27lL1IVn+Z/U8N8JM=</t>
  </si>
  <si>
    <t>lZ8JXwYDPp/nYRANItOkyvLiRPDSTRA0h/6M9ZmAUPqEjvFmmQa57ddYpuEDmat4rMeIHK2GOQOo1A3uKAVoU1azPUeoSjDfgZQQBa+sZStTi2L26Bbku6VsmOUGRcM+nN/S3HWteZhGR/v56+gaiaoXoH/KtJl6mkyiM3fMB/ZCP1eEKa7a0mWxzwAlABMnzDPbvzxd12+xtf0OqmSXLyjMXsoEprcyyVLO0G6xrBbF8zzzgXabCM48mpY=</t>
  </si>
  <si>
    <t>mE7xfhbhgCVusBOQEaxRa9YJjVdwIDmqHwUsKWqdM8NA4AQ4ap3Lb7c3oOxuZT6a+aQ31YKIe+2GmC0iFVgGStCS9eLV+0QY2Bs5aDuhmAKXKawmSwfqyEpefbuHzKFCU8T/gSFl9TFLfAOa88I57acAXuXmLbtoNgY7zk7sQGiFPsj9AAgwqiu1ygYonlsbgLielwzGzk7NwJ83Wdn5Agq4RrAfrmDv7bOB3sJjrq8RYlBzx0Hci7RbKLE=</t>
  </si>
  <si>
    <t>T1XgVym9/cgyxpAafvOBSjNg74QEqBhOEPPh0ZPxVkGHLt88Eywjts38j9GpwPxtOWUn+swBJ27Ox5SX7yDkfBVcTDLP5L5Ry5RGyRSfnYlZoP4IJ0czQJmDz54NceTr3Kk5PsTPJ3OlJv7hLytnQYhUvJPmdklFSHZckOPm0GYNSUxq9RSDz3tIDp7WqleEsafgYZRkqdtMlsdCHu1lHeRiwGkRmlYPBRFGl/E86yL8Q+xdCYXC7oXN/+Q=</t>
  </si>
  <si>
    <t>G81zLF+uEjcRrfWG+p3SVOKC/ixyJ6hZSRjD3EwDDcDU2tTWfcvAcmlqNZbjcB+ETpXNL1WY/6WWymPZyq4jjoJMkbsHkIPA2ayPDloOaXV3xXocaeTeBQ7CFvzYiwyj4TKrRxPl3UPzsXO1cHkGq9Ymb7AFMBHQii0McgPw6ums2V7mJP4SC8FfS+XXajuYAvWy44vimlIxk8G4E7KQjit8b3ibEQNNBLFYAzIe+lT5hEtKocBLPF0Jh2o=</t>
  </si>
  <si>
    <t>tcAIEmNJFuT48II2FTZbcgdVEd89UotuWqCDYCEg3D03n5Dt5obGVgCHgadlVTTy6QjUbPNs5gLMqPRd+2RbjI6WN9rGgoA+V1p34pwYtmJMLfjTMTOYFSCnqYm6QCQOSdi8sKViWZ4vXt7zRHLVErIdcyvKhMS0kNrhGoJ9rK1DRZ0K0offt03rlLh5KpL0Lr0B6amVr6pgn2Y8efxzH9qu1HmVcqkOOUm1gwwev5oWiolH5mReoBw5Z8Q=</t>
  </si>
  <si>
    <t>bHYF9j1oJ9BeZ8Mcjr3cfdrcJiR9va9nmu2maqwBorKkuXyb/JRJBJ8glnYSADIh8djfD32VnGRkbftiOmi5Mj8EEbfLkFUd3/FQ71u9FMe7XvV4Rjt8xZpBjhZukAUITovsADdNVkQMniLqQ5/PUXYcw1UXTu+SSlsOyaoh6K/uoL/AekcyLh3gNqrZVze1JJHuoKVEf+HTNX6nnZ0UeOBq3sMOCEURYfbbuq89f06j2p6xXH3VyoLDe0I=</t>
  </si>
  <si>
    <t>CVDnMsUQvkbRA7h+N+TWHSGXasir/bOkjPxdV2Rh+uRwWnNJH3u6h7nX5zt91S9ZfIOvguwGUCymMGrBmWyk/KzyCW52tjYM7sOc9izRAbnvNOpclgve587B4OoqDOdAH74ySBX61xkVZTfzge30ekydVXr4cI/am9ubJ+EXmMTBTZrWkHstMeLaWZhjIM9MV6vrOc7eh17HoHVMLvxLR94yP9UXbb9irYhph9V85U4TRqNDGVhI07zKBvs=</t>
  </si>
  <si>
    <t>5HSM9hTC0PZ19lIeIgdcH+dHDYZNMqS2p2p3BqzK6bxRW3HlUIaNbBL9+hi4qpQ2yQeRhXBuV4kyMq+ZczEFNg5YufSiQ29jDmIzgqQOQCCSF+Xy1a4sViiuGwv8TJe46m6/nX6n1DORB5P3mpiOTDeCs0kSoyVdK9tBQt3U4ti2f+BVmebiznSVgafZGGbSaqefco48jbT7YTWmWKb2qglJ6rjeSIqA0IMmOFvYY2hfuraLQiR5yxfOQ3I=</t>
  </si>
  <si>
    <t>W6wpB8pRjl9cS+eBidHDrnBcpFL5Ki1uSD7LJidShwU/dKMoX0PkINVfqHygoZtcx5+HqY8ZOMXyPKpggJRcs8tYPfYOQBWj9BExeetY2NI8FCr6V4zQjKMyCSS2gZ0mG1vbj+jlIdOQR6PGcq41uMau0PJaR4nhVAN3rwgI6jgJxinN+ipePACBxzD2MZGrKpLVcDHvZbUn1t3ORZWP5t2+4HDcvZ09TXM0q4Wq0V3p1DhTqSQcfvG+1AM=</t>
  </si>
  <si>
    <t>rxCyISLnY6xTkZGnQj6NT6O9vLfHphnesqjjj2VQlD7AkaelTRpR4gOsjUhvMlbGFKhtmoEKlfzPR+jqJQ29Oe95flbrWVkfOgmz+iv50rSFvFKEvTiCO1xzjXQeRV2KYI47cvu5urnoigXnDtq+V+6RbapfaTUvCoqJvAii3C0IXNJP/HVRLJoNW3YoE6KDOTYYC4p3BhCmh6KmSnlcV/KNyOVRiHSsqXCT3DNwuAE92XLcqtYUcY7WSig=</t>
  </si>
  <si>
    <t>HsQ6wTGBCQLMUMrsNthKUy80uXuzrFEILnoyL+GRXukuMiK1ADtb5PhtYa7v7PAZ2GyTCOBAMJapxZij6vDQTVtLjJNFh8dgqz477CEHBRG1Sn7Ap6o4juD7Ynw7Ev1NDYvf5unpdtKEno4PyJNFfFmqoVdZ+9yjVZwLOy81zfMSjC6hf7kYFk9XBLQ24fEa02kPLN4hbnuy+Xe3tiAsBBtken1oitM9icpLQhkgsKwqU/LMOo2jeDczxbQ=</t>
  </si>
  <si>
    <t>OKUHKM6KDu+cIMpg1LLYdQco85g+aOxifr6pLL0SnOuqb2fqVPcsjGS4JFSilwQMxQWE06aMD5RVN/iAGXusYdabMKHBz3B2LZ5LfIkLTaHveSxMikgrq2mdy2F/kErJCUr8HlgZ4lX4v4GNX+kECkvJuPeFspGCxhEcSliYM4z011/U5yWpKUqCoEBffCHN7c6Ypei5QQuFuLZwpzzyZ3wEkku3CAm8J9fxLjCJHJ4CJJxUFbziQ8k5vkQ=</t>
  </si>
  <si>
    <t>o/JJz4f0JwPYypS5OJfR29MlX8rThH452JSw07hOL4hQsxuuv0dtxKnUA7aJl4rDF+ZBrBSgoov2N1Ct0byrx7tfP4Mik4YHT/d74f8Vku+cnlxPs9YGsXnWNJ+LcmKQYgmgnEGzEpcUB9DK84Qlx/LecUMZxXx8DRo1PjR8ZpjEl4PDaHvmeVjk0rypJIovw0rxcBAcQqtFxOEzb4XTyM+ulB4BAx7WfXkaTQZsyDTRuz5jpeeYe4q3S5g=</t>
  </si>
  <si>
    <t>pbwsQdwJrfKtwaVKbH5nDs0R4efhJlyYXZ6R6qF0C1vl4e0hAwLClqTF93faRMPxGg1R4Y8l3wKe2sSvX9PVnT3TqGlu80idPWL7YzU0tAANcNPen+WS3NdO7ZjAj2Ot1i6rR0Rt4dE2Y1w6cWVYYlQv3ehUzO6VIHpWU9n0J2OlsziIAfWnDwAyigISAN/wE2s2PUsUus6aNfIC64VZCXD1KK2qKMY91ThIhH2ctuODVk4P3ZUjBrKytlU=</t>
  </si>
  <si>
    <t>KGLanRmTp7uPvm1ERYKJmzC3SGr3GQTLuSQK7u1k9EPNuKQcSLMlC+l6E6CDp7DXIs5yiLOVZpFPep0C0URxzo6QQn3XeSc3/gloDKVOM/ARCvO/pDYzT9jQ1WT2VdJKTvHSiS4c9KQgPYi7TngQDusg/HrNXfG3X1HEFE/ujN7C/VTNlqVLU5bLvwCeP17w755yA947SiItKQbx6eFWePLCLWJ9++DVYNqTURx8S7Hf7fqweW5p82/w1ro=</t>
  </si>
  <si>
    <t>Td6YBYtwBdqhmESHdkioDxpDyRelsRcYiRIY2uB/PbVM7PGmLSsVz8hmjc6Vu+hynjOsNJhPFAhZC6TQi2m3L26psuCvsRxvvyAx/SL9oS8NW4AiENVVJK1NPChP7fa5VfALlkVtkjcQ45mHfGA6lkFj70I9meDNQG5gkYOBCc7BchKyMLEgalw3K6/MevuCVXuTa0lnVS5lqzN1DX6IUiQIQC3HbV2evSCYD4US5dTzWRBghBCnvjybuCY=</t>
  </si>
  <si>
    <t>LRcH2nXZMCUrk373ZXe6NvTkOXy9p2LEu0DrugUY6pE17ZpQLzq+d40KPMRxXfxPxjA3M+4HsMjlVkxzg1VGiF68J86USI1QxRl6dYL5T/MaUsSqb/Q33drQyIhttXbpxh5DrrAn2e1hTP/xI8XGL7PD083Lbjtk6pus/9bEswc5r8EWuaaRJ/pmZER511neSAR/VPsEcP70drMHFjRLYOSjYpT+2VTMXkgRRjTBA9ERtUxEgQ7VIFzqdEw=</t>
  </si>
  <si>
    <t>7j7zr6cobplOPjVGWwRLl8Wb8BSFcEjeIU71gBj5tYwg2Qkd4eyXc/rBAhTpdwbaCw7nGOwXCDMXo1cYbq3a85yRybJfnG+EUIIzobucHI68IYtbG0t6XE4ti8f2JoWMPbCw4Bi7ROCu1QhfmPxdIymvBHtVesI0qJN8uTcolTGcUOAhuXikGlwGOBngAEsekyMDUqUoPdoThH/24My4rilGu1ChARzRoHPKJSCDsC8al4wl1Z7LWi4w+/k=</t>
  </si>
  <si>
    <t>3CurWNMGMjsKmApgXeHBNIQRymf2ioXoxXZ290Z8StXaCFRot2NajLP2BAsMLq4Q/a9GwwEVZNdIIoLxzXLugBYM/ziSidPtzq3/DQXDAevx+CZLIDKfxU4gqQfVPgKkqas5B5eimnnZ+xJpXaZPqDuiYtjy0BZMMVBFTSKkzZKwXipUxKCfaRC9aN2UjcISsnRkTIWusyq83ZQCHZ320OwB+WS1GrkJufnbWH6Jrqg1J+KrObIFqQJ2Urs=</t>
  </si>
  <si>
    <t>jkVkImRJ44cDJtAr9GG7LFr3QTf03QpjiFjl7BOSuAOxeW7QMzVaM3xxbuAv8aYR8LO/+aMXzI8zZZUwCNq284/GVG1SNp5VMYqyS4hgbIc76p0hVRW+Ifihux50XYn1Hh6nZf19XcXKTdKsQ5ZCNrZNJiBTSh+hbzPcpV3EjLWl5izAThEiNi6RkLoegiWKrLKcrmVMtB0EPPLrQQ3LQrdR81MniNO2OnUIz1zD88b/Ohz5/CWwj5//AWE=</t>
  </si>
  <si>
    <t>rFSebB3OvHDdCFpoJLhRsMdonyE74GJLy91u4+xzoeW4EaVDiY2Ta0IgG6L0OigJxZTQVlPuHhe/RVJMq9uV4R1kpnRONc6xKeRdhtZjq2HpqF4jQow3jw/NNaHZr+Gx0iWoifPhqh8xMHZ2K5CJDXm65AvK+rtrmWI1frdnfEfnArd8/h5cup1uy9uQppJNsyKu4AJH+i77NAfwG88D2lc5ZKkhJSjvdsO12saGeWXmIMpn4qMcoCTj5Nw=</t>
  </si>
  <si>
    <t>wB9ueLrYDLyJTWJapIgMjZ1RZx/C0gPSDJvTmuv49R+klCN2vePeLQclFvDzVuvzekjYiWYYqs6+AJ1C9ptfGsOgRtos91vNYojEAj8WNPtWpH/uCXTERhbXg0masP0gHos5DVkjvkDuzBT95aJJfdkWtvEmYss7ouaafWOvPna3AlIybKrHMWyUpFX8hELaxYZYT9VeCSyoX775QBi1LwA/vTeYEmORclwVN6rvza3QDvbezsm9vx35zOA=</t>
  </si>
  <si>
    <t>kRlsFh4OZUngytm444eAIPQwvjImo/ppHiV/ntrQJb6TYsIPRNMJMgtl5TdoasavcQwn9+bmmdARwx9L3U7rNkPqAfGoHEU02NOjwQjzDsCLOv4rIfV75XtgOXK0CXpJ8HdGnk4R5mPpPB7SbYyB89C1Q2W8yCkN7DdQhbaukjvXD5/cDpo3r+1tCi/z3MpZj/cVrasWzV8d+FN0iy4z1GJyMg8/BKI/TgzeqVgvYL7NfX4Zjn8wn8KG41E=</t>
  </si>
  <si>
    <t>ckUwTJ9xgzkrRTjtmQzeZfuCgpQuQQK11YcRURfvBFf427JVjY9BogVkOe5B/4oJL2+CP3YRc9Ezd8GNTRe/08orTYU0sqrGnOcYknjoq8BOWUnmdX6KrF+miFeAUSYj2jgjuhPOsKofWIEFNoycj4QnryUwtAzvOsvRsJXvkIdSYBis4xUZbXy9mQaarz+SHtVpQwYJDKT6F1tSkHQ5icnVlzJVBVVVY+s/JqPLE/QOf6aeqwo3LknnWaA=</t>
  </si>
  <si>
    <t>jHwG+4J1Z9xsC6DFamazL8J8En7PvckowmzTomPj0uWwpakgHBC4NUL1YtZWrTI9/1XTXGTGl+jResXIMYWBaj3+CpAiB6kSnYKEzm8s1bPCZHYZ1Y0Id2OXQ+cJN5/8vC3UUJVq1LvZi1KxQLxB4gUJp2qtwbjMBXKTSFzJJ21+Kqf0pY3eMGZsrvZxZutHo+HyiVysDsfItyX3FOShso99KHTHTtMphTTniyqB9YjLonxqHJqaoJKN8tg=</t>
  </si>
  <si>
    <t>BXip5QhEwYmGq1PTjU1we3li2TAnasQ6jZe1WfYT7D0ZWydVGxABIyDeMhJ2j1cuMQ1PtQfXJSGaOzaCgiHdGW3bkpyCJFpM3CNGSqC2kJFMc7IwfCJkBmsDhKUWrYs6x/VDzq3WOMr8ZAxTDZmnvx1qjnA1tT2lKhyCm4Lj6waYn1v4kAZL6XTXs+DavVJRR4SJnpmSxOJBezBXyKtcyh/G7f5dO9j0fFL3vxm/iplMe287Yp/SHgzGVv8=</t>
  </si>
  <si>
    <t>KT14yIKfwSfEyPolDISyhNmfY6jGSHg6KpxP91boMmjAiy1sAiaVGRckjRkNCvdxtt0I1wp7njMvQwsMcsJ597hSfoOTQorq29Q/KfIssgNlwvb5jCWj/ih68Mj6I47Z2i3+fraVApK2Uu/e43dXsy9z7tCZTI25nI0RI+znddG4EpXLnR3lqwmNctJvabZ+kTbMVdH13Q7XVtU0AyabOkp228xTMEZmD1R8Odtx5aGqFdGCebx1R69n0DQ=</t>
  </si>
  <si>
    <t>w8OtGcXO9Of7UWyBkmzeKhsbSXOwcmzYru/RoitieBL6zmgA7+Eix6sLv9s/qYkOSElwECAiubwq0HARG1jJcvbu6jqApcnVWOfIG1i2yPwsL1xDG5PKFjhodQqlPYy2bvRCqAHjGDpY6iy/A7UB/UqDi+BsEoppMCwyd3BQjxmUTq/ffYJo36scvUcw4LbuFMp4f8LWs0ctBWEMYxnFTZ7WXF6uZUnAU/BPMk0/5SXW+2Ko/dLFQwErVbk=</t>
  </si>
  <si>
    <t>YX3XckvEaFaL6clAvlT+oMhWKuTOaC4pkXIN+tCJDQILOLoIoDKNEsuPwY+8YoAt3q6cTnpCl0QI9rWOYNwXOfSgKX6B2x6tnbtUa3nJznjGDTXEKd6zhS32JOWRneKXE78DtdtplHOJm1heeoGZN37LKS6sCpkhptrrCLMbbSf+2w+qrBQVXtmGYY94tKl8cbnrBGMTsj7reMnObLWOEYRFBZDMjdWTLVf1EA0cQgq1273A90udwY4/5GY=</t>
  </si>
  <si>
    <t>CJ1rn37QfMzk/OryHd2gX3UI6oPwt0/Lqixr2/wrualDrF7XoTVw7wmShjaKHoLwGvstb+ry5Cey7fEc/xiUmcUq29uukjF8psSdnY8QXmgiZFFX+52+BkeYZm8DAM7gXfKCNvE/7+d3LFvgnkgHjIaJw8Ww0v6ht3JVADEd3KWtENWUWzAuxR7ZmNiHCIQlvs2yoPYzxb0qs9wF2iaUSXCs8L81O/OqXgOMuh8742aOGPn0u5WvWUFB/Hc=</t>
  </si>
  <si>
    <t>y/FB4dGaNa1tVzNVkIJp16y5IfcEM1aFDHSBAiMEcW+HQFVA/deD/DJqy0kzwIl8Lxa7208DPOIDdUgD1oP/KBgVx2icRlE5xj3tpjbTFhSNe+0k+wPCIAwJoWXKqWZV0+PGz5p023LyX3Z5Rmucv3lOP6KhkiUNmjrtWCbNx6bHSatbALWtQ5RAkLdiFS9Xmxi78u22fDzEV/tb158vRfaMMQ1w2Eg8ij6crVOHXsvcR0K4V5Gi3+FPJuU=</t>
  </si>
  <si>
    <t>pv5kt+IBLouqBccbcCdXmOrq9n8NZC5m1+j3d+NY4buFzcAFzm9XvrBpFXpx7dM/2B+N0+8L2qPrg7+MViF+9427mrajmCoXGgl/Gh+c0kH4RgQsGc4rSMa3wY9QZNWeo4a5VGCPnk/Y8Dm6WG32ZBnOhq+4qV9d7VSasKUldzNjTZK54ARIa35tUfvWW9j1jPUbZO9qWUXzHtDUYq5cp/vV7ox1FP1ze+ypCo+ncFro9iaqseOX26d2/jk=</t>
  </si>
  <si>
    <t>NG9kLqYdqt8xlgYXaqNwLAAIKGWiqyfNuIPiMruyifAsqsNETsfsWqd6Ml8zFGtpr6tpVtxSUetxvz+Sr+ycPLXnoM9ZW9+rzV84ZW82/SIh0A7KJFI3ezK4WG3Y1Rjcx+NUD/jR9nk5Yuxb+SEkFLrV+wsktJCdI9Fv40g/yDSnVW/IA2AyQtdAEwCiBoat0ORiOWMUjE/3r6IOxdm5tr+w2UOHACt8WgilXbrJCyOmdc3EJzQoFMBhAIc=</t>
  </si>
  <si>
    <t>GVlO29zQRxBMDuZ2GoQZuQ85d7UBcEi+su2c1kMqGmkjrVeevmpa8m0fcKEZ31UN3/Lo48fbWTcQm/qa+fpiqQG6bQrjuQA3c2sd2m/7qTpGQK2w4LGUbUcLEOKbrNr4Vd9kQdgUfPBqcuyVsgf3ijDHP/+KomM/szM3Iy+HRT9uFoz4A6ZMOwR1BBXl9gNqaQrFMxLt5n/niuC0f2bOeURk9O4SKKcbHqcVbXId5h9ZIBA5fNmFxHxtal4=</t>
  </si>
  <si>
    <t>xe2Z0RrNXQZSOk04rPtILUKQ6sFVBkvTyfRr4Rm8DMn2VHphDJJmDxepE7dQyAbkOhmRsK2mVfWSVN1M0RxJ1W+LviN5nJBx7rElTdxIM0HFktYYKeuJYGrria5Q9a+xdjkdBQj1OyzlhOyd6DNmlhY/3pGSNnPt42on5/BFXQ71Vrw+9YGRxsYURpq+uErCGFppq+MqaYhEG9i5Z0OBr6EFhqstA1PQ5qbBDRKuEESJDchUtZYOVS1RtGU=</t>
  </si>
  <si>
    <t>/qeQAPjOZOVtPBFTSMjrnXT0Iz4AZz1SiTfjdDYacsuQLyqknzvoasn3fGPNeMJwKdQPqyGGeKoLA3qsA4TFYxbeGJsuewUk3991/ubvh69/JspgEftKq23r7z6r2rUOmsm4FIuna8/g+DNyS/kKHsC1uTmL2JJhKyoxaYyJmZK69wg3LeCPaKCxSgGoUk7RoAsuc8u+ooNMR4EsO+EkxvQC1JyY4DldTgwc/8oBFdI+DMgV1BykP3da/EY=</t>
  </si>
  <si>
    <t>ExBb8VuuRnHkaZkOi/NbLTT0eTJMTBkEIpw3eu8fJNBgrwKrWVXATE8dmuLKysD7vy+8AL9Fffpk6PoaCe2BAde3AjfNodeXJS47CrLkZeq1YNP4d8O0dAgsw02rpucwWX9Fs8LAYwZfkTpgzuhSnYvkA7o2GVKxa5zw8aYys6CtrV9GmI8aoz1y3BgbnGUb5MGQRjXEf3YkqncSspCDUv3XiQ7tEqYNQUwKz7Ydh+lnAdhMTyWu4aKV76s=</t>
  </si>
  <si>
    <t>HG8JsWIlEBDPaDad5ZSjNEfFVCF278p2x9Ccd9hZWNBvaRL2GLHkcJiWwG4yOKIv8YXp6HxbbYsq8QJ8qazHk7EKx9TKDeEoYCb1i46zdqCAN5nePBY2dp0j6B0K8K/1TwAtOoMWeFkKS+S/959uErSVI9IgePJ7CR9Ne5XsM3v2LmncNuIVfujRs+k0/7ZOCkM4TcahMCm4RP1jg7J34Ewoq/CyMweQzHFAXtFA3wuGn6dQ/SoycRZkHFM=</t>
  </si>
  <si>
    <t>alIorph8oRumGE0LG5hJMPm2CkJ1T0TZOSCcHynncNGV8oIW8O03WZKqylH4xOmBb9VulMHuuGSzTJba/ldU1zJEUNCi4+zgZDO8t4J8WvhnlsbhjGCvvDjB+EaGL8n2mcl+5GXDW3mimAZyifR57N1HzamcEyN48NddEXhc00nAaGF45OB+J5FS1VypGVMKmO4kCyrxeMWy1dJwjAG3WPyPnCl+LFtRydWvF9BTxnCt7KqxwsZvRXYdrSA=</t>
  </si>
  <si>
    <t>4vOvZtGan2Q84ilgCxl24FY+tYf3tkvMRxuEqVW6PTzGFwbGclEdt7v14V2fE8ZIyvjAsFI5t0uxPaEO4qZkXYdxi2qsYkdTtrybuxKYh3ajR4wC72AUEFTocZqgMctGsyXIFPS6MO1fXKhOG/UOkJuOLKj/vucL5j4sqB2tWP/PJwEbXieuImvB5AAB9iQ8x52tGZOLIB1BN1ky3X+OkS7T9FBM8Fpb98gCp4agRC8Ib2MDwVVlf290m6A=</t>
  </si>
  <si>
    <t>Ly8a7e3VBNQj2R+ktjhM6k/wwMZVDUx8wduqMYcnbTamGrIH8I+vFbbzLl8sT5tHdPXK0Uk6uyHBpRZEYib82N6sTNJv7hlZ0iVWSeEdFVGbnofUHfqv5NSxxHNknOfuTl3vY/nzq/tCFQRXd9NdWotWL4uG4zWp6FzTXNWYWTHeXQuAWsy7f9uADcryqguf8lSPbVdZ4bg5aTznBKSqVALd/mwtY2gzdKK8Aw2dAyitducqwIkVnmA/5HA=</t>
  </si>
  <si>
    <t>YW8F69tG8qCBDr/atsCylDPnIwXdwAzjrULvsplL5HddP3pM/OnTo8ds0Imzf1zFHd3knKZwTNi++VrWG8NxHTyzhsPUKNkLQnYOfEKp9h2Z+PhGJqWfT5lpUz6Zoj5DjilF4kiWUgKYMobqOOjcpqMkQ/OvHNt/2NPdh+vVfZFEgGAOf3hFsuPyzZZWxqAy+Ey45He/cn0iQCCaOoRC4ScRMN9syNZQHrcW1D9WjIy5c3on6A+em59Xsh4=</t>
  </si>
  <si>
    <t>zGUL72s0DdHOe5spIA8YsVWjZFxOgtFzZnZ9/9qi6CI923qub87oEFOQRNJ8D1kW1NojP4dB2ZFWSnyTQ8u9XzSgf5/hCd0k2TBXBoUQmz8eQtg1yG/AkW+CdM6sQUFt4rrZ5n6YSUzjhOlx6V/cfrg9rEUSi6SeE0VvJWeGxF06Ajsu9IbD+YkPjOEvgiTR9BIpV3DonSvLPGdVcCPhuQ//dR8TZsshwxlfT1svheaWRoM38M/68zb74ns=</t>
  </si>
  <si>
    <t>teJQkWF8qs+tm2OZrtp4eQBFBM7xOHh8VwWutzoqE9gY0IwX7S0y4BsB81lowbJfiHdgXon6qVSpcQyYaiI3AR1bk/au9+u7jnGT430OtM93i7Sd8yDZDc0wSDXeFkGX4gnb5rAgpSqr4G9ONzovcrdoTChoqpT0VB8YCdHCC39aY3q514Ntl09eCISmZP/EG9Pp6X4rgCgrcGXrehtnKpvyIg57Ssepy2wKUiEbXguDL4m5n6NAMHZ0whg=</t>
  </si>
  <si>
    <t>0JHRzOrFpuspSMaV1pZwdDqJqELkvNUVmEN+Q+R7mrNdr7fVOon0yYbOVEmWXEu3r86v3g25+2DGhg6CrFJsmu7kBmJiWB4FsgvIY/TqaVA1xYVAiEsDSkG4t6c/t1kR+qoMpltBbGWV1sfZ3ACaMMF9ta7OvIvVvZvqoy76TCZhBuk4mGNDK6ObDkgPteY9UavBIoD2UZ7SJle8Jw9P/HxFW/Jjn4Oad1cv6yvKtpo+O7AStTNmnIA4KLc=</t>
  </si>
  <si>
    <t>+eTWIiDbiGbaZd0k+/Ui1H0z2GMzJBn5ik7US2SpVXx4EI3xo2tMiSXb+X30MXhfYYMkh38eILYUjsPz7AxK6JRxKOxIatYQQeOugSsbQx2m7DWR3FeNUcad+96mGKxpiYMW+Mr8oe5HA6jAYEbxaGeoaHcJDt1F/pDZIDijDDBHMT1yI7r7exEnFe7D7n9lcWMR93zvuBkDRo+Hm7XA0IQ7nYWdfW0+u+oRWsjbmgfYcrYte1pmnvFFOC0=</t>
  </si>
  <si>
    <t>mqKnTC9EpDB4B6FPZOn8TLhCS7LpBAC5/WVekd+rhlONKdi530sEjhVIC8cS4CT6tbKW0aTyt7dvLmuFmZnvNCwXnKONmmv28SetHvYn5ojTCstznVbXHBfG9rRPvhS2Z022lwIOZvNEJyksl62u1JQX05E3RxgvnXU+mHmkEJ4FsC+GSCyVmJ/eOmMNYEjcJSO9r2M3KVT7ZAsazmGLTz+fnsTrQy9XjvJI2cfB72uTT4pp4qH2C1xC73g=</t>
  </si>
  <si>
    <t>UlyLNWukE97oCb3HlyMhdBXIlTHLjuwPTBkPbVsJMzgFIx5rhh7Ohu6SCgY6dhADworRp/jp4v9G+JT/qOB6pI6EdQBhFNT7vi1T6vytezjKsDNEVW9CiOuvXR02KlVntx0kExKI2qvo78xYZYN20lzwUjuA6RX15qceVOPdSJ0GGhN3yss1Q6VC13hcUF/vfclu9P//2hEcZ4BoCN5a4/1Jadqe3A79duVHvkl5swO/1TRHsCpGCTuCTUw=</t>
  </si>
  <si>
    <t>jOX+WoJ719LJF5RN0UZ5hEKbZcFHmcIdKcvGi1v+gcnVwvIAvL2mFqbJZJtaL5hkj0eSudBR7PaelLHu/pN46HqVlMwCRs0Hc59T0oOO2/CqJ0QqcPYYanF6P1n4m/Xj6RZmolGHwHJU3y+/IKDb8mfFv36iH1INtIzma8Z9Qxn729Z+uUK/I6OaVsTfYM24ehpFllZcV6seE6mhMdkZzRHSo42bvJ1sAvHFMj7pWvXXUQJ/SyoXxuj9MIE=</t>
  </si>
  <si>
    <t>v4ZjeEs7sCQMACAceJ11LFs5iA3VBvJCpgOPqSLKkJlArRrHNuI+GjM48xooqLsF1sSOg/bxrGmn9Te89CSRbF2O/5DpOL93UVmQZUkGPr+yWZLt4dT6ZJQ+Zr3Zid17/rVqNT0+Tm7SIycR4mawx9SUwh0m3Mo+e8qdsDd2+Tanle0bknpJdo0sjnDw9K1BXgB+w1rdjKRr3AQi+WzTnDtIkQbQUL15+LSdP5TpUIHsaeGsZSARwCYOqZE=</t>
  </si>
  <si>
    <t>TT9jyTmYdBgxN2nnP/Ym/BvsNEqZHWlCChMFeA91K0/D5hRYyIV/wOIN7y1U/MgbLmtG159STmVdkC2EvukBGdyf4RanAAfhd+v5UHqGy8x88BvwvFmQfmD6NHSasGdgvs6xmkBMCrHJd0pbJaqjvCw/FxV4A7/DbfUrllEYkwK1t531q0Fza61UzlBTu2VDPOQGPMRRjin6JLpKADLKOFuBnkiyTKGZtXnEqCw3lbNf0cBUlM6sMcdgsAw=</t>
  </si>
  <si>
    <t>6SmuoWHNxpxC0fK8JeMP01tcRfcfUhRyGkmr7QN26ktn4msB8MnkstNCkeQdDAQfLY3jbqCCYtXdci7EQ0WbjEJd1kr737h084ZqITlgMtDYsbbuwvf9u8Ip2kIbj0QExMshtZLcx8tLhyJ2sNCv6LgcM9lpuJERdG/meYvWuLsD5Y4fWflH8M5ARDGOnDXmTcqqHaJYQkIIa3NQH7qTJsUPj8fo6gAIG5kvuyO4ymS585E+T47I0rY9vtA=</t>
  </si>
  <si>
    <t>0/lPGX+VHHKQUzQU+NDJFWOXR43XoiYGzX5Xp+rbvGuys+UYxjG4hRpMDe/J1j8vU2qzR+/qIt1MPJTeBGCt9iWMDmbluI9y/BS5qPLUVo8IRlBSCWK5dbzsUjWu89p59OjcuHv6LoDQBFE7sSKu090R/vl5LBzD7fZl/owAzc2GU+i5dE4YYQr4fofHGJHHrTDNVZf5K+N8rUK2ljsYKyqQfoXcDYredp34HHQ16tkptVc3l4KjhcksjmA=</t>
  </si>
  <si>
    <t>gIqtBzML5+8UMm2tSWfzUDu6/uz+ZrUkYoSlYz9ME8XbTAjndP4Z2G3Ypd+F2JNk2hcOGpDyDXc2PnF9LpPxyEiy5mB2/LCphTUERHNDUxG/UM/2vX+DPC9DV9Xq8tOao520DHeSmjpDhAfACAa+kjxzvm8gr6W60VA9c9FpbWqRXSkm2Wkgf8+XQiUEAuKy3LMvUPDt+39BbiF8zMgHNQRSrkz19WcqlfbN6hlsF/l681rFKJ3OPYnaXeU=</t>
  </si>
  <si>
    <t>myccxkAZnutRgWb88EWQUAeKITUGq4KcvsO9otkheCZnH+Y7KEpm2Nwwg0xWx97YABj6jxxNq1vR5TregFax1gobvk54Kqi2+q3TxbXQow51e4EqMpDaRrYIFN4/RqZsnwMLKJcsUvwcujG3XgWe2BtFeXrm9m3CBSReUtn+w69Y5+o0M+CK+Dtw8yp7MTgscoIjVH+lOl8NOpAa9khxNhd/8vQmHz9c4hgU8EhRJ5V7h0i/NMYoAMNwGcA=</t>
  </si>
  <si>
    <t>/IABGbynUZ4XBfwPlbgTwm3AJAcSxH6MJLg4eBuMNFNjswIWxJNkRnkr/Zk38OlKWdxdHQSeL7ZAg51CjDr7MvrzDE71ZkAIc5BzonKqG78EFeTdzNBuANf9CB2i+m+C890tn0CA4tnrBXEvwg40jAfqH++PgwblxqwmOE9bivPf7EyU3fDOuXbiD5zHL3zv1mVLUBlVu2sfx7K8ctYd+Bn6nwBLkVlTB6azeUVAeDuiLCe13GpL2rn9b9k=</t>
  </si>
  <si>
    <t>1BcykdfFP58Axsnz8DjlTsiAw/FaTOs4GxR4cKe4Ru4J9l955yG4FycxwR62G3bPcbmURoU21EdZiodL68u+gd3LMUpAmQYr5fUPGLXwpVov46inVLCugRAdwVKPtPC4CrkvUNT8qqz/5hiYo2NGmZHoNORZfF5I/hVof/VZ75luBO9mZvxu2fs6UDg5oCLga2EEJFRJX8ofHdDb2uRpRSWPWFL57C8jUcvjVp4Gfhze/i94Vs53ynbxwr4=</t>
  </si>
  <si>
    <t>YLUaAWOsh8V6Ijg7IQQYwlpRVLeu3YjchD10XM7psyTU+Osa5fMYiZ8Blilpajyc8PkDnrPMsv7XJ1mFwohUd0QXiFCVqXyaSAM4mwEPZv3YLAnktgJcMZ8/Aywd7ksCyCN7NMHZzDmr9uRt8F6IUjwhOfBoKEHGGUti5/v3jp+hWt5MgqZiMXVYFLX3++HIKv8A/qeqdlJpGFJWzqvIChsn7WME0jetDO8jO+Phl3mQEBt1SERjQRXIURk=</t>
  </si>
  <si>
    <t>xvE0Usrjp6T2qwZ+2GYdcJhAv+RNocUzARMLX5FP+2N/pYeZMvci7TdBNJe7HuruGW1fyd2xqfNzzKStJGb24Zdco2kzKgfxO3j4eEp7njFy2PxarYX/kD009B8T6xpUgYCnzKSDIxJ8cpf8gUc7H12Fuqd0wCrWRKtLPgfdjJKSGlTtWAN1G1dB2yPTWGSvif4e/ipd5zg/cIzw2mmIl+OnCyDxNCsH00qQWuIJ/yx6KogD+hwned+8uTM=</t>
  </si>
  <si>
    <t>onm3XjBhlosXOrZa7/K8uHjHz4kk1t91qipslrPdmotNOKo9px4KT+T2+vY5zk+TCLEAsELcnSaxiIjOpriV1uVgfKZlaGyZesWzYQmsjonOXjBXyphwyqe7iKNdPxNP0CdcDiBoRNVFcy/0dVBJ2sKqeQCUXMCsGTw2z73tfTEcrvqjay9GATLyJyTb3SI0p/ROModkPSub2kB6e28acSY7ctNlh20XO3/rCS6Rw8JbHxrzg8Kbl9NAeNY=</t>
  </si>
  <si>
    <t>jxvEsnfskn7IjbFXX0a3/7OgxwyOTXff/auoooNffG7BYjLsmXH8FlliwIct4fZafus2eNGNIsQ/WWj3AbEQkEZPVIkZCc3uqv90/Pe7dRxUXr/6cB95qjXV0HGnxmhwfJG5yC3eiSbIqOWwMxnq0d6Tfvf3qCjPsY/l1sPML0PODij06t6bFSQ2zxRHsyaPPvdilEUf5rULnCFQGVtanufdx0LL9QTuNDTqXwUt056rs1r8VVm7/F2MxAM=</t>
  </si>
  <si>
    <t>yxaPsYUnPeJT5UhTs8zdtF4kOay8TYJvrWb8IEBks3zsq5ViLI8gUFOdB3QEtIadWsL3PlymtmB4iRE+tHuCqlksujbAWLM4+scGkeorBL5Ozpw2hXqcbbw1Gnw8kDnOp1qu4JiFAnL5rp5C9fWbnPT2HKuQhOtBFbxJnl2MFvI7l2QKqnwYNl6l4NBuCCfBQuuflQCNszV2aRMKKeKx86/0DiEyEis8g/9drE2X1DmyqIJW6WvVLkcu8vM=</t>
  </si>
  <si>
    <t>Lbnq4ohsW3jqDMdecgX6YL1Ak148WJf7YnR12zGsNXSg6G/C/4MTJ8g/whi0OZ71Frvt2JoV5AjpaSpI8Jr2ViImcC0jw6nSWQnLwWEi4RQKyP1p0UYnw3jB/Aim3llErtfBFAgLIifYP0GtzlTq1rAuM20FVRRj3ZtkQSTFdyKF9/oNQowK3joF1Hn9ycAc8Cqlj6CRbB6dHwB7uEaJ0aGB30m8AhnGOFQII1iwf7ug1hXCNG09HVDrVe4=</t>
  </si>
  <si>
    <t>6/BPnZ0CoNqsWaCxHawNhPB3DTS/UUz3fqMHOTyzzKQfaQxAoYjyJEfBiaqEC9qy54iB3bLVsbDZlREuPuPHLxUrh4AJNTaZCkuUT80Eca9KstnEzNWwMsQ11U/aBOalabat8JWRszLvzBkVqC9ChO1+6HweEYQc8V1KdzEhqec4fvkhlnKcOM82WDepc/QyHP71zFzeSmmwOPE1N58JrTSf+scMRTz0N2ctBtILMoZfYMp44POMRApUVtI=</t>
  </si>
  <si>
    <t>4SKYrYaC0EIToEAplgVBSaaVw/sUzggiltXW0AQ/qJpMdEJxt81dBJ9NwyIhbyybDxEYC92REQGDNxuH1iJvgDNSP9D7B0eG20fa1sRB2Kx5WVb/hqOU+dehm8d14PU33aKTtYnPPeUXAt7+knNe1JkNDT/K7eONkqHpe1jS27SZB6AZzI367h4ARqpKeS0CeB+CJpmxtdPEaTrAjR+L6+vN1ujRSpbGfK/DeXgtIeSJcv/vCOi92Wu86cw=</t>
  </si>
  <si>
    <t>r0CVcAlC30EBFwpPh93HXboEqdLXZUVEyIo6Q9Gn6S5CYBHI74gg0CN4ysg1hJbJWNIO2uflILxZ29YU5V/6LGp1aA7EgN6EMUFoOJe1QMKviRb4uyd/7DsAghmpBzNmHX8RhIGcmttCJdY2wd1dCshlEnLbHjNG2abReaF7xFUzTkL9mjhNvCVES3nTpEUHnUs6vhqzEHMoAmmde3ROJTJ88Z+88LtBdzrZhp3pWFtqN0ZUO97Gi/aZki8=</t>
  </si>
  <si>
    <t>uDUCnCnlKfOua+OGcLdm1KME32AZXSFCahiVXT9L4lKnGhz0Izv1CCxw01myioTa2bHAY/x81NrRnYZjYd1/5cN1lmhTfrq1vtAOWcrR59UPQE6RH6SF63/APkCRtMZ6/LiJne3bimWBP3P8V/+ebeQ74wPPcUNeCcmWGJTzo5XsOpTG+2q3I9BqqaxNnRC92zhexaeTWGHS2QPFjHnS8SbIFAdzOysFMa+ktxum5opDpJrx5mkxDNKhPZk=</t>
  </si>
  <si>
    <t>4b/ci+X8pcRe4/ycfzdvGl3pPiifCgw44AU2Efk3QmVfdeZMq2/lTSKYXsuqZV5/nQ6f2dWV7dC5gLyx0LWz6B93JdA6c/eHHBKrsHRKXlqogmZdwcnS8XWu2BUZhfv+1l5a/1p/SSQ/9eWCJgHWSpWYXHwPRtyp5RahJe7j3VceVn5TmcHrK8l1ZRkDtdt4bOTU0LwYtrUyPvbagtywQlYmhy0+nPmL5dJt+ssN0hA6fN/XK8Fah+0k1K4=</t>
  </si>
  <si>
    <t>W4wPbhr5w+UfmY+jwIAcbpsUE1AxGiz9rSVdRyzSQHOiD6IgUWRqrqcKTvd9DjOvOUXPyGiL81m2/8IeUhCGHBjJT7H+VbxxOpknncyc+Qv5cPtF2EVdc3ACZEMrWnQ1WlwpcrNonXzmQcjn4XBVEiHOkKUPmLr6App6FoY/qi5sC6EhoPuIqlWThND7hfGGmi9nTE6yYfKzMq1AKSk2KVrP+rNoHY3vGxKqG8LJAhLJN8k8iq/kzSCXKdU=</t>
  </si>
  <si>
    <t>zUeT1E/RckOcj5Y7ru/fQtIDtlHgHgYmRaQtU0sakW2UkYeitZxopeFsJeqPP+XZMb/9o08JknRMVHWV4dSC9/VtFArUOtRjROG+yN9T3uPOGAoba0BSPEZaj+NoGUPR0//C7iQXYKPqbRUJ9guph/DUoUxv0hjp0LuP0YUrni/zfL/BiJtTvbqsuHVJC7jYkfQeAoTr2X5xtTIHiGv/IlCHz3YnFvWHaJQ7z50wDQsN6p4yF9z7eK6qGiY=</t>
  </si>
  <si>
    <t>ilJEni4Qs80FLya9Tr9rKIlf3FWjxFP0OOGOWitDG9+m/Qfpmivp38OiZ/BPkxoBp9cigWSWfltF5B7BH6FVumCfSLlyUElw7LjjoyT7I1rFSjmwYwuZTcK6dZlhfIe1IymxZshKPDZcMFTUSHGUeGXcVkN1xvMqbcL90lI9qx+5pznFvFGPPfA3GF0TsVbsMZXG2GC/VGhVsRK5kd5wSu0QUe5PpJN++2YZuTU/l6gHiaFozeZ15UuTW68=</t>
  </si>
  <si>
    <t>hWDhlIkd5deC8eTgIVgTUSnmG9MX6C6LoYNGytsPWh/+ktsvGMv6Rt8uZ7cxmQElXEYMOsiDAQ93X6LeoIFzJ2K3b3WLih/M6PEEeYT7AyFgU7ZpoL2XZz7DRoBvDzZGdwcTEXFCR3l0/T2b2QI2wUKZUObo39n6YKtMLUeFLYXDDC242RMPTISObsVUL0n622bqhmCRAWAWDu4wExeSI4ZaL+IkuO3B6HK9FPF0ZOFP4U0oT9hY931osBw=</t>
  </si>
  <si>
    <t>FuPJ/nYRn0avzCHukStasOYp8XC7WBjK1rRSyozXlEcl/xChvaWj0oBwxsp3OqkYCEin/91FDJb3oirLOMTD3gTmFV91WeCrYwOdBA99U94iEYH3TtxBbenFZ7c/2P04BJUglkLm9I60i4zYm8uqtndFgDmaUoVyalqWBRJ0tY4e/tZFO+762o/V8zy66AJR66IVHileFDEMv65P8p4LR/ExP9ye363BCIOiCAbl5jVvQIm/HLsMHbPXask=</t>
  </si>
  <si>
    <t>vUyYMVeZ9D/9ghah+yx0kD7wmKW0+gIi++pt5jK6FGpST312eNEN1FqtKjTWGDRTaKWKd67eccj3pi/zqmKOznNlTCRFmUN5DVAqtJTSZpL2bVUDVphZ+t/WUhg4zWvNyGOdDPXcgvvsojq94scivvuSmMfflZRgqvs4yFVToAuECnMTSga509ZkZMyx8auyHo/WxlPwcbEW7VIym9uwvhG0kPe2XUROCMCeXZ9uMe6xUp9+9LVn/jJrCVI=</t>
  </si>
  <si>
    <t>wwDXkq8/kEOlqnhTBhTY2KmZMhLPkCcV/C1aLwJ277hEplnfP174YoMGFe9/GRdWbNRHXJlHN4dali5s/E5jYTQQaHAbwpP7k9A+7npDtfI0f0EutJaC0s7tS2M49FD6kKT7k0CiKqAmJeWt3F9wEmL1fVL1NBS14o4tQw5G27hUU9hpiuWBRUlkjoQNHb82AkVnV+fRmTuZLvnyYBARiNDj+LHGa/ugyQ5D/B+2Lr0yVaAF6kEmq3G9eCo=</t>
  </si>
  <si>
    <t>xeDGInjn353v77FOvphicNYQyywSQQufOOSDgMehla9PDhHaWYhCjQ1eZdpYdso488Qbi997Sj6wPafIY/hMGaSATzackLHYMzVIKtwIH14Nfi4BMBW8yZV5KGTQZNx1QYyfSWdMHvPfcf8/fyGr/vUeJFU6cj61XvYkV9rawvSqBguwF17w6/72ts9ko1ckeTqaiUnvlQMClzcODeDanwqwbh3VWgMHrKcKmzErg6GvAiCZrITB1a5Tpv0=</t>
  </si>
  <si>
    <t>YPxdP0JNHpCu8c4QRR6kahVkrQgm0Z1DQn/kY7ekykd8IBe9FQgbwF6P88k81h2gJLXBMqEidg3Zk9F8PX9MOVrpz9Vp3m3YXHv6yvjSNRi81pbNpB55olpKPvo+P2+l5qaOu+c9VsLVoAOmvxBH2vUN8WeZckNDPR0DXGHdFKs7xA2iRg7kOF+u6hRpPlQrAecrE22frsVRzXQBcTFSjT86318TIUp0/oClymx1J40mFgJ1ow+ZOz5aZ70=</t>
  </si>
  <si>
    <t>I7Yl2BwOZjJ7VrZPHTgknJYmajtXdj2uQnLIFM8evyPSPMhVuW5gtqfw35VyPY9L1mLxg7/dW2ZB7FZQ0MAkt5kHNzdFOtJiOk4EduKnQ9YVNgELYKfxJiRX6CEbEDLKuZJJBAU5TEioWYas3fQ4lp/tR9JrwZn94/Z2gCFGKgbExiw2Lf1PvLlHLDMF8ZGt+CURoGLJou6dJkVku3b9OeipGzdEuTF0X2wkKrjNHcUooVoGoX9R7zi51yY=</t>
  </si>
  <si>
    <t>W9T2W1djh1I4QNxN7eXLGK8DO6EJAOmqo9ODCkfKc55Hy9uxNSHp9/siVOlaNlN2k9qAfpLYqelQ+jRRjcwwq8HGlyHVCIo4TmaHV4m+/a+DrWKmwkMEhDC66lnYcI8VKtGZFuWcOjmAqrdZi+wxoXSPV/xdeK/MsBJUfrgU7+LwqYq5RbqMZz1F2ELmr8fgzYCnU92OpjnySkBpppxp246gF5yfp4+Xlsh+hUdA8M6i40GwiLqJFU2wv/Q=</t>
  </si>
  <si>
    <t>ZUsrkePn7Zwud/2jjgdmBSShLupZHSBqUpqwjzA3sWnrz4lLh3aSBEVRgSIfTKtKsdUg+r41nAu8Vx5E9529trRvDUlNquJfAZyvDhdtzjBd44woWTpJnReyfs9c1iJZmqyJQEa4yPPCId8eBBmeqwmmnQo6zDtrX9DT3a1aCTPTFHgivl3keidVfEJU/ohslcvrkm0uSXxtsjDrGXZ+tHFYAN+88DPMNgNF8WifQGyok81pVSJDeiU647M=</t>
  </si>
  <si>
    <t>5RLqRCsWhGRt4GUt5QQBI3i6wX25QtWvBKdJvayQ3LXYhmOyOMP0Vs7mIm5rv+WT0x+uY6RwA5qe77L/r3+yh8DJ18Fwb9zNzBq26Rk8ibURd20jrBIM8erCD+4jx7WnfrvegFARyTvik35VUE9RjkW7uIctgrjuifm0nWUHmUViPIhYM+dovMPIuNeTxBkAhkbk//zgJlNhVVPR6HIzM3Gap/X/AQQekursgOKkpo090IKGnQHdtE7fuyA=</t>
  </si>
  <si>
    <t>RvFe+wE+73MNbH2O2RLubvMDHFp/UGHG3d9x3TO6mYMrPmcVoSoRUnKT70UI6Iq47a9Xty/qgC39+sjIxpVGFJv/nI6RDqV2CvU9nAw8vqyUHwkWuzoXDQZr+E/kIJWebh709LDNXknY/uywBuodSl5hs8fXzr/ok3FwKloohcRxB13ctOrvuGf8G0M49RrcowOUwv7iiLrQJfFjPEU+ijYsTUbH0VklGRw6aMUukflR0Ud6vZph2uWOShc=</t>
  </si>
  <si>
    <t>PNlTSC5mC0IWbEE6IriY3i+D1te6mTbOLHfC9zp+5bG+AVeFEwgTbM5LoDD30ynNv7UoiuWbZDv3cT2mY+PwVqqqUSiLngpt8WzQSelXvRGqzhJmnQPfYDjafUPhtlM+Z/Z1/TmEv0oE8kWlk76vMt2yTL6LvMHX5A1mErQS+/oGBEsMefjCZyAXth+1BUNHM3azOYBhif0rHs1vGUXuh9AJNYIZidkzoPvnmCy3sFNyRs+sa2qqHAtGOyg=</t>
  </si>
  <si>
    <t>N5+pIAsfpmRBSIAeuWWFfOCZeNWgHw8YazTHkEHsFjCtKZVDcHyZ0eTVlAMmjdie1x+HhTPj5X9IN/EmtzJBgxUEgtwaP/613MW8gpCjyns1ikng74h4VxvG5h9/1HPisDsooOPcf6mfMVYv8iM/DkyVCxGylx8vCLoR1cysX47cBySjr/PY6P5ntFsHDAE7fyrevE1sex9wqKk6p9209qHAejBBdevgVBELF36VEyiSvMOmOC5tWf2jnvc=</t>
  </si>
  <si>
    <t>zh6I9tVRmeaqS40bUfQ+GsFkVJlZx6R+PFlcFh8YNMnkIhcpzXpcUp2D0cpdesJcx2T/YzzIRjwxqC95a2JhJM6ZbTsd3UMR2k6qniD1VSEwh/KKcGzn5WgfLcoBsPJKHAwCi2UVlwt18gBQYCzdnD2usblSN/jYSVDRBlD8LnO4mXlRGpHnHNQIsfmdZshKXem8AvyjxsI25/RAagw79pKnTWzbbvqqHpWqIdZe2h4BVB/9iRAbsW/Wf+c=</t>
  </si>
  <si>
    <t>Z1+OhZRa9dnQO8il5/1jJE0YkclDiv+QIshiXXBpLLTlaLtZLoHNgRsipZOx5wU+gkTJD/55UjIWGYDVhUTygHJaH6Fo6TIEWTEUwfOZBQV5bHV0TgwwfKqqmdAbnDUNw2dphdWezVtO7VcTCb4YKH06nCLS0xkpKqSDTufyabzG176WLlWGsM9a0nH68kVsLbUmT9OSyAu+JASTyVrNyRwTZ1w93uBAludvf0N4kzTXjOlF/7/77UeVOkg=</t>
  </si>
  <si>
    <t>lLXR75Z1YIgTrEcR4dCHJaDhPo4EL3UICEVsRnrJxW9NnfSJBK0PRL4hpr7r78jThVmJsoSAxtZX/aMqtBnzpZlxyzeBBvoSFKA2D9maq2L3zi+jQozYPO0JvCRBYJ3m/TOx2Ps1RVeUHFjDsXDQa7HH4Y5x1RUGyEirHxZ9MoyxasZ+xjCngZiwGUxy9wWD4qf7SgU5+5Pkcg+rt4Kc6k0jlCxUEWTB+yME6+ShYAVWY2L/Eh5GzyYzATw=</t>
  </si>
  <si>
    <t>ctQZx9toalizoJQ2kJaY3tatCxw/XSdzTr+WHGGHmbeint91evBt4S+746iIAZLx2kHF9theHlodH5UYgNJpMtuYl8InrBKI7lYozWltMs98g3OAqWw7M33fmvOTkf69CEMUXwoO6l/1y2LXiRK1Y4BuuGlGZByWAVJMlcDrkGtJNmr28fe7eJY2kfKeQhchBM9CZ9kHi6RIUtRzJaUFcpoe3I+rrga9qfuNfk4P4ioFG1R7Z54KZdlF1KE=</t>
  </si>
  <si>
    <t>th5BMVDYVGSp2+V8wuhbqsA75Nh19oo9IINaWI31zD5sv7u88zQNFo4Ve1MIfQTXtn3KYb1PggzzVXcaiyuYZR1LW1qLynqb2waj60xPdQAaY3kd1o4hztEhlMAS5HNDZl69TzNz1kwnFkXUS6edzjVKZdKSi8545YsOyaMTpVT2+DuZrgEry05t8GmuUlFP0Ey3DYFDgZKMB1GliGF+pFvUpeq16R2BJUBUvj0Nyj8Q+d5gQxN8GfnWIRA=</t>
  </si>
  <si>
    <t>7U3lDEOmv3Hvjgz/d5Gcoo+DElKQnjjzZVNZgpxiIgIlIA4TwTwNWl93jFdICuJ/HPf5AmiIZQmP/qGqjyB/v9c332lswlUCBL5r86En7t+iB3Up/JnXTxwW0YABNLv2fGnE3o7eLYtSvvOc3PmJ6tBCMoNpq6gwJFqyiViWJS+qZY6uZnE/HoeuyQpE3QIR84271RVap0EH2UlHSlyjpxe8AhRhu3WIC3Ud6+D2EuOcwYZQC3c9fQpL4f4=</t>
  </si>
  <si>
    <t>rYOwdwNe2m1Y7CQF4O1ELgXdaEJ8z7vXO7vUUybJ4GmS0bGnZv2UZ9KtK77rxZMha97oTZLyossAQQExJk9PfuqYLxYxfamVEZDg4mlRVLjDljZ9b6x8eoJamJe+hz4T1CUy8nBzbBDiDWhDlp5GR3wRegmU4+VQVeR4ByNq9P2KmT+oe+lmIOtoa6wQZzOn7mXmyVY0jBH9/r/SzcO1mFcUiHeHQDpCFT2/22g1NWx3I3eGk7GEHn9cGlY=</t>
  </si>
  <si>
    <t>NmgsU9m+oEKDCtJRg1TMqMy+SyieWCPi8Dd1YLKZzatWCsKOvTQ6BApy6ZGZq82/hsqpUzcRIgLGkk4S4hTgWT5Pobl3uC69KvciJr4u4IiVVTSCxr7cVccZmrrWfdvvVDpYZ7vDiBCsKaie62MkA4q/za/MIPIDmt6YtiKFbN2ISSlTZdqZSS5miL8xImy2fpqnN2ji/Q2e9EYcFtxUF7M/rmbXLI7YtITSxqwfiIXmoAehbfZg4iJJ3t8=</t>
  </si>
  <si>
    <t>df9KLAghTaNUVm0FMSYj5s16tTxiniiu7SvkvYBhPac4+nJu6D602vkHHIS1StKnCtUymO0tB0neTqrkuRVAeVL7OO/Bd4f6Gq8xo+LwN5344oNIP5WRFSxRysmM9h6K1dDbQC9zLFDVYUE3LCzQcnWwoSB4Rj7OXks6BGAgFIV1sZdKjHeYilmXoJbab+5la+VcTOiNCTW6TddZcSK1eKRM9W1CK8bDMsr1ytWD6LgyzgKBDGtJ2DUFtUw=</t>
  </si>
  <si>
    <t>ZbZf8uFK9Uh8Y4ZxA+Pm03wR9QrmZYKqzGNIQ3dVcSOjb+AP7J1qtQAhGPze4k35WJCRyHBjUAOiYfvV307GjUZJLQjcHJDJx7Uko9onEmLqkGLj87LoRPQXTUfcSca9fNc9jJixYfCTsBl23KZJuh1VhWrVDeI6eoqhIt0iZoN+wWbqoRIBLQj+S8hDt4+cSBaaQ+3WhiOgcfV4j0+9VYvXsjSCsB8LoI7lZK77IdVU7IhDqVQMpwrb1wM=</t>
  </si>
  <si>
    <t>JFNFXDtd/WX1f8bXBjh9QNs7qBW7A98L0BkwwqmzfxGTQRchaZcLv/iJLTWRahXg3OhBDdu5/Mfu8ILYjWbedqdy1QsBt+vTXerZoLGBwtHrx9aD0KjBURe9TpHBtjC8zozfuQpYW3MqLmYCgoYi0Vc+gMbdgwTvTJJmI47jU/s0C8luzU5pWe+kDy4t9SCHYAZAwZGOnPnvIGmtJlRrD9ALwUTmMnMd3UYSmZSKU8eR9rPOoPZ2K8V3htQ=</t>
  </si>
  <si>
    <t>zwvatiYPWXauTwjftueSoewbqV1+FA4OFgp/ranGpUySw5DNqAOYvtbu6mpYmHyVjn/JVsDUWzxrdPbIn7OYM7hpk2TPFoD+/VEzV3cRpyuyZ05TjUzvg7IGrSezjQAvPm/6p93FJUla6ylvqqegCqywpwB6Qq9kBe5CLfieiX9qr0TPS+fx6MMMhqmHYyTDNiTXID9HlCg7QV+IX2ejxGSGwpVuGg+z/p8wqHN+71Dp5VEA2Be1fUvwWS8=</t>
  </si>
  <si>
    <t>jL9wv5SHjeUKvWftF1ROVUZyL78tjryj1hCcAbWVqqkgIVoI1Cgpe1Hh9uiP8fbssw14DUiZRd9uf7Eg1/IdY+TXrmEbQuY/Ss5XwlSDZIGv+HXFEehHnCUOVkInP9bidY0oV0t87Uy3Y6e8NbHM4NavnCiFjXHRlJUTQI8BWpM8/N9bDUJ2jsgluOClEbmES0npB517ReLY+HXtGv98f+389qohw8onnE1bGA1IiuInqWcQFCS9cMwW1GE=</t>
  </si>
  <si>
    <t>6T2Zv1MbFSgtqVqEEz7av32LO+fI3mAL8m3KojlaiOyWRLxGaSkpBl37vk8ttlC/F2WXPMTv4A0lsYRQsIhkgKri51hzMFW8Ms+FPF0Tptmg4EfKXKw8AMa8ziWijmCS7ksfChkXvsoipakLCGYlb7OPdds54aPtmbR4sT6iB2Sdjcavz7KhEGF/3mLQ66psrWHulAVjQrRbpvLsWQRpPkukVf4Ko7vEDmBVS2qBSJ3jx6p+y3cQNSp21uk=</t>
  </si>
  <si>
    <t>ilqT3v7BDL5WIBoSBY5+VULgm2qeZVDIUAjmeb20+fGkamRldydYsFzOefJaRy9bC2K8RZgHB9Idp9AFiZi9P/+zwgTq1Pz3LvL3wSRosSOxhpnBP62d73mx2OX0eYGFAVtI0MWcFHCmgOxXQzqzsM41e4Gw0NQaybHNzOf8/wWQYMjQVJXDxB0qasXJuql/kbLtFSxSP5hxrdLP9I7Vp/3wteZBfbLGNsU/qOJe3goilY+U5/9Eax7Mi6Y=</t>
  </si>
  <si>
    <t>6FH7iZfOv5eeHBxXm4Fj1ymcG2vYDgmjv0LeAPD3JxeNa33ulihikvmsAnuToP6tJbSXLE252I17VYSuHpp3Nvt9AnXjutxpSzILHGpnKKJ7M6lOQKQZI8eMy4nQH4N0qQrRhZLHKGh3vl3vXVsPlyVjfU/VRAyJ29d4TAZ6wLweWYgorHoapG07tZ2G6fHZskoO+Eg3vWg+NPTR6Nln/yWvm4hM2s6hKwbtk0kbbK93bdaUgZi4MpMxxzo=</t>
  </si>
  <si>
    <t>co3hneQrrjmy06KTsAi7ht/opCcdm7pbNiyjC+lQ+HcVJiOD/rO2cZzemwmd/V5TrmOgOJVICe5D8/FPC3xFvljG7npFKVZYmbjMwY6naY4/us/aHh6BoLIMWvu7znHAaD3Fw5UflwFtRBWNsjxEqFW+uOGtv72FJ0Z0w9gFqk5pXzr+6mqgxhEkCrjaDY1OgvFAtM2SwdEmQd6s4CmQI24OCB0K3iQpIRBQl7gO/DBzNtkG+iWqN+R31eo=</t>
  </si>
  <si>
    <t>fm3VC7fzsfOpWacP6Iw3IgVw5chZqawFPQFRsQC7k17QW78m2hQdgp8y6qaC5dsa3bQ/NI6KMiYsHxvy2FZdqamPlzIZ48DwLononQ6WWgEq7D6fPghQDtI+M4OWqKrUqHw4Hh9aZDUcVBPcWy467t3HzUHHvZONaf4jkiwD98RW8FAlnjDNBkI2U7ko3A3GpQTARJ//T9ALi0gZzRHUH4LcWFyqec+CUfZo8VdRihlk/9xUmkmGr8W4uV0=</t>
  </si>
  <si>
    <t>r3kPkB+fCJ5kWJY+uPEaUTyIIzrajiEuYfgjxyyGmv8bisQ6SOO13vthdNlYWIsGKc+jdYzrHhAVFyasyxBrs5Q4QEu4QamHccVs/eT0Xe07nSbBf0lVhCC9jCXMmoUv+YR9oOs2ENKWfGSQbhkuYbo73iiNEL3QLOEFbsq5nk/xcXgirmzcLNr551UkBpBMpgbQ5DW/6eXz9SYx+FJoQBUwYZfUNSUo6j/XwUoCoECpELRyefCHhwaUF9s=</t>
  </si>
  <si>
    <t>v5DMa0Bi3JI8j6KRhPGYGKwki8d2UJSnN9RuFQZP3tAC6vDIhqsCT5lcvDAKf+DJBOS4hNNihTusNn9H827QXGX7nEDt2zdLToT+h1aZL5rAX3i5IzXWupROV5XtiRxo5UCjdEPSVhFPN+QRi3JZ+djOW/sUZJcN+UPZQjRQFG9vIqzltebh8nJim3jKGl9X2bubgMahC2AVY7P70eAUqBpb+ki7wNKrhbHT+273PvXko8GEu/FWlL2vMPI=</t>
  </si>
  <si>
    <t>5jNIor/v2EPKNQmOFzpZoqxeCgw2tTODRcATqGZXAXKFAbyJiRD+SC2cWEBn5Bk5rh1jvJO2OvJzhbY3TxCtYwGdmb77HfyEo0rijFWpQPFrfyrwvAXu0g0oediBmKVm/7zHrvBFtkAxyJIVMBHgmV/DZS7DCcgLUcvNLLUg5cDukN1+qLaCSsSR+XXa2jxpBYBjrSvcwbqhkIb0rrqdUzxxTUjI0kNjTPIkVmDov44ClLCmZjNse0Veea8=</t>
  </si>
  <si>
    <t>V3Cu3x1PztvNHL0/lrtMeU0wKW3drNAWigy+Eb/FihavV6fP7EH91ZpLbqmVUQsVurfL8B1QWJmEOG2PH/yOM5cfF5KsoIaswnVO7W4B/IxzfN0Vk+i9IlVO7G/ZbwGyB2Pmxy94z+QycxogcvfNAnISJDvsdDRQCLZAUyWZbJT5YMb+qqXKTvPHAwXpc2rJ+2pgrdPInIOvo79aINCug+GnmHyko0PbmF1NFJR6nEM8GzIF3u/Usg4tknk=</t>
  </si>
  <si>
    <t>eDSqLlvwbWs8Sdxuc8YWa6z0Edl0pYRPIcWhUisJhgK1fRtr/zSsiBGqdx1w3HZ7LZW3vBtyON2il29q5C7OeOB/huJFtYi1nTqTOl8NvHBoGuzISZ84IHbteXRb1lJkb+BA3FhWa74iHPt8aUfAWR6awkaQibbeJM6ZNGbzhksSfgR8HVuF40SwxbSIHUxQJtyovu0xBPaiacTh4rO/Nw/YAehEAe0oplHVxeFSdeansAzu8GSdBZd48Nc=</t>
  </si>
  <si>
    <t>bIvia8BBbNcqwEL6R3Rj2/Z0a0fd5JS8AGmqnaIM6dAX/l0CE6s3H8BHSLRpOSyswwOiTgaUcpCCNqXq85cmHiny8UrTV2ptm1D+YXPzwc7wLwjqoet/o2BqSTithnlo7i/0bfz1caeya5bWixhkM1n8LOAKB34lbF2fgheGNZ1sAyl6L3dAPOyZDRq6GxTB9oRJNFCtFTTWE//zulNsOWT1chOWk2vCvviRIUR7YOuj6kCqL0vlWfd/RWg=</t>
  </si>
  <si>
    <t>OzaiTRED/XJb53kAPH1Qwxo8pvsYJIXqJSBWQQoCdiqvE8asE22WWFwx2n3sCubFDT/ux9K+nBz9RS5Cu+/zhUmVkpy89evfBeEcqi1yHEI5qn1RG/fK52rQliwjHgRx5m5S6FLpFJ8nFibuXxbZeBnEMFP+JiWLY8buvclqM3ABruORTRmgDjKyl2kHibXYOCiHzEmvQ2kqC0MV1l9elKzCyEyY7SN+w9sYyPx01Q6mvRi2s/HaNdJW4Ug=</t>
  </si>
  <si>
    <t>OnwPrEZsefIQFiBbRhh6CMzx+dCF9W1f4szdY51dw7FcZoBk/SIedpm/s/JQrrMgKMebKMU9tBZgcqCrC5EGOurTyw0FS4lW3xghteMDd8ZftwJZNpdIQ6MP4ltXG4LPDPkDPJw9nI6mrXsvJJW7FB16nvOxa70PfZwdMGAJCkC5jXre49xDpSN7mf9Qc4o5oDTisO31N4roBv4WwpI9cruV1W/TD/WlGTKEJviCqWEFHra1JiGRP74w1PU=</t>
  </si>
  <si>
    <t>8uxbaWVFksOV+bnH2fo4SMPnnsW7tPJ+Q+v1dukXhz2S9QvJWLWOynVzRW/m2mgAtEaaM4S9mmADYZC/OW5/PTPqzjsL1Sg9k5OVFyUML48pm3YV83ZdxIW089qzIA6sGY9Dv7sYSIzlI7RB6sY42HVDCN+3t1Bq0R9PrQLpV6cCjqE1fhhYcc+XVHNxM6YmmTeGopl5krS3ZEubES+bZqN52OHkwbIN04aHfAEwkzeLxhinEa1ck6KCehw=</t>
  </si>
  <si>
    <t>f/yqp1+IwdiBRPkGBSKHC3BovnWzqrw+/fF3JOyg8+v8pZCPjTLKq9OYjKujP+tlz6YQdrOFybXjNm+ytMDJ/9rEgeYqUbFjPuQt6zyXTLFEqlIlG2FtRxNF96QtbP/cSZLgX17ZRADq7C5oNMA3S3c0mj0v3DxxqtszGlsP6IBJ3npEgneVsj98T5U+3ZRBYCz5x3xRgELLMnLwQ7GxgfM5Znq0Q1wz1iXCirN4wnuYL+QE3A/8tv50Hho=</t>
  </si>
  <si>
    <t>u4TpgyI2b66xMdDmQP8ArD3OCEzz0N+lVfbpK7UporjAuidYBDVt4oww5J6orQNE7RVZWDobiJlHPOBE3mtlwGyBC/J3CiyJ7U0sTbKbBvyloDinzyjbpPuNOcjHcAsbrSxfw6DQKd6FhF29OgyWtJ8CM154TLoz2ugTm2dOBAMIYhwm1BtQo3LNK3uslp/AZTskbSRBS5juNhVE1DTS5t4cvuZ6cMcXq++j7DkqtlkWGTW4C0o0WFm+TE8=</t>
  </si>
  <si>
    <t>Dy+DYOnXiLZorAYnlar+TlmvAwVodyb4oaoVYLIatHWTHdm+ZiM/6uZe9ikPWetHYUQ68L94zWqvZZwWVGBmeeCaF2R3NI0OmUFQn6fIpngtdkKlSwWaHDdCNyLfrryx3W9ll+uYd09lXyFR5X2iqisG6HUKI/5cDmlrzqHsYnGpqDk0IfiHNDQHNsEj0wLmnMa56Ujd5N+V9OtK+0zYAh+gWyBsKl2LQQc3+SSPc41z2YiDULi7P60tMZo=</t>
  </si>
  <si>
    <t>1ai0JBOetgoCjhDRwhCgEx6fg1gBzM5smCaU2Il5CgjhvKt1pzRqYtekcdW7zIWw5UmAu33XPydSu3dESroovBOWb/VtmLKDVf6bDNakQllAR+CB8hKH8ALJPkecf4jNGHUxHpqfnJavZrTv8HefQZOdbY2dbBGJQetmNJqhqlcT/volob7WsHKY/EJyt1dQKTmfVsaY+GDWpdldvw8asftDqPF/qU5Lb6vti9q8q9AX6U4sFoQZQjlmQz8=</t>
  </si>
  <si>
    <t>/0B3mSrf2GaJOdeUg9g8h9CBAr7rJ3QvVyG2Qwzjsi4BhwHGfagMXXXZeQ5kk+Mgyu0NuEm4TrynG5W8zQFBrNdUk3zv9JSztBCTOju6Poy5Fp/AnXL7oOLQ96c+y5w1QfM+YfuwMRmSMx2vm1/kEto9H9C2uTyklPmTkAQsjkvMkKbVUr0LOS28GtZC+ykZHz31yhscZUHb97rNGXCXxA3X8qVwJtensZonoZ9iQw4yuDOrIL/nEBRh9/I=</t>
  </si>
  <si>
    <t>dapEgiHpweC2I7oNoP+SbYs+tpGmFp/3NL2GGnucbP1i+zhwAVYM7v1eZh94HawQhOVmOb5ZLRolokh4+hbSgzZ6pPSgtl2Vio1xYNWLtJxZ4n5qc7rK9xJUovusEKqEGNnmsglTSg1z3zzA3no5cYylhtNz47dHnNCFHFDg02qa8ksBfTyToA5NujZJcGAzzMseVQaE8WhPZQEuf7wEUJ2CJyMCIRgrgI8Mp5fHs6xcBFRJLcu1QjM8mcs=</t>
  </si>
  <si>
    <t>6uZpHVo9c/tUKKmL0NffKqFn03xmt2zACbZyHUchHkWBq12MtFQU91esfOkdF0mRxeUQC3B/ZQ1mYi9e1FRxXYZQYRolXJeH3ctVJ90iqbwyfIFhuulpFjp4UkfCwpzmfucjtzh8g4rmNOgra61h33TZr1xsRvBb8XJnuppJfGUg0DSDpTdVYIIfEBmPycToPKYyF04jLvSLt+Bzmp6nszwf9AuJibrlK1IjEwckplB3kV4b1L4SF8Yzq8k=</t>
  </si>
  <si>
    <t>YgAsx2kV+dh51RQTtrL04D8e+5GM3hKo739AbQGrSqfLVpNZzl7OeJ2PJGWcZ7wJWY1ciZPJLuaEpK6xxZ+xjttTIX2FuU53siBXsIyBntrOEeSibbKQGxBV3nn6qq+8SmpySnJ5bgHgiZjekOD3usRaT+iW2idATe8dp7RbVTvMDI00yx0T5aemFoMcpAK94Iy8MslvB8yzt5BHjbZr/utonXLkdtIr+1lrR3tSnPY86PLF+TmyoKOy0qA=</t>
  </si>
  <si>
    <t>jShAncMl1IJqGPS3tV2L0SH/9/Ucn2wfeMi7MGI4jtyg8VtI9hZMpNY90sxhDcsep7WEuBpMtzyCOydYevuosMtFwaBQmOdJDKaU0/zuxafnAxF2sr8QjO1CBhjjjXHy2kF33VFUcdjs4jQ+2aAYC6RS/ogJd73CMakW1hN2AdViVU0zqe/FTnB6ry5wrW06qV0QdjBwkK/6oxH6xW/onM7x/a7ECQS2anUyhpIIp+L+Ll6oC5ZiFWFJLgI=</t>
  </si>
  <si>
    <t>q2FjZSffctP/5xPVWkEWJSeyg8EUlIilY/0SQ/o+nZ6JrUdN3lozV2EFb4JsZ/tti0aPD2PgFizCDAxYEUQs/GkOg4i+HY5/MuXMHLBPALcTgDVAkB8GlQ8CkrUZhYYbm/ggbEenn4bCxr43r4h9xg6y4fEquMssCJPKeFJ+M4IaifhVllrGbmAtCKca/zqyqBdPjqoenPASDKAGjR4MPENCDxzieM3D39IcTpUuKVzFCAxBk78tLW/aFmI=</t>
  </si>
  <si>
    <t>F8s36pZTgyzFo2J27xFojFYQkDm+y/5p1sc85Mv6tQ1xZ8mvSPhndobmX2Gru8Iuovg0qvnCdy1vTB0mfdGsaIWgCDsk4d35D43KKABsp+99xPLgQ1XeZoyPHDJmbqzeoV4iTsJy5VFgWrXCLP9CfEt3Kjq+2M9jC2ragvPhdg6uMQoulKrCT6I2agwdfrnPyKeUSjrUzCebFOzBZ3WHxfly02/woqa+t8v5Xhv4LmQLhGFO74Cv2ngrLqY=</t>
  </si>
  <si>
    <t>UiWr80vz7lH9P7FqgZ9PSWj7Lb657CP4AwRESNqk7WvSddzLbPTgaZRJ5/dyNIDzBSDhiA04eWzGUV5lmyeaL1mPAd72jXWOalVwETsjOBwWTDDgfw/o8rvfAwsIxWuXf6V2YaMCqw4t0h9s2RAwRI4Umlh0jK1gbPTHVRxpe6Xu1KmLfnjle08MLI9TbpZqk/UWNMrPoP+fwY7lkOhe2aABgIcgBsX7kO39vqL1m8vc29/OZU/boQuZ8yc=</t>
  </si>
  <si>
    <t>UbX8hyZgS5ERHt35+L/kBsxWaUkwMG4oII2Fs4DllIt+MINroFYAZRFQT6lkz09ZamHYxz+vs3zavrPyPAp/UEAoj8yAA/C8PqyHqmI03Rq1xlxIOa13azcclPkN1FDXW07mRXuWaDdZhZSYtrMmlMhv4W/tTFbKK3ldOhHl52QpskYjEw19H8amUPYiheBzgOLx6jlbVh+sUQ/1BND3YrPWyBf4gMqU1oGyEgKvn2OovWYbsZU2IKuERUM=</t>
  </si>
  <si>
    <t>2K3I1kXiSfmOaRc8yTA+ugRg3esB/KlB2XTzFPceG0Zdzb7NpG6kySK6pscFCq2goHFOi7kwRplxwGs0VoRmCvALCiQG5/KAExGfynwW72oe8hWQ/BDsJ8BqSp+u9oWAU1vLYQGRH6ZNis0NymeBiMtMgaC0V4Bm6JQPA9sAe3IR8uvH4b3hn36/Ov4UQHmQ5boK7Rn7IQ4fp2JgP7LMne8Dkhn09kcxBUX3KN+Ep1jC4bv3n+N3oFWFIGk=</t>
  </si>
  <si>
    <t>vhFaPaolhlu7aEgG16/0zyNgGTKMQLCpBmuuJYibXGCpNtWITpbsoZBRwLFVf7ROL8VmHgHleFEoEfny9FhCyB5/u1sRTqxoXDtQ/EAAwCZDDaLYW03i+mRM279QqRjswyDL/foquaxV0eKl8gXakA25nOAEuh4i5CH1n9uOzWus7U0jBgMk/v2aLvIi0OvEnFy/1mfUoUCTiEkH0sM3blarnKEQkjT4dqUbQRcriElZi0sLJUMaP9+oXSY=</t>
  </si>
  <si>
    <t>YXvWuoN1fNrRUMy7dzu2+CZFJP6pVFIwvxPrV4wxAwcnJlpwRw02JgJwQVbS/abf4axPWlxXILTrrFcVkOj1JfCEp3zOvUQ0F2q65G4geTdebws/eeYgAf/BWZR+YFFikoQuGpUDUk19CKoeukUgnSII+s2+XCn4ZRxAONGNQaQzoB4KCmp4dmcGoO9RPOZGh9Q4tWnVLMHcqb5qPYHEn2PhQOljr1zii+A3Q2o2YQNL1ccfGlwOfVsOcoo=</t>
  </si>
  <si>
    <t>+PudSCqKhU+bxS2O0ffpHzQJiFkrI+vMLZG+AP5LhDyufDHjtOJg4d2ylm11XopIr4SzgoLWJz9CZDwY08AA9yKjx7STHzuS0x+6NXoYBgan2fdxS/x8D+ZHOMCGhFHx83J1xvCLpHp8L6qPC1K0s47E22YRZKOqT6mI2r7RzMDPqi6QfbDUH3MfZrwGnXknOiWDI1RaQeibpZ3XVbALhIyKNtRi/oURAzpATqzzGDx/xQW8LtODunkeQpk=</t>
  </si>
  <si>
    <t>hbokm5Wjt8XBwOZJEnjXuf7gfg51GStm9w1kw7t0gbQ0QGwpBLnvueIAeqjQxVKct9ZAgAKVmkr1m3jPOjqHsx9Uro0lE4J7K+nbKgSvUphCdHznqV/ofp7ESuA+fN8x82svm1AOcBnnPDwYj42tN/FBXi11oVovk+QswhAByNLVGXcrX1OCarfE0EVpLTXLANxATQWNoLtjTD5ELxK42Q6nJl9R6UrdxbHsNm0pksI+D5HqykOnlWNCLSg=</t>
  </si>
  <si>
    <t>yqeHJYdd1A6THvdelVExGjk04roZjd//FU7QmK4Q4B8Nqo8wYXudvwNHXXeo0W4XkpR/PkzueOrp/M9eU9b3dRyYZV2R9fnP8lHb2cOjp7x6SAh67NC8FZINIzrpzkhYfbwXfwUq8gAF6k8+Q+IX6yBndWGTRHFak5Z/xbVKityL/pvGACi3GPiYI27O9pfv/Vhn5QmlfQVjEngxA89wyqQHncsjO5OVS4X7wLlhqG9od4zBFWL1LwBG+XA=</t>
  </si>
  <si>
    <t>aKmhxR1SXbxTJLzblWFU60qGM2nUAt2Mm7n4GxIijzRrBozR7h3An9fhL+V9ZnBr7HzUuGzPSnCv/m4XCSoFW+0hRKJ6Xc/D0X7eJILj1jBYxYdxWnMk8OSHt9UBNUjAumIDxVH0DoIxjmbtff0XlwzV2bkD71u1sRp0n06kXAlUq5J1AyLrfFRGW0Cr11jWe1riquBY/vU9WlsJvWho9RfxGJ49A3lkUCyjE9fP378yYFLXweWRmKmh8EM=</t>
  </si>
  <si>
    <t>XsOzqlgt0rjHOWIasizkNUYP8uB+ARh3dgzMWVZCbUxGckG2mjI5AuU2IzCjzU282hNIPs+HYBLqkARzr7A5r/XWiNSmU8Oxoe/IocJBffuOZwydfnatccnAk3c5Vs4Y6v63Jle2uaVJ+hhjvf8bS7IaQdk4BHPk3+BnFajUZOteexP2dSJBfCqmjNqSwKAAgCI/ULQb43L7Jeb8HARwQNy9413vxQo31icMLq7rcsjsCvTLLr5jbqkLC/A=</t>
  </si>
  <si>
    <t>o0Lqqv8QMEsqY6SOI5tCyKuqEMQ4rNDYfEapzg4KJMJadGAb0r7t0lHDC0WteILtOYeX3CX6iC8MqSjizlHPglhfqfxuJiLQHaoIoRnyxOjxEY9ufKm6FTfCYo7jQHYctdDGe5d3XRbKYpP6B+HV0khz2uQx9Kj/lDUtXHJOQqyVNz+NPbDUerP5FX6nyNpQGlIa15U0Ni8RZnMD52ebI+9NKFhodE5L1kFaG7QmA0uigId815lS++WueVA=</t>
  </si>
  <si>
    <t>oxB9iPiCcu8PineTSKdc4Dl44ndOZyALjm0L9Y3Pc2cefqLf66oFxo8z7fmugcqqhkClbGMd2ZhbF0tE9FfgQc2J1QWxdt7pkHVVkfIRsP3f15/qh18/h8YCn7d4PpIWHM6tuNrtqVbO5Sb6oH8gJOO+EfoFoU80C9zr4iNUcO36IXq4CWVAu0gTWfIVU0KvSO3vidofbGKhh72TABgIoA7jWFN/QBZGSDsyA0UlxvNaug38xQqj0nvJfKY=</t>
  </si>
  <si>
    <t>ZTa3LacX7nTA2be6WQhEo1SJsUdzQg7yeUrDw0uTUfo/xq//WH5tH3N56zu10P5kGlFCLhx3wQwuIvZ8Nh/4uQhr++9p9uHbqJNzRKlRm95aVlj6DFt8kRqQxVzKQUojX51JewNrZEZPfew7sgE/9TMvdwSLarpYhEfhr1Tmh/B4D2ZNx+1I5dDM/FVoYTR93us8E+cVkVHmHJXLJPuAsztgXqxMinBcl1wixoW+0EeOrk1SYjM6wYRi4mY=</t>
  </si>
  <si>
    <t>06JIXlT1zPrdyqcFJMy06XDEBqOuBaWB+IkwV8vdyRtgKICKrWRItLyRf4xt5t++4JV6ECM8X00HxUQ8QfwbQfaAstwmBA27wtKxyxdlXC0GAB5XHgJbWHVF27iOfJufzTWBd2I+V3vHaNcXOkw1QSdlBNw9/dgQqsTQDmvWASig/PGjb7wj8rjNiOUm4C96ajCXDwN1jivf5qdKiNArvalJu7v0Jc/gpFA7nQGK3b9EHwjhq9QmssutrTc=</t>
  </si>
  <si>
    <t>FCJ+FHLaO7A2bu39MuVdHCa/UThHw2cyfqQG0bmYVm5ZUO5KN0jYqaFJ1lB+TYjKiB47JKcS2NqqXX04LVVLBxQgEgRn/AwGKqsrahy0aTVlsaJSeXGGQ310wvcSVcVtJ/EHWTUiOHXj2C2Rgl6ZQ9XTj/wiQl0GL2y0SwSaxozNsG9e9NT0HYGTa7Obz+PPmjgjRkIrvHVJczZRJUD0mBVazODRBZqZip9/emGpKTgsJGYrm1AN6ucbowI=</t>
  </si>
  <si>
    <t>wAWOhl6+f2sl4zalgJWji29FGQ4iWYz46rfsiOlPdHXeONZyWAwvhb5RcwnlylZw98emV9HIUscZ7Yi6aXccIOiohsP77DkMHayy4okp+T63tGoQ0ZBbhfBy+b+B9WP/nhgSKJhh0MssCJ6N6/4wa4ze0+f5WfkzURufmw7aIs1+WKjVOwW+hm9X2YAxQI4rMXuzwXpmTv2HlNHzOh3Q4X3Zyo6u/MnmCD04rchCl5H4KpTm4/y0KnMioRA=</t>
  </si>
  <si>
    <t>wZ0JQxwo/0xjsT9JSxu1DFv3Z1gMkx5TGemVXkd0YugusPVDHK9UqvFpV67tSnn4od9Lkatp59/NGURZZFZ1vzBiHAWZFsCZ6AZGOSpA/xQhdTAU7Bq/SL6nD/zOzyT25M4oFOw6MOT61XAxGQu+39rGnSTs05YHaoFeYSjalI1HgE3o4DJmesQ2VP4eZhsi7n7OoZWkBIrlqfb0p2i0uxkjeHTcnMeDIZTduiZpMaaPpNuFHCG9WkXsXSM=</t>
  </si>
  <si>
    <t>agJGdkhS5N/IWDuFYcCaxJPU6j2C9zPQtKVSdEc9sfAT7NpijBjjL5Wwsii+JAMc3eJt1fzA1ubbsWxgM0KylgENTxyfIZBResh+JzYqPI2a/opscl1UNASjqWDFriMAoPlHetrZzQyI/dqcGWXkx4CoY+7zT00C94W/+jPDUtCXUQoimNBARamcmpX4bh0vnni6I+4b5YFO/h8YSlMjVKhEz0BU2auuSJLlwswxOYl0WgN+gHK3Hty7FTw=</t>
  </si>
  <si>
    <t>5B2Iqqt8bWf5QveofYTo0/boghFjuDvfRHb4DYwoKwYgUvZQSVZCM9XIijIl7PNKGHBqlaqxX52/ZyRrR41GEHfpzlo3vfsYuy/69m58NkVVGy5C0w1DKDKKB3ugEVNaaIUb+lPEaJwfSdzho7qUMp4Qz2dRx8xZWNAk+SicSdg4O5XmMAycD5n4Zen2J+VbiQLChGILnCmPygDNbN9GwteLIgxE3MjvTCVmwO8fLzCGaKlkjtsTdNTlI0s=</t>
  </si>
  <si>
    <t>10Hv8qisxRN7t9AxK8//aCW9gB92KlrdC6RKZ4AWErZzVzd7Hq9yC8CPLbg5/MpA8RquWcrht8G9pXuBw+x/49bE+EiMaoT3EiQDeQ1fq+6GgL3FyIlpefuSZw3/hxBn4jOuoxHaXWIS0QyppalBlsVGENBWqpp3ux7xyGP4m5g9PX65F7GxDYviMHElpA30HZA5iqaA9jIr2UeYTxuUQNolgPjHG/EajfcDZer0PeOOapekvr1Ck9935NY=</t>
  </si>
  <si>
    <t>KuzM8MzyjhrPsWamjZeHPhvN+gS1FWUJH6bMIuO7gTKh+Tzfo54C28l2PNtNaTL5EhEo85H3Bnsim1eloftABq4bkF33fvltS6501xyYewUdIREBNAN9A+4OebaMLlmtdb7PzYVPcDuNpzav4xSF5Urk8SXyPKiUgc9i17ArYgtWHpP2g87wChmDaPco6RJWSS+IJCFZ1tx05LZthjLqUmmQuXzxDQQ/MG9+dExUrtXWr7ogjj6yOyGqT8E=</t>
  </si>
  <si>
    <t>jPD+B5ANYIBz/nc6tSM3tMtnSMZjDMEJhyrbJOUDvAi3LhKWeOY3zhfhUvqnq81X9q0T4WHe7fNw9u98+GFi/yNiVDHnfeDc+HhC5Y8OmEvkXYZalAkLfCQ4MYaTnm6Tdym/fR3wmQ+pmPNZ1ekOsmGdEoBO1jxXsWWDyu7ISH3eMiEoMlI+X57VZBObSo/iTQ8QMBTGDPoO1wGQLQsDXJRoyX34Zc5tURPQ14ovgNzXFqG1JI1NI0KRPB4=</t>
  </si>
  <si>
    <t>cBLqHWZkobPbHW1UcCix2W76U4KZfbLPn517/XSR5dbjUdnPTtQ4utzXGGj/2Yrf0Frq85Sz8SG7MtVwTSMGSnfjJ8mGxWUBYsyz9cdySkM/EAgxQOplLaO5C6Ecr0rHoKVpHF0gJXlgnL2Dc+6D7qI1Bpc+j4lkUP3NeNd2a9FTnNwdd147zUZUrfyNS2F76xfSjRW1FxIwFnVsmPXGJPIVY2JfTT1zi20cgafHDkD1TyuJxuWxxaHSPxM=</t>
  </si>
  <si>
    <t>fAaI1AxA0DRRdnpIUbO4kSSjyX44wYKCVtnFP7VBW4wvC/wzgCeER7MF6wm0vRFa1DZDMswsretJxZ+RL8noxUe8yOggUhPLD+IIBwa0CKh4ARHn08LarK/xWDQPKF8unsF3lDJA980kEJpO1XiNhOwbhutlAl9CMQOLo94lfdD90W0gACeK4x+ct4rYZsFgbgbox4Sa40OR32DUoIyvTs7tvsII7GwUFVsOPXHHovXw+6TRhxM97ghnGCE=</t>
  </si>
  <si>
    <t>T09Pz/5MoMiucMhxTChRFYe13RfnCiXhPVOmZxBjSSRMfpNIvWyI06mc2Bv9uBmwhRGPiZStoNQ0NnkDrXrMDwn1iu7qp02VPxjH/caM0C+4ZhozIHb5mXwIEVDi5tRu7TUesMME1jj8wrudf0P+LZNAZ7K8+DB0yoiU18wq0D2s4PNOR4h5ISd7C2brhJv8Mkessn8TNbiGXoLrJPmI76SrIUOfRu92D4zl97Cy0+YSMT1VWaUf5VHJLmU=</t>
  </si>
  <si>
    <t>6p2lNsvrrj5onOEw6AfLcY0opumP0Y42jf/Furyh+SlOZ2LX22Qjm+lYBSOdL0/qO9BvODqRoMPa5O/khyRp3oX4DiFY+HDQ8VzxOxGvrFDY9AdiVVq2TSJ50xMaM1ifrsRkPTpq/ke/D4377Jvh9FKcaAbKrZnB6fDQU6fxI+eSOSs1qXzSWkZhmnSbbIZ0r35KQcQY5+mHPUuCbikoZdkHzJkiP8Jk+p64UNEaOe6bBzErO31ZDNKG8hk=</t>
  </si>
  <si>
    <t>lk1ngIgbSGb2tPi6RPUMJP0F52YFLuHon2olNXcC4FVpjWO5wIoiGBzcIj7Mps7NonQzIW4QNJMRDdng9Vjai+gdd9z6hhIn61LJn+nL0hgLmb2NHPUoGJ/R3I3c3y7z0DfL6tYBMhXCG9Xmr8CFKAHguq8ZnfDDxSaSEzAHq8tSJjPMImqg4DAtZtiZhbFr2OdJ4BLQzi9YKwFLzTJVbOUeCFusOuJqcuYOV7kpJoHxeWOehtzpwC2QGu0=</t>
  </si>
  <si>
    <t>7rhNc5JzF2z/s9TZ8D6cdo8iYwaCoxNZH94KAWmUtRWo2GKglksc5Ao8gDH+nQrAjmcsDsDRP5qKSQ6n/ONQh3Efa2Oa5EmbZXAB372o0olj6JO/X7OEx/Xq/xBdJOP+2UJvn/sH2hipNltxLMlSDJzJZ5gGQCNZZrEu5umItNDgDHNlfP+dqCk4NfwjIIA/mODmKmwZNXgiFdNg0ZOPOLjzeXB94TpB3FuJod5O22iU8rICFPD0tzH0i7s=</t>
  </si>
  <si>
    <t>z2LQQ35HMHI8rH9hFtkdFdqMvFtroCgcVVBWy8D4mTKHSVbta1GY+pG4WtKqXgoL8IxQ8V+ygAehd8N3ZYBkjp2PlapDG1n3oC8je2k3x4rmmXoM66/GvceHobZ5u881UGFLNcL6o7124K2soqcsFdQpBos2PHwtzAVtcdiwPBcvjeQH0tXLfLVB24B6q7kClyaSLTa/UBaydBlC1NNOXMUz7fbgX3NZcd6FJKy4yGW2F9UHWQiap2K3be8=</t>
  </si>
  <si>
    <t>WtEmfSYXFi+ucyI6v1HgS9ZDC5bRsLs9auAIN5nYp0ucPhlsS9HTfV+wokkORGCbpFQRmYLVccZWO+XLIhhp+nQe97OJtOnn1cUWe+gvJNtH3v9lwgABP9wISmgMEBqRjpHLd3fTVv6WTmrLeofLFy3mAHheNMGUPUkA2xGP226BdVKGSRj0obffSsAT1KMPj5DyF/HopDpSWrgtaHhGOiCUu+gIappLuNseGYqPetFc1QqEBZAWnsaECoc=</t>
  </si>
  <si>
    <t>q8Rfo5f6++f69bbEQvfAGL3pT3Cp0okUKYi79QQHJRAHsp4TTyHIfo4Fi8YXo1Z2azpVNjfhEDUzxpsfLFRdAB6DdC3kXFqUZBmgeVbgxXL2TZNskiqSgOEgbY7pNiu+xH+0c4toSau98Ce7i0PJCKCijZYjxrE2hs/eYbZOwBuRQaGRBoT5xBT9sf/B2PQDRMPNgpyRmWKhkNg6QpVh5FMyIy5YDcqDoP69yZ5DQlzE6sBPhxIhXYCIROw=</t>
  </si>
  <si>
    <t>27TrrlgwzhPpofKMxm6boQJMhk7kk9VtzVesIXR8pAnZzswMa3swSanVqjOsp/4V+nxgz3i2/PnVbBfir1aZkwO8jPAS1H8k73tU1OvbEZS4p2/irZUciqAZ0Dl1POdPJ0AqkNNme1vpV0Xar3hbLbzNYmvgsVKSgKje2y1KvUVENe+YwcmWi2B+srW8p1/9xFZ+JW9t9QRfCbpXdbs1FowD8m5K+Zwvj4kDAS4VFskA0IUj9EG5KigC/vg=</t>
  </si>
  <si>
    <t>UA9qEP+6uG07ca8FEBr3moq/9bqVreAUEu5wvgdBw3IESI5LawfIf4D0CRkYDTO1XfvFCT2S6nNmoqmj2r9nWlF7AQxCYX9mGmA1w4xVCL+L0Wa8C8l+74dk7vRDAhN5iZohXW+boLZ4fwSugN570GF6zdkhkzik1f5qe9h5YK4yejNMiaYmcpoznig3P6MjE7jXfI2Ir4LI+rAi8HOGrw6iIKzmifTvvUNO5EbAuVqXOEp6gaHDwj2b/30=</t>
  </si>
  <si>
    <t>ulqHiNvT/he3rRMzXq9Vi7jJXz09Tq01ohjEy8KmKRP45U8aVqrDjgIY0rQXZET1q/4WnkKjfDr7CMwLpkuhGyPohW4ell8du9DtLIOM5zBSe5l3aJRSi51lLDBzkxOBVq9aSTHiISBpnWtIcDooPYQOkD/d5fAMjjWaM25zHBC4/27DKVyoxQqKcSOi+kF4ua6ubsZl3KWtfYI80NAWxVbAnuBSAeXbqj5kG5y6oD1x3yg94NHyKz5KZ/k=</t>
  </si>
  <si>
    <t>1jeCB3lxVgQDHA2j9npB0QulRsjsemIr+ERiy/kxNrbLEzoTc2Mhdo4VEMWvBqbzTSfECyrhZClA6Ca/vEJ+0laU9sfsE9UbD8sCAh/1R3sinO2EYM6wwr3ajRpFi4Mav670bkPtIz8Qo6fM45q2iaJvIQwDWOFwKiNyhDgbgb8/YTTEtO4kRnxmhUjtqYZOoLZI7y8EIOesJtLufpkEqAIgpaUOQN/NRt0E14sBrfM3GgJh9Vf0iIAxTXI=</t>
  </si>
  <si>
    <t>Zxm7B72p/lmdw4RouXVSc4UWJmuFTNsQkOYhYPz25VaSKM7f7lgk5WYjAAaOsWVC3XHYurJxSjxvqZEOp8h5lwtzImOE5y3gr66YwuL3w8WQ53CwDha/4HdvnuTeNPDuZAmsa3Erh+sEIcdspVyP4inuaY2VcYrxllVOE6QmF47E1HGWltOccP65VBS6z7LuVd4KHm+Ati7Pvkz1OZ+GOEAOaLB0U24vHjqQ0p369KDue178lfdQAH70z1E=</t>
  </si>
  <si>
    <t>iBVCo38RuudbvBTe/WEB7USm1mcUmPF4twNDJ+kgqUTaCSDkf2b+swTCY7je+As4YvTW48Zeuk3n15MQZlwLzooqWN37rD+FCwXgUkrCEIq8MG56K+37lWx3o/tI3DPJjytQxK/CjRFnRAj+a5kH2HyCwBJnq3p2+i9LCPm3B/wKUKtpMa0Cwnn19OICXtzQpexAelOylmQAbxrhqJmG/5pW/kB5c9KZEXE9lkoN24DWjqesAsxOppgNJbg=</t>
  </si>
  <si>
    <t>Nwp5oDrfqlxUbJ52cEBM02ygUNJXbtCInFHFt7NuQCXwBbmdiC39A5el3QIpm7Hwr8P1R8NlXVLIFkxO0LbGD+nclDy5XzAv2OAewnc0KMc5mGmm4iT0hsVXv/Yk5Vwqs74Mi9OYpW0m30ODqjN7gsZ531ZmeBNUXGqKMMLk9gcY2WxgWSGygdFOPI6GGfUlwjr/v2q+yJxWeEgxGwpW8MW7w/j2o9DwrNlWtsWzFu13vF8R+67wVTSxMNo=</t>
  </si>
  <si>
    <t>8yxYplu4+wI/UW1iJEWQqW2i/g2Gob+QmGVdMy9WpC42jkyzwzBJDAqhwQ2eoVqP04e5DCm1ML0c6+GMFeXZtj+9tyaFW7aNfJZ6B1OpQogESYj1dSZWnI1sqgzhctjrMKkxeoN2tx6ilJGOSF+CxfELcYHCAG9OLg0jiyvcyZxbyXEV5Q5Q8Czgs9cLRdsMa1+iSKpr/2ZQT7uhnO7o17sS8KFqLJl8bAI8YVic/N6n7wyv/h9YZ0+ks3A=</t>
  </si>
  <si>
    <t>bAoItF4iRSO8bL1A+t9qr/9VxU+pMc7tFSiWaxz8YHb5itcpGTUYx4x2RQLQFf9pOJ8N1TSo2Wr9EIQ4bfTrDmDeuYWILA6M3EG9ASpVHDEYPQZcC1DgIY+TcQysTzwv+8BcyuKQg+cKZofMxWQ2yd0wUUJXtXgJNHhlkkLlH4bSoeo+6+3N6LueQ7KsK0AakZNFX03J9aHbMlr+wOjmKW3PH0JgVeL+u5cYZ0NXq1AoeZrjhAGMTYSbGgE=</t>
  </si>
  <si>
    <t>XlgRjEbhIcGQ88PuBFJkTsqktcKU79Tbzww5bsb9hxYmASaU6GAyOewxiGx0cXrzPSM1penWPqX3FlxF0oDD+klmiijLdHREPUr2ixD1erNapLtehSdA9+56H2LQRf9eXGfG9uNMV8oj3bnvDBxMwb0XzoNsY/hU/eTALj6x1BmYSW7GIcgzputGjhd/wT+7I1JBDCoxGnkuYEemwwmzzoJVOuyRWuysCDybZEVNKBg2snmAkfUuxGrcHnU=</t>
  </si>
  <si>
    <t>998eOO7C7aD+0/4Begi/6fc/2OnCMG8Bk93ZfMrHsbp8tIkGBQnn0Hy30bNz3Rrc/suzLavLZQsy/8rwTMU3ZlfCalpFulIfy4A0T8cleLJkkhHK1rN6ezObSas6m7fbpcnigdAzgA77n9KUCKOu15M5SHoOivtLhZxPCUg7EftHBA6Eo3k1Qj2rFVa7I/6BfVmpgFy0n/AqD7/CoIAeah4V6EEIwPGClCsX2DcTa8s2JyVTURyqCx3iB6M=</t>
  </si>
  <si>
    <t>ZxyP5IJmLeivAwJjmBuOEmD4ZMNparlD3F5U13OkFs0mFAEeApmf0IWprHDgU0eAB/2G/4yogMer4kOnhx4iXH0nPpEkGE5MWQyFYFFFSnXiK6qNwpT99xTgbh/o2YWZHNlnAjq1OouskPgvRUt/Vb81zzeL1/N76BnVQH+J3Rm2p2+LtzVE3BwyHUtgPXzAUIJfBMPQnkEo+0lHHA1x3sW0qn25dBUx5S6GoUQweCGiVG4eYLCpKWFdHTA=</t>
  </si>
  <si>
    <t>60gdcN+A3g6Ma5uI8MwKWZReCagta+tj2duRL7NLsgKi+vcoJVz2xfvZIi7dZY7xfMlIVwHayXWHP1hO/lAplhnzT+aGEW8Jz68rs4S0kksNGW3kNvK414W1ePx9eVT5TN86Jqckt31Ncd4O6oAYln4QOAXef3CX4UUfFFRRqc/XNRwSTW2pl7MSJDvrjw9FGqCJmgeATO2m2RB9dnEAs320EioEQyWSiku/2/IMFX0o/+WAAxeS4ERtAko=</t>
  </si>
  <si>
    <t>QhxWKPmBJbtrO8hscJNvT9VLhy24VYIEayhBWfFylUXCgatGcBdWAEiGmYtFfq4rvnJldFTrKpnVI/v9QqDBb1jtIRT9/nhlWYYFKW0rYr8tpe3uIg6vwb16CG2/VCaPEKn10nzuTwREoLcmc73cDYbsbwDk3WKgoEoekC0IXH2KKyk/n9voqoNOYYxWNWxgiQbu80mGZUcqvLY/xeV6q1vgupnJAG3Zu3T4FM5WY7RTEL2ALq1YqMQuWvw=</t>
  </si>
  <si>
    <t>5Z6CsChfyGXsRnNzx8x9znI3x7scs3E+p+d1kBng7oxwn32To+0cHPUniOFeePD50prr9T65vvJo5alGy17wppr0U4FY31G421nbu9jUf5uCV4Fh85GSe7WNNK/e+ZYr9CIydrlywNUHYvbOxQoNFIfat/KV67B6jBUbXr77hBhpb5L5Gdx2oIN2EeR23cuh+JCu4PK3KleHiVUT9jQ18yU/keC/Dc73FnyE6dr+8K9+rhWgKrfSgJd1n0E=</t>
  </si>
  <si>
    <t>cALbaOFwUf0x/hBk2I8jD1Cl9k+S9vAhS++9obnfBS2Enf1t99Ox3iOMV80a3FtvXQPExcUeJtYYo1UUoi0Ec9z96UrIKDKAH9iESG3Cgc8viC/44H8RkuHTy5qEYIkEyfNjf1rms+KjdRFBhHucQbvg45fTmmC9Eu1gYy13XcCfRSa/XjiKK6zFliz7TshEOMvAgm6dI61MojcF5ue3IT/lHXzyXYavYJI6AcnMHqfosAbqV/D0GbqtVMA=</t>
  </si>
  <si>
    <t>c4Uprw6gfNzb4QrbveTxX86QdNyKL9y2FZapuugwaVZCbDfzAYkvK/1S+sd6cfDS4N6y6C7IVmqBPjy17w4+Hzh2jZfTsJSnwPfBLm9C8jRw0SnTZCgNfy80gI10baQ43p9k2/KbY+iN6KgZHW9qoywBss3bmn+zcWIEml7NfXTwLwhosZyhZsuk+J3vFseZbRa0B2DLQvzHI9OIotgfsXsk6ywdaTCw6AD8Q+wwvaQYtoNNT7tGdlwbBxs=</t>
  </si>
  <si>
    <t>4lOFw9J6j+8Mt2vz4ppD1gDCi7CYXTRRY7AH21yNLPgkG6eAYacihPdPRInmX/mwdcGGyYdh8KTTJbMqTGK/g+nkAAHu6m9ajgp7HWJnfX2C7INjTjiUqe2bQMCCOED/ThH/3+E37naSTElGwdp3P3arCHPfBvlECfeqGYWvGQVVYtsVFaFos1LQecUQOT3GFLbUbRMvO6r2bHviJjbRUTjthtm+H2dHzFFPnycSXgr7/+/S+TdAWvAbGwo=</t>
  </si>
  <si>
    <t>q5bd35GWKI6udpeNQeg17cXvhmabA4/x+sBase0hXfzB+RLZ+Um6hZ+51taBTrDb2BtMmCVIBiPmiS0v6H72qlZnno8JVVq+Zrnj9KozLe+uSV8QNiU9UcQMqD9vx1v3RfubiKlAo3BtuuCqu4rePB7I3zM2QJV5e+a1QpkbjENGfUfnMhIcNFL8OO/azHOedT2obwtTXeYIlSUCaU2Z3uvtu3VWAAfREvDj03TJt8mIXUNm9rs1lweiKDE=</t>
  </si>
  <si>
    <t>EmNqMetDE9SZ3PxnCJbrUdieMR7/F1evB4AzJ62E5OK27cXi33uJm/gWsVMGeqqT4HgYevDZnlBfu+taISnoTxmQiaXyiCPkJLpzdNTwC/v1Bi10kjjWM94a47yXJvbw9QKXfKLF+9dczGA48hY+ksRLzDUtC7QRH6UchYx/QLUgq5lZsQ4Gh3OPthekq4WIR+UyM0Ekmf+Iaw7jlVhuB39IJk8xNyTK1U/9smtV/asAK3tDBfEEbTuO+TE=</t>
  </si>
  <si>
    <t>zaMGdlidBxPJlJZaQT30xcaifJS08LTjZJnor2+PVA/mBJ/czlg1oQ9zCliQM8hQTMPOxj+e/YmnYlAyUusxhHjNYcsZHlshudsXxQS9uv1W8nJVyiAMblzJF1+ORIQgdopySeXxagawWv2Wu3Pqewof35jeMgCI5cwcZYE95IQ22EgkzgFwuPGD4bQDEdmSUfNVeHiJiVFaeQCbV6UZChVpey7Oo+CAs5rt8I3ATRyCigpQW21nTfASAKY=</t>
  </si>
  <si>
    <t>gW7oXskmZ01w5Wlu2EByWebd0sl+LzoY4pvziTm4KfSUd4FlzOgv1a3SRDm01zsEYkXNi/oirE2/7QGoXjnBUkF7JdBiR/xfiOPAdPodVzZ0mmw8QoPkKfCA5Fpad7XuWCloA7bBpilOXzgtvg4s+dWgrNftUQvCUNnkNgp7qAa9VHr28O8wopk6uyIha3qxEpA5gs5w37+ZLu0gNQzKu8df2e2l3L5erlJqQssrgCU1LaNLbXfdRywAeIU=</t>
  </si>
  <si>
    <t>autd7c2vYIF5OFWtlfRdPTTA0QNwOZ4RjhN1Gg4Fsx/QhKTJVlJTgPgBInsMZOURUrhNg67lADxBY3KAjSY8Tv6QuwCoUF5sciXRCgO2ihqBDGsQ5oXBzvQnp6kKkQMvXTDjnJ8uyAjydT/iVRqz6RHc920piwHW+7R5cdtT/bE+06Skg0+fdxsrsr1bpqUYsNXH+05O+MPbQQjO5UPffJ0JT4Fe5NQKCUjYtt9EOkS61itIdhxTsI19ibQ=</t>
  </si>
  <si>
    <t>vgMEqqoceuTFURlAnxRJzj0PwuR7cS+0k0MaeejppyPMRdzs93xXgL+3Z7RTvU/PSkzuraDyze8DQwnN/NA/KDglMH/RoOQmQrgg5bwm6FrkvbZf4EXKd3QlmfIT5F/nJWmhOgeoJrwCGx53DY76hz57ys+H/lTHdQ5V9yL39uoh4jV7DujJlp+9/44lkxCjU/cC/hwXsO3hcMa9Ba6HiZO5p6EsOuFFYQeZRXR6AIuL2qG+9BMPwRbhdEM=</t>
  </si>
  <si>
    <t>nlEBi1uPgWpKBBF/DWB0e23r1BI9vKa/QRnXKcS0UMyg+geQ8qQbPVc4MaYzsKsHcngxdzGAXaqgy0XwH5e4SOhx7oWIWf0dDmc+z0wW3QA5ZESo8aaYwBo+M7pLjx+OBvC3BnresjKBdOpi76ANnlB/7ThSr5EixzXFAkVthNm2xeDFkjBbZBfZWIuejVpi9EQSIJDD2QpAj/GqgUswGDocrA87H9H9bJLCsSDv9vfU38wyQSisKAceVh0=</t>
  </si>
  <si>
    <t>09+vz5dkGcJV+sQFeKnZZgxo9z0XFiWthBTBFnoVOAwzasyf+yEIxTACqKomkhgYkdKrSWmqRga0CfeJA5YVKDCXZN9U+KhCw2XCg91oTc1MCCFZUEVuN9rNW1hSnES/6Ox0Pf0StQRTTbWlBHTmfkwkMlDRPIQqipc258kRR+giMRHLeAUMUAOy4hHoNV0taRW+08s7suH7E+bGRg3N5VgTOOzva+brz06FYgy0FsY+yKvNeIwTAi61BdE=</t>
  </si>
  <si>
    <t>Yxh0sn9V7kW4X97VTKZfwu81d05JDYliXjvZBZvEZUsuTSxpHsb47kgzbPk0NAyoLkmqk0eDOJXfV/pqz4oNF0nzLfg56jsFrXvbFHG8w1w5MTmJ6UstvRBnQriFatwM5AL7FDIRp4QRC93R+5aBxTDfmiIpuILovpFl8zmbWAIcGBzVwtjD+F2zrsamcYUrkN9ghT4pk0pH56AfQpY9Yzaa5DRUUVtMyU1ILBTMzCTh1eCZhCu21P+Yjk4=</t>
  </si>
  <si>
    <t>HUA3DYxXZ9nr5RhxoA5ZmTv2MceW58JrL74BqVb9VFcGJtGxHx8nl1mxT6PUPClC5LzaHW4wxsFxO+T8SplKTRv3OaEh+85gkMt8Ms36RAzqerPlx2hO4SNlCqhW5Fpdstx6csonPMN36IwAW9JbsLWr1G8IZ1y0jQ6EmN0xHvvbbo5Vr6xPB8WDg2/3vgu9PWqaZ2TRO00N0uudXQKp7c/vOIkGlL71Bhc0IxXi55640dNAsd6uJ1IlTII=</t>
  </si>
  <si>
    <t>VpR7zm+mmIqI8wsXZ3nWtgW7tmZMSZdUou2OwnqG/fkUtBZWqCGxgQA8rKLsiUc+g6mJFSfEQsC+/JymZWD0lzpnlpcg4ayJbpPlIKz/vmGenRam+tdXRvR3ibyOzxu0SGCncF9MamO0epCoqtgXQhUezGSB4sdreAU6q2oNxY+Bob7dBNVokBi/kw5x+zjb9cacXGlBX/AXt60bly4JqQDGZUtKZBekBV65F7DvsY9NzMrWBRDzVgHA2YE=</t>
  </si>
  <si>
    <t>xFzp95bMcJCAUY19avVN2jMR1Ih411wiMohi4TyvKQ4/TriLMlnIV4IOU4DDvfuvrAOit1V3PfVBv3u3iBrjgFHMB9y+pMbu2iknC6/L+8gQddvV7GJp/LvAjt5OnytzHrK+N8Y69X2WoEheOTl1E3CsSvwONdMKbi5ivcDJ4BRaXTu21nGl4qV8omivHJmICuS1vN0j0vjVt5aUB2KmvtzjRRXYk87r3MxSluP+Nw7UV2PnilNlqIopnmM=</t>
  </si>
  <si>
    <t>qGNmFnHRHXHSUnQqcZ3DuxqM1Ch81Kjqv83WKK11aykUb2AsVHrJr2nPu98mxn/7XZlsCXzuQtdYTZxWNcZ4Om7Mr9nohbzBaosKOKAZ1e+GShT+aPXGPcTqQtHanO0cAivIOnteMgrCdkdbh+el6WHL47bhrXMzx9dV9pVhSSWB0XrPgKjbMPziNDEwv1R6GYhaaeEdLd5kkW0oRXv7V8XBj06msKA8qPV2gqpV+XXrRbDaa2cDATEsXgI=</t>
  </si>
  <si>
    <t>S8Qn/0yItlGZ9yYSgaMBiNurDtFUDxREcBxONE2HvidK+LikyXm+qWjycVYKvhAy4FD4NrVXz9UdtLvy2zAX38SsNWQDfJYrATSGlOkno0CYlRz8Skd6LDtIpsWUAF02/hedY9pTozUgkACfjcmKvM/e5SL1yPTRF2zPGTdPyDiaheavirEPXLT6TUDNLA4UWJFcaBCH+b1kC7UcDAYXkzvM1vwmSEz3GgrKAHdTy3gOOqaU4nNFf2GwBSo=</t>
  </si>
  <si>
    <t>+/18r6n/jqWtKTH9HwBK0Fr7rFIIUv/UEuvEpKSlAE6NxBQCZ2irqa9Ep5pUr1S4lcnRJrJp7+Uk6t0OOFc1vPHBSt5S8ujfABhpMoy34VOgZvxgLChXL4piGsUIbAFkqsIJfHv5G35PbVyqp1QMkHz8+HtAe/95Gu+noOYz69eiaRBy5EUKFiU4nvt62deOmR577O33+nsj/tp84Tkj48To26oP/CndENEC/xjR818yOd4LX8CbpVIG2VI=</t>
  </si>
  <si>
    <t>bWqdTZLM19ectR2ALwvE+HqtKzGA8M/5JEp6rYKZ7lSHPXR6tZYiHFYJP8I2nYPcTqpYDwa32XfOCt7eR87hfBjMT1Pkg+iotucUaroL5YO1LS0XAbzBNcjegMbOxygEJVRLnKnVDL5gEJqWG87/Ie6ylj8mX2LIykywnhO5LRC53F4uK135JflzF9J7XjaSejyCwnyYpvScMgNSSFJik8kkC3nwCQvQJP6AHdK59Mxuqys5RTjZI1mjrhc=</t>
  </si>
  <si>
    <t>IwXz9wl33CFmpb+mp8ZdrcirHvOLVlQCdRupLcphKvufL4remw0apOGQveIq0pJ7/Hh1BjkaEVoMComceesJJjrTaYCGMnP3Qg92socL6S133xuFEQrEgYyU8nh+OlLdMGrK1W06xPxsso4SD+v8FV6r7hrHO+kdvUMQv5QGa19cmQvsNA9nY8fFCNejSjNBN9AXP/e4LrbbOUn1mUMvN3FJbItOZa5q1/RbSYlwuEfE7BC/sV78sxjvOws=</t>
  </si>
  <si>
    <t>5iWBdkpOfrwztaGTXkyBB8h6vLx8CyZP0dfA60xqFxiWRTpp/AirLqfGdsdKL+PRfRuSYKm0AzhrrlWwPORPzXqu1+igsl2oOEbbZfNhwAEUBujsnxPJOdqHkdPra0oOVCGsNuO5rAkcydWYm0njFw6T1niGAfKgFypvsD1zkBN6PcY2VBEoW54fs8/k1rkxIhVm5B7kAXvIvBjAhi8TK7I7TexIRD1nDZzKF5h5wnZDEYyDqbeG4l3J2do=</t>
  </si>
  <si>
    <t>fmM/6u2i8n4OgXQll6R08gxVR35QlscxGKV4uBBG5EGwUeZh4ukkac0PAgSZzcEPduCjjTiTcmW5qV1PlmEC9cqrXaZwscAr3UuuB7XMvmjZahrJo7rXlgLVmNuxJddmbCUqC/faerxDxJJl0Wbq46i0YT+CZ6/jKuieCyDuovKlRuxFcMzzkwaBRd4KSi5g0zRDXYpYpRi0xaiNlvnFhbUsKAfqXlu9TMNQ02276R/FDQkRcwpcyQpdn4w=</t>
  </si>
  <si>
    <t>xt5BwF3OZVOtcM9dKpXcLYx/vVM0iqREZf0tTh8qgIU0sLRLfKOx068HBl2q5kYIpwkAVfK3tVOKWUap0CH+VxjocsPbl/aQQkbP7BfHEqgBCbxN/Z0AvchGLCaAv/XvQXwQsl9KGe8tmPSSPIt595touO29YZPzbnOk1A5KrMF1Q7MmqOBeoTUoNYhb53IyoctffLA6tlaihEACCtpbkZbO/m4tyGK3FlK4HGzd9Z6gMU+55Io9ANFNMJo=</t>
  </si>
  <si>
    <t>KOpaJXd8hB9D7ivjIsB1rjfP+kWjauczgIeczONkY44L+V+7AKKZSrfBDxBcZnbhWgWcLuE4Bvxf1Gmq8egSyB1irA/RAUcW1wZJA577JcanETkQC1ct3Z9r5PZE/dF8IbhwK95LH+l0y4yfSP1L7yUle6c7DIvQzpXAOG4XrD2bNcSZNpDJrYKBTVSyfxVFM1jpCo3i4X2gTMndnCabIJCeaJQiuvjVxVvMF1v7mLptEFGPMPzsreFlo4c=</t>
  </si>
  <si>
    <t>/mkbinatm44MD/cVJqoYgSY0OSYSSZM2ScgpBC4st6FdUYPjjjomtkrtibmwPb5EvjSf5aG/9fikncPs66ejOTboVSFxXV55ethR41JEijTWDc3GFcEwTx7nLcqhfp/vFmIOqwQrsBwtouvj5AwTvvt+tJePHCmR0fR5ueQYbo0MlhVo/vFhJ3wPBbrQXJ7/GEesSpUI3G5WImmOlDTM9aTppVugWC0EFhGq7I4shsFMwIaV+4CltJUsuzg=</t>
  </si>
  <si>
    <t>GKPYTlmCCkXhYOesyHgyt4MccbRgSbIu5kG5zRhigY7eGJveeVzU1a5K7u+EE1Vm1Tn11z8fS/s4L1tqUFBblrm/yNs89SU8y2oV0d6PSfPFE2LR/5gaqrhqZg0+GBLCuCmm2y+ZPEdt2gVnG0vEPGrswc8HcgEf121Rq+yd0ZTaiKeUjiKdFTgofq3B1pwDC5n0KIIj+M1p5cF0u96RN3NRlK5VZS4X9AeKWrAPLgyC60zqRVf+OK5SEPA=</t>
  </si>
  <si>
    <t>Gv4BQ4MwxNHmABz0tbCoa2jfw8ZsG0HXtOFaGi7CKXqi+mFlFjMbmHFSjQIEHETI4qF5R1BgYPykmSLDIsC8Cdior0LdyNFXwjo3OzJUhSr3KWXTWofUS4at1lzMQHCfuK1CTQJU79QJ7MpJCSWDDTtP+hebCtzn0GB/pCqA4n1bML8JYkQElrm1S/mMoB80c/V021+mCogu5B5+Ps13RP2yrWPxJ2+0SwIYZ9GixW3la3sjmvUm6k56Epc=</t>
  </si>
  <si>
    <t>q/hhcPvB/DEy0Lr/3cLpjzMdJTDOaa4LzEnG4MrcKY1pmOROTfbadi2i9TwNGiILIZ4t/smlRniliq3ybpS3cbADV6t3Vq7n7Mm2GpXOvmlf1vDGduiO8mtervfCBOu7V66dLDnIhwwRqumBHxFEQ8P6XCOpvhhr1bmqVUEScHMlW5JjZPo6h5Cy80ToOB+puUh7q1b7qZN16O47m3gECWgFkc/uxj3bm0hUXlUloLKm5GNPhvVKR5UTiZ8=</t>
  </si>
  <si>
    <t>nbuk7T3KgESJIsN/Kh9MbusEThr9ZVBy8pHamLpQwH6XgEdjoCZGq6iSoiIHnsilwH6oTmL7OaK5H1Uv3clFkXTh1NmE/fzirYD7Q3AiKFzK33ncgLQ1WTEy8KyUUIbSb6dhx5TkYo1YlNL2UXwX1chrAQcawAeXlaynKavO5aiVZkD9bX6Esyv9ln7pxbjn0ac7uQk5qi9OGqw2fcRvUNabldE8TYlkQo7XJB7niN65OlqKx7UZtuCEcX8=</t>
  </si>
  <si>
    <t>+uo4NQW9yfweZmyzh7icHWZQEOBymPUbTgKY+ZFgegISjLOZzL06Zz3+iniPcxdHgn27RIgZgMQwyHUDvO++MYqvAS9SRjSFTIHBqu1QegzT+fwzKTA0DRl7DD28w1O3JXUeb2Kmjl+5SKjyFN4myeMVelxvNDVWxhHb9oSCxJ//SwudpMQkVdOW2ucWQwvTB9ZrHteOqKiFIVm+WfI/LoVolz+FRCn4NO3cJ4uLy8cHfzGEwE7PMU/FMcM=</t>
  </si>
  <si>
    <t>S6Js7iagKdULWz4LOMvOy0uTQMU1ytPE7UkHPbDNO/OXUZfmNatdQE3v+IklXkC35TNNgab8yD5wwus5qKi5olDkCkY0U7xFM2EC49sKwL/6aSpmWwEyXrU5uXb+DviSys7T46heELo8nR6P1qfYl/yc76cVkcUSdXqIXuyLPy73HMkLyZSvAoTD38ypSmpefZI2cZpOKWofR0hXttAwWLl3mOLJTquYQjovTnPPST8/kz+kxHB1byy1UVQ=</t>
  </si>
  <si>
    <t>hYyloGisJse+IQnOaijwalve8IMpQPOZp6Esr0I0FbDMFCHd1RMOFVyQXxEu53r8TeooJaamAiqa9Rc3WdCg2mmAZLL/6P3lAZ86NRqY+j3v8NE8cxfe5APC2K+IyC1rnw88i8/igwI1Hg126jVLQfKlGpIIukU+5/KFfeE9njNEuWnCgRv2hNhb42Vc9F5QnpkAeRNf52TBq9pKW2zhAOyBHcYG4XJNh3G0mk6PPjmEhctApXGxkx/iTZw=</t>
  </si>
  <si>
    <t>mt3lNCNcaRcgkbrjc+FtEDUroWricpVQUOiaZrmPEqKCS8AvIre9PhqtqM/oHe1c8tLamm/vHf2ZH9waILoiNEHq6VVx2RlWBMVqNdk+UVA8d5ivkNAmrdEX/mDk7U/4KxqT6ihqx/ottVaqagkKBQJQtLmuiTe3HIJhKWZA8V6eNUZFdSQOrYxIX/XgxcsLwVjfaapG8N1k03b8urbk4GbVuaQuR7JZsB/JgVv4YfTu70R89XOyOKWKGsQ=</t>
  </si>
  <si>
    <t>3pRRevpKWMdo4YZ1+sv9fsSiKK8NinC/31g+d4lZ/aoUa2oz8uZq6YTUF0GRa4xHjbuuPBSPwDeRU12xVy4ooDRdire+BuaHLaYzEqq6vRbE4wV8lmLeRmHBfJT3Onsi+N6dN2EivCaulvFwHyHKgR/jh/NtmlvqIk9pn75JGduCBZk0FGP3RdHmiBQIMI+6OAxIUPKvcbDx0eMnviyQWYAo97oLn8vDP8D4f5gPu+Muc9TQF5fJqmefmiA=</t>
  </si>
  <si>
    <t>jMi1IuhN2t6wxrv89yqaaTgdSxI7v7h/zyEVclAUP26GgqXKUm4cXRoqKcm/KL++EdXHeVpuF8Rff6tQHNK/TcZNRHyWZw1ziQvgQNRd8RoAyA1H5dhkEaOzQ1I9pWGvFZTH8PxXEvS7o+MAuHBImTxLJU8c6KnSLC4MK5R28m4riduiuTNXMri4s2+UkiWd0EdFAamHt/YEw3qnPoM/aYOfeQtaL/0FYb+cpDudvv1mpFAUqCFJe/bROJ0=</t>
  </si>
  <si>
    <t>1CzuoFIv2cKrON4xH1prvNyhPzfl6jWFn84iH0AkiUnEComSDxkQtJLnDxJmFj7765YZrpGaTvtcSECie/07/lZ+jXnV6IYgHybzMR+ZcuJIoXpQQ8884uW3tBeRFh9YT0U5Q+LFpQke9hKtycKWWtwJ9F+q51hjpf9Ghl83KmsY6BS+1FU9bVyKhCgrYgWlUcVhwkrPi9rJtm3QqQ+SLc2h0Wg+tz+Z6hIWevuw+kQ4tVLQou/BoFgHhPg=</t>
  </si>
  <si>
    <t>+ylhGH0uOAiDVvgEwVhKsyq/nL0YqJJEfQ50XMKboqhVIxEyGtadCkn/GHT4gnK8gci5DMJEsRbURbmkwNve6d3z9h30cM1Rl0x9rQGGSx47lOuz/faF9jsS7lOcKAJGGXb3xXSZOC4QMaXTod1ltPu7VAae8l3Gd25vbzsg7SSRjYkMgmyLc6nY7QhE0YjwgsSBjXO4wlcqJ1VtJPoLOmKd9zC4FUkckKzC3ppHN0Svn6WEtNpwtmH9nvI=</t>
  </si>
  <si>
    <t>HHIGOnMkVMNHx+BO82xQJvKZ5tN7LA149PLLCzfuX5P/kGiMDlDZsOv2U1lCKz7zhuGoEJFeYyBnZ1bvNyVmZXCZRjHyrKBlJ3sgrqAXPONj/j2t7lrFgDJ5/0ckonIzBJmIcDBmULTkiaE4iJL5ojvbjXg9VOv3BkdmGFYeDzsVMxdOnz4GYymZT2m5F1meoGmO13/tOXr5v1f0GKNbfYPiUn7xCCC5s/nkeiadGKJf42KnhKfu08wK3pU=</t>
  </si>
  <si>
    <t>O7YlKFRQncvC/K1tXYkGteKwbiANEnlW71z4gtnXKTdHoY12cTfKBYk/bN46sC+qOTq/Sf2yjEA8b/m2I5/qDfEohaFvAtGtNxNNlqWd2z8cGZb9f+JvmW3Y/v8mNuHxNuw9hn1bWy4dZXY39Q9juR6V5Hs2ixT0JyY6hC3XLwwvEG80s4x5B5rZRIw4WCKSuJyquJB6SmNzW99lFU1f54FAtNY/VqyrrSgm94lHHuV0CdjLHLj89F7TVLk=</t>
  </si>
  <si>
    <t>bSpKlKR6uBG/kN/3YsXy4zVAF2dbKMkyrfrQKVj1ValGAAevpfVMX5cNZCZwtiB2Z9tKnSADx6WGCYTvxx+Kq+MtSupZa/01ek3+AJvuneUCLCv2PoNPPSsTwp5JO5p1T5KFTREEdzWEQbbv9wZtrI39i+NrKSGHwOTtDImQK0fgKqlqTEdGlL3nhyPTU51Aq/5DknwmoVrWUx71mycy6NkwsaPOO0n5Uw2Daa1gVvftJyJx0YT2DE1ce6U=</t>
  </si>
  <si>
    <t>2Y0/FNW4HSqLNiBbxRlbir3brejv7/BPWZVQFrzP+agqRW+nDYJ2bwNtW2twX3RfhxWqfrxwD75ikvY4XZb6ikDOzp/8WogPUWFyscIZDjDOvP+tDLnU1+bNMi6fCYjZqJm+YyfJOi+iBq5zs/8ltRALzOWQYU+kktRtuF2MwTT1+3l/P7WScSIisstDlzRSqJ8SjpXz+Jr30WrUfNw61yhxaJVvVGciGC51Ij1/4PEZMra2AooTrethFDY=</t>
  </si>
  <si>
    <t>X/8jjpWIpALK9eT78x9VkC+COvQmMiEzz++DeBr0eivTkbs2uWjimC4yFeoL4WQgADFOBqnxfhMWsqHoq+r3lEmQcHZiLRh1k3y2u8NXHtGrxBX2hzC0CMgd1R7y6pgyU+NNG7jspU72JYmLFIyRaU/5yBmRlYGUAtjWtHflKML0lc7wjTtEVYjeoaM3Qcd8gNUaAUcxu1TETHsQHn3n0YFv7/wnjcnu4QxGNnFk7UUoqAmzRa4e3/aA2G4=</t>
  </si>
  <si>
    <t>jrjq0XbszZGRGLbtixW+f/tJW3zsXilwS+D0RLhN7/iNv0Okr5LAMgJqTfJSIaXlRcPItZmp5gYFxLgi9m9xuxAGsumMuuFrZ+dP096xOJDi+gqjta1tlLSl/F9IDKMQo/1CsqBI3KKcNbLz0nRaAcwDglIdE4T/sIc5w0bf/hK2Di3qPM+ehXARNPcMsCKtH/ni3je+NnDA7PFLR3PhUj9vmmuBO7dJ0HUB18cB+ILXJ2fjjQDffNEdEv8=</t>
  </si>
  <si>
    <t>jmj2PJFTMF10BuWWgakFEsipdd3ywxadoQKuGlzg3DIDrq4F0wWJcOuG7DEe8JOOMRIXv83uqonIG81mTSO6xcO+ZyXYVkpdu+1TP/Rn+DEaVf8LETxH7PKnW6hxhC1WYVTXKnr7q2UVusqbZ6k4HNoaSeSvMhZuTLD87GlBYDH3TR9BOgn+jj9M5Ja3ggwkLVHztz2o45X8kut683ndwXYyFqu8omECy4W8+Acc41dYMdEXiRhrq6telJw=</t>
  </si>
  <si>
    <t>eIdgFStR2WJpVlgBQJJ7cP3563oH5GpPDHIFXVbNqCAHFLICOFWpaB4HjxVJ/qI+mizqA98BUqG4ClKVeq9Y/HFXsMFV0/J7FE5YVenpg6VrKQFhs4C+Hp1XXDm+01fd8POcMnhvecmbfN6P5PKziB9wJ8XLKi/vqRYGmp1W5AI0/0MgX857dgp106NoY9y7ASnrSm8pHKJz1UJNMEIw5UbwlASwPmAQryfMmUAOiuISKhWI9NH/CjzJ9Lk=</t>
  </si>
  <si>
    <t>dKfGNbFRl+ZQ8IylTCmkEXzticw3YI8kXM6CtK6PBU5vh7+TYWZO0dGjsoV8XQPQxcfP0DHqfQtyPckG1jYqxj1IHSfbH4zOUYnHPJ0jbPou29O22FIlHGLkBseT9EMgwREQn8EoBzGJ+Eb0OV1My8wrAHCbLpuknoBOlPBXrmbr/5Yk1atgbGeFRJJ9o3cMdOW76EGgutLOxVMmm3BtEmoVIkkL1GThofJbQSIvmIQ4IOpLipnydz3ujFU=</t>
  </si>
  <si>
    <t>NTCgwOd6fZWXwF12EVBKX/gRo0YCJm8X7R8tlvRPQTdWdSv6IOEDm7Z478LMYfhN/Ttw8+1upG83GVlEfssX7g/dauuRI/TEKRdReTffLNzd7D1gg+23Sw+clvsaYwaIRip7eMJyG8pAgxwYxL08FZlaH773SBmPEC7xk2uVztHzPXbpDqMWV0Tb8DCj1RTJJprBH82rVgEgcxSUsxEd8FyDUsy5KxhmWIsbZ8ySjg7a/OFkXHIwd7ntLSY=</t>
  </si>
  <si>
    <t>vIUM6E+SCqC8tNp7Ic8BQ5pywa10M4hGFjIVV+mwi1b/u9tgcNXC+m+g5VJQMdOrh1mVHqbF2XVFO3A/aBy1nBgz3PiuJ+Sm2FV2/wCm1WVGGeCyAVVTL78MQrZwIh8xkSnWHA/ANwsxhkUZ4OqM6EGaoMYwYsjqoDxaesjxbL1sbdnabBTBa5NPK7C3ig43rknWOBxvG7gWJkd9dl9eqdxt5VOwqJQ64kT59+YCseZkjYEt75TC8T3MEW8=</t>
  </si>
  <si>
    <t>E9Ki//2OGH++s5azHx4zCDc+mHohJ+PZLakswynA/OU+IVYcrMcNmEgqSM3iFW9LFQA7zqCxHgyJU0e2AzmsG24N325VRy0gXQTqrV4x+7kyaqhYQ0kPOp2Sv2u+5tDbxHC2JKY/MzfSWu4Kl21Y7A2obI3ApKEucKew39yFwRShxqsWVHm4jDOzEI1H1VFxUmRW65HCBh/nOyogDWz9wSM+qwhqp9aR4P76jA5wVm2T/BCI2SQLXnhrUBE=</t>
  </si>
  <si>
    <t>K8y94bOO9+He38gvHWiqUgXBxYb258FNspcuL+AfresbbD4mmTsReR4oEroqy8DG4EHij3RYW9cAaDg0gOol56WXtr9qan3QYNUjN+nHJUO3uqHKCV8y8cveORhqn4VzIplDXkCuWRT20Ez7VnRGu6rDkJ2UWOHQ8ESJ10gtqGdq/KbAXarHbprY3BEOGmTkW/96aS+v1W/nIl4wPQG3lezSGKXQDD+TxyCAHwcSOpAG2MZfZgQ80jpaApY=</t>
  </si>
  <si>
    <t>H82GiyGxNvHuJr2JcCk3xPb61clW2JzxvKihWZd5a/Dr4JV6y8ilLEUvQUR7DDRDG0IaAveY4HrEecORXHXqH+hXMnPBZBoHcdyIUJkpbL1EXw6fhBIS7gNDeZJycc1fCpQN6sHH9wrk/idOp6lc1Aipiwc+GEDSHo6GOEznfo1WtzNKIQvxwE+WTLHaukJpib6TOByaDyXYAOKcmBvQftXxp2j3CO6uuhAreZD9x+TyP5GWXz51fRKcXAo=</t>
  </si>
  <si>
    <t>QsvwmXftGYNRQ/yQE4+Xy7OveCsHii0Ppr1VQDRM8zYGNqj3m4Of9p08WPwzojGdDt1YH9Z2kloDck/xWnbKNRU/KxgC6pbw6HcB0FsravSKztjpmW96avF5HlD42gAtXtBT/NP3BIWrMQx79lgUS5nIzFbGkgJY5sZxDLG0FJkfm/4T+DNC0ayLdaCzlagWsGr3ml1MW9QWUu/pPH+pcMqyMu56R69jW9k59CK0AGGU3c3P0vhWiavpSC4=</t>
  </si>
  <si>
    <t>poqO8cODCNBe5u71s/YqAN1OI1ZklZ/A03DJVHwEUUfSY0f3Eui/1m+xRODauHownlY0E7mTNO0OX4D93x519KE0EGOwszUIRDsnuAOLBwNje42pHlS8jACGIJgxCnNGvLzKVPkkti5zONtu0dsNiGFwXaaFXemOQZ3v6N8PBbPBtp77GicN4GR/vHDNNDVg4/rMZx2kUMBZya/E0QOfIKtCgURIpWL2lADNtG1ujhI1aLr7L7dzD4HRgV4=</t>
  </si>
  <si>
    <t>uwNcjIwcBz/su8Rn5T+0VsY6CcknOxauos08p3UO8AwK/pWm2h0Lxjx5Rf/qrmG79WGdOx14ysNJ/0OfACL4LUsehnWbStnlriaw+V4JHuQpyOgOzP1MetY092QTzmJb49Mjxv4+KxXCzQzZas7WrAS8BkpktgUZ1btuRRJHd1ZDEEWOcejXsJwb1RmrB+XYwLfEEdTIiXBOeZNpBPHCd+hr4UhjnyA9iup4CuT78SRctzoxP/h+P/zmKo4=</t>
  </si>
  <si>
    <t>dmSxL+OqvilyGrqQAHQLkbmEK3VjxiZzf5j1+CXNvsGXmhsMqVQMJMs4LbPcViPs7Qwb9oVw1+xcr3Ph0YbTEP3rFzTVDDTQxwZ/loi4GbmzxIbAOdLdjvFJ5id3fZxGuGr9YsicpaZXny6kevk63401kPlr6TNF979gQT+4zb+/3QKb/uwXMDHL3f0EW5Awo9saTDz0hYL/Lt83Wb6o5wpBv7jswP+SBdxNrbxphclpClxCmrqJl/THVQE=</t>
  </si>
  <si>
    <t>EaT/V6+a8CQ8mlZ4LbUkCCPNBWmbX42E0aVEZ5TLJnLomWUkTTVX+aenb03hZWPJw6U8AHOp13Vsx3s6cIDkJMk2VoW9S6DaOhkHQarZRm85mgRzb6LA3szLY+GUVlLdkhxaq8XNAuosUa1ZYPh4uANhk4c7kFQpqr/QojMihnFKxQaGrTtrGIMqdVcNSxy38T7pTyni9FRcl9UiQhVx+1qGcHeeAxajpRzosufhC4VGjNBfg72AFsdkxVw=</t>
  </si>
  <si>
    <t>6R2eoI2A8AzBXqSLO1DeEvFB1QOGQBFfwnTrRRCe3nhz6G5DlUtxF+06uU0nZnCq43jkgbw3D4F41n5OJrXuaDZWEynW2WPWgrZIsM/j7kDTzQoHoqMmpwn+ykL9/zLdpWqKHnAKJ7MhfCadiOkcL8skE/amjA6YLgX2lnRzLkjMBJ61wiD+buLntFj4811TMxtoXfVF11WbBbGz8To/q/aok+EUtv8J5pkNKYKq1YUz7o3iRSVI8EBHcXc=</t>
  </si>
  <si>
    <t>6fvV9nwhqpS5w8iFgxwVrvLzKhfEy7yLvlH4YaMrnJxUZF3l71FYIHAVboNbQSZTl8YcMv5gzNkSeRyQADM7em6PC6flStfVbrmzW58BE1SImnMXE+i5KwMhZDMpIF1vr5uQb2s5ld5KgYf1Abj3NrFIDU3ceyjpkfHeSotImzDGSLLgfQIPe9IuRRJPr/qPv3D6oEUUgYBkASZTXcAQz4YXMYD4MJgjLJvlRHZ60yn6764KLqf7NJO5qcE=</t>
  </si>
  <si>
    <t>o6suDVsfI08T3wwQV/9jSojcKMmhV52r622abd8tw4dtbBI3Lc4eeRzfpiwEGcOi87iXFjekzDjAIfXrmsC6szd0NBwAblgHMvbNxEG1DHsyfHUACmXLV2AJrSCawxv9s2vshewndmceHXj/948kmq1bO2LqbJW3XqGFfj0vm/f9SsEYwYj9m8kC81A22PciRbCII3AwiKeQWN5XlNY2cEfctmRFPSBfEyjKrM5Vzd7fHZethsenhdfVv4I=</t>
  </si>
  <si>
    <t>hJgVGB1SozPyWj+9aNEH2xjOoeeMOXR9hZI8mb/kg/h+EkXiBerJX09binHkDVlEH4n3+GeW97a3OKaoiTmDVhPk3hbdqEkwr/vyWk/hHLXEuPiL06kfMdEeGB9HVGZ3JXnysI3MRjGjLjNDX+b0/6brAkRjrXiYGUVh8g3Gz66WG5d+BsKc/fp/YFkZAtHiVvOTxjETriuWym2RbUPdYKDJM1VoC9X9ifNZR5aJXYVCyT5b360T8Au4EwU=</t>
  </si>
  <si>
    <t>+dODpPBmvVdSWN1xRt1uCSQgJEYqhHILmpakSrKPE1Bla316XXPqzXj9vVzTUJBIelJGiyqyQkWAMOq3CXYPcfcvaUwKZXC3VgSMe4rLAFVvBFOHhKAaWiWFpum3PQZpvRqYAXNWovTYChftV3Dxynn58LfZHlNH///xUDcYWvb1YfPT8OFHQfHl6+qfKZAhF5TsKZTXFOBH/t7bqJT5vPpPoEYV92g6uHMGCdJqUnzBtHYU2CJ5DR7NK7w=</t>
  </si>
  <si>
    <t>+grA46TW7/s/e3ozx1DhEloDD8FfxhSjYiF5m/MNNvdXePhmz8YAWFDORoK8e3oy88L/0ldyCKCdYhxi7g8tRHPFbo0HrWoM1Hzdb7fajNKOJ3HsRrereOVk6YAK5WmMIUr1E1nhNdE00LfgU51P6WZYLOKAgoQjdh18muDFLXz/cvuH/xeIZ83FjhFvXHBnzmvEK0S27sCl0NZiqGGM3NUrcShrOEw8VOQ3hSgr+xkLuyG55bw+NSKiflo=</t>
  </si>
  <si>
    <t>gCrZxAFwBwojh2h+V9bNWa/xfaCaRF/gjucxIU4FRNcqMophLiikNKf6NwVTFcvltQR4m8DInksW4+1+Upyt02xXFGYVaJvauZE7rI8JmAOBH+jU8SQJ9Hs077Ssghfd7Ux6Ma4HpEweXX3WViWVkW8Z5fNrnyZYjaAwC5Ez5K+WnElK2JMYd4WMaWfNZ7ry7EtDRnxHDUmaVBNOsTmuM9f0gsW5L2KBgPg4+oeLCmV4l3TNqC8SjauUDcs=</t>
  </si>
  <si>
    <t>sn/hYFNqUB8zY9Z+xF4UClUgtYX83yjfSglz401ECUX4ByDimpzWy/6HzdTnVgPknwN4gyJMwwFsken9mI3o6M9iNYY8ugbMfXuiIjL2te+dpYrKyhRUXJdjUJL+W2jvuF5jmQr7Fg7LZXKkHJby6xvolqBN35i6HEaqIzyQjBxfkUV6iVrs5ltgGqxbZk829EpOnVVTgidRKJ0KlD11YX7uN2+4RsaJCm1Tjj+1I507IqiouDWJSlD3jmI=</t>
  </si>
  <si>
    <t>MsRp3r734I/oDSuywoa8IMQ6HdjkM6KN268r+RHeNoatU78XbB/Vqp9Xleo5o/6+fsupxk8MGOs0cBna1z79TQoUnp0Ne2ts9pS6nS48L7jrrjgSnXpyvLq0qcB1Kep3DFVHABpgU6n7kmGwg6pIhd+MP10uq1AyRbpWrm+xaktTdGwgnJPWejg04p8LWYOcxliUxRVa7TvN+Qjvwiq/pgMvTvC3QzBDAQjhlRDXRXlGh+bHuNG+TGeWOi0=</t>
  </si>
  <si>
    <t>bJLSC37kxBwNrJi38XugOL6Pr+1ZdSgYYhWh7EooxUOjmSW9Jul1z3jzosIYmMPJsEjjfmyVfZ1nOod0RDmRTbswbgft71xxulE3X69C6xeowtj6N0KB5TMPmkGW2ENKmn6Y3NH7LytDruOVdka/uL64CHSuX4R078IvfzcK/tQfWutDAlXwsojuqkDhvXVoBfGdeIEXpYVSsu/nAL1UgvC0+bEKncmdtHwKrUnvzdQecTqDxAef6+0XO3E=</t>
  </si>
  <si>
    <t>cPj/H6/B0Ty5+FZMp5Zz3SsdzIwA0VbhYFs7UL5WpdJriiTYAsL4NrxHm7c68SgTWVdJkFl7OowKBzwVGZL0zOtQSk5RgAAV8cj+EApLR56m9eFiQCE3wGT/FcqBFdgF/712Nxtns/gt3UBjhSprETrT1Gc7CCK8CCokCm0FaUiqddvFOGeWpIuod0j3v/5iG+pEA+Byg+TFZwQSLEqkuc9zkIC1fZvo9/kvy7a0bXPps+wjpKw80D7Qnpg=</t>
  </si>
  <si>
    <t>miHSucf8pPZcBS3Z1ckD5Ffhfb/6aB0gy8hPJUiMXHq4DTLJ74btbWi6oHSf5M3Jkv5HIlNHKl3QsbhdzNSUdPb4ldfjLyN9htJnET0fGJuwwnH+SUC2hvIy3tO9i/Iwt6xrW5JHIwFC1um5VoWvUdYgSQFiIMfEqFyjB8fkEBvHNKDTaVS+SOXQmGB7CGUYJYQ3zMDiWf6YqjeArg4gP8DgP7GvI/X8J87HcRpuXtJq2FzipCTc3cZnk+M=</t>
  </si>
  <si>
    <t>t9dLx29VzkOQHjiWV7+zJ+UEh1QExmDbxlZp82wyCu5wdgJRTeW2ourOZMvQsJDzoNpbLiCmuHHlyZmOND5NJ7iHhv1vut8V63+p2OjzEsHurwvW5DNRO1/DrHJ1Kw5VKypJ3bSPmPHb2n/DSTJWB9kWL4wLL8pYRcVz9l5I6MvD0+v5louxuPK69MN1cpgpecZQ1fIjBLKFkveNrRTGUsQMqYaFVm9iq+Jv7B3HlgLus97Qe0K6otwp96I=</t>
  </si>
  <si>
    <t>/7uQIT4OmDMke7dQUsAX0MPKtpzcYbdOsMyNrrf38S0VfYL3dPkv1b4ZYZSwuaQdmadsBpf50ej3SmK304+QQreWy1QqKbT83rMtQ2mWdKZq/+QCzOea+L1butEeN7DDRSP1pDlnGydyj+lDaAYcFjBJbHeytZlCxBgeZBHy5el0dWDDkYpd1uegHYgbO1iV7zNEWaWwI1Etoc0urCDkeik3A3+ohdJFL87lHkZJBPhGvWH6/AOe7Q7fc1U=</t>
  </si>
  <si>
    <t>j7uQhnGi6x4Gqjg5tjikTo5SOl3p2w53Eh6vEtKal3VTS+6YNzmM+iw1xfWUxtQY7tFJMHog+kPKwO1SOgsB4DuENvqKwb3EotZl+Oju5oOqMjFpsAtff/Qs+exJP0v7oyCwJGBK5wqoZw8G3xbDxu8G3gzh33gvG3QcyWlHMspu39O4DyByl5ohYRhlZisBzyj2x9r7tnT/hj0tDEOQaa0/UGStryRtT6VsOxvbIgAkkLff+xiIntkyB94=</t>
  </si>
  <si>
    <t>ny8HRdw6wrNWkVtDklHji3QYEGwl6BL/ys9dY6J4tv+9G46e9WZ+/hi58umfW0GeA664P8EUsL7YRLBNcpCGbQpZsVWRRefTGNHJobpe21Tk4bLKIWQXFTe7tlvpGPtgqGzDC+yqiwQNlg0mfKhy2dP7HqwZaBY6JXBWEci+ZnTfWBtcya5UyHLCAsBZT5y5iOdcOIiotpXxe1MhE1DHAGYITGNuYOEi4i3xs/H4ZRUAmrXH5uRftAxpJC0=</t>
  </si>
  <si>
    <t>bdbVlgfl90tSM/Vpw7F/6SX08188US/1lRVCy1biI6ORh6dKYU3jMm08T9QP3MyheW19qURW1CT9MgTv6Cut8ywLOzjDTKJGelWuqh4KY/pT4BHPA2PrBJfa0jd0vL11LFXLgiA13baK3wyjqJ6x3ANOLXOAM+1NGklhYxzLttjta6VmZObeHCjhn6tVQHHjNirlOFoQdY4L11RrUNJ2lR7tny4gEPTHqw4zivstduJV8QIYPBKBdGqm0VU=</t>
  </si>
  <si>
    <t>adXZHywHx49BDhpbbUF8hdYBvDJcQNeL0VLDq7b1uVLG767oY/PO70OEdqjk3IBxFw5oGMiLlDYFGHh9scEnchEBvxmgdG1KqSOWW5y9G9cGGpco1aXUUjW801USUUF4juXdIDYgziX5CQNAcAuvbtxnmYcPHyy8/m5a4Yye+Osu5NMVXazW8Rt1STW3/3YSaxLNJO4xuyKYeEI/XwE6Cf3irA6Zw6sZ2DFNvrdGgZgUvcIJ3bIshucgePQ=</t>
  </si>
  <si>
    <t>DeuM/UzL7AH2cJAQLHya4PBGthKV2qiYhjLiUgc07e2FjOvE4k1Ei6KWdfLerTjIy6WPno0z2rmi41eRbtnQgykCjGxOkMc1f1hpqiY/QkhQs/4Gx1x6JXsz2SMBSU8FEBwXw/r195NOCYN7nVuVy1rGje9o44ZMK6RPXpU2sKb8g/Jq7zT1lqU3fhn80eazU3fSH+YS3nvCFbfTDfYe9t05nv1IU4dj7pnnN4re8OFLAWLkj6u7hfIgLx0=</t>
  </si>
  <si>
    <t>Ozm7zceYBZiG1+83FyVkiiB9yBjl1v8klkFtcWvL48deFQcHIpQOP40+Ny5WbZ+Vosn3Tp8ve6HAjwsAaWZw/wcvaQp8NsrrtRiqjpPHoznw0N/ovkGNdVfKFWPp/uwIfB8EFR1qkUCC6tsPBWNLFyT68IrQbGXX4OtIGePjrRXL4j2m92t8XpcegQIITIBMJr08FUu7uKbHL0PuvT9DkBb7JRdb5MpmUhrfx0KVpQU151eNISwrcI7nNng=</t>
  </si>
  <si>
    <t>Ms/x7wSjlkjaeAVhu22maVCQPqdFZseVy9KR16j1LObcJt8xTVeoNOcKw4uYIsFZzyeqNcmH6aezC5EfKKiJAKFsTaTYwV/PcxKjmpPpbPTx9jDpsRQ7szZalhYvgaOG9rBKB1ThtjMCczkxodUDLBmp+mfy1vMJfq3JFCdSUYSUSrrOt9en4fK6p2RJXcG94Pn7MI4Zfna8Z7UGzQxh13FakjBLNdwRvFFpeWQI1ASglwBNwtGWE6KR3kg=</t>
  </si>
  <si>
    <t>J8XdJd/UXtb3nYGzWXRMcJ6swlBOwg/mYkBbP3PeD11UQy8Lncn0YnJKLVnIDxSpjcom6V+KbiPlvDRdhWuZmXpKtOl+dR9fh/UA+dZFerLtSdBTjhw9L2N6sh6GBVRWgrKrtH/BtSUHJl4CQFLtBeHLCGapqFcs+nCLKEOVGVuLeW5pftQ61MXqvryrq5r+wOaTL9PuXlxJB3MTWAjUqUSIcLak1e9MVBhvCrkuFKCQqH9lSFs8KYAZkOA=</t>
  </si>
  <si>
    <t>nW3EnXqO6UnMQnZ7zS7B7ID9KlylKMHha4gUkIPwgTz9oo+i1TY/OevhpciUwLfujx8BtxpHDWnrWQlGOhEwvX2VerS9OJL2Te84yU7Ilsd9aLhU+2xltO20/9/m2vjkOIMrB+zoWzpefqMb7KyV8cJS6xiPQ0ffQFuc6uWVXG0mBzT79PgKTPLRzU03K0P3zZ2si+2OKiLtDojjek5ts+rzPULjKgIqtcSqqVrAmF1/K686EIMTrYwbVZM=</t>
  </si>
  <si>
    <t>Dvrp4z/GVr0LjsxvY8vPRQiu120m2OUx3dGQdnoJjTaUUo9CY/KzOWfhT6lBwOGeUMwzyQ8lpKEEz3F+NgQq02aJLIC3TIW8Afusin5UHhduHytQOVojQU0hRVdR1yHPPNmjiBQzk198vCp9IBsT5qKl9e/gZHRj4RMw5n+89HKnAiK13aIjeenJM1N4Nnm1Jt/Y4ygozX6L6tK3jTgyUKqQh7boTYClnpZUUvXy7m3WDTuQ+L1rGp/Brpg=</t>
  </si>
  <si>
    <t>+puMINW6YyN8zG/HUUlGhMeTTrteKaVs8PGoQqgvBhs5g1dupaJXuRo3AXh3Jsmc4qiZlRbGuJ9CLQZBImfT1klUkLjl18TSizyzyA5HR3DusCCzpLNAomOHH8Eh7XgvivlL97CuovJxWmlCVQdOVunth/4dE+RaOtbg6mAWy4OmgSJRC6/1nZsPZ78dS+a7wlfG0PnsA5AI01zJbhlXZziG67lA+j682GZgmKsQZmogDaAPPkgiqH/5TWc=</t>
  </si>
  <si>
    <t>tzuiYzXL4zBCEmjVUQ4WPPORVwtCGYHZ8akzbFAWEWHPxnR1Qm0BkiSM9TKjqi5UpEpXTaU/3LI4nwcNiWfRFo/l3f8iowCc0oA6GS07X2w4Pvy+ZFBWBLZP/RezOVqkyEfLtwbf8p9OeaANGbqe2DYvQY1igOkwotDdJU7ZzgmqJS4H4EBy2zDg5BKlcocJ8kvH1XX48mI7KHfMQREFMUdgoOcKeXjB8KTg8E50VvyP/WFrm+0z8h8eFXo=</t>
  </si>
  <si>
    <t>O6UV00i9JGai5VuFdp9sI6MkT6pNU0HjtX5mFXEOr9kVCOnRjxaG0iSjETJcRlIkK8ef2VB1chiX+60ZizwnggR9ciGyZFjbQTFlubGSrYrHnh0FTboX5gSpfjPLUVBzlNq5Gj/zdoIv9u9iO1IrrLe+8TpVQ1DdH8MSVeU6IWjlGUuPchlL27neQJ/GGVKA16BNYLobN1KpEgfdU7bHp5O9xQ7yZRmHSvL1k8nWwaRhx8XWDI4oJs02OhA=</t>
  </si>
  <si>
    <t>X6Xwfd9K82ya1KFZ3B47kQ31LahyjKlRnyDWl8XtaXHcpDW5wUmCbf2yzRki6RfYpfmV6AGarQuU9TxrJ4a61te6ZDn3ADMFKzI92/3U/FlUm4iW/i7u1GGhHAVHydf4sLzcf/Y1uv54cP+TuYofkSbaXN/sYBN2f0j45G7d8OorQDVaM+oNdVIekIx+ElMMSKLXo2sfkf9OoyhU4cy57BOXkI2q58WHwtaPzkqUUmjJLE0ALuE3RucrMoA=</t>
  </si>
  <si>
    <t>OCK9V2uxxcmTYm2bCpdhnxJp/iX5B8+zppgw8fqJpirEudDRoqRX40+hlucx03GKIJU/gkltuja07S1TyMJe/Wo5QZZ4m+1W3mAhZWPZvokqGbiWRaF1H9MaHkIvd5M81OjuVQXWQkE3tw7valpwA8wxzWvtb4GHDZ+q2U3vm57a9s2KZVQiwHKAZSHDBfk4lZGyAzhl7tHHT/2jvbfnCA49t5p6MbUixOqpRGXCIjHq2VoOPBFC9aY2sVE=</t>
  </si>
  <si>
    <t>jojPFCqjLQ5bvJgcWwnvVcsw5rY5i/vl9+3spCZzxQeryhsE5W0/WMX8ZEfz7UHiUIz7TTLiMyg6kNcwMHtjTJzvngH1yDahoRU9TrpqQpwwefS5VJ3ICOT3vrc3fihZwEwCuiWl02sHUrLOJbzZzd1sxyawmBCzyP6221N48ErMA4sLay0lHsvmZosbdUwd21ng3iFSyK84GS/ZgkcRCyR1QLePUaxlCkTBXLXRLIsOWohwSaRP+OrxUUk=</t>
  </si>
  <si>
    <t>Pt2HBwGkSXr047re7kTaghH8K25d0d6uQBIcgXkuL084Iz1rbqVAv+UmvOq/44XVEnznmxAypB83KaULBwQrUW7Gby2tqvi9ysBwsfCUxexadObvqhgXuEOP1j3AQP6tYY8brnCe62Bd4ekI1ucz0MUhLARBH6x2lfSMKF2MTBT66L1qTlAGxzvyX0uu4EIkpF5WcZaA2Bfr3DI7tdyv7hcw7bhB9jjgJRom6sXTI9LwH35Ocit8yC2PhEg=</t>
  </si>
  <si>
    <t>47r+mJ9zbp93JfWolzVDMuiuhngc/gs5Ur2qzU1OxIMBAuCQn2br9iiQQW8Vxl9BTCMEzC4/HoNosYBkW8DLXSIWH364ACHjEp/HNo6NlkLgfATNk6i39Ud0PBTlDmqlxS9BTYaZ78KebeIZe7QAeF8Nc5P+sqK2swyfvItpCXQ/cjlxnWMRgpdsH6j5nVZIefjlWCEfQPktHB++/YarYZjCF6ZojihbsLSN98b3/rqNcIf4caRog4YPhUo=</t>
  </si>
  <si>
    <t>cc/3WEn04o58/SO6pJ4sbh3K8RXMkGzB4qlxzKZ6HAXACfcPGkcR0eUHr9QRPiDPSuSXFBFbw0/tBcBLhQGxA01VcYbREirqNRa4BMbR4ba2GQYJOYev6RvabWzLieHDZxPKDRr/GkMFKdOCDdSKg6ZgdBQk/2bsXghsa47e6f/EWVzq99nxst0yOe0tg05+MiNMMTW/aCIpu9MtwETdvIuMcXAItC3CTJt7Csyzss9awkA8yqdtE6c1A0Q=</t>
  </si>
  <si>
    <t>gl+5Lk/QhMYgfMqXHRkHa2fvupc7bFyLXy43jZIJWHYkNJDtApYB7V0OFXMPt/3lPD8A+lRT20hioiqKMLbO7gIJKpzWUqeZBAO++8iJEwdOr4hGWLh+rBBFU+YxNvAlX6HyQ58MzCPpE4yTmsfo+FEEcjCMIdziZ09IOea3SahMUlBcQyX3N2KQbUDvIsjw/KyztIU+uC8f4T/+Np/y+/Emtt4KTbqmM4ubdM8zSL3l2VxsGUV90sdyvf4=</t>
  </si>
  <si>
    <t>hAsretPvv7DpiFf2/h7T/TAweku9jWHHv3V2lV5VHdYQXvx7Wc+UqYRA42Q08ZUhN6HYBLWA3NDg/mq/vhoVCBuWIU6XjfKTd5aCzbmNHLtBADTU5LCWoRTlIEWasmqhsaE/yd0RQoYc6jrtir6ZbvgJjpEPD41Du7cEPhNWlu8v090Y8MTqWXrE+km1ZSE6ORAqp7f8+JQ7VRUVNWPaLIcNxS5KahVX7MNG78Wdq9CmnR9aNdyolPTPj90=</t>
  </si>
  <si>
    <t>q9o42J67I8KlGtv85JZDn6t3wGLAFM5EH7ObbmUnDGufEKtgjDyScezVtmj5tvEeK3kmAGv4KLrwPPPdzVAq4kH2sIrv2wvfHwkeTU4u5UwL7EwU9RDZ7lqoUnTVENRgznX6KUV07llpnZ+O6pBoj6q83b7wkXPqtbh6BfwNZPciHFf0qnzrkKskYZ0V5SJ3swr5wVwwzsbe+gTLfqzzUr5uw2/XWJU4HgcVjgn2nNqz/8Fe6t8WMHvBuis=</t>
  </si>
  <si>
    <t>I5S+eEztkBu4YNtARvnxkt3QPB7al5WehbQEx7EUrKId9zcm48vxRMuhzgl1jhWfpNR7obPr7oVez8yKfS1H1cVs3UvQLcyKGvTFAaH8Z0Ri9mvUd5RNXkbb0LcwT1kJm4X0/xrSQOe+yNzmW9mWajZao+/ULHgPg4nIm+5f+adJC20SheUsrv6NwtWN7GnIhBpaxVj/dwKA0ial0XPAO9Q3CdS8HUixuYi1HMMtVGXQIhJYBevwfBvj0nI=</t>
  </si>
  <si>
    <t>H/Rwwo6fBwkAeDhKrO5g1d760u/TniSgXzn5NEs0Cj7n+6ndQeF7rVFuhl9bqUzFIjTj+H09iO9wSzFfAN5Rmu0JzyBHygYIXHBey6mw9ccsnwBlp5BC9HfF9wtYFlwMbPjRHHBTNlka/MxVL/pvR1hKTJcXIl2eGDNmr6RdaJuBhi6HhAsOjHB3L7qDWokX3q2MInA+7xMhO1jpS7TBnfxxR7Lp+v7+z4SfjQTWfsO0BZQNf/HodZttvLM=</t>
  </si>
  <si>
    <t>LH42ppYQDgJHN44+rLTrAJBGJxer+4IlLrVuMhNyCHjFYddHoDwWsdb258UivV5KAMjmxCCzOpKZ4SOybAsEr3BFE3u3a/ws3VIy4bcTczklc5547gbjfQDyrrkdJnmtO/s/yHa9s6ird3pkP3moUQr4fAar55+ysLyMI2pYmXQLXbqcTR4LoQdpEJc6Dnk8OSPmDE+nylMpO8u5ODmryIsj60u6rAzTTucZCChtM593qfH74F3Z4xljjlw=</t>
  </si>
  <si>
    <t>yQGwaiGCit1bXr4p/L7riO5hfuQ0kN894JElsaLkFvyhR/uk+Dxa4KY0VKO72sbf3sk67sVUSjPu5Pydi+Z6w4sgUyqkL5uW907GYg9F+UJxqyOAeIGk2KHLw8LPYQK9qZBHhAzils5Eee36RUxaK/E5R8xa72dk92hsAwcJvo85Yq//VTx7iBEVnVnNFPZ4YIipyIAbsyLIWejLw2UxrQLYtAeD5+mWxCiUA5glNKghyiqrKbKVXoU5JS4=</t>
  </si>
  <si>
    <t>J7YtcnIXL+lUayXRTBk99SzTt5aO9pR4nlcT0yDZwG6Uho5hw4cCO0uupHEzulNW+fjaiV3wfxs4rtd1tLNtpFjYvQ67fz2yn67jwqEcr311XaT2hjRAa3S1gKIoOf95VcMmL1hHfDOeETdFNHWMrC/+dFtqk+emhLMXT28KA7Fg82MEgxR+74BLJY+ljdxgqr9XB1/ObZWMp4ay14XPcStcYTJqbP0WDJKsaZmKXm3Y1YoKm29pQFAOcXY=</t>
  </si>
  <si>
    <t>wNWyVBkLAMB4cAlulSbIlN8FtdZLJ8L+Owu+GBtPN/YjfA1XI481+tuBgo+vFMiQiLU4EqTFE4QQ3iOeFhoAKgLlsbId9oI9jTYUkcxHBo+CcJ7ObCCaWsyo8v29u9TnmjWuys35YEtSyzbjqwFxm894yyXswy/+E/WR34DpNsTrsDRC/1BsGJzn/FfamaCAj1S8NqKidg8cvPEG/J9kpXJj0RBOXqAm9Wg7I2Y5SY7W7Js/afA9aROrbyU=</t>
  </si>
  <si>
    <t>aroYdPObXjNvXfXyD6xziwLuhFwt2cR2wpq17Boh8dQ7Ojkgzp8ykgy4gk/6ByuUN4FFmTGt2+n0USollJjPL1gHQ3IqgRy0rbVuEY8b8/3ZonQWWj34SX6rTZ1gA/Zh+OkkODcdrwb6eO/QGNITYP7hA/FNqrTWGILpIHePmtbteUMnRHlW8OiM5c2wHj1JdMLyu2e6PMy/jQfWCLty10Ay8NyL2Up0UC8dCN1OaWMATWgHCdwCUyfIr9c=</t>
  </si>
  <si>
    <t>Nx55U74K/EyrRWp6uV5CN39sRrG/LgMDkUrHt61G3RvdXC5dxIJ73olSAlcE/dRHiFBBx/oSRdQEOlkUhccu6hpBG/saP1blpWHwuHI6JKWj+y62MOFww74us1810rcIqo6MqszgfW9alXcuoRLB9YrtpE+T+Kfg/6WE47d0dGIDM94uzLpR4lxzY2VRXCmtvZ2PykLa/KoLDrrHH+yCAgsDfb4p2SVKskhKbTrC9tbLLbKWIc8kIRy9lcM=</t>
  </si>
  <si>
    <t>w0Jk6UhdTVK9r7A99+/LAmTaCIunZlvgYbJQ8yVlDStJXnVdbRfE6KTrjVKh2wbQOCA4FU/wsVS5kv7oVgSsKyQ+vHT9xExmItcbmCYdYd1DfQBnHcmu8P4pYaU6KJB97p/htnI4HWM4yb80gtopyGR8dyAs0TPuLbhyxrU8OhfvBXPG/84goClPyzz9udhSk5iuae7b0nsHWlM8mn3xFq5GsS01IMGA6CMZ01feT1+iV95Z0JXVm3kVXgc=</t>
  </si>
  <si>
    <t>ruArmTyBHsrSIgNol6go/mdI44E0AVyIrlK0bUWATCUHaDTRrWtWoKu6W38MKDJkk2Duqj2DzrZhoSkJSKLKh1Ts+8kZURzfNfb+pfeQ8YFeO36YrnrHf4jDNCf9j+5pTK6pFkGTZogjqTP0cAgEzvFfSUCR0FBpC6t4tFp4q+7833r7nhTtBI+mkt2jFw3/hxSvuo/jkBh0USidEXtM/vPOC84VrIo6iqEdup9bw6AwFH4SDJ6bXqR4Qp4=</t>
  </si>
  <si>
    <t>pLAQ1Svqp7BkFjI8hJf++9DpHkz1Hdq9JpgnYZgML08hUReD6X3e2YQTTq0XZuxxTbj7kQKaqNo9Jtj6NBlmBtdsoZbuiU5McggVuFOdO4el9+CHEMq3W95jdugN2SQez21cLE4vykD0rltCQDOz01N82N2uPGDUSnKyMrRwQPbiXHF2hpyoEyWDsiMtWfm9WgtjQomqKzOTgCK/vQmUsYcTQEGa64s0WIaYaLBIFnwQxaox/E9ucxJXMeU=</t>
  </si>
  <si>
    <t>NMQxCxxsCqiyOvfszbs5mfyJl07whhKar4ohA2qbPGVMuwjSq/dJWkOOaWVaqDYkQ4xnQOrqPLcBbwm+CSDjJIPEKNNlMxWx08YakPyhLmlNEV+FX/KkvEkxBY5LvXOM36Bqhmikj42RVCE2oPRDaK7a/gDGlEmgW9eY6EFs0GjfVXYuwtzeojSWGMpxiGbnQ5IHsiVyot0a3P8WBjNXtKPKw31YN1BbqG0OqErxI72P+pIhbWWYMdilPUY=</t>
  </si>
  <si>
    <t>pV1tH0/UpeS4sGoOeokw9A33MOR7XI/Ttdqz+ea4B832wM/3tOBpWG+LakQJ9AmRkGk7q1jMbDyzHIWcQVltlNxaKq0aRkBk4HBkgAFsztEw3Z7FdBEA13YAGDegdT9hVWnRbINOAUGloMdpoAjCoBt79uxA+wDOFHk4k5jdccILW9Lcfx6oVJN+Q+R9Q+18Wkw78t5bfk1VAcY89m3i1+R5YOmxYwFrJQ7GYHEvqfF0K8pmZjCCXhHgidQ=</t>
  </si>
  <si>
    <t>To7Tvs+UzYzU97kinKK4MMHtE4VsObVetHxXHHY2fSdHDoREl7vDpBQ4tzaMRDqtb9WX/bQ/I/R+702SRtstmy8y0Qhh7kD4cFA/5tryN+H3Lmo6HwpLz05AtTzbebtJs2E8hKvp0YBZmPXbPngTeaIdQWS3ELbX0aFx6bXfpZdtKI6s3VYgm90eLvSPm6joy0/YLqVf1FMU8ad3lT0zvuMz4/D2vq5Sm1TY1/52HMoMrT9LEgu++U1szE4=</t>
  </si>
  <si>
    <t>PhZyGHCGYlyrKAbSPpIHO14GekmYQqT3QW5VEG5mZr4vstPxNTV2ua5yXz7TKQSKSfqMM1wVf86Z3q8AzQm9niuQh7k7sOTbjdlKWDXYFkn4OdhkRMJl/1oJJdg42yoSlllBVGN/mEtdk/tvMiG5UNIXORmgiC4pmIE3aEte3m1WxszUHOeHZdoRkvxf4b2tgHtPv251n+3N4bgP+W29TwBj6ERgRx+eYd2uv9j2cjBK/rYw2XMHYKNd9SY=</t>
  </si>
  <si>
    <t>yYD0nrEBPuGRt6ASciYSTwGU27MieK5Ay0nO+C+0FoT3UY45N8NaeWNqeCGIfhJWbvBsobeCME/L9FanHF0A7nS6mTSAoQO7s+LTjUhc/+CzCiLO5B6uKISWawQyn4hgpmSMBc8PzjpVakuDcfPS+EtXpzlfZuYVlFimsUDIXOhdmRt57N08ga9rBxxSFBEadzy8jraGXAFiZOLaQgmfXqO6FQovnBEAUlcADg4vLu1PY0VUg9Y2OWIwi1U=</t>
  </si>
  <si>
    <t>hJFvH6dIfwEzjdsByZ5/G7dJYxkFn5xu9J5e3vLYADOTIC4kvEeT1YwfqFMwsNFgRWRkBSow3zHDSy1dI+6tzEd/xFsrZwTzVpKRDxvzLowNmCSwCHQnP5T9wcINCTC7ZUecVkuaPziuXB8jvqemepfQ9qfXqOXw+dZNI1LnYa47jcvL1CuuVNVlpTVVhMqbtTnguzbREC2BZ3rwnO+tkycrU1sIP9RRArNkyD4s2RuJoGj2iryzA1LiiOM=</t>
  </si>
  <si>
    <t>uiaXdrl4DbCb1/5UTzG6ngtNBYX2OOQ1FIwSbJl+3y5GDJ6SZ6jXTU7jYSWt72YUksi4LzQkUFLuUMNKwP7HmHXhYWzmc+uIuxezFPVBRoniWzR/243B+tKJGeYPoYoWi+kK+HcBVjHMTrHSK1sRFasbuRIRmyql7hLlyxvtFfjPSdTeqvzmv1PXKHUyl4JuDXcHmUiwietGaekklcCfwjv5SsAyzw7NOProxsWseDFAoZxK5XIByTJHeDs=</t>
  </si>
  <si>
    <t>WOAWnKGB6YkAP/0Xns2eE5RrXjYEgzhE1LhC+b5LcfDNryhzf4Uto6jzfdpbSP/ODVp5xsWqzcPgw3aCbrw0YEeWpoK5YdmDPOjShpIogSWUTxDZ0A+kjNlTisXtTMTpQVVNtLW9wLsMYBVX19zxKx+WAn7Y6XdSC/hETTRQBtV5eACZmAdOJTi0ys7qtGKSc5dj2IoFZ166iLCaFU8vFMHbLR3DzWVxPqAyt5dSlw9/Iasw8ubILqYHG8E=</t>
  </si>
  <si>
    <t>1ArZ12/b7hs22eoeamByzTNo2C5ENudNBQkDe1MpBew+UowzCa85+C4XeCeb3tbqOIFEvbtt00bgOpLFccrmaYUl03SAIZ0mxEKFsI6IxvyQOIBcYKrmypDaerZiwlOMX8xbqniYh/WzdAoceFcSKQpPckwxEnzha4ghygTSp1/WvI9SDaE2i7KyE44U6NUnwhWkmEBzyoa0Ix7IG2vvRRW6g7gRZKNANRfegRtpLJWLBSJS2rAGAG+3wjU=</t>
  </si>
  <si>
    <t>jrVfdpV6gCBKw9IXxrUw4RMPMjHUwbpvqaLq4tkHdUPQYzFUKgJVMXBxRkSQWkQEpqf5DwgZ/xsikIYajPi1nE89orizCXaTA20gIEs+2Ttr4jqvndr48YAr5FLGDaCmmtzLRo6frtHGzJg6eRSJuwXbLkqfmqoOMpy2QXipbHTbP0YLzumN9yr/HkCA9kTOo5NFnOOdSWI4DmQuWtvmgFpatIFnteKLwLCJs+2BeJ5nUWgibUIFlqFPLxQ=</t>
  </si>
  <si>
    <t>qLwmNt6x7wU9dMNcTXX0iPTv7iEz2l+r9Y2MKO4trzDU6NeziFXrfgtJ47ewjJKrYv40z38lrFje4qviDRHq0TgujxfrnYAMpwSBLGfLd4li92gpyG+0ZFcHdrO1NZxd40SoSIKnqlDqkkgDS7NXz4yV+3isH2xPOt5UagBfFZpruGJJYlZ2jmvVIzEC5o40cBPR357MvnWhuz2S88f3Xj4AkM1QJWuUxnagdjc1nGs9yJ+O0epj9+dWJH8=</t>
  </si>
  <si>
    <t>qyPWWEIO4l+RMg5EmWzqsLg05rTM7MCt/jUqvEVXIB+7B6cBfrx1SJOZZ97mB9mEMRoqS2SBeLJa1r3ofSI7Lfrf9mLJmZEGPCGgn0NPtYVWvdudg7yeylcHrWzcwQR9eLAmXIG3Hh+euWOti94oLejLXbvM1WcxNyeHDc5vLMa1knYZfEPPkTH7SMhQgV3ttkYqxunxYGOIQoXAlaWwXdsd8V+VRSr8mZRG2CPzAX9/4NPvFZyQEc50RRo=</t>
  </si>
  <si>
    <t>CewOh53F17aQu5fgOzeNPxrCNiU1y4UudmVAsPaP5KWEY/gnEE252jNfwHOpSK7CxO89IvvPy/nP67NSVKiLKGpfgavTwMDt1JNP1MwfVBI9PALNtOeVYgSsvvWA4cxV/CuBDqPWcWFzlmPK40ulsg3FKYWqP2TYe1Avg2ExFaWLMcQAmp9UoNxeNYiRxwiPw0NslHVUSg/jY3mot5qSM9PXIcRocEKffVjmXpKEk+dB/LJ+3NyUdm5AZIQ=</t>
  </si>
  <si>
    <t>PuLElhLRuG9DLtiokPKPfRNH3b9dwNQqvriU5qA9UkJAa6ls+s1q5NyBE1IBmldVCrVJXc32zaA58v1whr5Od2esp3tp8nHYJQhvJSVp6BodCsIdsPMySEmFzRhk+k9G3num3kWExR4+xeSn/wP/tkgUEBMkxfMuaotcvD61VTbPU2fSJOqKplKR+y78SfFPaT4xKRfJzvl22wsHqMe4iaJ0jmRonimV0kATwLIalT6pPB/O5AI0oenkDuI=</t>
  </si>
  <si>
    <t>wXKA67XQnMo1GScCQ2EOdgnRKFnASGivMWvaklsBm8gXdvac2/zW+i4n7omDT3YxC1WWFzgyz/P0b5AvcmKvMbWrwtiqojNNPh1PR9CZuhPfN87NDFQxWXHdoJwJAgRVTte0NVIWq0U9XI0Dv0HVhvnFrbKobXcfuezHvgG23nU3sBU0A6DVkFwFLq5ht+nGApRKEN+8uRPmGryX6zxyRfBMFXvF+YUyWTcmjDSnf/SrZqRaIPPDJdtVwrw=</t>
  </si>
  <si>
    <t>u6+Krjpa984a7rXrxxd43TJSK2rTLkNz6KUd9XjvOokChVqPGH4CTQg2v8bGoHytxHYexZn6anpX7Dxz7LdpxeM4Qk4tYu6+1tq6qtMr7XLld2DKQ6Gev3gOuL6tJ5L5ts+od22BSpUuQ+Blkag2f1KeNqTHXbn/8ztqZA2XLYXPa0B8nRm4N97mBmWuDBttyd25SvWZEtPiO44uYs8zqfSDoWAU/JFDi2Y5X6Mk4CQyFD6pedEnCd/KAa0=</t>
  </si>
  <si>
    <t>0Lz7lH6ZVZFLmQxHHmlYP0wANEMTXKNFxfxf9b2G8qA0dDkyVVa0ifHvsUX5rZcQYbZOO2RG5coWQv2UpU8W/+nYx5WJsPXnFkgdI9SGcasCEeBq0B38lGt5KzrTnsfRH6MGY5gSBr7vV3qd2oJFlaFCRg8L9CMv5PR4KpNKdGjDFVJGoLUyfEg+w8h7LOt58q2qNz0oF+UNaYhDMezlCTj3jBTlyyof6OUSF8iHPmfzv8bpAKGxKUedBpg=</t>
  </si>
  <si>
    <t>Ilg4oIRW/wQaORJWhvX0uWGM5njI3AVEMOe/tlnKNqV01EmbkWhZmDXolfCHo5MU5PJv0jkDqIalccvh9PCnsu4PurGjWVd4aqx2rSc3EQ+Lj3zud48DyWsVEq6qWaVhLd7TEzl2OyY3gPfaCJahJE3mnR1uqBMs/m5cpM94UdR3BMlH3p9LGGh8qFVpbM6EFqSiwdUiKkt93sOr1OVL6O8K2c53/oCi6uboO69TfaMvI+wNatdV9jESevU=</t>
  </si>
  <si>
    <t>bOil2mSRDN+xZHH+0XBmKbJuZ3whsDjM+f3mGFOt7cfjjExSLArGuv5DRgkQG6M57/zsbaJ8pj2rzMMkmMTnTAj25y53CQdyI1T41mYxdrERR+V5WfzPb+qe8zqWt7WEliGxDJUyqt9OnXkVlk7pXNw8vdlQ+8Wl1XiofJipyv4+OSi/6DD9EBoDjFzxQaRP1L6OkxXSzQp2IOV+Rffr2efvOrmqeuaiGWYgrONlnmR+VcQHNXwbu6IlELA=</t>
  </si>
  <si>
    <t>pH27aSWvIr5MapKM0TEeYlbDCeWhnipSMG+ppGi54aDKtDF3YkIAOGb+rX5hpVZKSSNraGIlr9dmTj4x4acW5W5s12qknU6wkuScFD35fhwjXEtneLOTvmJzZjcINef2TGDUiI1QcMWNJm3ZBMVjzKBKwzg6ISL6Jybrfw7HziR3x9YWIoGYVnJFCnQApD+BrGoPrjyKgASTW1deeoA9UEaCp2zU8WY6S7+Lb/HcZjiYWcRqBcq7geoW0qU=</t>
  </si>
  <si>
    <t>IFSPZ7F8bEjN/wkinq2ce+wkxL7+UiP/XwY+YanSrFIwoQL4gicqFs+pE7Hcdz6zcDOs2ezEDGQWaBEOXNbY64vsUe0HkmljFii2KS2sh8/qRiYd2e1Vv6HSCFOUTCVaEZ5NkSrWpcvLgvAtbo/oY1UjXcpn20g5XH/H/r2Vc1guC3yBzlnc53pb+EzSdJFoxnRnGPthHKnV5Coo1NhZjdn+dnziW6wFEAhGCi+heMiotcqv6bMLQ2DiTxg=</t>
  </si>
  <si>
    <t>hvRi38CuiS0FwZYNk1+YXGoy8YPXpjQ8APVguCWo4H13p3yp8Fo4F17gwNkoAShqmy/kn/xKku+6zsuLElYEb9ac9TdrfKL/2k/49dWWAjMLim7xL3WvJESd3351fx/GRPooiMRo1NMf8ibFYTEH/1HlDqTALdO3wEZueEqq1KiNkq+l7LcK3QcGXQr8rY2yycR78MFgy2Q4gyX2FetpvIHHYlAnOXpGn+sxpfvEinSIWHqO02MWd4bjwhU=</t>
  </si>
  <si>
    <t>/v4hUZTox59FdVLgEBQr9fCGuBptMoMNZUsJv3pN4qDs56VX29RYSEFVzR8GVW45dz7ad33skempCTC/Vw5ZMK4/2h1M4dLJXeZeyxVJ4a6oo0D1/j/I+qANABl9fOsa7fk+BhFnZ4NdK4oRM7ZQUueJvGjgdRgzQMoI47/UItnj8+S/wyn/T0jf8vLp5WwXKDeC0KNeTyoaiAJolXHJJV4MywvNaOGDbT2OFyJpO+3rhYZHDB8Df/1GmoA=</t>
  </si>
  <si>
    <t>JVGqhr4ajk+5+0v9faO806B2WqMIQhq1Qf6iSBjvozW4l24rCPUG49AjdSUqA3myIcK5VgMsqPDoD3ORh14iK8q4pnaiEJzD4aUrUlQnFr6rHFccSIiXQ+U+eFrttXIHHkDk5v106AhmXjQOMTlcjIvwirsYkzN/wz0R0uJHc2cfytfGs3Hro3UxBXYcT7oQ10tBMh3a62S98DXUWqzKdYvpI3YNlLzom29xF5ylLkmrV84ykyI8jPYnflQ=</t>
  </si>
  <si>
    <t>agQoAShCBBdeZItcCaHvPP6P/mD8ctc9Yx3FHf7aLzdRBXGs00jy2X56KjxYuTlYt0Cr0lZk1zmfa6rEM+yEZ/0iOqbqRF8MsSdj7td5p9jUram8WR8KYpubb/DVR6c1kyxAJXNRCrUIaT1foXKAn4HoFARL2LttBz5mOF+W1XC6N+f3307FxKD5t7jqkwmDcSGucahWQ0GnfpG5rHPT6G+sNqtFxQUuLAt6m/XVDHJTxQMjkvLJ7pYgTvo=</t>
  </si>
  <si>
    <t>h/CVXgQwaSoWoH+Im7edWjruhY3S5G80oVTFsJ1PC/CsYKRF2UvUK7TafOQ6XME05KMivNEEIGH7uFmzZO2kVGBuuldC3jVmr4oqtuxbHaFosjmSGUHh2MRAxsjqcCryK8BdpqMCMKVyeGHf5JxslCwWMXRos/HV5PK8ZE0YwkgvNTSKPijBk1LdyCnxGbFcwwluE6reTIZHEeD3keklV9K5RTrytKlWL2TsWynlT1iFNf6aUx4xkokWr+Q=</t>
  </si>
  <si>
    <t>FnwhiKjk/kPNDvpfvOd8a2P2kOb2dNE4/hz33I3/iaN3/R2wJk/i3mk543vXd18D2aoR7919l9TFQU27c96Ta6MMeNySsFiioHv3jL8yZULCAgdurIqd1BgDib3eL50+0nhtc4vGvOgO1K0CjJ8a8i+FCpKW3w5FP9R0/rYFTfYfLS22M0eHV/px/JQE4/PVm6DVIgio2rE019kG+ZDvQVM4tXUCQfqiRwthY0tGaiQkgdRf9Q5AuLFKmqw=</t>
  </si>
  <si>
    <t>dMN7fJPslxbGVlF+EYDEm2CFy2HZCs7TbE2U3SKXL9IKqRqrtTlKUV4xA9Kxvi+q2tGqjvsUq5EEnTu53AXW2G9XFtAxW+ikoE0pmmqlO20egL5wJHuJWEqk0AOleZ/yJ4b7itaLxQqiYFFHu3UUV5dEo54kBfE2p5hZyyVSIQRwil2DUPrBBdtAkQtJep+ewrjlF7T3QhVrMEmc4T5oJ6t+qlmJfpZHCsPoScIT72GwPEEnJTgDy3Jp0do=</t>
  </si>
  <si>
    <t>w+kdSyMQA8kGGYf17gwNcV9KPLF6owVCDnDBs2ldZ5hRqEfE+9EW9hKqgJVBBFt2u0JHIttZg0Kl2ht/3+l6sH9aoFrp3IGBXKQ/hqdriFPg2rV9C8vDS+wEDNw6NhnWfZnXXdgW53X4VoiKIKYsyxTv1g+jHUgCiebbHvxWiS8Y85kWDOw675QvThacuekfuBLNfjEd06g9KBi1f8BhUSGoGADE7HBabSNhuuTpmcmFo27wpI3vkqMuMXA=</t>
  </si>
  <si>
    <t>8+OflKsGI/fWa8ywckIpU9nhm8BoHbk0rEFG8KU5OeSAG+AjLbIiy21lDuHIPsYz7gRdLkD5qgC2qJPjmmHi3Z9kXM2dFjyTMbHGgAHvg2KjaIfGRKeULf7KLrmXaZJYCwo8v+3/uJsPrR5coRKwhjuTOq70RpT9zwkLWCTQHPr0JREKaHY3zOm9hpg2DznScPBOeoLKGCThTCXSLNx9wKkqdBdgVEM7CxvrGCHwXlptkKiPhkm+f4B2GJ0=</t>
  </si>
  <si>
    <t>L2wG3wTU6+8dtPe+J50SxwaPILcfP3QJPBqdPQPHjws7AYr6WlskQQnN1mq/eZhCKHXyRMx49xkwuyWvTlYUnWoXIrTvjzEhQHIl8/XWYARYD6A32XmSClZqrvrm9l8EPMyBHBVUjQl+GuI7aoidNmo1Q7033+D0umPc8IyVjdANV9Go3RFjf9jnUpNY7xM1UeZj9nETsrLqlvnSytdwTFyZxFigVpQdfB5tXcjpXXj2GRoD78HeVPbmgpQ=</t>
  </si>
  <si>
    <t>ZtGZUi8zpfkCwgnvX+tgE3F8RqGnOPHAdNdQaMGD3nj+oFnCzQK2Rv2bQgFOTCFx3OWUOjeGi9oHN471ulUCOcV0Q/+CumRg52mHYnZ9nAlTZ9D+U0nFgj2DL4DMoqV5nr/fXCsZI72wS1gmsVrNlaPl4WxLZUgeMYjE6+f6SEQiXwSeg+iLaqI1JjjNQDRVr4pdvBzqji/2YKfNYlMVhee1+4FHtW074XjyFjCxtH5aYvydZElKyY5PrmI=</t>
  </si>
  <si>
    <t>6NNwtlaaT6qfD3Qb9wASZ1ntaqCHtW0Q2UoUgC0Y1cARqko+Gqpnd0S/ecb8epbyeVeFR5l+8InLg8jUaJEDUy842fWAdCeCQxnILeUozwwgoVYvjpz8plXw4lGpNSWmNVW6KxGpidperoI31ifQqjfPXFcKGPy5ooVSWfPhZSH4hZr7f+pKhrov0nLT+DVrsXXvuo1bVYz3MA9b+lhNE+ZCqLOfee7kQ1Iw0DJj50pzC5nQqzSVoDraA20=</t>
  </si>
  <si>
    <t>gTY3q5soY4q1TE/8Jz0OhNS0XyYJhVE+flbk72wB30qT99h10N1S4ON6l7IMsEfkVfolsvJpc3v5hsYxr+fQQFoocER9u2orNSjyFfNGkQ6tZYdWPSR2a5fV51R80FvNmaRtNEZiF3EJJKjJiLRA9QcdxZTN6qYkeTFoIazQlsFKwwRp+uq9sMHSry8FeiXHqrng1IKw/pkaShdU89n/t6TsPJo9b2pvF2DN5uRO25VfYXyqOOQuh+EZGaI=</t>
  </si>
  <si>
    <t>dS3mor53eVJ4J4dko8byDqPdKeBpfbo8QFjZAbU0XOeR9sW9zv0cBMcEPjSjs6ZHN15TcjWAdY3dBggtcc2XOet4EkWIOwpSr7+HeelYnlu6bcrqGN8qR+goNaX2ArLRgRMSjk/8xOD15/I9s41Hgq4OHpe4ygZ2EG0O9tCy4OgB+EEdTsV3ot4cmcHTXmFc3btOhp4XN7fqoURxQHghJ60I1tAyWwqLXMLgSFIabZPA0M2cGtukgyauOTo=</t>
  </si>
  <si>
    <t>zD0lacyum+q/1Zo4QgpQ9F0c6Vdwr9gEQShYv5lnA2TTB8BDRESrOzf923DCgLtUd09KfgM/37sQY3QRLr5YrnRKeSisFvnxsmEmaHthaL9VY67F+c4upWj6PqsMJHEvKyhXc0EIEwbDVde5jy0x9Bux9+Jpty6azP+37vl+8B6vFmuG2CrX6mctuKNQZmSOmK1TEItEK+YVmEOdFsh1Wwc8A1IpMWzn8CLvOAtBHBNMyPStnYDQHOsjeNs=</t>
  </si>
  <si>
    <t>3NZmAh2Ta926voNiD1WRgMDaLHpn1Jzms6U1OQIKasEpwtyHQHlvmhNwS0vE1PwNpcenV4LCRCrDAHO1rvE2RO7hWkKpm6w9lB6vJg71Mzi8RI5J90vjmBpWRfqumGrXYYOfEeXXbjvQdTI5k1gYnTLfmPmunPlL/6DuYtcr3HSF7skcdup46g1/VQVjBMtx1frOYyJ1ygO8Vx2vMubvgQ9LOaNZ+t86x97pLtNydQAip0qd1UEY7qC+dHA=</t>
  </si>
  <si>
    <t>qRii6IKwMNzp5kkN2bGujJxIgHZ2qI2QfnC2ECS/GUM0VPZtUk0Xd4p1KOUzmXXE5PZflpxoWfpFQQk3o5NZulviyXbkCjAdPyxXV3qowOYe43uOH2eyOfWZFiGdVtONRCg4o6L95g42twj2VSem+wv9Zc0pQ3/KyDkhyl/+3R7mt7bPA/cSfCTxsO1xgrv9Hrzy54vlral/XBczuMRYYtNx5p7wRHU7ngonOyXqXuuG7CMQJC1J72m9tf8=</t>
  </si>
  <si>
    <t>o3sZqD1L1uA5qTTqDMke0zRI5x6/vFnB+aayBjGwaLgGLd/NfhZwdc9JE9rW3NC4r1AXuLNsQV4sA3lAHJtZJbRXaT8pPYLSH0kQsAiUDbnbM/M+BC4Bti8onzEXr4SpJkaTvH0f/RYX5nzRAhopKVA0YoCdbDeHJT+B8CNirsALli1qTG6VhxiR9+kBPEO4CR9J4xMDp8BZPjEEirqw3MldzF6iwI5FWCraPrtv2+m1CoDvOO7ZqbZgLEU=</t>
  </si>
  <si>
    <t>zKaPW2FIIAmoCpXoQXVEYKHjBWkZZ0d4TMVDmvoM/vuzDPzAB+qB0/pcG4hrLaWDh5nhALbwqG9R4RFGFoMmC6kAu6podXwa0g7SZPotTPcYfeR8n6GqnowIp3sn93z7Z8SJY6gtxPSaRaFIPSpgmaWFqDx1hvnyQrFb8aaqQ7ufftk0rIi0kImE/OGYwhd1adEgsUcecL87eaeQzxZJk3uZyyWG/4r3VqQ2JGG+tISc9hxfv9M5Lz4wppw=</t>
  </si>
  <si>
    <t>om9HP9eSUaJWZ5Ce/qgXec6ELSh65UIvm6F1+gGDKtDNzmuKEIOiZY1mOGFXAzrMUCGVSmuqO9CRykygVP0h9VF6bEJcgnYzOfjOcld0dKKNkX918xaBh4fFILFT0Zwgc/QL/0swGaDZXMWN+xs560Czp7pjq6eCCStPYXiqzu5AUluQ4np7m/88FF/1ItDUjZDHzuhE2vkfKDNbeamyqH/rPOQOvbNzDV6Lijqp07yW9DU9I2LAk7VdYvU=</t>
  </si>
  <si>
    <t>uwBYsK2/dxukW58q+SB0JwGv+J0PRgNBeMP2Jup4/VHhM/7SO2dAs54j6CE5NSdy/ImXOzT/y0ObIxyPAM+4CbfulpgsoVdqOadzVhfMDHuOIDvECl02UZgR2aHwYTa2jJSDUffECZqrHBxez/+PFi+KyVqoFaIZgyTff59r8IF+1aptC/fUvMoIU+OLI24PtekWARu818XEaJSOYlOq+bfr9koVKrZ7poU0TlgeYLOi04mefBKhqb3Bztw=</t>
  </si>
  <si>
    <t>8jH+3WrpTEyAT6jDta4bVYlwowT+jMsbzwx8ypRVeBXIdM9BfUCmi+Bgxo1oe4Lg0Mi3Vpznh+HsdxFrPoVNTobgw9QFq5PrBWKoXtHDMXqMVo+WOW1j2gt/rISLVTiQkGlaWvvb9TwxokEce2GiLH8p28f41WqejUvwicrbioYwGPIQi+X6aODtMJrYrGR1nXeE5TAfqsLgAHm/k/Kcbmr3H4ZKxaSfZ1lMj6MFEDymskH9LNK9iiaVg5Y=</t>
  </si>
  <si>
    <t>9uC6pc7XyLZxJxX3LtLJDNallZEpGLK0wGV2ltJFK9ioWmrFRjDPxWuqvQXMPzBQvHNTuqwacMqm9kUCsKFu6Nb7++HpfPp5RTtHGPeSprZIV8JYaBoQsx74TBigXZfZ4/3wFrnaupoVkzzARHyzFl9XTaao/bJu49a7guCKcv7bHKH89FqrLduoUzY11iLikCjVoCu/+mPOblS+B2MGSFnGSN6JflZbBhAdlRRwQOlg0Xa+CqV5zTtrjSQ=</t>
  </si>
  <si>
    <t>cATFoK1/V2k8yHVeBNrafoKD0bIH+UGekuPrLR6PIOMVw+8SakAv8CWtTvgkzouJHn7j6TkzOc7LEsjtwOqh/fqlgwf+Wn4ml9iJepdAD3kcw5C1ldc6zR3Q7Ng1wqRlewUFO4ZFMv/wBl00AU3pU/flyhijwVlzXk0CTsTmCynk48WalqcrveBDHd40oWjSiTCDwZ7tKmNeMWx2oF8+Ai/JwbQf8FG1RO09xgzIW/86Zc0ItRD4N/tq2CQ=</t>
  </si>
  <si>
    <t>VIiPmhClKLTIrZnszSbMVKF4PUl3Ac+wXmvPWYDH8/+Dj3GpQYaARjccTXvJPbsTt8EX+dLRhT33AdeX7qUkIh7RSSsy6NhJIX9936uWJUapz9QXYomE09Xu2AJCZBA0x+6Ckj3LZt4Iow4ifOKrEKQTyZ821NUDb6ifpw0CF0lPjguFmSn7UeK9JEAC9aU1CELRVDWdRk9xFrv0/4N/W9eugT3IIk/LnqLvqXyMFupNNJGFY37Ver0h3vk=</t>
  </si>
  <si>
    <t>hCZiPsDnk2kZbsLC+hCG8tp3UMXxxkPMuNxfisnAb5oqA7RfRMnUu5h9y2rLcJNMy9M4UMqnI/5avDHahgCSRDJlivTHqf6KUQ27A226fKXLdmBi1IPCAHEk+4pT83+zvqr2NpxabDKjh+vKetadPEEQi6N3UsKIrML5ECYer0ZsgKdtvtd1eG+fRZe666pA/hB0x04K5dxTKDw1wNc/7Dlf071NT0YzVIAgfB51XOxpkrwH/3E9SyVHAPI=</t>
  </si>
  <si>
    <t>1rUL97tEwEM/hb/OdVTv0lU+I5icr1+w9mlSsFApzk149dqBXyI+gysR7rvdw/19C6Zrcsk8/J8LhI3/+EEOc5mEJEEP+z8dAUyPu6UrGSN9QCd/V7DJTjapevau8UYXab2ENRj2uMtyOPLBCZdLaLsXm6hLG6Uej7g+XCYJLfI8HDPu02anzp8m74ljHt6AiuyiCxQ+vtFmYP/vguStp8C077FnWP5FY1yGjUmcvtHhp0eC5Oovme2iufk=</t>
  </si>
  <si>
    <t>HKHn5Kqht3+iJsTofhyozjZviL9H6HfR8kuGNNKnahtTTYB4ktirHtIlyqwK0cv84wUM9hmT2jtY1ZnVlJE4rUCR8GrfxKcVdenYbkHMQL0UYHpKBBrtxQdjUxFn72dli/N7DSzaG+iKUo5ye0l0wY1mgruZ7jLMQuKx7tkHF2EETvCWkw10GRfgjyq2okZ8ChOC7EWCCdzACHZBGF/zoHVl/xjj/DOCuZak7WtuApC7gHd3It8xJ5PP4js=</t>
  </si>
  <si>
    <t>lsLySRrG1zTzrv8K94gwVxWgxGUWcOuR2FaApXiO3XNi9bO+2a8w1yaSNR2LcxbvxmZ8BclORzF6gAQiMd3EJy7I5q+8bM+szpLLYVlNLOC0CQCRk83fZs/YCjnSEVniOKhMHXdQiQFXVVxRmNAI51bLl+daaEBxcKXn9MkikWKNt+q77XGxjTjYg9K3SAqQIe7zZmmKGgU8FO32TKzu08pRzNAGE6jrKJ512KkUQEcR3K6aODMpc6Ai+DY=</t>
  </si>
  <si>
    <t>LoUcPOHWraJz9LLzdctPf67e2RfHqbV2KrqMxxJa+YzCS238/8KCegwKCoF4SOvOpjkHnGidsGuGpNHoO5yOOM1cNEeaBn19e3H448pApQtHMS52L4Vd18R9nWGH1q53tE4hCK8RCNWk37eW1SuXKwjMqDhk6/kXUmynHw2azAgTr3Kznwk0jaIhMl+y0VHz12qGc2ZDjHA+j3sJfzP99neCfiDH11B0FN3VTayWD+u9PqglgSnw8oCQ/OM=</t>
  </si>
  <si>
    <t>B/2cikprsPCpNFHqQxXwT3pSnmlo5HAZN3bGm6j5lvjgG/n2Kmi0nG+0lYrW+9IB0si938b2JZlGvbo7qBKX+7RutBlrgif5U0TNG/v8nhWvr/uGUDy/2peQNBl6dIcMpO7VtapdLZFy4UTTIpfI2jwygEj0aIPYl7B2GvudrV0hrGV9jKP6KgYobjaNXBPLlUckTltjBeJtYBLXqz9itN22QsY/SeiaJKohw/l8qpZ8TT9+P30N/aIWf2M=</t>
  </si>
  <si>
    <t>KCjGE3k+aAGNYTBz7WtkzAhi3b0UfrqhsmdFGYZxsewDFzl0LndWr0koZusfIctzv1+TwyOssM1urPaYbqLRQRjf6AqRLR3XOdZq1r5khzsXj29m2vhwsEQ8z40jSFugwpWTbHeAaR3kzhCg8fdz1sc/tUbGpaBJKKt3DvoaTfg8e44Anprc123435Ei6FPKDvtl+Vj0KezjkHU4dpytjTWZk/F333Znacd9Z5dio6am56bRtShzry3KpQk=</t>
  </si>
  <si>
    <t>9YBH3YMGQpIoA390+9fu8gKA46umzoojbsbzo6O7XS7P5IWU9ONl7TcQmIm9va69ZWrgrAwAfwL6Mmuw2QLP3hZCL7qZmmEkxxeCfA/neiys8JelsTlICukLrW5GwHUF66bybGi/g4QrmiXkIYrHjjQlH26PRKU45bJ0HyPYtj8JxPVcECZ40n4sUTPwyIHa4cR4CtipNEF5qsW8Pr0wf+KnRYFys/pX31VsVp5HpNxrRIqjMB2Iz62Qry4=</t>
  </si>
  <si>
    <t>QR6Bn87/0b71WwUW3YA7wF98xdqmHd/K3tKB4EW853xbxFzN9na2Nb3V0QwAZdim5uM6iXz4VpUUQjijqgu+HMUQCS2pSGkmE4/Y5cQ64WOPJRMQQVwQtf8ylxP+bNP8CEdIz+Cvc/8HWFZTZiGNBJ9I9yD5FW5+XNRLxhA+DfKXQ/nrZkJ3zi/ZfD+2lK5vwa9/lzKhSWKNsGHtNQPePmy0dBW0ARjLhEQbFXl+sVDUBZ/30QPZm15I1C4=</t>
  </si>
  <si>
    <t>sz/8aIdzoxRfDsuKC3LYUTg8femKuF5tLsnDe3i+9wncGqTQYQO/asfS7h6yCEZVe8+jEc5OU3U1ctrQemIFWFKPWeWvC3/gDPPfbKcgC9A8q9rQRbvoUi2yYl6fhLqLWEcEzEnXB1Z5CrAZcimo6+SfWRJHFvL+mWhmoDtJk5sI7pyub8xZ5E3aG2bK3kTLbLAAyREZUk/dDIIUwgdtskmJyhfL5qM+DLWFk/6mhZGYaPl6VMGKFpOm/5s=</t>
  </si>
  <si>
    <t>S2+CXy+TQkZy0rGXnfEKnyNnEzamjiGVCxBZvJTOY+dMeiKZlAhrehOdyEnf+D137CFr5xX66UvCfEVlovsjUwGEmjomTl6SxHScJJxkj00ZjHNNsyslQyL31+d7TeMTLfArZZFVVAUjZEMmpEDkPoIBz1mOO2v6WoGARy6VW9e8k7iRfWiPbWZSJXq+FK1vQy9pJ9qcynR7qxxmnRvMYh79RyOt6ipI4Vvc4vMNQhtrfUDof0zokU/R3j0=</t>
  </si>
  <si>
    <t>I+CqkDpuP9ogXoh8THDhzztHJSr5llTGFo93yiIVX+p0Abc8nrVUH5SwRfKSvumwP/RDH/m0rieRSZn0QXsELqjUL/ksCRTmgi4yRCggZEHD+Algkj6JO6I8tjYV3z/FSrgTDEucXpKVbhf5LDcQfyTPNlk3kslUFaqft31xf76o+dLy6LamkFlHnusW8g+wBKNG911chXIBUk8WVvXTV7j0eG5Hn8V5mQ3HwV3oyPMBeCgikqvmz67bcfQ=</t>
  </si>
  <si>
    <t>se9ng6oFucB4tVKHBJ7vdIoHJG5zlMfyTkVm/qe8kGPdc4Wz4Iv1GNzih+xGHPE3euW1Ye70wo9wSmfa0JJQ1Q87zfW2yNdmOFJqvXMrnIUnBaclx2YRrqNikJGbuU5GOSom0p7nXLx53VcuZpFC04GfV3zeSxZIPVbMbTH7CGImyPvns35Gz3zJIgRhswn1iVjLrzMXYCkqTX8SakRjuRnUCJpH0gX7jfbEq+bxZ3+sbcSnZajLG4APHYw=</t>
  </si>
  <si>
    <t>4kSUe3DZ3yBBfke8aza8m5ZxJkm5rzp25gV65GNk42jRw8DVuw1CMvvd3F98DVTHKJ6nLNOKn01FsGnet32Jcz55wNZTzDbbnRcMK6aqGrcLSFU16QFOisYpu/2D+yWISp60o/p/KottaAVg0xL5ywDOOGAMwUiCvBLBPjHaPGQKmUPxvE/r0SoWMuZwQkzj1GqVAz1joS9I+n9tGbUw6mFrmvwFLCgZ+clzgGQ9SOQhX+EiHl+koUnURZI=</t>
  </si>
  <si>
    <t>K9vbRMLetWsjVZOJEeQYUoAMW5a6X3X9HqS9SB33G7cUe6KRdohWickbz27kyWAMPdmJxd2rk6zahxXKItH4pZBDYRNZLtew39pIIW7lcNj6K6ooPlV2lGDbt2PuC+aQ2MdOkE47bshI6iTYSl95UtYw5I9dz0i8xnmva284CPe2bWLSIrPEwZOqgFHN/fSquSkh2rH+koLjfIrvQ3L/KwahviE/q1jhd9cDIFccff2bzaaYVhqyXoQmMgw=</t>
  </si>
  <si>
    <t>524IAUVzoPcgYimlyMOr3IfcAc4CU0kZN7INPOJ4IoPiQoqX7EYHevrTnVwVUAuwZKjPm8f/V4M1hJVAXh0EzSS90Vk0yhYGmo4c5rl+UiWKJFJo/8kScxJIOqPOY8zbdACE2Rsp3ixnEKAf+FGKZe2pNUTiyqawM3KxUQlmQRVGyRL1vR0+pjGBsg47lztqJ5dDKc4RJIMdTMgATm4HeTUZzg1CNmAPjdOpd2VAULMTkrkZ7FYGMe6nc6I=</t>
  </si>
  <si>
    <t>FxQ4w5x8zC+0JyhMs3O6BO9L9FEFSybFhw2N10ljOjpreJio0giy9hRSd5E5sFCCgtIBfDnzky0BbmVcigv2Ew6EytneAdptGp8z0tOjIzbxRQb3mjx1BOKOL6b3VvwlvnX3ziOKzdjikTls8ZfhbYp8vJX9X8NIVT6ryfyt0KtFq0E2W9oAEsaNjs7gZQI68IMb81Q3yepA+JCwyRgQ9MjQR5KdiRuHE+JWSzSvPLLm3mte/KypX/nWOJQ=</t>
  </si>
  <si>
    <t>Vlen6lI1YFpMnTo84A1yfOr93+5DWPYz8IkhIKbAHhgchTd4CN8N5CmNeGzJvn87u9wITQDsfSc4RJJ0x3ff3DkIXIs9PoiEJeU0BPg/VFK+jmfshiEkJvvZkm3P0x0RelGSgLPm/Qx8xV1SF5lh+w2RyD1j+BrX9HC+TGazc9iCbiScFaIl27TNR79XPdRiyrCEVynZeQBtzPKElHVmjL0XVq5SOFhNYKYh8E6Sf5cN6bMGRynYUQ36hu8=</t>
  </si>
  <si>
    <t>JmTcY6GIc2ObidOd1/B9AgF6vOZxDCsefIGNqqa8yPX5eB1MfgPiCtPRBxFKAk0XM1ABxkE+XgzbHNGvaInKu5UtDUC4v3kdqhi2opTciz0uO6+ar2elSY1hnO1gDeM+tPU4x0zMGURiDV8WPplW0P46gTww09RnQRXzOry+sd6k7JT8ttX680Pcs0q8CQHHgdBpgL2UTlg5JQfr5hiDAe3Q9HjuNCXBz3EMDVFpD2XABVsQXZXUtg1qT8Q=</t>
  </si>
  <si>
    <t>GkS1lm2qpYElUcQIB/B/PamVIVjZYes0wnyxHOZHE313oXOkyu8v7zCPUPIlte8XpjwKLs60q3rRdWTMqDaQNGb006avOLVtFmztVJH3QAgRVazhNZKQuSnXbI2CgWXj3djCVpjLAZnBrkQbuWbSZcKp8YOJuNHZMLFhQVhw4PQ2Cz/mpmvUucV6LSJSxvBdhqFXK9F5RbDUgGUnf3Xd7lEiJoWFNnIjxYxhsuyhdR03mdzvAH4+QcFdrtI=</t>
  </si>
  <si>
    <t>7CeNrm8tm3cJUfK7D3yXHfmFerltdyyEU8mbAZ5tA9NM9MxG8ucukGDQwEnhqcILXIJ0cvV2E4d/m3m4mURFpMM3olBubXT6KBUXRUvgqs098ztcr7/obvBfgEmVjWk7fjYyn1uzHyUTV4DdPDl0vsQv2rcl0rWkfWNgC5l/VV7t1/99LrTL4CAM/DofALLvt4QqMHUMwg2yEUrALjilk/a3tmudarsjdjoMoG1b3l2kJy1blo/2dgRJqLQ=</t>
  </si>
  <si>
    <t>VZzZ7GRtXgUUu8Wv6ETJoHySVXPc3gfyr+V+eHFoLf+EvUtJ6BVJD46riyqZ5FTBsTYN0PP4+ob8TtdjOHdh5cCtfui231zq8kjCfOBcuunr0EhdFDJ8Ke+GkclAQ/TZfEQwHEGWsEeZsx5XXcH/e9ZPkx26N3mjyt7FAy7FZYvHYeLYMGDYxyBPvgR8rCH2oIZ8lIMmMjNTJ0NFBJ5P7qkpOW3RUB1RwruE+hzrl7rcSGqTG7wA8LUHmnc=</t>
  </si>
  <si>
    <t>ZlTdRY/yKSv52zxEEmcHRC9N84VJXRQw22Hu4FlupwVfgjebnwcjga7lulrcLmP50n4zMo4/SSykxEuhySCxpzj39wkmUSsBQOmsHES1rY7KVV4tqdZ1LrCjkepIH2u10iadBLNHlT6K++JsS+apbjCWywUyTrk43RGEwuv+s85SaqADS0PZnhSiUAN194onGlJ6slEZZB0Vdko1ea7IqWrMxRgsiUn0qdZzPWn9AB9+EdA+AFyxehVsfC8=</t>
  </si>
  <si>
    <t>YqEDQAAuWVY5OMh7Sfmiw7v2edUPRLOXxL2evDERs/AdF46D/O4lwrOzOhaMaX9x9f9HDy0nIJ7HFMG2XvsfCyNHYTKcDP6zlkqNjmc+fGyxx7PFmFISUBFn4C5MttnDj5wiXGTf09g9A5kzAzNpJDjHiBDc728RWmBsh/UI8lTXr91f9Gnfe4qlLp0TB7qOdVMSuIxpFyt3TrxNgO+/QEIPEBNlKWHmmMIgfkaq+u8X8FNw3gyI57hsQOA=</t>
  </si>
  <si>
    <t>4I4Zh04QgsHYKaTg+E/MIZABozZlPvDnN8ZpSwsg+kZHtQxH8p/t4qOzick38FgZnu7EF8FEWCkTYjB0dvIm4pli0GR3gxd4teOUjZQWkYoXiGUwRq36y4hGfL4NdthwSx7mNzBDe9jsUqgKkoyUx/T063ZSXEg3TmE/VHsWIzZYFrZS55muCVm9Wrw2LJ3EGIUon8I5PlRZ7B3GfUKGcC7cD2gwGPjetK8tHRZj6vlusron3/biF0Hezyg=</t>
  </si>
  <si>
    <t>0YWUIt/T2xgm5GMU2npjqYbY2hB1/Aub7a3Dj8n9RpP3HJ1tpvBRRkXjDy+YwueE+mTTjBOdICQtrbElwI7LnboIBRYmTjzOSEpx6x6xWazmjuKTHJiYFDP/04REMfYWG8hfKS4dKfPeBUFHczEVGMw3URjliF/RAziY0b1UGj2UhtL3xX32NZO83MDSJLazn2GGNORn/KFLIojXXzD0YcsyM6oUCxWiI8ZOIG+pgkg7pKq859YqK5tKvI8=</t>
  </si>
  <si>
    <t>jec51V7h6h3JcXt1x+ixcQyIMSNSH1xpzxyDASZKZZSvPG8oWzpnr9HlZ5eLGNFBqxq+rfwA55e3w2tTEfP2lxGrv+SxeqU8DsFi2VZGNH2wJLNLEZ9E1rKoRv36bE9dgebgwYi93g9o52pPNNOLVSoZUz7bPFgfLHn4fDGeU4fHFCl/PUGXORLcRxMttnKuCkr6btTyrlbWzItpcd8VHyN0PL445HmoxWwjM6xxBohFcpZDogZV6H4WTgo=</t>
  </si>
  <si>
    <t>PJOPEU4QEmAlEzKerSQsyq09WRNy1FHZGsd/Blg+r6gXjrC1geI/OuFzNnSUd6HKrqcJBEo+UwzqULiklyX/7CGzwbB05kidjHCZQwtwI7JWSrJvqyZR3KMN24AnPItXR6bU41lZARqnzKgshoqwXlpMmWJHD4et34hS57K7PwZoSAsTaB+3Ln4xrfWpU2y8MYKjZYiRHrjorAfBi/ztORNoeY0nPCHxBjQWY/9PiVxtTqfUbvu/GRxT278=</t>
  </si>
  <si>
    <t>g8sHpE0TzYiPSrbAdEeoIilGM8drth43bzTsn0vXjgEh7OZaB/eMDZFvvgFsb0AZ0dwy0Wic3uK9wjqhN1o/XF40SxtP8uEUKANc1Lj/V3A0JzSHTeowLsS8dqKuHDvAhDYIecNu+hvrRgrLZA1X3cFbqhM/jugCxf4Y7ah6En4LwT1dsnqT8BdZVry9pKc+fYfq6yA/v80OogAbyYYRnQfji75Cd4/oyYAlifs9FYCniLIP+rc3afooD/0=</t>
  </si>
  <si>
    <t>nhYivLHfQuc8ri+aoAcnrtEwT2QoovjdraBamSULrfZBZ/4Ie/v+y4NXHN6dM7BZLJDC0Fa1YZDkzSvFGdTmrksLgPL3jIRji/AkqnWFqZZb8EPkoG/YYyZuzSVwRx2lnvchgAT0wBp8CqsTZo2irq73EqmG2YfMEARpxYsvuIrrKzY5PBJZ+lqfD1RmK5MBKlljdH6ronLEmf+/EDT9Z5qsm+WyigHTVOPuxF0SfYaiEr0tZGniytGVDoI=</t>
  </si>
  <si>
    <t>iZajOPuMq/tFDHuB0JX0niLT9YvVj0zBYxzDpWcNgA8pLjumSycM+beE4pTVgzyMx1gIutBN7xWHDn1+EzsajSGGcVE9nRGufURk2vzBBgCiZ6ntEA5PfjGr+kpFK4Y0qAma31gjd9I3xBfK1fxU8rEK0Wd2L06ypcs8zvaqHh8lkxFd7qar5sQR3YzJGk+23N5dAJeHu2yMQBuio4xeapaYzPJnUHDyw7nlL34F9pC7j4+UBpFmIN7hZiU=</t>
  </si>
  <si>
    <t>5r1oNVwDL4OArj0M3pZbOCB3nKwbkAdfJaCOpOrFlX1uguVUteR32kaTWRcJXVOZxi9drV3Ci6+eqwdkcoEahlpG7+6sSM8tAAQ5Rf5y+hJ4x73e9h0B8woHVMlUy9o5ETCI60gGxLOKIzG7WRG7qtVLmWk474mhQaA1MNrlGZTGcJKnS68mzgHNe1lw04Z0XnXXc3Wzis3vEjKCJeCz+XyM4CjZvpXIo9lJ4Zczk4w35mUyQZzBz/iDwz8=</t>
  </si>
  <si>
    <t>qwFUn9o/TA7VHFLQGVFgLxO9hn9gKAZz2dqIFDWhQ7wnS0LCy2k8fArNnYL4y2CpX8hlVKWJwax/UXcoQIA1r5n13gVt5LkBHzZ5SenzuQNwhl0GI0C0ZzOpBDYGxxfXM/FYFAxa0QxEqJo4mRfIhXre1fij5MjiNP/RSnMCzhlepEKlIvLusGabq+FhHQWdtuhvMILK9QaQWx193N52/HJahN3JJ1dE7HYiBn/K50OW3wL7s0N74gmrZRo=</t>
  </si>
  <si>
    <t>stkueQNflb1WClP3ViYn54HV23AgekxpFze6AT3AgyKd9d8o7zEJYJjNQgB6yf2fHncurA2Ci3cZtERAeEcEMuZi18mqv63HqpQ/nUG/YL+h+WwgFa43/YrjkeIuZJQQ54rg66SMh0aVDI87kgniqsAMaz6wh0t5hs0h96MiEr6EjOyq02WLYflYda1ZwPomtBqPa1fHej1dc2n6r0rti/155wf9QU/XirrZi5xmsXNQfeQuPOISS9Qha0k=</t>
  </si>
  <si>
    <t>bUN5PtEtYRaMKmbC0LDXFTndQvhFgK9nqZ6fI/3mJAMZA/NdkxbTACTcQOrlzfGtW/6dl4YsWZK7fznRfJJwBsvLXB0uMkUKmxdtxe23FkMzwQ6Ov/bs0tzXcRgat7ckLfEKBup6PMlEBShes67+ByuvoGKnDiQ9nQUTDYFmZid/BKVJDBH8yZpIloW+ZR44Rr5BjzXzTv6rDsw2l4JvAQyWZEnYD4IC0VcRjhIGlBQAVPxdyJzTABVRRfY=</t>
  </si>
  <si>
    <t>AfafcSbbtzLzp+s5xLNEqLWqXGe05eVIJTvmnkTQ4goQLSBV1Q5AqI2NLrb6+TT9RGfsWGtevvovY40dWGOkJ6y38wXxALZzcQZ+srcMWIl2EogB85kSBw5SSa/xcRqRwUQbCoNvNuE3SjPy1NBxBTQwwZGQ3I+z+QQfitjOpOsWJqojATF17SvZDmflNP3wgpwJwktkmxjpKVO1/rXgYgVaCKeX/GrYgUVsJuiTopXTC5H+9HbnSBXCb2c=</t>
  </si>
  <si>
    <t>J6QafLyA8LKm9G7szMnLR/NykQSWY2NF2cU2BNnJjTdN8NIDWei0wLqEly9eLV/A1jg27RDPMB/VvctQOLHbjk+u3jWsq+CRdZVAY91LloVlCNQ4PcZMPArUcdjdJ5o95QpNBwAsqgTRhuuODNbW7UuPddlFrq1tiJeOHaxbkUhezIZrw2oBby2Fw1XEfA/GnYQ0X74XKI3t86GDaeoDEv1p5HAc4+iJjQ8ham+JfQkBGTIeJIdMFS6ilgk=</t>
  </si>
  <si>
    <t>M7unfv/AHFvubb5bVs/RAyObX5E9G7sFKKxizgKXmIHEmb9CgS8IIGSMdvV94ljfD5nLzxCigiUNSh3lGijTljc9lDwwFMnLM8e2BwVp5g/c9W1I+H0Ajp489j/WcoqM8MkMfs8+sVrFLgmQQBHgoeyC62voCADWrbAu2pyLpOS16oeAMtrHNBkHQYFDW18mBb4FCEGzEWV5M52UcCf8zpBBerBmbl0M/N65gfUS0BpXk79JbMRh5xT4LYQ=</t>
  </si>
  <si>
    <t>5CY1wV1vgcufGfq1cC8VkrwDIA5bfypNPxpxpK66StCzbxuhNrKfu403y9s0WC5zUc8eThMHZjWkZKX+HWw5rFAYb8Er+Ht0PxZ11ZmEKuApR1CugOM+ToIKbTnaaSjnuUYaXvuF+4GMVQbB3UKoAUMckknplHBCqJQxvEhuSmetr3UIP5JLSgwHnq4gt34SuEhBnQNlWRe7IuXu6Y3OYKrYYcnATEcAX8VWOHXFjnMGJ8CKae8N5ac+NF0=</t>
  </si>
  <si>
    <t>L5+/lJ3d8oST5v/inL/W6+X2uV9nwC3GKmqJVxEsmdOuh5bli/isaKVYqm5cIDQbBAmlyt53zL2YGuyCcZx1gG+jduU9OCr3+Fd3SSXqEhf4vcQ2DJvP9GMaiBorJf4aV/rrGmL21304BEzGM6UhtzWFI6g3EcpDXNkVpwOSdyU9CM8A64plQPogu9SymMIKde5bQ7miI9WXZydmhXM3XRFY6WgD3LEtIkfwN1xinyeTqk/RDzniiPZIDbs=</t>
  </si>
  <si>
    <t>uJN8IW7HeO20Zy63Xiebi++Pdbe2kYcLwk/BFeS5D2QezqHbj7WvWWukx2RoZgwAxxoBtn7oEfxwsr1vmJmIWVId5XpGfJTV8bGCRDmFE1KbiQ9pi1jHWPmH0PKVz4J5e6OOhfpgJlN7qCx3k6BW9GdjPjDwy0AELvlt+Rvpe5MzAfl1M23TDB8VVax0UpVTT0BvoovH5p2tt5k1cMBLXF0nqS0o9T+hzsdoiDYhx2UKOiKynYydZcL108I=</t>
  </si>
  <si>
    <t>G/t4J3sBp4/hGgQ6FZ89NX+Gtp1tFQGExpVMNmNxtmmJDCnlpFc1ygds86QM4ywoIRR1aAfUzfhhaIRrCG8Q0oLkb0toE6tTyy/R4zSlTyYpOMtyR9EVsOsg32d21/aoq5wJplKkCPur1DBvUobOJDaRZMV5wJGYON3gKca+6Nk8JTH9yqg59Fb4Oy4Iw++GR61EV0xp4YUGDNL8PJ04ybM35ZjVoZE6D/pKF8GmsWDwc0GRV5/lvNDQq4U=</t>
  </si>
  <si>
    <t>ZAVJLTAaeI/lqT0XRZbDm71qzsPqSsdm0oRtqSyfCHe/AlxLM40whT6fu61kk6dw3ZgoTISc0XQcob8yGWMoyX2hSTfd3T+yhs+s4T86c+K1khPIsAd+lp04Y2EZmjxtC4lOVho2JtrIa5t22BtJtm7hNR4tITfj3L3pj+Vqc2ySm5ubM0TB+vFVQltMlx3Rf4FygyJAYG5Pitdg//vqjHW1X/rRqRTRxgOkl+cBu8LsSqyp8XncfVlxUN8=</t>
  </si>
  <si>
    <t>tjrj+LCBdfcyrFBghZQ6xG5DFzqCXxI/NTLBwnx6WUooDA+dsgx32/b3gvyuwibp9s/5RBXIMMzLA3raT+Ml9x/ZvKzfosR+9nzOZwC6pg65P/RMzPEYaoCJ5bTvYagb8pKCYIG/f4GwzrMUQAHGzykONQZaP8+d+H1iuGxh+Y2M67Lr8I3ndlQ9789Ez9GbVZjC9XX7LBjbqZ+WM1GhH8ECFsBFyS1qpbwTzfUJjiyqKdav5VhdQO946yo=</t>
  </si>
  <si>
    <t>Ys0HwVCQ/BIWz9XFy7D2+kHYcQh9e153p5xOn4mPcE9AtH9tFh/di9vqd/Cbahu3GdfGUvrhjE71vQcCFMJDsMKgpACMW//CrEq8HeBCoi4T2wr66eaXkTln6SFVkPWJSYFzgbZr0MQGteHWinVa0/uudfhwCoR832Lyj4FeGRGBmJirZngGhxRrdFcpSp7+fKrY2N0+XFZPyMAdDXB4dZx7IttUApOiLFPw8ZsaoLztSs06Of0iYpuByww=</t>
  </si>
  <si>
    <t>/5Q72ZAsZ8m54MAjUS36XDSNESb46DM/aWrl9fjzCD3ARtEYQlQAh0VC78SmYb2RykHBLfoMgPErlXwGWk+YJ8qsLq3X2OzZ3NkdsqEcObaPMruB+6WQ+lXWxrpSgeA10YMC1rCzynb1aA1BEnXdzd5jzaXGemglMQ3NH8DinV/ctRc19Ejifi5dKzxmAFQSt0Xta+I0Bdi9IxPN6/jz/DjCkhO1Hr1N/Kz+S8eYQba031lQJ/wr1B/Qnjc=</t>
  </si>
  <si>
    <t>dlKfTEilD0cwqcoP1bAyKH40q7KLQIx5Z/6RnRxCMSAd2ILpnJtlPHgyjyv1RdJbcPP5AV6MhvX6x2xe9hVxROAVF5yMwO3mXOTkK/u4nSmzSgZP6tC4Z1eGExQRITwF50ssQu3ARSVsoH062rqbwpjy7G7ZqHNpyJSdw5V6ABlsAz9Lm/4QC5Ghl4kSFM5F2Ew5eEVKzZg9OQDF199Mc5Ir6Igvihccffmb5W7TGMUGZygafdlrEz19PPI=</t>
  </si>
  <si>
    <t>oDQsdBsqYCopx9atFOB+XJsPFX/5Ky7F7oMosz44SA4eGEX9PQRGY7rOUI1XmVTpxfUMYc/SBLO+NIKxNBdb8uWF07aEdlJCNOH5cfJXWDHO9QrXLC/z6pZUJpkytWIh5mzrljYyreBan63/6VnhY/ge3AVfhRUblrPTRbAZoUzOViMjODse0J++vywTMyOvZ2/E4wev8KqJ1v97lNbarYHHFktNhSm4TF327tLRSuYi1AUCsOmD6WxYuTo=</t>
  </si>
  <si>
    <t>gyOVCT2KIXuJyAG7mgIfq7RyU9Va1YUspw64/Z6DipTl/msafzlGJctGeChMxqAAFJ7+sMZhsMahWCG716+19KYA0naRt1+ThdyqEFTc8Qt3Qg2o0px/nB8GlRZsWzaSQ/eEOKRd9VcDIScR9wrdyVqDzhCgvgeBWjVfiX461qt4VQprQeZCkPkxhSrJlpZU/2+HxtmLd9O9qYEyMu2DO3c4yCKQTq8xN0ojTLCe6rDj+p3EifMiNn9tPSs=</t>
  </si>
  <si>
    <t>tkI4H2hBHWDSn7dW8d/VTfOWLp3TXFCKA3+OULkQeS6yhbOKK7zNZhxPq2stcUMyk44HRY5pbktX/ALc0qoT7MuXii5ASdOZmv9sDbIIjDR7Yne+hfU4fZmF30YscW65dtykZHD3oXMiwF0Ltly+ajZzcwlTimvlVfiP4WK0p6mkilIBiVO+Q2i9xaSmtYagGa+YIHo7hcPL+yPrdj/zOkIS40+elOAJjS+UpUdeKl5xBs2+ra39h9ZxRco=</t>
  </si>
  <si>
    <t>tP+4N6+9s5qx+V5witTwxtPUvcxXVkS++CBfZ7qjlEih1Styl1psh9tgQUUCcHphjM3+RrtN1BbDvN3vRbmKWQidU/aU6399i5GghDT2ZfgV2XYoaSwYSoMnnUB+poqum6y2RFDGV49Dng4kO49CjvLG/A2bSyHyWWEzViYoSWi48QNAlb/88S+8eNCaqO3IGfDiBI49fYhRuqCpw6EpTTFrP6JqtDRmMvlgBI/Vsd/LLt9vPDBpWASqFZM=</t>
  </si>
  <si>
    <t>9v5ziPAY5qgWpqK1GHrtHNpSXylgTg1UUwJ94PK5T6ohxM4xekPZfNyJhaNuUWku+sGpUfisRtSZVhovhV1owhGnhhs/b1FTtxqKd7xYd0okqTLeuey27aHgqHWj0H0+JXrdlmpjssMQQWKu7F7sLO1i/fTS6A8eYPkEi9jKgIWHAIr30W8Wdv1r25Yq/bBH7x8D5kLOqsPA6aLI0tJlFH3SgIJ7avo6u4s7livkEW4UXO3pBcxfN7oo+Wo=</t>
  </si>
  <si>
    <t>Hw22bpXh2b9SyIWnpNBSI2jebtztVdEjpAC+bliHKIK3dMr3NZxdaiXdS/moouZ+BKjpJu8tRY/VL9oMMx28RYyebXgCIeQJ2EDXrzZyd4aNSXiB15oZNa1UaFdck7gFJGXmDYM4TCPKaD50brY2maPYo6y4EK/LwDpvEAdvnnN377usgTQPI48UfkM2089cUY/dVdXSrbfPXLK2gIw8m0JzXO6r/rrqUSuLJ27mg0JXPuEwqb7q7NxbkT0=</t>
  </si>
  <si>
    <t>ZD8GSOSPkMhK/kBrRI/mS5/42K/JHEkpz2YBOh/5fz5LKLOaSDIsZJIfUGybTQArdfZzwDtHzXbAnftSLcHgdkkDk6SGJn04XbdAx5RvQkMT9Q2IaP5FQKlvYeM9ZS/pBW5FkuoLw1vJB9vGezfj2+shAKkiqQBiYPjT8IgLJSqpM4cmC334ZGUNzIPf+8zk0CzYz9T9sXRFp2CICRa9FkXgCqQndIkJMp0RHvZhN5BAqvTdzVT48KJIKXE=</t>
  </si>
  <si>
    <t>rEazIDosH5+wYT+1OYQlDB4mVKJNrjmLD1E4YF5pg4jymLhcKcIwaYOhjTCCi0E+oFQgoH3+z4vbQ7yjTnN3f80uMQilFsMQBYPGWlsmyH9HqW7CnaOrHMgedUJ7VxASCoeM47N3ZNoyRaQG+fLga8/YmqUhS2SD74O4c1sRH2HMbmE82toKXuYbWBNQbjDSt2U7CeiaLdMvuIU9xKDuC+It5AGBN8oiytn4pk/NVwtTyhrQ6U/GI+1Jr4s=</t>
  </si>
  <si>
    <t>B0RRgwelHGVOzWKlUJUikfUddVwpSnnqUpLYQPbIT5KUeqiD01r0CvvNoHjLitDGACaO4FWviUJsQmLr9AhtYdyZgyiGYbTZ7B/db/XdtFkO+tCJfgzmOHpFkRcxhFP37+B2/fEr8e+LU71vekqMng/QYkDi7WDgzfJMvB2ex0L3m+lvLxZbN1zI7TRZaDJB6OOlxJEDHc/5DAj5QrvZ2Q9VIwHftoaZDRf6gTZyJZp/JL0nQR5znyFbRcs=</t>
  </si>
  <si>
    <t>XAOKzcw9qBqtzemcHXzsKn/L3SpSYkQzCSH4iyNxGub9Tyzop5QDiB3len87sh0G/1vAZCXS/vbpNDr7HTdmM2AKOgd1mczZHUWya5RTQzuIv3tZinQ4yCS4rbfGcmcKhLRlkEgYAXPvcN/jcZhLTT3N5liinROQeRFSxP19/h1b/xQ5Hzf1cpBpUrMLb1HM3PtjUswNZHcRIiRwveFtFhSZvHyIhuLP/E3HfRqWRw3cD9++5l3pbd+nBOY=</t>
  </si>
  <si>
    <t>3nOMIbfYMBSKPV0nh2q7Jsn3sKWzJgxC80p84GWshVjGCKFoQvXsIQjprqr/OvEhfxhRcXrrXjtnSkPYn+PS/9NQdcw5BrCvC6uPk3UQCWdSc1Z5bhkXWRGNtRZJfEDEMeIL01Q2rS+AWWQwalVwq08wAGkSrR804u8VCFR/awZxt8sbHqknBHNfs29gavFa062aRVNCWRfhI4zloqtPfdxNrdiIsI2dzRSt2J28OKHmcl05fIxdc5V2zZ4=</t>
  </si>
  <si>
    <t>HVkGyQ1iYL0puBvPByLKYQ9xZ68Va9+l3w7syvJ5BLcAktRq9wWzeFb4zmGqzstx4+Jep+OgyfCSjvlCXyluN2vGF3hJBdZ9wpRXFolkmf0oOTrQvSsvxVsnLByEuxX4HaSe61E5cKKq1KeCMe5JoY2qL1qMj2eDmy6jJAx9NPzl3eSsb4okHgU5TrGPaA23umPI64DPXWY41E1+dUsDUA1GH61TuiZTBGGhRX9o0yT/mctllC6LRP4yhtg=</t>
  </si>
  <si>
    <t>oWvQ+v7i4iRNDLuhlB1lBupOC+LbYH11uiJGe/ULCx/qOaqj6zIuKCWT33dSbG9lnsR5gUz1+A+T77PhY4p71k81G3zgpslzJeEhILl4GtX6mBZ8j9M0IIWahk2NYQPB3Xc8Z4+p0cpGa2AEnkj5md8rIYmtJMk+DIgoLW3yVBeznIVoelfqkXi01T2HPlcbIOY3aW5RNB0Of6dXnxugGa48FhuqDYJ7yq+16PQbV2A8MgRVRQC80r0J5kw=</t>
  </si>
  <si>
    <t>dKIloMDrJFVtu0srxR29S3dCMMBkW8bBgz69XkcV78yHtNScQnsfQaYAVQ1sTrmjp9UkdRsLJqb572zy5p2NOCi0nue4Izd6vK1HHPcGMaHYaH8R1VzYg1QuaYaR7tgjj/+n11YPieo0SplWMbPYlRKoHePCi1nt3d7Echdm98rVgYoDfoMfeObrs6oYh7gPuZwp/Mcn9JmktBVdtNX00rH2lVFF62gAu0ceBPWxt9SW/bQXvmFLfrfg+X4=</t>
  </si>
  <si>
    <t>HfGS+OIbn2ZZgAnNIHhrOFZS2AKfNgi9K/z9cEwJgeL/R0nc+DC8XAk+eB520Ml/6oIAqWN2dX6b1aBJLOnf3CsCKZmvJZ8YWjR7XY/qQqRXcXU4zTaSTv20Y58E2G6+ryp2dPU+pS9u2+/XVzDFOUpudZjwEAIGk5jrHG+IL9PhztLL6RgUZyJLxWzMoD772Fht+gq/XngDFwjIIWFhxBpN8Yi/tC6ZwSeAAzLNyGi6G9Soxv10VUmfXP8=</t>
  </si>
  <si>
    <t>xNTxaLix2sHEdlTetaxsUM1fTBV9mXLVg6HH+9qKHtgX6iGR+lNCCoosx1GA3GDaUBCrav2lal9xfjfdeflU2q/kqausJi9XjwlD31x3RkgmZhENdbZIdpJhxS2wo03ZBlJ7yfo/X/7NMM9yvTFEYHlepn2vWM8yNkigEbufAMxjN2ksf1X0jwEVbJmN/qVtA+lBi5NBtchRVSiiSgVfnbC84WWH9rKzowo+mtkft6FN1faBCMlSeGZ5uT0=</t>
  </si>
  <si>
    <t>KzViEz3XN6aoxM9UqzI+HBlAXrXd054i6jdlOGnRdGYMPQPjM0xm9VgpmKX44N2oCokEWWZLI5x+j5ufv5YyhhXatJL0uFZp5XWtu92f0pdGp2SBiL1l80WZH3i4YTJJIB+vJrnYLnddZeorly+9gF8OtIupIviU8p1hm6vfUABx0R8OA9gX62e4wuyaNP2vp09SF3OHK2fhlxA3wiC4TM1+Z84nSPsiDIJcRXnMebhdpDh/ENu26m7wCHk=</t>
  </si>
  <si>
    <t>u2fKljejjGVyzR8NWS5XfcPGW1kneZ/Pcwq0voLcLMnR3VK/OSvwQupmPLZBQEcsak+jTTwtfwLyvtlPwoc1SB4nKfnFgl6jL8hUp6lZLyX8o05afpLtgno80+uf3Qb5qe9WrzMM5LkosANIorhR50h9flJN/GCn/xZ4W4+B6+XyFBucMmz+8IR9gDOGBUW1ltVQ3Bpqc1XRuFIm+MupS5Oz636+yXCYjzRGVrsmmnN1RhVCmLzLIobR0bs=</t>
  </si>
  <si>
    <t>PH7jfOTUZ/uFI1BUiULX6+KVsn1RvZxiqdT6jYhCPC7yMH2mhvC2L4aym7ppnnTB7S7v9P9Z9+P088Nsx0fANGgUK+WVeSqzrDVAx9+EWiMAhzAJ0/fxT6hub8sPGgRzfvnJhRj49FshSqZwOFzNxj5XKyEX96DTbFjD0RpybzLL2M7E+kOEGHywj7qE8tErB4OFpgp3+kdJmI5hVwvBETH+y1RlagU6YnrSIz8dJU6iQD1xgS/wkOYmT+I=</t>
  </si>
  <si>
    <t>xanS5m4cyAHXbYF6buTxA9TJ3EHBwoJwQ5lKf9t1lpk8ppw8fzPVHfgURZL/6hjwFMXrhHcQEc1ygLJDUEbTJkH+yTc6gEB87NlwWNsF4nVdxur99vgwXO8lyDCj/vwHqOl/LLY82a6bXlAgODy6Ww3i1/ZcZKAF6UPLiG3tFzMJiENU19TlH363HV6NzLNvH6Ms97iU8o1vlWEIT0Q4vsugbUZKwbOIKMGIkTijmA/p7dNH4CKQz0/ieio=</t>
  </si>
  <si>
    <t>cpGy6cf5OVwcZOKBPXyrS5bcZH0gkLfSUO9NKIO3XHFFSrZ2Kkxda0iduep0xpW9PDHMk55BlunxAFZR4X8mdhELWL5XYm1ZENuURGaF17i4oIIitzPLAYFOjKzutGbdUJWE4CBXp8KBfk9CcujDDYN8HU863a4u38x1HWF+M/+ACmkgkYsGM4XmhcT08FdGXTnDBaHk05mXEQcc61Tqaa6sbP2x3mNRf8ypMUR9QAzCncqYYY8RGXjjU1g=</t>
  </si>
  <si>
    <t>9/krsfiyq+voF4WA7OGrnTdfgOQPcSl/5eJlbtCNRTWCoPw+2K9h9DOLPn7U0KYjwb1whh7SbwGt2As96AzoAMl+bqi7yQdg1oeO+onU8NKiWgkG7CaTutEoanL+OjRviyW70f7F9OEN8OJJvn4O6pHQ+dpXnYA0QhIF0tT4O8r/aJwBq6bYH0QMh85LbnGN4ykyjawkYd925se7jFgZHToHUaQxBCJC5WRSdt69lZEpDcDhlyvGx58Fayg=</t>
  </si>
  <si>
    <t>ed5T//5NJsAvhRaK9I0JV4uuNwpWYsUg1z/zcWNw140aKKnOZPnbq42IWEtP35j5xiw79uvEiQ0XZ0625PmqVP53kKh9tK5CZTCvZdo/Dg2ugTTPcpYmBAqHD8tS9PS20FAkM4RnXzpPv1R4dAkSCThW9jHsJyPnXKZlPlD5aLl4y42/lOQZJTiyWs5BPNJZ5Hz5sAWuhwzQUxmQkC7bPYycMs3WdmWVmKWacEbrmMUh2dgGWXaAfPRT0mk=</t>
  </si>
  <si>
    <t>aOVYpkvUBlvt+vubWng487/QS8kppo+CH6XPcy4491hdQHtXLYdOzJWac2Ovjz73HorZsjQiIxjWgK3zmnKzvHCnrjQPamjx1n+OgKlqDqHkxZ4e4vLVqnGg7lULvRkWvWfoyp/k+/5fSp3jdm70SUqfjPWizGc4Q+Ls7MaNzuP8aixfBFYmmRvTkuzecSfN5gpQDJbj9jdF7cGFcpFSXfhZhDgFf4dYTAmFH9SRFHWZl4GuTVwXFTYty4o=</t>
  </si>
  <si>
    <t>PFsQhNNvOrx0FX08tLuJpCpSX+sjrsDHnMfezeFiACUy5Uzwt7UnVtH4po9s1vymJvSMfOyAG0uuWYTXDMBJEH1FWDjp3SyyYdc2ONM+aus+slnz834hQHryRPcPsUttFkm04SHvbizlRC37ylcJ2XXWuFwfxBHQqiYLOaG1PEowQPSlpLokzX81NKcer1AI8vXyHSKuCHZNLOcj6KoroTeMdOeLuI+ki8dB7lVz/AKUNChK5hEH31ZHcQQ=</t>
  </si>
  <si>
    <t>1zNVmEwNu+WZO+9C5ow4+kXoNgZI8omyOo+f8QwEEFW5LiJu6dyzxd2en6Hr911QXg60nY0fkIZk8jmh+NP0MmMFytBplvqzLwJps+3F/X7eyzZonUmxmvvJaBglkkDIFQ9p+qFyKt5r2XNtMInw+OZsLevlcsgPbpqE36rmjtkSkl5TCnvioEyzEH0jdHmbwO3WPbn6LUgvcoHLMJRuSC+EuOw1Tm6hpiJjdrWYviwiy+1KnwsdGr360LQ=</t>
  </si>
  <si>
    <t>MycHMdukMk1rORfaG0CM+2T8Z0jCuIMUNU1LkpP7EDiXJImaD6/6/YWYWyBv8NxrsCgBnQf+g6ejv1Y+QAo3QorH6by8n5CKwy5V1NE0bqTmo3xNmtgPwwEAmKEgckj8x2SLtnG5iBB/GS6230lsNdAhX5UnYFHDoNup0MUVriF/RYPzyueeu4y+Xm+ZQ1rUzhM2kQc6mW0b8DFirfMkJFlvdrvUyzR1UWeWkEqbgHHeVdHQbzOa2Hu0D5k=</t>
  </si>
  <si>
    <t>3Td0tr/o2BCNTyZJYEf/mFfXCUzgFHxbExh31aB0H3Hxvc63oICIkpbl1geiXEv03ZA5BrycF0lsGJaUgq+izWl7814+/jYoqePzWioJYWTZwNzJE4mzdRgme6ia73zNsuz4+oa4LXFfA6gb3Wn/qUDYRDzq2IV+ptGXUaFztvoSoGYH47wBflHiL9AgzELrOOWlegDdxdijFgBGi9oEdhcdqWX1vzC4Y/wSTM0UJpiDmkdQz+0ZTobXdpI=</t>
  </si>
  <si>
    <t>CeARcEu41VmwQCxOVVCf7dd2bITCty3VbCnIJ8LCqZDQhR6pvZV5tUoNa5F9AQWPFIal2cVf3uqa0YohbjvaY3u3olOa9FgiH39MJqhBflv70M7lcX30Bqxb+n6JNhzJzbpraLvsvKWho55r2yTqP1G8HzZb/5UZTHsNpXFDACb4+xSKWVKXW3SFHcGrcdz1fpPDJQj/SAA6azY06bztdqKxlp34KeFq4XRfrMVLZ9SiEDxWv+Eam1HyetY=</t>
  </si>
  <si>
    <t>tmlsQXraBkcHEHVLJCadBd3dbwPPNKWhVqw8vKMlPfiI4KAXsC7vefPuIUiDQbeTGyeAiN2HeTDgBD1FAl1uwTQ7e4vrPnTiLLSMfyq8mRAV6Pbby6gYsJUEZnqISDXTV7zt0OCqa2JBDH2aSgr0IHT3drRT0mfagh143fRdjMBIWDjE39eiddHb5iCPzy/xxeh1JywaPA8f6Oy5Qwi0bU44EA0eB/2+0v36z51osfcdOIdGhxOMqfnLhxo=</t>
  </si>
  <si>
    <t>lArlwWUFldluS0fdVxNfdpZ3gr2ieaqBsxdUpvaXAFks050JOTnNv0u99OYJXSPAIWf/lEELxxPkxomF2Q16upvnfYcVWx3vumpQQGH0rExM8WZ0GHpaut9M2aRLpQK57hqvsMbCXoZWaetjUbO9cbmtRvWs0lFtu8lO4sWCsXeqJeaYmdv8GMVkV0ZM47NO/Q5GwpWOWt/J7ZaKb1BGb7Y6j4ECzU4MUMQOFQl/0GARotpCq5P8ujkgXnE=</t>
  </si>
  <si>
    <t>LmVWdXrPJE0JignQp5CLNQG8dOpfI3Am4A9Hk00UJhfvKcfqr/IxqFG0aqQhgzfiE7OGlykKIYgMF9jMi/sZnrCc17GauQC/V0+8znuwu+x9SFDmKEIJa3hCVnFbq2QM/ygn3OTWG3qTmbfhoLTs7hsJXfb4Aao0gp0zY+4MPU1GbMSwLTuQghOXlxG9N509KTHI68tbO8O/9pxO6IQI32soY6CY2LLpWfs7IO3D0mnyZYkM5v7iU4CxGvs=</t>
  </si>
  <si>
    <t>T/7u4Xm6Q1DAKYptyMRFC2lw73tZkmYEE1V84R/cdXAWJl/Jr0ywpklzUft2nwBxlpRIQ+LDcsThORzUuTmr7DujuKB+OFgSjlMnnfZkK8Ak+M3t9g6cfsZnVUONhHLxHj5EQOCglLEjN8HUaJi/ypsgPXLi+POx2PLjuNp0LcfADuUwQ3IFoLssqZkXUMvoqleBdGlXAFX7NQmOZY6kZa5StlStnoIp664WcG0vFc+LvcYKHNENQ4f4pho=</t>
  </si>
  <si>
    <t>vOayOn816W2cutjgP4JvtdV6DafhgV6y5PdHNmLALvcL3AgeNtxspbBiB4cilSe41zerv/FOwdqsNfNxfZ2k97C7vnCCjaEH682jLAi0uQxi1ewigU+KWYDl7HqMwffZD5lr39u2maNe0t0qyFhdd2sEO0NsyF4O/a4qFQ7BEArvOqw9PT1S30SGeJV8s3ZA5VWHJ7MW3jLucRljJ0ezKq8DErdRxOa/Vx104CFjZH6Vm8rSQ917GXDtrYA=</t>
  </si>
  <si>
    <t>uaZD4kdOcFtTzFILDJN0nSM7G2mWFHhurcTEwJZGfYYdHc7fjJlo1x2bD8Ow/PWHq4Cv+zBTfO3SRmZUeIa3zodx9wqDjoE3rVS7GSZsgntBXdETmLuN02l63wAbpzfA1xkj0YZ6s2a8ArrIk/ZKB201uIHQN+ZgPQ5CaxM0bpB7wwZ0PlFvWO5kTQcd/jvNYmUpPV8131b1m4rWNG9tAa7Royv+LmTOUyCkbSylkv88/lwzN2IvnYYUTN0=</t>
  </si>
  <si>
    <t>aYIfnxkdF8ADmUaZMCsKPazxicHNcqDCEHszv7t0KgiNzrGroeTTWUo1XTzQL2T8FTF18uzub30n+yyv1l7ht0M79BkjitpoNyfdqYRbsyMgD2sGKQmyJZ54I/7VsyNXWxPof0rNzBXt519dK4UpSRQFQJPr+t+p1xzR671ZV786+q23HUnppS+frDtBcHj8l5Hh3dg4wTQyQEYJwTkIq9kBtuXPwA3ghXSDoiO7ZjGung6hSu095tRmd4Y=</t>
  </si>
  <si>
    <t>Wh0/IpqR5DHae3/W9g36S/l0yKB/hFE4d53UQ9bqug9sUS1OD0R52rhMUDs97ZFNjojcgi+A3/PC2qn7P12F/XJFRRaALKfshqhktsCBtW4h+Y6X3TV1vlgO4j68o91omtMunORJpCVBKx5hjnGHT5dEaw3xdGD8dxwyrKJVS9ygfgUXDBucMCdCStLgsX163koLr8FeQhFwHxvBW8tl0TQYmfsSfPBo5Cxk591BHPlfGH/GQS7xPaTowto=</t>
  </si>
  <si>
    <t>6EP5zfjNdtnxEHzgBX8Ncle02LoyZxpAtaah8FiSGyanGkBoqho0hHPEBeWb++MRNUGyuGPa3w65iY/Ol+hnQK/RcGQen9atRQLCAilkJlNZsCDOLpEIYQyB7NxpRbNA9yLyzm7P5KU9xTbYXptboCC9uT7cAUBTo4inpggQ7nMbkfpH9u7Av1KxmaDfVefcz73BywaN7iYmY2tvN03Ds4MSlkAVh62tf0z69Jg3yJeepRkLRGW9DEYpy4s=</t>
  </si>
  <si>
    <t>k4wstxMvEMJyx85a7kF068QRZrZeXgv8Q0CfOX0gvJgRilSCMhRxRw6N5joxfCDhSyFTt8eD4B85sWxXl10wlp0ENVJ1Qlx2eGa5BegayoVKIlX8wv5+nAC7zPdiZz0UnSzQG3fMXD49Ed8BTsPkNcH69WHA0tuzlykeUBrHkWTNs7Tvxc9qOxIJpz3HfffRPD5pRDi17A49oW5MIVm7qJCOf+61qyC7qAUE1SxkYbouSkv1gJjkQo3zd9s=</t>
  </si>
  <si>
    <t>qD2Z3pRu93W7R0TtRn2BHpqmPgvED3G/++QCPNWeecSbiRNdv1/I7Zrn0ZLPNjrwzmkI4jtQ2kbn5GwsXMV9GDKPVePFwOKuHM25RoNXHFHgp9spFFVUmF0nmP/CRwopEDnKs/0EeV7bfar+un/qM8y8cwFBhaw5NQLXGDQQ35Q6zX3BX5uSrZCLx27TK+bNnDvLCo2HbVNzEPQxhOIvkoMzfJVu6jL6nhlF7wp4vuu8XMKLs7EmVOJJpTM=</t>
  </si>
  <si>
    <t>O8nHMWofdzN60/v21jpj1OUZBjGEdp11vqSu5vx3crAoggj/bRbg8AFpkICNoFWiwDlv3x7GihJXVG2b/lGMg6ItveNoij3Pn35Q8QIDLl6Mrs5kI/0czXTHJthixBQ2HtJo2OBLXZQLfrzdY7kdA0+4T3b4ml8SCcrnKkjYPTUzJhEuon3VC/oPpwLNsxHCPzd+p5KjLXo2YjR5FPAuDVwjMU30y7+ymMFVzQC4urfftX+ZBstTSPgngqU=</t>
  </si>
  <si>
    <t>RgBIELbRVfd/yRR4uXIiMw38H+AgydVbkHyf1FmVI+gmUtrGaxO8KA3w/JTi41JVozmzxUJ/nINTTwzsbqST4xNEQCdxb0ak5D1CoF3uG2QNcSg6rIUOJt7KI1mujchoUquVR5vL9q6tKiuO9PgNmyIYE/nzC5VxNan/D6vpYIBVP/3xPBKQP/rMh3JM2/4t3RFYRPYvd+6tLKFWyPc/yWrJM5VYV8S3U3jgxvy0L6lqUzXPRRIfLfwjI34=</t>
  </si>
  <si>
    <t>uliq7afDeunGzEOHht8RzEhq18cqs5xb94fKF1TzwvcOrpb/ItTHN17//J5L2eYaLjyNaBISUUf8X5AShg/vIGaBv7ysWnfFTZrerxrFRHQNQGDTDug70D0UGVIxgTHd+mRvPC6R9tMAuNcLfs59HIENydgom5Y8fME01PLoDw3XTBvRjBaj36Crca1kOuiHgoas5TMNl4pQfW/on3RiSb+cx1q70DzHIhLRu3DtWy7UJoy9I1mXNAL3AS0=</t>
  </si>
  <si>
    <t>ZA/ZlR62FazsF+t5+EAu0WQSkvAEBcl7FtIKG4lS2afmgBT9DDuRHsIUbSP120Yxe4dAm/qIwxKi+XxGve+UgF4BXLzl3whgGLGmSa6bRsPNejbR3hYVat2AqPj2nL3LsASZp52aAzR8AECT1CRAktr4ZqMunv87autmUkqjJ+5QIsrkgqIvJfjxylWK2P8oQ4/+ev2qeKhKNJeJowAW0sswuEyZn/tnSknB1EKTZyHAGPqgfb9pHSlgUpQ=</t>
  </si>
  <si>
    <t>RkrUCtHoYA4bBX+ezGAc3jIjfJfZyH8P4oK7DQW5oymuG1e6eA39ELrb/mUrMB1Yrc5dPzxqm9fLmG7EXiQSf2rHoJ2B+S8CezeTIJjBeBfyAzhSqpKWfMHfO6fqbZG18KGe73YGvbPKonc48qg67+Bk77l9M86PE+s8OmOJ2j+GYc69NQ+ylnYI9aZkRLizDYH75x1yNJPfD+PdzkbY0TnwKZGNKZh3l5QUeXXHbe2VMx3Gks7diYiq/0c=</t>
  </si>
  <si>
    <t>EHV8ki5HdoJEKK1gVVjxgAIn/09A/zWoyRecnMHQKSUA5pxNoRTtC7TXsRSBLc7oBecEz4RVFNiar48/qSfnrOCdzbVnFngr5K/Ht/1YDd1husTO40Bo8ifakcWfBiVFhBNXuw/MWlw8rWWCkb5fxDxlHHdjpPwGI7l2Oxs60uzGnvNbOmP9szed0uPCbW80ogabzJkR/HfCUVAy3aA0BRXe+YdzkvuU5LMgXlwdYAU0+XJt+NcX0+YRQzo=</t>
  </si>
  <si>
    <t>fMGVm/Q9+q6dgmEESWvSz/61iOCC9wEI2na2VPquHBCNIuHg8T70QqKeeZYOWbAmoI8jnk1dH79dnWudVDcceFV3Q9jjuNqOqg61c/GBivbD46BCzHF7TIdZFeRYlyA3c/R6ObnSs2xn5XrZgRdOirA3eKWLVcwK20E5MRrEUl0eD/8s4sp4a4FPynd8U8iLkd21KSuetsR/Oyljax/TXWtB6S48A/pGMVcyRcOC6Uvo/kg4xmAqi608csA=</t>
  </si>
  <si>
    <t>IxpaCvsqYuw3DdX1/ttEZq9Yv3670k9SYalxYc0cMg8tp+r8gOCv+5xsdp1DUPj5VE7Pi9LLQmdPc01n5RKNw6Eitdp2pfsPDOfLzPaI9MlNK5d/adnLx3UDwvD0p2DPYudY5kSctepkrmJCe1DTdE6xQWsFhw0KiuDqJXg5oHpunbAi1MPcxeDIXng1cPfWeL201qoTKweI8bVc2wENFdtCn494oDyJajOuXPYC1frTRngmxJ1BRSvQB+g=</t>
  </si>
  <si>
    <t>KXsJfpy+BwK6va+qluA6ChOsgM3CIrw6Q+h/30BckWQFlTV+njuUdn5nbWhbMkA37FExsAarbGKFTLzuUPxb9o0asGyvnVsH4rXiYN7rns4v6Qn+HaQvFFdycXo/wto9OpKZK+ArN54MbRLxfLR1HCI8D92JTTG/S7FELits6kKYlZwBJoT3RtsEsKqvXBluKw1zwZNTu0Cn+7Y0rN9NH1JV4ZJn+xXWs7VIM7+vu6KaSM7r98YXDch4S30=</t>
  </si>
  <si>
    <t>K2l54NFQelJmz2Kcx5WWNUAAAEjlQtZZZv6d6vbOifXUbVpuLtfmEiwaomwfFb8T4aKhwhrRl4o5YQ4dhFFYwCkPQh24t5uZfSm3n+OK3AGeVJe4ZTQ7hXIHNhVOkkPE0+jL1Zzta3cSZSVRun6j9PYeYsUToM1463UhvANAQOsfumnQ7MUrUTAWtFp7TAkTxsegIdcn9TWFWuBnjNrQy/TqAuAKlKM6L3tjM1UD6g/jmXD83CAWEfk3ajA=</t>
  </si>
  <si>
    <t>y6wgFBfGoAzLWs3ZnyIKLvpaQelPwxath7bb3tDECRELnM6QU/BvgkvA2sPf0FMEorSslgBdpheL1/cRlwkbXuB0BGN1tkcAVd/vas52hkrSErbqIA9RGQXlnXcKiA6tpa7HW3SjhLpdDeb9wKG5cEH6sKSGzT2CTmycc6T3LRi65ot/imMkNCRIrc4fE5v7XgU9moLaNvJ42alM4M06ugSZQmk7jtVKOo2GfopqMiiHyLWRvc49iRWYSWE=</t>
  </si>
  <si>
    <t>Wn4A3K6tTUzeoku1FncFosg6HDH5HNgP6MNgNkCubeaqJ0XDnfm94WIUf5MMnElklQRRPUrfwVJ61CFniYv7vM2m7ltvb22txO5FUEux7GSfSUY561OSuOKS8YKdDEnPzwtn05Yyx0UrXk43oBxnj67lZgLZKy2/vzjusTFr8AIV9hdPp+DcI2VEDWwXlEXxM3WBKAPBNaK759tM/VPuVpLI4wCW2dWNO5QHe0RAKZJhLFfza6U1pAHNId8=</t>
  </si>
  <si>
    <t>kbtBhS/yOovwpLZ2CXpvAyFQWSNs+1k0UsHNAyS2U8fbtM4+HwPGsZldiirTZE/2Usvldh/2JFNaZpxNMayT10NPz4wyej0PIuxnCOnDLMgc8h5D8jpKAAlf1Hw4o4aJOkxFce3eDqsEuKaU2O23r5pLC8QE3SjlEz845yx0Es3TINqlwAl5scqpM8i3ORMx0nU5s6OC9myb5k0n8b06bHPFvKvTpEMGXOsXGzoLw1s5txD3rf3e30kXWXc=</t>
  </si>
  <si>
    <t>pIHgJpe2emMZac1qdh2HAu711V4tr47pLV3AldV1lWUO99FB1EgGckKgSG0UqYh8TpL7YTCEPiYh5tpqyDbcDfNd4OeQeDJIXVEob5B89KdrShCyWJYLfsyr2S8Au8bDbQhVtWYYTb6VmqGSjFJrbmPIKRH/83nYSn2LJ3BUDrvovcPw+REmvNkBySLEnYh3GwI3SjYrXL/X/Ek4t18/qbO84yWRw1A1qi45h2pux94zWnjS8eIYRlAcN98=</t>
  </si>
  <si>
    <t>Q3Zgk5G9oF0yE+HmnYCWJalm9EiMBDSI5AZyMOouevA4b7PkeYlqwqKDubjmjbhm5IO3+cyWPh4cYUQH1wbwYAUtfM+yUWFalwt047pWQtRJPfd/C+UoOBQq6XNZKCzJILu5+xbuEqihNMutQ6S3EJZDhJFFGphxX9V/h6c+4KuqJFpw/oKW5y+mYNt0tl9GdWxV/aG5yuwtUW0/4sPayBkx+VW+ID5RQUl5Spsr3aCTZqfjG2Oko6QbjI4=</t>
  </si>
  <si>
    <t>caG8w1motrKaiIKMjeEHzVN0jB5mQ87SXaxeVZHZrsmrBvoonl6IUG27PtqhY0kjPGY34QQakR0zg04x2ylXBbYAXw229H1EoOCNcPHTXM1IJRrGom6urlRthPiRW6B4AHTJ21ndPJWOS2YGrLHs4Q2QVlpYUmajUZ4OKmV46sMpdLLRXwGJOL+77dsRlISkI4tPe+lGQKVF+t/AgqdnzlLHL6czsatLmjolpwXR6QpSMcbxlcx49K24xUk=</t>
  </si>
  <si>
    <t>07pjj/3eZTvjwHDNCkhCIUcUDzKYQHzY/TFgAJ8h3AVXoEyVb+/sy7yF7LXNykCVByIAAraDKxqqeyDzIe/zbajlR7A25/F4sPWt2c9wZ4/EUEifPZ5aB3tNpK9jEhyHAbw282LP17Je19nAXCjfXfVG7VhcrdDf0aF7me9p+ow3+kgdpwGh8xEMDKuh17GD+Bvs/3DuEBJInIKQdCP/bhJOaAtbGJbfmfCNlpkZYjE+w1bAnTE4B3NcIuc=</t>
  </si>
  <si>
    <t>Y7SeO7ds7/uPZP7RPTA6KJUWyUyAYHwai4VjVsCQSDa4YITxymlZ1JneQTbltaVynMkD3izlnUKpxnoahkGCGvkt2YMpwxb1j04oJKWjZt6xgQYNMyAGVqKnCc5nedNYufmlBCdq9zMFxXuC17MFN8+URPSaQFW65Z+l3kSreWy+mSj/EY9SwIqgwYemYZEgZQ2uqDU2o1hiei+2DeHn4RGI2z9ipN9HiAqv2UQ3qc8yUmVEwa2kS7Mbrn8=</t>
  </si>
  <si>
    <t>jpt1IkTu0Af97aulgMj+YZc+Ygm1luBxPgenl44etVPCndjrsGP2/enQT4083oSAt7/BoHR+kfM8d0VlqvWs1zl5NeBgdpwE9LK+569B67EnkNTKVWslGEP8ffARFIfX/2HflKKr606xvlf0Fa7AQZ8Jeoj22oCyU0IyfztfTsFXNiwU+My7lrF5G7N1JcmDtAI+jof0ND3AEpuJ7+5PXByX3FXs4VmYkmB73b1GKyEtKl/w2aWE6RFN+Ik=</t>
  </si>
  <si>
    <t>bU63vW1GxacC2aBrCpLZBEp9mJ8mD1w47nfsCEd5C+dsITu844mJpXQjw2KV9D1ebe7JgcsY/3z00PDCl19CUcoJqpgSznc3omyTb+Q/Ct4DQHYSisY0bGeikYcgS8bXdpLKggMDZ8XXaF5JOhQHwFKaqHf6UPXiQjnhsOgsulJeTevZ7DEeyPD9U/4iI+V90TJ3h+lsrK2klrbZW6HTGQUOpTQFWAHzjLo4aXxDGnA7iTt/jASB26HMFB8=</t>
  </si>
  <si>
    <t>c4vExQNRCZM6yVDbj3dfcW19SbE2q00K6cZQXhxmjgFtmf6G9p9szsOwS70CYE6BDbuUrrOP2NWrspTjL5wYpjh1vlBllFvqvtBBrTQ+xZBXLJ5kwPLtT0LeD84OAXEat+7hMTNtFHGm2T/2odLJBTm8X37ZUZR8NKxBEeL5bvw5zk/VcrC3Ae5+pBHc0kbVBiFqXhnffQ2E2H4o1m7A1Afw5C3faaLQmeJ/4M7FVfsz7/mX/t+D9hpPeGw=</t>
  </si>
  <si>
    <t>g4PaDeDaKcrfBeAe7vd47VrIO9SKcrLfgOUHDJSR/demm08Vg8aiCvSS+AIOmzQMaux5fGm1HQAy0/jWc2eOuG/O5p3U62Dg9+5lULKJ/I1kYoUfOivl2hfdI71/BGJRy4d7C2xFrjH8/7O+p1MPpAJTthpFXeGAufF1DeG/bC77rvCs3fAYNeB2GWfQQk+14yl6s9OYqSF6yKldrkADwAMfe6hRHyVsnT5tgoSVG1kRssH+KoOWK4l+ZPs=</t>
  </si>
  <si>
    <t>n4ojm+jI+42JrXEYTAd3otjZESXyqF1/ql6vqVEO8ommHZgJwb/EntF2CmZDQVw0cOKKFJH4I7exfeXwF5l159E2jAsXj/eG6ejk0kcHujV/FBCIh4WoBwmocgiMb8aa2P5SvC9tv75WahY4Eig8qK7k1t51V6urrCyk64C+pKRuEg45ZkXC4IzKSUTifnX2hAsIhE+9yIeiClmuVVjtHb1UqkF2l1BskIPBLNTGR8L410rw7k9gSU91inQ=</t>
  </si>
  <si>
    <t>pe+rrt/C/k3JHaB3jYeaw2dziYHyCuQFtrmjYsqxZ34ePJc2ehGnwOTRIJo5BuOfkWcsvWJiS3rxObVmuJhG126W4KAzL1m9kPTmm7hLEvu9xgJMFDTg2Nn6Ke/QGAVkIfNqn9tz5Mi9v82sqjAwUUPZlCTwq+ismc7ZhkFYWBlLm61b9q301cQ81pVGeJdM4olF2MAZLwBfzfJk6+/6pxNCa/9GrOpCRPJ51pqApzP2sVvPu5DpOLvOmVM=</t>
  </si>
  <si>
    <t>p0588U+ZDLeaxhzTAB+pPOGTx4qzgF/+8mVLqgPCXSfTh5sD/XkV9wd//IJJS0ENkGmYttlI3Fw+I+n7oGfqwuOeKNksMXHckJZx059ubOU7CimBMjo3N8ZiBg1P57fSM4uIaSFOqi7EumROqR0xG8jDjL+CH8E/erVBBIU994x6gcf+Gfsrr/HLOrqemUKZYGYu8kc67QkcAZtG0v9XsIgsjf+d4g/PPkcvgYjrBmorG6PD1HGd7KSbYIk=</t>
  </si>
  <si>
    <t>WLNPrzlMKIu0c1Gz2ZOkNza1Uy9hj7FnnNHtw9DAE7cD3JsVRgF4tgwBCo0aMGXsGnJD0xZroEjsJrJvQlEEqe4vjbC2hnYVWLBdbThJEEpPxWMAjuqrJD0J/Yl8Ek/BBT8MeKzys4fGoI06uMqo/suyrivo4wbmSKfAA56Q9zfMs59OY+MNaFkqpq0PQ/uYDzcJRQStNyj04/MxRXsRutIRkzQlI8RkTIpUIrZcp9kX/1p+ebuSJYV7U9o=</t>
  </si>
  <si>
    <t>Szi9/Ryivo6QQxJWvNO9+r8GjwbSUfr44syyxPcczydaCMoFvpyc4tiU38iDszpqM4lPyvbPW+snSJGmNRS6X6Izj8g3NqpRORJ+huo2S/zcnPI/NzvP3NmHNdkW1vIzNOWEOd9bIIplDkLaYMNUdt0emtoYUmVK7XncW8mDClmO7AzPYCt3cPkcfhfmcJO+zuWJ0zAm3+YuL3ZjuXezF3IliM3VqniumFznkbemNXnOIyPMkih3j+M0FzU=</t>
  </si>
  <si>
    <t>e3ZbxxoDs5KQ6mXr93s51gCil3NzOh7TfcBGxbopa/itBX4y6D6JdOFhsOgX7ZZJQ/hLTBzmhLcXDiDKz5N+MSzdAPBobLELBUfW61OR+UyxnWQrmXPFADmn36nHQ3ZvrF4Lpu9HEFZ5AoGrLvGTm+JFEM0XaLzxdbYN0LSozFnoLBjRDccS13mHzibgZy80YrzxVnnUP1laeI/AbC4VdmkpHSPpg0H4viciqCuqcQ4cESGvEPtCpiLrd8E=</t>
  </si>
  <si>
    <t>LGeZXsiwsmM+bfp6RvhfYdmIesQ3+bNyRg1n338SEVMY+rUBhYzFERm2ISuuBhMEgxlgolb9az/PDj1Ej7nO+5JhgVlhpsaE2cN90LBLK/e5PNUFsKgsQc8grdLRR0wNLQp11gCUrEQzBrywDljph+81CprHKKGfdNdU6OAPqNfxg/NyWoohnaHaeMo0a/8L2W4ivXJSP1cee5bSdo/WyQ5019ZA98aDKunILaQUyHWBXrYNpT6+qWuyuA0=</t>
  </si>
  <si>
    <t>vOJXQTIEH8VxohbhvHBXQlNFj2ivWAcCKGzLsfd2m11OCVfo6J65LJSVdTB0FHaPVxbBjm6cbYVL9TStfjK70oYfdDgnNPISIQvyG4xuNQ+xDo5EG5oGwOvWrDz97GXqmdoCHPBlGASFA1Li5mxMV+wpecZYfIsEQ+5kdpzHx8v8BmgAmSsIvcW7uI/L73TnYQXyE/yh2SNzuiYvDu+u5f4CqQOxKlPcUHRVOSdcARbhPm/qQxWJbEyyid4=</t>
  </si>
  <si>
    <t>K6gZQ0bpQthBVgBwjqHeEfvFGBw1On5DKCxvLJmGTH8R7SyAgN++Q3+9fnEt9z08zaPlzAzYYn0GfkCfp2oTfebgd+j4RLGtlMwPBmBEAtDCmvjnLoqLwqqy3w/vQ0zW0WrC+E4GgcCW14veNqJNmO9iqj4h0tM0/bCAkMKzNRwnqL0vYU+54p5TgCVXEcmUCHxn5ngdGTp7vA/a8EtpqVVwS2I9GRM8e/C7/P3561sPN+MBg64dZmaApVM=</t>
  </si>
  <si>
    <t>TY8K1yMs1NcW7EcdK2iTETUQ0LfemzI3Sv/uC9s/NEPBX9z7o0ZNrvkpV85hxamW+EccoJ0+R2w+QrNMOgLZguDW97mWCOWpt5DUb4SeBOpQyi+B9ollcDKB9FJdxIqh/ik77AM7GL5OVKVeJ9gVFte/SBnY95BVOu7KjkhubaOFfRDvHx99rbM6QQ4BWZyt+yYq7ocvxUt+TOaXb9JRVYaCqoE/+g+WB7XQjr2nufblKsFP1Bp/Lkp8ss0=</t>
  </si>
  <si>
    <t>l4KQumj7LeMsgNWq8Lnv++95cP1ejPV2KCxZbOyLsRI2SnC6/+xKoONuEQeBQ1lTMoeNiSojEzb2WmJTQJWptgNpKF10J6z2pDu270TQRDqjhLgPFcXgg4YKVZZcZnyZZyp/fvKKLFITCNSTUXaV0yLhu41PKNZ7+VHzuvBC5+fsamA5flBVpD/Ujw7gOMMDQ2r1ic22ZyN3iIv/YLQqx8A9bxZDgkZ+Ncc1e5O0CV6hj0LDavWl5ny15sQ=</t>
  </si>
  <si>
    <t>lZTl8uMCXyo/ZlwgvRi5HxhUQkdhexV8DugXARdGeGovjkUy0i9goghQY4eNlWiVIsc7Gysa1spD/+Q4YMGcE5KH6KEPSz4abDSutpZ4I54teqFYmBw+dj7JghY6jPdOy9qtws7Wvs/QfAGX5zkxCSgEQZMKFHvNC8mq/6xoz1+zImTndNEgFJ5nqKUKEb3VwYWcbPIqkvl3MnaqQSLXFtJ1U1bsn8nJ/uurXlWlsP7WFn23J+Tc20aW7Uw=</t>
  </si>
  <si>
    <t>ZG0C3KVn7PAWyD9yeYFiWsYHMG9D8gk0zBVcvWejMpBjguf5GiFFfD6ijsk8q3R4jhHUJ8OyZA/CA5gqEz8SPlclb7CjBT0tihCRIidgvsv69Ac8MRYW5fFOWY9Abgkczg0XJe/XB/62NqyTy0dW5jsmi2oPmNx5eqpqBqXa/KuIyGQFswMuAd4lmOjHvaDoo+SV+DaM/mNrfUh7ji8eysab488ef3MpBvhwP4sLaE6J6gYgJob4sy+tJAE=</t>
  </si>
  <si>
    <t>FALIRc5AJnAtK5jdgrc4II6mFM/WW3TQIWepS4mfzau/mJYhusDzcUN4jI9PVhytjOuwPA2uiqW2QupF/uVklOIZWjvTreX9npuXdUePifmGZNIM2jcVthU+qjW9lb+Bzs0Tss7+VR6dERqEMhAvMSWL4Idv/CGwTwZoTHm6v1JAwcD7eXQwuGuQGcnU8siGtqASGZ0uDWU2Ne87tYqwH/G4f1R3g6H1bSmIy9cKf11B10QALN97rBo60po=</t>
  </si>
  <si>
    <t>m8R3RoAzfR8BBhHiQfx7FKuERGSey2GyIbjV2emHyb/glCy57OeQNx/VNpTrcsbnhBhsq51xJPZ60C1LAWBjkb2hmrgjdifO9QEE8L4QtFcT4DMkyXflJ60lhzeeP48ZrRBIWlzB77J1FtsAuSn+yL4p9CfNzXBrQHK2By9Vi2qeKXiQ6DkD5aztuRZbkbjaKplrClTM/JqZvzeJHpYAHZKPdzvBAnAm3Fa4bOMWge9najNnyIJk1RITzQk=</t>
  </si>
  <si>
    <t>P4iNUHJ6JiYUEGGeQYva3hyzPwKM/lNzseD3vmFnK3eL+BtGEJdoecDkyQTymiUZClUDPVIc75uE26AJU+viziHc3LpJRJ/LGwjljJuFq++u4cR/zvZKZ0N6fQjUz6lJqLdWMTrdQqI1Sbr2LUBfbcs0Wl4Rg9S9B8vvOSwS7KeKOyKW6Hrt2mGIVHE3S/E3mSkouPl8inocnMp63/vlecdLZHkQBWProj0g563TY6mmEgFWECrBgUynqxI=</t>
  </si>
  <si>
    <t>wU3K6km8Vm9KAgVIvUHbqqQCsstTlyq4GlhYxJjr1OW6m3r1zdTrYBv5vfdXaHorDMBOrBu1lQe9huDfkzi/H4x8kaZ/QqPAkhww9vmDv/HbEyu5bO39DQU/c+TcW05F5tyoprgOP4AfSQw6x4lrurmJ/1c3CpbfVIV4Qihnu00tEHiQOMwKw7U94haUzc1ee6cf61el0jYjllvJQr/nYKThGMFYOsbiPAflmelBoeIkltzsILKaNEo7Cxc=</t>
  </si>
  <si>
    <t>BIl/GUAgFvqVR0pneY8JF/zjiD9rtafCCrhIjdVpXL7RqxGxspFzaw+YZTLQ1j2Fo7ZCpJP78JE1hWgULrBCnkHQ0n9Y0G3YK4CeoaeWeAQs/THImp8FKQNzbwNtnB0DscBIl/X4b1GUgnvv0B0cilng5ykreDraAWbbJjLV98C3/8kegvN5kdm+G10hdMyrpyR3Wa42TMHJn2kyQ/f8Djy3zOK9zBpGFfNHIkJCNLyRlmg7Do71UFTE2zI=</t>
  </si>
  <si>
    <t>lS4kdE/kUza7dtpMN1gTloczxgj9hAEK2eKBkJYu/vYQRDIAVMy7gIzYUL5t/TZvln2Nz2kHIrQ0rB6P1/pHulaDgrSfDMTM8kU3nB0+CaZkL7IwQwA0NWU+DRnejH8c1KzEDXTs/KfdPEByrem7spCCJCb6KtZkiLMthVUoasv1l08NHFjbpDV2yeEb1UG54y4yNlDr3g16bDi4kF30cRSFda86a4y77vyF4Q2CKM6hFPpDTbLLyBEWwHw=</t>
  </si>
  <si>
    <t>aEqWpKRPiDbz8JVUiNUjH34dyMkM0ukW6SVm36wvrUVf4BNTiUkJj60YGdG7ZAUXpoWu2IPgNAALs/4xIn589CTZUYYVbMZ+ZZB9yirWDhDcjginfNjZxPPCWDQfxVg0D1GBW28VIJYbzrxa0Q6aUfrMQecarTooGmDWNYl5E3C+PgJDbE0A4ssMoRVeBsveL3QZ1zE3OLj3PVnCQFZNgq27gzcYIOQeEzrLasKSk5yLFY3YIh+CF4Krk8M=</t>
  </si>
  <si>
    <t>Qyau8JwTX4in3jeFGa29FxKL6WRFJLTUOoHiBiGOt6XwmJIG6ywhmzmZ1mBpH0j4Kyg7CR+uc5ZVh1nhbhr6bn0vXwbyYvMtkD3hc/t38yR9EJDJ3AlYlNJyw7o/jDYxQkoKp/MkfRhRh3fSHRAsHlae+PifoTE8qYAhzk8h36FoYhi6UO/9l1zjP9i0HjyIlgHHqUxUePEpmKTFfNjLMG4iej78+x3IfOshxU6Pc7sCcDdW5Bh/dZY3oA8=</t>
  </si>
  <si>
    <t>XHlRvwNXZ2IxHdn5xJlk5NsD6cud6kAHjVNd3CIX5AetBunscJ572zdMQpDvISXTVvb0NK+UrBpAxXroYAq3A5djKxRbeu6mqNUtbFzJ1LFTDgd10AgHzoXpMxX5NBhAN2QbVMyF+SE/052poCwFzoQi0/vASt5SN0aKkQc/cSd42CXrnwfEmsYadQi97CQk6AKq3LWRRRsimhq4W7s7tUREAF1BgD9g9YqqF+PARCh1N+CxvjgR7eqbLxg=</t>
  </si>
  <si>
    <t>4CtC+quoIN7QUsSjp9P3a0/ibF4JWocR/UJn+fon3YDSCImH202f/69gXz/DGk5afDzR/mB110qXReJMepigMWz0VXZtY0vuXJ6fdT2AQnPk5hHVv04b64Uyln10rhA/oD038WvA4Qg/SJap5uU9tihLjK3+YJOQ/oX/4QED86yos4bSQWitSSOmSlDrlnx25H0iKDxZzV/fFoqWY0Dw4mocts7GFfo5Sh85pBAgT8EhhdsnJe2CAwUJL/w=</t>
  </si>
  <si>
    <t>dtIW7UK5LG9cLxleEW8V0mZSLSXn63bNUeErdkZFcgnFJa/942icJzO3IevwALqND8ItUNEHMqXpMNNYnEcEeoKofTabCGW6I7nCjQW9v8AqD7g4N2QNBOF8R5G3BdbwjCP36Am/xt1MvZw+skNVmWHesX5pp137G2P1bCXnri1NzN0WISajDMMHQPAO4ydyBhN2OePELYa7BxPzS/MlvCAQfRgy6bn+JaM+TaQ8DgZKbUWP3QzAq+PJb3o=</t>
  </si>
  <si>
    <t>xkvLq375t7fSH3SsJ5aH/Wx7haZ593uACmXOzSQQ2q/wWClPuatRwjVFyamHIcD2liH88f2SqiA/5nivGdD9pl/WtcBVDIQMdzZbekmfa3o6070UEN6SRVWyjfbkYH0mRDejTt3YGAfOcy6gChbhDMUonqY3BOgrgdBsWHgSbJpkJcN0ZC3GvbYaiPcgLuUfkNfEkY1EjgtAD46/eUadrHk6KYirlQV/z5Gn9lS2e9xRo/6ISD6HmEDhjoY=</t>
  </si>
  <si>
    <t>nSwGc34rQmz4wxRgl1IfAuS8nXg3LzNJ7cJSo3upRll1mkhxp10dCDTrRkXGux5vCv1jCUb1Pc+E5HWRjUqFKBAkGqb2w5M5peqSOB/A9rX3ERaUskF+jIkN1gyI7Um3hbxL3TZbw3YVUrOA0IlvR9z0O7CMHgkbloN9vkSJ6ZDKNfdBrsuI3ypTRuOzKEhrKL8iiirJsdzqAbQton8Yqj2sQiLhS/u9TilDc1CZz3m0ISv5tPPP5FAs+K4=</t>
  </si>
  <si>
    <t>ZQdO7591DV82lKTaeppM9KgozncKOhQrThzIcj/MBZJLN1QPbuHqjhvSZkqoRx9S9anr7F8ibjsEhIQdnhbDJu5kAMmj6/95nUzO/4J8cEsgSXDXt8Ukk4iZwiFYN6tH2jFr4Dnq2zprnrsci3WDx+tYF8VIQEaZwfKYZAsRKs3wHhzZsc2HBDz1ngSE2ka0yKXX1NjGzZGUhTmGoZ5NziTRsUYnhUYscEmP6UxKQtMnMPZ1DoQkVgIrk0I=</t>
  </si>
  <si>
    <t>4VMSuRNLKdqFK8NEGRy6++1AKPu1Qp0ugKfNY17dWewS7ue6TmxSR8W9OYlsweiT7GsmKcEGxmeGm1Zma+BwNi/cjB9VyiCIew4ey6YDw1uLWhlkssPaNIcpoo3mL4E8azM1zXJg3pj55rMKYBL+YqvqFfQbJPYRKfLvDbCy3qPHGmmU4jzlv9AF6p7SebZ1+8qEMTWmeEL1A/MFzgm3wv0E2EXHSZ2DVC5yKoWgjbAh66CdNEUozwPqs3M=</t>
  </si>
  <si>
    <t>tH/J2p+CEa6fpwwSz/cW3DE+S+0wuOp2DOhP6SinVe7qjlrv/YDfJqsaY8Uxlra7vMdansB4ccQWB3nhhWcN2KcmJLhdk1xeQFIV/gGmflP5Y7ugnPkLfQyP5Uu2yiCxbkLywfy4KJCokk7/P17kEz6x7q/8gvajHk7RTOMAkiFAfiRQYJ1BKj6NY1wLICRzKZK/pEpNHOIWMkU9qZo2Cu9y32dOlPS6ZRhCpn6DL8lxpxzTCuofXNShTQI=</t>
  </si>
  <si>
    <t>Ehx02A+lc6jwcRh2b19Jc417/AwxWATDTTPqa8uiufymXyoQ1ba21rkR5WieKpZjZIRcLBJz+T2OJIW+i6R+zAojbgWU1HxiOdD8elUDIqdx+AFYEb3DxrJmM4pMFJXUHXZJCFGZUCCy1dxt2gdgppaC2QIe6KxN2RXaQ6NkjSYDZiECVLG+9/H2t8bG8B+B0hrnT5s3/UHNppoMe1ZFlsIrI0CxrbpzL/gWaTggTZ6ylOGAr3Tvdot+ffU=</t>
  </si>
  <si>
    <t>lxjkull8AJOr6DAHTxnKqicnuMDrbbC9aQZ8NCFUR6wtF4nfw8Suyh/s5hwVhCnSrrU1YIu3KHt1rTtw6Da+VaP99ErwAlox79ucuowhvUE2PB2CMY+5jJ+dDPO0/4HRPXyhEiBbO3PQcweO6ArHJE8QfE90Yk5SWMKqvfQm+Rqfx+viJsLChc92cO+8WkTA9cUEyxGJb0pp2lP5tPT9gYRo2QTbMKGZYPWVO7YWVAkHTWVK/VZTHuDIBTI=</t>
  </si>
  <si>
    <t>ebfFJVGhhwLVV9gxHG+ozz+aWGHHsR/w0OBGwqvgAIfycm/eYm+A+NZan9k0ee7rpL/WFmR0mnm4y7KQjnT9ZFVUqg0+Zb0iuIuWlaBlETrq7ZCuOJWnL/9hSwFkb62JzgBmXiRgmFKtW7S/nshGPfyqV1AxDhq5Vly4rFTx96UgRC25W/rMFsojc3w0bg/NZGnZWSCv26rEDOOOVgBSwAhZOtDglrT58ZLNipyIw8FWdoxe0Z+UlCme4DA=</t>
  </si>
  <si>
    <t>Tj98UyA2sfW+5+xb02Nmf541gfv7/lh0Cgt8x9je/22S0dGde7MPASV/iKuTXWBPjEV3Q1RsoVYfG6W823Cr0CtwD34Ze4zpYVYFcB/2Ig5A61hLoVw9KGg20mW7LsOkdi7X97v1/a1RjruFVifuzIbVS1Yeoi45Qs1EbtcbBOteXIDD0E4cmmgoBNMTM3LKXna6JEzgd9gDo35aLfPeLDcCeGKkLVVaZRr0aLtRXzRtP3+zc5s9nM364dw=</t>
  </si>
  <si>
    <t>VwlB/7lxPpZwBoW3ddUEsLVhtGfJD2tkx9LBonCArYG1CSMSCo/UlfjcwyTflJC0/BljuAJoz7BNXF37Eu+msWUlMAUthwEgXUPTQklJeFcjfBiQsYih3SnjmSjTAHTLy8aZlgZiuAvsQ/c08vk7u8h1BnYUZmRH1tBXeBrvM5AJnwYbRC6WYidmcA0+XrrrvYHW5q4Qi0yeAlmm9vG9tHycM+/vv4s++/f/vQJRG6CRGgOr+U5mMajYxVA=</t>
  </si>
  <si>
    <t>BLzE7iTkf3WEe5d/2h6dex2fTgChSy0ITaDVHBviY2tASJk0sb5gDxatl5zlE8MUUhvlfXRayVg442b0YaN/gvHO7PIuUEzQMlkhxhMeBnchKl1ENDYQrYjcZdFuItfjnOMqjzomDca+Jj7bEwog6Y1XO31op+YSCRWwxKH6tagU1z3LLL44pSOFHMVwnLKcPl9WDk5GgaoU+SbS6eIBBFddJtJqvBepsx8zlKkeSsbLBJQpGjrO6IWkNpk=</t>
  </si>
  <si>
    <t>e65qKUj6+3AVjTuLkSlqF1hEAwuvMBQ99kRkWCQexZ7VbJMuSS0maULTKLx9fxtdIR0ZK41Sa80u8aJeFhbzWet/3ntA4GIZURIdB6NJ4mHDICAg6soSCYORV9NNAkZSNu+c3VCjypjI84QQcXgPXGy3mmNGaXZnv/N6BFRVjAnrFlYq9W/1DkSQ1ZIGIhGEAjHDgYJ86bSb/MMllv5P+yE9XygsEQd2YWgqwBH/3cDJUf+0snqan4QG8bA=</t>
  </si>
  <si>
    <t>kR7lhAX/LPNGwbcOAJs/uN6NSARQdQE5sYT/k+YbenZe4W7pxcGxGKPBELRo7LUf44QknzpcXn3GdtBAsEPOm8f+xO5j2lHXCr0mi/7UeYNNF2aiirWvQebWLFXiwOFOUCFuvduLCl2S+IF3HQND5M1A6L3nDzbBIvmFiJWxKQav4YR5dm4tr4F5OmQhsCgm1AYnafFYxZhEKQmJ9MdLkQWmT/QKD5C4Oo1lp9vjMOL9s2LrUlT95TT4/z4=</t>
  </si>
  <si>
    <t>cLb4XTadu+9CIXaNxsrJNYPCCJYKAZeHKlU2w5ya5rvm1aR6q3Dl0iRSdzJNps0MXJj4559a8RJdHXP3AKxuK3k2EORHUumlQMYUw/QJQcToyt9JEq5g5npokKNn6SSqDIhx5X7IyLUJbWTfRuIBrNMywphH6uID8jb8lbnrzHJZwCq33uGDS0x+GjwIHI0rGx7ZLQZzSbgDIwi9q6WXMmM80ISlwvJleOG0D19VmQZjGYQMCyr+W5R+Xj4=</t>
  </si>
  <si>
    <t>O7ipFgVk86N4Z4sqOHm3VXnZTFUfjzsBTEBSQ7cf2MVGiPCSOxg+mxKicyoD3EN4pP/Iq39KgaYm1tdKvrk5x03MJIkVB005JExfEuNBWztbyD+rypbPm6HbT5lgiQwUWinJhNuDEkHdtZeWLZvmbiRmPKDM5kLdAinw+mdzxCjm9gWQr9/DMtAiL9RPzrkun0nqN4CgOJeJHCq3I9bKODd6BT0FYSWPW8qVV5PzLHdqo1G/VKkMt6zM60U=</t>
  </si>
  <si>
    <t>5UV1qaQiWsIbknIlY1pneHyoTwCvBtYjUP6CTM/r2kRYIAWlbf8lN+vBMnRkwH4Nnz9vA19nCXxus17fFj/ZpMYTsJA7MlBL2Ziu8nBgKqIedMM7NUyN3giFqJTUE2a2JDMBsTfGfcGxyrDFn4DhRvJl0ODhZvxCoegaRQTwF6aLXqXUd4JBQtKaSIjUDmdTcTlnljXZ8mEBlTzJGAl++DhmaDwSILNiXJ+hoKOdTok8jmLswhMnEeav+C0=</t>
  </si>
  <si>
    <t>cN6S1sALoJlTrg/UdQcZcZ+xwB8IVzG6jP3R1xFVqFCbtGmBWiXnAlrRPmmY6gvZHfWUSGg24u1/WLW7pase2W3fBL/lXFXrKST9bwv060ta7rKSh99SwS9I5UZNto+YYvM5VTOr7tf89R+/a0mrESLMCpvIo/pp2lryTBmmyvfptkjToq0wFJRripQEluHRs9KPXN+JZBS7Us73i146bFmJ2uAd5HHRsi1HInpkb/7g70IMDxvV3pG/+7A=</t>
  </si>
  <si>
    <t>RlkFpG6Zfm+BgYNQLC1ME0kjrrjygLOR0TWp5in4u7P3xhSMO5gIPCytSiFoaW5+Dzy+12okDbTa+/FfyEZPZlhSDFwzLmekAjliyfuq66QAoBg0/2CvOI/IQxd32pHBigK0eMwWKsRRbZl2lPCvm8wQykYW2rwTZFPhke0rOXKJ58umvjiD9tq+k0iEZ2+ERYNYo68ikuVjNbCnOhFEY+xC8BD8jRo+g6UBJBf4B1cT/eqVTeGeIvMR0zw=</t>
  </si>
  <si>
    <t>wKJ5b2m2OrizyEJL9Ag8nh0ooGCE3qEVlumT+MGKsCTHuam2V7Ch7tmbkugwmjJbp6ho/jwXZbQMDCS5GHgKNZw0WQ6oZz5cS/CiKJdPFPAcX+veyGsiAIQ6LiN3CXogdCHw+llKfyM2mhfr/tr15zwAxfHpgYLVi/UuVkF5xoS4OVQqUXyZ/UzN7bawXRB1W2Qma86I32JMIS8DXBp8pbhWp7WpdPjhYwzXGLPBLfSveAsIio6Iv5WFp0c=</t>
  </si>
  <si>
    <t>3I8q/EhOqvOM9646iZ93oAx7xN0Ls7Wrk9qbhJwnJNu9qV87fNqb/8IGx5NtLoxT0AqCRwgSIfcBwh2eBj9zmz7mymlQxmhMyGMO+4xSm5Q0V7pBXMUZqk0tGIHRpNwMBPdWJbWLlll6AGCOGakkktJ4SztHDjEDyBJVnpZ4UA4e2vMgjz1W/0D7r34OeclyjhjhK5D95TGUT2s3URwUHRP9sb+TKoqyqqbMRRAolMW86MsIxLSdnVx9XfQ=</t>
  </si>
  <si>
    <t>B15k0sxGKI2/b8JO+P1aXpQeeQu/HVR/F64r+ufpEkiHHMXgWZihppQWGY+LsnOGYjIAX+N6+nEJVRcUoqv5VEczgxtich9qiOCHboN1RNGfv1hMt8XdvQM+7xFMaVzaobFqS95Rd7YiJDHnAlBGb4l+3X0/KyUDPNIgQT2cq7VlNZgHt+EgICPwAwGn/5WILqu3XLDY9UEkd2Sl1NTIi98FHDED7qZAiW6HObQRE4fJT0QxWouffQ9J3SM=</t>
  </si>
  <si>
    <t>8GfJjgoIGCJJhApixCsygwom6yGfvtKRKC+d7ecoPCEvUslvYT6Khkm0EwRi+cmjhRU7XP+0Zbho6dnhosV4lm/Br8s4PhELM3Bt2upRQnbyC3UrO84a/vMpydatmOwmHO8G01cGxm1/sCmYAVb1rQ/hJacBc5oHSvcBJCXHXxQiVM3YYgw1kBEiOuiEpm+4tDKkIWNHDQ2ZzdbLSgrONFmolMiNR5MY7r2GecT7ckIyuaXfI1jluTlLrJE=</t>
  </si>
  <si>
    <t>2KsNM2E07wa0Sz5iIXXKcoJOxSL/6IWysDHNdNRLLMgeh7Z+5wm4X75SKF2UAEg9mCGvRHUXEhqg76FwVHw9fXNiNcg2QkUfPnVnWwQa1bzk1sdOvKa/jUSgfcP9vhAzTbq57DErh1RUIlwRCbGXSn4+YeyUOOMvHVPOcbErq7uH8nNRXqSRPsSOxT5KV+iPkKlBv1MuBtDFjroNKEsWihlGtmxgwvJ40tGOwc2vrgjgYHVSi2tTBa3LYbs=</t>
  </si>
  <si>
    <t>5iwTUW0FkT8ttQVzCrdQwEtJY4KYqf0GwoVxeX3EX/HrgHGXiv/CV5sklbmGPkW0J7Yb+GDAKjK4KdsKf8sQ6+eCBr7vyR/TiRsr7aeIhOXDucVK3CHTptwo+F4v6WaCVcFc8hsgTa/M65fo4h5Da82NEPNaBEW0WmHOpSw2Ca1bE96IBOMve1ATKiB3LFG5wKRdTHsbuapPlYCFKtmlRmyvZ735hm6uzt0h95wm+fcU0LkO4CF0gr5QYJg=</t>
  </si>
  <si>
    <t>RHSKxUYnjP3ly6VJ0tvEemvNKOg0ucbb39jAItnpiYJmLxcSJw7li13yxYBhXYyZP3IIcH59uvt+zLHYs6KX9lqiRu/e4sWUylQaf6zXNkOcH1LsyzDj7Fk9Uu39nHYPggm9RDpY3ElRbhfJGZN2UUZGIZmdLKuEIoZA4TDZpb/Y9fr9kAivmhETpfxdlABtP1P0fQPW412cDpHZ/2y2bE/DUxzCR4pI+xhZmLo33R9Ixi7E5NZURbMOgPM=</t>
  </si>
  <si>
    <t>Vei2wUMoQitl2YL1y5I2z0UINzPcTnq8bVZsFbEA0zYoYOVqdK+UB1UrVmUWg+sphKiSB8zNEU4stytqZ732r0k0FbIpkhBToNj5lLP+g9MELgeJGcCxu/5j+1L62CB5WHGg5+llSrlF4QWRfCviHGtDV0ORrD5FR3bz5469PwL7YSoJnaSmyJy0GWuclDwgGC3LJswnRXipXPlZ7Ej+9o1a2aiCkiu787VpsaznWMPucTQ1tEt7ptzJOts=</t>
  </si>
  <si>
    <t>Udy4HkIqtS/yxiWZ3wti7fWVb5DPfvyH2+JzD9g70is5r7pIlGg2n758Nu8tPe97HjBekp3n1qehs7jIVxSahuFBoKf9iEfX3NvXJZAiMMigxqDPj4PUKqP2fvq+qALOAl/WCht3QAxvQQT8cGeTXclNYNIJDpMi8/u6BEwBdVXJyUQn4kfrcbwHebHFhPr7JowW0HuLz0k76/sJFsT1ojKdPOJ4S/BgpzS5r3rSFS81P6QVFE4apo2qOzY=</t>
  </si>
  <si>
    <t>gIo7c7mRv6pE1Na83l0qdPnnhNQ0imushSv9uQc/6h69m/gt7QVAQtBqwUQQGzHTNls0l8HsrWqSdGZsAeSDZHFtZ0c8arDg7KuCYVHrRYz/+ehTgEDvcPgJ3LYpCZ7BljqHA6sxrRMzkSXDn/b9qiNjMJPO0A9LyuOcvn5h2mDCeik93kM+BEAcq3eCPyHsu+yKSovS3xqrF8La5fOmgjc4KAk5scb8a13VMYjjFpd8c4bPsYkjEu5LD1U=</t>
  </si>
  <si>
    <t>G3s9zFdBs+QCOBx3YBpoC9eYXIMCF+W729jOQMP0xKg8vb93SqDCsH9r7v1ssI0vXpND6ozsUuQXiX6s4mLYFo/6vij41RXOJST/NwNn0qGrvAH8xG360WmkEJN7rnoZSHDTj4mgHRQV/R5Uxjbuklr4WOpl3JyFM8DT6d0aEme0FS94bhND98JZI3bYLqQeQR6A9+dvorAkG7yDQXUjjOO4sVCD3pHF4Su5JYX/7PART87MGF8aCz+0zFY=</t>
  </si>
  <si>
    <t>E4lnGWz4ymV+NpMJNgsYeI8fGfliKJE3QU5tHoBHkDaZZ7XLLsttxsnmijHB8wm/lmfQToB5tH571t/4220rNxeCdjYB8YOZvn2w3ev6qXLzTvWGm3DZtT7rtwSLjKs5tqEHhYPmjLOS9XQ3otZl1Xvur8nawghaUr+ZB8U98jSlb0i6vjHYe0RMqLq73tnTDcVGHvcrTWL7mybkj/+TXFgOhZ8vh62Z9QMWQ38I0aw1ci1LjRacVaowYBw=</t>
  </si>
  <si>
    <t>02YMExHfbQU0tWQJkU621XAA/K+Y/9CGC3kcmXqFVl8sFWhYj3f3t23zGmQ8wak2yGtD5GNQMcw4FFRxmpyUqHScL2oG+xc1rxxzl/smLarrVZRFpgV8Te1A8HXbTPFHcPBmZwFTiPTD02HuhoLZ5UmnARDUOYXNBcb0nAuA4NM/gqvbOEbLeSFrT1midGLH21milvUzfhaqJZJA+mwjBmWP8f2n0QVtvuHXNZDfNHqUfGesDmQSLA4rWkw=</t>
  </si>
  <si>
    <t>D2K3nMqjJUpKidOTiiZTlyEEfIRjA2vuGgLBgUAbabl4mS47eNyq4eSv0AprSe6YqQ5DJgL7IJAwtbRy3w5FOxsYpWJCM7MI8XhsUlG1w5T9XUnC8fccktz8gcCif8sD2pzJJmojJ7MzaqEeyIbo9YEOI6zi9QUJMZb4z4VJlVxXWlWWviyAxVkQN1OdStH9UYQ2uykvpXjoKVyVHVCmXgnZ4WV8MoXiY7oIix1+KoMNZ5YYU4UNDnXH2Pk=</t>
  </si>
  <si>
    <t>5tcm9G+iwQII45uPGQV7F2gBgIySQyrYjwIo/VvZ0LvzkQmNgo+t/CIUF3OajM6HYSG4FwP+HiKz7lfGBZECIkmooWaEjYQUPNQgP3dUsRFqh8Rp8cCAqEa9Wg2H1xb16D6eeEvBWNgnJV7Of7bafwR7jS+KXjZOGQQRYzVKJx37DELbm9YftFTih76TNxmH4JrNhQ7f78pQzyJxqtZ5F/4qK/Soa/5vECX9ZKXpPcwWnFJ0WEOxEREkgYQ=</t>
  </si>
  <si>
    <t>dMaC1f5XMuzS5hm7TrSXtSbrgE9xXmJBTBLm+DqpZCE8GxOYmOhP2UrhXpF3F7Lg3e0QaPNlpgO+rOc2YBJdsm905KYHQvgoQiY8rdZ0MH1K2/66HV5CBa7LqFOjkQu7NtJQljDwfaIUTQrMuw4eFoppRo3+VTBet+GDYWmLSlT+Q5bdjhfWZchqekmdrh/UOUkyf6H8CnC+jp8EOnddVoHbxLJmiFZQwshtP9rCHvvKWt06ZDm6ZCW/r2Y=</t>
  </si>
  <si>
    <t>jjx0Xb5WwAVk2Xc56lXKxjX6jzHvdsFY/be3+LdtSly3TFkGqQ+inkKPYGjWPz0XpLBnIUroXTJqNBptzQ/lF2vj6GVrdKlsDudMNMyYbuMvKsifbd5AwsGFP76e84WCp3Kr39AcvEz+zOJtrDhMkcdSP7qw84FyEWKJlpuzuZAiu/CMtExLhamsXmgtZyyCF9elVnAIG+965EX6wK+VuvhXlDYolY9mTm7KueAlNkrZjGPdkyUMMz2SkUU=</t>
  </si>
  <si>
    <t>u/HJzJvegCcMFiixl9Ixe1cqh1/2olQfLGPjTfyvIZvzWmm8XAjddbHKX1vX+o+4wUMW8Yu+/wSfBjfNsI2HmL8wsJkC67Vw3URL6H4St0b7/gfofvvqlu+N+lF8A6NdEE7lXAeh9RsyyOG7b2TAZI+0+DRawb2f2SPB6YFDoTbMnuTaU7Ig707KeYbyrTtB+OGcdatS6g/lLvKcU6qjMoPa3IFRGnQdXA226na8IxreH2WVPZrlBcfAv78=</t>
  </si>
  <si>
    <t>ZLIshXxwO/ndp/bPdEsgZVqoo3NTrmdhqIIqdRgiM50uTucuAKpymVFGAPRdOO5xGSjKgAnmJ0vZdvRhIVbC9vEAiVwwNUTgHhR4lLx1yTCexnYnZfwvHWteTSyJy8aDU4TmuDwCFYWwbNDmnZbt6FyEDRreQ19h09ngIw6lpGZMMzmGrtDS1NX2f8Auy+vd+A5ifjdtG9kC5FQF39ny2IhUcXbYUt7FAXacLBGQ2DV5IYYvqk04AjqhnuQ=</t>
  </si>
  <si>
    <t>I0mwWO0LPijAPrNSZzxJUPR7CqfIg5eCteox+Sw6fgp+B1GZiTR81fa62nyjzkDPskDFVJjlNNYOb6/PPXhRpm8GSz91N9LMBK7p7v8PuIiufCgzGjepbydWB/HUC70mFqnFh8NPN85Rp9HcSl1ncu2rbp/WKFbySSicQJ/ybbODiCS2kwru0+U61R7Uekt9uxhvGWONa37XqwRRr7HMcZmnGOZteYdSSq8XjSBccP4PoA4ZZzpgy8wCmEo=</t>
  </si>
  <si>
    <t>xIbkqIVlqIAWNkv3A1OQUd4/AMsg6M4bYod/i8Qyi0tdSDhOcIbDNEK0v+uXNWmbV47WERMcumrVgcE9wpuP3oWgLUDLwMGYWAz7FBkVFpOqERq/MKHCma/dgnK0htt62MYvGJzHjdUti/sCcvtpyum6CTP5kekYrnefhxLEcwDP7GkXdjOYCZI4vVa20Df/Gm3tudSHRq4dNwycNVt+Er2SOWCEhGpy+ffYRya/H8DOjibYFhInzAOUrOM=</t>
  </si>
  <si>
    <t>J9HVKMWuG1qO4q7AuQPTfhosL3ZX3ckpfBK1Zjj43Tk6J6sHDQGkvcRi4ejVuM0ezJGYoGwhXENBBspdpk8vVpt5kQvF4TNh3MMNP+Up/HPCQ3QM0y5LvjA+JDiy5UqJufuEhs67vEJry6q/vxmY7VFz7IW/rH2KyNBQStdCGhrl9zf1Bonse5BRbDIHWGWqRS3LBh67Ek4gBaf3DOT9wbslAh3Mje/EJx3jeFE2nUK2hdKi/kp/3nFAMPU=</t>
  </si>
  <si>
    <t>FiGgO6F3lZ3rAgxgpBNqOLsUWzMBd4m1rvo2fTDld1i2sJ1U1lIFHTTG1AUJaFiMdLTEdVpxK2Xs2qGlK3SXN5YnW3Qm8cekR4FFB1Q6fkNIVxcNEBdzKklkURz3oVcEwmshjFUi2U2jNar0ogHYuL00a/yJpss6fApsDq9HqSXxpVf5k3YYwCdjLEuMbMo7ylqyE6qdwNBY1nfoQcxhB6eoEJ2vGw15JrF0pczx+wIEuwtIumPXivG1vvY=</t>
  </si>
  <si>
    <t>v+7OhMJal0KsCKtFIKFvSD1TViMFogP96a9qoYmpWKZZlJVZLY+DjvD43Lxb9+mgO4GkrXEAQPzOMcAhNT2YWYbU7TNPjdiErv/JgMPKOCsjGY71TdNNriMauJUAniGP6pDIkwJXxYLp0Oxay0N0gSirBVw3jD8t9Z9+0LvsrKKvcGK0iZ0avgglLB0TgESArjzhPXimlkjYcPl3HYrGM6vFZWx2OZb0uDvPWb7Yootfrrg/ZfButX2/9w0=</t>
  </si>
  <si>
    <t>zGXcM7J6WQ6Wlq4OsyBrmlckZp+Khp4kEE9e1iihsysSHTVXY97X83INSTxYfu7VCJiWA7xgM3+o9a3QqVA52W5eSEQxHiR5ClPtDqFaFaiKGdSronnX5t2/ux8tZ+CNfQRp9jbxHobnHlgJxfnF+TSZkrQubavvC7txgHQxiM17tYXxBqsOyiLE3eEIG9bjaJCQvS6QWJ6aVRwAh9RQGS5Eb+FfXB15+nXtCvHnJc+M3L6wZqCxSJeRgmU=</t>
  </si>
  <si>
    <t>VmWBLmTN73IbJ8LgAaH0hyaA/xnxpuru1UV2jZDhV+LkIGtp4jxeB71x6R70QKackDSb0claEjF5LA3TqLqdcZX5viUo2d2bepCjGaTXCrlLp6OTZvHXWyX56xJgMIzl7g0oIAPQV4iA+tNsPmqmr5STFoIdY+qiZXFZT/s9558AJtx/clbjJ65PC9Taolhhabx5iqtgAyujRxM+7gUK1ME+Wv1QOap4wo1JRs0fFWSLAEtP27Wy0/94qgo=</t>
  </si>
  <si>
    <t>z8vWR+0IcyOV5wCPTSERUolKV3ywLlQfXCl+fOKpUiKFPk74h066SBCH0tPGBFpYO7YsDHq2+1CXz0ydUwvmfcZUXFEYUa6sSo7a4vDb7n0CdA5Ge9ZuP8P+Y8s95oa75vPz2SFv/E16SdIf0yaB0EENSJ7N4XPzkkshk1Hy4o4byIWfNYM6CN7FocfD2UK9cHhdlGEBoJwdizaYEbUUnBBQEWkhtuvm2W06YHDuCuTSHv38f8szhSwdbdc=</t>
  </si>
  <si>
    <t>jAVSkEsQt5uiKZzhnVekq1VFZNC8fw7QOq25eJ8PgipYpWQ9ykER6zTdFDmyGxfVqdRKuSCLdG/5NIJSYV5cLOnZGl6hYnUeXCmd12blA2Dt/sc5/ZqbQFmIePhyv9l3iU0ubK7z8z2QlH1pqwGAjBze4EOixRDgsDkyaAmeCNkEO4ZSp7OxNc6++f9I0wjNJNXVs5GlFKCr0+L/lXsBncy+2jbA8MmCYZsFX16t9af3qx5ijQs9Cd89eXI=</t>
  </si>
  <si>
    <t>52I2b4kXHNeKhXVkr3wun7CiMA2m4a0pUHh8haA9OmUa0Hnyj8u3HBUmtIAnrkAsQVTo1vu87/W8ee1CGXfcFR3pftHzBicOqeaPrMT7adAxZ+4VkT3DtSI9ErJpIA11z2Eq8BkEqHLxQis4H8DooBJg0wA3r6pTIktCVD36c4WAM+vgLNgdtx2t6YZPwbcDY2OFrLr33RsmfUos6YvmAOKbYgS7iixbVeLpD/aSLvum4Vp8zbsqUBVpnsI=</t>
  </si>
  <si>
    <t>t7aqWQ0s+uABuBafLHvFDSSrHpPasiJFMCijMeoTzmXdcKnzGSk5VC5KWYHfg0cZrjH314JK+lenFxyninYJ6Q8Ww4xQpC3RHxfw+J2aEDCpM276f9tqFhOyDD8hq1WcDsKKYvny1QQq46Qqmu2I4tZaFsrVbk1xKyzIV48ZXeoFN8+/qstcN1mKVEaP/iXjLqDH5PksdiGlfOseEQQNOByGR1fJnt6rZ21CF7sMlAtCd9yKCCip9zbrolI=</t>
  </si>
  <si>
    <t>hq7zz+A0HTmY7U1UydkfO3KIWmEHhvosURu3NH7j4LdhQ6LFJVC4Jh+Gxf6hfCF3d3wk32/Vspz3d/zNLwHVoNvxDqFLTsXFKMqFr3C+/sZuCWKn6utVxs6rlpWPZvvhLiF2qFJliF7orF981AUt8g4bP5lFj0/mWYSAIxt7rA/bWL9CnAllp8pPmZUtJ3LYHIR6ibsY9kc4eUOdKvIQCyyK9evAVyJ6sdEw7sijqbnijlPZ2I/e1+wip4c=</t>
  </si>
  <si>
    <t>rpgWyleSiJHcOf/IZSo6xmBKDzmWYah+O4dWK0yGcguI7uAJ0HwBcZQxXUGQ89gpQZV65UTlCCqr1h3uG0ab8jyuV3HIeB8i6wUYcEoIRsX3wb/5DBSKUhve/TGBdmfXjYL+mG0rdex8c50xm8plm35wFTNCqjOVoOpVJT++MFWmktQft3GCTVetMEKQJsKKb/KdKkSvBftM9NFiHGR4yl7mLDgEzgaURluAqWarIGNv2cVcKIRk+pTGWds=</t>
  </si>
  <si>
    <t>qFFH52jwQ4/QRIz4F6EGZYcEBz4NjbEzwgqI4qqOuXfqbzTuOxp9Iq2Nv4hRQ97nOJtNLX/hdBwAt465xUFU/zPB4m7XrtXWRCME3zvOclpdTn5JmsfXUBi1RSdqxalAJzaASL5DouGO4Q5IgBIXqutMasyQ33NmGAOBcniP/o7bLB6C+JFhzZqdQ3ULVgpJ9MLiJSrGdQYKfoYUwFbQZW+irpB3WN3AgIoU/6pdtkimptNW6OFFVelW3v0=</t>
  </si>
  <si>
    <t>qOUFPOQXfyfboOAmXycsN4UNBFIQSpCcryb50mVxyu4VVIXTTZQn1DaF1LqZgTrX78UAq4oGq/d7cixJhlG64U17Rzug6pSgWE0qPYCSMfD8G2+/Gvq5n0gA1LBqzakDbL28fCcKi12dORc+jZKSIkSmZCYtnZJt/X5xPDTDDQ7bTjiyjIkF8d/iiHa6kpUPQ8frDu2beOFeb1yzaSkQg2SQdOm+hH6NyU4PlYlrNpBS2/G1zs6/WM8NWzU=</t>
  </si>
  <si>
    <t>kcPVMX2eQPgSpZ1vIM0Z68LJbjr6s7x921n7AUkfJRxpt/7ujBWXtBnkGKkqgL3mUqff1v0IgGI7aKbuKk+xwGA9xMhP2d/rkSEhfkituDLAIOVFcxbhkp7Xo/qniwI+FyEXq39gYDUqnN6uJwoXdRReltbCCsaCREAtLAjCDKOTZDeRVT3lCBvYtcqGcyN0rAOQTqhGhkpiDYwjqiH2HLy3xY8ucN47I0SnZcCobU5AGqYdeTOyIa6N3L0=</t>
  </si>
  <si>
    <t>TNJJ6Vfg7mmun9ENnoH3zur6PZxzdVWbyS4JZR1qfm2Wg2TWS32vWTU7rXvQoQ9+/a60LK9XjLhvQ/0uUPkuymgx9KC9+gCI2Ba6tI2Uqvlj1qmfvSX9Iqoy4nEe1CsCQhpUUgTlzLtFZJ8cY5oFbYYwEfumDCtxSnNzr5dPw3pvlSRiesBamiGcrHUQ5KioNGNicxf//5A3PTt759l4nuVVPckGrz3VrMNXfOmLHYAQeQlagFZi6ihr4io=</t>
  </si>
  <si>
    <t>jftzYK+h2tuFMYrkuV0jqtYtpKdryRHYsFzo3acKq2UGxAqIx1tsPuem6JlSevLSq0BwwmjEge7oDR79/4qYQypva46A+de7K/8CEID1uurPmQtzroddZ8vfa3zzspxwQl+071s+srj1Jbtmbncil15AnnwmQbi9pXMoeQDXBaBrfLadTmtvP40H1kg+2/3U94us3GO8fSXx02Ueyoy+5OlKcXWI18cvDq07bFwZwas/5frp+EbyW0e/s1w=</t>
  </si>
  <si>
    <t>yeg7W7lJInQQ1XWygq1DCnVOkdt7OxAYvWhrGDwHkdjWgvK/1YFxaguIFHU2BbajyDJ9gxkMu04w1+2AIRgan9oR6x2IsEX7G4e4dNvwd3jr39TLjbmQj/E59rkDXj/tA7Du5I115HbJ7co1k3NirjhUUKfn2Ld61JL6x4EZgV7AUABMCYW5VLlk/ux8jTZQWnFW/6xoXhRj/OvSyKC+giQpTQwyJA6lV7a3XYApddrDcY2jv6yWIOJilmw=</t>
  </si>
  <si>
    <t>SKOsxt8t1iIDFE6njx7+lEqXutOifz4yobeb46+jMbb4iMTtP95s5MihskMrx6eL5VER3dOXPlQnmiVwAV65aNrf5IjW9tamHSCtja1G8WPDhb4ECq5hHRUXVCYCtL+KyYvA3a+MUZ670xkOWDJc69dItaHgxNAL7vLfmDGt4C+DYyVdUivZugLH9d6+aU8+f9Ih6VxFcb4N9AzTCo4ptP8ZPCAgTqUoDsuaV2hPy/kgjcQcoDcmfWdn+JE=</t>
  </si>
  <si>
    <t>vuWUyBX0dZbmVW103ucHNteOfgHyE0AMJhFUex3f7BP0OJdK0FiZr0pPggbAbk/2yKMb+THSl1NYPOKJSltS+NZ+SF7MdB438E31Tbh9VCeHA7iVzsXZp7qT0Bdkwu6xYclwqJjxg9Mqen/kJnU+ZqzLrVUoxFDYN5FI9zmEr8BtLFdUGe4RqCtp7jkgOWqhGnBS8Y+wNdEmwlWd3EGG8lfnlawhMo0QfrsTCVC+VnWy6romTqbUs5g33+E=</t>
  </si>
  <si>
    <t>48e9kxmDnLOhDJ099AE0f/eQs+2vB1kzlknUScNH2qOO1PXlM/9mFhdnpMczoD32a1ZN/WIuquIsqO8v14kImLWuHlgpe7xcUdGbrf67XjYvphDtClHZ4uAChYOQVN1/e5up77jUj5bMv5atQ69q5GcGUHsEnftlzXJl4ljucV8Z8xs/2h/8hQq/hFJrjsvqtFi7GADDqBfUrReY0/ekKJo7Ci595B61a8I7HvYSEFKrax+xmbxfs6AyRxI=</t>
  </si>
  <si>
    <t>vz4U/X4BdcCsB8W/rUT/YYiwpDGMlb2bUt56jdGuCuQiyV10bhSl+QAUz48z8tYw9RRyBoU6VKKcxjOHN5Bg2ozj76pCPOt664O7uKNVA8f6ddD5QKN6or2G4kcTslxsvfBIBHE5HD3lO2mMajkjVwJeopn4UWkVIceCyrKCTVlI10FWziJkzdWP70Sdr3hly0S+Xp3aU/stHupvKJbmf6y3SBnR/G2R1uDpGofIhxYpW9tReExIsx4b6Ow=</t>
  </si>
  <si>
    <t>va1uxWvw2qBJLhtm9uXkjfcS3PpyrIKXFsi4pes6CM58pYmzKlO1HkcOcjy84w5aomyVo+N4SSF3CBcXR0HOEVqPM6g37c1pqJvh+XB3zaKvjcjq7+afDQ0PRgN56nQ21UtL1jVsRDCanFuDIW5Btn/isw934ONGwUudP301tePY32jFOaAtm7amV+UPPJlSqHyH0HrSqK082tq0kNh8n5rvSpGmbiChelnNSb/QCvR96XYXGp/xTz3tSpg=</t>
  </si>
  <si>
    <t>/p2fWCZUWkgwUMhafb28futzOHzsVcB5W/Kt10OvzcKVeBf+/BleClSGIQmfzRscWHS0CAO7mKhePeurxcsoMIkME+WNJOXR0XhbINxdVhjtf/jtc1Bx2/NlNGt9PsRs5d2kIijtVrjfIQsK1msw4DZUQkVovNHqss1KPZ0i8FVxCl0LKby6xlke7giY+oBnBLHzqw7qIobIf/SossUyWZfUhjkiLV4wsU/cCJV40tgWvAC1Wf3QlVPBePs=</t>
  </si>
  <si>
    <t>yZmevTLZDXH66frVfEzURH7+g28hBMTiTM6SzbSASSLdb1EJrPbVI9BbPRj1Qvid69brfu779eO95xgVyGMgJFwPB3HMnhJqbqk/5iaMwmvbsHztPbfon2hqZMD66ROjMlGnZqa/hcNcHcIpi75u957eRauuDLjgS7i0BGfXi1ACrs90SlNU+o3A33bs0bpiIHp+uu3+CX6pzIQ1ckNeMsOxLVeZlj99t23yz2iEt3CPx8/8ZX05AwJDwvw=</t>
  </si>
  <si>
    <t>LeEG7s8tcjBf4d4va7raUV7wQZE1EKWpquikk35Hy9TwFoN5+kimxPm8kDlrmqdb892oBlrEx27WNZVvgP1x5fjUQeTSBLghV3r9BFb1fhkBhmz3T2t4CkkLTVNMzucYKmOZTqnIqa3gNap9nD/ofVlGVdkOI3+c4pJJiP4sTe9LMFcAmZ6Dee1UpEJgujejo+8HVIyi7ROdPWbHoYzJSyzX2Vebbr5gxRYOlGX302x8W4jALYuCODfWmKo=</t>
  </si>
  <si>
    <t>fZgD/QR3q/HQhSVE8hP34uR9jCIyIvBkY+/R58oiel3EZl4lCSehtrpw7CjG9LRDAX/j3XG+Ezj5yc7mPI/4h0wdFJKQYJSlzB3z3K/Q6yy/bexPopPPrHOi4rc4xkN4Cb5qAkoYi94cWyAHCAlgS6uLdwl+HDlNjYqxCfwlcvHNm8F/QXf1YrbdB7H9e79b9SSRa+oUnRjCz0OYuNCymWcME1Z3mhK+2MVi4GDfZKnLra8+wRwEIBfqAy4=</t>
  </si>
  <si>
    <t>EddiE9tM8b+BneSX5Z5Ulmh39gzly9peH+UDki6pPrZjJg0vr/k0tidqXdsWaDpaaKV4RB/HrDVoqAzNAScavYYf629oaEanGEwxwtbc/ziZKW8jI+3zDw7tuJuqCNsQq5UDb5ZZz2YMPBOoF/qBiYnYiNqC214JqHn8lcOcU814eSZPkaKKb0oS2+uhGO+Tcf90TEKqWEqYKyvlnto/eXaPw4uiVVZiWaY71mRkjSAmtHeWPP72jH4sCsw=</t>
  </si>
  <si>
    <t>E6cpz2aQp26LcuuudQsF0N8ZHSr/RZ4aqTJC6k8OT4uWZsHJmLD7kHw3R5g9tmu/lrwOx2Oo2U4WJuLWPiFhXAa0uf+p6IR+crCAX4rPetd1UTPt356EFBck6Rf6tKE8KKO/gh57OWE79aM5SXWFv2eUdNoUK7lfN1owEpXmxti3SEvwsXc4NwUahkqqkmETjAW9Du/ELeYXUV7bBGDRYMBRB/MAXKCll66H8LHfrF8Ho9KKKLpzmexosRk=</t>
  </si>
  <si>
    <t>sFuzKtgpconYEFMcVR5HP+p1mBUgAGWuMKMm/S48UGZh/+HWTfOx2cmAftMvTQovBqNwAdfMYlcLISfJ97xU/rIlvQXpWrmZCbQqlN5uuweN4XmuMkjf3U0tI+T4l23faf01XPHfMP/yr9oNurC2+O13YhMZWQJhKfR2t5QOKUh6VNSsb1cdOHGdehIL7dKfrxm97TZta+lzTtnK1GayCl+K3yTx5ZzkRIwkJM1zPHL7NV5neRmYXLz/Fqc=</t>
  </si>
  <si>
    <t>63y3E50RQF9vz2nqJUjwsI7t9Pve1X4/402g4PCo9TFfYAWpl6UeQlqFPX7rYBuVOeLQUmJOc8cFDZ3cXrRwdk0s1JTob52bX6GiQerV8jUJngprKEo2MbwRBGGA7BWEERaRNITlqvVIlmLpT32m8IqISoEoYB8F59jBd4SSNjvEMfizQpK4o59hpRLdIDZApU8gIR76aDJmh4+kNgLGQyyzJqG7UxNiTU7vOWUyTqgD15osHQ4TtzFRz+I=</t>
  </si>
  <si>
    <t>WzlLs9YXd7fWIEoEHDEJ1D0FlrBncczHLVr0tVx1WbO83RXCoi6GjY35EfjB9YafzPQLTOaNRwJA6XbGfW0SHh0ERf34t3jfj0fHGXEvEl0qyz47+AFQ0mmhEFcKYl55TvG72+XydXdnKDqv5MsYEnTt+UgXM+s3+V90WVERd/ImWhwNjnO3W24IDhx4rW0Lff6rFbqZ8V1XOExcm2oM3ver1uu8csBfII8UgC3v0f1Kw/fVPvqCKGbK5hI=</t>
  </si>
  <si>
    <t>N5VrfpVDBfe4ouayzenn34g8tK8qMCXtq6EcO107HPXSoZAmJPnakAr1mJ20QlKY7zP5v3yTxPEM245vtwgtDgeBokGF3XgdUxTfDqgI7UZ/rKrrEh5VcJ4Y4XtjCDYWMp95B5aPEBvOjUV+EonYZ+ntpFM2Iinl6CnpcsFgpQOV+PZ7ZQE52y3iqZeufA7L38G9BHGB8nL3OR6VIiHMvvXp3QHfkMaq57wSJS/Whr2Wb0P8OHJK51DCaGY=</t>
  </si>
  <si>
    <t>6bHmm5UAQkwBnaYmB+OF7IJJaUiYvXqtAYtWxPNwue8cxqq/E7VzpIlaPEXTfIHnc1IH6r6bb2bUJhToK8KxQ0cNC9kV7/unyf55ThTFy8zD4YP5o9yciRzzkCzMstOhBoEBPpM+8hXtVu8c771TbJsn5hYlfWsvgvDMo4FyMwPxwwON4vuUDKIDL1KLg0AKSygszomaQXZVX34psS9UryCHzt9Uy6b6GEQRMPfvFNAL6gxlagDz62ClwtM=</t>
  </si>
  <si>
    <t>4yZ6K3P5jqh2JmmivS4qwWe6AsgmDU71v7NeSwujNmpCbSAOR4ua7MgQcSYsjyGKtdOCrxeEb0iVN+9tXr1Iy5mPCkued4JWs5iIbwSLk+Coi7HfUmoN6C3PzlxyE6acxppa/dX5ANQ6UDU8F9Xl1MKhSAjMuBGxfaDi/q2NaQHlZ3s88vFxQB1B66hHsdMQqo4H/t6smW2MVgdItp8UZ+wn1e8v7FOr6cIGDV0DIPJhMRHwt7f23WmrdMc=</t>
  </si>
  <si>
    <t>ytSb+5jpOAk7iNaVnER9MEYbWZjheQdTo30ECDirsp0O5YJXr8Vb2Cb2f5FOT/RqI64g8Kk+PDYqVl7f1xv90UefETNGLnGiDDB5FDDvzo42oI+4vKZPTAG0iWoBmonp4CC4Gn0GUygd24+SP7OlegTRdK5T+ytHWEC304bTcids2Xjxpy9Pme3/QfUBMXuHYAGbSxpmK5pZG5mtQevQ0a0ZcoTsCKT+7nV052kv/R7bUnLWYSc87dot7MI=</t>
  </si>
  <si>
    <t>KoGM/B6c6e+w5JXrLBazGmEBH1LJybuV+IrXTikhdc15UMEZLsDmgywYycDuY0MpDenK/39Fyo1LWUhBfhXi+YWozpdbUIM1JPow/HEJGCyASbPIiRULVvgDQiyUs3VSu5AMEEDGEDgSpu2Zf53cdowjXXTOIlRDvbwqTbOwoVp3btrTlejBaMt5QTp3wwx6SCUZFyQdHQ6jbUUDuSUj/vYww1Z2rWO27Hl70ZnBhv+Wmkb04ZyhLS9RSsw=</t>
  </si>
  <si>
    <t>ZV7Pdqco6gkqUK3KVjbBB6UJrCxR4v5Lz84z+yUsoJwUwRcuhNzdXoGI4KY0fyqKL2RIHmcTIGzRRz5fUxTWRyNOQLnrXMxrOb78P+C2YdvrMVGKhdmqXrMFaY022Tm9MRrZZFBWCoJdPDGCYuOJPQzsFpZWc8OU6WUdJCrm0pC6DG3WmVPbfElAPrUAHWFlhAMoRe2rz1csAJSiwdfPloGYmB7yb5uricB9mMVAHFc8MB5gWi91t2BH0zU=</t>
  </si>
  <si>
    <t>JxyDipu5Lwf/vVbrfbDmADjPbxJ5hF1Ye0d3HwkpW9poH3xsBS4ak3JSGFmAzRX/ly7LV0/vE7p+G9OnYbA+JOgoeD7fd2TLs9VrhX2nJTR9mWsjzR0lZjZrgkAoNjFqVW3CaWQ+g9wL9UZihjdkve9V95cBjZLhRnmA0tGbaMMMKw5CrjBMhNMB0qwZSWCYCm0I78RodD9a5H9Mae1/2rpXFrWUxe2DSFh3axFXLVAQ/726FOPwWW+Oj10=</t>
  </si>
  <si>
    <t>Tbzr9wB4Dcr55I5lxtRnomspkZojm/YfcVfguWUi9QUSdqtJGKRuNQs03hT56RPd4dnFQdMsNCSelJfLGIUhmxCAC6msGXfmpNfR7qe3/gNekY1F4BtfdyLULvf1SjU3tW+KeC+Z9WZiwZx2W3/a+Kcvb0vjyl5/uDbF59e6TAHdT+QmpXZ87N2pGcwm5s9M9SdlsvBkQltnRH1+H2wjxiIyQ36REH7HQELwwb/1zIxoP/1GJa5gVQwvEVA=</t>
  </si>
  <si>
    <t>enWa8xJbSgCvjU5a6vtTb7y5gPwVoq/g8JlJx6/iUU5R7wVN/aAqWUZs5XLuesIfkjRh10ULj1dkLUgQbeQWOEb4M/Zcs3gQlVN8Jew2m0Eh/7XcA4byJA5uVLiHY735y94d9Pznx0tvK9j54LPfJRhIGlayKG8AtPYgHfcPd4av9k8hi0huV0lhIchmDx+1KKvaeVrG+vDMdpzAekTDBSEvB9XFai6UEaJ+p7vihXKAiVEtbMHmlvIOOyk=</t>
  </si>
  <si>
    <t>PjpTrm+emKFHuAmhJMJ4TW9N3BgTvo41lX4PMSurlULt+Sh4LiKaGtr1cdyiZcAeS6PoOe0/VfW8CwCc89eqPhrqNH/XahMJ8z/Z5xp8g7AuSXeSsNW7f7oy0JCufuvx986BSEUp2xl3c7JldTAjlUp6hRZmAkb6ZQpcDFH0TeHXH5eVW997nAC2f7XM5CAb3bYvO6sevJjlgrguGsoGH+WXXwpjq4oNrLoVsUF+ATc4wd9h320kpfjgpW4=</t>
  </si>
  <si>
    <t>SHpQgvWne+VOx2wDk4Kb7qJRxmyFn3cWYR5LvTM4ufVECWSvyVnRIWIf+ZCtwKFU19mJkw5Q7gPWQnDqU/AEb74FxyeLD309G7oVup8pWu9yJVsvwiibEK4A10sWlyA9R9lEyjti3BV0PYYbMeBXJrH5Tcpadye9mNh5Dmi+kA+hogBKfutXHBUpJO1XVH5BwtTom3tPU15uKdfqIdIt7l3ISgAHmwuh0wmyBE6R/8vvMJsahPfLWbDLn7I=</t>
  </si>
  <si>
    <t>TUh85wmjaAV4yBvHTUPVBpzP+qxEj5N7x/K+B00KJLqZZVPnPOeEtJtGI7dQbqC0DkVaibeKG81XHRvH6E8rGbCh3mFnoNe43g2gLSjWJUPjcmtYQq8rTA0RG4I6e+gScm+Y7eGI6RvAfSQbb2Pxg8RJi+NR7f3OM5TVpfM9IEJfkc2Totk0ppo5HMc1OH9Z/Mvz18YokGLbpGKtSI0Lzwu0ww74QGPr9kMwxVnWQgQ6hvk/X7FC9EJp5lI=</t>
  </si>
  <si>
    <t>TlhacDOL7gFIxUdpZT+fkhQzD25ZhPSKsFFKLIutZBWg1XXC8lrGdLXB5CwCRysmMzalwbh9mLcsoOl2oCt2RGnX/88bpUm4ZBqRgmzhUtifJOxk61MD453j9CGdiwjCqXNvU6cmoyP8zWu1USTN1m0V0HIs59DqX2X4ns8bPujweHVhXmC6mrS3FOLvzKlZah6dlbqqHj36EaZ6ZNn8QKEXv1F1XGjj7XI3n7Rp6g7oGQmks/NW7uGU/ec=</t>
  </si>
  <si>
    <t>jWR/CcGbA6Altaf5qfP3ZNjhcyLoyFNCKC9Iw/c7DwCkvbbzLaHOtky8mPdtIU+l1EdRJxCXMxGt/oeOZcpULoRtEMh4Zg8+dvBPsOGJ7TDM8lyCXt15NmG1vuu76ls+bwfm7jqNRLC/4vU19TT0w/t0bA9hNTHLbBho4KjFaX3r3Rjs43TaXxfBnld0iU+7mOV5yv83e2QfV2Sl0u5dow91lOLr095PdOn5PJsdMD6aPFWO0yLkC6+pTLE=</t>
  </si>
  <si>
    <t>PrqI4drBrTqBUEMwZzWZBBNDxvdFmCZcuAgX5QBhGyG5fmQIW4N3bylXDdM3xcmeIwQieMYZS1a1g61KJkuuS67YOQCOx4IebvzT+IxsGcpF4HQr/5wtaMTsyfRdjoIGVZg3tOzaT+s1IGZTFIagDojPL9det7hdvWBJ1dJtJ/1pVK5tcrE3A8IeXHm1VcTUtgkAIQxGz3SfVGq5TOPYhyf1uQaVL0vqDLlcP2FPExEYRwTy7gH0oK1TkBU=</t>
  </si>
  <si>
    <t>7ISV2NsyDamjWPbEqh+bDnFyJhKj5qAe7N012bQfsh7sWtMvPTMj6nDbFPqmsa6YAoQxN8Tcs0PStRCzDB876rlFz6SPPFkBzOTY8Q4XlCwjnqFAYQuKSNlHrmfnY04IScpKFhaLkxKNDrGt9zerjUYyZauzsv0HYr/U15DV7AQ9tGCFgq8WmPOdb5yLalzq/QLS/r0gxF8EtApwj2QVdwOp0arRCHs18gQAtEs0+m9MRB/ssziJiSWWIY0=</t>
  </si>
  <si>
    <t>I0+1BA/xZalk6iAEVQMScbd42uGJJKYgmmWbYERb2VMqOoL9WsBOvjgMgPDADLkGGPLY0EU5d88gEmR/lvvSAXoiOOe40R8bHKCAdbMsMRX40nl9avfPqijJmqueggYOu02zEHeEd/tHVbwhKhwepjbNDKcHb32bQKjwlQtCBdRaEQQHMmwBaGBkjELwpyPAubT+HmMjxwBGjUW03QoVT4o/7u6ta7Kfka3zSB5RYA43wmVNo6OLfVxhqXo=</t>
  </si>
  <si>
    <t>LWD6UakVq5PC3d3caKJeRvY5nUI4PVzG3mgFppC2WxjSVxOOtjIMPP4xdpkP0bjF4muz8BtQoqqIEgyi47IuuYBakJZ3pEdgQYd62WWbHePTEAZJVQ/Ufzk//OYKbBlxPTlvn4RkcSiEN3A6MLbdfkF0+PufGte9L4SmtenFc/6L58bcMvMXINDTE+v41Q5jgBMALYbCYihneZw4/MdIp8C51MpJ0Aa258r7Je/IkhqEd0PhaFOZEjPhIio=</t>
  </si>
  <si>
    <t>yncx7Drsz6nzEBL5g3Tj9+hAGzpEOnXKlF49gkkfOItqHbSgAE7GjGKCVziVhkPkhDCQmX0LCcH4kIotkOYJCJlHf13QXXKkqcH77pIO25GYgVoUV7Yq3TzeOmKl4QtNLRslAsa4NvwN/mgW1f7CtViGU/lf2pVnVfHKWm7T9hq9NBdM2wFIgGqLyRGCHN8kymzawtew6pXC+Vwra229Iu7FM7xcpaIv9TtX6hfUiLt6ZNSJ2QkCpF0UOFw=</t>
  </si>
  <si>
    <t>wRCbcxyXxcjkOZE2KILzjcZAIEEtHV3SewNuCoXJ9475pyBLlQiRojKO6Dm7olAKVNAiSJt95bwjdbvkuUQKKJTGVLEACKwzPyAC1CmPp82njHBWYJfRzZiiOdH+2L8mmAeKmJwILiLsQdXRGPy3r65tSXPViyIBZuGj8QccL31MNAS4dNuUYtmEmPlwQBrAPBWA4BNeZ+747xu+xOiMlxjMfFRojTnVvnxEUNWLr+5W7u2nSwYrc96ZGY8=</t>
  </si>
  <si>
    <t>puv8Bp56ZgHC4R5TA8LsmSO4i5V2lYkZTGkXiTdcDn7v7xzdZUM8+om6rigPKhZyMmMGDAdX+nuxx1/Wq6lCli/4pnv2R1wuzNL2LLP8p1E1k0fHJyv/F8HYZEYvQBRVbB2dttx0UtYP5zG0HaWRkgcuxb7H+Lsp+COzM2UDjyoDuFGHM7oLwCRAeN7dz+ox9VSQeGp0DWPe4HlnRD+aCBqHsmf+w9mNGFgY/s0usO3Y/14W540xJ9DI/Ko=</t>
  </si>
  <si>
    <t>BVZNyJBNQtTDCGkwjrey+F0R96jg8citucJ/UeGyLFONMXH4px38b0THL0xcbJzXw7+ptx1N56MhH552CtpGODxsHeMSx5o7VJLRni57qowcz/sBBC+af4eWsvDXIN8x3rsjhPq/qR89OAULYjV1CJiPH85iezHX8gz8iAnyXF+2AHLgrjNA61G5eWf+D4PvAzF8hQZcnFRCAv0+WT9QIb/Nek3ddPbuK5/mpiVloPmp+y/f0kHnjZR15dY=</t>
  </si>
  <si>
    <t>+6xEjIVe7pfvlXBEuM/VRuvPWvXyZEB/dZAXah9rmD5ajcnPwUcf8J1CVhdIqb8SNue9DmSBHlD2oTFou/bi6jpzKkuMbaZT8iF9ToK7klaGTSJ9tyePOITNdNhFh3CiLpfoSFu/Zu+4CTlAfY7xYeN3ysR3KIBhIDlZfdwlqyLP+qlBz9K5hi/vfIbqYq1DnDQE29intHUm+MqEw7OWnNIws6fl4w1aAjI2tWd9xv2RCDnxcdzUqfywk/Y=</t>
  </si>
  <si>
    <t>mW5Ox6yJPGutQGz1qODLvGvUsANuutyy45YSdkJeVIQ5QKsB1PxoAGJR4kRUPBoQJqHQJd9EtGMfsYY8k078241uD6CdpXE+2WlYzLzy4spH+fpN0JZ5dlA/ZZXmgOAgg2mHf+/OxRrPxz6HA+35rzJ34STwJVKrT1DMK/7qWp26KKrXvgASU7j8Ix9hnIMg+I4bzsOrZBrrr4rdHHq9k6l6ZXnGZogm5+CWXf1hLyB/ovl5W/rQDEY2PEI=</t>
  </si>
  <si>
    <t>0a1aXihEl9fXS48m0tT1i+v09eOyYosaR84AOZ27xvEM8cbDf5k4F/B4Cf/dK1Oy5JXoty8YjSRSG+8c/S9YSTH2iZtQnW7cFh6ARNFalj9XoJuZouJNBZS+CiyBWUG1M4cIlD4cjfD/YBssKhs6QWEl684WP5FZUKA6yqCp9yaP+4tDw07ErZ/nRsas0+pTIuwauMqRniGMpwHB/jOyg7Ku1lnhff8smxojsPw/KmYDEsK3mbpJUzB8V44=</t>
  </si>
  <si>
    <t>1kHlV/dh03TXNDUIt1JdREOBwUndujMLMLwX4zIIu7dtnRlc84xQAPmFQHdz78vFpUwVur/tbS3idCaf2OS2G8wii2AqNQ90qrK3kQrbhCghgXdB8PTjJxCqOc6CwnSEUIP7YDmXwyP8eGoDDcXsD4pBR60ZgGC51PS+FHdxFBQwRobMWp/tijBbYIRlesDwzIZJeiu+UmU5xz7/D1dHvoe9rLhIAbhfaPH+CmJh00EVZQJo7H0oSp/Elf4=</t>
  </si>
  <si>
    <t>g3T/jaaKHZfXiwhFJ3Zbnwd/xocfKeaw7LkmU2OXm6Eltslap4agU/gkRd9Ne1j0ja9gI9xT8G/jVMp2ARgwEK2cfjAep+Shnf1UQQt2SOZzq0nDy8+eR3r0EyakObrT4Fgbql01GjyJeMqPKsjUlLoTOyu3JO+YHdE3Ybuc536pXiNS+XvS05m4agq6JSAMiAbtHq7CIL3a8GpHG/KcYjxX3Qlg1n+8ZeRmETRZlcrmCcgO+k5iiSFjnFs=</t>
  </si>
  <si>
    <t>JTH5RqO1BzlLmv6L3kGW3UBRwUnmSnbX8hi7nXRQbcqEQVJnYNmgGZy1nNowkAlmnJ6j4f0mGXXZCLPqIsrriWPThF7BogeIynrp2KVep/47TmYBQuyBjEA8AK4XzU+ftBet7IShkDzAucxoYuPIsjtzjJayDOZTdT3URks8nMNuIN0bRqm1NLtZUOrMg7u6Ox1xCJgwMlsuqXuRYpOF3WGf97cqTbg6DJ8hp4j1Q75gR8GsU824gEhUu+E=</t>
  </si>
  <si>
    <t>/CfMTCHFflZ1qORYs1zvB8lOeOVk5msCyFeAWO8TLywdK6y+wXQP5Pw1DLVKXP4VM6tGagni+rOsy9QQk52ajaRwrPAGqOoyXGF/EiJy7REb++Vb8RXKZtGzRziJcgUKebDWOjQ6KNP0Uu/T3VZjk/Tcr/MNEp1CLlsCEkMAC70yuy8Hv+E4dypO8LWNHwEwmcX2pgOOrNW6E8rYpMHThHvMwIIwiE0XIoDyyIYAg4etvsSBiB0UojhD9ZY=</t>
  </si>
  <si>
    <t>S75/dIkLU9JiXnHkD+sxggExX2bn6eTVpnx7nlCE72QMpSltwk07FgJxrWVk0WkHcEe9d+kTNPA+DUZrXViP1nvSOHrNC+BJn60Z5u50OofPva0OOzOXokWrIcx99+8AcW8isyEzJBYdpInhWK7oNKfrLtM2SKOupj2X4OP5HsHT7+9BoO9RR/kAlQB+1FcWRhcbvvoXGg4O7QtDxvTiOFS2jvfXA3c6xnKqykH5zVBzOPCPlnKTLwKlzV8=</t>
  </si>
  <si>
    <t>eQezcpcO99Njc/1r6aaI4p2gUDqW2ZZO+KSVWjTQSwS6OsEmCP5/CSD132aZRkXcsZ8zEtgAi3ZQDems/3Pyt28D1KvInRyEJaaF7cGL9kPAfzZJXAZCNWcQfL2MGg1pbkwBnG5V8X6d8rtpT7Y8g1hKRYfcxhfV+QPJBTTWLF2s54mqIzdcIM1G/I1qLDTWWxDfWIX+Si8doDojZiXbSyvmiLauOepxwMvYcKooCyGU5N7tNopfYxJmZTg=</t>
  </si>
  <si>
    <t>gXQMB/Af+wmNRqtBcgTSK5bywIIswUDCTP/nX4wZ/3RKqN1wZwqsszxCOSvZxgHBmrJ1n2ZU6lGRQ1gelRkiX8+LfVTL7VdKAUvnFnpuo16FEYuGYJBIK5MmNcCgRR+/X9sGZAF3ItYyCZCYrqwl7vrqJYnkrJivj71hk5KgDxSD7VgY/VGu6XfFcLbQhhDVNQ6noByVl+sU000PY/RtBbOgE3UH1/141drMnifKEwHDlh/OldRUlXR4WAc=</t>
  </si>
  <si>
    <t>yvbFyVeL+I8gq7LC5iVrusrJbSTeJA4kTI+NfKyeLNihMxcHdTl2SzW/gaIl8qCdyxfNy/6d5/+Knsgu8Yp2knw9Z15vv80QNR9/zlgx+bkW+9k1gZcUSbkmLLzaz06QJv1mRs8MPSyIlzdHMuDau7nWZx5T5sOm76E0u/hgKqDfG4m6kHVpzzRD5RFjo/L+C6xJKsSGlvMhCWRYpiJL2xnUyjXGiWzKeC3ZUs/9wI6FlFgAwefGipS65xk=</t>
  </si>
  <si>
    <t>/Yd1KiPVkDCCTjoom3Zg+XNcNO1lWWZ4PrdczYd+F/IOEAg4wlISq4Fy6OLRK2FOtEzt1QInU7Bgi2biLW3LlbCAdJtpH8Rqr2CqSPpb8LFR5yq1Td1xWWhHbPgXAW/08l3aOpjROd0cx64sSfWcBinrfL4FyuCRdZ13wQJ9eW4/v7RZ/BHk4Fa0tn+ol3dnSIO4ypAGHaohAwFyvu976/s3344EJaytGgOg+3JlUSkDzAKW21FSOgjm0ic=</t>
  </si>
  <si>
    <t>8B+3nsgs5GJHNjxqMCrCko0CueRSjWo5hhvD/LcElgUwsZY5KaEwf9zC2pS80gaPQAVGtIOtQps+l4CCNzd3UThBnpqOuMfMAkeO4Vrpr7wd3pyzVEx3N0CW9DiMnlrrDa1k4T26z9azUYCvKBd8jLBIehOYotdJbWZ8EzSVO88OJ0FjZJmU97gPjOPD2t/klft0xnVUb4p24dPsiIKIKo0sj+nJTGccItOqoCQLPfPnewkmxLo7dvZA22U=</t>
  </si>
  <si>
    <t>FZxKEnTSRNafcJSafRn4pGBkpZeE7sdp7Iarw4vK7EfgudPThBxMURsxP7qgyR3SnmJBuvcfaXJzLewQwd2oEEeVhsclqGsAqWqIfAjSONxUFW+L05eHRsI7+w5b0gPOYFZxT09yol1iBLZDPSfa8kG7rtkPt3LPvGE1wMXS5QY6G/ZL40qJN2QsHqzoz1LR05WNcEivot0o70jFQpPqApOWh3HFZN7hlNmd2adlSlfcJKmxta0cD54bumk=</t>
  </si>
  <si>
    <t>HzXXVz6cUOt6/8v93V/PeuAQkonKXn3L5Z23a/D7Osener7D3dmSHnjwPrHOocY1tqjlMdU0ruG+MY/wd4uBoxq23GjLajOmVQQoI31jrFq0XKbJut4/ayYfHNU6hJZLhqzJI1tI5Znq60gAWa6IEDqjXgVSNsq66t3yUhlQX6xVup6FkRI1kumi5rtvIYRS006p4tafGlbFMaEb3hqr8/Y56TvIjSIhVivPhRR+jI4RTFcMwNVi9mHp0Yw=</t>
  </si>
  <si>
    <t>rINZ5LgoinANZS87hnfU5m1u3htitwzYyf024I2yc94uPMtXxBvsjilYgMTg3rMKljO9aXuZWxr/P9phQ4aTrw+TyPfIX4rVBYN6jCfGL919COs8OghD68OiMnC11KDt25zTqrYJWEQMwGtr8uGU4+fyY7xlU8yY41jQASNoB0NyGNKtP6gaRuUqBbFz4qouC3hPXdpADerd93mIC1ulyfi0zn+6sAvfDcb2lPBqOSk5ohz95hYR85IHlPQ=</t>
  </si>
  <si>
    <t>K0+i0aa3yLjxMDwAA/IuSTFLO5mB9oz28N4e973TE16iG9aEckZPXmE/bbNjxdycU5Wra87BBw1TwTd1cyeRghJLgtAFIYRRNEW+/z5f/iVwbYvTaulJr10ZxR9wpnvz6GR7QxZfZG9KSQ5+PqZOT2VYhfHjRDlrec+KXENQZg4hvtDN19rDsJ56iDSJwX5pyQ/peDqhKbPnevtUlUvpzdqLcpNaCLBbKO+h8Tytzl9y+ycy5Bcsyc/uz44=</t>
  </si>
  <si>
    <t>ukvvHKqM07RXh0NRqLnv2ZDc14Q7sEgDbePxdP5ov5c/L0TltbWMYLhFyeKzo9ocG+YdKDaxcJ0wJ7emJvucdX6cQO+oBNf2oVxs8kydd2Tiqkesg6Yy5VmmM6otS+mfHXylCpKqSPncyJvp/KBEuHN/eLyLpGb7lEMb5Zpmj4CJEQhoRoJmxh1dY8w+tHRX3re6D173yxR5FX4oju5AEsGi/Yc8NYzB/S5bgEqxJnXYIRStghQRyL3oXbM=</t>
  </si>
  <si>
    <t>K87VuQT2cpunBxFHHk+iLJtmXNCIz2IylBrNgDfZGG/61ZF24dvMeCbaF2iggePznF6ajKKfT2LGqm9Zr3z+Vy+3eku/HS54tOGabWF18/H2qAt7PONmHPBc4qXPju2WcdQvnBoZeEk444GFtS7oHpEtR3xKT17MwMacQYpPg7tXDYY+/iEgii/bfiCU54cfcSpP9eesA0W/cRVd31pXn3zNxlcCkgw92s8VwEt+uoA52tactmDunlGc0K4=</t>
  </si>
  <si>
    <t>cnsJEKgUgB8n0FAbFWDqqRCodBuyEA8ot3IbBwdWrit9lEc1+HpEFUaIVv3WMO1U0AiXltwPDtG8xfQ9JuL6KuMZXRzMC9PcTCcaQPyZHPBbex1jaEm+Ys/cGZAyZ3PxdKv07Evd6iNGXAmYFZfBf45+L0UV9z6glU6PZFhBIrENWXW1mTxQah6uyYbZu3gXXev4kpj9LwAH+Kl0+eLpaS7xcYFhwrEyyYNfOhy8HPJAOySs8wOskWOOZjM=</t>
  </si>
  <si>
    <t>UcMsfIZjXm/OZYM9K7s/LcNg8SX+9Zq7kIWzaJ3euULJK52tNQLJBNxBMqWg2BLOef+pYr8B1XQTgvjCWUbVTmS3DJhiAxnp9kCD1nKBXx5oerpUf5r3ZepZNHxvB/vYdpRhSqavlAgeUJ5e0Hw13lYzsbPJK3RjnhjflNx9/jMHWUgeNs0yIXd9n9lSLObM+MBJLwviZgpcL6Xc2nvnKxxlJN7kL86mToSxUN597u1LZef+LxD47OGwTek=</t>
  </si>
  <si>
    <t>jEnKLt7nh460WHmg2F6WfjcyVPkLYoYWff6zPBwiwZoK5E+rccX2rYlSE0g7NSnwZcN2ECMlF6dVDjqVf7JepQr6IGyfD7Hkwy26/NNQ+itt9ktiupIKj4O/Vz+M6pU/+YfAn8yVRWo9pvc+J7GluSmgUZVYTT0WoPtBZ48C8FjPhMyzcNahi79l6VNt6kiXSctWGzzYd5+lZe3b8Up74rQCl3ZhTJKR3JDxisluwWGgXq9q06+Lya7uy8I=</t>
  </si>
  <si>
    <t>cQxHDXTqn1qG9zJ+AVitFjoy5DkEMsNuWr0ZuwcU+ZiTVSqDNE+CkMoD+58L5HS+wS4FuAvC9cM9ABAfqOdVpdDpOqoQpNczucLeJPGe0MLk7TKHrKxUgZlJhc2gmr+OACB0r/iSS/KYLAwjZTPTL989KS4UvH/sjlCu7O9i53/sIZS/HmC0RvGJrISuosR1lJ9wyMtR8QJQkEbkDBT3nQS9iDI0V+BjPQBr5/QyPoYRSBLItT1OdmkVoA8=</t>
  </si>
  <si>
    <t>VqbBJRQLvUMJThNAo+4GcWr6GymGdeiyxzwLJkGQdiRz747oakP19Or0pe+xQYhM0H31dKw5Uej/9M7DjuSotp992iFj68gNGFUSsfIznRussBkYCRR90m13VzmkzjptFLMUKSb0OUe14el3rWaTrG+1HtXYneb0dD9rrqfQu4jj/W3LlTIE+zgU0SktN0xVn33cJGZA6M0q72K7xynstXd8p4qHiUZ5HTpTT53L+wjMJaPir7Hip6WWaOE=</t>
  </si>
  <si>
    <t>qJbQq/dSf5pDnQg/k6yDQ64dkX8pshLra+v09NG/ii4b2OJfAIk1aa6s1lePVl8pjafO+gCbeVuQUa7Oh+GkKP36O5h1nr25EpBD2NO34Cur/L1+xvHtxysPjwq3BYZ1o6au/uHQosCOKCkj9FBBnYMZfS8tWmRBgY68c2OV079LyvWCPeHCIi5UdnrqwJq+gIsh7DUNvnUQIbqbvqmL9NGWvsZcqGkduU4ZM7pldzhbkZAiphAaxhuGJ68=</t>
  </si>
  <si>
    <t>DaCKODWk7qa2USqR18rfT3G4lvtlcza2CTbmJrqmpi6G7PVlNUGd9ed9Hyk5d/2FcLndcI5DkAuJzLcI7b7NurHGEm2GXAAy9QQXFBZwlWrcCTr8q+HwZgrVb2xFdQoD9/mjV6uz24L8wbYmqAHkRnkTCe3XYmM6clx50M36JxVGwNmhOuwCFwU2d9VHs14KEhFCFpw5Bk/b52aKM/fxnBlQeyTsHXu35bquuLqqYQH4ET6FGhO/bqsWEvk=</t>
  </si>
  <si>
    <t>SIVFVmP+PjIqi1PTck5QclMaxpPkrTtur6V3keoRCkINAA7Mpx+Wm3txlmiprxTarnKGcddwza9wmxp75a8NPZkLPPOWeAqEkrIEkKIKBeCIlhDJeLhYQ89q49xaP/OZ/DIxNMFyRal32K2KD42qduJab/+zkO9ZQ9bcKa7zRjN4n/PSAvgzNVp6dZZ45rp6RDWapFWF976HIGkifDm1xpkyJ8ClL7xxen2AvmHyDvLhnvb5Pm+0/+QJ0+8=</t>
  </si>
  <si>
    <t>GOkNlcreszqTPrboe6x1+AKRrz7UlgVjASxTakQx3cN97FMqOgGyP7LZeYB3U8HSElepTDPBbJMusZ6S8TmNtHEEblS1J5+ALFyI0yCU0OLCPg/VfLkhhSBC46nicQSlke7IfeGaIhk5rwDdTuJ9ayCjh07BlAA21yzYbmUwY7NnGTbmPn2c5J1/EnATNttapNmoYnpxGZOXY6qxEjMnXCw8a479pFcrzM63lL70kD8XnQKLUXisMC0c/84=</t>
  </si>
  <si>
    <t>nExDI5nfciWTr7Zb+/Qq7HqtyqxAXzT+R9kYPS44Trj3s3ERl53+bB68BwkuHs1ZdSRqw5/eeKhTENRyaZrTVTp0Fl5sOlBfYgSJgRl04wZA1arcpndU/tyCnws9bwpwhbk3Zvui4xOzEBfF1lPm6j5tDp8noDxOfULY0KLypl249dbbOMvn0Zkf+avx4tTqKlTOKhJnT91ZmHM7UbAyo0eDVsWY7JREjoJsv3eCIcsNn6Ck5scfRoPnlmk=</t>
  </si>
  <si>
    <t>rPsEMBQX3jCPBVLqNlteDva8seJF61d0d7v+s9q4hAPBt29KAd3YFgcLmWYNT4rOFegsr0E8P7JSEuolfHZn9zk+bKL+k1JPVuQppBMMS9B6ecxjd9glmSWREq9bPs+sh36x6j3CTnJiHcpJRCepznRTzSKTHVeufJXdazCKOFav/icndDvSo+j+Cuutfb/oAWpIRXnA2G+p01sW3Phrp/BMgodS2v/1eFpWmcAq2yaq1G2C5M8rIw53QCQ=</t>
  </si>
  <si>
    <t>KLTJGq1H7BnGvOIVPzCssYuo5o3icuAO43X+cGUH8gfQ2+aWjivpwaigY7NVFYi3WSBkW0yjtEe8009oJr4axUCGX6LVEkHGUxSRPc9MteCTLj/TtLjUda1mYiMNdHfFuuigqMMvsKYlbsev6DPGjmi/UaaZvstNVxpPQdQCwmME7ZO1p6IRymOiNaXD38wE8Vcyr4MdSKuVLSxBjpRAm7NxiJcXrvtbA01btv72zO/21lU6fKmuiec6yAQ=</t>
  </si>
  <si>
    <t>BcFr59lZVuvVCaHOGyEdUBzLcl8XLYWaTFbKkx67tPFUHmR34TyegGdTcPmMmm7O83LJqZ7aNQNNOU6FxKixloGHNksaFldi9OENyc5PgDrrZ3/w1A+MmtLxUnfOIKt39TOkOZKsUk+JAqinHeIF0eVB7aobrQ7InzKO2zPG7/min0/0fm7rFcG/SnS5aerqkkZX6/4GuAH15biKB8gWn6XsA9N2ektNrtxCBPPAuBcoZLWh9GXIeLkFdO0=</t>
  </si>
  <si>
    <t>X8IDygKzy6udSvhNeg4ZpEKauH2v7yQ2CKn7A7Ug3z2phRciFOQ5llBmqjNwynG9BetTMaFXPHvtPEpitjAazjhNe5nfleWNgPBOoZGDnv7iKQ8C1f1cqjoFceEsRA/4bd9u801lfg5JUWuXxSv1ui/M4IYk52siY4FvRJiioYXYUpySpv5hGRGN7JvFLJ2rfuNP5ZBSaBFKktPhEyEm1rIob4JGa4UWmz2+8CLSPeWr5L6PGKu5Cm+qQqA=</t>
  </si>
  <si>
    <t>YfOIbTIr1+ngqk+YURkCoFsZA6cjENhGTU/YLcTz5oAMHVqJxH6KP9qVK+2djkoyx6CvXM2LL2YNR67ydagSNH+DSWGwconJdB34OxUGWIjSTwp2bPLSI9GxLvc6P5Wq1EjE4Q5zj7hQqwVkXF1T7L2Fa8P6wvF9ek8KApaDFdXjcKSOS4wJf8Y6RJiqrolQaK+2A5S4bnYecwv9+7svJUJMKW+zBk4Q2Nm+jOyJbJJK2uRAooSZM0kcm/0=</t>
  </si>
  <si>
    <t>WWaRhJwAZQ7odpD5v2V9HZj+Ae8z0U974Ex1vcTooLWpeD12ZvFCJ/M0xUlr5lgYv01isR/tijD4YaqJyqLNC1OLNPjNzZVKzSr85iVa2U/RoJ5rzxNHABy0psEi8CVCmBVxdmdwBCCrlaT/p6/GVpXbe0OvmFMGXlTqaCRUYlcCu8WivjvNkTf8JA9B+h90NiM61xVJ64Iwpcr8DXOqDgTD+5AFw3Okz5LxQK50CO9b72vdOttyvMfk4CM=</t>
  </si>
  <si>
    <t>Q14otLA36hdKqJAYM0UosbiTigwmGOLMtOP5+FI+aCp1T6vHj+xL1YQe2L1lywQHXIMP+Bfhw3KrLAt22LqBfKJylsp/7p8OIqunEhrltbhbkQDV4FEGHv/T3pf1p46n6J5jMT+U1/k+s9uthElpNmeE/AGxN1N0EyryiOi+A99K/PDE+Vq+nDYwk+dO8Xfz0zHWhiuVkCb0H7M7QtwSOua1gMc7dtN+dsibF7zsBrD1EWsu7FU2obBFC0U=</t>
  </si>
  <si>
    <t>I6xZzVkDaO8Ctg9FjComv7o6GS1wjUJGyER31Ot3IV0hnB2SZZ4f+LKQHhqlrLjZX7KtWfXj1wSplm20R8GYlExlk8kNhZCg4a55kYHyE2Mdt3bsf+8BKK35hq9ELl9SxuexsMct1FB6E/I7pMBF77bR1GW5YlDR2+QtmWWYXC+PMqbQtXihzL2d4CZl0scFf9pjn+LXwYs5tUh1E5g1HcuDslhhW+6vOVCL2zMOQN9zn9Y9K/OwnpoujNY=</t>
  </si>
  <si>
    <t>5ZumyOMGkVmSQRL+qkOFH1HplJnWZUU3Dbo30RUQl7N+UonhEsQIsy6lMy/rruXhYe3mvgoTpQfhEnaSMD3h6Ji/PkXq8MW+B4Jp6/fpN/ys3+A1VmrxQM69eraPuG+DolhSB1btbuqriEre/AY4j9CavoljQFrefGDVQ02Kh9PoObcOWUU73fD6ErD+y/J0DrcIbSHHG+Dgmht1BU+W5+H3PfOuX9NbuJAePtvR8APw19ANa3Vu9FM1uXw=</t>
  </si>
  <si>
    <t>WxXmTGkNpcLPIEUZ0dCRgqPlpjZ6bpc5YUmzYV/HOjMtiEZAangJrEvhDzDBcrbAOY4ydsWNmn7K4mCRXzbZkA9QoHATh6W9pCgR2or0rWsTXoBO83ZLzmsWw7RxSC41sOc5gcmXzg5wKu3khVHyuBXYIW1TYJ6NG19rNeKSBQ/k/JbEGZNhjhrxIfLDODdFWwPe4SYLGsNxVdRju8s0RDi0ToaAAmN/yDOiVuEUU6pKQnsXuV/6loPf9W8=</t>
  </si>
  <si>
    <t>2NY/GU1bQHRuSGlKobB/u9tQv4PrkANXGx3NoomedmY5tZ6ckcQCUAIMHfY8TeEqZkWM81B5A0LaGagDzpmyApcuVZzuBUDqV+ynQP38qg670Omum79yTKoel1Fkk/Y3N7WZfgGHX2/YcLCpzn/0XiXo7yZKI6wdUbtEhuA1D3/qh4WF/s9h9UNy7eI9+IBednw6iqvP0pGfhBvDA10Wv8ErLFP4iJc0L2QwOQQ7EuLFgzJW1c87ZH1ez90=</t>
  </si>
  <si>
    <t>MxVgWzrz9Y0FMylVsMcdEGTRaL6OAR6nELRTwRDaYZ6WIcXucUHqG2KUfxBdrHLpAWHMAH8r5XQqzKShmoUY80QEta1XStDnObQBMwdPwtum+YTRRYGlBWVHk8jV2BS3npGFurfN4bYlF5yX9cwEO8YRVEwpBMzqdQVjUlWWHEhJhGH44M4ut48ceh5qiVwh/62PGO8j+QcJsIXQnA81Wffjtz0JS3LCKvkx6/etlHlWTkxbt8cL4cyh0g8=</t>
  </si>
  <si>
    <t>r95kALDiZtQoHk4RBtTRtPDQPJs4NnXtnzzu10r30UdqZkvvSzMKgfUksqaM7B9Rv3roCUMz62UI8sRTJ8k6BDSQIjQ+BEiOfOYkB61zWVupgY1csBSiwB3Msa2drlg3XeFMOnDcFuspcWxKNJKJrHIN9kSAFYyog5kT0vM3DSp1C5cmz8Je9ahmdq05P8S1OMEg8Vg8Eanj61yuZ4fhvoYtpCQCaqQXJL0jp+1Oddi99hAdXMSi9AOa8Js=</t>
  </si>
  <si>
    <t>3GwS3QrTC68oUK1n9BCmggcese5OvaOxxQJcg01GIl1vKRYZOf9Lk6zCWA5eLDJc4JGwDZYWQgzZNocUHbpwjI8q2sYf9gO2gFaXVF5N2qRXOWSxmDuDkkj4d6PB19KcEmMqbSZY/9+9v0KeUwQ0T7zTvz5TEyQcwiijFsSSB5dSIa1Igg8+TzaEPPpQb/aNw4mZAQqeVwcNBlfxuDPVaIFScSsZBDr6pPF6jHp/3QNCueO2m8rfCV3ybIM=</t>
  </si>
  <si>
    <t>KvvBgOQ0cGgSphxwSjDjVsjxGsSRIWRM2QiLsRAITTMvvhatiGm1cIdow0bEzfp2lF8HmdWgmQZV54QoaWCOtnPjPS4s73g70MtE8+PKyYttG5Lw0Eks4m0HNpqEuiNGCy8ZIsXRkUalskl0u4ZrCGk4BADK66sCQ08gLojqqp5BFmKXhdF93V6Ayx5grwCMte91YgSnAIH3Bodv2Ia0ux62h5Ry586J7UZBb1WxOuPj5ZUbDvyxJtb6fw0=</t>
  </si>
  <si>
    <t>LtdLRItD2MDcQpLpQutJd4/PU2JPhrvywcsm0spu9rsToD0QJkt9GkWSejt8ZBioafrpz8Weupy2xaUecNV4yCKci6Gm1siDa0J7jzkQ4LHHnT2xt3SSOOVsFrGMLtekbn2iQYeMrEOuBSx6AAMe8X3MTEIz9QvQq7EZjih//NA9qqKZ2iTHWjKxjDw74fPuxpfTI4LRiahmHpXRHxpkBXgrxPtWdE+kql7pGvSjr+DwHZ8CYyidT2fQn+s=</t>
  </si>
  <si>
    <t>746qaGjMQrWPle5G/oawNnBylVOw6/GsUzOUlvS/9+1QCzGZwM9hDm186Y5BZjhtH6/uA9u6FiFasvZL/JwpdgbIfj9yKEvgAF9S/6QI4AH21TR/0oqZNXHoL+eN64p1uIwFUKVj2zGp2kfETacDFk9QTdgS8CcXss8ALw/rfUdAq/fItIRLIpKvsq4mLvP4NE1w0eTmsyaS8DkI384rTNf3BzAT8NqpzADZUvyvFAFJfSnP88mx/j7Mfb4=</t>
  </si>
  <si>
    <t>RVSoVB5uCCqEVokx2l0Ifi7EL6o800JkEV8BLQYt6kOApRReffNml/R3L6Lbq1B5rYWshM7hIQYif43U3d+c4595CwXTDWmJ2akkdKboLOTwi8CfZ4eAa1FLJpFosILdOezug+zDcq0Z8COJcH4I2KAw+U+B9iFw+pFxogVjTolnJoms82oqOmkqMcTwAjb0oELkauaQxrNEoeTxhffV7NT1sTM+rJolAH2bSZDEggTSW07vTKSINeLeqPY=</t>
  </si>
  <si>
    <t>e6Qf19OLVbEwU1fj7Qn000x/M2kpQmsi3eK8WfzUtLC0OgS+UnwNdkdbTwL+L8y/PRjvGG9wzVne0csTrS4Y+JTS6/ccA8kLT/vZ7ij2x4ucHsXYUPAJLPpBGeaZ/RnUS3P3jcxlE4WzBajrGJb4HxQ/zNO8+EnfbowkANrsJVz0vukzklgzfu9vmASjiPfRzHDtF1qz5y6HAxM63gIfiheMLge3qsgjdO8Yb1NqQvx4uGvRCMg6+rYryl4=</t>
  </si>
  <si>
    <t>1qzUEKMc3zAmOlo1oJV/eh11HOsDyIkxG3xtlr+35dkXL8hl0YQsuBBQY+P4fH5qQOXd24hTBNUaZvi4/4ZYBv6fenl5Y/E1SLuiVJl318Mznah3O2MB2KH13fE0yDcEf4Ip/pMB3f6fKst7M/Xst8RqTQwW8adfjIOGiRGGRM07MWGTnWd4ZlRfekFp8VAc03yxfIFq/YkyFlGMdVvvE5B9YqCPvrqa0cjRqE3YwOp6OuKSX4SsYodCNpA=</t>
  </si>
  <si>
    <t>YfzsKmJM/xBtc96qGhpgGhCArJFfOIURzr0oudvEy7obxEvUmJxOl/KgWgqeYjERoFLNvCg8/6hGO/+69uhfyQ5PA8rnX1Vfm/x6aG/m5AUACdG7kQMSUzYIJVLTJV/k28NHDqddWMnBYYKvrP/syXUNcu1zWEe8hY/qjOwjD/zJ2i27zNaGVJiLVSpa2PyHrHP9enlZ3PsruNsE+ZG6s3L4kwLczQ9FMFS6ADB+lw+EOWvskyTDPO7e8BA=</t>
  </si>
  <si>
    <t>yNxKnTziXDBj5rfCU23rooaSx4hVieWaud2+6gk8rDHBM7e1X7EMF6ImaxTmNgO6+EV53C9QJeE874EKl65GPD00lwsepPSdKagbmY2xHJTLdwqF/IK4PlqUaBBEQ8OXckPL5MLvyeUefzxFiRZ61wA5pBYVBvnC3AUznq5GOSt5P9B68StC0RsnoR6Tu73CFzYGaUns50aNifux2nJhADwfEAmE4uXpwbkrm+arz3b2pBuyEOhhZIlmkLs=</t>
  </si>
  <si>
    <t>4MvMyPvbhD+pAwjKd/LRJoXJKs5jogRQQKtNbR5zTQxcKBQr03o740y5mbfviA6j5U0OVENDUB+S/QDrwl38CJ9+skkoXbNbzRso9q2t7DPI7bCo0EoPAcEYvgnC2m+6/mtb33DYxcYgmuU31EnjuQAFxb4j/GIi7iIAelHqcrh3zkltscWB3JD+EyIYHKvCfz0VFylCGhT4o91rm2um9Msf/wVDdSa12h97+7BZazNJ/omtmp06+oeExh0=</t>
  </si>
  <si>
    <t>ny7mkfjM5XVyH22o8ipBYA6M2fTRzg5VmriNsjMp7q5wy81Csd6oQ/i1tt4uC2RV6ZkIvBJJtmPY8K9FkchsYcHaeLQFa8Y3ByEZtqMSnxWd8FR/9E7/NNihIdks6UqvlSbNqIijUQN2PwtOfPFtL1HskrIGaLWeVv4lsmwcvLROXU3CpIL7w4b4hCMuYq5nupVNAuyOu7JifGVdk8AoDAbS7wxEAt0UuTYlgxEztB1RUCYI/sevlpveTIg=</t>
  </si>
  <si>
    <t>eignv0oGUBku7hLF42MdthmcFI4/I2HEi2FSiCiOHu3NAn/ur8Y8yZBvGO/8V07BijPjG4TTGoCFY3oBt67G1qY1LX7pPkiy9a9WPp0Nczc3OX5jXE/lhpgmlUABFXGkbrMVdh30OsxCHH+Q9ZAwUFPUObw9/TzhVDOAjNRFK8C5rvagi76o1AX1Tc+ZpOhzYAMBm1iyEkhqh0vVKi7y9wODeg9pk+yqGbQOZvKcUJG84D03dCK+DYtLl2Q=</t>
  </si>
  <si>
    <t>ya9iVlkkaUCOXEaYceJgM5JIs+4qvZk06OtC6LGVolpI7RIQw9F/lhYuW90FCSbWlhMhphE15WYNlejFRIDIeT6ZxvuUZ3zKL9Vo09m+p5yWvgoOKqzAlce7Xg6DydFSAc2BsBW6YNtfdEKUnmaaUP20UneuUn4UpD8ggb3h28jgvrM6pKdNmcNBUpRYm6fZLG/cCK7FkWI7AiMkLj25vIQghjIy8M0qBS4SgDdbFh6y9UqxvVoAmfKzRhk=</t>
  </si>
  <si>
    <t>A3NK405+nZUqFyyc90cSogk8XQXEO8+V0w8GxC9ElEbvQPPqtRcmBTXwk/eVocQ1GvhSV3XxvNmMmbIHaNedfKSMQCQdJh009uL5pRLpPEkHUMF8QHnTISFNTs4RhPCKwi/neYo9KkkwZQZKxIT3liI7enVlvDg/3FTOz82NwMDR7rNnyW+vCKbvFVu579lYJLC/i2D0/Sum9FPn7xvT0pBswCD7Fw+ob9P5S463979+tFB+UBcZbYvEwsw=</t>
  </si>
  <si>
    <t>lcXhzHEPpcJ/4iimK73W6iUjz8Bc/j7Z1gQz0qWOOA+G6i30Pvf8XU1XhAKXsKoATTYSRxNpccGmXUOPVzedYIaT+Pgq/Q+aUbCHJajkXkkoagYlT2dDe9jfhDvuAWBaqPNaqqb0qQep0ptNdl5t5ILtcb3KKz1CRX+ZboqYrSJ5rALCRrMXNKaNNf0l6sFIE3yBGmE3JzoYr35oPKClVJV/wB4uslLC1QA87kxQRZRFND5R1pTqS7gwK2k=</t>
  </si>
  <si>
    <t>O+vr+3u/oOZ5Z+49v2vRUhwUILCvociLyOt31q7KQAeKJEwu+ZrTQtOTUIxgEnliHUOMMRE/Ca7SKZDdinmxZGcsY0AYHsPS9ucjjkOx5mW0+2Mz+gCxmBSKLbKIx2neCqqQBRyMKRfTa72+xAay0mEbVwFBFZR8Z6/yzXAjINnhvj8DcTA2vxfQRzsmsntbJDtGmglXU2/Sx3wIUVnY8BtPJrGnkAouWgL9JzfkoIqS0zesUi6ov7q4wFc=</t>
  </si>
  <si>
    <t>cVFqJvlYhuo2PQid34G7dFF5tgNDoX+igVA+hLr80Bb4q54Dc5l38Qg7l5smEeMXGPtiw+DliAoaKIIKlH2p2ghiIiWI/lnsPgk7p9FJwlLrxWjlccpEMyfpjvUYufd0nge6QcJ1SFRJmIxZejn5pDqjgmE2MON48Zzb21gNkg2yEttsZr2D2bKg/IxYlxeqslvE32nPj2o6FMjW+cb5v3nss6u5cAimaCsFTXDLoURMKTDS6j2m8VgSRng=</t>
  </si>
  <si>
    <t>w2jq+M3OQarsVPWGxyaKAq8vlH0FwP3PbByjo6ocrsjU40FX3NJdh7ko5RHUkfCsX2R4WAdXg3hOGOp/GjrsmoWJplKH+kTMUB8/DnuVh6tMIWT7014D15qwX2gkqYB3TAMo/6ZpaerbMO+hMsTK3px2t9e177zQvTPrZhJIR9PZYb3EB4YMVHwWQ+aIkbptxidG7jlVudawkqbX0zX03/iwQ0mty1KH0w/oO4HoeqGQCTxtAX2tppMeqwc=</t>
  </si>
  <si>
    <t>wjodVmHGnoutxb+xYw2FWNSZ/dW4FNLTwrlWjO392UmJr143QIxc0jEu7vb2JsTS67qUVqj2bO3y0433UwV2p1fO3Lj9eJ3qvSb3kW9n/i1iEGXjvCsEFUgHji7TiBLmMGB3k7N9DaUNY/B3FqpGTNTLhel1UapTFkYJImRQKA8AJiVY4BBmPOdNT57xsH8QFLTXkSQG5+b/5Aln4LNW+s8CTO9P2DlbhVTWpTU8MPWnz47GvQMAD8/wlU8=</t>
  </si>
  <si>
    <t>0N8pOxatm5bRbCOotJ5Ie71tDYkviBRskNXq8vRvSU3LJrCTn6GEeULF8MYBdKqj4vgwUEyJBQwMc1XxiJYmMovtMPZOPk57R40xUighBccX5xYrGxWOtZQYZWs2Mu8mFKf2Npy02wcTcN6Yl34aTsx72YzBKVU0NTja5vx8/TeVBX5A/NqhP1d3EN10PmwHIoO5cZisqc1qJiMgczU+JkhKdpuK0YYjCMV58jaK2OG59nPjoxJTXCZLofU=</t>
  </si>
  <si>
    <t>lQS0hVPckKg7Kym2LncKMg/elNwj3N2ZNuTV4kd4iBqtsyvlIZRmNuMnGs6pW980J+2pXlhsquLxWtKLmvJrFMgCfSwEjbS0apD1axNJe7JsD3MQZ0heDLEhlKBR2lbYxsar5q72D3xws0yGcbMAn2BAbtwwY/mzu4UpjrcTE0BXghhksjG5dEnWC0R9n0+wczChxgAT548Sv3wzjkXL6ZBtjBLSfRl9QoshYV0xS9Uts1gftIbSPpATmvg=</t>
  </si>
  <si>
    <t>QA/u55N/mGI1R6tSQ3Zz1Rj7hAHYc51TIXizVfCpVddCrZ1WQiSWVh/WoRWZCFbZV7hLd7qs7P0VtwG6Xn4uQH3kvnbzcmCtyRY+w/+LIB1ZIg6QaqSpa8SI+RlrCwwvl7UbharvjYx8Oz7uZzOkTRP79eNSshHVQqEhUdW7q14PyQ4sZpb6VGgL6YU329o6DM762KhKs6WR6khYhYm1Rm2oYWVIb1pBiODOJimzlZWUmbZMBb2z9TfvUbU=</t>
  </si>
  <si>
    <t>fX8m64c/GEhm1SdbpN3ABDT7jn2ANju1XR+3c0VJ6SRvl+Rdxgi+fJF6ZZP78ur0RfkvItHrgHjLpB0JH2qZ4/MGmb/QeopJ5SmfgaU16wB9Z9ohhJnM9edSyMQ6lhglIaWUzia484mnTnpSraGGXW/L/WZDQy7pGfuslOSEDP5BSF6K3miRwipf9wwgRMhEf2g/TkzowIvyHTp2ldQNI+rBi94foCQ4u+eFaQjV6T6rp0d+zvD2TCCWpwc=</t>
  </si>
  <si>
    <t>XBFtRP9LMv20YvL9V+A96l6TvIoziQZu9B/PHQd1Bg61P7nPPnG7L/NBjt5qjY4k/4Db4YcWL+zGzqB4Ds+SVoMzsHezUlFmv3XNtxO+uNqHr7ulXP6SEOiINHHoIn0MaVJeJnvojLHR6bZPZ9c8rTFdVMDofj1EqbBHjl4vJw1G5P5M83dtoGna522YLqZKqr99h+9gXwcOVzDHXDHcMUnvvPcSX0P0JBZntHFVEmQWVFGSpOQADIe8xHw=</t>
  </si>
  <si>
    <t>9ytiCeTvbSa5WwvxS9VzNoK0WCZwKnb9IjYgqtWZLOB8rOJzS6XcGA20wai+sqZclPwRutu4cdxjBGqUCXW6W0+O9G9JBtp20NG6wb2pzZ7cUrT9fgeVUEhy/zcUkGtWPJwc37pmJo8LeEp9lmDvIP66HELiM33bUxYx/5Ii66z+9ARVFRBwladd5dXWnFS5/gjYV7oWNUJYXwD6gaF8uJhGhnOFQGg2oby19t2QoO/gwPSAnD40GbrCDg0=</t>
  </si>
  <si>
    <t>0AwheGwzpPp1TVjGdCGRCvlHFvEBhR8RsW4OOXvnegIpeWs112BC982tLEzdksjjIipc0BEVTpClevrKt5RWWpMHy01n3gocmoXUcVw+OPQT3M5qtEGkK1IsiEVNDEWZxj/tXp0AbuOG0iLX3i7u9JFtJQ0try2m92uhs4t1kj26I9PNP/icLWh8HHzSar42tax/R83bOMIv167ciIZlOuWnRKmKOoooBGdIerlnFDN1OA6hogS1s0uabnU=</t>
  </si>
  <si>
    <t>Kg6UDvPPdNcZ896Hn+D1ZOObA2gw9vJ141hhzAYY6AcOjCNLhRUyL4zBsSJoK6bK8UZDYLN4k6NE54atGwkHyhPjoBQ3c07GLkwzHOasvOp5KE2GU5MA4POep504Z7quV6vx/22Hj06HSkZir2MmTjuNPy/V6zl0NcSx82Hu56dkMLG+UUieec1FMS7yjYwge0Knot71a6K5Wc3Gsbm4LSouIvKpTWPXE0zpFVPiBmZhS+CZTg0oPhAe33Y=</t>
  </si>
  <si>
    <t>5Ff1gM41r48ebghZ8eO7JxQ+0KBlluIgeVlSXNAqFUWhhLE2UP/tGxED8XzOJhjmXlxnwjcWcpdgMvSjAgwPx3XscDtDR+kKiN5QBs/+ZA+uyAOc1t+mM7IyD/UzABGb9yPZiUOm9q/CD7AVfqVT87K2t75G3jXlj/6MLqqpiflLVpVzr80CZYRNcjXZIZV6jc1kwNZeMbBIyqoM/tG6Px4r3RyFAivJsDhH5dj6N/A7KpCO2re5bIFigM4=</t>
  </si>
  <si>
    <t>/qntTETaxthwWhdzVJtsHY2zByfXFDsVdvI37oA+XQhznW0MmpeQ7OGjEd8YOXeOmaOzqsfky/lXypk4MmCYUkew39uukofGzcHD5XEgRyP2+SJ/zBw0ylh/3EdjK55WSYHKhCD4i6o7ElJQAdEIpoI2HH2QwHZsI9q77fbH6UNXYqz/W6Rxir0DBiuNqy5rht+EkFOjgnabf0/hWheO56/PAV1zyD+D9WCnjuP5vCGdxyMeQzeXMr0NYFQ=</t>
  </si>
  <si>
    <t>QXHMzpgp7ksXFwAdYXQiuoOMxlF8tVqSl36q/q0RfkrpUa8PXv8S4OS6rwW2AX06TlylQMRpWuFI61dZE/brax/hvkM5CAMQdoCEPbGbKClpV92jJEQU+E7RR+4kqqli7tWQxQwkVjaod2h5tJYcsxg5q0ElZSZOOxgxue+Cm9Q3wlJD7TUcGq7Dje19ER5P8H4JudBo4XGCq/GDR7ZGJY/ifucaOrnvyS1x2qJVLzHcVm1NEejyAZ+huE0=</t>
  </si>
  <si>
    <t>4nNKlY+i+TBdqFlfSpazKdLeJ1UA8+6yEA0ttt4kF/rzBmqi3EbXkS7UnlA6oQcyjtS23el0VqQYxL57zsQvmH2jhHIv4jFir1TNdoDKkDt882QMLlGCTlD8zwbs82XZH9B/yDM77x8+X/NUxTQ3ph3Qg3hQM57iEEmUJ21jgIuM4X+XrHh/glNLTCqx/qHiK1ErTqSbNEidhjSqXt5LsHoS9ezkVAh6AxOb+qM9lRr4swAS16SOKfV1xi4=</t>
  </si>
  <si>
    <t>8govq9cYkQzE+oLhzROzVy7zUPJ2lODfWj+3LZvfGSlPcRQUPyq8OuEGAw20A8vQECKKU17cxZGAnzmzCY7c1HGFbq3iGDK+lQiBzjevk0IYQipYCl29PHdLqLGzIzwZf/b1PwzCcbwS3yHBjXf4+LR4Vb3srQkPX+vMKqmn9x3NRAuG0kamg6m4xCHISesDSUQvR3B6ofAK3df1o+1FB+3Adggk4FJqN/A17pKng7BqoKnSc2qyXJEBl1o=</t>
  </si>
  <si>
    <t>9vE4FZFbzSEJ/tfV5phfuLB7s/Q+IL5L2/A8sTfjNSbOxv/kX8syFME/V6CuGWKPG4tytqU1if2wcCAEkV2ZxrAxnlVaGpzYExm6PED/T6dukHvTIJ5jzeE7rTBWVknx9zof30NDr7rpOiKUvHkVuJPswbsk41kDak53OqzLxbGzGSux0VJSoLKSWOQrHh/bA2PTS3WmS5folaZr8csG3X8aOM02Fkuzc2BeEP5Kh/va2CpNupffncuiZuk=</t>
  </si>
  <si>
    <t>9XdqEKlueoipmc6GEC+yXITkChoIaEDRjTQmltnlZ2slZllZpwqVczFn19Z5yzFekIYGEPhqMKR454f7ukCh16ju9/QWNGnfTXquRdR45iFdBM4hQb4qQDltmfCMAEqpQgplcMhC1vJOTze26gpTBIQJJIeOyb1CidLFH/CX+Flx1xQGx1Zh2GrZoBlTYTjSDB+NqtzS8P9SLm9v34tT29J0gmGnjviYapQwAfk8ajtlG0t7BNIPMpylwW0=</t>
  </si>
  <si>
    <t>7pQrhsF62oiEswcyF23ewlgdZOMJputaF2g9O6ql2ysOl48IVYaXwCIZA2n4tPYkGHU+JjKzs2R4IKHzaQMto6j1KvF05TYRBuhB8rQHjSxQJijMnzIoJ7YV9WI+ciwlfDAHsPve3f5zXsbSIpzTyx61YRCj4VFqQf74QfRpdTWDkHn1qxeWWZKVEHj+/+rrhZKa3VB5EmaZDx9Csgq7HJ8w382c7y8owobpUehYylmZ709SbmaryfJWaZ0=</t>
  </si>
  <si>
    <t>IXzvq0he/pH1Km1kqq/4GZu/aGAycbbQCctiEQ1H1UzHrR4euUqe5VOQNHh104bssE/ZLF1OFd1AVKhhzt+Ty5xv2gYADpjz73tpK0f886ylIZITe/1vW0GIppzDqxRDdelk+VudrH4KvEUyBkorxq1G8Qt7rvRyEv0ZjGUsQIvfXc6OIw2W/f7rV5jWbhTz/nhCOY6rGTefGDipcBZlD+JXVxyOqhYa6CtRhxhuoZOe8E84S6PBjJ7nCVQ=</t>
  </si>
  <si>
    <t>OnoggslwOIIyl3ec5AdGScqQiXA11ZkNNWpZFi52gZqr6jO9Eg5OAWVU6ANzZrNNn8JTdyrSLlP5LPGNY8we20x0gD4AtRLuKdqZEkpX9seOlhETAYJyj+ACiVVY4t/iLXN4AVxSj3Yi7rWh06fLjxp7vVqkWJDN+AsgOePObbRlJ/ts4aViW+GiBmKR3cQavxiw7i0jHwNryqcEPerallM1z6eionMjK4Pxo4xXmKPZGs5bEGD5MWYpREE=</t>
  </si>
  <si>
    <t>5zEYtQXbtIKiWOY8zgkQ2qDJl5tjJjUMuNZMNAteTfGt1kQZqgqVw+9UFEWfEaRYOpTBYaUsk+byclcXU8sE5SBD7bDkhPs2xV6p4h42J4/eKZeDGivVVZ03KNitqJUTOmRW1d385ayguqJqrnsMmeLQRrJ3HdA7QbYPudh1ws8yjHJVi0OkfCAMtEl76g3YCMMg4xsbMKFzjYTgKgwL8iYMwXWfIMpt0pM+oDSFJXUN5nyJOQXERs/CqiI=</t>
  </si>
  <si>
    <t>q5v3JeVCPIdSuM7sh+2INej5qLE9HIewNwZS0/DnrVCLSvBq58qfnb76N6P/wqjTSfkW8kYkgTE9jbXZSG+YFxcIQNKIFD1jRU9PRxREmJNhhXke1eATqPsLEn4swX2o+5skp+RUaQ5I31/mr1rZh8Yra76D8y2i+rX5YHOb7fI6pyrdebVPhbPcyCwTy39zdd+L5z+4XmVFJY0/ImgTXk9ypFD+ZhHUH5RC2STPHsTQCjgBudS9wrXomNU=</t>
  </si>
  <si>
    <t>oP4oQta0e+ZBANVeKadBZoCGbxII4KzUhbkFQm3AdI+nfj84zfEUFHSKjhpt7YYkC80G2bOPCBVQysGRvnOgNX9xNkLv7VR+CEhUnLosJPIyPoHMFUq+0AK8xZ8bHAT9NzZjMZnA9JAbIBvUXG0YoLpvxvSQRiKFYx7bgCbz9toSkn7VJ/WYh9o2jwkzusLSp7Q3aLgDq06Wq86PHH/SzMCm+TtKVfmlqIyguJ72B+elyh1mDPIO9G0mbns=</t>
  </si>
  <si>
    <t>B3iPhZsNNXMK+N3yGN2Xp9Uu3MF4UrD0WbYIgrBzcyqCSMf1HWDBoa7MwXM8HsE3yCGiPSQ8FtQL1ePd37UhPiiNYCOj4ILjoVRiDCUHBQsm/LAg/6y6sJDfJhX3Oq6GtdmjQfl/vQqTKxgin2CkRx9fKGR12+cW0MnBPO8tsIWTCtSwYAJWVi/6kgm6UTGFxqxtrfIBH4TkXzjYL8RtWjQ8xiUDEgiLVILWu8c21C8R+JwZ1oVov3yDzRw=</t>
  </si>
  <si>
    <t>H+a4/kkLUEOiJNg78U1ptHwljDqk9d04lRXRCCauAmfUroaWfCq0T+K4RnJ+7MkitMYbgGVbUUrxBo+tTUCaFgHPfxHUDsAENTD4uqcQIcZVV7Dw9372PtfL/5pfvwJW2vuC+aS8TA/3f77amhHje7V+iDyr/wB9hCCxh8xmSTAy76LHsXOtcKcK/nf4TwHgfC24iyQL+pPcbPYhDLud28OlYHKouYhoSvqVd+L7lC2JbdG+UKnA/POcBJ4=</t>
  </si>
  <si>
    <t>NJsANulVpIL4Ckz0YbxI3ForpaYd7tXa2ukKrKeziMm6IzJ5fxurR7xpjtAV+qZiZTrhk0i0srsBSOY9u9SEy63R9dg48y+SOxIhlKaGDgeJukqECHOFKcjlmbpoXms0XqtE5Us/rY5DuzwAngySPGiBw5/DSxQ/M6NqyMW68rqKKUKaPulEo/xedXwaPrkYrmQxRjyIGysdmt5opWFr39jFm9cmSA7X0xMs+ZpWV3HPEI6FRA3weo/0cNg=</t>
  </si>
  <si>
    <t>7BCxsCiL1960rsqa2Je5uN33mNXGT3CxbYDROODDLFROc4wXnyeY7KAafAuRXJvASBQLZcnlLVxZmVV0n3FMGZI8pDgPtXB2QP5f3vLqS/QWhCWJodHIaZa83f9An3NfWBo+0S4mizHkGv/huKtWFhlVexdATIhVGij9KlIhZRl7G+1AYqdjFrGxiwpxzbnHoLdnWOsli7kbq8VXV2ydMUBjzuaZQJTj2SMb76HRBQvrz0Cbb/EocY+bYzc=</t>
  </si>
  <si>
    <t>d01DW/5IV/VMc5KuwlCPyYguHlwai1bGZTh2E1wwDXmxeSM7ahvFeZ3IsCS8k2ppdlhwcVL6kmA7vF+QcnMkz+i1sWzD4V3achjWoJOx5eLlo0cwpDj2K4AJYsDMln6F3qGZhzZPCImPPJIdjjifgZNFMikhSkjwxwJaT+3xHsoqw21rupi3OUYqtGRpGFTOZFOVl4sepagd+nKbMp2gGOpIsME87qsrfYGNdHP6uUH2tOwDg4I8+NS1DLw=</t>
  </si>
  <si>
    <t>f0w+DzZQHncc/Ib1UTjVpRy2cq42wVET9odcWzZYREmjoUVztU9tyuPx+tiw5Xb/Do6otq+vk8JsSzsBmyD+S0yG/ywd7cKVQBE/VVS5Sx0zT2rqa5Sd8r3eW96hf6nm7BGTQT7rR1MuAKzgGMATS89qwAX4JbsBVeiVnbfoMGK4c7kWl1ZAuLrOCzICACpmKqH3pWH3eoYaAC5DkO1xHjHeWRA/PAgGDYk1E8kuMOJmtO8aYHc93TZiv7E=</t>
  </si>
  <si>
    <t>BArlXhLU22StLYXQaIFykiJ5g9c6xdksAgBX8h3eZWJajuRRR4pqd7ioD3HQlzx/JwJIMWtIZNnREA5QjERawu83NL0cTcKrftzxBnj3zaZe/ujPxYWZx/gp1WxoFKdPxZ/9eYM9sJP6qjSit5YonRySFblBIXu93q6mAEfwBpSOTyIDD0Zl2xhAvIlKeI2UAFZrfrRwNIilzPQ/0jRXVwr402lDiG640anHcCREi0GM+wrISCe5dXnzUUY=</t>
  </si>
  <si>
    <t>OzrT7mQM+fag6UXRWP34Z2E39b/3WpPfyOCZ6FhguowEVyj3NcemGUj7/qeK23b504TE51g3yVujOyUMwjiymcXbbkVM+mD5nY1asJzdZVzgbkWRBaveiMHwWF0ulIXEIUM16NjySzIHDfWi1TbKa3452td2UIizl6akVo6Yv/eG4lmazE48VoqXrUzTSErO2QNtQa4CvLNKDlUxgwPF5JrCPY2T4uftNMqe+hyIYEGZwlD5lAzTpIXzdhM=</t>
  </si>
  <si>
    <t>vr8dfJjz2aKRwyEOQmZ2MzA6RRWXm4/3kuT0xnfoHmOReC/8Y2RzUNLovxp3pqua0o0i/MfcZoBij8jSBauo/OmxC0At7DLPZBIbeK9KUZouMBucOt9uuzHqAO8OP2zsaq8B7VZgkksGkr/Xq81JQNSeB4NucoCTjqsV9WOpnpH0ceDCpJpTm+Q803un+nU/jKxExmGIMSgaHIKCxq5qX82lu/C/3sMAeREKpkHDcPBjntbJPPGCfQop4/w=</t>
  </si>
  <si>
    <t>3+YIlapTXdipYkw4HkNMhRza6/nvRkWcmM5O6kDxbZeS65sjGt/W9SRTpXqEXP8BPtPPSTvPrz5e12dySWD8M6DwyCXIg5w8G7532nKL39N4ODmNj+kda6KArGOBmLVIGDduh6/7LGXs888QyJ7b9Bvse/9ulAU36pjqUxI93iHW2/GT+xyq2Nqnn6veXBDmMqiX1ob9gj+AefsKkAxE8XN8NLC4b8uDgzb78MltnmaZnFfY8fM5/wkXLvE=</t>
  </si>
  <si>
    <t>bT0FKk8AUOUGGMj2FlKKqzIlOGOYPwvHJYNLfNS55i/+XG651sjwfVid5vABuLO3Crw7tV0mZMNCpMefT6XYq/H9yGsHkufMj91+gPnHYvyVsEMddiwHY655ag/6Z8UaNWMZwjRWAThvKnCB1tCpCAoy9LPibXxcY7+W4GZfeTIHCmCEGsktxVuifWs5FScDsoag48PfA/daqyetstgU5m/+eh7CF7F9PKD1LI7MPVLHURhWoFOIjKpZaTg=</t>
  </si>
  <si>
    <t>pcKR2L7mftGQpbX3ifDCDRVW9qJXDy0KCSLRTXFJWqzovpjmfHq9b3axLTtEsYO4/90oxSVvAfb6yfEQH5eBdC6yGJv2iqLYHQX9Ym6Etx/RORWfWRDDijteeOWQCpwxchR0pVWalqPbuK/MxF635fCyKbwchzcs/X54Wo9CvAMrbic0+SMWfbYCNNft4qw46ECsDs9+nUVsvr7YbYR1bx35KBgt+mUNpqiArp625ZqO+OYCIdrl9LnZ9v0=</t>
  </si>
  <si>
    <t>f46bVCwBmTRmobvfS1fw1pUiLpnm8jYRofPF4+nsBFFicESERVFJWt43Qf5LeLOGFaLu60ChN0rJo+7ENxboduh6zR+MNnh574XENnYOdlkZwQ1ytmcLo/+aK3efYhnJvxWV8APYkuidmWuG8zxU5JN1KwKKQHgQFq+BJh2o7h1bYT6HpnGIv3og+zyN3i9c7bSP4cXwuCjYLeE67iV2/Qq0xUxsk8l+Z9JlUuZzGN5rLi9K7ugf/yJDFRs=</t>
  </si>
  <si>
    <t>Cj4oSGf9dEJFWwtW8EYGEM9fkRU5asaqR3MUvBNCRHzgkibH5GQe5dOjK9AgweEbJ35Zq0HFF4bLMZ6t1CfQ9dpX4lBAkI+8fiQ/mwalDlmJG3hXOpyFLdIRZ80q39dwVz3SjxX2S7Qk59faBuWy22DqTsojN+dnfHhVzf2JpBNk4poYL3HdjEKAJGB4eQ7aIbnvciN7c5z18n+hjlO/ndUYB5IBgTW6/pNGFbWRUKSTZvwDpjStUVfSL7M=</t>
  </si>
  <si>
    <t>Bq1HbR7jNy2wWiE5xDIf2t27WyPR09kSbWgrJnYzFJ+rDtu08G/SaVBnzLXv142IdvJGLE3OFivnGObXwbA4dQpu2k4UCiKNlRoLmcATg/logg1ymL+IYiaeQFpWMVZ1gZnTvzjCDUbc1PPrJ6gJZXXruDrvv/IeOdMlAKKxOqIWbZFw6HSlByBcP+GwcxK2e0MvCMtk2UatmjSZm96QYh77MVTwao7kKd6uA0duNw9ENCJxo55/AytxG+Q=</t>
  </si>
  <si>
    <t>2sRFk8ioNY2aHd7QzvVWBiYoUEEHwDIqb66Av0VFGl3U/jmA+yxSpStZisO2pVclPshyDc5gQrgL4tpuelyiMvueL3+FytLocbwvjkYYxLMAo4yAj1RbKTrdCQYaDJqmF/gVi1mkuS6XuNN3Jr0/KHkFAvoQVaH+qbjzlsz5w5crJrv8IENh4VFw5cGAkyPNB7wwEP7/D01A4dXvcuVzwVZf+dp7+WKSi047hoZKMWh/Txj+sa6cJPXEH7o=</t>
  </si>
  <si>
    <t>yc5zOA5lNtwWiMI5tqTMIv34ZTKt/G8c+Xj7APZnCNK6tSz2SoqcrmREuSqm2sR+oNhpE53SzqBo/GYgDpc8zPIxVa3iCa8WAnuGLxhCnbjWL9vFX2a73Tux3i3XWlBToru6Abon73hgy6QogTyrizslFIrTS95gaab9otYxgXCTWbUIw3SbBC33T/Ow2egdGAfnL66h0Q4QELPdveluJmyW+ykhR7uvAHLrICK7jH0A9tmGyV3t3FfDpWA=</t>
  </si>
  <si>
    <t>VlUuaxNlC+rPn5kokckxpz2mQg3Jk2wMJHM58/ay+5TEhqwTw1QfcIwNgFtbGmcgQsBjjJElqzwy1gbtEvrCmdqz5jCh+XqnUpN3iYUcshhn+tU/aSma/g/ZfFuLgBK83X0nfzQD4pAQ1UXYFMg0PeJ6IRh0xEM9SmaUqHtpHK4DN2povIyKfWGl6wET0GK7Gd6v5nL1x86ysr3+USTiuCQDR1S9oayyiSkUjdqXBFCT6OTp72OFMm20oPo=</t>
  </si>
  <si>
    <t>dfvvQwiTy6b37nfV1T3kNIAsGqrP0zbqg4PS6LrbGJd1hZwxsBJPx+fUzdlcEIFdfuLk3G0HWcc7tf2vyET6gSGsF3SbhcdZU+EGtKaBRiJT+xdaT0anHodvSRMXI+CGSer6ngrnrFzI/2b9qepTCMRAIJya5eu3UPcbZZUR/b0EkZpe+EzE1Qsv+x9eipY021BLzwQD5kww6yrCUcms0TWOAO0lRZj+Awq5BaMJ42dI2ICZn3jdNcLeAcY=</t>
  </si>
  <si>
    <t>Q5KUgJXDnXa3u7lofFhKkww0HJtww3FEQ2iMoRPsP22Hhmv/NxKgS/eVBkMH4+wKD4uwamwuzhGMzWxFjcANsc9CwCs7ykrInXbwb4vRWKj+XqSASXOJcsx6+0lCuLyGPvcB5EMoN3QvaVXBirY3fj9YSxj4OsgSF3S+D1UEBYWqe8XpaK5J7hmMrbZpK6xQCQkAX5uwQPk+t/buql3mwTrlnT6TzdFCJ8KdcFIjWYpABkNBhjTwAIvgA5M=</t>
  </si>
  <si>
    <t>waY9HtM8bAMESe+L3xHikkoXPNtyTEAz/KUpj4zw48yaNMQpxOiNlXWZGrzaDtJWBtQUD7CVDRHL0y8axxW3u/2fYPaBKOoVMLazHfVXkbvyln7YDJra8pvKx0vLtHHQhLwjG2YBI18ERkv/etkXzumQro4lET0lLgocpIgXUn+fkw0MWUXtB8BGovXLzdXE0iCvt2g6DvVAhl+XP6DAT3SwMmdU5tHQWvEF4ZO7qaK0ZoHZyRxJD8e2bJE=</t>
  </si>
  <si>
    <t>FDh/S/xPsLGJZHSt7207hj55xeb4RvSUaZY02nvO+n7N/mArkkYFR+/eqT0cL99NjgkMpOdGFMu9qG4mlUTh32PLyuKfrL40UvIuK1Bv9rapWagc2A121XcCz7PE5BKyaVHtSQfr3I9Rd/gqOgKXBmmDQ/OOgper13Xy+GSQC6UvSKKA6aWusdB3U+F6hJsnVUQ4LONavUeYwq10RwSHUF9XOPccFyqqBBkdxn2U73aXstfaTYHYoj3w1fo=</t>
  </si>
  <si>
    <t>ZoFQJV/otOEn08i4v40sMUJvpUiWWLij3zez3ZQE4RwDIHIiYlwv+ZU4K7x4prYftrFG7ECDGjzBEgqnPLixbQrdDVy/pDroPKe5JD9/Oq7sF6D2Mwx2ZQ6BvGia3ztoqPalQIwPVWFrVjU+qCggAJNhOj/OcAgqQGxzOnoVufB/k/W6xpO8pgE02nANXBgW+RXF3y9+gQo/+ZKhydHmPUiYDcfYbHh/KXcePKxyZKsT9A6kZc9uHIIO4yU=</t>
  </si>
  <si>
    <t>0YOsIG0MQwGuNBrAl2Ei2At2KHZgJUU/Cslmvp0x6Niy+VJmd/S7mjV9i3pmYExZPfYFc7pBGve82MEs82tSUJNEawylXQROHIJ5IsWKaCsUtUzu0ZQ1RlvL6pInD2aniha0OmL0bMFvP4xoSWMseWn2P5R5of767HQMqvwHm+EZWLQP0/hFziS4cbi4HL6tn3EjkMt8b4kNUz0nMjQBYd2bR7a5oz92ecVb3V8q75H26HcuneoWwFEdzL8=</t>
  </si>
  <si>
    <t>fIwN3hAyqQn/9ABB6cpijGc4VGVokBopo6/JDFepDn8zaT58Mcp63+KktHuf4goIxv3PmWi9d3gHkoVPSZFOQWvsp0g8iKxhHC13VuePAZ2Eol7Pi8XlLMJ8bauL9Eoyn9FyII6guhX/aofohIZp1O7K3itsHaGEecBHHi2lukEJGu3TS3cfWcsTUD+gDyUks51obk5Yxxhu/vY4RxLTNUN2zZO5usYoBOVnnlCdpQAcBhi6WBU88NH/hno=</t>
  </si>
  <si>
    <t>vvIeULkkZvGafoHeltqdhgKiPi2kcaoHPMfJOgaEcdEIX2jb3dPaB5fQplArdq3CKJNk9F6N3W54fANDU/Ya43fvrGW+CN0wcpWHApZhLdHAaZcxLVH4eQul+mcr4sOis5RqW38lKdnXo/GbjMpVkmUZFxbGXDf0IEdhbgZSHXBlUNCzyETeRH0EvXlgMB9qTQnsx66/WZwyc+0GIwgtGpnV19pPYcaBwNUTvyMgJn9Tl2FrKLuyvvzd4kQ=</t>
  </si>
  <si>
    <t>A8N4sXm0ZirbAABCdxEtxKYB0iFtC0R2WZrhopmvz9KJVssthu+ZY18fKzMb/iDkTj05wT8S7D6oiDz/8RxwxMIe2ZQ8D2TSC7hlSJ68JU0daceSwVSep9NSAwKvL6eFBaxwY+uwQy4lUj3iRO14vsG2cJLu1nEvmdpEo3s0/VInGj/xlEjdUPEAovWG4vAoORTqFjpcUqhH0PAuEhWZJiK2iS8bPPLpzDu5hLLTkPKlwcmows5x0exK0L8=</t>
  </si>
  <si>
    <t>4AQXHxnrS79k85NRH8h9rVQWUJ65bEFX4ccvFh8PZP/Vh654D2qjUtW+ON55zBnv40S2iwMaHG8o0Fpox6hQSB1JTTlSGaYrg8bQWK1gqeHRKe6Quo4fRYD9gL8yUJqR3u0Xz5HOb1JqJ7/UwKglza0QE/hW8HBS8KCkpOuiKiXh7szvD3sKv5HJQx4ytqhSmUxVh6+gjAqAmy4P/NGTDi90iS/wyIHbjLOfVQngY5sQPWJRQuSSuLMbt78=</t>
  </si>
  <si>
    <t>n+7eZizJZbzXDC/yKVq3ISsLUaiUfzFNrT0oSkEvAbWmjZjj+xWCPRQKl5I45Zb/lH6Zy9yngVY3Yo0C8FbwwDPe7SxdiDEnD3d4aKg6A+CAaAtCyDuJzbgMFRGD3bcIDk305XdEQx1hnkcM8/tJOjVSG0eeRTjb5H0lsZS0RoLu5DYQOwQlbm5aM6WZwgAcKP0//zrw8yL0UaZMVEvE8eJyX/X22PEMm0AKPxu6K23KEwLvfIlu9ff0c3o=</t>
  </si>
  <si>
    <t>kvKVcr4AIP+hcw0F3nRh6o5nOCr3EyiPbUwXwZufzCx+0nX+4llQyEcDMs/ryWfd8gTJR2dG+XJLkLEa3k0Y5zKuAYY7KaLk8uWUV0yPSyrqz2vuXOfTXlt8Wk/FhY3fU3VzLrRME3P95jJ+FRD3hEvKmfI0mNYlJ9EGH61qpWZV8qwFcw+6va43mECBoXp6yeP2Jpa+7VGKc0vb3mXfRwNE4eL3Ue8XJdQZ8LYaCaidMjNjUxhdCn/grzk=</t>
  </si>
  <si>
    <t>fiUS8Oy6PKh+PBOnCZatU/33BSAU/uwB61avi/vI1s+j/9qiE07d70hyJc6yMid0MbcCgWWuvV2+R28tK4GfpvS20ioQ0hXrkYQgBcwvJbxi+m+kYACGKwVDHDpz8tOZa663X22l5jZfqZsh6cdp92ZjmY8Nu5CJv5FKEAhauPYjINhnY+RcuqdLOTtxQNX5dfqjf2zCkCTXQdT/mKoZt7Se3PBSc9hKgmhqwRVly6qCRKOoZu/nbS0x9+o=</t>
  </si>
  <si>
    <t>wPFpZOolVTZCZVzSOZL6tAdBCQ0yPPreXZbm2+sDnkhyXF6xz0Sc3CyN3gokRhi9NVGlwDo41CuqYjzL6nDb2dn8CAOwjximYLtGHEpMzlE0DvI5lRnTGVP0W/sFLb+n1GSXo3/U1D2aC7QCLiHqusasLtbDJZVk8SvuM7CpvcPOyP1S+K+hcvVtDxa+3oUy2n40rU+GlD1sqlLeAMzs16JPXnMJGKG9SSvxoUHkxi0O3LIDCHfUrVzThIQ=</t>
  </si>
  <si>
    <t>i2BPTssKS5bzfJjA7jHz36TNVQXrMo4b4YUrjWNmABUyq/Hh6InJS9ltL301alGw0xxxMnl4ykUZxwTxTqyohiI8Wdqwi1yaOsYycsozb3HlsioSfAePZCWc+tDKaeAzdBT/pMOczQ5O+xs4xq9evI4+SQ8rjQV0wiFsQX7xtfwq4rh+fIrH8HEsSg3oP9/9Gk+SHCcfxoX0l+5r9eSgDlF+WGqQu+/y7jlySkL6R2QtmEp/E74GZFpRKzU=</t>
  </si>
  <si>
    <t>9pZtCHX2WHCbaP4EKWe1UU4VzC404H26W8pVJLrVooJMdTn/ch0qQPHUvbVwCbukpn2dgMsPIBr5GTGnkMam6qlzoFo/mb3nWKH+hX+17X7flqcyEy9VrY3hsJ4nehHr6HnQtpnrvyNcBdm2E4POA8B9Y/z/opC+EXjGNLZr1vZtOZw+6SRiJO+8hrxEX0NLH7JCu84l4WwJH0D0OUg21O2XWadp784nTJZdf/7DynWanZGuPZxQ94ts7Pc=</t>
  </si>
  <si>
    <t>n1ATKEu/WyNepzrbQSXxZFtCXH9JbyAJbXh3UwsxVc760sFjtjPnC5RtrwzOBJCsrs4dyti/eJCWpsPQxYslRYSCr4F2IVN5rUc1bi7rqCm/3a0Km7dph5lx/C4eW7zc81S6yiEorarTHGpaxWIq6ZKF6W+9f0ZNbF6AedDzPWgqgZG5OQrx/T5+P/9MdTdum35BAa0lyEBFNhS3+zNVq841q02oQTGAtnwbAbxoHrMRU/YUcjjSWFgDYK4=</t>
  </si>
  <si>
    <t>7xwNOV+qMvkbAHL2TbvhyXndJUKYxE8Qr7waVqfiTACQdpJhNmGsIlKvbo7a5MMpt2TPKZZpnPe1ZbEap+hfId7sj35qiOFgAAsZJIFOkhd4WblNzuVGUnejDOZ8E+JR2RwvyORJQUSf9MlAJZC3X3QdioaDF4t34OSvhRoVCXZ3D4WoZEsAMJ1ogR2bOSJOSDd+AwYkWOs3TrMFE0UeW6mxRaTIINej5KpIfX/Lgr2xYmf5fAjXipg5PHM=</t>
  </si>
  <si>
    <t>T6iPOAmq37AnIzHtDDRVzsX8i18crOjOHekoWdU+/5UMWaeEgxxZ31wbNAuoMZU/Ez5wVhVGQBgWGTjs2C97wy1ULo4Z6voSlkCiMlaU5/kGWl8QhSn8TzsDYsNd/+qZyZY4PGFyuuGvZxMtPQrqUy1yH/36vwF4c7q3pRUUqwfWWl30lyJAoshzUst09yK7rYkOAMQ9J5RVDQ2DA7x3IacaUato8Ibvzq0UyaQxUi9eal9+TuJkyXJwxq0=</t>
  </si>
  <si>
    <t>Y7yoEYAGM36kIOABaTWnnZulScskzK8RxTVd1rlC7V9gx4fYTibx6t6Ieu1JdxKQRuwo70ubmB4dXX7Jax6SM4k6SrCuAiH1DqdUq0NzrrHCUePUbxpYWPlzzHzPGZwKT1+Uy1JVisbUpVIaybAqqxVL5Z5W3pH3NK8Fn5qrjO77Kp9wY3kRPAIVXlkdZEWDo9iCr1WG8zekcygcQbfXt9l2JztlSp4zErZoERp/o4PS/CLX3+uFJ6399og=</t>
  </si>
  <si>
    <t>H0wwH2zA4rItH48GXk0VVlFunbsSfoEpt5QwLEQ2YLOYgMWVSS7/Esy+SdMrSEoTRBFdKC9oc+ZoSrCwqrd3Mfm/xo/cTrMm+0e+1B+7CIDdjhmbRCbUBzjjQGsxCCxzBfb1/Zsk7WaTvS6uwsIifg/eQ/mEGU4J457i9tXA6o4aqtTAz5uB28VnbZSdMllRV8FKFPgHJiNc21WM1u+26qH5FjCoh+4hU/+FyGbZFJ2VJq4Bjxc7mC0+Fe0=</t>
  </si>
  <si>
    <t>DyiU0j0b6RLoyoRzii7t26l4NTKZufWIBqs3BxhYl7laRB8k+KjrS7sWKKp+ZRGXb0hgZC+7+KscY+TpBJKHno+QrLx0ePZ/trZ5ubj8sXdQgokyYBjoFs54+/ddvSDXB7tABlcEJSnHWoteZT4JyEWAl3gnLeph+zSq71qt2ZJEYO4jXPkUOUlJQeLpvX8tKvD3JtoZ5EZ8Fin+0LxUNX8uYqpg8Q19TUOMtAKpCYiaXiv7WVm1qMdlODs=</t>
  </si>
  <si>
    <t>0xJmtjNT9N4YWQj2r3Vw9kDgxkL9hNnIAEjKJf9H6m4Zu1YoTZgWgppCg+QdpGTTdLTTEp+nOCbcWbcFQkYQ8WygtlUreU7m/q1JfOohH/MUEJwA4jXDkgv8ZjNucP5zqRj0olXdIRM87FFSbKvUNIh8iyTqOBUagJJClaIE3PT8fuW0o7403hRlg/wLdFNWrpSLf2o3Bog7DLCpDfz5XWCLssKwuwTGIf9klA0VafdqmdG9tO184GJhHqw=</t>
  </si>
  <si>
    <t>3RIIO2oncjltjUhaD0EgXAVHCI9tR8NNMFuV4feYszRh3Cir8zfh0yKpjbEU8ve95UdbpCBfhmacRb6TtROyJ/UqaYjlVZx0/KIuFq4LmWtgSib+zsG57yJxJD/yz8COPWYTQK4ac+RuUowgSQmD+J6QZPPUjHhvA21zDUFyO4D/lrNMK3fU8wn2kfIPQrvRm2zAppEsVGUKALSUQyYs/k4EP/7UCiCSNK96qjGEN6qUXGUV5MVeFlpzsxc=</t>
  </si>
  <si>
    <t>i/IN2yfS42GN7vGpS1E7bRi88DLAsb/hllOMXJ687h9lemVqSxbvaQsVQu9/gMR5EFCD0XPb+TKFZTf/06hhLpyiUQNtKTd15c+neNSo5UsOHzj3esOkcgSnOw+12G58VE4CK2QlU0mhKBJP5jU1j8QW1vVBGsm2c3WciZ0VW2cS9aKvmVEJwA9aH4mAn8KCyudPjtRkrnVUquyER+MDap4dfOo9aA+9mo5GTCD79IUwEcFjmKko67DDQ84=</t>
  </si>
  <si>
    <t>wKSP70OedM8C+gXee9wawAX2XhMiKjkM0+YUBRAKFrSYM3A7Kc8lrwRvFCrEgaeLC256otaif3/Tdft6OUyWgOi4652K9ohDAUCz+3K5RHPM5eKuK+zgY7/am20wtsojP0bbSU5yKbHJsIt4Mukzfv7lpRoejlYoN/JbZm9xu9eONonsWzeOj2FLRXE0NkR85UawMGlNgeo1urseSTs/fB1lDp4HeuxFQlN49tSJ0KjiBkTrpMJs6qMbtJQ=</t>
  </si>
  <si>
    <t>n32MB4q1p43jufFfzdPj5V36iimDtj2MfDfZvAAJY8NTneffeNRpVrc7b2gR6/WJTn+b7k4gOl6UISugX072bkZE72iWCmjNumd2RZUjJvqJFOPaKunXPsh/cBFPVirU4ynyJmDeVEAFG0ffXiVV5kVakZdwKigtktQuLJy+if/Xb4b9we+U2/Jl7vpgqXos2UDymXjngSZJN497A3oJ/5EQWC2DldTOxhOgvUqVcrPWTO4tw/JWD1ISOxQ=</t>
  </si>
  <si>
    <t>Gc9+DxpvrjxY6t4un9OnEosVSgs68Ny6sCyZl69rHCU/a3NJNbp93Otm64r9c+r38gSD+QlC4B6Pc10JVMuwdq6uGap7ewqMyzD17Cj3EGN5omMckDzjUQHvEFDI4vSzIz2r8zuKeffkXBNN2YsH0gxTEuGlivt6Fs+XrOe18AgJlxGlynsvB3Hq1s8iiptNAL4IF1xBlJSoeiv5iSOs7eeME/jwgiWzUKuRHZczxGjeQ/10wppECIi8Ej8=</t>
  </si>
  <si>
    <t>+xvtoX4Xyk5+G2VuHye/LVaWry0VEDaGYr7xBA5c0tTEz5ib2jb7oniL9PUM3L0PJfsQAP7qUuG9wMkOr9Yf2SvpymVByZyV9WvgQvyoZhqothdD7HTSkdZx901g4W2noLp7H15CMZBBtgN/1FnVUM6y3j12SxYsbbZWhY1F4kY9XwofDRHR0JASAFWxdXTg4HQRhmqdciD8Ly2AGHXGA4AwvYcKt6wGrguGYA93aRgKL5LzPvvadIrDnzw=</t>
  </si>
  <si>
    <t>i3b9OBfVQ24HDtiw6JBRB26IcvUXqrD93VuKG7GP6r4NxNXjpI6vdzyllPG5oEwR7N5FmYOmfFb9ESPYbC0bfkQOOByOi6McMtXmifH6FNM6tIHy8D32PkCqUsLZ5cQUT121o/99cieoTOBoD9AupZ4QbEGi+sS24KXfJgfTRT+nsWhilfvcqmx7nPuvu1+FPD7gvH2tkYdvc97tql/+jNK3UItESu6GFnUWsljMYTKc69MRJWNXt4r40/k=</t>
  </si>
  <si>
    <t>dX+MuBmwojjj5HYpK/69HQggv/rjf4e4ZCBWplr37/+RwgOf5lEL0XXm/Uq99E7Pu5FXkh83Cz5UQ4bC+qA/WVVRYZuCMgS570PpGIr9UX6MiAuI/ZPi4ciy8RuaKzYnuWarFdUUSa/F0nJocKjjAbhDqNIoaFrGaqkWjuc4w7MnOpz9Wl5IatS/iOIUkBcRWZp52EukKDf3mB7kCe/yNEkxyjXlI/v4QyjncxdKG4heFcK8MToP/zdVQUA=</t>
  </si>
  <si>
    <t>iPpcNgZ2mVscnilIgrs4ZeEdW2e0YSG7NpV6eZ0Yno4qTCYc/JSpz4xNWk3Tl1aH79YWg9ebagCkkHRYjoJbqPnpScGRssTqcPwt9nC9lKP6XLvXO2ZFbQFTRpkAKNUoRZnRT29XcH/feTWvEB0W7Pq2KesjUqcQ+xsmj06dSRmZyAnflio14ZWeOOH0Nb81SDQsvBAqJvYtHYwgWXignEux9gBU8Cn978wdb1F46+53nmgDeWAoEYXO8Z0=</t>
  </si>
  <si>
    <t>BzWy2qwC41h1gEJksrVBwtmRjoBZXja8580rwRS6lW7s6yEbZStkqlqCQoFnmpuF9XpbhcB9VDrG+m6N+HslEpkcnbOMaLn+mgfH6IvKBPW+JlFAkadA96h3BoO3+jeY1W2wIYJDMI1GlJAQ23qFNYIbzZAqXRJOMrIjaAWNJ381pnY/o2anoWgZOv18yndVlqDfmqXseZP48pY53DAvDsl/LC0x4QbsTdKl5Q17y2BLxb6VmOuMNkfwH/w=</t>
  </si>
  <si>
    <t>ekwhRPrPW2iThpN3kZv8RapFiwhn/ZRqGoNqQkwXxPGdzQoMPxQFu7EEI/3ogt10vTSDJmX+8w0ntuv4uvmfAQ3iQ0OP4wKG9+rTr9WqSDn7lphp1xVvGXMXVZzH935k9GIjSLi8hXvN+HqhHWRR+aMb7W3EgA0HzZEERy4Fjq1ZJzXIvpP60h/4svNOYtvAP1yACk1QwyPYza8GGw0iWYbaR64x/vRURovZXBHT0wKkG2AwiNi8uCGeZq0=</t>
  </si>
  <si>
    <t>/Ed8DoYfonIDYxbd0YXKjwIxBL0VqCIE+2m6J+jpPAM6GfP5Qn2WDPj0GTWMP1eBcz6q1fs9fFoj0wyO1Y+GNMZmmEAP4RxtkePd9Cr6k0J/He0TvDDTGq6+m+GWH0FbtBCTxEsi1n2LTDwZ5DVT7M8uuznJjEd9S84V8q6GR01lU2JU1ZoaGZM+/i1Zi4HnhgmTFZ6JtaZitM50EneOKgVLq0T5a6sAg6woAGhUBeytFc5oz5/130n8ZyI=</t>
  </si>
  <si>
    <t>xq7Zf0EIpG1kIcA29BMnP2eIH5l86dJyfgCmp75xowjxD82jdZPMdw+Tq9PfciduTotckk264w2PLW+2ayzdx+VQVZKKc/nrXaCfmL2qr/iJgAF4o7oI8a2KodG4eIO3sfa3OU16cr0ps/9OVEHs1wFO0y/HeSAQn6HiYJnrr+JaMgKAxDjfF28XQKpJefDaCfocaBflHR8C1hU5+uVaKpSAW+KWcCmVmVFySugGP+tYYT5Tf1ynBGvy63Y=</t>
  </si>
  <si>
    <t>5eImChhyVGe0jx5wTbolXyCwEH4QAa55SNoXb3r7LPgodnGBJZtO3vzv+r8vYHFYZ2MYVb6uXuR8j+zb41fLJvVeS1Fiye+vCufUVkZXWuUahTgV3XN6ym22J8Q20sPEDjdFpwKj+dpvd190784twDl4EIpa7UlMF7szQe1DFPXMmPOlUgnqFV83gwKPJJYe+FC65as/7rzDX4zhwfsKnaogjADxKWuPVdL7bkFyvc2J+qrEcJimgDjt4X4=</t>
  </si>
  <si>
    <t>4ccYtkrKZl5wMKTJg2uSMuL1n6eUZcB2nxueNSJF0szd4A0NkEEkbDlg7CaykcDBQDXz7fSOQkIdXkJd6qJoYbMIi5fbVhy8zPwXRmhKeFKAj8bN3+I7R9jJuwatpPcvy4FGK3UbP5djfvlquZZJycdfXVLIH7o/ZEi7yObklFzOSpYAvAwzCeYoKFz57Qd5dpzPRwnVm4QWx80nAWuRzP/lIturRk5E9fHurBugwZ4qx5+KC5KAqzF4CNk=</t>
  </si>
  <si>
    <t>NT/PKFcZQI/u+jFMhYb5utoKi24xh2oQKhsge+w2NwVjMvodyqO5olYIov47Z8V9LdDp/65NzV9BfjZK9wzxEPBi17zZZQ7G2fbX2ZntelI3tBiFO72Blr8+ZSFI5cnzZ1cj7yVIOV/EZ/GNCD45dSfzNrASYpsOVNAfidYVSzAGzy64WZAtXtuXxIn5eHvAeMykcPYEVTO0IZcTRAniHxf1jAA4VRuTrsF7mYWOoCuHI79l78DzRKs7lEU=</t>
  </si>
  <si>
    <t>AUMNBpBgmB8T+vtbLptGNbASFgWZaPmwZ/5zHhB3kjssuArMrnf1Z3rXDbhXyyAcDQ/uUQVMw+OocEuoj3wt6ca73R8M4nXaLyq9JUZWYzcahFlsZs3DtUenFFe8gzUe63/jMlkKIRJjqcJM86nYjJ/M0f0ZNNmVAnIJu9O06MYkR31PoPwuwrTipEkxKf/fMIsQx2uiV9idux53QJqtnXUC8GyW6j03RLJxxfHj5KEinB+Y3sqKcKxYXI4=</t>
  </si>
  <si>
    <t>/NKdZBEqEK1Gpsx5TaePW/exKDtk+CLIadppda8keVD4d8mo3x9aEA6kjQ2kgLgZf5vfVQSLE2ymbHNfYjKyIob6KrSOpE5q9Z4Oee/383foiOaz01v8nmcpwbSd6T68Nee7Wjvl07OGZ5hYRnx3iwsG0Frqs/WEeVlKWcS3zAaEgimyWvNwCGORUvXkjuM/oxLG7RNsQAr391xSYaZeOIl3vSFZ6u4/5LZQv9hTb9rTIEn6JEBkeGA45PM=</t>
  </si>
  <si>
    <t>H5yMWRHGhGijNCnE9Jgb7vnP5vUmBG6kZwgAjNyDseaMB/lK0+dG843NEwhVsmtNmzklUg2sI0Yv/OKweLhNavl95nEnbuoVMzq0srI5GeSNPObaoB8CuLyf8hVO8iF5F4xjfOoPq6kNcLR7C1We63hUa0w2P1LKER6vKBw/nn2fBiPGFm9bnYHR4gnsT66SRGZyeaitrrR7j5Opv2ZKKml8I0sE1YZ/g6A9k4E/8y7Sf0ILPOUfwoPeMOg=</t>
  </si>
  <si>
    <t>hwFQMcV00GPPDTULLbF8/24uWgwGS8lC9LKVv7UxSMyoHvjlfSNUNs6CodmQEHcPmA2cr077y6q8hI/EqJuPdz0LIJcHrcH0oHHfHyZcuy33h7Vmhfbh0TsdsfzPKDubdbaDkZgVDomjlegW7SsBghJlrsfn6pu+rhjxzKyBgT+V9D+57p17uJDv2B6WDoAg2kj6tbKzoaWzeo2zv3KbR5E3LNuFVv92R2v25HTinLLuAkten/uM5j3H2b4=</t>
  </si>
  <si>
    <t>aZ7jA/ta1fB9opjsaGDH+jLuhI686Mg8LA/kQIxRD2YUy2dsUsRVoymO2/Sg/bmtjhEuyTosaL+cXgWxoz3auUsLOuPKaoYunAg19sxyf8O5uoCyJInspDLBR4ViMVm/7kCot3KSFgw667hsONKkEJ0ViGgva4q3Kxq/ggQv4/v+x10vvEVRji/FwBniMepktF6QMsu45TslFIRNv3iIrd4/FEb3zgHIMcyyvPBRtYHCnDU1Qegws0oNi/A=</t>
  </si>
  <si>
    <t>BJTaHrO10kqdB0FmvDruJis8S9dgvPkAANxksyEgYVBikMravbDRt3wKGcCL5yWR7jqaZQ1/Zy09KQJuIQvwuxNS5BF9zEZ4YvYhF1oR12ICB0AQWgiaN1Q0wvmGIqWAqy5Zwc+N9Qgy2jxHbkSR3sCfFuZeGLy+ZNmrHvolS6biLzTYRXe0fwlq7BcSIIXxc68ioOQioSqHH/ZXO40jYrgS1l7jEX0ttNl2nfGa05bgiXm0HUXROcXBqyI=</t>
  </si>
  <si>
    <t>6Fmsgh2S9T1BC+oVj8p3gThjalhtahPL/O1G2eZwjHyfmLkLkbvcQVSxoQ446UPFp4GLUnUKKhZNAZp3hsxoSJJdKohWHNmXq/EfVr9AMW8cFqImx2UKqCwgMdyLBmHFGlB7CHBKNOaj0vS68iqQOdRSJPcAbWAUeUIA8afnrQEhVMc40sPOFX6thRuozTFkk5dLkgnj+ly9h86SyogNQc8tOPnFqtW3ZbTcHZIbPdu/V0hQKZAqgo3KdRQ=</t>
  </si>
  <si>
    <t>MmZ8+kb1xWNIaOjBkvU0oW0Gv1uPhnNaD1WIh8swgIfLGrmO+thhxxPiMEgLKad798RD90T7IPmt1prT45AZrczuyO9vBr727cSh1lp1NxTPaUy0PECXNtzZJIDXbAB/26zvzvNHHn1shtXZRRRAdXZ3C2YJUqudQ9a+85ULznRNH4rE38PDdKBUz57aqx+sw5QYEH7y6MYUyfuz0b/ETTTr2gUPov8nY6P12nMt8Q+uQf85YuWEoa8n2vo=</t>
  </si>
  <si>
    <t>6ZXipPSgu5FmN+CdOwAhJofMG8cNSRmWskWH76NIws4eC/hzeE45Xg2H/pV63hD4ita7BPiEmGxAEf4OiyxAm3sZThnzC28EfNKsb1isN0jLlJ5C1FlhmUrU55IwqyoQFCkqaLP8olZDAF1CNXElh4i1iXqNk4a1nzVlg12TgCqyouTBRaqw9WjHLlCe/bZUow0nfqC18eGgmlyWLcWgy2hCWR/Vj9ruR8UQAvZMclIYAuQL6gtF9/ZAPA4=</t>
  </si>
  <si>
    <t>9/qRn2WVonwg7w0ncAr+Kfo/t6Q7npSWM4rgtytpvdwLuyydnURD4WxtJbDFPlI637//EgpEfT7BRPPK7Xxt1wa+DybdQF+XOWTMQ1FZfaAgOdSUOwSkWvmJhSK/ae6W2uQEOtgp7TuC6r+zEoxUApD7l/QwN7wJL//fkqv6y5BRA66PXucAjsG1faF5jK8eQfcrzssLrXFJt+gUj+Vjjknn/e18E8ctXiuyXI1QEDka4GOM7v89SOLldPI=</t>
  </si>
  <si>
    <t>Vsu8eKuzKaON7khsMc+KtdIU9vuYMb1M/gGeht/x2arN/ShNlBW+P+LiDOlhEzkYGF0O2Kvz9nrr0FjQuUwZ7jqvjWlpsJp/TM0nmqB9U6MVZVpQdl4uRVnp/9eU+mBLpsiV7gqsAvHrXpn9O64QCkMpGsvaomPZ/lkLVWw5/fOdFZaMctWkvM8DXoqlUyaF3Q1452QFkZkG43Vywil6dnw8ZKWoTVY1g7zmlROYN1DgxRIIvCoZzOhT9nM=</t>
  </si>
  <si>
    <t>rZ8oUIsmm1Xg5U5iPdDOz6YAmn1421frMydQ3N/Q8gol9WYjrqyLkXAKk+t+q29Ix7XkrC/txgIbs+mLEWsUBZ3C57UT82E6DfJf42jYBu6gxAqgjkIktCHh0DiL637dW8EMkz3Z4RF9KJkN5600xcwOWo+zKLeU7qxdCP8VCUgJvRde86MRUu1t+TZdh12J49ZUBZPOiObGmjZvwR1Dfu2I3rp8asoYIAK7iqTrJOhXmLTpjfpixZIUq6E=</t>
  </si>
  <si>
    <t>IAJWt+HzkiYvbFxmZJlZeHfmh2AEBuYqODLsFmtsj6MY0BMtxXcvsobvmGoLqPBRv+nBiP0CIDaJsoHb4QUjUrFRgwslMTTWJ6pdH/Yw27Ertxbq6QG7LHfX5P3O3URM6gipLwl1ic9QLnK+96VS569X2YIju7Loj3TbOhSP5wNgSKfubzttfN4v2r4iIMTOHFOdzRyk151LRkKQlYcJQoP603yaN1tYKlNP/FFyn+QRWEuEYvczgHtXE4Y=</t>
  </si>
  <si>
    <t>lskt2epLtg+htECugJwy1pZPYk5ldsTdl1Bk0Yc5dniOGH/UtRZdPPkolXsjgs/bk1bCtQMP0yFvPOEpWOlnHr4A47MqlzJeZ6R/m3EZ5nLRhnrDS4JhCe9Uiq0Xe8wg30VQ6xBeHZAAtNmy/mJsxhlK6z0vZ0lCDl4WeipHJ9EDC5W8uu2oxJYBTFlnzWppYawz6UNA0N1dyjDXhoZJ810YI1od08VYruQ88JhNQbX6ZyYTNyuCMnIZXrE=</t>
  </si>
  <si>
    <t>Pjlfc4gYovOAmZKUDQbuSfq85X0db+TanE+Uxp6UbkUf5k1VEQmMoDMdAspo0YlgQjgf026QHZWVr57hceGH2je/9qluEY2U51aRPFIodDnDk/Eeji8ze8AdakRysIKc+hm3cMwjpcg2g72y7Ph7nsiYIHGZAZex3kXRTUgYeuf1/xByam33gIVj6i0cSzFzk8slEV7mOJed1YE2zyalY2WK94RwY9qYs+XkAjnhgufK4jt7QaUuKW8O1Tc=</t>
  </si>
  <si>
    <t>dlyLhB6Ud1mhkUxjCIKFw7I95WVOtxMTEudjhp0uUmP8vmEoTxk+zNP8ZFMfCUxZ8cklTKqow6jddKAivOZcuk2J26AyMZfGY7n0LjD7l9R4kZ7qR3d3A82FM/lohPh860HlsLy+iVOL+sn+SC/HrcOBTJjey0rQWjYz1DRCqMkRqTRjG3nCRW9rbPjkUlLiHMyEeIjF3KsKUtbNfxTwMEuQIwwrBqIb2bbI7MDrSiTw8fQiy1+tu+kUPr8=</t>
  </si>
  <si>
    <t>TMVPb6pwCYzLpUpDEFLIjH3FTsergEK+ZnB14lLHk3FUa7mpo9lFgXxH8E5aMkT7lVTkYwY3Cm1snRJOCFq3rU5n05uTLss5JCcQZXjR36jrGvsXg+CLDedSIzXloLxhAv8/Y0Tcu/sbnAdVugv2tNVTg6/odklBozMVcSyuzbLsgIQVvhNCcSD656h236B3ycem1QSlEiwjmB/Ju5Hs2MqpCRNd/F5MSWhm/MeCk1Y1Wjz7wK/IRtOhLoM=</t>
  </si>
  <si>
    <t>2unT0aW+lGi9IPdCPQy5cR+DNhPQnVmkjbmCflvBYKiCeamMRYzxfg6+SIzLyM73GGtG2vdZHjoqV5dW4den4mFkCFwiU/L5VqoXM23FD71Xu6UoktEo51C5NZrT8Eu3A8lIyE/6+n/YVpZ5CFXxMpiLZCCpwjggi0E1h/QkO84oQq0MJc9mEH+2XuNMU3r01g/GQRhw3oQ4K5XnZk7GNSd1In2WtNDU/oLQL7uU4xEVzlCoRfOhOmJiBuk=</t>
  </si>
  <si>
    <t>YU9H2LGqsSwHEAI42dYb1F/XgBPAYxn4lU+VkFznUj5D6lzr2LwlYApE6OOVkxhwRlwNNaqBxgxI4i6RPaBFzboYw2QiBHrhvm/4rhv1ZI06swUXUIVxjCJCxi5oLs7RwS4CUo6LeaoKFqS/9LwUxDL2ULKbcuTDWjNki2csl5aQCGvofglwhimA6jYzlGFt1wWoPziWrOjkx9Ib0YZFi/pW8UN1WGK8amLGDjOWX2xsxpd1KEjU/1GvD+g=</t>
  </si>
  <si>
    <t>SXH9TJjD6nUfCtYhz5J22POBgMXe/XnvMQZb6wpeMy9GiGhlacsrSdiKj0+dV2TMxKX3kpF1eCnqQM3vEbCnKiilgk7T6s54TDHHVul1a0BmK+tbsuRH+nW9TrWqWyWEieuvsNpMPwnxE/DkhYUd89euXQdNEFeHwNLlXu9RdoOdmB2xNZtA3WUzAxcU4G5F0zrgmqhks2l8DmrawQFl1qf5Y0gCRtxbwa+m0+VKs2LsFOo0Xsy+zQz8fH0=</t>
  </si>
  <si>
    <t>2k+0dKIbq3iOmD2FcgimFKn1pKj9m7NW2j4H/HF/ovnvZp+VDbYMSbK3K/AwF7bpH/OWhSvYMKyOz0uYfYEq+PtkaLhRx/QUszBXd5MjIHHXksQNqEe2e3lbigrIhFxATB2djbh/CDQMwwG4Yqyy4VFAHLU4/ORqYLr2SirgXHMxCb0NCOuDUsGlEnKPJ89Qyn5m3yOXxmf4I/Gc+21j+NM+h5A/ggCAxEdr4sWwXrKIoOzei1vyYeo0KPg=</t>
  </si>
  <si>
    <t>j50IbP9DJFiLjoSYPvsFQ5xs8wQnkBH8GPbnPa5saIpMC2Yrr7mKZ6F4miAfV1BOYbEYso33F1AVKlXu8xJqPq4+IiSdavH7BFGPoyTSTZhsk9nAz20Y8dV8y7kSySy565uinqA+4lGXmGC4O0xvMHaFWxSG7/rTI79u4Onh2QhXmJ2Lqd6fM+85ukKctUku4lYqe1bk5HLLQLx1zJYyqENFacMIvxZwjasgRL8Ghluksb1P8m9z7mTLVkI=</t>
  </si>
  <si>
    <t>v8kdF9BJw/+ll+xrDn/pflaNu2Zv9srCkaOrMjliq9V6seM1+ZkJsLaxKFOt+6aVlmCz22s9eDZ2VHz/Pxu0VAPFFttWI7LJaEzMlg2Z6WKKTMvqi/nbj3dkIT/LBtvmc7tZYgKurI9Av38hs+U2M2RVRVCIzi/hVCJfUZrVwt83y23LfeWmnTsC/+1PVyiSq8dzpevuBiW3E0sXipIBgXGrTpx2YjMReKSV7G2sTNn4uW2L7Mh31HfTJn0=</t>
  </si>
  <si>
    <t>AqsGu6OaxVCzm+YHCLuQHhOrZQcnyl2kTGuYzW9zMSvIEpwx6qe/IqJ81osFfTncA4/w7cl4qsX2PLdO70YuL38fWGBVB7okB7/cVuSaM0v2JKS8BOiTF1UcGdnkazrH5l4HOkv2m0dAL/TdH18flBohWwoDqHIyygOi07KEqXwqBuPR46O5LFZ+MjBxLLZ7jrbvLBPeVPpIgp/siHb3tkYrny628yKKpvfjpftMSnqOF/UDzgdyj2Kh+mQ=</t>
  </si>
  <si>
    <t>5iigPjYopoiTJ9u1e7fC8z2rXpPlEh7oIqtsTeW5FyeVcFo5h1y1doVWGNZQN4dIR89B7OEQUBkglbH62Azma3XMOMQ/M4IazW4FNZpWAlkO/k9JwL0MCOjF8SLuYrKTXuGfJXmgtTqMKX5OUbVsFUEnPKNTpl/AFp/9KyTkrPQfwk+u/0F2Xhk/YB/+W3/8HAY/22DJ4Y8R6APE1hzeeUdt5zgX41Q4iNDbPgwjfCIqRHaBvoos53XTL6U=</t>
  </si>
  <si>
    <t>aJWGxfN9bb9kUaiJ/nZMMT/aHxvifMVURmluhQLvAS0S6PsD7gZHatzD3RKqyUByxwlvAo3HRh5E63lom+roBq6iv8hfSjcFs+b/1r0ivarS37op6zQzglOJaYervHpt82uFO3cnoF/o8kIcuPCicgO9NVcfJhHvQNJt7Gl03y5opfmHdjQ2W3rtsXsgb8qtSjFUh57b7fY0mYRG+ztCXaq5M2QRHmmZ7CN4w3/LofdKXzNVbpj5DLiVg2o=</t>
  </si>
  <si>
    <t>Gs7JDCRVTfyPy1xUJrmeG4xXZVgwiynuPqPBbFbUeHsh64okO60Fkfz9MvLKheR3UBJoGRpJUn+bMLQi4TRptyK58lbkhkaLfbnDn3M3FqAmgWyo4jEpmrJpsoZ9uYPBJWXPt7TAq3a3sFSnZ7y4ZVcJcDyATMwVoMZx7xsD4NLHbPAYu1UfoSqA2uS1T6Z/s/pJnbBA55ZQBVZOCDF55PD3YmVKWVbXbTwlOvuqhddEUYvEcAC8kC9Sk74=</t>
  </si>
  <si>
    <t>qj+YQt8t2FigRwIGySvSyPrheYEtZV720m0bVrfLrcFihtOuA97+0W3V74CvhYVuE17paMwey6j0B5YDkvXPw2cor8Hw/6bOYSU2gfnooOxNlkjh9AZtLG42b0u7nEhwOlt32uIvm5J0d/Sn4zY/PYfLFBQwcdY+ragBQXLvSpcwSkARhnD7834u11GZc1EYCVU13y20Z6RqbRSYdJtG6VPV+XSsXu98eUee9205d/ZiosF+kc2V5Wgcb/o=</t>
  </si>
  <si>
    <t>GZBMVgUDXg23UrARMwMZQgwEMk/SirnE6k+a4oCBgVmI4ygv2ND8vcRwwbX3Qc6hGKf0VbRbu9qckGWAKkzrEEIy1goEwxIY2a041/k9UC8kcPFYUU6CLencFbs8OFs4cS0u8RI896CU/0T/1xa7BSLncLbxCayj+C5JdDllpkzbNN+EnjaEwV6yW0kEXhVFZ00cZlXASmHQSZ/qJ5naJqmLLsR47CS4MaIdEdILSr9ULmmuJgUWSaKmgek=</t>
  </si>
  <si>
    <t>wKxlFzbmX6au+JaSu0PK9+IGS4f8EDY2r+OEqGtsk6IQTsnui1Vm1Pyc/j3vMZIBxaj/RTPo5LhT0n6W3D7nxHNUlUTexRF05fDe/AT9mTNZMIOYBbtBZzdfkMgXQAIyTEK9qqWb9Zq3WUggaIFiJcxxn1jT7BpdDt5mJpFq6QjPxN1i8bO7cebMgrVgfRUce5VRwAH4a++F9yqmgK0ALFk6y0cwMnQWMVLY9ExCL9kJH7+E9fSn2AIKWGg=</t>
  </si>
  <si>
    <t>cRyZDiSSqPGLxdxMPm2Vg63Jidzkrl64IvYX3wr7fyvccVecbMF940+j7B8LhNvZvCFpE6pKwc0UWFJ9TFM2KXbroHb/ytwrx8osISJyH3917+tMlGI5zeCA/FtaZhpt5c8Esv8NoG0ZgVCR5iAkZ36HmF5Y3cIPzmChefPoQhoAGZaoLuOgCVdEsRABvkn27HYMgGuwNPzJK11nhVK8FYLs607SZJQMWFDyFlYorGXZUSNOSQxJvt9lBTQ=</t>
  </si>
  <si>
    <t>u2VrpPyf5ZoBHpdOLGXMe3czwGeTEzDv/cr44Hwm88gkz6N/iubpDR6sUKzbcw9FYuRM+M0N73lLpE2iclNRpi83D75Rh5tq7fcMERvKB+Y9Gw3dYdxAAtnUImZUNYSv5IlBgiOjPsmCAYSGrrASDCJ8Ca/dcaIcdoqvQdZH744ye5wogxg65c9Xu869LyZjtgqdWaExZbBGVx6LkqojZtET1VLjpa8yeyDDBT08KVXuF+Qi5grNpDslEF8=</t>
  </si>
  <si>
    <t>BULOJvfvwJSG5u6oM2CYx+tvromz0HvBswS6RQu0kgq4qyYN3GCRTPkp10j21y3TXFAKNTfwdWydUSTyY8Y1L5Min801//sGlxZK7z2pZvo2nG0+WDycupXK/PANVEotWKASPkXO489uOCP/X6hyeIgHw9NaThvDfQJbfclSXGlv+/ZrGzJM3beuRhOHtHG69EtEkfrl9yeriRQpHlJKj3J2YLuxrhVErOPWzv+NPIPmQiBjRAQua8jD++A=</t>
  </si>
  <si>
    <t>r7Wc3SlLf9DXh9mf6jaIxhINbzC+pOKkgvHCmv9S84m+O+2c98vC0ExjinnAWJhtJN+v3Byr9ruh1pt6zZ9q1TT6Qd7M/+lNRcjiBRb7l+u26WdWFcw22O5TOrf2KTfHDQncOoCe/o9gzDfHf8GcAl8q2+wuzDOD2dVM6FPJarh67r5ie6vVRcEDvPVi5PILX6uLJn2jaQtstf5vOboFJoIeH/50Ms+omzn497Q3Ls684GVOt92StPdhj0s=</t>
  </si>
  <si>
    <t>QMYtwTrhMFr7BwImu/62+4BPDocVB3fcCl4O1MZpHinPvSMfYCZGdYpOvwIrJitFNhNEfKJ0DBleVI//osq0qOyg6Npr0rRX10CVu4vqtoju48cUWGFVHWTxXRhWL/C2mLPGfxiFbWmRjDzZ/1UHJe4kMw8BsPdrwi2LXi1UJBaz3HRK5Wa7DRzok1kryoZA3lfH1Pr1L0oo7xfaDjLoGEytQ3sWB0UT6Nv2doi9Hdob056i/ccCD0e8Yu4=</t>
  </si>
  <si>
    <t>4MoenGlniQnqPg3+Iw1V8SNPwu7DqF8ZOtbq8mLq7yhAVjrEBX5SNLa2gVl53M/z2APEGZlmPdmGrrsU8pfVZEWNwFi1hNjS4InsPZu3ZH73cGYVtDAEZMmVaB70yrzu83r8ze6rBmIKGGYtQt3/z02kLXaSqD5Rkzf7aK22onCD7OQmqivEcSURHbNQX0WDmR4dyq4qyBGRFALQMk8Nm1UsxfSatQg5eqFdXpP0CtckPA0BYwxaJX3TRxc=</t>
  </si>
  <si>
    <t>+9FiLcFpvU8wW/8ztnAVE2I1HyQkD+RJv0nqFCh6OOMke8eeuk5S4HFRTl9ZNcL8jo/1ZRb7lCinH43+iGY3gKwy+6vB96CO2fs/0NuXa6+HLlijghQ9Cx0R04eKwXtlNouUoEMObNf0sZdvhT5csxdekGI3wFtBY9AqtaL1DeFsGszEGyrm2yLFZsrHqSH6U88QNaa8NdWK3NPabJwaPqJycKv6tZYLgJn1YfhKMElrlyR+whSWWaSIXxc=</t>
  </si>
  <si>
    <t>kTvzsAAnzOYJEBSWWL7MW4sC1cxw4tXhQb1du9L5Ufaa7Xu+qcGW5JiRBBta1FYBezTfcIdIkBW7TxBEOzJkKszqGQb1DlaSjlYt4GDZvvomvA9Mv98SrM3nnz1OsThy/bIeJVHY9pnK8FyHlGS0vBdJOhhZiRRXyOmBiG/kCp+m/0vELkvnF9laxS1QTnvDEKUuNL4YTMSr3dmQruE3+u3jwZ9mO0nnDrrCzxIj+Uk16MsujyULAa3JhjY=</t>
  </si>
  <si>
    <t>jJOMjrAt6tSeBmj/rNOjP4XFpf+gIhm3X2V8BNFXEhxmsqvRPmxmjO4zPiWzjEGHrAgi8peWat0oGjrWaaMfi7k+/nxP6A65OTPvY8B4+WH/YZowPOdw8r1wjKbTnjwwQ9TVL8AscgkoMi2f+qCdPCgVWILPxOm2qA/bCCU3fw9/9kjPHAXdzJLJKVbu+8SBj1jtEnk49bv7dPrqpVRPBkV+2cKlig0NjNI77EnBwoIlyh28e59rg+Yjh1E=</t>
  </si>
  <si>
    <t>yG4AhFIbLXvLTUrMmi6sjvs6uVwbwE6c/cx1csoEeQq5arH3KDZeCPZLBAjjDmsFUAcMUz9aaywOER5Omgbp8sLwlZvKUEv5kxh+ET7YshRinDJhR8T2xWgqbUxSRpiYzAuo3YIvWaE9agyVsGG5Vxl2RqjBE/Iv7lE9tLJHyZFcWPW1kar65ZXishgywIXPi1oKntkAWBStaxtyCTqP0dMNpUcOK71clUwBa10RWwlQPzRJvRtQ1ooO50k=</t>
  </si>
  <si>
    <t>c+bMVLS9vepyXxFmP7xCy8MpwDW/9ztyGC36FVRoVDRKxLNEQO1hRgHhjkfPwR8XL65B906k3IVHVZ9xm81yvRBdTHp+OxW35jXuN3IqF5CSBa9lAXD6TsV5bvYDofpvLPKC37fwvUKIG3OJmRyAUriihUMXekD2DI1qeb7I5byNIfkWMRZHp1uicIb+bWgIJ1hAh1jETMwLnsNi33wu17Bjrh97abq5a970pdy9By0Cxo1NQjKpPtWSsQQ=</t>
  </si>
  <si>
    <t>b1caeMROsqBWVGGOFl8lb4kad2iWq77SG+VNoNXnynwN7TZ8oxtGY1nkDsG6KZarnx9pVyrSfOLUy+OM6Gt8LCTA2Xvn1aGQJFbbtN2Apx2bn6U5CopyTrarwfRXXKsHIJhsNU7t0rlBXXTmudMMKrX30kBJ0/4G12+i0Y8DeZ3OACVYt9JFlpnJmoesyIfGq3q7y8QDHbiqq1scU2/Hv37e3Ku3jOMfqHk378OsbnaKwomj/geZ6xjvgSQ=</t>
  </si>
  <si>
    <t>kRrfrc9c+fitzzLPqXSr6xtGi5bf861ms7kmybYapYgQGFg9zquNoJi3cOA8ahwu9hyKzd2X/CvSW3pzXnPMsjEx1StsOnXMIfFrlOeAk98pl4aOW3i8NTo78xofnYNuCgcOmEpgNOkcFdnecDv9iKUffFpVY3dJcOsHO2ktwywyqTiVyxM5K/Plu3V5C8MYzxW0D+P5LyHQW6mTYDhA5IluIuC0vNNK0sQ2xhso/NswZFkWgedLp6CeuwM=</t>
  </si>
  <si>
    <t>Brc4dkM3PoZ/dqaw60IvZ2DL7vJSG4Z93bDzXco9Arb6MvHL39vr271Dnq1PayK+hR1vh1jhp2ba2SfRhs1hAlBxjvJZ7QYmeWszvBfcxolmKq0MPCrPn2uhCX3YEvhXnu61LwhrmMLFHpuRrYLRknftFvFVO0unzFkWn777USVCCiYwA80X7X4X8DqJA03h5f6+eO4FypTK6V3I1Jr0OLMHYSP1Au+VqQEZr4LDHdMKNMGm8xQkxLTcLwQ=</t>
  </si>
  <si>
    <t>m6fAmGb/UAkhPV0lh3v8/GcESZzMExuvxh7o49sqzSHrTl5fjq7jHqrlUCat5K51IijwtPAOblz/mDvi2/22PYbPldqLjEoIIM/ApqM+KOFV2d4+31Qf2J5B1Owq0BxNaQVckNrHtw602ghTlCoxvWKdNA72zo4GkvNOr6AZvxFKn+nS9UzejP/z+14/K/IXdhBPj1xfh1xtNwI3s770w0/Lv6zE31c0+Q5SXZIMM7qblxsle+L8+itVPJE=</t>
  </si>
  <si>
    <t>3Sl7g0Bad67qD/5lEFEFVZFSE5nSqda296fLxHsjnVexr9WBAw3CrjSQIb+MSOnc4J1JpMUWoV2gW3Y6V5jQ2/YbivqIzuM0lQLSf9S/xjsOakzhpm271z8NyFeb4SFG6nrUBBgrFpvh65Q/q1CXE1FVz02h7K+mP+htZqQ5B1rAao8qwatGgvnXKPVXhoyNpw+b04c/he+IBoYcCThD/PKvbzxzifhAJRx3CkUTYiZLaP7997kq0+HFDqk=</t>
  </si>
  <si>
    <t>JgEZDn1RRKLo90ASCjdfGfjX9OjOeUgjzT8qrdCGNHcyMXCYLp6sZgMoeLRG0uIqWZzJjysqJloZz8R/4O7z/DaU2yx/V7LbvUHJeA0qTzA1Ww1ZzbBElLvuLU1mI3GYfO7ss9PmZxdfoWHdlAfJgfFRGoYAWjfvPA7H/fXvJM3khIKvqGiH+kNvoqRV1fL9Zrmft5M4Y8eJVplNP716VqQ4YOtrJqzq8yzcjptu9xQT5k1Xqy/Gz3fxPBI=</t>
  </si>
  <si>
    <t>Zp2NbIlk8fXVJdBgaRj2hjT7K4+R8cDapU6CLWXfCLtgbFwCMwtOwut2Fk8H03rfj0I30ubZ82l78ptBfOHsy53sc3u9ZXAymiUWXPN4ynlMjHo6TEij1UDOR9F2nDyGVXKnNpS59c/zNA3AkkoU6YugAZfh1mUTAmsn4iTLmwxtIV4NrT5nxqepGBT4rbZjNj65bNXuUAYP/6zKd6he3PqLabstjZDfJJahPNAUjqiY2ugVb+uuegYAyg8=</t>
  </si>
  <si>
    <t>/T480sV6n1k2yB0VyVuTDdeq2/kckx9/YrwOYQhXgr2YX4PSOEbnhKC9ZPAOZElOPA5u970Oqv7ZcHfTYwcTiXEm7qwpr7+M59RLljZRNca8JLkihDea8iTYj2q9pscyYVS3yvPFHQRU6XUGk6XWgfEQz3vmDnxQUXMQKPBMDhtoDAFOUvhDuX5DiWbOkD0IkI2e939lXKI3TG2hoPdtg3yZXAToTNU0Vq5migLSTRTq5tvpOAEBrKHRosk=</t>
  </si>
  <si>
    <t>c+UrbuNVuNPVX7GIvfD9cQdPnp0lNvNXbk2vhiO7vJ97i5rynflpjdKUTYolONTrjlhQYGmOEgMBRBvNocHHWxbIfEPw1mZQyMqrttxWVkPKAoD8hVMuFDlQ6wZPRmMmzACh8JPY0FuDgZ9BNdv3AMFfxYu7VHTvIMAIdoY9k5aJ6l2hu5eJiClRmmObXSAXixm6FnGydUITvmTw+WXFRaTc1PE7yu0NEgSqlejhlmGCcdarkMiW7WUnXac=</t>
  </si>
  <si>
    <t>GXqYVl09D13aMizbgnAIy/7rACmtS9slpRvxp3SeHAfWokuMzXGlcXimU54vVgBGVOxuCGnBjAbGNZT6Px/sqVtu0heWW6i41g2c9rZ5vWZiF8YYSvrTNJX3WQU/7aOZIzCXRCTrbfIHj0IU+hky3+4YJjGJj/nfTcC1ekXmgvE6WwAGDEEkzKbB4/5pbGF4GVhTUEXXJNhGl4CewO5GZ42GWSzf6ZNmN0ZW7bsIlkOwwz4ipgz9hNtrspk=</t>
  </si>
  <si>
    <t>5VAsg0xoQqrMURIamNGIID/6IQ4WR5tstzNskaNJr7ukdtjx0oWbyL/LHq+VUMN0sFfjBWzJ1xsNMud2Js96BQFYMF8jnCfKnDGe7FRwAQNQpteskDSJbw2WjupOlEy6J4lFThhRLhrxeO/wjfh6wz4uWmK0aAmbehYgQzKO6JTV59N5a95Lw7aBvhe1Hl/phhV+Tj6SDJ5OMjcrWEVgevDu+x/78OV2Soq23cWPJGFXp+wA+Ob5wIuR14U=</t>
  </si>
  <si>
    <t>V5U8fuh4PoavnHCWxSLPTOPAgTyeqGSZ/Wmb6O7LA3/y3Gg6ZJ6l6ux7W28Mh1EjO+lK+gKyT9jVJldcjK/a2L78CFvjVuuTfOGwQXZ147V4XenlD8avG7rrqmJRmGtzPoNT3hkfBZ25wOStliKZVQk9LHs+dO90ACMp614e4vvy6WPRE3ZPZZn+2EwwYlw5fK+tYt+OhBcamu7wHjfG+U/tgFWlLNtoHhqSwbTk+ietqR9eueob9b5qq64=</t>
  </si>
  <si>
    <t>8mpgquKNYqMlNVUeLcuDRJdnuZahGORwP+6JqNHHM5uQJV8eM39cx9e1/YcZ7NMQQNmr7rpjHLtjm/4HH7unHRB0MHkgXrGPxVaNflnWDXE31jhjq7WjW7Dk6dcwmGnp1+hiDMCRxQ73yck7jkQyescqjArPB2BXcKVnBQ5BHcFJy863H+4oeA+Z2HrdaCW94vzG+4fsTbofiryPgTmKaDixrWcNt1NUUmlA1HjreyTJwWdtqbwGPSNEAIQ=</t>
  </si>
  <si>
    <t>Ogb3G8LurJJbE0x0B0ciitZ6h0UCl4DFU0VkJMfkwNiug45VKfwWj00+jDQltxNwulMMlmjn8ePoqxZiWuSr/82T+JAVLzIQ24yED7Rh4dS31xmDIQkh8GnGXwdBG27lq+1hE/SuFpxr6Z/rrmO8JNdCl6zGZ5DXyZSTb2kCp0QOx4SdIuxg9lSdvEIWw5y/oXSbsm0Nc8SYWkN2Rlc+sMOKRfZNKnNoyt1DAxruKrqxqtjqzKG4/CJvXwU=</t>
  </si>
  <si>
    <t>eqBdZpxLh19F8s4m3Bj4Dsy9tC/cTFzGYmvOSAdSEK8PFbpFpchJ9mEYx1suao3DIqMSuFdtB9J7kkXSXnf4C+rt9hJ0rfiVg+cG4Hw0HNiMIYi61om3VjqI3h8L6KamDfnASOg27DWO0iEU2lFPNse+F0T+e9sgm3jOh3a9HlWkhRZ226iUwp408nCrIB3N2ylrzwE53rYfRUr2GzksiIDdbhad7T3vkF7xffz0fwpjXl297nW/5mxUXYQ=</t>
  </si>
  <si>
    <t>yU6BFFk2v1Tm+dnnY/1Ruuzjmj/EZc0nWHJmV3b7U0oEqjOjbH5udvZdGfpFuu/9jd8/1A/YIZ/wNSbdsWh8CoP89OsjyPZNcWXV39sb4X7ycp2zG2QAQZoKi0rV6BIO++HN3xJFMXaJ7dLx3YleUzZJMj+psuFbLA0F74oZcfVaRHwou0sTjyrNphGbahmlUuPje20hyysd5bVm+i9gcV2UrPlu2q9SHX0sVXJqj0uQaHfE/oTNiKHvLEk=</t>
  </si>
  <si>
    <t>lPpwMR80/iTYaHoZOBOu88jwBhYXNhEYzSBDcSOrbCILZymbReETf+4jXLMNKTiqwGlLJlGKWco2DiCwsNAMWOnzsNUU5+40YWf7DffBXiu2H9y6YONrv2+AMwHKLOR4VVLH+h1B7UOiFVlMhChMDf05bCk0HQ2djANMr/BAjA2eolowacjcbBPDlFZz+bau2HYvhO8XV7XHGI+Bu3887qcNvDRqPfPh2Ea8xeb6MUsGXXCSQN1ATEIgRj8=</t>
  </si>
  <si>
    <t>jH3w8ITiec8cT1do41nIHsSYN6j4atGW/uZvXBCXFEPQZDLYOK4gWRNgCdQwdW//hlNMEwFk5cXURcp4T8DGkNaBPHoAvEckmaZvV4o8yBqE8LAQSo6HVo5e+khM7U13LKyWto58WSkxV02fIV0eMHj3d8Qj9Rb+jqifUpiHd7XH6r/QYRgDcG+7S0wAotOQ2OGFdb1oflrnZIP89FZAJBF7p4mbDB/NXSQXMS0/84uVlq2NmPw85sJTBEM=</t>
  </si>
  <si>
    <t>Mvk1mEvutT8vGYTNI0/UThcUDgojdR1BP0vQvk3+2wETfGVhku1kGnV/aCGCrC5XFkpKecnNd99v2WSR2KA7jnrY67IobFWW2eO9XliPN514xTU4KkZc/i/AmIH14lTlBkgmWbVZnMyflQvMEjpkdZoC+UO0wQ6DSILCO8joNJclgQFW8KeSPDaJqA9T5Soj9MVoM7kCQEQ2hRUibNdR9C6rLHJxYAjVXG6XNY44rg+FwDF0ckN/QhhE++o=</t>
  </si>
  <si>
    <t>7gn4EmozC/q+oXesf4aYOPyEHB3VfWS9bqtd9/ZRmYHWVe623I/CLJw0h+nMXibUHc3c9W21awoQ7qnmIGD5vcjddpDO73/Klp5DyPSkB3KRA4CvKu9R96Uud4+GFygmq4EIknbNkg0yWXV3spwfQM5BWmsYFb7jQk+Mn2Yar47/yhG8KKVaQLOantX7S26kU5vtYp7Vq5Cd+oe0qFVebB1eVJP7ENMOddJu5Gt3r2N+sNf6aGmQPB/Qx5c=</t>
  </si>
  <si>
    <t>dGVxowRfPss3CAWJ9qQmBspiVVqY4Xi96ciS40kUWqLFsujijgwbDWMUIOdGwdzVH3E40Z3kjLWRE5q4yIGh/i0vykICk5tzpL5qDAAlKs1PMxE1yiwEGk3VhODBVVxk4gEyzPrY9bDqCMMuhhHGPVZq3tuBsd/hzfyMVUoHOa2GoVHcs6LMJhZNAkUb/Yq1R7MKSRthK1c3sN0fAcL0Z4WAMyUrZ86LHziBZAPu361C+Jrm4I0IsWmncbc=</t>
  </si>
  <si>
    <t>RYFAWDN1GDNspBz2AWP4uoz+KiPPb1VPsaD+dX3RuH4zNWq+ASl/cGeEiCw4DOEdxUlE68Vk6WQx+WRn7xbGMRBtnzWz1x3iRJgKejt8ZDKTU1qnOG+5rzvoifprLT34jCcGbn47kl8NQ7A39LKann4HStv/WPTuzVwF1OI/aTJZ09lFZehwddMzHQy4c/Lr4OAaFqwqBd4NawBYlJ0o80jCcmN04HS+2BerIUIo/6AF/YblBXo2l4a3MK0=</t>
  </si>
  <si>
    <t>5K/HZloy8arjJsFeCkQVFrQqouo1f0+ePmAz9ow8juyEKjAc9zGfPtcyS1WZmWEwqL8UaQENVlQ5uAPEYVolbcicANoOT7hvfANbTtTmo0Jm2EhkzZgOVKi1SeZFFlqS4ONteWrnbIAGnlT4xn7CPIdNAwOSU1EZRbytwVNHW8JmFw1ePi2aqGxB9/cJoX9iMwdxdi3NLnrxSsz6FhbMw8tC8kKf4sB4O1WKbYjP4n4fBJ4YGVmxMhUn5lE=</t>
  </si>
  <si>
    <t>2SRdg7PzlT5gzDayAgi4wxBSag5hdPhgq/wltJadjzGeFv+beYjR9mT9HvQHfww17acJ2jiJM5iV7UbGz8PzZ4JpZa98qv8rHJuYbHaHVQlKLuQ1okG03AA2Hi6qMSSNmDaw7Q8H9ddPO3TdtelLcDRsvUE6G+9Vku2tB7qyNMZ7pbfS7ROd6286sSIbG/41DOjzwjCBDP2mAM6ydmQPpZxceRfwaTiizXK8jFJYWjZ52BJdDYHUkDO1crQ=</t>
  </si>
  <si>
    <t>ShMCHaRmtvJb/0GiFefJ/vpSjS1jj2yjOau3SdfHmNbhJpNlmRUngHEKLcok3T6uagTYouxnG5Y9o9vCdadygZqXYFjJjDYC2/TDJ3vtshx1DIcHCfEOiT/J7QPITau2zPzJ9SpudoWSedPYLQDnobqUggGhf5tiuYVwUIdaxmjYPYoMj8jHnEaF6S6pEZeJeobjPPGip91oMjhb6b3IhoD/UnyjHdNuDKoHwnbkhELM+D+8G9d/jZmurU8=</t>
  </si>
  <si>
    <t>w4tJkEvyTqEr3ONTgX5jrZWW75JCJ+9gquL0jkK+0E0ZYIUOFTt08MoMeuHJ6ODXEbs/E84wlAi3D/VHRDnbsNLk1xZHFHS1/OAGLKVHycxRPxqYrsBnhIgP2kwsZoaT+oo1438AL7IOaiNYcJFWsdhygcNxlLf7JwnP6LVGOGSQ6RPCJfEpKjxqlYGt6LgRExVMU2uNmyB3ztEH7Pm1HLSTTVY2zNGLiMv1/R5DpWcXSFPNbOtM16fGp5Y=</t>
  </si>
  <si>
    <t>8bSUJwZFTmo/+Owppmx0jDP3nE+LOCmvpPWeiV+DbMoXvWu5deIQYqLBCfoByuxixzk/MYLkIrQpx03b/lerSntCiJAPqjfBvDTwZOU9g2DTF81nuBo9zESmZJOwLGPH/wylIJby9XFqUER9rL7ENXlD8qzsAZeZso5yw/EidWh3/2XtkSfvEkA/foMBPJ0xKmCoXlj9ahw7E4w9Miep/h/ttz1EXfyGEi1kBkEhjVDJQ+nQFqkc472S0hw=</t>
  </si>
  <si>
    <t>g5+lQVvbKnVaMabFvb9ttXMkNOh7d1CiW/qEnr1DCa6kIcW8O1NFJFWRREF6ClU4M5a6M1tu9EdrYhiVfHIyAjehgySqlqtONyaeu/FBsLgBCA3cAEozut00dh9KS08xed/hj0rOMde9NTlaMcdaXlqUY6bHPX9NGP+S3/UL0Wgt/k5elDwUz8dqNoi91sYiXfZn/6EzCiZLkZPayy2NZoK3BEFmQBHhF8zo6qbL8tKQdvAsZzFfm08Aolw=</t>
  </si>
  <si>
    <t>rFMtNjJ7zS0QRVnRyFw5eTyTsnudkfJyH88+8JtF+vb+cu+IU0EaUgzRo6yJd59VbG20cSHLmWcHk8Pq6DSYdkWbBfDN2wj1f8JVJnkjUVRTmBkSmGzljqhhmvvfMtYOYNzafY1w6p+XP61oyCAg3xPqJiU1GFzCr/OlqdYsZScNdDBI5LPIzgybkZxK8WHz/Qoldpe+Vrc/hlA9iWjGVfzby6hAIT7+rI6GgU597P+Hykln7VB8AztB2z0=</t>
  </si>
  <si>
    <t>eYr1EYzySqM82qV3FRvoXAEwVj0iTFdKvyB5P0opMIpZlYoXOc6dJlexAjFhg2l7Mn89K1Rs6TM+/Hg6g1beHGspfUMZoWG6wLOB/6SG9NR4O4FzYZMHicwAgR8xDiBOpO1Zbh9Jh8ojHlnPjXjcfEz1GXsp00zSipscvirNExLtasFl65DkVhg7l0ql00jCq4slZ7iPVLyP9TqcifDxgIXjEdAjYIzu+z+aXk7bgL/T6sqfeJ+zJFeEmYc=</t>
  </si>
  <si>
    <t>UJSVxtZkURyFKySj6AGJ3blWOe/nj+hrmeIZe2HrMbae+XZ7syTqgNWocZWF8zoDmyToX9i4/nD6N77Rvhr1cXDWjCb0dOZjLhG1Ohv3C+MbjmD9KC/cce2E8QwcXWCEsLyOOx8JKBXjEuySWPcjvPuvR7XKhemDOHvvHcAXvJ0X9ifcL0hnpSAh2zZQsDjh6TouHMJzx1dhAJ1k14qJytHrZ+gD4tZARHXTLns8oP5fGfrQtqJ8CD0S/nY=</t>
  </si>
  <si>
    <t>mqC6qwLzttgltKb+ejwJAR6u2qegoRKaEcWtc0em3RaB3jrQXToaPTEwozhoTAklq0KK1PSrTsQDFHAJEpcmcNHL4neyCsZbw8MZC71P0yQosjzdZyH5gHC3hqnXZV5dXnJmD419g+ClU6HyO6EobeTazdVWIo1ymkQ8H4KzWHWWD7wh1FMJLqV0DjbMOnvsvlrcAlnAak9ZI1vszUo7D5iAkoDFVhP681javmW6EN2o/hN3aoDRCznooRk=</t>
  </si>
  <si>
    <t>9Ze8ANqs1hE1+2JSrS1GuaAXG4LzQQcUBZm/C7ikIIOx6MjfdsYT7h12vSktGK+vibBvwGXwYsYQ9UEhQrUoJos3CMZLOByk2IjnldIqVNqujJP0W5SHDljOY9NVRUTh4oXO/KC6bYXp3hFW6UAUDlk5mPsv5JaxPxP4lEUoSZlzIQajr/gU23YwM0/YKdu2FlNE1Yh87I+eQHeu3T0HX+jnkuk+cvG+7PwC03LVTZooxLNGyrChCqLjv9Q=</t>
  </si>
  <si>
    <t>bsHygZIhz/Z0hUr/ysKkVGIi7pt0eN5z/Tq6jRZyj4TrL3Crvcl3EXQYjFPDarRN9Wsm9ytOviO9uBIvN+DAyYP0UmPzxf2cRSVDDkrKfdQyo9vNPSWkVcMYd0fxk41Ol8APyqaq5xvq1j+mumYvudBavSgqvF/deh/0s6UYTk0Rbe2kXCv9ldZddMOoRWbzQDOJL7wNudG5wqrdKepI6sgGKdSPn7K5CxabEPSKfLczn1ekkXCSNqJWDNY=</t>
  </si>
  <si>
    <t>RRWLHbkZma2hPzIDOKPRSKmJ6rWHbfXdmi0bMLESuJEBzLZAfaWnDrCBoJF5wHjqv/HHDcLAqlykjbp3aHjUBRySvL6u6Tm6yXeNv6GYydWxsrL0iZfSL52BzbKX+8WKv38m1ShcFliBuzZ4KzeSKyLd+mxPPc2IlAfallR6V/Awd2OA66Q+6tZmsCVhePfMATh1FUTrAHVmIAA27BEDA9OPXPVCRokuucXn+pvb+ZcZRpGurAFE9sNcZLA=</t>
  </si>
  <si>
    <t>/zbbL9s5J9OZ/bWnaNbxaBNLZJuCB2Uj+1IB3rwQ8CUbYGpdaKcBW5kBTAq8hctd/NAekiVi0tjhJ6QeEI914kaG7EBx64bJXNvUYqKOxmtecOhMQxM5PA7CBFYkx9L80zyJh0oMqvqkiWobMd4jwnNeiVSkJ73IquHhXZq+ODhHl0KytkQQNrLwimUVAmMpERjJ5puY3FZdFYNpWp2MupDaXRzIUHO0JYNQPGQVgkMjQir9oZRpdxZC57w=</t>
  </si>
  <si>
    <t>aZUb703Q9DECu/CV6RfXwj4caAXyZcstbsz2V1KIyiALeSAs+EUaJbL2fFUKLyNxMGNVL8hmt+sJWWwdGi4bnNJUv1Ro5Q7sXB+ZGOVA5fiu5bqzMvars47979RCX+0HtPX1J8LCwrYSo/rYyOSfHSwPVt9WCeaz7g+JnEOrqDiMtJ115t/kGBrOUlgIqZkoVR2FVLaxFo1jrLzlu2A7iaaqOTgOHOKw4I+zMtB+aft84GzyrklZr5Toj0I=</t>
  </si>
  <si>
    <t>17kvUujZzfzS1JBQsq7doW1wKWcDAVCRJZsmAMNJLqpyXW3tlunvdiB+BeONGPWGAekMrnaa3P3xWzJWbP+VFZA2uLJIDt2lrbOCkZUo7hN0GVWunhXIXixc4ubbVba8+jfiX5D6ttlaXqxl17m87Zyeq7hsN5EMQqm/XGWg1y8fHdGn/SmnqRTR5tptJgKE7nF4yg0x9rbizpMienVFDmApvBnUnrJlwF92vsEWMLnBXDoi6Yy/S/oHxnc=</t>
  </si>
  <si>
    <t>jVL5YDYBputThnU6GrBIgmsgJIujXJ60sZr4HeedcrslE9Lf0WreZfjkbdZOcdJ86FoM1L+zTvmUx8KPi3pm+Dyqoh+E+udg2F2QVRAuMtZ2L8N25v2XAjAFz4YEPLIlhMjO3lxDoKMqqIor9d8yw3leHzdGe0fWZOevQ0KsWBPDy/G7td8m6C1QSu9SiilbM8kYo5jHL4E66YROgwrcJx8quE5Jzzr7WGpu9doQI9NdGdm70PNDPWYRZOM=</t>
  </si>
  <si>
    <t>wXrJHD4nWIlvB3+A2GkQKzSrQ6Ke2a3IKeymp1Yky3bkD+UPEppeN5tjY0VcBcxfRtD2SUnaycZ9qS6mh2kcoTerbNqcchgE7ICPSIdtcghfCWDUOMb4BEMcEYBqNhgFO1JFJ0fkojYenwkrqnK0QSE+PWJbGc5UTtrBlgpDC2XNcKzCuWRlEsxuHvT+hkLQaV6zNhzQWe9Q/N4Vf8f9LBszO0ZW6nvOjw0HWf91lyMzhPHuqdunxV1EYgg=</t>
  </si>
  <si>
    <t>HHbNWOtar2eo2sa80cCEStMmWEQWZUZsoME/vPur3wbRkgHRDU28jOKfZbSAAxh1TYxkRmSf31C9YDu/Oy0xUrh6MNrpzSD0NaT9byj/MHo8a6jPk2ar5VvfoJshyVxF/lEd/mZr0TslhPZsIIbVY7SzgD3U0jDLiaYA+6O8hxSeW/VbVBvFWdKmmB9iIIGeCH9jsdDIcDR0tQocN4jIRdQgO2OGEA3ComRcBM9i/yY9BC5hZ14raRzEQdw=</t>
  </si>
  <si>
    <t>dk3zb9Q3O178BLrnkxn99/XylhFemp0cKJVHHoQFFtF1KpXG3UsRvC2V0bcgu/OFvhTYDdZv5ULtrl0y+3r+cV/OqVHzT2I9sgVzb49p+cAZrzIOMRQDEMqGuecwGESmSp8zUck0Pp0Dmb8qlGWAOjMRqZRKonMgapP0VTvsspN4K5RVvguJwN0lWFQxx6WgxOl0ON2PiFuMzB+Qo/bNSsdBiJMGxMoQW0miJXAgl6uiDvj4w2Gji32uTZU=</t>
  </si>
  <si>
    <t>zO3G816EM2YLyweZXMLCDAubnGjENYwv/BmGe4pc67JpgqjQt6jzhGkbK5RVJ4QQ9FfQrrbx3OcjOLLL64FPHVS+eTeT/OdHq3xbWAmLXVF1f3/2eIQfm54ETpApbCOcTcogjEKQlk9VjlduWC44WPsZstVdiZZQG32sfPyO1a2xQkygJm4sCsfxcmYGMmM37vkeG1tsu0FFnQjmQosqr7dpDVFnF/E+zuqMIebvUrE8yfpyStf3zmLSg2E=</t>
  </si>
  <si>
    <t>7Tx5/a344RXbUDz+k8n8LhQY0/rueuveBWkf21lSRqN2ZYnMwKMrLIyK4MRUcL+nKfLCGkuVJGRzpBmrsIdlfEpBUOxk3EKYNJKGAPiSsfEgL+YEzNs/LqQAkKgvOm2T3cCAEgWqlvRZYAZUxuZodUxK9X/3DAqUA8rfKDHviri4r5+8T1f8FDV5G0JSEWeETioXjIE7IndLhPFurBtgW22K2CAfLcF5/aO2I3AtyBWlKxkA2HCBHTBKX7w=</t>
  </si>
  <si>
    <t>34YtPwyC1UPyDhhGBuSLrZq1bJFOm9NbXI1dfRckHEIIp5q+jqt/sScAzSh7WtrWXxNWTUDNrmTFIjtKdsMUDOhFD8f0eEKBRSAPBvDazt9ltRjxD7ShGSN/KpQ+qc0XWb2M2/UW8zJdL7M16pxfIFp50NJjYTvHblXb8SR4zlcQmSuya4ca7umL525z3I9bjPx5cS004+VIRbj5NXb1NjLVY2w4yV579dcg+284RffPBSN7T4WL6EU46fo=</t>
  </si>
  <si>
    <t>zfRN2bDIxturihFpQD+GmffgOGRTw/fHegN27803l9K2zd9Z62Woy+QiOM8JRtXJulLJvsUzcihF1BtRZKc7r6sEww194IyddDYmzrFtrydPZF4P7XgSnyjFosU21bj1VIfHbirNzyEboFyNgHgi7plXE2yNCHlqN8nj63ezAnZteEBj18Wplsch9cOcV9Edc5iHYx3NyrS3P1aEwrT5gxzqm1+QlGgeiWELzuUY5jrhr5TFnsR9CH7hOQY=</t>
  </si>
  <si>
    <t>3qdgBLK5BWpWDpnIwD9uJRYSdXxLcE4bFnFgKZDevtxkBLQEWmldHW8+OgiJSABxjdnAxQ93wCV6uD9nZE91Kmi8HvYjADXGC4htYl1+DyLYcKvBjHSZzEnMAjf4aT2w9rww/mYUGCHxoSumeRhse28bSQZt9jmgJgSfqueH55GGgCqRPM05WF4WCj9YGPGG2FNj0Ng+z+Uzp/eT0tMqIJZSCOz+a1z9gKccyd5IeNoTTsWJ8cnem+dEcs0=</t>
  </si>
  <si>
    <t>bVVvLgqNF8/bPrFWl3qJ0H2myzaPpPb4URBDqgYQqt0XwnZGk0dLDCBswesHudNqhyP72Z/htYPX+dwPaoWRnLOcKppS0fzjbGUipYMswK6KwzX0mk+rCPEopuwOIhfcAOzkFv3yfT3+cY2Lbt8WF2CiHNC02V2b8ngKFd1esnKx1sSmHHcRYIk6d3v41XQ2sFQ8spzAYqRCcbsJTrx15szBr1U1kxQZxhyu8J0CHBpO9Ai8Odmjg6RxjAA=</t>
  </si>
  <si>
    <t>Eek6xj9Veo0LT/adTAfT+DG37kL+jXyIJwlX/i+4+w8s56bvORAkOg66e0woIZG836rdJVtocXVzEvBibCkcyrhHgm128SAEZKp9yg6N73cpL6d0R7niiThMN19MzYgUIVWbI8x3nvcqw23UQrfPoBWXUxTrRYd6mScjZsNFeP5La+v5XE7M+Q0IEoiTngJUIbrRCNhruSG5KEA+WJAyn/9BxicwQLb5UUUitNLTKsQzsqCq6W1MnLdo61s=</t>
  </si>
  <si>
    <t>ZzRmGZHEzj+9ycbPhnmVo9k2HRQF6/7avPXjVuycYmjzhGqCJ9SUrjq2Hq32pXY4Np6WuiEc3wdtgQKQsCDlJglmblD++rfPf/ZdJ0ORAbe6WsGd7aCSLauJbpeS7ZBMAV0BiYQ3ojH4sFW76sITFyAwotwfAoLoq1Mv5gTrVGkRHNCHN35yD1JMXO4Nq1nOanYt2I5mYVmlksNdsv3oQV3JbOjWORHJmtC8XnuORQ3ao92bEx1MEzkXOms=</t>
  </si>
  <si>
    <t>Cq/Chp9965wvvu7w2moC8cQbQ9TesTmjt+VSQYz+wtBukhxZvM8MoIsglmc/sysCo9nRY3G8ywsIdrR/eZZOHKT1xuGgxfKVF3Ez9e/fT1XeePmmmz14MmbZLH/72HqpYOL72zEK1tIy/wrexs5I6QCvLtnkwiepwV+mHurL+XYBwc2GH3m8A2ovSheL6ea/yuTHJLU02bLQACg0skvhCopHvUc3j7BeA0M2wdqyPRviHgiR5yOXuILYyUI=</t>
  </si>
  <si>
    <t>bPl+lOoS+/91TSrn5L3ZttzpOM2qZLrDeb2x5TqyOtLAQ5n9LBYxhu63/MquVXj7H4keWieqL/hIMqWjlHdVqttm39TwHt5ZZDeXC+7TekPllFkeVy4t12W6mP99fYBAowcpA8O/cZbJNPZ+ghR38NKX556JoVq/y8ZaEjvYDcoeXW99c7twbz2vg2/mNpHTgBvsqW6p/tAjaKiTq39D82Y1aPrSo0Sxrcfn20J/b4fTU6MqwwleTmWIO8E=</t>
  </si>
  <si>
    <t>wmxdr0Dgu8MBHgLUpEblLEhVECV3PxvdnOYZ9bw4VTGHQ8O1HVfE/z65cGW220GsLA1eMPDT4Gz8tUJfa9aDQxaKaR9Rqf7egp3rtZ7IqUGYPny9a/+bwyoPDCSaY40U6lRfEinhvHRtx/oLTwHuxAF+wmRRT7IQ0wVx7HDRZsLxoW13xXdAV6SjDrhJ7YEr/3jsWIZBhcrb59RXXSfztiMc2ieV9yW6QXyd780h8NzrG8X0sTx7TtljiUs=</t>
  </si>
  <si>
    <t>EPhMK4JT0jvjQJqjV58Rh/5XNg97zIPmiUMIhqEadXLLADaoi82KBUpoGKfo0ih+fA65/J/5UN6vHrJc0nwXA4ptJWqr86JNxdIeFzjf/rQQW1bvaStnPmtqWTOFxm+pSbihDDJyevQXj+fkNKN6LqTufuBFfWBSymXcFt/TRzzHm0cWfY/MQnhZhTFy7/wDztJMWzRw43KpVu2pVjUwJbnUF+nnzJbLeFND5ksW+pmW6qIyv/wcCyWqdyU=</t>
  </si>
  <si>
    <t>wEK4i1AwHNZtJPE3YpD4ZtFGOO/yijiqPsrY8UR9fGpfUwzo+tEAD1pbQTi6qCNUyj9t594jubqQZG6V+pRyobYursnQhlpKtukqZLA0Bz7NAnGFa06R/txFBu4cWbbE8XeDV0KEQtbDXwuHASHyubvmTzdJQjswy7qHWoJxz13wNAokDbvjoiiQpHctWSTxhDyDrVmlh0TUF7+nNpAQRm4R+aFTff6bPgKVQZfABYd83wo3QfUqWUkI/CM=</t>
  </si>
  <si>
    <t>oqHxoeHH2Tp3u/05N9+wWgJ+3g89Dfli6dR5lHl/mLu2c8uXq0dI+hSlhlFFak2AChiKTr36E8xH2cBcC+iOgwhGbJGTEe9flyCP8n/CEo+SUORb94y7hdEK43fRAXCHoT5mWPgvUXiZfWMMMEa4hVw1nrrwBkZQ3PqRXjU7O9SOAp9ZSaElplf/uHiYbbvWW3SxdSL2D7F91v3aBTlqY0Ni4XjNdpKVlx3ERbAlcK0NU5qWSvU2/GpWbp0=</t>
  </si>
  <si>
    <t>NlLQWeqG3aStPTw4SzeQPirKbF0z6KQR96DeGmy4Ij+mCvkNXp9T4oA9/jCvUyh+Ge84pOimgDGEsmx4CmcG/hhc9vpFvU04uCPQ9RZDKA43bAcv1d+0BunVPjyMvODB0tHAMynLhrakzxQ/dd8O4fJB11bpPUrG7Ra53J4d7Q9+PoSkhs4X8ted2DBAXgY4+w6gpdXKr1r/YEsoWijq6BPs8o5mWwlOGTMcQeUH13NYMes9oK83EfS/UI0=</t>
  </si>
  <si>
    <t>2EZ4LAlmnoLVpHspEUS6ZAg2lgu9AElOKlBusrMwRSYY0k1II2UQIY7GzXqDFg2XEALDbABf1vDO+okby6TLKAKMOmcBvf5ktc26Mxe9RHk+wULEDA4ibu0W/Ir3LsyiC+PdGyUg8bnKEfP5FZmM2+kfTl2BJPPhJXkJb+2EDxURfG+zVAj00Sf01Gne/6NPgSbw6z8h9Ub94EhpslX25QcXLXRadLXqIayXNRo3S1zfj9Un/CW7C2Tqxwc=</t>
  </si>
  <si>
    <t>oPAk4zMOHDgk1T7WPnOq1ZZTTiXixSWWfQgqkC5N1z6S71UVJA13IhznMbLJi95znhdvVzZ74Z9KtAgSqrHpEOHS8G9MnSo3swMfiSmqnvWiBQi8lfWyDH8z5D60qHglFaOc3VpoGLd4yHD6oI8sUrbM1G/YTQre8QBbh+d0lt05z/t7IpAlwNiUuHLEC3IzYWfqQP2AamPJkgIduKRAIsEjOLKHsrWJdKhcyxCDqYjZhEgeh8U+LbsGZTg=</t>
  </si>
  <si>
    <t>14ng92p4EIkI6lpcWA+k968mSDEzxY+UMtrOLCLs1LPuzjce70CMdvwanmDBejzm24jSI6nPVYCV72q/6wowxWHlE661feSuc0wLnfMnndD7DALYY+9PHP+z31/fAZd0Ve7AMi8fu5u+y25dG2C+GPxY/aMqJ91qBnIXygunqffkbn13BoiDiLo7ad1hqaLhZh3vRjrIQV6hS/asuVXHdstJBnIsRrROeIrqAD3t1ccTuz+XVxhJSj1Mht4=</t>
  </si>
  <si>
    <t>+Yav1YJH+0tpdI1mamNsWMpCU2MwKoBzB0LNXP8QJgK8vstz0y6b8RPVTTh9Cq2ziJR8Naeqc3LiVkaQSg4Oc0UA1sxcj57EQSy+ycyI/QqnPqeyuwdcEtCOUjq3QdtvVXUHo2oJyb7WzVCtmeagfvcfRUwiBVkgbz5IfoBxYroPaVAAItSBXoyrcrsAYc+eeIux2kUsSVewIw4y8yoFk4Sc8l5XsvDtVHTC1pesBBXzhPFPTtwJKJaoRSY=</t>
  </si>
  <si>
    <t>cydrIeBweoClzvNCC9yVpDyWKRwIWPp19jX0x2rX5iteotF75fhUikzpQhJQECFtZC/dMGTi5MKyZVuHezm8/CJ4jaawzL9gfw7dVkvVEjBahnNF6EgX7dV4AKwm5ng+iNuEvi4kAI8/m29xbJaomWAb9C8JmdxicAvgLFu4mcUwFzGYkLDVzIU3cApKJSY/FLEAPA7TgaZdYzfK3IxBQt4MvBcKJMk/MshXGuoNF8roXBbRixvNlfbZagc=</t>
  </si>
  <si>
    <t>gaedQz5tWeQHclH1F4uCvh9DhyuW0t5iY3dZReQpZX8SWWV/eOXK3Kt80Z94kYrfQvnMVVP59NGDyfivmGoRbn20Iz/PrejjIRVxqccCXZ41gAwUbjU+lW9rl/mK14kwnoS9O97lgAtbrVzcKSEYUFiXWKeOCPRpIKn23tOp0ftTtTjnprOuTuELbr9d1XXUj0xQdoZwSC84SvH/Ug9t1xPdRpVtiPaPNYjMghgMAZft2xyTijg05sMwFkg=</t>
  </si>
  <si>
    <t>BA2MXg5K76Z9yD2tn/CJF5af55MjbOqoNhXWBWe782WKNmFe3jcab44Qm4x1/cbmgsHAMFPGAmKPAv/nIp6BBCnwVCO5i9GRL4dvFW41R2iGYRFDxgQ9MQ2QStc4+muEGh0phQ0ohVPUJLQhkBK9TFTy3GPsgg/3LmsjlEa/I+ducpcJw5EndU2lPW9k/QqvY9R+jQmLkFBIr+S3oMXWcLXQ0V+t8MzFvXoSvZ9IhOSpLBZtlZLKgSHxsxg=</t>
  </si>
  <si>
    <t>3BQcMyZYC8T638Z7Afvt8OOCDLe+cKGGS7JN4aWEIZb74VVzLPMV8O7vyYqpdncCfiUPapBMhFBQLd7r4018ls+Eu1VjpwXCo53uhi0ezzxNZhh10ngAMg2eVoRgvpVupKVgSAPJUVo98s09ta7nPgPeO248RqbZU4iLyvTNsb+lf5QW6DAZ5VEREv/UnlO4YKdL+yJb/bWi4C4TUuSCn/fy9pQtrvZrXCkviqO6L3IfhfG4AuRiG1lGAy4=</t>
  </si>
  <si>
    <t>173SUlV3UR06X8nXWgrpMAKWF6qtB5IUm0rA955BFO9ovqx7eIh5laGlziLUl14zg3lHxCvWu0pjUjjSO/O9HcSYeLQemKRdvnfUxHC7RAyPM95smQxo/z4NmefzuTmCifp91BlA/C3OaweH/SncPq7d2UfG4qIgyRiNzKTVY7DSKFO5sQfHLJZNhTGUGq+BFd/fTRAv4V4nDZJH9UoVR8oAN+iSROMkOwOFZo4yThxnhm4g3+zL7j80iiY=</t>
  </si>
  <si>
    <t>XVdb9s2hYsMMH9T7lXAm5d0znjrAqTw9AP46q4Bh5v7jLrEHwM6rcLdIYg3IKQAFYNY6LTkzYlOoXn4cs3BR0qvmcNZAr15UK13eT3J/eO5eZ9jyBSjnrjiWJhgZ1ImhPlVcUqDeK7+O5uxPVkzu5ob+bKqSdZoAFKYku73J7eAcpZRhqt7I06a/zj15zSvP1mtQINeHD5xNKgz0giZIi7IIFjUooX/zXD3b9Y0tl3A4OOJb8oIwbblNDVQ=</t>
  </si>
  <si>
    <t>0/sfJjdRScmlNjb6HSH2ghwS1kEppV9ney32JpxN81wKpoYxD/ORZ6KrMvQSP5SjJ8C2n6S2Be7iovfTWX8cHKKLXSQ5FWLn8skpaMlltoaj8MuS43NTBPFdVgwpaYUlwJGPqRXzn6EPmbTjNmgNPTtfuWX18yoT9kMyw1QuCtfgn3jew2C3VB46l09t03F5ZIf2UaWH1P5KvgRsdNjEE33Dc6wzITKHz0rq9g8yhRlZGL+wYeZITM7USfI=</t>
  </si>
  <si>
    <t>RnqkNXzXACnKan+0WtgdXtTY7riK0MQRrrtJxkkwe0zO6po4dkWhlKHiEtJ9ZuPMuWbZmUQBOxpYmFM9jOTiJFYBhEgblXvkOMilUjJuLU3Y5piDS0ESWCZ2vnNVXS5OofP+DcEeGSaUk2ukdnbX9tNU4q/+HVzb4LkEg22A+OXls7JkE7DkGsl3AVTncRsALu0lCtc6+PHgX/Qp1jrEE6BvU+u0vchCCB9Hp/cTPQngX8z9dbLCvTYMJTs=</t>
  </si>
  <si>
    <t>7jLFmscA8IriRkeWzmTtC8xP6FVIWGb9pFH0H966kERZrU2zy01v3a3eiYcgG5mK9P+l32e9pYYvNq8YWlWJmuvsGHsRUjBMQf0G2bz29Rr5fpcKsektTVKHRy6C0ob2BZrWf79vE2D9Ifh3vPss8pRMbdxmhenGcVBjjoSevR7ww0nSrkKr57P9c0ckaQBCosb4FAsbhIyfHkEfV39YPsp2biExwyN9wDvqTRGUS/rEK8ShuCfS/2lwyFg=</t>
  </si>
  <si>
    <t>duBCHJSdHPZsQjAQWgsQ6vxvHEGaxV9MyGw2UWeY6fd7wubM3SCBBsmbkr4jXY7fL3ucWiZuVYF4rsf/jWJ+S/AA8WPkBNzdCZl+sTd2g3PvjcEXwPYj5EXZH6HgLNU1PKXcUnti69konlvSgsRGDinp7SvHolSreimI91+METOHsCFN4I4JX2XmWunrW2toVpPkXeMGP6RDfWQ1WJ2d1ECvbC3VvIOQDPt0pcxFxmHwQXV+HPh2TnYlRKM=</t>
  </si>
  <si>
    <t>iQBW56aecYivTgj1ScScgXwMlef8+N7W4hgFGMeA0I3eFZvlEQAqWM+CgqCaOr0fDmn+WG4Dqdx5tSsFYJOpeNdITkY4i0+uiHIDG7Kt65kmq6RoNKUJWUbH91sDogfX3u0AYJv1/fs/xuim6dIEQ252hdPtBwNHj5ipMAISQH8YoFK2HI2qw3tAXftkOK1Ku93pZu1j+5avyjraagSX8TXWcTdJqTK2pa6QEXwG1E1t+TLIC6VCn30tYFY=</t>
  </si>
  <si>
    <t>dWIFTUGr6rSaYVuREkRkQyCHySdUYQ87vWd3rnmgE6dL8fK3rzFOGrk4io5pB8Oyn0fcuvQJ+tp97tos0fKVIlTje6INbJyQHu+raHXdVesSV+thp0mpW4TBpAG4kWEiKjx7nVl9XrmF5uuk8CDvQc8O1dKvps9/fCY90HTiQHqF0Bh/LHGcoilzmVzQtEIWp8d2QXFy5SrZ1eNTteJAnt/rvUCvreLazZVMcwbz0THv0TVIdcu+9ACXjeE=</t>
  </si>
  <si>
    <t>MT3BXUzLXn4awm7D8J0xPVd+Nd9Y43dk8eYr8MDoNvtboaaKXB8kGTqg4EjHjQWiuQ3hUQkI+xjvv0kvPGjWhhW2GDOnb1wv47nD9XFUDuwwMvsIZqlmcCjOi3rhYCfIza8WsG0ifg6X0OeXW/8lykcL2Agf/lRdyFow6QNLe2sofs9D1UUFU1ZJd1ki1b4OfpUDcAW/pcjThb2dCnR2nfM7GgdgaIGav+Z3l6Qwx4pcazCJhacNz3JEOpg=</t>
  </si>
  <si>
    <t>jAb8grk69VdSY8S3E5UXi/jtLghyaNpWkS4hZTNmnvmB/hck0jVbHMd59CHE3ythHWvmCdgIje0xjM421/RWj8+La9aPDbCkTQKPzy0iW4DTzEbaJIiAeoMpBDY+26sR0whffvlC/LF8BeXH7rk5O0FaIgYVGLYpiX35pK8scHfcq2Z99L90+0cgzxgE8BvrAbefNzlxxAQb8s+7pIRTo9A9yVBDUfzO6OnRKIkPPKfmU2Pwmlcjp/99zwI=</t>
  </si>
  <si>
    <t>MomYYXDiiGBuPeiwbtO+0B6p71mOvV0axKtb4dUHg75DiQ2tHFRx9WTpAe44qajGC8pVXZyWIc+CT1xSb6qzP7WARAzzSnEXoZIIWMmml4lTAaNgqC7UKXeezr6MvImmbIJlQLTCxU0eNlIg8mpTKiD8qLbLyh813WsAEelOl7Q5WuoEci0uqPMn/hInKTpSv05E8IpTmvtJnbtfMHViVDaxzshidzyKvj8Ip+T+dsCqN199UUWWjlImLjk=</t>
  </si>
  <si>
    <t>iZIDz43Jc7Y8oOXrsNHXJMQhsAJNhLnqHKy9SEFsMmfKSHCjj1TkniuqxpqDWJ+OdBTQ7DkR/MsvqTCs3tbxrworq6prnJqU9qMAQlJvcJF3zEnC9JP231gDR43xid1sSUVPDKuuMdOS2onvbmm/QmBdJJH+Kbt1c4Rf07asH91y+uFWwc19ZxsWF4asE4kmerIPn2P1sDz+HKscuGITNQwJi8APWdBClzsE8Sc0l/ZixZ/Sn6SbE4+gFis=</t>
  </si>
  <si>
    <t>vW/yiyqDgFbTSDlSjtHRo/t9CaGeniqGFSwZBGiPJTXrepDp+3XwXtImck1xztSv88o0Yxxdhk+OSG3MPLuLfyOdl7l3BahXvnQ+hZLiBJdx0AU1b/mMDonZ4mKlL9PQ0H5QTBrn7es62ZYJcC11bLxLW61BEfbWLwXPm+/yeVCJupXSY5d/siGp+G2Dzh77nWhwAVbbyINF+64kPxdNBCPRiuOS3RFcePr4v7VDfwG3vgKwHhCaQfHV7Jw=</t>
  </si>
  <si>
    <t>gkLAO/3yvdC+5pptRAJEylLivZlsz0cqkUh4ZJTKCpfT9V5zwBtUo1O468nKXBAqcl5ufu9km6uSPIPWkwIkORb38nm9c7i8ywRHzC3e45X48mHDgZGuJhc61ixfTyhZgrlvGrQRdUsvROCTI8RgNEZ3v3TaK0JPBzYmZLoaHoxuPKNqoPpO7KyjK4R7RsOEdr8Euj4T60kKwUAeB71GarCTPBhKFOkN6nKBFH9E9ApUXhAPB1L4M6qnM1k=</t>
  </si>
  <si>
    <t>I7eH3LYfX5altO/bo/W7PSyEhojB9n41HkqTWYSOGhfJE9BgzYBFxUD1PQBstu30VoHUsuT79VS0NjGJNFbuMhzLq/hRdf9ACd50Fkg4/9UXNAA1ynejXageZdda2u/E8l1d7FAwTuCeHkoFMUTxnAErYWUk5MQVWnLcpbgApig71uQeq1qPYco0DR22Sfiq3RS5Otjwe7EvEPJMKG/DDchjGnt8WSrOkdckvbESkyvJFksoxFIGdlaB+/Y=</t>
  </si>
  <si>
    <t>TKy81DyJ/zyHfBOs1/8Vg5ZBMNQwpZt7YJHrJR+yj4mDOtqsOq9XB+FDis1kMg3z8ja4WAbfcD11wz7jxt68Lbe73h6+t5KjU4ayRFksOm12OXxHLrJ/3+wqIWm0FKEOSX5Cf80K/TySt+PUneLMttlZ7hdZFDycka7blLvsBDcVntdSti27LzPZ7psAStw8b0ffs6LDfXLR8Rc+9Ia0ZeMyuowUn+NLdRDs3P9Xlony8HCCHUIhYjGPN8s=</t>
  </si>
  <si>
    <t>PobD2y6YxTKs5ZpMa4X2u/mZRhPYtnDhp81t2U4725SomiC1ghPo25+kRL/Hd57nkZSMnKWFWZIA7JYfE+lUu5LXqAHb0jHeZBQPdeYFo4qx3AbjgevD5kaV5UJlWxjq2uMMirH5gIab4qlHTRFUEpU9/YDYOlz18WwHskyfIu8dUu30aKOl3l3RhlKG2nZGx007x4aC7TF+ja8YLTMSqBHSn3AjHbnTJGqHvq7j2beAZ2Dy1FcnvoccSKo=</t>
  </si>
  <si>
    <t>RlMOXwft7tQN0DSJitx0MVCt0CfSqV+CAnR3p9D4XnMh51ylIR5l1CUIXctId7P7irgD1pOQHesiKPJPXNol1dABBYiWKSF4pFcceJIElNGF4tcFsUVCrAmxq4lAybcdEd3FYkpxLR3M4UdJgMvqlIF9MVpKc44BkKO24WTAf4qdxCmYqIrtVCTFI0ofEpL48iFd6lGvzdx/Oqk8Jv1OuPzDi1QQklohTZaGwmMY1FadV8nsNrNM0DnlxZA=</t>
  </si>
  <si>
    <t>w3TqJ31jm11PgtOGlfhV+2uoJYlKhV8e7+AT6bBHFfG+mCBPr0L6oCSmUtD3/VaJNOUM/jMnMeMN815SMRBuETccsraP3dPu1GHraeswFnPNtbTmuYCHbvjFlBQNDW4Lh9Jvs4lWbZ/bjeBPB3qcwWIWihj3bdx4XDnkhEgdpWG5DsP46PprqA1s2ER992jt0MopkWYXGSaS54IeIsoAqa+JDhw+5gFKNcJIsRt3Chrbc5SlE+iVow5nOtY=</t>
  </si>
  <si>
    <t>18x9Sq2nLCuAeiVGEJ8+tS77y6Cbihj6UCHStKib02F/4760S30uuKRnu5u5CtdRg+XggBhC9PI8UDojgcdBVBmlFZNVdVUbuEpkbsiTsZh3N6+j8ESTqtaTFs6xWBXb0Kk9uQMyqgITYEo97aezr80uzE5vS38XdhwW8qoQgISvlIqZUoBQrG3c4MN9XWAV77Rxiup8KTrIm5c8E+bJ4xWUtyeSNCXxpLqxlopSSWwO/ehf0Ic72StDk1I=</t>
  </si>
  <si>
    <t>0SVntm96Ox995mgNjLB/uCBWw2wIqd2pvTLBx4ZctIa9Ngx9AeFjD5HfHAy1FQ9PfbsTIqDMlQFJ13zNR5wCnSKLqUmMLvoTVaZBPbe9XpiOQ7cr3CgkSeJBu1Vq0Aj0mp05/GCEelxfzOMvTbXhGW4Ob22oNrYkCEah9HTmHWjbXEWzYTNdsYRLJyZiXfM0RkHE8WhWj8KvkpdXCXLJhyK0nB5z6rBqyj9IT7efotBU+1vLjZMcNbyfY6M=</t>
  </si>
  <si>
    <t>6Gc4X0dEUoy+POwuYF5wgq8hyZSjmRt4NySHRiQckITZ/tDWRheugaNc3jLIw0jQP6znDXQBbW1Ul2/cs7p1rHtrXYDVZGQlkZ5vvYJHltC8bhtO4ljaiWE546fgKtlokkbozhQQNKHSj27UaiSDynHmu106LnjnmybSm2GELJqzgf6/94+JE87KuvYpshrXLuX00i5lWESP50xhvCyH160k1kQZcW4ZvpjaRI/qRlCG0YtPlTRkjYaf8wg=</t>
  </si>
  <si>
    <t>3C2yWLlDdyZ1D7z0Kni4FfjYtGUyQ+9dccHfKVR9HvgHhe1zTfcx23DDIANfc858V8a4jLL/O9YZ7zYACSehFx4/eI2IZFqSmvBCNAKKsiH2aMTg9NRzlnXHuLK1JYeWaR0XMzT6YP7jIBi0dhiLkG5FbyWw7Viwpr8n4z1BAePGmIazAL369gb0Rcc/QwfpDhb9pLL0hZ0Cwv5OSe0J+2D5rNCxiDrx1rTOpupIZ/inHNZ8VVq7W0swNjU=</t>
  </si>
  <si>
    <t>6tDsHZhhU295TGzrDyli9/0Xh3MDYuKemp4g9ARHayhGNQkinvSv2i0gFg2SNUOnwg+TBU1Z/9QT1wf64B4dMA3qA3HnQ6VTKRO0YwCyPCvUFjcX9WsZYp41nZ+GisJcH/pgsRBaXjo6uj/EAbcfpyT+dbTXth72wNmEgXswvsyl1PrU0URjV/mI2+7OoZFuBHeMfKySOpdulW1BP7Od+6mmdYRjEBT2gQu8w3iomrFMKi/8kGKCmRm3oCo=</t>
  </si>
  <si>
    <t>+lD7+A7FJqWFvQdZS8t0dWOoLaDRAEPiWF414zqbSDXNJsgkvO6jRgSHroKn49eV9X7qOaICqdbevxbQwgSd2Xebw7G9xxP8rRPu5SXjv97eWKj3EESvwY50zf3GFtUHSxIHgbM+najx3hjj0ervkAcIn44IkywXuE6mgT0wFeub7xHloCeEntCfhuW+BkvDObxXimKzlDnaln34ygYZIqNJl5Hin5I7GUndCLrQMWRGBkSxzB5bY42F6BQ=</t>
  </si>
  <si>
    <t>lBrKs+Yj+3LgExzMPU+gRG2Akg15EL8RYj3OVr18X4TgGaIPS0WLHYZUHs88iWhlRfibOERq581RIzH8KoedZgdmsvjrd4mFjPeaIMsQW/MWINpe+SbzKrZaMWjN6j8CQvD+n9JwzGLrr0tCludKCM6FFL3iBcwaCGU+ectJUaLCLjWKuQgREs/t2OUmx1BzpEmKxd5Rx3JqpoyVp4MloDDhZljYCVOpHUwfwNYYZHPwF7GrtyCGiqyb8zE=</t>
  </si>
  <si>
    <t>TjDNhxWhHkIKQiQB93ibTvwg+c2U5dCml/IPenklFsUX7ZPeWUuO+v/fO2hEJMqk7n/T1gwS77qFakFXbfAUPdpiB1HR+Iuzw8FluInLeFqcNMA6tjcF4hnl6newR4VQb+niyVX+ms7j2rYG6KIw2S8Fl3oQN/JmEfaW5pHwBBlwruz71YLRRKOzX8IImcuhq5QeIymqnxqaWsj2726K4SAePafNtttjUeAEn7yVabjl+ojEfDF4XAx6wSc=</t>
  </si>
  <si>
    <t>reUcGovz6N5gw+eWjFFcWHWELKLDSc/+CYwEDczNy4hk6VDMjLkuq/f3xkCiq1APxpIkzB/TSPz7TMU4K1K2CiWC8Med4Aof+Qwy1Js3WvuOBf6eu1tv+9elC/y97eKQ5OgvT9tkTyE4DDsCOAD+mSIt7q/TRMPRoA/qbusXQwT1DymYSvZmySySsYY++67a/Bw+Q1NwadIbBPdjd3oZWOn+9rnMDLrBpXBzkDkgYbtwOdd81oiZZAqRmu0=</t>
  </si>
  <si>
    <t>Cb5HVg/DbDcLh3k5l3NjN/XhG4sS0g+zKJmGuEC8l2Jn2dfwPAz/fuIVGknKZu+1zffdLF7mjLw/rCd0j8k+Ci9WmSs1DDkuSvqLNiPwkcD0fbXE3hkVp9rbHSJUguM2XbFpm+zIR4VZbNjzZOTpuCQu6ExRjFmitdxMPReXJ/igmomurPN3SUWPDzUGm6f8KRJA/Vb7AncZAmZ87VtF7LpC1p3fLdtiu2kSuNmyheOtIdgy6BeQEpfAcHg=</t>
  </si>
  <si>
    <t>rHBM/FGGxQinHhYp0zjzbDw7rs2Ga+JL0BypKGmbERaKq0jOnywWwZNHFj4ROzxruhTULOkkrpNEBSO8nyOja+4gCDr4oHHzCNpK9iMhXA8L/udUKz7kBsLHobvQjKsVLlglveeLQGqS9RZtdwRA0Nbg3bC20xfEdMYBvhbzlyjGxas5MqDJnPw3XC1oudFY8muD4MQSDq1Y8jjdNLLCee7GiQ6DmSmdaXC2D+Lr6ismCauzBmFAgo1SLDU=</t>
  </si>
  <si>
    <t>ttA9La2aixFLOvhs1ztwfZPKLLaFJa15QP1EdFIUKpekeb7wzrm+kqZT9VCdd+Sy0+V8XrOY+s/RJidVkhIhlBiUgnBkHOUB28zSl5AhDhFzh71doZkFH0vwU/N7aTUI92oFOL/DYjMsmiFw6MmNdsAOyaY04Fop7f+9mD4FIYfqKiqvkOjQnlq537ZSkIVMmq0TYm9wV10n2YBTEsXKPkWJixk9wyJi7UFjaB8R+tJ2A/96o9eXqjMXUYU=</t>
  </si>
  <si>
    <t>dRuBsk/yBPnonYxcDpQWNOMkaIXnJzS+fbAjAJ5V6ie1W7L2CqZI/B6cQEjOG6NDwpVeM1ORbHy7MMET6jEYUkgWbWOha79xsU4S4Jdq29Bc8qQBlDjIJSLoe2LriCs5umvBQZTZ2/1ziAHQSqfnuCWbyp/Jx+gSjmgcnPpPacbAw6WvQgh3xZkZRBIkzhY3hI3L71oFcDsyFvM2WdSpqgRYEaRqnnWFE7N7t6kgVVTI6Q/MRkN8zG+4/jQ=</t>
  </si>
  <si>
    <t>VereHgDl8/tgcZuNI2+r/sSlJUW/fR2VYyygXEVf2Itxb6d/+BtimYm5/GYDEq07pe/sqCz9Hs+dEx8s9Jbn0FiplXLAjzduBlOuwEID3ORqs7cdH47Yb4l6FWv9rUtEB+DsPcOJ6XFqp/Tca5Rcer6ZX710VPbhgYp3jFId8o4uEhRjuRZR/bSu4W5336VIaYmea6HidpLDqPkYCwUOtw3MDs6pdTjKCpAq3PUDU5x3CLYfX6aUQttUIEs=</t>
  </si>
  <si>
    <t>IJZiJ8L3Rxxmt6EX8HQDHKsRGjVpBogdaDXd0K3gG/K/aT3iDBPj9g92HRPwim2v9g1qXqujcuHmp8iteut2VY6WW7gs/ZPZg9rhvHPBBWETKMe0SPcpYTTfPEV2MX0FSYDUlU6YYF2RLbmC1RrhWqABGgVupcxW5Pi8eApX2cwm3EYutuXBOYJQWPaeaevxMj6ubz6S6oxY1Bq5gdRYNZHqHPLAjKFRFkUFhyLJIWgF7yDmBuLWZ7pXO9Y=</t>
  </si>
  <si>
    <t>2jM5zJ0VkeB/dJ9lDlN5mQwlGiKCpcCLs2YevETJMaOybvY5dvlqCVpZ42KthMHg9a7tVJRu0iZLrdETRPp/qOo9KtiPAqcvNVCjwTk3H6KkCbd8fusjIhaRwXqdjBfgDXkPV8GSzss1G2DGW5ZmRQYtXf2m3eRQcXW1S/v11ENXFKdPe7EaIa5P84MsORb1IOulUKpvxDD/gqH9FuVzmQSrWdp6xIq+dHVmxkN5tpUPxCQObIB7yv+mKLA=</t>
  </si>
  <si>
    <t>fN60U/hm2OCnpKRqxTMIpRks4KDvMHDXyQUnYEEV4+y1HPEjjstQ4V5GnthJ4OY/JaXsbkwX33GtbWLCXerPMRUjhaXlt4IA4o9Ecp9vlaJjK286zTJUEWDXQnAHVGIIS9OTNkh4wiuhSKJMRswmWRNCCAoeRLcvYjrgpkTYNIpoEE+qiQOKbjeoyBXjCJ/jmXepxcRP3Y3HfMG7ejIy4VyzseTRefobtsQ2twWGnIwSSfqxC2G3pWjkYWY=</t>
  </si>
  <si>
    <t>NGw4yE4ID4UEehjfbOe4lvfk3G+FeTINZB5JUerGK/P+omNTk1Lvb0uY0ihjrm8czl6zI+8PxpDEkHQJQ61CldK/wxdgOvlG+lCEt8EQ1VEHYJ88bDFmP1JTpXkVaF89yI39kxainPuFWRxduz0W4zB+GGwLE/+Of/2cF18WiJFXDGRohEnKQxg/Q2LeYhI8SyrYNnTdSREwpgpiucHgzrLxJxnm/Dv6RwNNjGyJ1Auf/V57Tf3p+ACsMLs=</t>
  </si>
  <si>
    <t>qzjTEm/fFjzR3Z9E7BWllZbSgpjYZuKDCU02OhHRTrnonP5f6x9oryAMvqCFbMh35eebsaZHWF+/Cb7057HFQrmdCfM9Se499uUo7KGgk1yatlpgfZFkAa1+AQxDXL0/S4uOOgunpx72c9vEQWpnk0VSBHwQV7P+vNkus4Z8aoB6z+ihonThmu8m5uJWgTX97isXSTOsj1HjTTsinB0NzZr4OTf1g9jUQYOmiWeLDPj5PnY7EKTb4fU1HW0=</t>
  </si>
  <si>
    <t>6Y7P53oqEPXip7IRtciTeyIhxvO5XpgZN52BHmdu80rG1jjd/MAnHU07zHeT1CHE+FYdKi8K3T1fy1XfIjyB07i2LqnqlyBHD3EjdutFLso3z/3WvfAsccGK79hT1MCTxO8b6jIACpz+40sxs1Hhzq13YWdNRAlugaar8iuP8vr4rI21XYSzZPjfIP9Skj1iwz1tblcrulmdJell5AqBGaGYlHDYiM1nEBKMcnR9L3VlatCgpJDaljuv5pg=</t>
  </si>
  <si>
    <t>4b/17bRmIB/gXzrVJADuIW6Qp/iAyhcazEEYLfowyv5Qkq88V80x0oHHHM/hWdWTRZ/wka1ipJ5TEwR2iCx/0E6GPaZaGucOq88n2s/vasaRuR53vFmk10KvNwS3riEuFjAOw4jnwps7z4dyAQgiYcQ8WP+7w8R8Mzi11dWDmyoOUIMwG4+BltkXPPEDRQbEdGMe+A6oYqXq7+pNgji027obfDTryBRbD5x7/tq9C7uuMbzRabvZQOR0FqQ=</t>
  </si>
  <si>
    <t>xnJKvRcbXkumFBP/IGtOyxgg6+C2P5xWqllnEgyyYBj0MpZbFe8HpzZQPhIDHaV4xqLB3Tr7JJweiKKyWqgn24tW8q35WT8yxMCDE+z24hM7T6hNakuLcHEXtQfxVuglPIexfEFB//KPMVNPmwdTBMDurkyJyqeWa77LRpzO4FLokY0NqVfDN6IPR4Z53QNjbZA1R/eKpOjxGN6lvRXsNFbu9mZA+4+dyptZtqCUmAXHYgXLt2OUqFxBJ00=</t>
  </si>
  <si>
    <t>ego1s4X0RUJ54+vkO8glg4Qu1Cb1J8Y4mAGxINaBXGmXpCGtXn47XQL5jmuK1uVuBjDoVuuMTDjfute9hBdT+qoMuDDy6SHzU3qEBFCO7QCAqDw5gI5FdKH2y9O6Nk/D9uZPPjq6omY30fwTaUlLIpllKph9NGW4L+VzafLo5q7G8MWSB1v2FEU44+I5bRxTGWVFN+4aBTO60gAjqL89FY9NC5Kl0yEAdM9rNYPrGDWIAvM19mx8jxCsjAQ=</t>
  </si>
  <si>
    <t>WGOofMMi8O6tmHLOWndyvJ/HjHYJ4kAHKDC/0VtBiSe7RXAhF1bcivn6YmJ9x44CGSKmHWsm/tqAVjIJ3aGdWVltYyg+LhEaGrytvyohUOlTJET8+X+O+QNo27yrw+GBRN98fYO2nNuvsH3huPFFkqzbOimp8xuGtiSB6AeosSXbJralxTkLD/Iil664MHPNM9IvNp1W/hPxIQYYcwdf4LdL9y+z/Niaz/quaiWbLaJV7bBgZE2/gXG80Mo=</t>
  </si>
  <si>
    <t>t/4rR+zdeuJV9nbAXyxQy0ZzJ1L5jI5g5RWN77LH7lMYr+ZZI87BsDgzcjMtsUh6I77kRUJLi4jh6qA/yGy0fqMvDSvMi3CgTzRYoHvaGQ68i51oBi1KzHKITcOX37uEh00q+3I2FNdRFg2E9bwZ6zQ9HJgSOb2X9gr7am8Rt+qkOt6IbxaLIPv+FWWOtmfIu097wqbHqKXAVzPfrHqLZIwk4tEMhcbLaJrGjR+P0dINciEx9TrvNH0eREA=</t>
  </si>
  <si>
    <t>pLvIl39lACdCWKlZ7Cavjc1ffY1JEVmc7aX1HQVqVMd3VH8vDM8gbbDFL2CUZw2FliRrk1elCfLL1lNop6ZKwiyQVzGqiujH3avhO0hRwqdiQc8Wp/XuwyX+iAQ7lSSVvo/rQGgo6b7j1sGdbanb/j20D5HYlRiUhhmQjRqLc7lQuqQ175J/9Yg49ulafNEMsuGwfv2k+97Y+Srt9+rQnQDzjUE7aLRiG0M/AriYk2BBvvLTer7LHt7eqEg=</t>
  </si>
  <si>
    <t>SEus8eZNKTH4RRPcjTvoyiKNgKtBLLEAUi4pToIwJVjlcPl2OEIJwrsHrWGreZmXPBIKEfjaYW1cACCOqxUy/CR4Pt+R+ttkKZVfT9nehcsnpERvIGSNSbUjYd8oMNckko23oaQwyfeccm8m+NEOA4wkbkf3hUnaVubaoBpkkDGUED1vxBGXAn9VL+ajdyW2oxIyX1Ji27ewgcLfxW251EBBFhK60O46UaV+weNvvGPwOvEe/KRmPtXRC0Y=</t>
  </si>
  <si>
    <t>ygUGrhbVD6BK92Hw0KaTiDacrMkb4h1TuAcOQKX5N3Bpfb/KhmkuRD+HVwXn8Fzq6iB5UPyNVaFXVbT73MqWFup0Iilj3C+YFpcuIwMn6r+gQZDxLMi4ggTnTBGUgazyXY8+Mh9q67uvBUfZkaSXLm+Ih18qN47huhx4dU5iELar1yLfbiu2IRLDA/uCyu9METSDzQFQ9QJReYgOQDgfSMPYR329AXDZNhjpO+VPZh7nGk9cmD3EJVhfj4o=</t>
  </si>
  <si>
    <t>+rXuHm0V9lYIRs2zzK2BRFMk6vxl59/+ZQpXsH8ItaxLzC1Sy1hlUumeVF5CQ7OgX5RY2uzqkdfvz9SrIhnmwBzoC7iH6V4nvOr0SzNidXNs9JkE9oPc6Qb7GYMlFWAneySmA0G/E1R5hwDDlF67V5Nne3zDqscJsqv/+M/CkTAyvAUpJfQ28cf+uOYvtlMc+YNkpvdKRHgJoWHRa/G/DIvRgQXhrgmnQRi7ONxXQAollFEHP7fPyTdL4yQ=</t>
  </si>
  <si>
    <t>5dmTCexsDFVLg6f+6YgN70tIsfUmCNFOJWNHZ1jq+kTFyT4fuuQnECOuyjmvqS8TjUs9XhNQpkAvDPwoxa7Y3vyxcebHQTUiw4bgiGp1LVnL3pgeCmosHKqiSXWHuPJhyXAJclDIREb2FJJiaUPI+ZQ9prc8hkEichf/+ITL4IYYQraQV6Opl7MOoXFQ50i6MaeP4OrU57y4gnaKMtXOFAMME8Qoi5cqxG1r2RiPgaVBCecLt0u59BqEF1Q=</t>
  </si>
  <si>
    <t>wDGYfD8vUqpnzCGyO1kQGIUz5n+yk1AXsL4QYwQor+KU9M7ok4/CFjWGBsRnftEkk6QR3j56KAI5cc4zOgCTeMSt8sg+/Y3JmhC2HsMaHFumlcCzZQHyZQAIgZe+xrJMPaVgweCK4BwgpYGhqi6WGWeFx7tokU8xZZ9voNbzHmecllZ06iyRKo4cTumX3cAvwlSp8sFCUBAJymbpi0X+STVOFS4FveqIqPpG+111gaU26Lvo/4mjQK2jqpw=</t>
  </si>
  <si>
    <t>8uM3vJkmUkLT3NVCql5lxViVgFz9CBhCQ7EyhlPIVVBIKAzysb3xaT5FyduNlxNnu1GXUioj8dTDVZv1WBIu5dlkB5H3Z2Wa7Ntc6KKknvwNtZDiHeMHjk7n0y+gQHRWKqNhCPV0/P7QVswXJrcNR4n6C4jrKPsXg79cW8F9RWVGCpueFlJJ6Eb9lVwrLSyWmVOC0d9MJGeNyKyUBzq9kpcNrxLDUTz9AQv2I9gGlVh6dAZ7wG7B2pbNvRE=</t>
  </si>
  <si>
    <t>bkCQoMTQJp0vkslCe3kJ5J20Q+MmMPmoLm8w518qcGdy0Qpo2xWQbyZVvdnOhr9GqMxwQeNJV0zaPusJjbUIgdyiwlTdU/hmzoT1NvCWdT35Nc3L1yU6aU9Kvhi5N7mmaH3PMeTlzjaHtPAodzq3RhtjFO+IAKnQPnnyu1L/vWKUombhjOEUzAdOhXgsizU3iRXl0AO/ZcQHpa3EC9aM3r3zINO2CL+7CAE9TLHzETvaNS3vp5xiFMaCaHk=</t>
  </si>
  <si>
    <t>WGlFLUuUzzrZ+0Jg8zVKm+Jcu8bVxV9ECW0i+xxJQx6TdsDLaOFWsl97nNEgvXSCDGmd6jX/IlpttxyAVAVypmsZfJCCs2OLs/DgVHd7FEv1oVJR7XbS5oZODkIO6vT6Uaa4agA/Ah3d4U7rh9nDuo3jAUL4vXiX+PL/aDRsQWcxsGaUHd5lVJ7oI+MLaQ3q4+b5e9dh1fL9jkb7SWNVc5sN22TCsGE47rXXTi+QYxmSGU2WlZ9YKXolqec=</t>
  </si>
  <si>
    <t>RfMrmtWgZUx0XrkQC9qB04jUdux4KWd2qy7wXTCjuo4lG6AcTQdv+mjxNmoxqMCsgkwZd6Po91tBoMU42FqIydDLEjKkSI/zZLGga56cT4nBpTKNgFDyQS8LcjVvfCNq8BFo8fZdDEWC/FNulMdFwdcOdQIR/Y3aRsgVhwqvUJgqwOrOH8VkFnkLMc5AMK4G6jH/qP4+j9yRG6HfRmhCBe1Wuynib12WlHFXil0mHy9t+wJRiqhHJAIzWVo=</t>
  </si>
  <si>
    <t>kpZ4UiLG6emw5cAf6JhvaHOa9I8EYESt1D8ZRQxqxW3N4DCoNFOjTBlQK/7aeHkg+fYW/R4i7t5J6zaXcg/Yt7oHcKvcUh2H/M02czZfaWZK/jvkPK112PGwKcHsIadDz5zcWjp3Tq3PM43iLdib39iayFzWs+chMar6sxl9npBTpcdYeDjWBO+/qR4fIfd4Ir88WNH36wZwjNdo7H9QItNh3Vuk7ETg4JeG8r8n56SOwVDGcgZGcLiULy4=</t>
  </si>
  <si>
    <t>phkxTrdtb1Tf/PwT2/UJIcL6GRPePV+Fxh7lxfmILsLBhBIgTV9KAxeaOpr4c7nG5PZ3AbQxE9OCRA9pAtGHFFtLTyUoTqC8j8bVtqbMnQYDwKH3otrwDMSY8bVQkO3B/CEBxZULwXkM2JGguijbKyuKyC68EvB9bFRQ/CsfE541x92nrZS99+vZhnyvvwKvVfM6PUVRS1aYRVroiF5KHnZVdKw7hGmqnN0lQkrzkfOdmNUg9Y5Yra8cx1k=</t>
  </si>
  <si>
    <t>RxLWT8x5kLtQ7wqp+pXR6zXL3J59lSESIE5q04n3wWG9PL3FZIcST7j+MFVXKFVcFYc7uwv4HECvBqAepF5WrRo80dDRMckneefZzunoetskf25uxuqd8VOomZbKLfQiS2g8oXcw9zkNVjJ+EDmlmwR2tvfzQBFE06oonm9U2NkrQ+YchSNPjDw83/TBIQc0Qx57IxQw/tErvK993WQI1wNA7vLhc//LTI63ekUzHFNSYHITQGoCfq2fXKw=</t>
  </si>
  <si>
    <t>E85tqTFFnSEbn0yUFMcvxZMViotS/dk3qmmr61Nv1DpJf8bxaNo67XzhrSbG8XAoU1pEO7Fctrg83bqWW4MVWxeFx2o+eSnUfGhjiqfOQL6gzR0hyu3o6sPb9LCq10WAIsHNagQj3wXdbF0+6w57srQPO2KXvExyOe+7ykUV8cFk065G9XtmGpgpIjRYtg9VkC5CNkltQ4GOnUyTt6DNnEORCJF7S2fN0+EwQIeKAGRZ23EQLeDZ+1T1jtA=</t>
  </si>
  <si>
    <t>sSnv1qZfaEawqB2YZ3VJt1C6je8Te4eosVUvCIsXZ7l4p5tY2PE/AHw3MHgvxEn3s2+RWo6GiLVdT1QlbHDWXKF9eCwDQViFfJs67d/gXmstCsmWFx3l1hm798+8nVRXoKOEUxyWe5WfdxHyZmaz7qP3EbAr0HgipsDr8wKfuwo8MtWzLs28fTlgGPWwGKSmpGL0cHZzmi3AdogiJsV9n2MZYl/2UNIQH3tKdEZHE+MFAw4dtXUqhs4I7lI=</t>
  </si>
  <si>
    <t>bPhplssKWAsXdnQH0jA1oUsm7VFMK3GqgiP93uZ0F/23U3OGU2rCJ6xVUAHtLZOkIfVixD3lOsfZHlQNLrnRdC0OAckEMwaEmf7Lxy5bZV7/doUAqnvUYD5HQ0n1Mvo15Js40IXsfR6RyiDuPaKEI0nHgjn58J+Rtbh9+KeEVJytt5PUAo6mNd2iJ0RdZ5YxRGLk1eyiCRN+AJ91tFI8QLBbBjIP+1Mj8Abf+sF9LhfD8UjgaMIgez+aAbY=</t>
  </si>
  <si>
    <t>Xgo+9/otJi5Yqlmb+r5UWKpuVm4rUtAtoLT7RDuseUvWHVFt/qGkhiooVo+lUHhq0pVlThP77wAmEyU9isqryDicPmbRwgNsQHwsTBEOGBXQyNm8oDnAcrPxFvBSG/6egLD0QVgyJ1lUTTgzsSWDb2Oue16mUMgmdGhfc8S2kviCIohf9aGtmmMZdatEtZ0qDcPTPPGCXqTcTe4fk03XY+9G0HwpCFp18MAA+9xc0p6ItDWZTNHtaPAiqK4=</t>
  </si>
  <si>
    <t>OglQGkQ5evjuo+Vo+lHNvzC8X9I4WPh5sKzG+0QzlSDCiZA8upNZIVNyKjJZrDxzhvDuGTus3KT9fFO39Y/Llm94fMW3R7MAzXf/mi2dLrqftrynXexV6KlZ1d/SRsGvgab5TJmwE4Kxq8OTAyVzKfhoh+WAwkvkEXKCnlylAdEb4Z/K8e7O5SSXRIitN/ngR6H3eAYnbYz7dKuDlXiwcgZikRfuj7eror5XQ+38Y8ObtSG7SF2Oai0jv8o=</t>
  </si>
  <si>
    <t>f0jhU7HSK0FDAfXtWBwPVbXDXnyP+66UzRLdzXHtMJBU/omWv25usCSdhKI/59kDsAOlbAjxslhTfO7N5nWPJWwyGwxzeTg+tdv5Yaj5rLYjWjs+QOaYCPb5IcK33bed1OTQ4ZyaUZENN2ZTjGLUiJ2MKmNBCdE6Jbtz/mgORoTZaigy0C1cF4eNVFjtEhT41g1AN1qwTIobwEJV1XgFoxedJxsi0MEDZe8RcfhUse5xM8tSQvmfkihX2Mc=</t>
  </si>
  <si>
    <t>Scip0k3rqzumtTsQANkMGljSt+EwiGU0A87gUbyRGo74YE05CxmUcDGQwM3SdGy6osvB/R04XxleJVaKV4oY881kXtsUAoBguWa81pqgrthTaovt7ja9+5wGyopAafPguV12wnfu0/rlKDkbdoakn6Nd+ov37hh9bNET5SuJ2LHVa013uYOmuNmMiGDDQ41xdVSqafW8msU0WatzrNu6TchD6B1P7gPUSHH2A3GrIx3mbjWi9T0NazKx8sk=</t>
  </si>
  <si>
    <t>vD/UPU/On8xVRFVTUdJhkardeweBAr5Dj3q6BMW6gqKjqbOYQBaJ+5bICkqbSPSxwjpUt5K/pJyNM7RQWCWbi3zgpefBnX9dWAi6Jmrd37lMWcjHLylJVdF7Sz9O9CWmIRR0iXsW3vLLvfM3O1Y8JLAWYg1Usca95Uut334OFuG9HXbjc1vMAuQaR6vGHSbO0VSaAi5wIlABKJ0vgm2pRs3wr8j+4L5K7KJki+KGJ++n/XrXFvETiFP0uUk=</t>
  </si>
  <si>
    <t>CPzm1RjD445tLgk4ewk7pepbyCw5P5taLahyt88BPjtAIlfVCH1xQGF1vE1xRNwDvmVIv0U0xZWLMBLkzGdBIS4oDY3KmCTmEDEg5Bo1gD8HBX457vpGrdGcsZMKGY0iKXRzjNBiOQYV9z1BTRhPTHgdMkMqMXjJmNfr77xQaao5uccekjlFXrnvR1w8iRZklu2mUvmN6HltZhFrOIBoh8hVnZZMff+/vfZurpa01SNKmmzAU0rRruPZDUU=</t>
  </si>
  <si>
    <t>fZV8FhctPBcr83GowGoWQTfLdan/SgTOwe7dQBQqERdMW62JVTATXA/RgFsE+uCNwDNd0vy8bWqmCWnAZFPj265aml79goFtdXfwQoxMtHSwm/4oo32/vRmByE+31oLFlgL7i6E5urCQqa5tGEXTJYFihA1M9pv0pgW/b11Y/FTNuxF9dfWcIw9slck2LQF6/JTeg5LtcSZlf04oSZ6yp80TwDqHhcaTwio1LIcecd5mximOhxZkZyA2PyI=</t>
  </si>
  <si>
    <t>y/ZTpI71Oiu5PHjljGuxi2Tc73uC6bAgFA+XkB60JiqwgCkh0nDThAOhpaHs1XyJUrR+xdwtu1UpxGwpeeuDExDncLvD5EVdvU1GKcwjd8/XV7ONRkinmmBqYnPWK1JoIF2ZeGKW2T+ySoESm65dEKdQRbAmLw2PhqbScokzuqkkzRN75BuyAZRRR8PO2f4s2dh8El/w/Ms10EP7yaUnCser5TR3VI4V3qgHsBgmx/ThPYkIe+ko+b4qOUo=</t>
  </si>
  <si>
    <t>Qylb2R5NqAXk/AZ7PWwEUfZBPwVS+sj+tQNP8sAVtD2KkCP7SDsrVp5f4Og5Y+/+bpC+Xpj+XogsQbcW+f4WpQtct/eNoQP+88cW2Jf3JOhvrgVSOxdoN8KWxdVa0kWic+HGNgwQO40KHLErcaXlo9XiyH8w4lEw0VlQFk8Wfbx/SSknz05128BwQb8MrLVEDJkEMgZjTr+1Pc/tualAKCliTKWLZvVYFNZN8QPWqgG/GbOexItVhi7wtaQ=</t>
  </si>
  <si>
    <t>BESIfXU6qbK+GkgiEtDkIoGPtLoCsqcQd3YStEoMdPh/4twzTJFdQykV2qSlAZaAA1M+jLcBesfsJwVgzOrgi6XmZl3gqeq0Spt3sndiXOJWladEXS4PBjj537EhplTNWwiDJ7DNChsZF9Xzbdyn/uVIWFO6UHRxot0re/7UgD6uKp0svF0uk9NxVCw/ObrAdrRXoR+0NX/SXt2W70jEf1w9rodNB3A3GMGiVoG++u+ueKwd/03rLiTJWP4=</t>
  </si>
  <si>
    <t>tGDShDgR42V/MYXc+j/eaEdB18mBvUXJHajVAcUJvSmLcmIHUTmk7YOx0GFKqLjO+D9uFbbJPx2+tLFVN+SjCnuW1xIQeHdPHIr9YrlvmUuuemjmUHF//zftnVtiK8lY/hylcX5WgkZUl3nG8UT1D7CqghB+mMb+POcenqw2Yrus4DA/Ujdl3D7GAoEIB+ATlJMO+xs3dwTIv104MfcivVZCLDsRQzFLS3WczFglIvmmXMgz97X1a4md1lk=</t>
  </si>
  <si>
    <t>hGoZCfVi0v34DVNeGY7Lr38FRkSo20Wn/VmcM5qVzyaO08+wvYSOrnB4zonWZd8nn8BHO9Fz43+HL/89qnoCIGtwA2EWgeJUmMFiH/Ch3dMfft9uf25Bc0YBPZJHiJYMSDHvXJ5OkUEuwq42p5S+p76lPFkAU9K74ttXVYMozDGyHGGjFvpSSZgQbN40ASnwHjUjfUwOYdVYWIXcXs4ef3+JfuhnLKu1CgXEA3I5+kocmUGO4sXFoMXYU6M=</t>
  </si>
  <si>
    <t>H8iw5MASuABYRwNDEPsJAg2rExq+N9WmNsR7GbGbHNEvnWbtIaPv8slkPuQPLS0Yjv9kPY5OHf+mEBoJ3O3aVbCTZHcArJctCL5WBlmKNztHv+oB0GY7XgGGmj9CYbWESmjXmcVsmYrl9eIOGjtJnyAQk9NmNbygv580HG3KAjuXxEAYsxBC+BLbmN3wZrfgH/yluGxFI+KExrj96yp3JB8lTXfV1V088KPHut/jIto7MTHm0X3FzXnPH5E=</t>
  </si>
  <si>
    <t>kPFAjaAR0mt8hWWkqqQXKIS6iaY485m1KrrAjfj+x4Z7xwQyEeJzF2C9/I7vB3eBiiYVCIKdFSJ+nBJxlu0AIYcahW0VCGxYVgaOIyqoUZnVRydfiEM3xCEqMXqSO5eKrTr6tE9tNcKlZKZn/NMgrqsRfd2ngWuN9fogoCPWnVqw9bxXIm9lorbGKZnSADZyd/s8oj3qT9XbdLAwJImexxPMkerhp1qy6O4BWS2CizWTwlNlSH3FaEPZUw0=</t>
  </si>
  <si>
    <t>ghYvC8H5NQVgd7gZbJ+aIkvJIfPcM3nWYTmXJoTJJlg0KIliDx8RlmolMma/j0JDEetsrE8KZllKlpcqouZEc771dTH+YYJn+KeYSFEs5CwblD9suHdlXAceTDl6uJgxsNREVn58nquQ/K9/ocojgs/uCroEXsOksL7yRal9oxm9OvpnWB7xwO3/ixthYlCe7UH5vYtVuqLY6QaEWHC8zl2mvMGgsbIxFkHNZN1Z84n7ZdQqbUqNLN6GlRk=</t>
  </si>
  <si>
    <t>mTTxWYlnYAMJAL5G6Tmt2keR5tbpDSxH1qWFlzhS/sbi+Yp9dVxWlMKtEi6PF2JCGSUS785Vy3JdebgnXuL6Hr0vbC/u6ZmXAFvhcSE6ywbnYuptgg9VEHymzA3NOZolBL9L5KhoFgnSycYB9HK5JdY5m/OS64E72l9OkVWWlmVyLJLMj9Q0CPZPsIe0J7eSSXr3e9ENyA4ke3W6yMYNQLPHKtN+1JkJ+wZ0xEFX0e6/4/L2fCN96nJ8swE=</t>
  </si>
  <si>
    <t>4O6ydCWahyzpFbD63PDCPyKU/ewf2UmRBbemuUGOr9hVFWr1Ymc5BhdiPh47eWQ+DDZUNbAnv9B9HQbMezrJHjVR/SCSm9u0Q7CBQZxbDQUGgxhajgQQoDbiXjPV9QkYm5tywA7lkwUYVRPjuR2gBvL0opR74keE6gFAGLIVVWVD0+lGOFvtTtba92ohlv2c0iSAsdBop/iWDBhTAi7tgxZMLzBogOAPBgnXxnDRTZ91Bh/RR5vYaQmY034=</t>
  </si>
  <si>
    <t>REC2O6FX6m01/J8OXVnkxg6X6l9cLAROvadnorQdNXP25Isg4zbUljw5LjXWnUlQWn2MZ4uTVYrjQPOT8UxByiXm94JXdzLJnNgeA/009XLYyMdCljtSGgTlphTbX5+tkzzvxtyizEkdql0NyeNiTE+1Xll9gGicrWwq0WkMSlHli5mD2bbTZiRlw8uKWocKXebo9rlSzfNdVbMuWrCH8WwKkNgjVCq2Hzh+g7D45u3xpzRoScUeD+a2xZY=</t>
  </si>
  <si>
    <t>uflejptGo74TCSwTyCSXO/6ivwu71L9ruxA4th3IMRr385CFrnR81WFqCxzgrcMN+9PvIyTc73DJHtce0vVRChBorPHY0/SScsZxrzeNyY19jyqc6EzksZRpKMbxviXEIHYy+xpFUyD9vDt+A7kDet+R6O/WYVpqRudYJxI6fOJzEOCD+DUXd7+Pl1L1zJpa/rDJVa9D7eykRyLGbKgJyH+83NVDQsMVpOEIKKPI9rkTIV+A7LTJMr90m/A=</t>
  </si>
  <si>
    <t>+HRLFHfIR9XeSWjXxXdkUwQcVj+4KvcfBb50+E+MfPwaI7PDMvz6ApLyF6FvIRJBmuw5TlvSqbo1jrX5lDgA4cYcrQ6IEq9NadVpLSfDOnAmookVpXhC0LVxTu+x+nR8W+IZELE8VRMGx08cO7M6SHxuBBsPam/9t4Aewx29yCelntTOeTS8+c6W9dVd0fzMqV2qg+i+alS+vyvyVY4q+58KNXIqe9z6pbmVxdV2fjKLufOUob4XV7EpPd0=</t>
  </si>
  <si>
    <t>7oOCQpkVhTRt4ycjTAZc6CLZgDg9wSmG0CVRuUD0zG0Si7U/KAxAKtrK3zvirdT9lXV2L5J2w+13OQ5voxBY1sk0KHObueLlmDLxAnldpY3yj4qKwu1MQ237l/9Tt7PcAvfeQi3nmGG78roI4q9AogNR0e6K7AyDPOfoNJcKNuCju5A5cz8KLARhZxGwHWk0s+rFjS4AmN6hlZ7DbPkFq2n+iDxM+EJlTnP9wvSXfK7r3l6Kw0V/me6M/g4=</t>
  </si>
  <si>
    <t>lubePLgQVn/kfQzccc5H4VnfhnUq8HeA02CvQz3mqrIXjsCz5G9B/wYwxEE+N+DO8K2H/6w2xiJUfNBFJcAjLLKA3jyR5nH+xyFMwXSOf9UPhBxzUVVbb5dw0GAxDvRhsr9nH63p4C4xG0gONAmofgaWZLY+OF/diTdsnmnaN5c1+9EUUOOkJpop/zKOHi7dBQV1XZhhiXiSVP1PxB4LXm2XU+rlULNJ0XnR7neuJnNXRQlIRtdyLP+NSi0=</t>
  </si>
  <si>
    <t>hl/kZ438yLjGT7lifHICabzySNz/6jCEAhp/2pfOLEgIld41C/yMQeL6h2EHhJWLdgvhbFO7owDI8gxbOdLOfa//zUStenlrwDP1tAU8tEfKCU6dEtA/umdeAWZLpSzx4r0mzDer3INA5630z6ugRh1bWyUmTj09n8gawAp5CWvHH/1kLjH9DvsJUH17koNFF9mzGzMVW9zRlgcdFmRg1nAaa3oJbpI5IXAdiR99sYfPv+ddM7M6QDo2jSk=</t>
  </si>
  <si>
    <t>7nQ3bIsuoI6y8M3mJovpMLlknT/pru3FWZ/jytXmh9ijTafv7+MKzWfxz6H4GqReYKmXpQS+XnLOGkQBRbA0M9wMLzS/CrAHEnOu9crqYBmoopkV53Udx2KI9UW/Uy7OPsyoab0r+KkHhDE2kzx6qsCVYkFFV/79I/sTWn4AGawxdQML2IVqWp+WPZWusGSLLJdx2bfBs824nrRzbcixBzQFYFaAkK+eQxm8fY5xarMbVGg7cwkUv2Ndf7s=</t>
  </si>
  <si>
    <t>HAo+zFSnomQBOqcTIUevzSxiumZDyK6U75SM0o+m+Atwjmo3WanD8+yqa4oNiSEmoIs45fmyYQj+bIxUwHOkpIPWQ2FMrXmo9IT5aZAyqZJyHoQrHHXGTfEXL6HVY907iv4CD0mbia9KX9bV9XRnvgnrROy8EwyNRX5xhm7y4BgA5+cKcwLDFzJvXI2lG04YKI7bbNCm4qbT6unhrFFwi/Quj+Ob2O0tLcwbeXUw42A8b5sihFpv1pUCyVM=</t>
  </si>
  <si>
    <t>XgoxilgNHnSObo2l/+PUX+MPW5FQskK4c+F7NS5b4AIaqGMVOKt91xzTH+rhV4ie3oqBgc5Vl2XTSe3HiIPDAMN0rJtfICW+VfTrKPZbnUhmokaaTfxNL0c3xVse93PKNiCo5vUX2ffdqKoyVnCRfeQ7JvM+3MZ79gLFip6GoQt2rtfifpjnwvA0X1MDvOsd9CRlveT5tc1g3lZC5t17MxXtzx+7uUQ5jMdVR8WZ3ZaVjhY0uXGEN19M3+0=</t>
  </si>
  <si>
    <t>UppmyWCko5Yu07/5CO/yMPIPTs2z/qM4u/sJaiVh8UXjC25IGN4Yhf+l48PpXTbjjQZtby1r1AkEyLuNq5sxkdbGUzN0Kbv+b0BRK5NFsThimY+8ew1Bq45WHffPVk4LC9uGMHZfNSVyjldDSPBzdp04FADwm1Wkgxs1iHYDAOPn02O4HobKxM2+B06VN5iAnkVQ8WC86XBVsFJFB5tb+PLxDG1k7hfCJI5pCw5EHgvD0rTsafJ3tceH2WQ=</t>
  </si>
  <si>
    <t>+0A5Rb5HMv1tztAFcW0XzJNWACf0Od4ZvwAuT0QY7v+IMMpFnsGRW0VEx7EyQwSt8KPRTt3MdQZXuww7WBM+TKyoNRRpS3ZlOEBlB9dYGf2MEjgcdyZzZb8orpvfamTqbti9Lool3ORmiEer3AGeur5W8tFXxvLQ8tI/kWv9cqaFYWveK1lA0/qs5lpM1xYd5T2XBdbz9vBNOu0WUD6MHb8F6lzZqXlRUtE/odJrKBth+fKEaqicl3zh5qY=</t>
  </si>
  <si>
    <t>EkDyFF9r3zYfdLMrNE/xeCI2AfKKQ4x9Q5k9ycY5/YmaqrZtNLicxddE5lZ4OlY8s31QpiRJKZR40kOL7tWVJRm4yILK2lWEieG9iEWJitgqxe6jFSnsGFHvYLSP2aHvW7RmPJu6A0ZsidyOCtaxPr29jU72SNbumCQ94whXQguh6lAzbDs/4CzzICaunxtEhuwP43VMRfPZE8JCyg7zdd6JxHTQYpoB36doWQ5qUX+edyN2uCwFnXiQloE=</t>
  </si>
  <si>
    <t>nFZ7jXD7sqqymxvYZuR/3PCLMYTQHrTDDFqND9cjZJM6RXLX7n1ecBJLCM+S6zObDtRuilLidQF4VbwPXXfB9oiG0GtHtpydGFWhZvFgMyno1hydXMBX7zJESjOYZDtDMih+39WXBLDUBhXYgQ+Jd56xpjVd+ioqvYcxLcqrpRxhs8LVcRKIMAVmugq4qP7u/zh7F/KQ4e52OHDLg1fZOHu7aN0WdOStCSsbj2Nua4YAl6Pw88X1jFP1Xg0=</t>
  </si>
  <si>
    <t>FwKeaa0ZEbQS8VxSU3V8m9Kgf4b52Rnnf9DikuJcSsM9gJTfeQ/gmmymrzjzqS1aD1Mk+B8F3fCI/UQDzIVVnNSZ4WicbIasu8SJ6fd9E563G/sHElKkNPfGT14Rsfhlnd+QtylWcgO3zYtdD1azEx7SpCABmysKVTQlYCm6GBBcIhDGJRErA5p16vplPyV2O7u+oUhH5a442dlOMpGEMPxu7+r3XkGKS5sMQVDsptQ3znGIF7654SY5838=</t>
  </si>
  <si>
    <t>A6ptyBRmJNsBnbDnfd4jaD0kir8ZAo7D1WW3exYcGdppk/Vtv2Vk459Yiu0uQ9pmChxr6tWUTfk3iQWLZA+2soHDJny+KR+H8EOx7hdLCEHcxCDOoNffkKJQ+AzaAIZ+k/S6P5j9NZA/O5Qnzbf4eVuOEX51I/gqiwBu7+pyKy4QK01VXxJgRgPpeLLm6OTgtRMrMdtxEh+6ezAJH8GHUel0MxIiK618zS6cwvb93vSbQbl/CBNThfrASYU=</t>
  </si>
  <si>
    <t>/2ygu6uFvk2o7Y7i06JUaJOK6CGc0DB0BOrIX7D0rYC+RTyHAhlt8hOK39Jzu2Y2+vP7ogbjdPNXsGOzkooBaxNZ+qZCr0bOrEPNZr1bEOweOstFw3SxCytrx+vxiYX4H1ODpu0CbA3nDQ6b+nG/Z+iD/W7qg/MZqKNJMF6VJOiIHbi3HBCT1Kzjirz9NYmDpQQnco8ARBqnleLBulGvZ0aIG1Y7p9TZeZG0Da4HidC2Yk1pYAoXcC3knvQ=</t>
  </si>
  <si>
    <t>SrhxAoJJBCsI4iquhuqXnStVEBUkgZDJdy9bf9lLo5mJXv5qIaMHx6wT8mXX8nqyobaOlk40IleYVajNcn/GauHuqwBg/kSkzi3wiayvBjsvvcc1ckAOCDyle93zioAfXpVbw0kqjEBrgI8XIg9U3rNjYjt2LmP4P8zZI6kEt8rfgK3+MeKY96T/isOLTCu03muaqXS2NtqNx+6qSITI+CgWcX/PVOFqs37EfeWxu7wRvunF9GBF+FFvmP8=</t>
  </si>
  <si>
    <t>mbhZzp7wydh9ms1MowdtUBytGRxtIpiOVWiVG0DtB2OyfUDeMgIw9BmjrsUurEZ9hcvPv4EDN/JYX4PFIq2KqF6WfBHUL2aDSFYByRHm7aIAg5B9ASHuPjHF9PfhR1SQBZW+yaFHP3eZVAM0LxbUW9NeW24Qq6MV/UkbHEfecvKYLVAzBA+IN0OGElaXqoNYhm9vXP0NnWYyyorh1f0b/JEtLjnBj8lps+bXi0TZWGcpmGZjSyGe8jUC02w=</t>
  </si>
  <si>
    <t>hvgVP7wC2wxZxUCUU3OiiJim3b8t//gahOlZB7QRHcpQSB6unp71vLkCs9s3UhPkZfIBHKtGUAOTAU9k53y/0kO9BHtQWQTFe3qsAmHpqrTMqp1Fle8DMGuu4uS5FKxkseF9dZatUQXjk4LiRigm+uMoXDR7nRCO2vgzXuFqSP0pLVlu6DwMcoCeuNbrT36pgpDFHAZygZLKF+H+0kFL+0Rz5YyXzLTS68lj9/O3+hR3HRWCik6N4nMnzg0=</t>
  </si>
  <si>
    <t>iW8RgrkU9EiToxL0ZTXcbV80PlqafNWk4Ej72qFKmdtsXvnIzTZFknXpbhNOMZnu2SWDdi1EnD/R0ghcAndUkS5hLnZqxnrqMVxJkRVDgi5fJ46oDHnR0v5HeOMsdif1mV7odjs1BVdcaNBlorljXW1GgaA408UQkr1e15ZDsC6GlEy/MsblFzUDf2Xga+KRf9qblI9CraANL1rqUEMdLy66Q7I1IxikyBzTGfFdXo5GyBBbbTwNfOQ85qA=</t>
  </si>
  <si>
    <t>OORkfvMoqTIkgw+VA1nbUNpiv0NOUb3QCIdb1W6jBQAIBUA3zZRJvw+ZtE+GGPXkWC9cRMJg5pk8rMxnWYaMDbPi4LCTwgn8Zq62tZNonph+/AnP/Pt8FcVRqOyIn3thVeQQwcYeuDjElUAwyAgBsB2komqPL/AKdt2wp1uBUtrYC5w4BiBtD2KDc25R6xoeq6F+A7rG6Y+QHxLqkHUosVrnxIqsgUZ5egzJqad7rr8cb3CLD1ZryHeallg=</t>
  </si>
  <si>
    <t>BtpmTzqFfL7Nc4FcmpDoiDhlpvtq4gL1lkS1Ntj2Gw5oqMNSYOPHCLS9eJB13V0BUffUELyDOS3LeQ2+ON5D2O5Fz7TYBLO1Wrt3xSHSXFvaKP/CT7HODFlEh9a3+eayUXIkWfCsBbdtEYDJh8EQl3/IQ7DAZJIwziggj6aOVtDUHLGDeSdzuFVsgrC4YQbFMJhp7Y/pkDP6JAMt/fnzd3gFjex8Gth9EsSpIjQYNiaiB9knuOglFqexHS0=</t>
  </si>
  <si>
    <t>A5tGdbkW68FxGFvryVvB41WMXtdtJRQSZjAIEoon8mmx8rxb4nGAEGVUywBv+aA5PFTVMDZ9FAcCWg7UdpIMBewqQq8lFoEporIa0KjWBREvirPGV2l+e6gjzWKiWwvKkEjiT/1+L4rrWETkbXdylTs6sAgOlAfVvv94ffAyNBclOQhUy8LJ9yiZaCHNxFChvqZl9vjz3C8uMWv2RIaTvdHSGJBthIvO4J+wssWQsiCHrvxdSngx1LHNGb4=</t>
  </si>
  <si>
    <t>EF2d3nyNqC9QhHHV6LUGR3WnG725OwvWHvl4UEaJVkT8WrkMsVZ/0BUXjmKGmgYIElvQl9xJhkX691pLCML/Gz7tLuBRwlnK4RKW9B92NstC8O4ZvS1iARThcBs/4AOuhsPMHDwKrc+g06iuoSx9sIxb9PSZ8B1yWxczjnT7O6QVDyA4IW8MrFjk4RHljL4uYZ2ykVgjdvDSIciGmUWpBPdld/GKBYl7IAxbgs2jftrePR3AmBFGCKMXpes=</t>
  </si>
  <si>
    <t>O24bs1J4gyean0ZaUvlzOACrULB1ZT5K3JrsROFcRD/aVGHgdBikLKgwBA+PboXbW/m9QDQ4yItQvDeGwwCTjY6Q8jPp6GPvhQY/Ek1ruRUE2mNxzlQvTZRLw8g9c9Sr3sr221iXlNk70Qm4J5+VuV0Cp4uqnaCr0wz/PnVtlGr040acLRnI/VZXPpXEYCVWNAMIrpuKUcSRXnAs9QyF1P/UGnLfz7xssv90REoTQxpLLCkQZ2v+JDmcCvE=</t>
  </si>
  <si>
    <t>uD6X7WKKNl5mAE7vsmroLUHswNiF0CASLfFhOO5ECbAoL2Ik3ej2vUcbuBnf2zdIgna7s0hu2zsaCenf6WfSIfJ0ojzpfKIHF6k2Ffb22hlqQMJMzj3HXh52P1nDbTLphQj0YfKn81qj5eKJ+lOPD2nufhbB2xc39eJ/vln02xLgdrJzKsLjDG1jZTuy+UOyPnEAZPGOGgnWqqKYEQwZfzXfnWF9eoL8RTJ+moUwLWi+WRGCxWijocvlEcE=</t>
  </si>
  <si>
    <t>ZhPhqJGElrVxG26LTcAZCuy3D5waZl55WHG3uLOOhRWg8VbJamPxaYqbSJ15t1kaSuN0eTz39667HMDRQRuRdaLp7zuEBP2uGLFbJRiprSyGAjGWxu0bJ8+vnKFKW4p7ixAbria60m1bPF2VVPmBKuEDp62t8uqw3OdpOQc+lfcxRVVqQTf+3TH+/Jz4k/w5WqEoKowFmOVzQYxC+jsHs9xIAUB5HaAEg8g2K+1JPafdzyv+6sV/4+HJQTk=</t>
  </si>
  <si>
    <t>E/y9vPd5qQpt9XTF7BA3wbsJ6OjaOoG+YXREkiej2T+7VIoQmHwcG6Kbx+5dcKeA4cxxIGZzkenPtAUUAa8VOuzWT3loKa14tvf56rPEwKEVz2PEVnrsaSiXEz89x/ZGr3McPpL/Dg0R6k1VILlAeIBoZcVVp/XnqT0RoD5XPvvUz0aqMz2QLslSNBKmA7JjST4roto1U56gws/M+ggUnfCRzlrBt8m9nWSQHi/X1UMXAnjh+LOl+K/n2yk=</t>
  </si>
  <si>
    <t>rVnlNtpHhoOaFCWddEASab0FAtTPvgnYvuD/vT6krQ/L8lUoNx4LFuDNS0oWDfmthro8f9DGpvqmV9BXtY7PQFWta1ruyc44qUguMN22bcX2QAq2SKaA7L5U8Op85a57ZIRdtR4tMG+ayINNhka7cQfVylIL5DGHgpc6egjey1FcF6c0ZsIbdc2NTQq4/wi282zLXSNzSigoOEXsNsaZSIyBfkj3qmeY22KYAiZQX5Juy6YtQsOvGZBwuI0=</t>
  </si>
  <si>
    <t>zGm1dgf0CNpVaTR0kcS905LY1j1NPuento80rcMp+Zycr5z9s/HgJHSgK9RC6W32VGBykZL6aJFrVU1LfqcT5Xtb3vb5s1BVy2okvQZF5hN1lpj2cEd5h8INKirOOAcxKkMmYf29OBBEqcMHwObUAz0F1Ht2fuYZTuX+V1VSlPDCj4na3lHXkzbr31750EEeL99k7JvJO4X7gYJhRplf72w8G/XrTm/F0s3+1Ovnw36IYas1riDLn9INWlc=</t>
  </si>
  <si>
    <t>/Yh8jzTkaYmJFLRHX80b/fYEsKcWLWZqR33poB4+JzKtperWGItuJnEU4ZiLNYRiSQJoBhWv14qNnNP1W6qG+qPSiApg7Y8Xi2M+674UIRH+kcKCQ/UNTZlKY3Psm7H7qhU+QAlXqBB7w7Xf/Q+Wd+3vMZR7JnPuR0rRSkI1ALsMQsfgRkJNTmKtWHnCktcoqPQHRyNB5ImJBIxUWLiOf8N407yV7Z7pShv7CkEmb4RTFhYmhv1Mp5TIqwI=</t>
  </si>
  <si>
    <t>80ReKARGJev0lQMvPTb9XX8ieaU3W9GOdhfG6R2l1dVvixuOiRVXnJFmirI5PJTwHffKhG/fTbHfyO32ybwbL1vLRToxB6yMOOgXSLY9OJa166Xd2aGzajMkxww1BMnh3AoEQ0JccyTFvc49tTHw14EZ1YYtxFILIh7efoYtpG7d9cKbBgggLTdcNnd/s27slhlZPo2MgrCO3Yms3oTB09JjQawTUUlTxLIuEcNLb9DuI/jqpWrZhIwUgpQ=</t>
  </si>
  <si>
    <t>H281XheaVCu3KXdfnGi7rEF1h2Tv1JJxN4NBAPf6fBBMQ7oO5wdxViwbvtnnxUUrKnWipkUtu5Uj2lvMLlI8iT9/0v+37/7mlALFnBHUswLVGjo5DChg8m93WnBHzbIzs9rnmrT7HfFVk6rwBKgox/TBXhPwBLFAbHNk1aXws+tdGwPAutXrzadsqtsuSHxitFMNWISFcP9XhW0R1qDrGHvHVRC+Yzx5PqWLaxhV/4iJgY4FAKSHd/0uTcY=</t>
  </si>
  <si>
    <t>ixeyl0IQ+K543P8seRFFYAPbCcmO7K7vsIpvfLpBZ171u9Sv6bC5nhfyA20chJtkvZibqJGJjHqMiWfJUVhWbzKcvv6Wu1m8XlKYkdV487puEU19HU69R5dEiEDIKYE6A9GbExY8Aj67Cp+PnUDyTXEyFXyFdm00P2fmwIZj7liljpbZtBY1qeZlqQyKTXrWsiGl3iBydwxHfR0v/KgpTfIUN8fWgTsjh31YW+C9kUiJK++bAOTpQ5BapcI=</t>
  </si>
  <si>
    <t>VJ1h1j8fT9hjBk9m70t1Py8PZXDjJUUh18PMfE9xCNW3aokuR28+DLBKf361GRM4/vkYPN9D6DEKf3XLsHsf4N99ZZ4wCOrUH0BCQsfwvwSxh0ihVfHXntEkqjQENE8eygYqhhie9Pzx+537JN1dwg5+G7k8x0EIi20hshdCcEl9ptrkzA4P9Fq2OPQ/+X9HkTyfYWtfs/A/GbzFPAOlazppSoEawvdZ3d9pmOhPwVHtQSzE6aXjY5EwY3w=</t>
  </si>
  <si>
    <t>a9lQx7PK0lID0Rzj/B/yN4JbOhp7OZXzunnuV20cZr00Mj7iH7YiXVZjzw3dGTTbaBoJcA4J6f3er8dhmrPPc/F+cSYBogolsPBukiukgW+N2AJwb3JbiNIasTuE8HcQ3WpXdUPqrGST0PjTnRTYahSzcKXeaRxsFLLmTcqWuKqdqyiW3V01CmH0wkz4xeZ5vgqLlMUQJhB3ZUUj9ySoimLBswlPYtbBnAST7V3xgmpXoMuOni1ZhwShGA4=</t>
  </si>
  <si>
    <t>sGUiEGK33iw7PItXZqZ85AKSP/15mAIiVsAz8MkHi4CYET6XpfR5vhPardTsndXdttFnRp5b/bsQlLevPat8swum8pU6FXT/n8vH/dFvk0ALJOVqJeVwSHB4nS+hH2KLcV1c7XXxGnN24K6/wCQT+cHwUojwrRkaWRM0i0BxAYKWTHIAOo0IokXoxXwZlVFjIikWOB/J550lkjmluMlvkzIX2anM+BgzSRtwpTNu10nf8b88z67tLZgf9H8=</t>
  </si>
  <si>
    <t>58e0ha9R64kQYhkX4KXzGWrgsSnYCmTUDyExzZmQiQHKS+kPGMUURBBXFNhYdv5NqGkWgpV/igZ3d6LkhubDx/BFZIgdg4KEFO8W1ngKFc6juexFlymwKu5cipvZPLgK45f5qSSj83HQ09AB8iJZc0FUKuK4f2csn0o5jSzDuoSozA5aVNOCpR786fHzECk50ZXV54PuWRJ3i8eknPgIa/Fq09a1SLZ9Aw9UjQEQ86TSPXyR5LGDjgvbaTI=</t>
  </si>
  <si>
    <t>SRbKkv6TVC8vPm1QnZp8TvnTOBjjUgiYl1kkPXj8fjCmQ5sFLk2Arr3t1aekQZN8zjqditDG3XaPC3+MNdSAegm0zyTiESXAba9pDozR+KkNgNVHGdZ2GaGaiaJw1kPrOojFvWiMDa+Sw/ECj59BmrN3xa7hXDxphuY0khluOGtaW7Ky0R41kF6NqHbMPFg9kjvs6Ng5pVmkShjYltgnodm45gCYKrzFOQ7JECifDeI6u7GzsoVduhlB6NA=</t>
  </si>
  <si>
    <t>Wnz7nQPtJUGeJ6/Ka7r6mwC9xPQq5CVs0HyaYOKVg8tp3SKLAD2Ow2uZVb2YSASt7RfC2o6H9PuCsU9uRdCdrxTqgeamx7Cq5POipuu5VL4S03u1PpkBeDBO3tG8yIUMc37bRhDnX2vvobX5hOxpG2qTWJ7d/FKryu0Y+CsU+Xve143LI4ME1VaKwoKwXjEu/Hi7GtLcAM+eG8DHRn0bo/Ux/gEDW4FYmb09wPtvUa2DCjFvcT+849xefSA=</t>
  </si>
  <si>
    <t>s2j50+LUDygXgN4tVSvlWYUXWGww/IoQdwH+2LhdxcVMJgUBXSOJ/AaPmbs2we54H/d/r5ck/dmP9gyevSRytBR5J5i2sGa1F21VcXK1BhwxaY56HyjmduY7cPqutiM+P6kVjm5Pjda4rX8AeJHUhMtoCFiBlH+iuf8n8RuSoUJ2arBuwzaR9T+az0cchTc89XPT5ZAvairgiOcWOmdEDfsMmgpPAU5RJP/7b1o2cP6zkZWfHSt28moV0e0=</t>
  </si>
  <si>
    <t>h1hkC5gwUYNWsVl+3d70b90UPnaEjGzkWwoZWu9W1cIF3mWCKiTGugAHaEW3AQwnwoEv85KaufrVH9ArDIXfw9Vt0H6PqN0F16GN+Iun3eR1xnLwY5nSfAHW4VvVgGHcxUdQtxCYKHZelWbCP3veKx093A6X+UWXOplGC14laXs65PL1bx+HPwhkweLaGovosE6e7KrtgjU453YVCX5dO2iWctfZzEoDmezk01QlTd8sFa0StdE0COl2h9U=</t>
  </si>
  <si>
    <t>cJpjl52i5R5Vr53+xA51PxFYUjrDn3YrUQulx1wmdSLSk0xwfMab1lCt2zHw3A/E2irWNWj+xXNe98JWvO42UiCzUqXGP+WXbOkQir7Wpk9mluSHsob6MGaGW+vxuazApeWNkDigjkmg6JiTJFB2fp/xSZKW5m4sM3Ls2KfR07IlYAzDjMc3RCyg7cyAN9rPx2xVH6CBX+nrmX3FcpvV/QHEj0AmOYKVBWZKn32BmptOTv+kxyQYszSCJ7Y=</t>
  </si>
  <si>
    <t>6SYwBpKA51nbD2FYsluTAr6X7uHj7521VH3N8pXyDfF1KUV75y+WXDYUa9GLikVtNQOuzxRf7gKqXATcKfiFEVVlMG05/Tl+aOItuewp0/WtM9mCn6m71oni1fWVPI6NkAoCp0+oyzdJMfR6vzBQ/zwCPmaf28jyyp/9sTnyAECOelvXwBTgLWeHyUpFXBoiWb38ebfmF1qDcU5lYuydKhTJ+hrNMZwQGLXkdwpc4St5DByaUeeg6JtzmO4=</t>
  </si>
  <si>
    <t>2gRKr3tMCcr7rAjgLbgFq/kf92eUVOASICcgacO4348jrjB2lFO2CwOTwXCOgYFvfNJ1eoC0hX8X1JQgBH05sUAZAVDp26gvw8mQVZRjJYOKTWU0k9LU/lQu2yfbuqBBRgshr+8oJ1GEH7M5dGzC6Vc6biZvWHZEfClYta7B6r1jD25TJA3WeXZc4Vq8EHlmj1VH2FnbzbXFDrBzFIuNoSv3IM7+VC8dXNS42EeVsuGRXTitrFC/Bh3LIkM=</t>
  </si>
  <si>
    <t>QCD4oyBGhc9Npe+iythSO2C4r/cetQBAyi5iTm/XoW7E552Q8g+bVT9kjM4CDaGm4ziJdtXEkqliO8vAZVochTucVtmSbIOrebYcos/xFQ00B+YPL/P1xXn2Qu9BQLjBBEM7ihqQcF9ZAzQf8PTm/v+jDeugWD4JtW53ohhzyt7dJ9w4ELsS5nUaFq4BBTOOrY6uZd7WoeEWzYFgdK4XrpiAJZWmeqcWhDx2y9kqiBbrZ+tMqpDdVR7VIUU=</t>
  </si>
  <si>
    <t>jlWNJDBCD/ghv2Lg6Nqeotiq5e/5EPc2HXvRFY1319lDVh46CoCSEcLkyHiiyUk99jhrnfdK/2GgnlFyUbSs9+iEyi3X0tcbJW9F4J6ZGPXYDvNWzRrliNZv7idxo1ZgjV/TGMLjrBpGnLCURxxgeFWfNvIhBAKAp/Uqb6feuqez/qRCPmjyaqtQ65D5/YmZUYNIaOvejRZOZVhHr1910md6l/lBy2sA38mAgawNfQA6ixXmOmM9DUFavhM=</t>
  </si>
  <si>
    <t>B3oBcSJqZk2OtoCD+hTJtn4YnzobOEclHaLBfcL84PDyCREWBnsMyXUzIC0SoHONs0jxAu/iUY6H2DLdqp3c2vkE58PB0emVHPaFjCsPNURmG3jqoNFvbB5MP3wqIejuRi52XRqXvj9dPrjNetTlIAlqtlJ06Ky3vGj6EUzjDfllMZ8yVWbbXCZyAxtFJmKakiSVbuAc59Kcp+tslidFM/a6qi+Hvs3liGEWXnYS3KsP1//YrfP+gyEx7DE=</t>
  </si>
  <si>
    <t>2kvdhiwQZt36cmzm39ViIl+f2kaWltca/GR+2UVwfud29ME0bg27q+JnD81GYAVatRLVGvDJJykbJ53VlOPNTlTobtxpklZ9HM2BvMA9K8dZg4tgP4gpkZz3tOXrUz6DyAtF3USBWla7r37SKyJWv2jdnLKv9kaUOsyQbIOSw1tUQ8W8O4cWA0ZQzOJH5pR2lNywWkBrdvO7/7BsHMwIUCUruxBRX8+VWS+au34+AhRo5LsnqRvOupeT0Gc=</t>
  </si>
  <si>
    <t>qq6qZxVtoZ2acyETxH5bJvwLhmauQs1fmyH0xLrHG0OK7UAdb9g/CPteyNplx0dtIpKf7B6rnOhN9vFa9Z3tT7+Aw2pYSa5v3d9DUGLUztnhThhdAPCESmnxneC23xm9Na+FLVzogPKmlhePNSRvdzqPjIcZVK5sQqyKLssCC5YKDaW58ZC75R5zntPEJIa1SMRPvOAiFDEzN0h53NlgMKwfLSWXw3UaZlyB8yeQryefhI6wPFY/J3Cbb/s=</t>
  </si>
  <si>
    <t>GHkfF0Y17iDV9tRjxJJP39ZqId1MPO1C3bVdLW7RIISvlfGcIafxrcHEfsp2aUn5nYr5ea0CT4sSj8/lTFBCC9qvnYcCWW6mYCkcfGo5scJyYhblE1KaNaCaIAmGIA+W6+aynX4IfU8ZGmkFCKFJFPYA3uXPoM+DSz/j4svwpzt/vO2IJeUMAp9xDRUXvKBSVtpuCq/7Cv2h29IIx64thGS75JQuOR1d4L02Si/hgZiLH48fhpoJNSX361w=</t>
  </si>
  <si>
    <t>wq767I3T35898dY5m77iN3OswAfNupOgpWGIZxWRQqQmIUGcp/yFuoP5JgHCgetZhAUkZEWPoTItXrDLOxTHXj4oLTs/c1LCPJ3H+2M+9Ck49cadKmRIXxt08FTKZKOoNQqS04TJJVVuVxPgbA/kZLfX1ocwuhN7wgLxNNTrFSw4HJNUIMtqNCXEc+odv6FsGVy9dIrAw9d/HHmxjGBlqjSPdAk2VTKPGIdJsd5qom+wJNfp9TLorLRtxCg=</t>
  </si>
  <si>
    <t>gcnpRj1RHE5y+oaeYYwZLR0bjKhPj3exe1a/VmvYy3VgQ99mTZvsIY9ZZ9cCnns5cl4Dw9+oFAjUASmOraAhV616C708ITOGUiC7U7wORHPSHcHgpMjhtZBnowKqoNGLseCmccRp1FoIptGJJqcFlKSlrzSRepByekMoEjoqkOb8N0dMscqLK23tC0UQQNpifIEPpo9SP3brQ1sX/OzANTvxZwnzn0I4jOdN0pFPLqQB0XtsmPLX/bCByQk=</t>
  </si>
  <si>
    <t>3X06b+b7JggFLVias5bJFT8QrJL8+Xh+1rSOQCq805rRAmaSC+Ki9k3BA+ZhDQW4RfH0yhI9FfVKBOhoncaPZJz1qN4A4iXMXOxzaGnEdIFEjzDZGRP9Kg7Xu+px1mUenXQ/uAxwBMdqB7EQ58lf8gh4iijt37QshVfgECr+BTSE3VqEhMna/6tDH8l/NftHzNgvNm5tkxbjc6y37Wq1OJHNlFUGstN6wp3VFRI+Zst+1EeAtGECjOzxHmU=</t>
  </si>
  <si>
    <t>0d+To8Zua+P3+CX9tUmD/y3hCxIeYWx/5jRNV6Vu/FO5zRqw9NPjnfC7vTAyeeTUj7ifWZOnbmcevXuyIwXOURajNLKb20TgQ9mFrOAjB6F/eWcOfZH+keK/9DoKKPcprF/DNt4Ak5E84QJMd+Oa/E8SgObcq98y0IkTeaFxjtU7YxMK0YWoDiybc35CdUxJZMlDp9tO8nr8APkxLR6M/Nel12Jvr/WZdPLjZ69Z+yi/tW0EMWJb8vAjYsg=</t>
  </si>
  <si>
    <t>3VhnU1BOruE0VRshR0q+yEP22UF4sv+EziX88gVEMNryr2szwNTbmlY2cbBzQcM28IGv75mPoTVYl7kAWCX+gtcUIVJx7FZbCU++XirKQ6O+GLx1ubE833CtAXldz+6E6N/53GNGX2Q47E/FcCCMflSGkIS+CrG55ahsE2850Q+P9SFh+vdEoYuLq+uB+le7yn+YZkj3BNge2GBFfLebYQdN1VqJV3qA5BwmUhClMLxZJqjMoZ9xrdcONOk=</t>
  </si>
  <si>
    <t>7IWRlgB1eVNNZ63hqBnuW5ZBv+8SxdM+1UljkMG3KAxHjc9YPLe3r/VXXBUlp98M8Xk05z5N7JIhTpwGJMI+mnbsuwp/EXjipr2S32shLYX9pbSC4yG5yRq/lWrme5l4zo7JsKXwuvVnSep9gyhvdmcsJA8vxBvWsgH/bcI9BeOX379MqIL96NB+YwPpTFAFnviMovklnIWDUkdYqhudZOnviK4AJpXU+1QR3zuZ/ToKZbgXt+hFj1282HU=</t>
  </si>
  <si>
    <t>xJ1SNdTveItih8yd9Tp7oisWw8SW63NRd9r4RxWNpDtjbisTUx/DgyM752pCEQFvwvTkXzd4OcRUq6LzgFM2DuID1r3Oouf9Y7fn+YEq+Q7hhXz5pmg0QChWwVPr5u0CHcZeUnOe/2zwE5Z0wmru2yZl4t3z7PezA7jcJn8JdtnUEDWO303pk/4w76UxgUPOJ0Yfn7n7bx35K/DSi3b5JXwWyCSyiIS4jSAxF0wTP9Fo2AiEmamwyKjOF/A=</t>
  </si>
  <si>
    <t>Y8Ca0aU6Uqlx7ocFPwU9Rm1M94h/WIN0PWTG3Qi0kQ8zFRKU0N3lbBZX/gSCvkM9mcNQSBzxm/29B2pz94aWIoQpCEv5POmhzRgIigt/WRktmOEsvuUYcqvVHWZ9rdQeW9ThO+6r7pSRAvB+9oGmYiOUbUGBG0TKevdX5HX/RCM2addJ6V7zILAd2RhbNUY6waOBPjYUGR5ui7rOh6P6ktjBOduy1tzrJWCKdgSmq+laQtWp4fRgAob1XEM=</t>
  </si>
  <si>
    <t>5PGNKQ6JEcWUFIR379OUbICtOP25vFZweUmGwX07FslHP5ncssl1H/wXRh7Wbq3Y1E3cU/TKIlweOIi+8f+dsdGwV0Kv4mppGqeDx2L+zJaVhsyD6hNGxub8yJi1bVFlCdBiBolT2awmAtQNhjYH86RGhiJY6ig6uoK5KVmo8SK4abBq9o6Y9PiLgCNnJgIXNsu9eu+WIaTMFzvdd2O5uXLznJxzenic8HscWZHQlHPEgE38hu9+PTUSIXY=</t>
  </si>
  <si>
    <t>Ju5vYyh/1C+kZOHcDaYlUW+ePEPjC+F+OpuP/62lEr0+AfY4JmxHcyxi4Rltg0LMDtNay8kRVhlt0oqYrwEWNtp78Y6lz7kAnp00LLL15AaaGX+TbCa3gOqDXnZL9F1R5JUvEEVMgpU0obAI9Ag+DnuQzEjyWl32nmgf6btbNAL4DzAgs9RPY//0AY8WKz7XX7yHXBWidUh+APH6bKiSvTzKH36GFM+D+Nd3jujugWdkPh14QdV7GlmyF3Q=</t>
  </si>
  <si>
    <t>3bxCXgsaOM97CfbN1rp0wzYZjUT0JVFlgVXpwregUQEvKiJUPD4VFwASHDZxgj6HXuXgWQkXwI2cSLXklcrUAGaYix+Wg28nZR1adfJ3k1eCHecaYyacd+PlbbnuyS/wh5+im7SvkFFf9bGE3IYuWONdMS81DfYXLnjypnfi3UaiF4Jit20NJ2Vp5/5u1VJgldVADzYIF0Uj9G0J2ez4aDq4oIuKZwnYS8zStDa7dt962x6xm6mfFAg/ZZs=</t>
  </si>
  <si>
    <t>ANRm45j/J2bRQoMWEIQ3mh6GbA8a4s4qaFJgCY/cfzPaQAitFQqENB/EIsoGOsrIc9gPh+BEQE9rdnMkBzQTe9fEqtkhMzWeCXVaz1mF92hkZ8wgQTfJ69XWYzhXIse/LkvKkBNfqkzWUcO7ukG9Cw6mk2oBYDoxN0Hjlq7+Her/q7mOlrn970H7H6j6Qnx+W6nWPNdEQ+smBzufuDlSng0yw681Adrcv3oZB3pYwQRQrnyWpiLOJ7u9ozU=</t>
  </si>
  <si>
    <t>j9sSUfojGuh7NOXK6WXuUQH59CIDxT/PMfFpY76xI2C9T7FhhvGGIGqdHNdV9ow5f2GLtZ+jjAcwfKBpaf5GQxS0BBdNgGC9jJApeBEDEQlJvPwcFJgRO/mytQXKXfRU+fP3+ok//mi5lJfyZI4DvxmFU9LXWHp6TQFu3nv1Xj7jbYdLTmw8+iZiB2ov3WFwgv//HnsQqJVJ3ZeJDDrDqX3VwkVjKAGq9FiXFbgy3M9NZZ2tu4wRXEr4Td8=</t>
  </si>
  <si>
    <t>Cr5m3vSBdTT2tZPbFRdXCK34DHqyWB9F89QmshHZW8eCwz9R63P/tzjoBBieaMGGfSIXMZJqCH56V21mxeQGtNNq1ZB58eiIZMW4wVYg2Rsr6jBD8D5uumuYwkQzJcDGyt+b7kZIXkOLqnVSwLiNT4xa4DDUu4lA9Q1FPX883tBvhvU6IXXfGTV13qfVAzzTObOo3nemcpQN9qp0Er6IxqRndqgA/xcrSJLk+vROtaxT0xnlE7vIuq5M9Aw=</t>
  </si>
  <si>
    <t>c8FGRWzpZY5ul9oYrQywyDNOerdnbnZQiWSVvzrvcWxUaOm+pMmHs7u4tsoYVi39JroQsQn/EyxqHRsZbESvVFviKbap2I+CyOmMLEUBmBw7HDDQ51bBxTRM91GBxE9uQyvcj/LRbOHmvuD72zqpTUr0gRqSZ6VQ5wqSPrBFb4zNILsGAcUl8RmEXgkYYIzJdnYg5gFdz8qgfu0rvGIHFFF2FGwYyDDFgwqx13UilBLJ7bpQTKfNhYIoeBY=</t>
  </si>
  <si>
    <t>fW8ZeWp8uAHIBBu9MGk9HdlIQ1lzr8MTs1thWdZhjWpOwSVGhIydNK/CH5BGzVa13YUXVoxXNlSylLg/eHVD0LPy8dpTCRHKJyxM3pTW1eLCANQUqi0HLLBJDYNjpZOsX6RXH3yIetkOtdpCouKdZDO/teSrwAcCNc748meY/0zin38fd3TwUxZIl6jruKEG/RsQTJqegFWkCS3fwGBS46UZpBYhCCnDW6ULFmz5B7wCD97F8MlvJWWZ3uI=</t>
  </si>
  <si>
    <t>b4DZlXw44bl8KZy48CRwQZ+JTyMohvPsRtiuor1kbskxBQzwBDK3Ke38aDlbULn3m5GSY6wloaea007wMvKGbpFtm6bl9QmtzOTpEu/5uT2ehG34fa/mR2+Y+NTy97CzCHN9Z5OpPpGcSh6i5+pncdfHJFOxVeNo/9/mAzyqqcblBheoChGhjnT8gQ+5SmtTBKSfhSLebpvsnKi+ji+73pd5q0WF5ZQupioyj9SCbDdJbTswFgqn0QneDq0=</t>
  </si>
  <si>
    <t>nJOBBWEXsJiWP13NdfJIbCb8wxzZcDFp0I8rXpp233CUm+gTBob/HMRaXes/vonBKtIzANnf46b2cFi5/fHrmTJcgm0GNKDUnf5vntfCp7YUxp8/Ok+zeQ5SCNIlRsSQk3GH/IF2n2L0X9M+IM7sZg9PLwvNijFX0jqszLziyKedlM2tEYVHVsCm8lHk0h/iGkylDIHfJD1hdEmsbbK+IHYS3bCazHOpCmfJ2+//u+f944R/75bntCXCiXA=</t>
  </si>
  <si>
    <t>op4tnykC+B2wM8m797xfN2cwdDO4qz4ywkvy6QXW+PH6ifiOKGq/UzoV/4pw7dPagTL3or2wx1OHdGa35/8WGj9u2db5qMhrqLG2QINcbrbnO3kJOWEi5jih45o7JBWfCsLOeXEzp47NS2fgwctB9vFKnw3O5+FfgMHnut+Ia778KlLI4cToF53d14E6H722EgDOeROoLX0dIcilD3tmd1Uskp1dA7pP7GBfj93gU32usPbzvWJ1bnRK3lE=</t>
  </si>
  <si>
    <t>A2cVsc3qN0ZL+aq8QwAba/neTHUfs7LP3P9vBVwj68I/4Kpj/37MY4Fkpt+CXk1BN/d3mlLF4O/vsno41vkbQ/NF2ufdqoonCVMRPQDaSPQ7WNwr+3KfnwSImDQtMQ3Q89OlTSkeIeoGgqF4tPpsIsfBwSX+7ywKaf2Qzhcg1fsxtKVWCNenydfP/7edaQ7idEUV16asZlSW4XNVGksDj/0jKePGFU2fL85iqw9aYGoyu3o+t9k/D6w9biI=</t>
  </si>
  <si>
    <t>R8SPz9t2KrpJZKZlZUjFegFtqRH+kCTpLDIF/4QwDZYFv/iwlEQVwHZ8OkuzpSHQAMPKZpA9ByeaNAzp+kuVlXiFmhZ5MHCHrsCn70sTne7nFqKdSpAXaxn54269KDPlP3FuCRf8wq0e5RxiBJaxuVnywlKlf0r6Fb437+5IcRrT41ESFoVX2u6bVuZBZTF9hf/DZlgVq9GBVVWTnzQep0mnCO2rHCHrnbfK9EowGpY9mKlWVJ1QSnQdV7I=</t>
  </si>
  <si>
    <t>QiB+y871KGmygT+bBRX2NV6L8M3geeDMUXCXORzgfVMXVsPkPYMNsEV5jPWyUO38EdA1JCR1Bkb72O32OOYyJ5kRrYfcnWM768fQzHbafK2Qa92fbmnDgtmU5iZgE4jssRy/9CqR8M17XTdY/VhVn8sUF3nbGxK7H7N+Z/GrpunIvOD+FiY/qvY5CzfLNpPSCsy7dAD9zLZAHMrD5AYKUCzF38t2lZAA8etakj+oOuOePLXLRDrQQ4OiuXU=</t>
  </si>
  <si>
    <t>GQeau1Pc1eBKygStS9IkRbZ9ug2N9bIaA0EXDI/z7r3pA1Np1nJZMMlya6h3HgYw1ejMepHR7a1orravQWa1nsIfwA9TabGIio6OcIa89FdtcS1UoNJ7nI/55UyuUnFGvrk+aggh0HdqMr35SxolbF8WupUf43s6KxhgW+tpPkmhfVLXKIitEj/TGel6pgqSoBsv9bEiEh23KNpnlsEHf1mvqaEoNePnc/ud9QW/+yUJpEbpSKHNtkM3SvY=</t>
  </si>
  <si>
    <t>2vgxig6CRBkcDy958svclQ9lG5fTROc3llrtEwXMWE4GWjkGkLYGM0DLcfvztcw/8KMCevzMdLCZQ29wVEDBqUePtOLdtMUc1ok2Uwadj1bJZO6LU9UC9JAQi1shdXMhVVz9xSkRiOukEMPuKvAevUyX8D96AAnu0hIWhHqeKgKvK/Ngih/CmcxRvSoF27FzjU4FFeEA863R7AKAQSEQXWj1qshUpwLld3pBdHzuCsRJxd76HiLVvXbnkzU=</t>
  </si>
  <si>
    <t>XBbhBW+G5L1u7PqEMmVZZfO01sTOc9h7s9h355vswjjpKHDKMyferFMYjFbBXInl1AabDTtkFBmJHP5L8Q3OBdOmlyQEkejHkeTaZNymBz5RY6ye8RwEMDKGDufgAyM1qoMvYlouS27liyOwqKCDjc3WNlBclwbyvXlZ64L5OOQgTBHelR8Me3gF1+OVm/pIk9vj4yZPJ0dQCAKMXbxsQ+T4ayhhcDEpwbUqgBxWx0b5glle+zrFUI3KLFE=</t>
  </si>
  <si>
    <t>NRP8MTSwxuq4HIv8SLS4R+TKYzfD9t0laCn5qqJ6OzqGXFRXksTQMKDPY9C4sJznMg8ge8yQNRXN7bRnJk+KQgehCDyYDOaQtvpjpLroMXeYgbhED5PLu+TJwn02N/em9X/JPjJzSw5CZ1+A1GCjHybXbNyz9EqGGxuhd7Ma4wxVbbO1jjZQKoA8CS6g3+sWmNPv+XDA65d2Zyht4GIB+o31vN9/wCVzF9DZtGnSazybDtIR/icqygl3MmE=</t>
  </si>
  <si>
    <t>5JKFh4xq8wbWmp6BI320HkyiJHc02ycKctHMn4H8oA1mpGsRx4MORNSRBfmWy3uQoa8djpKknlgTvy9d/90GVPPfTfb2YrGed+iiX7ZRxCDlPstH7jSNOJtqKshTVmfyOM3uimMrCnDEq3g1WokPO2l/lgmzRD600n6g1xoQecWU/Zv+/pzVaAxBo+/6tCrAN0aS9/TCORakuHKFapcCVTX4hwXGexCcon5AK7mAmFlji8RyoIzqEGXiBMw=</t>
  </si>
  <si>
    <t>SzzWznP0UH2/Dys2RZ5X7qvnupjjF5T45/FvjChGT3A2SQuI0zxhhaTvUn7jXhe2FKtN8cV9a0s2Y1+9T5C+MlKmQ27IO+oSUtHhVlDR/s4H9uhgCahUYO/xew/hrbNztL1ZXAn3iA6mKCq7tdyxQiM5SrEqwfNIVkJ0ASJHysHBh/2bLnY2dQKgcq4kIxNDgCObR+yKcS2u40GWIIoMVFwGYQvfCLDJFy/zcsLFX9lhUafhRb2KYtu1BrI=</t>
  </si>
  <si>
    <t>RZvF9hV+zrJH7cNVy0XdNnF++rhr166jah4fSXLnpqLI/SMuvWBtfAtHYld5y/qhEdoG7IPhGWWWZ0iZooyopdqQ2frgGBKDtHLQt15szujm5mDfLXElS/wtjpa3E+hOPfXz0uQKa672vPqWhobGKpZogUTGCiXUczMGxQk3QCXlEY4aKr1bf7WiN3yeAYPPPc28id1bRNY+GDOMUuw7/PoA2Em8jxSNGA7/TIfntDNbpY5+1rjHj4WvgpA=</t>
  </si>
  <si>
    <t>xW2IKMZZ5S09orXHJ7ZoZk26kPfCzvCUG4inO9s0l9ST/exIYaR90W/dptTFvfFDec7clf6UU/bt55Y4fBZTdJLUO8FYZZkTnF6e474q5YKEuHUXfKY2beVSZ06Yi/D6vnTlzJ1bkkLF6FzCCkoaPC2KWiEpa0Zl0MTLok2pOB3i4USguKSMLsO9JXyLgyxc++AaWqdq2LauHMxaMJ2gO4rv7rv/hQKCTGa0oVGyz3yZh4sVDmT7V+PDtg0=</t>
  </si>
  <si>
    <t>aU1j/iYpZRfGjlAPUDVHE0Kt+Uhg/aEx2apkndrFvKePiDLgVGFWYdmbAvDiPusJ0hnTpxA4TqttB9sJJVNmp+AtVNNae+l/JRTUAtGvA/sa3TdbdaRXYn9pZYrc4D+HvMdVujIukg9MRXvARAQXfItxOuxpTHWYPoufnOhBw46ISJl/i0IfY1T67gniktycRG+Dg+PKXTBdQqdcs5QgMQYvKBX0QL6Ut4NFTCp/AKzT6F7CwWAu3J9eG1Q=</t>
  </si>
  <si>
    <t>JjLmicarpIRE/xnFsl1lQxRk9ZelObgh3j9FPukS+4iNiG9O7jtC2ZX1ryR7l1kzu/ABvNdhIEq4eC+6Z39qEwBzQm32UTB+kj4tScuqDae/2xNB/wXpiUvbmcxA3zIxFE0KtyzObMMvDSsO1uDKu+QWQs2xBBidzk0BjmuCgvJv60X0eVXa0+6g88iOCbb4/HusttdoJYN7QL5h6h0qi7mz7TVb5FQruL7ibblL0bAIkjl0L1Eq5s9RMlA=</t>
  </si>
  <si>
    <t>nnFnrlemA6Dfta808dwS+HwGd5e6pOEDOs9lYaWU6mVGhzRMRJ+PQ1KTIYut8z4PnwOGKs1qCWirzNkVALRUzlO5umYeNg0D8RsU14hoAS7fsh9Kvi1DNCg4UX1Oh96Cd8EhPZEPQSDNa0YxBSYNAzxrIDScdayiLGP9hsTzZRPYRbpYp1J9QfllIFRgO7xyCXzD79LyMOmfVRAP7uApTWWcy4GDPmOgOss8sC27viNaelfYbRZB04dhErI=</t>
  </si>
  <si>
    <t>rjK+afAoCPCxbBkrHMdRe0qn7UztGIXp+JRVrEcauUcgOFl2K5pkAWmGRAOPfPaMqQGBz0TCdcSD0lpxwPiJaUVel42jdhCxFvS41t63FDg0aKaC3AS87QJ0LgBj0ltYZ8SplC2ma6xtMBz99CqDvthsOotVSU2YeQwU+YqvK+/xCzsbwJbZR3I7Y2mQiipmFqXOAkZAfsenr7nfoCnib0T969Eff2sJF/oFjNTWUXrY0Pz0z1QvFzNYTpc=</t>
  </si>
  <si>
    <t>JA1x8hXLcWy6LjC3x+BTgaWVXSsxgyavwVw3ScCXM2fEV/vp7Ba+z93FGxPvMk7niix2IaXoSoljv86KT3uMy+7MOcqtJgJG7+RyVUHwoaeCeJ3XId4z55K5IeCVHjX5ja5aWhm6BVCRxhPZTotbDDXJg3ZT7BQ1Bq+egEolUfTmMD6GTzxLTUAJppM+NSYIvm0S4y54ltoTFWJq/i5ZZbMLRKiAS0zr4Y0C/zkMXxZthwr/V9AnOW1rhaY=</t>
  </si>
  <si>
    <t>iZEkSZSggOjhi4F3rrvTW/cdWMGwYEA8CnKiacemi0PMU4jv7AiDTaXY3rHNSguuV2VXcxVV+O2f3BWHdowCroS2sxnxbOqDB2Hjl86C3XsXGW7fbgBAKRcEJGN91MbSAgsY27QgdfZ0tCVPi9ZzVlDBc6X3E4CfIt2VB5qVEFx7TYYxyhtvqPAYs7MZvm3BB/RIzz7L7Xd4vRZJm0BdkZvKni1FOepz2yaxp1QC/1a02nNAYpol72bv2qA=</t>
  </si>
  <si>
    <t>opXaOx/y50Jcudj3o+AaaCsQ99bpfnxtS0Fxes/FWt3DrfFu79VMD8mQ3UZC2RuGT4Yn7Rh4JwyVWMjea/hJwML128egG/AOPMQJIu8i/+n3Mq67KDzplY9r4BSQFwtyU5wg49xBP3WuCWaKTdZmZeu0uLNSR6zlaygy/fH2m6HhbrP56EfoxfXK/y/9h8aksGv5RKvq5J/ZjadumrKuKdborleksIAozgosnkRjROjRMvyAANz9x9lKoc8=</t>
  </si>
  <si>
    <t>qXjhVbnGFxxL/okDlm7rJ/FnFy/YxYXbIwsQqre4mB0fVrB2YuVr7Nnz2o36g+eIaBUtUSCC6qttQqmFFFqmlyFkuCicpEdQUyYYbzQD6D+ocLEBIVejnDp2Sztfl8nHWxopA/az2Bw/GxzmvpJvUWDIW3yJ9RNBJKstVeY0HlUVI3+NSYr0EnA5UW3zdCBayI5lBQul+znnzpblTQkl4rKKju6Kr0vddiCqyQBrig5LHukvA7Qry0F7vlc=</t>
  </si>
  <si>
    <t>g8UEBwFxnXZP0hrB090XVs8RYlPvt9qWJTH+PvEL1K+aJ15UjVbQE6ykuHHjUrMswVtE/4yXTWXBtZvLVQHo44s5IVZliKHAbBXI9RxmChTbjnZ1iwk7qu5k8Oi4u0T14HG8JK5LnQ5mZPNMDjpgNYqSNY14nld3Y115vi/Ghd/meFc5bAYlQH9izNbDXP2tU7iWeG1JY2OIAF9yZ0V677Z2m6op0JBGS/tWWXvv/9+6sR3FAQzFQ16YlB0=</t>
  </si>
  <si>
    <t>XU1TWKYq7aNHqxKY8+HFAnQcwkLvxGbKxF/xjD9txtAdd9z5kS3c5uBpUtvGmOKJNfD5GpgwIZ32LFeHFtyoUJxGHQD7O14RKm3ACyTdg7vU8giLNxp37B+3/9F0tNHyNAAHjtMDIhoOg5R1nGcNledOxjY6iLR7QhILcT00KIq95to8Uk5XLQa+FNjLS/JGqFWnUFGbGsamiQL4Iy8NpLxaNP7GnNNpr+hU6EuZqGAxvBPbfgDHZaS9AbM=</t>
  </si>
  <si>
    <t>V+x50IJ+osY+b3YDVWtJ6/mMsl+sbGyLx1RoX6x2rs1i2/RYcq0aS5la3v+nPBhjP0EdbJGoepBEX0/xwFXJsqM9jxsZQiblTr9ZdQMb6zyzYImu1NGVj67STlcmMVzY/+3o8I58+fcq3W3dgTSELwERcuAWitj78Febchh65sH5VwgDxofIYGRvtzl3R6ob7b1vb3kCrOeT3OKzN/M6KYetco99VsCm/HwYOYZNJClQbMeTVG+Mtyw6Heg=</t>
  </si>
  <si>
    <t>re/5bKnEEP7U2Y6FfVatcC7t/rQ155LyzBgF1RA5Snpt0mztuJfdNlU9gMMkRlL97kG62+7RlIlz/Zt4aZY+REH7r8w1LdCA7YwOfT+lEEpNbjM160sc5pzYBalf2iGvqfb3/MKxCKKbiM4ko5TAcAG79BT4BDqkWtQEJdhnMabpjxj3PbyM03w/7FKydi6IAedipxMZH8rOhIe+lwQU7tnmbBeuLB/cn+AbXljH3fqYoALpPR+2loBaFXM=</t>
  </si>
  <si>
    <t>jfsOIJNclIKgkRViEhEFdFWz8gWJTFH/9JcxmHjCnwMviTqIoxwTHAtACWrZZQlS7L1Cdsdz58yNAdPL4T7nC8jjLcdPur1L/8SPGJU1rwl/99TbDMnwxwYbSjIcj1zP5d2/R9BSiwM2Rj9vHY01dkcDEIAe6NeHDeZ2MzTCY0Q9wERMUOmvz2pi+HDu9vo32lEFhPaNLYXwE4QpA7wx1YXdBAAA6XtA3G54Nn52BJd1JS/kyMMMaLXLIH0=</t>
  </si>
  <si>
    <t>wVOjfl1mK7rYQjYdt8Psf0Bb94tlDx8JJ9q0Mivek/MY0+b37LRyfY6WyBc9qMHMWL2dPi7k/zgaWb8ZUMNzvlfdl+jBdZSNcurWSTYJ6SM7X9A5VTDjKq+LLDKskwMivrVqnqK7B3BwsoWOJG7wxfoliR3BQT9myDWk+RPlnvysbBF5/ht+p1VLSTc/g8I0AN43DocKZRfgc0r65PpDXVMMJIaPiyTVbWjE9+AFVJ09ZB3gW7MBH7bObZw=</t>
  </si>
  <si>
    <t>fLokOUATcnkHZzSXZHsBqirdtYd8PeKbJHxO9cBnEsPNb0VKrYNJY/nmdk3IQvpusM69u+CEAVbKK0F5Fx0Ax1QoJNU/demZU8cyZycQGUHdJ/DDUDcHXszGBQxoqQhYBzvIql4qKil3G4QL0Kldh9nNKKTvKNNFLzD74tKPTkaRbJYjkixlv/gUqZ2EUUWvhBU+fygd2xOe1plxgzo/nPvpv/ZR3014wQiHs5DHzpk4F4qpp7uC7aGkT2I=</t>
  </si>
  <si>
    <t>xpOr8zQyue1qzESOc6ihiccKHgx/LH3WglKCZBAtDj9E/CkOqMH/vInJBpb1sLSn7qhv8qm4bhwI/zEXUNxOAR9h5WRb3xM0DW8VGHV/2Qj/DsQuYMsGqHwoZ8hClRCajes8ppzx9ae9TpObxykbV7Xo8eLl7zGpiY44kV9JE3ATkrBaL8ufA18X7g7lE5BEu9Tm5Y8LFgJTYpff8C2sKyO5774GKTjQeXpFjyPkYOP9ylSkFM6nWCA7m/Q=</t>
  </si>
  <si>
    <t>6lENtpg2K4OQlPn9QDyD3DtjQVIVh+gEgeP/eh5Nhrd9TppnT+V77tEr80OfmFMfq8nDyoagfoxRKV/5eoZLoZNiBUXuE4diQhC8A5iYdNfk5ZbvMdR8feWY1Mqxh/2T8rMag6UIf+FiRls1MPAVeQ6RXx6igKw5u6GNqs0c+ssWKbt60ksqNhsKEVtcIgHC7FkP0E9CUsEOPVBYeKnA5CysxIrXKP/ZFeha4ifn819jXrruraPy8Fw66Z0=</t>
  </si>
  <si>
    <t>6KQwQFZSS98nN16T+Thi40KNMeb8Lofsc+wUy0MJvltgLhvRkPK1CU0q+AswrDrw+aRBsM9siHiW/wkPl05UhoNdNIrfFh/T4w9/+LDjWneVbonrI6CETiAYfKaR01mgKOZige8Mu4D76I2S4QLVwm28X4quidaXoo+9VeH62mNOu2wpJ+kYt0Uw8itp88LfRphSyY+exh4+kP0QBtkjP140UQH/uwDDz/5LkL+FeRB5yX9yf+9BKmKhVuo=</t>
  </si>
  <si>
    <t>rMx5aaBZi3oXSABLHi3lOKgawUihfvzyzldHqiUYZv227v6uL2tPPtJB0/S24LUL5zY0A9amw0ritZwweXN6juJIFnnl43s0MDiWn7VZfPU9KDqlDqDhgr8NcY7fyvvo7uEolnmrC7SVmfdmyEeZF+G38DOsee8fUBEgV2iCzYAqc5m2Kqp2fAc8EM4iR0IV7NoprZ1H7wkRfhUitYQDJzqcbrvTjq5qLGyJ0ql5nGloJlKhEs53Vp2fEmk=</t>
  </si>
  <si>
    <t>FmSzt4/qQfhVHnD7AZ43bGBWApIn6DjByRksd85DSPXBGIv5AEd9WIZXQPgXYnCmbGPCglUNBprvsm34rfkWAxRAd06VLCz/b6J5o7v3cmVRTvpvewF/8n3KC/+Uq7FYKvIkX3LEWnA+KC2GhIKHgPjvXckgBM+GK+VIEdUB6uf7EWBLcm8WW0Dbs/r8JzPqoLzpXm73O+Z1tL12spxR3Rtjccf45f5cCMIA+CJ3GebRA15vh2OAfQij/VY=</t>
  </si>
  <si>
    <t>n1E8wEyajvJANVBTNGq3r88AtEGS4FeqRb5uaEc95ErZsH1uYjgMhz37o+/K5IVQZPJOmMSwH5UqfAyYV3NdkS8iyT7yS7d9AKrII8dEAjSaiWy0ZmiEfyYJZTtNJtVNDQ3hdvQaKmCLqx80ynZL71z5yogrhXfx0l3qdjqgdNOCO7yXUDwxl7rW6NHVMv9IW3LnWaL8maXR/1hMw/jcuurQVWIe42srp5IW5rhFJAzZoPFv2CfG0f9lJoE=</t>
  </si>
  <si>
    <t>iOXUJuq0AKvh7VL3HlVv/ndzkwaaaNcDnFhv6ePFpobSQ0kMING8/4PHNr6HudsjPAeqU5QhH8Eta5ShyI30PDkp3KTH9q+vbaHTx29hKpyUoodBl3o4eOGEi19silmz1oNM2GDB08QeVfg3Xw7hMYamo3tfSWwWU6fnprHZVPIqMnrtzSHx3oumyE0p0/gz7veLdMpjul8gw5r6jY7jHC6hqHgKN3xngcf3lrlNRFLABN3vdJECHo/kO9o=</t>
  </si>
  <si>
    <t>iWx6sJDOjoqqZTA+bymYKO2Senf5Qu3m6YCPd/Q1MSffZHcknFKGjCBcBXfrgm254750+YrjPAyJbJhi8MM0SdcpQUkkEAVzIAKxMU7WSmNzc66XYHkWZRp8NT/332dnx9Zbs4fR4QI7ANWoHCH3Wy6SZDpBXaBrEmnCk7c49hBUtsjVzMIKrxKPDaEjSO2RCBp9E1xCHZVAYHfDPW51auKnW1jph1W9lrb4XDTwdWnQujyQ+aZsX4Sr5fs=</t>
  </si>
  <si>
    <t>/RJJyur/d/YsTHWu/f2hxjtvYYeJ9nW6HDMUP4m3jw/4aCfK6YKWNKkHc4wIyvLoyLSDaAbj6W2kOUClv7eloHnSVAvpQD6eoBOq+OEifrFbyHnhXdJCmfI4uqemxtHu2WUfQOB70C8BVA3nTr10eZWf+zPDRrXz6dMmOql59b4CeSS8sFIECoIqceYm4J5ZmtAhwf2f0RKYFcFSXtbrDqFJ5byrmAGTZiYWSDknzGrfIPOU9RsoeviyXTE=</t>
  </si>
  <si>
    <t>Am9I3+CRcKZi1foe8vZK7tikqVFRRMZ5Rzr9dKeHstu3giPtAJSlQ3rX5VenMjI+wSSgDrRfRdc7W2iW9ImBvriN1Ut+mMMK9OrlXgZDX/BHeWFj7f7Cfe8l4L8t1YFjycFzhMih3uTLG0Lulllqd2XBKqiTo/NL8nf96tYAR/cJGmgczKvyhOcYr0Jq7HClABCWtteaUqA/hWlJ28Ri/PLNXh5oYFhPWx8hZ9PSvgROubY4VVDyV3PtH6g=</t>
  </si>
  <si>
    <t>NQ79Nt0l6g2Ti67pVnkzhkXttGmY94aXnQo3I6bb0sIH6K/9up8N+Lb+WRttYZx6A0DIybbjWFn+eeM0wSkQeBGbV0dhqcy9BWPAiE9P4rDKUe3gUDW9K3P8yp4mhKMpnQFL8VL/S6Q+cg5rOdvJb4Sm4yP5W5y+iI1ukkttUlxI2hioadDdK7sHFNXq3qmmL12j2l7szs1HOGTpxqVm67ox5OxGAmL1ErJPmbH0ZjTYyk+kZN/hb5mFvy4=</t>
  </si>
  <si>
    <t>GMFBU1yknBzukgEvQ+Rnp/afmSkQs6vgC47QIbYF/HXnR5ADIbxaAyZKvo0LHUnYr7CnvEtxNJ7F7djMaHHEWfYWbHOCInHRrS2pE3qwoogG0QMBnpmlA4UvrAFJcifkqwXbei+fkp3DhIOnd+GF7jniwuR46PsunhTMW2aQ71coJ/8JspXLgiNW8WtKWD1K7M87KNErKoIrgZ5GXBn5Xvn+G5WVa1END96ZetjITyS0Nt9tRSYKLFGwCi0=</t>
  </si>
  <si>
    <t>th2UPjpsVAmWBj1ps1p3NbID02nDBERWV6mKK6ZMOSMuYsRdLqNX5a5JHjCBHPBSKhUbHrcirUPeOJAg+6Rk+uSr2ViHZSbSXuFxjuRoLf6tK9jB2df89C1qHCpjK1X8h+MfuiyZNysZ7h1tVFEtXJFOfAZW5n1gMo7R1+gzfdjNljN0pEV8IB9ztvxw3RAScIP4PiuEr4rahaq9z4IdvnmBqfp/KcGN01nHTlTxn6HqhwmNKufO+Q8CWI8=</t>
  </si>
  <si>
    <t>Dd2SmivsOUPXFbWZVspRlOmeMsuwKUgGCidzNO0filmjqrTklUvfScm/mi0duJXNwHeUOE5EA6nwAE3YFo4tfXv7q1Z1CHyQOApN7jnwn4zWZHe5XFEaB76j8f02g6crf1aDVh7AvlSCPK4mmmBYZiJgpD+k3v4c+0u1rsf/yAkHZi9nFIeLIFkjcsIJPWqt42G3a2rad2LaPgMJj7Us1rPctqjm+NMMtPnvDVwAe8R/ARk8C1S4EIBk28w=</t>
  </si>
  <si>
    <t>dEJKDb3Cx91y4Xpv+MjXtleMqIplhVu7m1kFF+lzBBg4yCLW1ml0IblzcE4Asmp95YecwTaCth4t2VvHked0oErfJxVUZamccQGuVyXTsdBKamWqMF+3o28eBDj/cEosbdP8T9wvcM6WEwhlWIZV2N8OElHefmS4p+D4FUkJLxtYQkfZtYKEpxKd1i4MdRjyaEutyR8HRYPW0xHf3dOxKQPWveVT77fyp56DPPx06lDiSPgCyLBN/Fss27w=</t>
  </si>
  <si>
    <t>LHQ8fJ56LWbl9ORkQfT387Aygd+KaXtddgVtTEzyEDtIgwfLhkSUdqCx8Go29hJAwjtbfnB+ChSQW1jbePan7603x9KhSzBWQIalMOcD4KA7SULUfFHbY2ckVwFjGFyIBQuG3BsQT943eeao+bFpyZ5nbaTHVkdPfhDiadPj4AJJyUAKNNBvdVAOQufTLqznl/17QbAOiYN6YB035pbSI/aZsv1GN8k1H28Snd1YVita5bA22wA5GE86KW4=</t>
  </si>
  <si>
    <t>WiIERT3CbguWmvWbWHdYAuNttRPCalxpF7Xow1Y7g5s04FAgxGyHmPzbmokSYx9wOnlCwPYuhDINmZyG3CDWg0+DOnUZQ/LnX1ejMuLdKpVZyxG2QicA8+k+foFnaOyGMjV8v1ZXF2T3+S8Q8qssr/VvDGQ4/gRLM/zc8X0o+f/Slr7RJ+p9vfeIQ7xV2t+s2m3yNF0M7W7x+o6TxSOAU2XSpWghmeG8eXOMiU9nxS8eaEeUN39WeUiH2QE=</t>
  </si>
  <si>
    <t>X723NXCM0VE+r9wbBfJVEL9kZ43Opui2KiugT/LHoqb2iRLzV1U+dfOrBvEvHOx+8Wxxnf0d7GNL82KRkoi6phwAC0AHiUhVOioaDYyHK/2Vj4OUwcfrQsYi5VPsNR5rO86Sy7jKFQe2BrcSKCyFXyP6f3vsc/Ge0k4rgnJhiJzkcUJUnNTswKVqPf7ddtL6gJCjf+b082++VrmVbVYS+TqQZzQOzx/Dn8urtBBjD2VdgVrEcjqROJ9V6Rc=</t>
  </si>
  <si>
    <t>yHgp2IV8b15XW79fx0shl3d2Gs9c8WMqil4n055Qibm34Yw1ILw+uysdcpx4GbHIMD+uCTZkDSpl3HhgQfuYEtC0iwGRtbXP+kH/nZfSAfAc1M4T6pfPzvIctC6oAUsT8HHRiAIyvFBCInY9x6MGOKM4tq1T4I/YS9vtT6caauOOLdhhFtInYIQuipUZjT66VAz+C8N1gHQyLHbvSpLDU78B3lm+TE8ys5vdpWjUtIv3/KG8RRaSJv0X7Hw=</t>
  </si>
  <si>
    <t>E1o8py/LN2BkSvByuVx79sdu08kwXCJ6QinOKSR3LdgxfHPjzvq+wpFKPgJNaf8aB2VX+ssab4KeWLzoG8wryl5hm8PBlQYLh+cJICGds/3WNKBeqVbPE3D1Uf7ltf4zYci1s5oh8PSEKoGLCt5m+5BX27WEhObrVhns6NUNT2c+dXy9DW0GUsboeBEofwpgPrZW8Yl/bd9dPPbQrj+sqyZkbQGx+WI/8exB+jIL6HgdSN0Ux4S2zUIKXOQ=</t>
  </si>
  <si>
    <t>AL9ookTllxqPJ+J3Xi/vHXii8DN5bawWk6fOEqpB2PIQ4RbkSZzYBdy5q4mfomDcy0aH7OGfSqPH+2hFqdgPqNMj16PXfoQJTQwY6U0e5XNcVjIM2BPT6pKtxRfAeuPo22O+VjWpgAQbpFQ0iqNo/H9MpwfUE1us/b/hRF9ZnxT/j4+Gy/5vCfipgh7eBioqyZ4mVdnT2AGhs8uMSfXzjIbuI67sn1TbpkQLBiyItzJ/46QHzIhqZmAylfE=</t>
  </si>
  <si>
    <t>QSo8XGAYB4p7ewEGYqBOX1oFtqLGfehXjK67H5jwCdjRg7+PEDWkebVUZeUcFTuErsbDebO6KCox/cWovKDnJk+my3OxMMJf8mLNPn+Ua2QXJ9UrxdD3l1OMAfj+TUu6pVwXgdiWvRhboR6UnfMR+DAgGm5LfCuWu9GW/Xt9pq7HF2Kw2ekS+UJSu9qGRuWovufve0OZU68WINKOl8/c0rkTyT6vLkx0FilS9AL4H7Fv5fmPHFCeGiUZ8kU=</t>
  </si>
  <si>
    <t>RRBdji14zjmuRrX6FOVgADZxDGOaFEkzz5/3At0NYTKTyDvB1KdcwmlvO3W/GwaJru/FbtFWEpDZ7I8FK13v0jdQYWNwuskUHy6adWFPlcqCMIfLhCYNTtg/vu9Noal0OcBLfsjwyJyGR8CR0PPFIrprN9+KYpiPjdpJIYcz4+wosqy2I3Z423ZV1uvCe1+u1EDaj/b5mJ0LeXN9z//kJTLrpFeEpR8ubO+ZjMoEXF1qq57AsmMcLndDh0I=</t>
  </si>
  <si>
    <t>6CbKvA89aKABhf+MiXt+6f7yyFzioosV8y13fhrlnr660Sy71cdMnr6JqEk6sqbehEJOyxjGHPtQQ1cPbKi/jCzjYPsvIXiLSvDu2OCgxofInj7/SGhvmUREDyylFAHFWRviIfYh9AlxEV6/B9i4E4akldPvYQGOmK8U/kDt6UEbhgkB6aT+/1C0x1rXSoc44mRwNINxq3ve39NQalsNcN/v+5oNhWatvxC6kXzeegZs74480sEmiH7dfJM=</t>
  </si>
  <si>
    <t>j5wYCv0lniylCgm9uvLOJgosbLRPsC8lmk24Tzio502OLrnRQayE09tHQxNhWNUoXjLGYyoTyd5BsCPmEQjAiC+VR5D3HblLeA70Wb2HQhdZMH5Brna+FW+NwIkV/Bfsw/cbWERSFV85O2mf47e/nAw2P81PUbO9vyZ5kTFSIGOUY1OA5T7fgrDFi5pHL9Rk0/R+ASbhXmsAzUjGA8O4DlCDrdPN+B+xESWlL8K1QMMA845QgfQA9ROymko=</t>
  </si>
  <si>
    <t>Ye/CJCHJx1ItOJVdn/DWKVNOxNvvARe51aXQjuHPQcR65I0gZljDE7Zxm+szmBe0tm9ZH0RQUIZ5qmVVPAzoIcKclrkJ5dfxC3ivGsM3ci3a6lPb6RkFF0Tw/DcEb2XFf8cjsG6uFQN79S8/Tn5c3OPd4/8ED44Pt5SDhCmvzqaMqoj6B5GpRBQnA+P9gl4R5gdYFhq0fJJoOZdqLPLWT0Qg0BjYqnYU1ggqM0TS8QSoliZnGnmg8ANm4L0=</t>
  </si>
  <si>
    <t>tftQIcL6BxHp5RmEdDmnkI2h1nAbTwKtqXXrvPKF1kJQKfKGnCX1/HKLu9SfJvosVqxkjP0HP1whZHkeEURDH5//jR62Y+1TXQtdipXNfZzs7eUSVBtg0O9WviBZALHLulTwfFkM3gZ+rxS7pACaHd9YdPrhPo3bLkSrOBNV2JRA7z2EdZRPmvgwllVwlRvsv9t6nE/+YefV97gDN+FtmAnzwVj/7RS/YConaZfjrmTud78+WISQYjGb56U=</t>
  </si>
  <si>
    <t>VQ1WhLxI9bqiFPupMp4sfD9R5W5M+vUNz2Xfw6SCX1jtQLrCWXMPQq1QFpj2Jlp85G7OjW8QTqAlQC0GBYi7rz6AoNrSI9zvDi/aC4tAWYCPqVDiOZBs4z0YcmvlMlPLRDA6k/7QKod1Tne6BrrwBK8238f+Vi9gAFJu9PAZKtz0FmPYST274c0lKDu0xDZLdRhfGMsN82zvhyelRfd65lOY+FTSMufpI/twhCg07kT7uJaaY6D0CeuQKYA=</t>
  </si>
  <si>
    <t>4KgNaQnHxJTry/Nmxq/p7u1ed3QfcwEdoNS0pG5Oj1Fu0zyZcKKp8GAjKrso9kzL0tDvRxQowPd9IfaFDP2RwQP+Xazgu+hmESw7tSVfU5zQ63l8FfVDuRP9jR39C+fmFIhJy++wFiQsyqP5pGsGjNx4MExSRhUPhIgrZWG10V/nWIAVAd2TFImWauYc8+SDZag33moNcrtx98LJlyphPR4Zn/9Xwd8RnyxBfRJHOcHd82vg3Kfzb66yIvE=</t>
  </si>
  <si>
    <t>pUbgR4nmeoCm9LwdzOcPiO50kQYC2obo/OfipYWWp1gqkVYv/l9OKZPwYwOwCRv+0yWqkXp+mAb1h3Ux7xj4ElDZI/2S6G+Sl2ERyZXewOSoTC2ys35hxr2Yv4N3F9asSwVM0RlwAylnVsB+vY8J7ZOukInT7Yam44sUrK+hLEYLrdCKslvz8x8I3sVMcZjhcqW9btI+m5lRwruPCL3gTAwKWhRP1wZjlIubiBHNqQKIejhtAqVRaC6qRCo=</t>
  </si>
  <si>
    <t>Nlp+Sa3iQDtlMbzWEKuQMqpLu6wwsX87+tegmKWdYWJQoROLtTt3EZV2Tt5tHTpGayxP4NVG1Gbs39ki21Y1rYkL/0LxnQCiQ0K12HW5Qd0xMqA4j5/S68hvFw/A0RDqqIFIRewFNozyFit7By8rWAXu2bxRaUu0y8LXxJ2U1UTcupCGdx7f8PeYH+eLFAWLoP1tDKCovfitp466O0L8k8o8rxaDqimjbpF0/GlM1EKLFL0/0mey/MFEwco=</t>
  </si>
  <si>
    <t>CO0Vz3+hsquafKK7zQHlyk+Snb5UKdDuh4krOGplILuOC//NRuRZDFb8jICvZXEzTfpodcte9rDVB2Ll6tUU3i4NH9zNeGrpfCPxickANULgmSTmLf0HSHnm6GvK7YWJDk3+jl/khiVl+mDWMBiqILwl9QKOSEnwdC3qcDXQbqVba2KsuLqMxX939Sz3vGkvYIbc8dJywa8FnlHFfd+0isq67AkwyZp/DzfqQQ5pEibVNCP8l8xbTRb0XvU=</t>
  </si>
  <si>
    <t>wrgd+yVyBW5Rh3FfVRaVkj26dtMB03CnQkj7NkXdkh+y0G6ejbXW6MlEe27BnJUv5rRcADhLRu//2IB0vBUz6Zzpv3KszKI73bxs6zeF5rjQxHlIamolRZi1r20agw6eUm5nYD87ckfhWmJMbEDzAOpcoeMBE0pSqHC42ahmGCs9I5oDEXR5LlGbr0qjjfAGxKRRDkafJG0s0ZDo4CXPia0m9owttT/nvZ+dmm8fitABzGa0YqvtDoxKq3E=</t>
  </si>
  <si>
    <t>qcVCYpM+D/nALyBU4gNoscU4NzipVdzcmvsCSJ1dQsoITvlEonHO5v1HD7tceVLyjLItw1jwbLu4PIlh3ZKFIcQMuPaUQw+hx9hU/2Esl61K35WGyy5RH7s/3b63+KUPX5nyokuckGx8f5krbJFygssHM2UTffo5YCSfezD+/Fhl5uSbtPqe+cMswRWsZhFiCR4Zfk8lqfpzdUJRFhpR4FfZIR2C/vtc/ElebwB+4P8ykE6LoQ8zzC9tV7c=</t>
  </si>
  <si>
    <t>CWX6BIjdmDCapJh1NHxk56rrohKQvdlPaCf9DRXO7WuvZMemV1ARevlP3onhNobqYI5l0kTwKYyQQktZQSgnioFNmjoytdKVu4ZU7iXmMO8NDQ56AwB40apCZg6dURmYh4coqJCbfEMYIUa9Wo+eHXy0cgMH/EMzQ1DvTFb5L8Hse5qlPN4Q7/+yJRJRigBa7Gy3qsTLH2fHPDQZvUxqK1cImQmrIX++vaZ9pgAkHzq7gRRBrfoWJTCKUdU=</t>
  </si>
  <si>
    <t>z2S6a6yFxRKX66L4h+eSrEIWqXFqljUGNG0Xw4Kbo9ovSgcZYAKi8U5FW6i1qZ/oUl0Swjapx2Mrd1AJOJjulgcP48nxrlnZAp49KnwGjaC7QFTBiiRn5qd8PNuYhSJvcjHsg9PnJGnVzMS+B7dRFpjT+ubDwwlPyxIO/2rviAzEO1JO28qprNZDjuc//8aG1z5Ugzp50mnuwhojip3wXWvc27NWZ5jUY4Sy5lBL/2SdOh/tVMbDrfGWUG8=</t>
  </si>
  <si>
    <t>7EOOj2ZfzwW6qthctk7tbWJ74U7PnQeGKAxutbJujZyHGQpSsmYdlTjpHAK4vkMgC+E7xxun4ra399ZC5cw9SKmwepKMkrNKsdV4QzSbtsNqWsAwikFW+l6mr19EnugepsNLVIquZWNyj1riFmW9egVYsdt8uWKB7Tmo8GG7aSysJDzkQibC5Knj4hChAcjcqRgYHsOAkdkpR45uT6x12Rf43ptLxY4iqZ9amorWF0dp5/5e6ujP7dWC/n4=</t>
  </si>
  <si>
    <t>tGyuX0VDlsR5kuCfExgySFPpGCg5ePsSAsmP7BiNNk4GIJaJzn2kV3jToLybenMQf884e2y0VRn7dKEfHXpsB38jKIA/CveZ/fDbvbF7kis0H6KSaqWxNqTzUhgS1YqRdPhBnQrhldQD2Uo53WsVDElPerjzU1LuixjrgOta56KT60zgtiSW2TvFSDBeX81xCOWPL9wApslZutBe44F7Zzl3VXlUcXnTTxFi5RFTx6dvcEu9DUVWyNOqJIU=</t>
  </si>
  <si>
    <t>KpRqlOVgt+0H+3xMjBu2xs89aBjWPmsynGjQjcKKN3DgtFPXZhXlQTX0ctCCzBUiW1O61IfqmjsWGPTEXb6+I1Bx8NzFihNBryC8BP/HMoKy8B5q+d6nwrmzCk4FhBKze0b5xIY3p0HQyloBAbU8m58WAk4Vl7kDkW/aEhmW7JByPUglkIqvVDU/MsYPLk6tDzy1nPA0j0ALQKFYOG9GVy9g+ezAWPrXO0W35vsPS2UzJqlfFH1sq34l/00=</t>
  </si>
  <si>
    <t>h8DyW+e2d6pgUTQ4xe5UkHBCDuNjcouC+xz9c+dkboFhl93SBJEd2RDOlwp9YzIWi4XJjDy92bZnq5ny0pNc9KJX+zeXArkn4bEMOvV46xGBA8k7Qk+tyWOfPZ/HCcRiiKkKuYtlE3DW/V0pivKRFQxrTyE2sI71U3JBZPSrocyigs8+LDl+lerNLeSH/ZyUrwanLXNktzTA7NBeuSUh2PzH2VK9hqidiIPC+GObOObpiP41IXeX26c3k5g=</t>
  </si>
  <si>
    <t>VmKqmYTZGad9Q0DNAV1sTHw2JOi3Lyo8vSxh94VEpu61Ie750ZVgd7cVYk7Qen+/8Um9/GCWxtHT0VKDe7TFYo1olRQAqLa3UGP3hxf90LAXmJKrLACwXV7eYo98+HQFzUU9ZMmRgMyBaDCE+6dIgU/mFkDv3RbPeT1L1WBGZ5zA1S1JqIuSnUdD0lx1weDuxj+HdOzyPEOkto42112nGo5ZGbp2HunVf7IcpcGTFVGtE+xwv5gFoAEo1S4=</t>
  </si>
  <si>
    <t>j4soe+ag5URA0Q0cH4R7+7EE5SyfFJETRFCSwOr/8E/EtHDTTMCvHu9oXcGpm3bsq//JsoP+tBI0dL9OF/XCAHglHmP2Bw+G8hsoPa8Qo9N0p7f61fIsZOWS6W4IhlvBmKxSjXpkcdjIjvQQnurEe+3Q/Zbi0kltafE9ZMUdlvt3E620JugCnqBOXnUlTI+lP8rK5AWt8QjmHwaULK4d8ieY2aJJ9VAI9/IwBi3/CNMsxxMKt7B1Finkf2g=</t>
  </si>
  <si>
    <t>H+wLpte+Jq40bWhsiIi4qVck9+6tW+RGuKjFUroSdkeirAnPWZFWlvmHzGqeQBE6v81FK40RQuaHXv3BZs1m2AKr6Ohq3NjqkfRuP30Lwb23N0ljjT7U/bJYLE8SmhGRha447MIzWSSxa2A8Q/arDq/jcwllirERU5OjmB75tfTlr+qbkhxlxj2nRg0nzwlDE8kPyTlyxjNSGEvRH2JFv/2auEM0SqI5MzoH5EXGXKwhQxMotIiPvzkc/Ts=</t>
  </si>
  <si>
    <t>TiN4PhnrPosWn2i1rW1vbm/SKWCNpt9pjREYfm+dwjQ6nDY8xcsJwcYBq/9/JQUQPuO+8vxCNKdOOitd9mV4fRDftQspTRgovA10KFnUKpMopgzuJDR1HclgNvYw/i5mrGkoYCOvKp0sRePbn8eeQEGAo7tdWVsVgi9YQvDn03XPZBBz50i36S+FU817WAWhkKuqht/5MwCrtijgE0OvhFE+HTfoFIZiRr29WgEWyXhsv1PyGc3mCfhmsI0=</t>
  </si>
  <si>
    <t>+qHQ4JejiJhNvUU84y81Kuyz6lHYaAWrL7wXOTYAUB6AaqODQh+dUyo82L2neOyZ9KTzy+Yi8psmBip5934J5enWYpXhd5VIeAjJMNIEB4gvvuWNCefwFxrpvNsfEzm7Hk7SmiWRHJP94YEpR4TXliji8dKcIvVpXnJkMyzdSqsvUFBp60Be/XYltDn4JXglEPPCO9e9yl5xgmYXY8X5MGpq2NOZmMOYQJBCHN2kF/DatWCyoR8Pwvlwbhw=</t>
  </si>
  <si>
    <t>Z7xE7vsHRpJrUlNS87DEUKNcdhUzioGRSww/b8kJidRTqcZIgOrY/c50BwUMU7d4TKErIYC/hBO5DL/sq2oJlRnWPyTBFcWvPzxCRVCPPbdqKGJIXNXOXIDoLJBBXxSCvJ/jcqGRFT/LIKO4/hiHblyB0tblY5WtUBMioTIAf4dCL2u4bEiuYPMLHR4FpwzDZHpfgHDZIeBjgySvbetHA4sHQ8z9LyGPjVZPc1ZlKWGbCDynuhJegG43urE=</t>
  </si>
  <si>
    <t>XrSLKROEj19pogujRQbWZek/0s4eKoVBDXqmyfA/BwltcSCr2+TjzPiSDE/moGlXiORcA5ZeoQik40qiwK0GSe8pIWgzkxZ+SwQuXajRl4+ICpZG+VCF4ZdCOuC7boWQtNVbEKExAyxjZyQ5HvwO963V10HLoaLOi26+C8ApBsl9fbBXRhNSgt4UCLBLKNPZneJRc5ZlXJyOpigdLfIuQ/wpu2bUZzSk/9FDo13SZAbXURHuZXXEJ0K1hZw=</t>
  </si>
  <si>
    <t>ReRR31pFPTXIPt1+5AbRhscofdG+gTiiNztiGi0c8x9G3/v0siJHdw2ZFzpPhzEX/7+iWKA1QfJjrAce1D1kTLkEFsXcqxlMjPlGWRAPVDYEnYyO+oVaPo1nquGC7/yvCu5Y0+rowqYufNSC4nBYByuLxLaLx2YuigCDTJ3OAX/Ki5TeNN3hzMLvVuWASf6878KgT1tIsJ6vRmysogtRJWeOVSczS7zRlm0MEzs7TUMvBjldVLK6hEe3NyI=</t>
  </si>
  <si>
    <t>vHdM9zDlwSM6utjwW4ZTWrjkfYnObbqAWwWYxNgQWOwN9YALAgOmffZ24Y67v4dyXxxi7ubIk1nefzMUrtD5QrtmVtvJidSnDJ5Y8I+4pH63ataz9hrZvfk1035fqmUWZsih0WgGP3aIAccBZALrL7nvyO9mTNsd0nHnREPCgX2O6lSo51sQM3JxJXQi3A7/hqyfPRMzyjBViQxcE8jLm4Dj2HTlmCqb2DUcUOC/Nua4BdbnKtkXx3iarco=</t>
  </si>
  <si>
    <t>m5Qotpjv5KSQ2OaE4L4/LEVrqMgn/wTJw5+A0mLuQN5KCupfX3r7r29sr0bG1ZwPvK8sBTOkl4NyMvRcRmKaO6236Yv/jJbjfXwxz7PEXuMA3bUbiGoRswp7nXdXbXPU3XWksB9ke4KXhICgVFR/8/ixh6SwB2sERyZnZu3gyfdCoB8xwPyCk+9TeOVR4T0D5UAZQDlkEG4staQtzar8VIZUmF9wYV5HDw5sz/JNGfRMOOoutaLQpS90LwQ=</t>
  </si>
  <si>
    <t>sOCOBzvmGj0AEQ21EufjdTyrWLjQhtoqCuXmG/8BdL6wJCn6fLkhO3ZrHqzHuufQc3ilqNutMGxUNQf3fg6elWzCvdYy9y1MoyIpzm22TOLtSOjb8vdOwfGyiBH4fwbD3/gKWrG/VzZoreQS6DHVYCY/hYNRceFCU7+ikqG11KLKIg7gE0HnyWXwr0MyItbzmAack9pWr1mZIxtsJyeTWje3b2MVoNbN9Ja8Iv20spinWSQTaNA0qfh2ybM=</t>
  </si>
  <si>
    <t>B8FToo3xRgUYudUyk3zbRl2WEzbQEZAW/OJeTRuAsX3GVZ9R5Ditssy8n8DMT83xfTJktwE/BZcZTlxv3E6vvETZj1sHNJ+LU+WRV6ZeexY0e4urc6D9PDKCcDHVDWs0I4fxisJQTUaY7AgStAz2Qc7+NXPok4A3OcGu7vEc7SExGT55k0L7YmoumBWYboHW+FxW/uIcjRVsvXxtSX54WSXiiiTk14focWOjObDdcFFMVNZrbHbMrUpMaLo=</t>
  </si>
  <si>
    <t>wrziKzyHwrLXWXIUqzoyUSkbDomqrFboLOLBtY5Q38nv71WZxON57HZg6X9Yv23dIq3IWKGDjsz7X7PaIsXv4TMiVlnC8mDT18ld3IRNiUiQO9BFNpDyJ9QrHMEedxDJXExXCoR6XqIn1w0VV4gcsMd22tHHsxcj7Qj6SaZrYQPYi4Dv7hyds8ymT/9azzFQfbqVPDgsH8wMlw5DEDNhdE/RJqkNXp31/wjztbgQ60eIQowon1fZEoRuZfM=</t>
  </si>
  <si>
    <t>cOw2ORvd0T7CYt/y76grVG5OCvUtT4NEqOAnoGGdatymd0JrWnCfoDZmIxxuXbfbuqXWT/GFKEFWSvW06v9OAlFNy8ysp3prKEgd18iF/hXo4Abaautk10LtB+HJAIlCCICgnZKGPA9LKnBK1cIEmBv9atMgdyCs2R5wdGFNV1NdqZ1RJSgTVLyG3jw5zToYsrOPcXtH6CEzFjhfMdox0lN0TeC84ijEabf7H3dZhlnfPJKsj7s7/2t75FM=</t>
  </si>
  <si>
    <t>pa7RwW9y/3StleujtaacIEdjRStGO3QisPZEVHOWNBfn+Tcgi4HJ2ZLyNCWUxTaGxHpyW3QbwnniDYDiZoqsKu7R0X9h/Xxyr+ZsLULASWmOjc5605p2RmjJtFGyyH6ChHN+9JxDRI2LOQc8oCqMeMFCRwR7kh/DmZEKV6JFjPrjbcxQyzl01inYrV5doxBtedyQLiy/PKv+D6DK8k2aW5hpsBFlnPBpIw0JdHg6NRTv2lJgfCENaNdTfHw=</t>
  </si>
  <si>
    <t>GUe2mj8qOcvMSa8cNPzdodEJ8r9N8MJB7CQE/ybxpGoy6D47W7eN5uu4l4pRPzhnN638dzEVBMkK0YwCO4uA0tfD9DELcsuOTYCA3a3slGWvkjBxN/mV89fgxKG4laEkXb8LrY+7Xoc4r3IdMZEFVIrdnI+0zPX/NFeGMpotPCgF1eChEM5H6v1Z/1B/NM3gf5owtcC/C7VSM7nTFI/XXrILmrzA4pxYjCZy9+T8pYVSrwJMnSf9D5xHGlg=</t>
  </si>
  <si>
    <t>yD6q3XvoYd4wOxih7h4XX8h3eDhnbCsFbFll5fmiEqGlaincMRyog7X66uhcTkgPiHyTNNDl9TqNHGNaTWmt38i7huIOvMyvbzkU47JhFzoqYaoZcNA9QLHRghTm95tv4n3zWltZHa9lhL7bqh5QCPkwTdV99MLjFEzOFlNaeyfrwM1KviGfoTEvyUOfGBOV5WnYX7zKfrv9Z7mor7LsQS5NU/M1yXtAg9mJcLaYOes5adeXXCNoPJn72/w=</t>
  </si>
  <si>
    <t>LPD9GEgMtQVNvG2IvZ1oumcfbc56BstfdZNvwKmazsCDeS67Hf6cWHxW4dQH4TuutSDhZrC094ITvrqPI6CYAfgQtjSvbEJ/BJLBb79n6tyqS5zoRVdrUj/BWSs//fv6jclbyuvVR4c9vVvYNViaxDW1fALQXsYq1WgnmWkkxO98zzF3Ji87PYeHNQbIcmSyNGY1lRNZFH007cBFGim2yiAfKcftXYQwMVolpuw8XfOnza42U2Qgy3vsyTw=</t>
  </si>
  <si>
    <t>fsXZcFBf2jjrysG3Gf880Y4mil5srRSzPwbxwEbGUJDksZX+4qCv6e7WAZF/Fg+2u0d5nnQmMk9Ncjhdju7wMnKtk7/ONn1ejlWW4mZ4X5nYpVlA/e1ScNNBbo6UU1EdeDkZjy928XydNZXW4BvdiWj9oKn5O3+i0nsyoRCSnfba/C4D8g5qnSv8Uh/zP2M/scSPR3XmMOK1DwVJ6FhJjNF3gZYJIecQsjkCrZuJHGtMVmWV9hHFW1wwwUc=</t>
  </si>
  <si>
    <t>mBO0o0dDuvlgCzo1Nh6EgEJXAJX8ITcRm4f00L2tOd/fKTARxkrmmQUabkyJ2VYwWQhswUQ6RwCXy20FmeBCiFVjTXTYzEka+zJcDNcl+tr6xf/fFK3uHCF98HRKD5eFaHqad8Kl7wIHFD0j8wB1/umREm7uLHi1jVCAaoHN1ra9AAUiQ3END+dd3Hw3Z1ifHCKqi26qYBiN9DV5G7SEKuDIVXuueOIrr6O+L/K5bi2uUisFekmEGlPHGK4=</t>
  </si>
  <si>
    <t>6bILAIRU5rAWkOC6lMBMbCztoMItmSxZTST16sJ7LtcgohDpTMPtUnYuotrZZc+zr3Vzlw0cumE4fUk4YXq2qjxZYqImhrz5wYNg8I1uv9Cpfe+pJNrK6AlPNUas8fH9oC4S4fObTeZpgGWfXYF5eG+NgtNagNGeX1T0IMBHv1Ye1aoZqQl+Cv8815/9Y0sI91X1yqb9Dm4loqdBeEtRpyxnkZPSsbtiwmtE5N9lccKvOnr1x4c29sqBpYo=</t>
  </si>
  <si>
    <t>RpRRtWVm+55RczW+tQ+oazMKaWJxzitQoQBCxv4kxgyzwRyw9EOo7i4gEt/WPoFWtJ+QD6lEZLNb/OCEHki9/ywZ2DOOQ72HqlrCy0kaRb8vKe3giaadAh6myKO0pT5bIPBoVOa1FpOQyxbpxleu0/xuPYIwigOs3jllqyZ/6xOhn3H/3RzNPh+siv776m6AnJcyK6e6LVgjoQQ4i1WfA0/XN8ZOU/DT8j6SJkmEyTYj3VSRG3tqRtnqcQ4=</t>
  </si>
  <si>
    <t>g36NXAEt24p+VHc0P5r5YQLmLHoM9g7Q51G2go4qF661CjZzyU8TKO4oRybY2drDQJCoKE1gqw5+JdxMlc2f5DG3AjzxFwXoHiIhIcP0UwO4GSWYDKYyYGBtR12rMYccebsUeBymnb8VjU2wVx7/JGm+OoVkW5hGGWgjY7ELs2pN35naA3lpZtQOxqauB8vGLLOvIw24uw+53Yig7herWXRYwFVREhjT7EPEQj92rIVFyUUfoHGtUZ8BxpQ=</t>
  </si>
  <si>
    <t>ymQ17ehxGVuwtTV7zaJAC3Ub+hPbJcYMHv3hGOe/Jw1vL7VE8r1x96zP2vDpAXhbJoBIg/Y1oOefVlnRt6/SaY8xdNzYAnscUbYWtjP8rCfILoElRYk1pl8srG8IOz9dV7UI6kVO+SJ43EP/QNI4HRGhDbOJdyZiEaythkryfKh7lqTTjzUp4mUlLFNK+OEm+pwkAi5AAbOPYD4z0bliSFo6Ikvfnk6WmXtM7TF9w5ftVSZv0upRM96qAoY=</t>
  </si>
  <si>
    <t>RCcvXJkDToHGboLL8uPrenFLLDlpJ6hQ3C5Y7e+Dn4JWZIDTBbjKSZRm8Q8q9UKWAg28qjx9QzkLH26OMO7zqbLu8yUhSeH1utb7TF4iBme/fi14IxgrYDKV/TCfze3tJcTbNYXC9SS648fi7s7HBUo83ZuQbyvJOfzj9si+7l0szxI6IYpFAC5psOHsE2ld1321taHTo2R+VrZ5ur01RjqxtE8vHt9YD/Ql5reT9VV2nbGniAJdVmFjP3g=</t>
  </si>
  <si>
    <t>6+dR6+DqvwDBNAb6Xu85ckak5RrRU1rWlmOPsqMI9IlfNFbiL/2Dr/IrjuI2+t9XislM9DXU9tfCy83EUk9hVkyR1bu/v9QmceZNwmfazF9wYcTU1P5IDiL5FNarg0S1BMb1ZcWkBiKlr90cuYCwDKVwCaok5J4HRo3yDs7/cfNXlfziqWPedQgccMKUGQmAk2bUELpW4wzon7ee0Nca77DmFPJ0p1TZ8lNYsfk1PP/oICGDX8UVK+XpO4I=</t>
  </si>
  <si>
    <t>TEi8PfmQSNqju0F3Vwhr077xt1JFZ7nQ9/0t6OE6S48jyN+yw2h8a24g8dG4QlVHIV3ChsptB5BWX+8XhpJOQzNIacQ2n2p863CDE5mKtrSdhZ7RCGQxzQqoJLPmFYIPKZAL3cfIrQ7TiIESihRtpAA6KQ75j13I6Yjgj2KtequWNuryia35CRRDoY4Q6yfvyPk7r3tSXjh7ASS6+S/WzQrvbk4ikHm5Y2H57Ga3avMbE/WRjfJFtD6WjDI=</t>
  </si>
  <si>
    <t>Hweqm48s1aOMP4HhQIoGoqeumO/e6mie3OVu8WK4Jh2J3wsOhpgTkZwcFdM9I/PDVUDSBIdE2UyItsrHiKDiel2m4A0uYX5Klc0l4+qraOf3vdOxEzxJMP3/mSFrlhqsWvUcDUSpok8xKB8tEjnBCoEJWcUBaedtoWLnpVwleJYIk7oIaqkaO2LvItHcPqb+JxaYER6tacsQ/XDpnrjY9vrBJQFWj4fKZd1w9VeDXVkVNX2uYRkHenB8Cxc=</t>
  </si>
  <si>
    <t>5hYFt7lFhVCoSemlUK2/mrTqGJ1x1mBRusMFX1rBwbA/1O4X7Syv+HzKCsZLNGr7VjVZO/o96HMGmZfm7qg8C+iPpF9OC0mmIMr3j7/x2qzkKD3IsCJFw4OmDzeGw4Wo7Cy6ZK8WaL+d6+S2tlomS6eyP8ED18UVSyTV1Rjv484vcNwG9m9JAkgJLpoOHYp7GWEr9xckagWZku4/lznG7lfmpcSJJkdWley/driHZaE+kHtu3oNf8z5ieKA=</t>
  </si>
  <si>
    <t>e5gDuMhE3Gv6ybl6oR0IdikUweUxmx9wbjXKe0t5lMyjtxhebm/fzqfylBRVNHPn8tv8MYR6ZZfL6VOB0J1eK0nHWU79bTlIjm5U5Kqn3ZPfAT7sRFWQrG8F4d6TRsBardW2mbLA7RgrSF3x8Hh6H0Ze6owX53JipErs9wvXtPlnVzuEl5bzvhXf9AYRnJfR/SH9dGP4UgGQRoXND+gfQNpYiL7DiYWzHekPZuK2+k9WGUlTtWG1ViZG1nE=</t>
  </si>
  <si>
    <t>vDdqgu0yWLydDGxGtZRdhv++MEaCq+KGK4t5M1cd7+s4ge88h17WcSU1kP/RKkOCXyKx88oOrLjHktVF4aQlZnhJB727nYhY0nHJIOnsFWX5YY25ReGYamjSyf1lVtgo4IP7PTSLG4WwxOtr9pSwunW1SQDFIHrNcwar7EoDrDLR6ZckPvgDffMF2PHyfa19uYV44OpIGBwHLP7PSBnphP06mgf+D+8ZvpRGlnJrOammCKM/3SPt2u6y2OM=</t>
  </si>
  <si>
    <t>JKHxztQab24hz3KWZcQLNDZ68BNIffkROilF4QF81CoGwezr8Q0TJRNAKHBDIG/RbRYYUt/EHJg8uUUoY1ApEdY7x/RoyY3vqsvME8lEpKlum3Un8nBeR0rP8bLxweG4MntaophGzEJGQmPVbN1ThrqPoz4FBDYtOW2dLKl/d8ttCBSvSG9uAPfMm0BpQNqIORUGNz1O3Q22wN0h0eICBKbgLOd8rd/xPxeDSj1OvJzuJqNc6au5g4+uIl4=</t>
  </si>
  <si>
    <t>Y9CfadUrLA/CGkWZ3nFpEewIm2VbCFmg0G3xpIOY4HN6BjmvVd6JXtj+HOYaYADEyCimY6sLlc2RNnNkXoYyiDEiMQdizfFvuJ1zozYiy9GlnGkBqUutHeM9C/4izXeM3ETpi3b+8BdSfMD2Q39s0a3fP6RvkgmqJqqS1n+acTE90qT7rOriFgFLZGV+nLtPEH58pl85EZqwfHZGTZw2S0aPSyY+wV1QZXWfpW6WMCMk6ICves3iHobjgRM=</t>
  </si>
  <si>
    <t>gikdHSMrZ3hBWuWvtoVAUQRoeiR6TfCII4FRtdxH/RMiAMWdrGyVaWQtaSmV/bFyfy1f3m8V9x8W4Oos+ZaVFDjy8oVZfPzJsZkrAgFVQOXnUUzNG9HfJPnH40XjKpCBM1zu9dBAqhyfufvHH+GWKxrc+uei0X3sDqDscGjjH7i70wFG7hB/TN6+FGsHhSBXyZtwMjCj7hQpPw3zkcs47WSY9U2dUYvdgU7ckFQMNZrN+TO2FA+yFMr1DuI=</t>
  </si>
  <si>
    <t>KqRyE71euQZsLCCv4QMavZgqUgf1ATLNVrxWyMWCOK4ExMJltGoJRStkGMug4k6BruP5buAPUFMjNPBRp4gg8Wvv68h89Wkhi+gtEvU8hpRm2a3NEYP27HE9Tby1cJzzcKW4wwTUrutUJDMmjFdeBNKfuq9QVWcioHqNDNL+ZNFPW8exAxmealnobUPEUZBHi78PYXRfb3vZFhmC7FrJGSSbkD8VlVRWovqRb/lhHsLbnm92UW5KMj7UiOs=</t>
  </si>
  <si>
    <t>xGsyWuPnfbE6MW92oIN/zBYjcvyJyayN9LQ9GOtNQAj/YixGGVZNXGzp0jgTvXTHpgVb/pbGnF16kx/A+qV1Glicq90hIpkna8tOJ0yYFoHMMowkK8UvP8pjG7cvmt1ILypSXIZOofdy18EStPrbbnDxPT+wcsUfQ+qlFAOP2RiL6Bg/yErOh6Jg5oDBEEj1JcMAn2hJRBNSTldXjJZVpdda00FINYqldxTTgSA8d8AKP/0B/zGITIRABUE=</t>
  </si>
  <si>
    <t>7XJqp2tymFDp+kKZwx/moQPiqFBLcD9Ps1rOVGdeLvyyUiA+USGG4pvrijwNUl2jYMpi8a0i3Ceehi2MpvE/Fgir5O8+USguaVX1PSdLglnu6pYyPWO1rtb2XwKXEjpZgRNaKjNH70UeTYk1vGgwILdYJYQHfxdpBFRCplVtjikhIDJFISlRFjV1vVge8jc1eH2NFhGBIFyEttxf/m73rxiR5VHR7pd4VkiMRvKSlCAh+bzKTxMbF/LR/E0=</t>
  </si>
  <si>
    <t>Q/IYQBpOiWQJdedyl3jKLU/CYjucUOZvZnCwV2nBpbDEoCKfvd0LTjxrQQ7SWmdK7/r/KWAAulEZWLiy/5LGbzfeWkvWpT/Mb/1yToVCzmM38r55WiHtVb0sTUFxcnKzqO9ssKIMMHiuZhTQV5rjhV2iGocC2t/9GmVqr+FmhffOhnWwcQxz7aixRmSLxHgQ656zi4QzUkZjcyr0Vd2DP8ZABCmDj9fpg/uEUtF7ldv80novzxiUf6FDtc0=</t>
  </si>
  <si>
    <t>sulGMKrfAW83+83Wi75BvdpRmzdvE2RUfY7ludOfV7QdpJbD/lUhb2ig/COTlEUQfdrU1VKPB6yn3HZobXaAaP8brdWWTXHf00q6bWyl1Gm2W9jzYlcmtbMYDFMAaw5Ji+9Ky88kbEiX6LSnU3cR8lbWt5aHrDwYwVz9YAmfTynFWmNQM9IKooTxBAtaNnYJZyUOci3FpFhDDQKzIjaO6SxcGySSaJZDu5YtWtQr8+ddR9XFxDclW4Prwyk=</t>
  </si>
  <si>
    <t>n+UMN8QkOxlqFm3TO0wtTBo206iX720u9r/oEvn00QVsGwJ2msgGVqgTyORJ3WEIZfgyzbf/vVhzyXwjONirllwriC1iaR+doXL7EMSp4ZXKVCfelDUEcJuCcdL2ztRkIRiCr+yPv/p6WGU9clEKWcL9u2Ufi6EAH7RZdoMhiEIAF+m994ptc+p0WiTvpuM13A0TKua7Y9Ko59s5lBnT/XSRatWZlfpvr3dY6wglut/wqSbMGfZEcDN5ihU=</t>
  </si>
  <si>
    <t>TOFRqsjhfmvysn7J9U+1Y5URKbBwTSJPLI1PP6s6L9mrzALdcpGEPrEMljUEnqVRax6xqHSCgxeFXefbzV20XmIT7RoWj4WvmkBSY0rZzZguWJGwIFJSRnYvCJdF8KlO/fbSyOA13vY1fxOrK5RMyjxYtW60vJ6qQvpqUDMzLeyGdygEAwwNstOLXVJDnAdQszPkhgtaFJgIAHbv0iUDykNlfRK+0JJ9NPk57fExHMhb0SkBlL+lADusqig=</t>
  </si>
  <si>
    <t>xnIXMOFrSM72T+lwjtcdfGTtYWX7CSRzJw6TeM3mSMX466c+Q2ah5QfVvI94AWvipX6+Gow7JK1Ncd8t25EkWzWkjnaX9iy5baWNlpUQe0M/dQcgGIm6eGKuI442Ifat4PtBjld9SaFo3UAKO09duvugc9zx4dNef9mP2enxouA4n6iMf7NWet3g4zvrceZUuG7K2HDZd/0JVhJfHgNXht3cVNTPPja3P+yzYowDJ4QhgPV6DYdjmXNpPvY=</t>
  </si>
  <si>
    <t>+O4rVENr6NPGsoTuNNF1r6Azk0rQRpeemNeGs+UVFMEJahSyfsYk9hMyGLTilCl/Oi0SmelMsy5Sf9gsb/xipVOJmgV9JoJuhmvJMT/wn9d6e27ef3yF4XMYchcRJtFztM+vB8/n3D6yQm06rb2cnJxSO3Lb2oySfeyrJc/dj8Pdd/50IdrrCyw2AtdjiK46bABxZQWaq/+Y/22i9kTWuV8lF0w0TEX1+eCwgBTpRarlfNCqKkxMNEvlSUk=</t>
  </si>
  <si>
    <t>Hm2NSxFrmF7+dFUr1l05VYGLeeD2B3y6Clu4Lpvs4FXSSRDvcbMTqdG5hQ4KtUTxTuCBS4iMuwKGDHFJ3NXGm2OMbW62kdnKGK58KNuh0IICLmjjwTmcuXooyJyVDxACAb0/V2Q0T9O25YPoti4k9i745j7Mo5DL2KtWZgjb9O3CePeQMWKY8roZhehxKG1lR9TaaT1hqyn1h6uRhsv+VQT5H7gbxOdwsUTkZb3htRZMXK48AD2GqpN0BGs=</t>
  </si>
  <si>
    <t>31xhQAvWvu8Fz5+Abtmq90ZCSu9XUIT0GESEykyE7629xGyf4qS74IAehg4iRmSuWVSXHkNSbRxRrJ5A3ZH4+Nl8G4QFMa0Sp7JSAzTQhKJZquGJZmnYUyPvW2wWkxoewEfJ9KxUAH7VV/gitAZCrlccem79h1wnDINvhRWIlaxCUAntMFXrtWkC6FAVQYDQMRjChXZaVsgZHpUxUW/XF28mGX9/rfFlR8S1/mah7H+Hq7RCMVar3mPujWE=</t>
  </si>
  <si>
    <t>wr7hBGYtYbEnpQK57/eB5WgGeIZwiFvHI+QI5lOc93DkPBixOHXVc0cFUtFHlB2m4aebgT5B0/+KqzM6qJY2SghOfYSpomZzu3I1G+jTK/cknUKNkEQtHZj+MuVoTFXYBORgxw6kiJI6KGpqFRcQdqeQImRchcX2sYp/GMcSnyji8W+7mqS/NECMjA1o7OT9MCF/wFmFdt/szKIEA0NkuPPNn9thqWUsxegCEExbgk4FcFrqg1+CZ9jJqVE=</t>
  </si>
  <si>
    <t>JVMOSH6v5bHt88IhgakZ5lGy/iLTEEoiIBOFZTHHNDTex8TBEN7XjrwSQ0pIhbnbq8F4hDTZozcy9nxcgzMPRespRiSKFghhJivdnlepucErygiYOzWENwqL7WBdBmzgFTFOX9m4VavNZ3/1NfzE3DumNqerMrTLRL4AhScn26AcqR2ZUpSXzyR2u4zKMopDibrBv4Shr/PMwmjzajBggh0AfTRe2PnzFqIpDJfL/V3T7Pp8WwxZlW+Mdno=</t>
  </si>
  <si>
    <t>rSgjSw/JFi9Q8FvVEWP5PtiTgUjLCQdtMPYqx5mZqgXxmxU99Vk955r70KKf1CNVGTJW78zqGlbHzybFMy1zZ/5RkN+UCiCeGxo1y2AaIprvFhEy8ZrJ7/qjlcOgGw15x7hdbLuDtKNmqbSJUxrk1o3n8E5oBUPYFR5SjZ4rLrzQRIm2bH/OU4eNZFrA2cF1xvUnmXcHDJ2Y4Y4sZtrKeaCmpK+azyY/GuRRmxOGzOzDSNT0vhYUHfhpRIo=</t>
  </si>
  <si>
    <t>p6prdsJFE8ubeJJlJ916GSIcrDSyxvZEoUw0NqCA+DeaHj9hd1Ky05Hth2S7mElOTFR50CMohHNzWzRrsYhmedvvQ7H1/+G0OuXIkS4U5JTUJn5J8CLVqz/kUVTqwfg669VDNkbsolX48kN5I2SqZuypLNgaogfF8e/Ras8tvokf8+7qsn8+WQt+MJA5s/FOUhR6wMefWg+qCgdEYZMHq0Mk+U/7n0BgnZ7kcSJAYK+EjYqkCGc7Wt8uNmw=</t>
  </si>
  <si>
    <t>Rv+fIpOWLmz3HBgI7gE85IP4hUeosRKEaijd1AtPP01ZCJc2d64Y2MKHlzytOhP9yyY4PHB+syGQxQzqQdnhQq4OLnv94Vaov7C9UmLlvXZiQnogMWO9kQEWq7F8ssb5N5InIt2db+I7mW6uUg3vj8wAGarUf8AgE+K4Esd8WAZHpDpcSQsdYVMi+55urSCUhJPN1HmlfAhPCH8KFxaOq7mSOmutkC0ivUp7q2kx2M1Af6pdYkIsvPHvgZQ=</t>
  </si>
  <si>
    <t>iKrYVKHAfabW+25ITcId7ceL/jKV0RVfofRiVMYCQL3MNR3Z9uZMdDV7xBTCtfuEPl760dxZr3HPJO4UAycAvKwuwXjL45icz4O/imA6b3P7j5VZZNbStcCXAl8c6cPOvgly1sotmaW4ML9gHwjxAZhfBpnlUGNIsHIwfaPP41wlPLCl5rClNvS4Bg9X5agpZ3z4DLEvGCe9oJfZedUGNI0GKLPS+POzTdBu7krX777/oaczeKdU8bkWHWo=</t>
  </si>
  <si>
    <t>9Lk4lTcSZ8A7KMZE0E+ySutHPgaxmI/P4aglkhnC9T3GfSl9C494IFYnOL1Z4r28cA9Sq8sQyufXUtIuAMHTFCn1X2ZXjnTzd+ila9bjAoZPTnBBMWG98S3WOW8wXa8zU0zviCCFocGeYQXqTTWnoICT+nqgWHF7vdWCFmoKBNVjVEYzYQKMahiv5immgJCrpDe8xUyAi0eaxl4uHH952ZjKHK/KubOxjjdadQH+my/VJsqm5MOnRZU/rz0=</t>
  </si>
  <si>
    <t>j3VchhVORD7s26tD+ReHzjqmB7XouN4WhF8KRBhVbSF84xUUoPsrurwAHadU1La0D+zZbcZ8F/1m1O7OyiYCtR50jhrNf/S2r4lsOCEAITnz1sF6/NB5fnb7+EUAs36fny3/EVBLZHB+I2df5dcghJaa4F2CXDVENY2wv2Oem8BCm66u/Fla+lH3wCdpyQi9JCVG/DwuEMNK8yrIEd9/mdDWUTLrEVGxWucyntDDgjEZ8HHvXVw3FQwiGbg=</t>
  </si>
  <si>
    <t>LNIGqgKYLLgGPBRjC909d88vzXjm+Uih32QgI2SzT5u5hsM/LSns35vOkslU3k2t+JqdNRPhgyV/0MbMhdWnxRriG/1GjyMgrzjWgKRG0bP/LNa3pk/oSwN6YkSR8JaurjsZk9DTiWEvH9M/z14JiUDurnNyjgRTT23eZ/gojvLSavSluK/HTMzfgos6joMmEba7BYBEy646hjsUYXRCregilgOQBLMrMSYkHjfosCFZWBw/v5QCyX4rqw0=</t>
  </si>
  <si>
    <t>UEg8bvn6KP4Cn4rM37Ry74RIyGcRmb2rWEhVmbmd362TOnlzu4r8FbwM4a/bhhlebE9B3VfcSDY3udmUE+KBTUKmYXaK8UfHU7iKthtR7ZlSkud7wJ1o3yvCIFVSofzICyFbYBbfm8zp4WK4gSfm5sbREcIrWLnkoqQ1Mh72ZNpTiFtyWCijmyLk1VTRCQ8UzHDBpUJlT8rGZbhc5bOikT26civ9BqNQuOX95M6hiq0bf0qnCqBMWLt8tqs=</t>
  </si>
  <si>
    <t>AYzD4WrsobIFANvb/l/SRX8Gscb+oSmDRSqO/U98Gij+fkdxaiy8jZ6+wXcFtX9vhgpkRZBV3VT2fImZ7YI/fCVURGQtuqPhPmgdjOSkOtyM0ytKg1yt2TiKF51WWeHGLLFM+njJa2V2TIsUuJa2DIGESM/rgC0cg2LLxNHaWdSEFsTsHHOJK4mdcak1u/eav7e1TU0HoWOdkXMYCJXUGTZYCCnjn0pxRGWzYc7VaUIcitcfWRXk9VgoNoE=</t>
  </si>
  <si>
    <t>bJAAvARdrb9rWRO/LenYewE/CgTaOk+ndr/R5zX3Efp9mmG9IlHyK8JtI4Xkpanm93v7EKVPkskA778R7ISnc35cNu5KKqBwRAsyIYPC1lnXLcboRgw8Kg6f6eJJhm3QiZgz/tyFFKXNoYFu35DTQ/qTTEdPtKLzhQRif2Wy2PqF6oN63d+nu/rDwYjYD71uXC7SZDXfbRQv8LpwM+FKCNveI7sZjkELNs6uf7R6Qb3b+yQVOAG4M9Kx/hM=</t>
  </si>
  <si>
    <t>gA1m2v4fV5e6HD3V6uHyCu6h9y+HbgAGvDJMUl0AuVg2wG8GDuQl9RxxeCF34QIy5f599uO7O6susZ1e5rWlaRTVOczd5lAXvE+bLfaR5CwPWZ11xIH8FnO8sCOv5LBLNQUrwmVO1QdIKwliPj1/XKOa0pCBnyJ2Y7x3XfAFxu1SaCCTD5vzxleHlCA3BTDXeAKIEhOrZCvkoGkNdGASh7VCrAzJdn1GfGOf2vlewZAmvzQSQd90iGYleTM=</t>
  </si>
  <si>
    <t>9VQfBo8weYvzhhqvEw0qTWZ38St9uXDL0SWDepkOuHNQP3/WGaLAk5dtrbsAG3vFvUkeldBBwouqDAx0rsX85Tw0UPHC+yMJ1LsWGQ5qOGONs9mk8H4+hdHzCico+YUz3L0fVZPnp0ek/4LbzN5GpYYLO9nghLMdx4gIWfY0ShYRWEukFbRGMnz2/oKBgDVr8ENsNeCZg4+fBJKN8ezgh1cwlGirOgQwHc6RNvPaXTZe2Tj/LpYbOagdKAw=</t>
  </si>
  <si>
    <t>YhTal7Cr5xJVlLiYdTk3FevXKid8kWENzE3SyZV3QiQP4ffX5LR65pJCbs5hxgmgiLxcRaZWDf+fHsPwQpjKB53vWWcU2lL08FXA6VIVCIOK+cRuBbk6rsyEl9WfaFMqCcKSljkLqf7YI0mBj+++dVJMLb56o2+aORvxHzZviSatjsf2UbmTgMtYTEjhuOlx6Qs9Q1ONvmDf17b6jp84a8TfKqhCkrs+OfhRt2qK5p0HbOuCr9J4EC9M/2Y=</t>
  </si>
  <si>
    <t>GnWGcTHghjTEDwTNcSmqxmVY7Sth+6SQ8meE3L438BvcFdkElFCDyIWylrsugfDuc8aB6DPm3R7YWJKaQRH2d5pIM+xgGD9jYdZeZYp3NUMXwCmphs65L4jJhvuOkKyC8BAGAQ6yVfvJ2y5S7X6yMX2GQ2rkuxrAKKKJb15LRVu/1HRZXm/v1gajXJG4BdCdjndQe+g0VVyIox9t+ql8NGuss4lUNY/nvR/w1jGLN1riaXyR6/ii76bKtEA=</t>
  </si>
  <si>
    <t>7IafJ1rkWAgPSv8inTbz8e0hok+dadMT/dosny4ONu5Tl0OaMdLkOLx9BwBniVnm5m3yRZuhy9we9H3oG6s65uXBrGDmMRNyM+aqWUCYuFHmXmgeZg9gt3dFtD/oK68SmRfVLR/U0l+VHbSQHgoBwmxypm+t/DdKRa5jqDoLbUCAUxDCJS8Jh1AgNz8TIjlnP3Pqj6JL5Dc4hxgLzvaqDRfm8S99osWccUa2bFE/Id7ZU6ftBA7vdUsOTao=</t>
  </si>
  <si>
    <t>qZjFIU8fPb7ZoPwDqLybfsgWcUjeb1XHEBzEivjkMwbzSlw5knB2iYv/AuzB/0XYZg9T8DFPHs+DuyqqbBLC4KE2Msf1k5WDJD/9qUY0wEFGPOVmPq7RhyJdDmh0ncsb/D94yWe7VLVlC3q44osZDx+pi08sXdvp0u+NhVs5DZ7/O+txKb/EyYn3QHzv3Wp7ngiW9xUYM0cEGUKRC1snsVLFwzkCO14O+VF6PO7vLOOCld+THX9n3M5tCic=</t>
  </si>
  <si>
    <t>BI1NuyFAz8aqdUvoaVI9e8I/bNQmVgEcJsmTcDKCM9AIpcTZp/M4AuZyt8f4nZRcxfVq0Lb8HudzxfaR1lf0l+0gdjE1SKwgHAYy5r0DywWSBV0I/pk3RY4qujGugrMDVfRlvDJu9K7j+IApruNb2adjcX0K5XcEpebhRJHjBelP1TSL2LLr1tU+6J3APf5JX0gPAEPZsx1rB8tH/4BPdHvz9N/cZyOg+ZhFaDttll+XWwEzjB7hSjN0+54=</t>
  </si>
  <si>
    <t>FRWVoL6zfKDAF75sDC1eoGSrF6HAWqEDaAwuIicoFlvJt6xLsDQmRRoUvxwfb5x1AZEvn4n/FGXna626WqeYvNdcHIRDOHeTFn2/JKDILcAdyAcekhs6e2qhhD7spFv0rgE4EYD+E7WTur2D5yUA60dOvkpHhCAbsmyiGkzoUK5UHF1j/6KmSkw86ev2OwFvZsQbC8kjWfusg57ntqpxpHp03LVK8HXGT1GyUiQJTO7v74BW92NeHwgMi10=</t>
  </si>
  <si>
    <t>0P78LhWghBsmt/oKyQ2F4R/hPRQF0SrfYytn+Wd9Th8Aw0vJMZAZfS48EQD0VfyRM1jt0lbNPuKXmBsTIPIEEaHftQ6IkByDyyhOoVo2gXK7NryM4lmyVZj9C7GbicuNI0+/bIQ0++7hLcrv+MOy2/oCkFr0V18JZ6bZqAC8TAfQlUaQKg/RTGuzn15d993YB9i5QMxpadkXu+O+oZMGG38rf3rnvxOUyKSDO/JL45w41bv881kSiGUtyvU=</t>
  </si>
  <si>
    <t>QLbTJ7vTeISEOLA7TeCWiozGOB42evMDU8jDKItEWUDYs5eg22FyspyDCkGALfH9D71hA5Nf85ULOKU7WapK7/EHazZWgPwGpfSXPFJPm0u6UOWrvbB7xdfPEFGfwBfWiSTwB0wztx4ri/6b+3AVNWsQDKlsiQMdHhc0JfSHr33j6xytGMm6M/Nhq20cVLAYANcMLNCx/DUSu3Kdn98QhsP5viCEO+oLh3CtmbZZpq4Z39g0m71iD25H8bM=</t>
  </si>
  <si>
    <t>7DjT6CBkxO2mrFIir3oUCfPPIXR4ZkqNl7oJQz07IMUdAgewktz/4aV6K4xDzsGQI994/nVdZFthNAl/lNPWWOURna32sLTNAeJrkS8U/RaclFln64TOqAnFeB3K7ZPv9bGJ8qXOBfcoE9pZNNyGF2OV/Im/Y2tZUkuWE8Q2OHF2uF7Cfvy4QSAgexD7xVtxKoDAONOa0K8baIGQrufqiv/iGEn0ipTpcflPYqyunlxhSrxiqlAVgftJJdY=</t>
  </si>
  <si>
    <t>ZDs5PFEZru6NWVfNB6rSnw5ngf27hiERfi3n+pprXHYI3yHDfTGxgONKwfgFvUHlsODk+qxYdhdxUyD3ajV/3NSTKfQYHug9DUxKE+bFxRrrueQ8jqPn1B6Zlu9YOE6397oM58aB8wFHXBzUF6OweDfsxYRicqlmPeBm+culvaNvpF+t4xz2jQzhBvsrQmLUZcDAddY1cOz9hEHd7FUCpBDXrGIs5HQYWr0HnNlfrdqGiPxRI70+TIXLqUo=</t>
  </si>
  <si>
    <t>Wa4GjDxk8cE/Xr21Msv9g4W19qdkJiMED4UDHGXcu46aGlCont18vMbkKSvoXzZ+uKDEzIeetwRuP1vBu62Fm86zXTZDM7hxNUlxVz/203EQ1TqLI31LURLJaSDT76e3Q5vrWvUtNbvcuJpf7d1KUM1v4qAavJlEIn2RzqWH7wZuk8l5rzKevwHgsYBWqBOBTVzwTJZwl+qnibeKKkHgaQOUSo8hjr8QdoYzyixHKAq2miLudh2XXO+6Z+s=</t>
  </si>
  <si>
    <t>9EAam1QnirmS+5iZ1PGFeq7f6pqsxHuzCaZcnldlZsufCAOU/7gRc7OYcHnXgez4uY4ctVx3uw13HfhO9fV7r4CQeUUlK5KvEnBDeJNjZw5zeSY7B4GriAmwDIxdccZc6U4gX6iOqHTWETY1+wuqb41DCEq+vk+4NY06k6B8BXp9ELtqnYlWAScrcUp06G2fy4lvIdBxKgRkStQcL+s7CArcQrI480BA/OGFn1zM/z1vtdThbjigDwNS0EU=</t>
  </si>
  <si>
    <t>omEFVz8dam3ezfFyqTCxU8BCBo365TWQCLsKceeIW+Omb9TjNGvB3Phkgj/dP/zY2r827gtbNEuls3CswU3EaJKxgBt7OW0Hkw8Iv0cZ5q6fD/pXirSTBpMNT9edoOSbDM1LQSljH5b6keuZiwwtwiSAL8x6CBMKeS+I88lpqEP8Yo9UnnHxMjU7/s4bJnONfGn2+x2i1YoMaYfrKab3rxRSfZEgNdXPuMA0i0q4aEmIMTBzkj5dALcc3Gc=</t>
  </si>
  <si>
    <t>6Eg3pWkR5NCN9DlLpmXDsVmP+wSQ6i9KYWr3R/qqVJAUY+ZN4DX526X7iJUpyITzUOlRCeHkYbbpCTxoq3ArnoajGCTKmN+LPoZhoqHDlDhhlu2uERXwg/5Xza/8Rdv2W4Ca93nw2Vax+u7DzMQibj/cp5hxuPiC3GBCH7PqEJt3hRWx/0bBItNcyDGSRaIKVPWcxLMlpjsSv9klB3VU/tN2lk4AV3rwTBbkK0YwD31O7Vw2fS6HW82rhUY=</t>
  </si>
  <si>
    <t>tEARK5hMvqSuLHqYmxKRQxDKGKjls2Qbn8XvYBvT2WuaSY4h6uJwKeS0XCuJWpTRdl44Lg7SbktQccBzgNG29XrcAHkpskrBIgq1BDW+Dg1xV9iVlleRlwtfywQSxFlo6/n/6oD/lIX7QzvaK3IPEW2BibQEueD1mdxD/1HaFq9P6WTTND3TD+SneeonuI2sItgP6n3zODK8u3sjNR9T1gRLKtnImmRntp3qmiW1jBEJUwhOYrIsb5NTfdI=</t>
  </si>
  <si>
    <t>ImVo8e8njcP2cQ1qX9dsi6onv/2P8IaE6ZnjiUTkOJ+draaBG6udUcXoU3D4aGlngsiXNIn27a0M0PZvWgbM/2BNehE9Rw5cIn3ht0MB4T9nTZjvF5zPk2OBlzKWB02/5NiqxoUfnWZPgnbjf22u1KOnMNKlHwYuxZMqEUMCQN7n5heCFHoaFDXwjoTtz5PDYCDFUAyUOYqNSy7X75FLhjlhfhqLq/7B4A5dpj8fvH6BaQ6iWJUlL6b+Zt8=</t>
  </si>
  <si>
    <t>4/8IRGwIWQkCyMIOyGwKemYHw03iqFMYX66Uv7An15IIqqKk3ZjJH3dSxa6AORmqFoS7byEqHg8tIsTkGxyKvIgsPpWrFQXjjiZ04g1cclkq4pNWTgE4teb9tkowaabJznLR2B9y1EFOCCk5YcSOgaEIJIy2l0YoxFkI8ZWz66oJH3nTg7ezpolMHctdFFBoYgXthskvjB0Up55L2OWl2zi5cWSpw+Z9CMvA3S4IdqXklcxE2ttNaL730xE=</t>
  </si>
  <si>
    <t>yKvHoCjaq9f0cu/hpSRrl7m302yG306/5PrDJKTcsZnYIM3uV0gLaWdey5J7+SLs8ydUHhXm3gKEn02U8D/zTsBz10q7mRDH9psmNwUdtK2zGz9jvB35A3HA1q78USRMLMzMaC4MaAU+oFBKc7V8jC1hjXv+ZWwfikUB56LCmGAGUk64MvuXLX+hdUpqlwOFieHOugMMl5qWB8svlUBYtSHgOm6Y5rPwSNwqK+ypavBIj/okU6cRKKilLlU=</t>
  </si>
  <si>
    <t>nep8Qw/+1LhyoMC3+sefJHdAM9R50eLQMqy0xvvC8TERho3DE4g37ns33yOuLnuT9xtsZO70LFYuGE+MzOdgR+zCQfrFKZB3yRVGEvWJNdGoVrlBiHvOXlHkIzKFAu9N5aLlrFa/wZDKwfAbQYkX0O+4jANhKgyIMBwHc+ItvQkY+hjAa93H2oYgbDkJ+b3KeyPVbdglqGICpqKXOXvWC/v2X+c9peSkuWlr+kKQ3tsXYu5eq1NlFISR4c8=</t>
  </si>
  <si>
    <t>AnvV8EBTu/O5Xaw3o19jOQoCRQ2NNSFhnbha6AwL+6Hn4sm3gzhF5Omgp95kE2t/4SvxWP18GLJ2wn4rt2JPNeslGD3Bcbflqx2tQm01ITSCaD2rGJNaH5bWUg8eXwsVYgUa2IwH05lkpgsaOSIPPDM8nZsPyi1AiaqdlrsGIV0hhkU0R/5H//NMzLF55PnT+l7beqnG0LzYiE3AyBzQeRLo49hbaXc/dA2F8XM10u2019nLSS3SdQNJJ5o=</t>
  </si>
  <si>
    <t>wDknPDLjEJGXbO1oL1wJCGDP0v20QPJjWqxoHGcuKOANJmjjwb03k/bQMGK1ZIYVtP1r8rRrJCCnoJh3tPYH+6w1J0UTQTgOQAPpEdlR9D724Z1KKd7LuSSi26g2yj4V61Cg/bhX+ewj4Ov4nTrA4kpOND/NlIBhj/CCiRlQgYREHv0CD7cFdTeDzdUyoMdgEEiR9F4Yj0mZgz3hCT/FHxqdkKwjo5MXXovCr5Pih/DHhYdt8101Vu5S6+8=</t>
  </si>
  <si>
    <t>wgpLZEUoOJypEZFdcGJT68jllp2kEe9n9UV9I+r06nfHQojiO5b10wSjN7nx6hLlu+XKp73L+12xLxdAqDbAzMTe1WTonGbzu4IoZYflYs3hX/nypVJFj2M7NqLJvkrmcZT7wEVfjp18tVTlNxnBIjhuQ2vS/IhgT2ul/H8VNUfTTgpchuUSfeEIgNXSMbzRu79Dp1yQKT5bihSe/9kPzLqPMKTe7o5cBdXx8FxfCOU1C4JvOG00/QbJO5I=</t>
  </si>
  <si>
    <t>AJ1sTG1NNNUFykQJWIYKOecpOCNhCROkyGbW9hJ+kj5G1blSu/tqEBdj9FYnkiLB4LJTZREVWUt6eOtT9+FlTp6/MdTV8ZhF5H8lkRhccxuRkSW93O0XxBNdtHmwZQ3zfsYjkQVG3QjKtnCANw2s+PixCaE/FSrhboIYbYYrnn2PVkJUj/dYLT0+piKuqnzx+VcBSOANUuG6b1lvoOEg4VTyp3zjGdB72GIegzUVHgBXhvAc0ZLF81hu6IQ=</t>
  </si>
  <si>
    <t>rG83+Z5nY9ZbYMT0lHML4B7OqgU9OKd2Vz/dwk2SSpQpNcRELXrXFj55m8Qa7Ay/WbanYLMOoDYNwxIbjVxPCTyniZ7UYSH4wueSWCJZRvPLpC8ipBZIuS12C2SG9NA87HcRcuD0CbpcLqHjogXM4BIT1irKJj6hnTQ8dQsNef4wcUuwRz/C8ha7a+ukaZlzBdouXcG7ufWJ4pbXGUV/U7sXjlSbyEv3eYlAMe+aRwV88CpMN4hxB8Zlblw=</t>
  </si>
  <si>
    <t>qRoHLSP2/V+ne2hKJjFU3ZhY6qWrXaDKmp6Jm6uKALVIKIBfF/fDNOb3IMp6Tb8YPAuu2KL3F9WSmvrrPEYJwlEN+iD0F7DBbrjxfuMtceDdu9fg3okR3J0kwCVKH2Fhcwz1bigTwOI6wmzNl6ZKsg1rnsX1iKI5ewn8CI1bpjHJOUWoxrcjxqcefd0Y8TjCPjW23RCE1mxS0SvGUsgG+aE2bPpIi8Sk+eNibtyoeH/8rKekOcTFv9gUJxg=</t>
  </si>
  <si>
    <t>/0QDqPXbWjEdAdMTK1G7arKU5tDx8rZS5vupW+Fc73w4geZQCjGO/m3qrRPNabuhK7lscbevwz7FXG3r8v9AIN7zRvU7IX/CHlzp5G7ibNslZ3grzMYl0f/u1fXW0d4jovwCmA8ZEOjvHT7hL8KGZVn85B3srfs8dZJkloROFPMy816gn1sSFIh64YSLurccBuq2vyuLLjIaeF1eFLNN3x3MDoPCFKZPYDuZGlK63AFnXAXiOQeygdpgn/Q=</t>
  </si>
  <si>
    <t>PAVnklH5mFXrGCYaiimvtEFBLQt/lwsadqak6dmh+cLIsrGq5LSdau0k6OluU/TEEsBNpRCU144pmjgUT8ioPKya4zWKqeBpsjPE7/lngz1FZPizzLLlxMxuSCTXfKxng1QET86w61YBoZ6Bqei+Ustwhl9HAaqeeYsDwlJM7Vi8aQHs1J13fk7FebXD/vN2GkvOdavYjmjRF4XZtF8vfxNeSJ5f5lqs/vmjDWBmttOkMp0WmPoWJXCpH0w=</t>
  </si>
  <si>
    <t>iuLXiQWnY9X80uVIE+RZziqQijzFq20RQ5KHFw0uowyWFePhvEQnf7+8Zh+yb/6/DTBllncBIhBGL8AIxu6NJZiufYjnhIoTLZrAr2IcOTnu7mQxMdZQEbMx+bP+I1H5FZGe0Fjahg+dSHPiaMgaVvSzWjUh/TIl4mCiwyt8xlGMqrNRTLLy3UOgpS7C5dc9WZiqURw6ElY4HUFfGceL3Sycaf1wlUYGd4sJkQsW4vsy700yIRn3pNDcHJg=</t>
  </si>
  <si>
    <t>YPia87XDHaWOo488ZNrzW544gK5rWQ96tZpslRkW3y4Br/Py2mlMCZdI1Q38Z5Zrw7VeeLbk8J6r3pd1Mrzzij/21Q5qbWljYcd4FyS4HQQbxMdSmPFzu6rfL55swG82uOctK8l5EkCHe65jISopwxwszsmPJM5uxsYl7YEtC0OXDVdXScBDXGJOLT9tVz4lmmzi7JJsWpBI7ExeAp8AH3eTJH6bbll9kKX856/0jzsiV0AU/bWOh00YX7w=</t>
  </si>
  <si>
    <t>IIYzxKww+YDEsctim56aOf+pLg860Ma9KGin3TKoLgCBdL9KnZ82CJsOUXXOommBFJECp719gwPTVmBvDi6Ug3Lxv2tLJu6UOmzrDjM0JIcOD3Zbfiwoq9bJxqtmSacWIA0kcvmfM1XzNIwbvXFIw0LwK6f68VLPMrWBOKK5bpQoNUvLhOmPkD5DTRuujDNJt2MZTIUbDHMRBRJb7HUXsGE3xn8SW+3ngkgIvG4MjRouiJ2ZI/WXUVA99ec=</t>
  </si>
  <si>
    <t>TbKVrSexgwOfMwfSoXeHuivbWpagy3b2pBGEsO0se0BVIX3Dcr/VaBJHkvTdopWK4+pZr1duX7AuyONKb6iNiQt8Qe/9cDetZi1/rGd3LTxAbqesPss0zt/SPeDdahqQ2JlYwqqJTqs++HtYND18Ln29PfNpTHg7iwdyGRnyj825Zp7cBg0g8hPWr6wBm8/yyO2lVr1HleDrfB01+5Yn/B+V8QGVCDeRtIYxjFSZYdypXVLgdCrPr2zyUFc=</t>
  </si>
  <si>
    <t>h5hxVrbQL5J7SFgT46TmlMaZUktI0ahvD0vjHsVQy1mU/NFqnVdkmV3Rv2yAR/Gg5JN3io3d4vWLWifPEbOW/xg+nsU7GTU6TzqeFQ1jP9J/TWTqogtrsTTYXPG9GWetxdPhYgixVa/ttf38ECgQMU8cCr7uSSs4CsFGEbpXGx+H76MzoMpx3tDs7bV/PG5rttMujzSveuU9OtFljoTeGgh54hXvnnut4QfJFSDqUs18nNfn9nCoOrK4NnU=</t>
  </si>
  <si>
    <t>0YYsp71/oBDDE8xYF1BwPhL+ypkdCjhrMEXwi18Q+A3q6KuFEu6QQuR6x1D2pli3wMq6Pco6FHNTHlhxGY7ePbP5Ab5NMSkr0YU6UzC7MMKbPhsJGKUSCWa67v1TdTZx9dmBCH63d7rcuyyQBVAj4pENeV85Q2bMEmrUn2NO9zv0m/NhyI2DsqC+B//AcqvED34ZmoIvF6jTJik/aGcR9qdBbvMQ0CBAJm3s8rzQjSQJKLSsmxyLS6FiIZo=</t>
  </si>
  <si>
    <t>9r3kSl99U9AJHxPGTtHCBkddTgxGz5hfq1rS7j7A5RQmnVlktP0KwL8AktHD9YBhFU6rc80cq3ohkNB1HgDMOA6neN0LdXoCxd8ShJXPQG4tyKBIzCND6a8QKqPYhfvFqQ+KYBvWw8IIbVWUKukLNY2cL306PgBtilu+F3fAvfLFE0WVucafVf2mMFXi6M75cbfJDJlSvzohG5atBJntTJluwB3WEe7ncl4qXocXHiK31MMpwYJ0gAo3ZxM=</t>
  </si>
  <si>
    <t>XtRejLKSCcuBK4BEy7af3KN9XdqHZeFzzn2lMb6guCZCcG1bBMS3QomsuBeEjmDak7KPf0yWlYTql5DmOVn3EkLtos9p5pPJg2jyonc4r5SVXxuS2CLE0CvTxLziZbSBuCjMXkHKGzdTZWwkU5ma1xrkITtkY4HKCjuUL12jm3tKds6wYMfeCY86A6yCHQCHN4iaPUR0N6xrJOwiZjuuJrRESg23rVLthAb3M5rgCz2hA6EqAgElpiJWIrc=</t>
  </si>
  <si>
    <t>34MG5m5hebKK2zDB9Guj2y8DjqfFF3VNLtzJHbW9U6nk39dhDCm7U48XpzSH6X0Ghg44cyKWOlGVJAmrtNXnDiMP0udepLsk72b1zr7bb+MwCUovTC2wy2Zz+obU8TDORbKCMFtqbsWMSiZCO/PLl5iDG4Y+9zFu0RkIGPSTMe8LQE+vXJqL4+0LL6Stt6lwQ8CLiskuva5q0emSqUe3CfjOUeZpg8QNWraaH6yeOeLDl/9QDVrfbs77nxM=</t>
  </si>
  <si>
    <t>05CBelaWeiHKtwXhjhyxyDOF/X2BY2//A4vjTYHSxu6XgPEODE5dOtueroS1bdttmEuyx2+MT+kkbpsQ2WNjHJ0ojdDrzBNC4aamRb3WGjKX1AfOAvAw18iQfWyH6GAlERbxMTVJ+LwuNEmAxFzrRV8M+GuIdWgsLrR5Ej7xnJ0/UvaFOCJfQvyTFqa9fPiymi1UNl0P97ZrYYFlNf7npWaU1cudbxEpIysJ0Ak//FJWU5jH2Q+336K3aUA=</t>
  </si>
  <si>
    <t>rL8LrLcA0Uc2kjaOSUDdM2IlWuqACXJ1E6ek0UdF+u6GDuMFt2fBYDbMjHyYQvZL9iyKHn7qPR/CRzOcso2GDofXHCmLNRzIU5+wKGfo6dQ2+xKGQGqxHPrgSj4oMzDfv2UgqRs61PnfS7yL9O4MJoJ9fPU6HSJn3sMPm//OO27i9M1ntvzCS2FB+TZArUzigqyz+lL+kXbBcTh4va/rsOCJ0EhfEEU7EzljrIl0WMkaGfuCHmddN57Lp+8=</t>
  </si>
  <si>
    <t>UL0sIDIAnKbHoy2rRujlZ1bSV88g59miUsBn3Ldi8NQgSQ8SW1LXatskBHxnpW5Yp3u9pwzVC1HaX1voD3Gznvg4QkHQblFdpL4RK/RVXw7aJ4YWsib6qUV+zkDbAbBsfCduj6xbjyvcp6SW3DiTTd95BM12G2QZU2+LSD4oU+zwNqiRaQruWpQzefug/+GwNKcY5OLOIGRrxcT8KRlo8klEKtKbGI56rOuF6Fqy3pe9Rjn+MhKWxIZQtIc=</t>
  </si>
  <si>
    <t>FY9h0iIs/GQkEtsKt2Iy7DxSwozmKW11M8Kl5fsWEyBNQ17yP0y5LBjITL5huM4Mb9a6iiqXCMpYLzGVUQK0sXYYhogS6XodlgkYQ9HQUlMid4HM8TA3Yp4kdI4otjCFJ7hzXhXyaVKtLJf5OlbydJxMkOAcJlDRM/vz3C2s5EK+N36od8RQjSJlds46BE5S8Vb5uvTrXAJzKiLNgZWRoo5JAnTsL0Rk0br+J9g35sgzn7MBg4j3D1yMyFI=</t>
  </si>
  <si>
    <t>kLUFMnlJWbxkJUV4U/GzvrE5OxZk7eU7eR0bLl/qjmiHElzPhQOQ7Q9U+XWyxGLogoPth/MdDZ/dV/jGgvugxzWYL+nJ+yoZH054dgRb16dY6KVK4+FPIK9Gc/FOcg5Nz6Tj60FyG7oLfI18HlAAnyUhYyhw+LQYpBvAQ9Els/gDgLG32G1jwK6ANIwk8I3jv++IyYLGatXLeFKcq/Jf3mKF9nUjbrhGkIVGHccx2nx0YEADEDWbCAzOe3A=</t>
  </si>
  <si>
    <t>HQNZAQGHmhHq80v1QF8Uv1LcYd4/lNWqGe/Cn7BR68eihA+SKysGbFZLgTBb/4h5SnySybl3haOfiJLaqc3DQhluU5QdkgqcsBnACTWXyWFwkFQreOaDVwE6mlNHqmwkvhz4WGGHQDb7aBFXHbMxhpAGnxPl1oz0/ZrSRjjr85klFxCIHetc2axQ94jaNBf19d2BSU6AeD4nqPGZm/cYJBQXCim1JQS+sZt/kGPuMtaOhsA3655PmEpM4XM=</t>
  </si>
  <si>
    <t>U7vcnviL1LysEkvkwEiVo42lh1UEBWHy9nNRFMkF0jbtZa2mZCtFADRcRgQ4JqjYVYzZVdxj0LHqBlPFRT/26VZn5yVVI2NCvsOY1lc+3DBDfp9vy4A3dTPgGJ8+HxZWy4sN/xrHJYAEduJ4+Xy9LjlPuefDpmknUKJS+86maJrz+rSRcFjcCMOpXKuLXUzbjoMWRJKHVJL5DCFrlioT0jY3PFOYRorWOfr9jcDvP4rF1YdVrxwd5gACtK4=</t>
  </si>
  <si>
    <t>m0bXRjt7DPYYdn0PXOsRyg1HQd439zBITExv9uDjku6WjAg7TwIYdObI95lskxmgdMKKkVnuMJkV9EXtIBXy5gSY0ntGQt2se7pY+lOlHDG+2ArpC1n9kCKrAXSszf7RE57aXGiagFkIgenf1Hb4pSK0j1sAshiWEaH5Vo/uG8+JHZ2e3MjHNNvZMp+W3nMd/jm77EQ4biVM7ly1/2OxnJGlHtha0axt0a1bMrFIc9tybxiZpfO4GkVQmt4=</t>
  </si>
  <si>
    <t>gFjEsgYD1atxrOb8yFPMEt9eeCswExlsRnlAAJqchug/SErZJUT7SyP8oYeXjC6kIsuGZYtcvviNRQ7LEtmmNds9N+0U7nTkqtwyNGx8Z953N2YXWDIVk4ftSuN+j50THw+hjM42ruNg9piAv7YVqaiU9hnVBnr3+/310t4i8p4T4aeu0uw6Fi1H/DLSJQ4RFn0v+3XmxwDy+COwKJhuKZWPY6T8aiGT2kYzhtmHwR6iaa5eBYiUG8TcLIE=</t>
  </si>
  <si>
    <t>DVplPmSRtu98AVqkaHtpqMgzGcNdxRkxnZVZD3T7z5GxI5hauQ5Mbhh1Oe7hS+uLVohJOvbS82Iq/KXJVp6goJ001FWO4jtV7pOQS2DVE0XeWCCuhIYH6rhqxXsGUu1RV9SjtRIzASUbq9Gtu9fdBWzSmXAxoI0Gc3eVx/f86/vXAbT8JvLkUFYk8cf8LmOwq+CRqMrXFzpb67hqL6FfXlOipq2iE1py3asqNdmk5ivigB3xKKS3QrKXKS8=</t>
  </si>
  <si>
    <t>MbMP+8r4dPr1Jbh6wp4hk6o+28eespZ4jVFCGor1/IlrXBMy2Etl6wXuiVyUq11vyPu77svHVoyglB4V94Vhqkha8dXKxuwM/2w1RQQoM4ESbEps9Ojm9YPAU3qhclE0rN0QTTKyGq1dZXUpsOQ11pE8i7QpZ1BXsvjRoWBzIj+gSLbXKrcNeYQAFX1sP3if7TBOrwwjXAfhJ32muLJ6BWkNR80rCrepcMNwtrHqTcFKYDJvj2zL10kSFh8=</t>
  </si>
  <si>
    <t>Kjmjo8DWHHk4CvrWc2/ygEKzH6gtCouyaU+/FYXizZC2Kr2UETMCXAPejpljTVtP+ohjwNJMPkT3OvDv+qH2m5/0QavD0l9qeKckybemu5j3KUL0s/kiEoey3JM+aBVcYqbg66uocJCX4BvcY7sv8OuWGf4jKr/ii14fw1DF9diofz0BgeViQa3BNOrn1o+u5vA2SbAuMXPIrVvHKJ2s1yx3l3VmEjRrfACb2IAlvYc0og9AEjLWe1BhqFE=</t>
  </si>
  <si>
    <t>iRwy2lyejNSGUPF6X19Ov0In+eU79PwyFwhtQGB7vQsKcNprxYi9ydqSISFB/LSdwrNLYeQ9Nr6eW27rKjlCbfqouAF8D70eECt4mMKktr00TA7Lnfyc46ELPDj/9X14Ti/8teMqp+2oLAXS4ZzdZeOxQes13M0V+DsAw3VMHzK86FmETr6mxlHxCeApZ5vSgQQ69hXRutxptauM55Me5G8/T+vnr5tQ3oC1BWmjrEnI9AnB6V9uKcVbZR0=</t>
  </si>
  <si>
    <t>i3Pv3MCjOjveHLdCCUL6N8er40Dxq+SaKnJskf0ms2T6EU9g+pGBCN7DpyvttPNQ8H/5k2oLr2KlQ4D4JW2qCV1dveX4Pp1gAiBymtWnj8TmNLbXXkEoHVEFWwA1kuCMVoU5py9MaOClRZuE8Evq+aTCnV2saACNFSrzDa70JB2uJk3hYMRYm3PY/wrD0Nv+fLfBIQtR0Fw61HR1m/OtWA8ZgBhQZhQ5/XnhciGPcuQhkYUGuC4rLY4cHlI=</t>
  </si>
  <si>
    <t>9knw2mCzXpUglbWR6QJLvjWKktYz1AeCDUkU+LInECI/ET0QhQee4ChaeDk4kdk6VaGGL+Ua8XrPS4s7CyvWHEgCoE1wseSTLKihE6fZYHorKxAtXT2NcLBSa40LvyI6re167JRaNjHeatnNBedSFP1qSdy3MTdbXzcQJoEiqeSutZe9txmIEdcAfvZlGOr8latnb+R205VIuBRNQYFfz7TrMGnU7QjzMuStTHo5lovktI5aFwaOzLQexeA=</t>
  </si>
  <si>
    <t>AS53/xpd+TT2klBDyJUtBxrY5Zv4IvoujFWe8G8aEZPuogAD+qu4E7r1lRJsMVDu33KX6aTiSb781hroc87l+t0vFjjGtBP4HFl+bUPejf6oWoJBO0Qdyfd+DOof5oO7P+iq6sKzdUSqZH+wWQVMRziGt3wZvWNjFzcvmF+xsYwSTiocxsLaPIe0RI5dzc7I5f8dkUfV7O7usnTUvamMg5IFB5IR6oI5Nmr1Z05WpJdrafaw8WZinJataQU=</t>
  </si>
  <si>
    <t>s37DfLGBUtSv3hQzAp9vbSMY/m2tfn56Qj35JmbOV56kEvFxXPSrae4ufjtkc+bt8mN/qDHNFh2Gjyxd3wDSB9fcttMW1uMgHnrq2IDVrKwjPzN4jN98TnqlncGj6wyyUchugn5CrDAbajT8SSRHKWcvGZyACeHLrIWBw52RrDIwFpjCJcGfjd3amXI6H3KltUHpqtxLMPb0Nimpaxjz8aEg3EvvmU6DX/5AqYQhPQ+HWH2avHDbaNzKWM8=</t>
  </si>
  <si>
    <t>m32+yqu1MLgVQV35UGa33bWYLIzMu1YltATMx7hRiC4l+7NslmEnUy1sf4pyfXN4ruaHGKjW0XGk7DohDyHJKuCE7rsdR/nGp4U4f6TsD/vvcrlQeaK9evJpKTpV+pWZjV/9MhGHfxDzZ3tsW6RHmxJYG+zCkJAiJqPy6cYV1EjF0raVzldQx++54/CbVl39cy89KtXMWJkjZKHWosGBHepwALG1HC/4OmtCdAXkao7HTNYhr0H7ofUs1uA=</t>
  </si>
  <si>
    <t>bvsPbO0FS4OmVjBnxEb2Khl1u9LqYIF8U46J16lQXMW2cTsWz/qoO2ODBdKMAj+JzewreSLhwQh6N7iyoiXkokYIX4LQG3qgGEs21s4JSaGYjr1na56NKfhJztcWEyTof+/KcHQHncTWU2Z6CsPVPyGEzYqJ7vC6W3euMBD5Qz3iVjJFXjXZZ+ZbJc4gQR3zxI0KLj7LM8JnIxJMNzS470Blpdl+pIhzHjxAOX3l2U18V39HoJT5Xe0gDKo=</t>
  </si>
  <si>
    <t>W8H4Gbiy6uOGyxXctkpfcZ6muBzTsLy3k3CuIKe9i4bPA8y3hLzrucXWvDKmt41VYh9fP9ECN46jg2Cf7LIz9pHGIF/k1GxovqoK+dHmx/iyAUSwdRFIGzzx8SZFVvcM+5YmtjFxoiOB8DeogZSAaB6C54Flh7W+07222lUnuaJFL1+L0JXpGok0OhBlojy1hxhow/5+ppr36Mx2jDsJvz6DF0ze5jga1XiwNlxyp5hFvGImB4aZtBeUHGE=</t>
  </si>
  <si>
    <t>qXcdLgBepUxGZiCtuU8wRN4tF8qPGdWvSr+JcwAp5U+bffhSk8X9DZ70w5+ouW2BC2tQkkfTrhUVy4PeTcdiW5d7kCTzjKBXVJA9YoEGr/1eR3M8NxqxhusjuyL6/beTaHTEIgXrIQtI2rbEJTWRFK8UmzcXwEZy/23cx2mZB4Z+Q1HSgEYYRWQtzSDXtLWaWNoKcXnASwDF7d1EKVQvRkxorI8ZoWpYGX0prHoXAns2IH8B0whLoXIxZLQ=</t>
  </si>
  <si>
    <t>aCbekD0+/GS0RvTq5AJVIHG+eTJ0rbJ2E2ArbBxXnn/Oukedh1chMRB7FNqk6UzSmH1JZaXOxwE4j6KVZ68Z4As+6ZbJVclvJJI+W2UfhAWE6bjYiYcvGfJcMk48cGM/3ZfhJCP66IY2+a02f97uqS91M4yNGjHXpnWbljMs11bElwzswp51NjGHHCQMSNJ6RuctbFOsMi/XYiGWt4rDPj6YI+5uOzfUA0s69Zo2dDdyde8DV8zHjrXkUSc=</t>
  </si>
  <si>
    <t>+jxfwsAoU9AhNhNFat0urpU7Ifh8XDKyVRq5gaYvm+1yoxSVXM07m6/AWCFOnI8+6kByQNeFoQMxaH5xnXtyyezYtIT2TgfqLevii/fNQqM5nDfjjBnvGSibbZEEDzyjQXryKyDOR/g58NHe6mmr8yq/wHJuC1aNQX9kSLmePylJOTVBmykhJbl6r2MQse0rJAwxtBOGTBPW3QsUj4jgu3w05IGTI14TRXWRpXB5IoXPCH7Et2f6GtESV5A=</t>
  </si>
  <si>
    <t>0wE3Vv5uz0IPVgjgfU5G7ZWZTvoNnrQxqbsAeXpp7nXAbb6KUGxotCibUOeo0279AF8pgOKJfl6gKwWUOMluUXKMVqPAQn7uf3UpO+lOwWp8/tl6kbpVjFj/NaIRgMrj7ryWkpzyZ7itnR0M8e+Bk2QSqEx33WCg6PfjXE7HE5mKQ8gvOxaGANTCm/crwX6/gtGfhRllSQAXO8EV6hoXWm8NGh+UJH5XHyY56oPLUBH0MmZkbF0BfEqv0CY=</t>
  </si>
  <si>
    <t>ag8L6pcmaZ8HMtTxmauQYUadACy+tNuPea/rCqYCi/AbLEIheCcVH+ExQM2OrI4IeyR+Yt3douRD6R7v+AxuQiVKW6s4a/K6cN3pcPR4AwsYe+EnrOQxdlmgKqjZHM8LENmv1aZf/sss+xxGkh+wXGJlw7XaihnUdhRE3ztcrmzDNrhfNlREIEL2DWNkz2lEtl5eqTOpBKMF5VjYaMfBWAyWkaUn5c6dO1a/SirVnFIN27iYVhQp4znuQBU=</t>
  </si>
  <si>
    <t>oFiJXmt41B/uT5XDjDZHcAq3C/F2x/iU4wnL96Y6o7l73tauVcLwlgeSAlkDVBq1sjoWhKh8faO0oeRyMTvbdAsWh8C+UOwOoh0Bz3RdSF+KYNMHldH0P/cYrl42ffz1WYgRvb/XxfXmfCJ54DusCaJvxLC7biX0Y12Br+VH2Ma1BauIGPUjIm6pvT/sKq5Lkskv33PSbrG5Y7I95h94ocEkd2PKEAe6oMDF2aEJi0TjEthgLQaeK/b8g7E=</t>
  </si>
  <si>
    <t>RIIocQc3sngQaIRHzisbBYVIcgtM3xoXvwlKrvr4NQB97eGLyzeyk4hk081qxlKONuYp4BzsWeBBAhf8qx58X609Owgcfa1dxMcu4mkPoELl36LYSrzcldEI2GInBx5UGrSPgbGKtLyQkylGh+jvig4dXGdu+7mff9MGT8uwkt4nX7LTe4+c5Sq3GkLv9GD/m3XK6HxW/KU4UbeJ6e3v8X7+6n5LKQcJjrl/afSqtT52zBXr+hg8hxPMtE0=</t>
  </si>
  <si>
    <t>sDYMxQtCr2axKaQLmSDBj+KgupZMBWXkKWeVD8SmhHD/r676IdiDRWL6VzApy5qB5EObMZ1pBm2mtTgnKqvsXrPyMrPnsUtbyQZBvSVkOV68GppN7U5JwuoJlla01ALwHeM4Uh3/03vlZ6cPKUlhDATGZZUifST+i84Sr9IKHjvmHXozTK63rtlna3c6QJXG1PKpHcB8rOL6d16vrezJZT8QCK1L7AliPohPOcwUE3rRR0MC0ZAQ1lOugMs=</t>
  </si>
  <si>
    <t>lyhXuu7qhDw3lMT8w7CCZI00F6cqqO/pZlSpXSKh4zdiRTQ/q2C8QFQ1Xm0FZLOrbfFG+ElUTqSzvqZ77TD7UQ/vOqfCXFlUvL+8d/5U9VoEQdR1zEeHTHdooAcMFS2qdE1YwN34NC0TPGd5FP7G2Dit8Xf8OZYh5+nrS5CHSEaJ95MbJQRetnnOL6Ykaxc2G/MNY3HRLYoKwkfneYf/t+2dM3Q7oVY+ZcfgThM4Kv+23NFjfcDA42Fz2oQ=</t>
  </si>
  <si>
    <t>AAMPp/p8Y+hDPwl6NQlHGitZ2kJoL+h5fpvFDcZ/5/5fetuXJeARnzuOQcsShr48xVk9mPa8OtQxDQNpznUp2fJoOBsWNR3xClWZxBzQ1Ti10xbVNBhLpPGl/SPUUxteAm28PvtCGU43anwncCs6nnXSqkY3lxiRc5YVOOlBbOa7asyMX1J4PofHvnvxrUbXtsxdtaV0Z3acbA7dGDxfeZMW6iz5n/8gsDpPCR8iTiq2cb9+zNXq+qtlODM=</t>
  </si>
  <si>
    <t>Bj+4X3PxRDXmyqkbrvIMuagNOjlplcwBqRQmUYs5MvbIUUBNvn7hLHTWrlCpJmazP/5g9pxgPX4rRg30r7s5YZ6bQUVHh4dc2SgSU+7EvHMXyFu5LU6jnmdZL/31jRRLTRQqwrHPxLZn/PGaORMuP1o/1RcrIybvezaGllqAFcenLx1EkzDnxgn+JQIiYHtkYrFUP1zkUbiV+XEe4bMqrRw231f15kjJORgbwa8NLjEHDSFN4PHYCSlitCY=</t>
  </si>
  <si>
    <t>HHLxLPvEoF3Uf3v0oRs/P1PEGhVal2Pviu4sJ6d0CcbvSy0AiSa5nTp0oSoSRA6R6CY65LagMN8568bP13BvR82nyqi5GdAemt5TSsfV5bTxWPSPb/WNZxljVLVJdjP/hxrl7LdBKxDCYyjzeyq359pxEDHcbH5wxC9JBl0G1LxO81kzA4ZGCe9rPWw4ijn/rIWFSB1me71Pc2/xDFwEp+fe2/+RyVjTr4AVlCnfDqSsFOB2vpz4lNJvzL4=</t>
  </si>
  <si>
    <t>tbdWCDfrAL9nG4m+kolBcRGcDwZIykaRLINPSOCs7GRywSNAZ+6EvMl0UnuNUrzcjMORFSQZOUqrjcky45UHR8EUV0rI9YGQ7DTSB9VQf5vKUNQrPCu7Pi14nVwatzieHhmlD1OfYOlmafnOpdkqeqwUs7yB+Oi34SQYWAUbhdqQ5j3OXgLjbPuQsuvrJ4b0oh5qqPfIIhEDuVHxBB6m0pK0m8Wqel13UZVXI9erdO0pm2w8xGj64TUw4jI=</t>
  </si>
  <si>
    <t>ItfE8EnjWBdDz3dtbUuOhqz84uBPW+v/oq5k+sVknjup4e2T7dFabBpS2XAZ+sk4ZaDBfw9K4kBAtWMpWtzvd9P6O+jfWTolrOi0rwLgy0dGblWI16vumUdnjLeia9HkEtXL5y0KcASkZHZqFWwiyBVRtaTKf7omNQseuOiJgP168zl9RoJTecVZ/i8GOYHHGkHNVRPLtONG256XRjHvDJWLgP8ZwATWE9EOjNCLZ9rh1CATLaXKE/Lkxks=</t>
  </si>
  <si>
    <t>F7hEBvs4ynKYoJ5SDxMGRQ+MK7++ZxgThWxMbuYvYUXIWkSRycA1HE58F5kQ83evluzyCRzl5S5PXKNq3pS6NjCMODLXInUrdDHzmLQ1FvrEGYJsfBZ1IbWXAyUuzdkUk69zAukmaMQ+W9U6S/XHDOhRUCrcSlPnU3fAufhCISHGSr3bJucpEGZjz+QKK8epptRlQAI+X7KEcHAHlVeqNoIDssILcWWYvyJP51vJrzxx3H7GPFO0a+dg8rs=</t>
  </si>
  <si>
    <t>8GPH502R0A0QXXaI20vMJY7ozTsl9i3EF/4HYpSQ2/cZrNKTIQwXyYEzzT0HEixjj1WATnWl0q8TPnN47/PhHfp/xU5vOOZS4uS3cRHU92r+fim9ws0tzkUecy1LFBuKGYYvFFn3+g6j9wh16gwxvhXJ6YWSfeX0Itppws+y/AGJG6tSQMvu7PvHwABGJH0NpJS843kxbtl2Lp1ktrsOfN/pBunm/XHpgodQTQaE94haCwby8sn3kxfjeRk=</t>
  </si>
  <si>
    <t>GQqFbQ9HkmBGbPHbQBxJazm30+eNMZl4jtt88tXJaDUgn1AMOye+KLRQevOGbTI2jlHnfhmJTcY/WF3P7BVmKSrTwCQO2aGVDYDgaB4nH7YVfkBBIJl56psvUhP/N1vWKZSma1qtnkHUOD9+R6MVOLf/xPiJhrQ42N/oq8upeVh6e/TYn/E/5uxROjYs+d4zZbFfjcLul8bj198mCittoCYWjpadOrmcNQkq/BKl0PyCEe0155rySzJ2WPw=</t>
  </si>
  <si>
    <t>eJZyiA78DWJD7IJndNoTLbOv1dWaS3gI2/EqSBrK/ngzNGqc0rAzwZXqSxtqL3HulyvfZ16AuQGQJUGXclLaYC0AsKZJYvou16jfn3woQK+UQLmq8GXShspGgHdS/rAf2DcSDbxov0NH3+utxZpYfDlXKhGMWOzX4x6Gi8U48xzvO/IzYidueripKgeH313tHHg6DdNGZce88VCUNLfqpkVnfPE8AmmC4eQVZEue2OSi25m/r4quYL8uqx0=</t>
  </si>
  <si>
    <t>WH8dVRQZjI6MpoCATqQcfcVse29dHtks8CspdmSLTRHjB6U9v5fn9a0xUBjfsRSU+GSxbsbk4eJvyx/nln/SiEAJKb53CdVWwEDZ0kPSduQf189Np2lIzez5jeb9pK8G94KS1WFt5W5a5y3M0ELFctB+AOubJcFUrjKqHHGSoyQrkgWMm8aBucZ6lMVfljoSwhr4KHGUhbKlmWIXffLEAJt3HsSwxAVfOp/se9cdYJoxqrRGklIIMC/xAk0=</t>
  </si>
  <si>
    <t>j4x4fZjzry8M0zNeyHcMk2e0acvSMXIoZLNEQ+X6042h2hWtzmmP14OowtgLhvqghXxLir9/zVu9A0ec85nFa7l2xyZo5WlnjWMGbzE3V5HhlqKe3f8nBkqk8uYXaz0pp0f3YPrwwdDbkYE9vPWeYzff9Q4zh2MxgctCmAQBElcJAV1PGr+pHH3kbL7kQnjs66azKo0Fqh/o9pkBSBY5xh64Ufw2bwXBPFmFWH9hadK8QpX6oWJIRhc2j/g=</t>
  </si>
  <si>
    <t>D2L6Gkboy5/36lKKremn0CU8Z9CFOqBSXUJjgiccVFU/oOGt9DSRPXWLC12i96XEqjILpVI2WCSszzhyqq7Zufakp8Qllmyt6A3C2c6KnmUCbZ3vL8ZLmIqi/tX87gvHZtksMf25FNB0E/XmEZHB3iCCmjj7VpJ7SIvfOZBHcCtZT6JBZQNGnz3W7px+EQn3KOAjdBwkfoJ6QIG+ndjfrVLp1eU00aQdvARvo+ApXw7iN1rSwkr5WSlnnzQ=</t>
  </si>
  <si>
    <t>ekunENVBl9VjwvyPEUjrPviXnj83bihOfhKxxzxQbo7gKAeg4j9KOFF1DbEDbZ5kPpoVxpR7++OtRxRig14LW3JCBw48G3aHSY2qa/XYs70xJn/FHbT18RK61nKPITxfMpHY3e9dz3zhmWqTEETpuxtioITGj2cY7Zo8o826dR+7u3BWTNBuMn5rvwZ6VV4GBNkvm/o7J4+Vr0TElzF+rQFW33YbQ3p8XpTTMBK5ZHOsvbl0Se2dwOARXKE=</t>
  </si>
  <si>
    <t>vPh80mp8lNFSw5BBSQMfVMLFoJvFN6u6HLV2D6O+ea9JcBlsuF7EaehPc8+Jg3tREu3bmgg1dHDVHi0CSmgAYTLPr9lDicfSmOAOV0yCX76rFWbqsYIMwxi1f6pPV+XoFeDHpgZ9Pi+kKonskLL7vQnMVVRPuhLxznKrUtvNvn7KGabzoLQNT+/omJ04/ikBvzC0qqaX7+JIkgUBpiiVRM3rq2kyOUtSf0RflsaaXoi3K+97CNIX+rhIgqw=</t>
  </si>
  <si>
    <t>V7KthpTWFCq0uMKp7MM5XjBN0arS6kEwvRlTTkHnfzpyDc/2ec/eLMudYa7vFdLIx7bXL6EwgU701rqYtpaSqP96sH8wDel+YIftEHkhaxyZx2gu/uqDKgZ/c/reQBapnRULhnWvnoVCzhB1o6hQ6ePrF7TD3LPr859JeydpUZsU3njmAwa8xKZTSmsXvVIHLknlj1tDlPzQPoYad0FqZqYdr7RYlhdx3mUxlDNBivsKqLJfg21bZWA9Q0c=</t>
  </si>
  <si>
    <t>uZjHhNFv7ojVX+Aw/AuszwLPK/tGky0F/1fXq3xoc4jIx5buncU6+hIQ9uTjsq5B40y9pIMKB26lWycsNRx7UaKcv8c1aNyHE1NUJqELR6kY4ImcrAkeGyHjENUdKp1hIiWW8MSc9ZZ1vFoHBUc24lyFYus7/cxh+YI0sj8oyI++TOVMSt/+JEZd9dy/rwED49rgB8QCnfc69/SSEofUdc5oU7AkBbpkd4bV2uYV5Ygw44eVdFG5nWt5Se0=</t>
  </si>
  <si>
    <t>LcBzqfnOfp7xHstPyMdUeK77PI13LUzKJMdHR1xWePc/WHYxuD/nMzzv7VNIBkSUh4QI7OgRx5uyJaD0xlAx/gmz0AJM9yIqsv7lXqKH9yy5QbXJC7LmAceQxfKOJl6p+KdddYKAOph88KsmZa1CWKryUgnYZn76Ks7zDCqv6ZjeRNKaDTZyhJXP677G5LY0c1knsETV3EbuIFm5LvhkKRiNszJxiiQSEG1gtrqMAlbpjFuih2sAeRpTNT4=</t>
  </si>
  <si>
    <t>rni9p6hOw0/yC/Ss4NR7AlQz6X8opITRlhCFh1HqzcXfhl5tHqvw0ho4VSKWJcmKDBPzHTopNaKafr25fJ7xz6DAp7Ew/IShF99OJlK13HrgP0c4rd47d+yabKj5YWyYeKZbheHLFiyOE9P1uwbV6zBZb5uooOj23SClTIIMS+LsiJs9Iof5+Bz4iOWZryXJ3AfK+9RP6SCT9visqswGqfUVATmFwgNzXTZrM0yj4Rr6tH5k1pptfJAcokQ=</t>
  </si>
  <si>
    <t>Mo92HB4iVPUrzMuUlomsqtC9xd5CqK0lR6dMa6gxroJRxXehIUtqGXlDyZ+E8o86X2ZjbR4h4H9B5YD/j0bTo8KFEP48q0YcVELDqoT817X/tK+dY0zX2GlrlKrHErXwiHeL0l+9Z/ZHA/UD5HYUJnrWYXWi7LaiafSCFVurf02liVCGg3V5ZefmL/TzTu60avkN53fyAskV53j7mUVOw/GJAH1fu+KEVr/MLm1OUmKUaffaISHy+lvmS7Q=</t>
  </si>
  <si>
    <t>2G4AD8biaCaOJnA74TJou7/aD3ay8yYKuy0iVXDEpDCjsAX9Xgb0f0+o07pe4G3solCx3idJ1qxh3jIRXROVqJIlrg1Xvy2JkX55Gi3gU4mdxKK3oMp6Jjr4WTedw1Oqxviw/4MLg6t1bgg1oUuJ3JsJNFHhx1aS4Vf86qQm/jibT4lD2x4xcmg0H8v6Fph5OeZ2J1kjneQU2x4Rru4OLpe38Y1F5iWgXMR6US7utt/OdN8TdN6ph493Q0g=</t>
  </si>
  <si>
    <t>u17Ih/1i/7Zt8fQPIdqXXKLn+Eq2OsZgCZ49fmzhbsYRKwe8Zl4l5QlwPoJUqnaUnnePfX5RtN90sn6zPFeeN1iJZN79U1+bu+4zOgAMvo+5C9Lwv9RKpj2uuCsh23uaBXwXaHLtlBXrPdJ/N8gJi62WXnyXbX47BU3v1dfeAVrzZ71pH8ZdOF6NY9gGqmjco+fb8w/19TXDtJCD9vZyL0vO1pHqv/AsEE5X93OJaKMHPVi9I/jeLe5d+5g=</t>
  </si>
  <si>
    <t>6jcFHDra9g1XCuPX4IoNg52BliHtOG/2qJ1DuvvasFfhVFpebpLPad62QkQQ/ViRVg4p0/+Z2zOc8QrPhg4CDPGsmYj787A8drdMTj6EQSFU3J4VJg/8rQbH7qh3lhzm+FbnPHDFFCsnXqnlhww0Z0xOI+C3q9tlNmjF9s8mX87NYzWa1zY5j7tCpw16QOb6moIt9YraZJJj7CtCYUZX5BZKA1W2KrFQaF5D374h8x/v3JoYaxVygVzkJSQ=</t>
  </si>
  <si>
    <t>m6KSHa7qmVkxxEhJ2fV33T+BFISW/18uTRR8L2IZELrquR2iN2+XxcWvfRC8QrLJCafr4x4zfkeepjBwXgdKyoTVtZxCa7Mfgw7qNFj7PJbPhQDtnsek6VA1Q1LARHPecxtWGKH2j2Ag43k98G6SJDrDyb672vo3f1RBWOlyflDz9TgufDjAinqkiPXeommAOiL5IZ3HJwgaB9lEe4cmjAf3T71tYtj+2Guc5SIpAG8puxKi3u4ywk4xnlQ=</t>
  </si>
  <si>
    <t>O8c7dSEt+9058TSrOgxOk2VySufpFIBLEV7JdGIBO4HqRqgEI+UEfsoB1y+BNXyiHVLJCafWQW4g7FeQK/VZgmrNDcJpcZZKiJAABnH6QQnIzmU+tGVc0hAr1MV5gsWGlogn4qFGo3beSMA0qPo4Qe7XcTXqdb2T1s10kH2zSg+yntzlYsX0GnEVkoueuHnYz7cMn/Gu/o3ru1Fjc6Aa+jpTVc/gVek6Njo/bkuAae1/89lqTksDzoEvho8=</t>
  </si>
  <si>
    <t>vXiaVblH0nD2yZecWsDJidn7o/UVSHJFZuIjOJTqSI1I1I3tqs3RmcHIGunRVSd0gHENTN6+LpO6uPhKSTTic/gIU+AL2BOgBduwv+XzSWlxi5+MwmXO5hqSf+IuVGg+J8fFEIwT4EPojTnuSO+zzlzrX2TWlITKEtZw0ty183Lzi6WT5aCcwZREtSPqiWSrf1Abzghy4vDgO4IVMTNDujI++3USwQcUhqHpOUG3XYBgADLRqUveBZmGSk0=</t>
  </si>
  <si>
    <t>AkbqbcMRE9Ek9GGWy1RJLhjJkATXne83Za3wtSpUZPWx/l2CSSlT1Z2NE33+kRX597FisDoFyWz6p4pML26HDuCjj3+BhOSv7Qwc9gqTvn++oiBTVSCDJla8trlvzSYEu3NMkXI33IDJM5hUM2juwpCswUhbaQIcQIxyzwxlZggVldHCN2S4ux9Gvr3bc4vPPAihobWIGDVSQz7Ly718F3Y6A387s67wR4UZSQx8B6FfgEpCPVDAdMCi+t4=</t>
  </si>
  <si>
    <t>le+ObuPQxVi9kB7+iLOKXJ2hD/DyE01qX5k+qtWEr7b1EtiXE018RO+E8+Ct7oi2Vs5WWumAgTpJEmZ410db7uIkFde8K7FE32Iza5o0LICX3wREX2IazAOr4l3COodjjvyxMr5aOoLyYUeUeX94CkC9w/0lGMClhjvGNPizm1/+os2R6fC7Og+wpATnDD4q/mro4RFD0JFJ7GaYs1H7Gg6Z3eugeKn2QrbKcFee1h6dSB4ruz89sfT5upY=</t>
  </si>
  <si>
    <t>NrRoPoLJoYsFEkuoTXU/YCynktxElFNQSyFVf5DBrd44OwnNsqMzL80oHkBaqjsOf7h3LB0PnpZHzSAte1imt9kd6WTwI4/phfGh7qVOIq6J0shSoWnsPh1g6vN4Wz4Bd57vUMFIbcm+rquicpW+3u/IdlP++ruf3G90v5X+G1rJlWm06RtXsw0+SUXk0Ft1yHMpHnzPgAT8V8x9dUDpCyJhySyMF1+gIXZv5Tw9eH6JwuAu86hmXRQdc6g=</t>
  </si>
  <si>
    <t>cD9e4GVbD9+/FJx1P8RmhXXPx3OMXYyKb9aOWCeNEM16t+hoKArK/CumlHAyO0qOPYWTiGxWceyOLQYjj1RSHY1S0KENYl16prAQmvvmTL29tcklDjHdxjBPVk074AthPBQFmIUIOpEe5RxwdXFSLHTTSYlulsXZePPQGKfPoLZhEFQ6dgOfcSMTC/kOFUYX0eS0evLE/3A0Ox4lfKq+eXGI+DnSgrVicNp92xU4FTssp75rzNNI1wMRDhI=</t>
  </si>
  <si>
    <t>L3nzb1N2xgiBn+/p/QtNY5A9Vj/CLcZGCoqNwOWurwLMIjOYXv8bdecoY0OFBoZpD9JD3zbArvijhTVK+a83GZR2ObWC+Nlk9nH739Ooepb/c9p1e3o/wfIuYjra1d/h+AmkJt4cSt284/G8QwS8qynSIzaqVfRc/l+S83ujryPPg0P/bj6KNzkLwBrpaJ6DiwtR3x0OsxW9Xl9MwIqDdliSoZrblCKkRpmiMqyutj+zVP7MKno0/Zvk8i8=</t>
  </si>
  <si>
    <t>5/LDghCLp5FGHMQ5KYxLq5YN17FDrzQYwqGGmti2+cayxLy+BMyg9JwrZ9RSFNDO3KXcckxeAIJ564Mt9Y1l1Vp/OkgoBC0sgkX27MFphVfIVAacmdsVZLKUwWeSxMq3Rx5r5A8yjICJJolCx2nZYi59cRVvM5y+lmNfo9XS/YOLicTJQqbD6nJ4D49/cIhMfI+FwyTgowZbQGC5gYFdun3cupBeOsIYi73QzMBWMdul7LH9H1HF0z8k9zI=</t>
  </si>
  <si>
    <t>8LEWpT296/T4l+Vk6+yBk36atX+wFnJMBdVCQkzOTnxG1ErPH/RrUsejZXXy65CueN0b9X4wT+5z5cQGgDryOLxPzWPeMxBhp/kbc57mXT/R2M+dticRsBwP3lELTHO/jGBerrGpMtjmt2eOlt/RDai4YC103FbEvtmH5PFdw0POjJF/as1gqEiACR0yOSvM+v1TnTv45M8umf7cwbDC8+EfjsGPYeYvd/pOYhe4+xTFlJxhe0BCFY2sEPw=</t>
  </si>
  <si>
    <t>2nuo6kFbQhq9g6ZAYa+vTMvpt1SIVRjZZiYlDFm0r2rb2i3eEz2RlwMTWr0eq5Wa0eOB3eLth73snvNnXviU5nwSse1zfZzjF0feSvkHNh56+fxL4HA0AF2jY5Ondck2HzX96CLmDM/J5mTCAIEVa5ndf4lsG3qpuy2eVDsCfEucTnPs9SEdRJzn4aoKS2a/Y0WI/ANMN3jtKXG9a6bK2LXAm3Py88GAI9QN/rTcryQXDc4nS8T0Drzzois=</t>
  </si>
  <si>
    <t>69giYil5XdQJI4zRIALfo0ReFAHpBkTok2QFHF7i/TPY/v1rynPzddFAr4XYnUopQj5Tu8jU2zaD/e8douOL95yiQih6EJtFIabz/nPgj1485hNPfiqqpteqhckYbV/k9rtO+liBDOgUspY2HaywCZB7JQb4Y0Q/GzBBlOhaBEdGTXTIywopnZ3V0WnxfA5eeBL6EuRTxFzyhqe6M3bT/aGpaL/9I5hk0El7jv/6hjrzGcb3VNipCqURJYo=</t>
  </si>
  <si>
    <t>9bywsUSlibwG1lwzJdvFb1wdxYU003toXJql8Etot5RPGkknFM8ll69LrK9pL+wYr4OnPCvAoi6z6qrcvuXGJueFITbtkI4caV58Zvp8hEfRADSiakGsXrYYF7M6+WZMvu+91sUAO0o0VuyfhY6I8xmHhKYFCAsjTMSDbSVCTZNehx8wfbL9XAE1YVOeug8B1D12WsbKsETBaZ/KFBXxRefbe6WPedTnTXcQqGnmQX4liGc5NyNpeMmjNog=</t>
  </si>
  <si>
    <t>ghrieh4iC8NeTknpI0utC0bbPuQOBu7ZqKfVlxIVeZ7g5ChcicVRCQtcdrzMdYFXpyY08zZ7c2PLFPGi4Min5zmdSHZc+k8BCemQYvqCqt1SfcbqJCFJcPDHttn5JHcIxM8Yxzsw1u5YBWx6FJrCEmwZ2LCw0Wb34PNwul9s0fEe8Cm/k8G70wscKaBDLNX4QnD0jq9ZLrym/fYr3Rb9Ety6qBd5tRDCk6J5vyDbOkaD0k3G7YgoC4sHHGY=</t>
  </si>
  <si>
    <t>RuV39TQ5soNXZ01gRHelLMLcXf9OCZlFpUcU4FdklSEpB9UaqM6wuDsimEwYp5pwX8eQRIOXeGWntSgObm4pT2A3osf23VlwxO0YA0kjDPbkWTNpwbtpcLsCHKfu22aQb1S2kMUvJv5RRIdKA31QDFaOh5JNR18pHwOrMd6Cgd05RB3FlwkR19xqd4i+/mBiT5/6YImQtxqQylC0TfdtEjHaLwJ+SrRsilLV8rY4ykTABUZQf38zlkynAl4=</t>
  </si>
  <si>
    <t>tyTn2iDV97GeEykQzpnMLk8iksksFWkd6K9u1JOUJPkAgQwUdmh1w5bqwZjg/84DksxLg9d4iRll+JDVeY0ozmqgvv8+uQ5m3aGtwiD3g9LlhRBTcS0Ynaskx0GBzmDNPk4ndAUs9m/FS2MPW6v2hUiq4bbTyJ0twVfR9Vdkks3/TTQGn2xiC4AgsNTC77La/dbLkYl/OfsOkvgXPxs6s5MUp2PNn136vhTMxoagFdWYRdk8oLgXDZLw1NE=</t>
  </si>
  <si>
    <t>4DyD9inasgTVCzvM1arxxsf/oNFgWTab0RE+GPIyjdlUKLmYsdsUMqkURJAOn+xjbN+B3YHBSGiHXZO8zKN0K3KGoSD/VmXt7lE2xL0R3Qdwnc+QoPyvBj+zEhjCbhvptFFa4iIReRbDQ8PRMkjSYUyOrZVEDptJM1O0VX+/TofLPFhy0QhS5Xx+9XyyXwoUgSTxUWtiG1OZ9hG5S8oXPXiYCbI0cuBuSMI2o5W7crtmimbnR8uNsoWsFKQ=</t>
  </si>
  <si>
    <t>YLY9Xt5m8MulboONNVauCUAIvP2kAMTetLxi9s4maVyMERDV2JcZAxrQkzY2ABkC1Y2aYBbLXtR8WusAsHdd7RblA3GaOtyn+Z7gYobIBA7VLQl0wgXBwsh1Y52wCuhcQoOjSWiKxIDhlLe7/QUyzFCvh1WRV2KJDXPh2+SWMjAsJQHYKbZW0i0cG3h5FPEKy1MjHq+8RSEEjVa5baQ4KaKRBRso60OrsMlsN0rZXWmNm3EfSdRZJWrwgWI=</t>
  </si>
  <si>
    <t>wvrRt2upJD3hplG3KufgdGFiyxKoQcXfzLbDEIpik1HkQPg4B4p4yklVABLwNaU2JQU/xFxHZyrkyrmDyKx0qOqJFsPcL7EJ1V6WKKHG8h6IMwWgrJe9cTF0mKLB6Jyio1ljaMdtQOUO+H67vdbfuwgpxc0mbRw2i79KUDONs6fUPCqOJIBN+FuRvr8itY72rzmsGxezCu6QHhbHiUJEPWwTcXkeJR8MICz4CllOpSQq6IrPQ2kucp1Wo5Y=</t>
  </si>
  <si>
    <t>h3G6W3067JfTD6Ds2/p/rF6yLU3I0fq32yDHJCHWtHcjMbeNcbqz2Z/2O0Ig5OiQEGL9LwEWiHG5yTzVa90GK7GY3uC5Xnsl3ZOuCcF35KNaLGLG8jPEXAF+sJRUkvBt3GGFJZcqOvSyqWfmXqMS2HxwvpMHGp9ppB/fLCd1ddiWNaoP5UdqQ+tfdJJUMYRCKVp3tLkCFHTKVKT51KoX7dHmWhHiuWn4lkPd9hCfZLz9f3MIMurbizgFDOg=</t>
  </si>
  <si>
    <t>ELYtpMfzXbL90eh20PUFzuVXAi5USnh1mbcvxIGzajKawizTXvsZzyenis/KSMtdXxyEDqqCTpTLFX0vaGICpEWLmqXD1L5Oc3XnkKL0wD48E76h2zEKNBvNJ8PP1kdMfbygKFjajEg85J3YfYr5KDR4nSS61gYhUaXf6ZhniuCfSQa+WPv+H2zd3CcsumzxosYPA/tgsoDU2pEXLe0F3avYJIJC3XL+5ZjGb++n3e2O0AvMG3FUXYt7tEM=</t>
  </si>
  <si>
    <t>MCTY36AGiS/SAhBdYh0GoGv6NRpjrX4SNKe98RWrtwySMR+LXehQ7TFUktvoVHkXQBDocr7372P4v0AzKchzwB5ZS5BTkiv411E/uXPqMAw2rm4xzheX5TbFlFJZ9DFWXXJBxhi6R9Yl0rrtpetnuiA9yd+ZlTEiGd8G0u5EE0+d3xE0+tLtPwyiu7o82YZ6b4JnxG7z8TVsQneoV9t2m69c6BCO6MKp3kHHfzu+z+vOuicIKWiGq8oDPRM=</t>
  </si>
  <si>
    <t>0h5x4u7rBKc4Ix8qzwDkIhMDOVeZvy0HQMIHtzCKO/CaXBYc1SuldpIUUP+eLqrdiRLQRPEJ5ECDHxfIhP2daJCbiP/pdsVo1CAQAhmDyd7ntApJjxUlPQCf5aPcW2d4Y47hDyU9uDpT2LhQWevI5SzhnfT533yIJFDgusR07pnN2EQapFK4RtQLyd7JxUwUqtTO+JX6DRPQOZYwt9UsZRxpMSshlGn8IGt4cbxq+I7DLIaYYGMD1R0MfHg=</t>
  </si>
  <si>
    <t>yLk3LXx5xtYPna+fowK270N21RigLNbTfphpkPDUnaeGKLAhNu/MNKg61JdLGag8FCG0vEHPZMHGQ23kJu7SWFMlTcTxtQ2SEnppzs+Ba961rJdwWLPtm1EVG0tBGZsIoFnExiCtEtwO9HnlAAIW9sjmK2ODCvLTNZy7xhIKKARnlfwTcDjpa+7AdUQV9XYjU6d4qhYwNMg6ML4v6skvqdhJz718qr/yURW6tDC4NYsJA80RZHN5t1bGzYw=</t>
  </si>
  <si>
    <t>g2paz9nQ4kGkN6TiC4qLAsXObd504bed+IpwhmwhFVuE00KMPEJUHZJltSAaREvOOl48RwL6YA8q1DQYyr9sHhqz1pAC0ROLzy8SMuJLycF4LIIWIatHcx+j0pQfCKnxkaXGKVt9ExWzQkw8FpFU4Npizsy3rrbYh4wiE7nxYlHWxKAedOzAmEN7v7LyLml4yf9UDApchhN0fjyrJ4l6X2gSngBZBT21mBLY2hV9miaMhs64VSzVomvTq0A=</t>
  </si>
  <si>
    <t>XuibRm9bZ7fy4pXXRzsQRyZEx4gyiAVDgcvysVWtjNc+8JqOpJ54/uMs0A03tjpzRhAz+eYqTz38ciHn9kv8ocFojn6G6yrf7x6AT7olmiqqYdOqn0/412JyRpLc2LXgSX0u2XJS8eblUkNBGSvYHnd5KlGn6D4yEGvtUa2u/562uPvTXPV9urj7Ws0MLkiFARTMxDK33GoUVvTQP5oVghtvG9I7rmk5HHPX3t7wswXTqzptxc5grkS6UVg=</t>
  </si>
  <si>
    <t>qSsgSl07wli4HOs7dR4BH9iGi3/EuRos0BdlYAcfxwhZ5e23+p3GVXBlX5RYHs9NHYSqthKpJaaeF48bibzGRnOHCtBHUxSnBk77RXUHjB0mqos51+ag4t9C5FU5y3fFdgJ6n/86CFw+qQb5nHjg9J9RTl615h3moAPYlQyUi1m0yGksaJUJLsjCPbNF9duCdAzRcKvPnHiTK5y4DowdXUfUOPHKGSkf67oPzFNbVtO13jjK9BYtAG20fD8=</t>
  </si>
  <si>
    <t>iCIhBtU0Y/rjnT1DP1F7qDTgJUDY12AQS07FLOkknmt/5+yBukkXgzdVNO/tQNe7BPlp9axfpfN+q61FMbH2s08FpuHO6D2YTuPVOTph19GSlDwRMct+rgdyJWb8oEEdA4QuR7VwjDixm6HO4s51xZfAQ8XEyyndMSLn7ISJ1YL8VZ8VFJ89hhFOxKZzVNAXMOr7j/GLYhpn2mQ10hUmvcHOlDTccRW2twJIwRIWx+Xvd1ZYJLEliN6AMGA=</t>
  </si>
  <si>
    <t>fi9h5e7DX9YEuzpPyH602SclqKI+j71lPWR0NNWx2tF2ikhCESvOkxl3odRqFVs8A2+CsrXdX8LBKCmALAcnrFsBiJOaLHO0r+r0UvOGawlIoH8vJ83vKK/KbCpdeo2ppsvIyLc21aP/NA15ExlZHDCs38y3sMFS6L6cIe4ueNeUlDT2VRSoHQYFdE+k/iDa0ToBvKqxg5XfzxTo3ApiuhQBWsZ3VY9/mjcF6zpA5LGhMIvPKw/CL5zM+2g=</t>
  </si>
  <si>
    <t>WfP00RQbDUI4uqCPG3hZRiynTLz3D73Xs2BDMYiCPZK2IgfCChge90IrQ/C7beO+w9vL977U4j8ti1EHADcSqLt1Lg5yNefGZiJtbs5gtyXojoBS2W+ow9a+pjgCTN91hnSUkd4rxyaMwridk3XB+Cxw2BPebkeyD2adHYspPvDVXRlgwr95Oa5pWemJFSKHwJtzVOOLHRysWGkqHYXm/eW/dkuH398nAN3z9CigQy+Itgh88huQcSMDNrI=</t>
  </si>
  <si>
    <t>ftwAoWYhLSdfugBIMrnccc49jzJM0Dnvd4eT1WmxckNbsNBUz2EOMS0OTyWU0Md7p735JqCoJqsZSNGK9w9T37bpU4juQC4XTwunFRngb97iV+Ux6ni30l0rJA3VHVF9DveYlUbdqJR9nafUSLAftt7E0gJkEL2mJKludsJe65DLTEKymarFSkVsHz2E1+E1WvhiUHaaQrSobq1OrGS/6DubfQU9+4Zbgta8RLayrCOsmEjvrS6Nyaqq7Cw=</t>
  </si>
  <si>
    <t>Byb9RonEw9GJCxtwMfZs2GNUUm5nUpAqYiwNuv1O54mS/F02OZ9F65Qmr62f22YpokLoLEXAeDHw/wdFDPfjrbbbSibM9EWCKUPNCjKmf8PK15k0BYQnqinQCXj/o1SqLmx6g2979LUw8v3Rn6T/nevBeHTMT72CYPlgvlO2dTdkKEmNuUrovsfO101vSm+vm1holtfMxfyCSnVXpTFL6DsdqdLaCG6Z4Dx+XQjp7/Hi3caOLXzhychORac=</t>
  </si>
  <si>
    <t>u9lnAjNTs9+MBEoU67MRGbWZ4XIKG04Pt3VcPrCYbJDXSRkIEVg2OuYI9QnkdiBk4a847N1ZNU78FBS5DUSnsw7w4a+Ukk4DcuYqN3PsWHmeZU6+MRCetJ5D/M69ohmoEtiog88GxALRuMzXvcB+xCtYMb+64HyPtL79bh+eBuptBMziGRfeq6m5V0BqThRzRTFpcPPTyt9krdcmQBP+JNK60BrZHmtfVvmPOsBStycQbVeiSKmqfgCRJ3A=</t>
  </si>
  <si>
    <t>bh4DUxpCqH+BxDZu14tvw0NZzJjYF0Tmqq7gm0GkWw3SKC5J2jK04tp0FqdI68SkozQhgil0k13yG+V98syutkTduQPvqyWARfdpzDBBxoJO87aIZv5uG1ltuste71DAwMMaWjiFPtgAyYH8LSikdXuBFwSKp65D8jsKa0CnonLzKSVDoUBP1nMMdZg58uRj96eLoP5r82ojZ0cnyLrzAKeZfBfkXMsjcgpASgkl5V/sSfD0Ej8ifHWDvYM=</t>
  </si>
  <si>
    <t>UW5uX3raAarYo1OD9fqiLve0vaUs/6hexveEdAchXuU9l9F1nqWZCRjy8AhPVeLBNNinzmfpCNLHHZ7E5K2V/zuiXqow6ckxtbo26ubOXuH5I/XjhbCM+p3gCxcD5BMkmCi7Sy0jGUJp6eit7FB420LrJYAV2SAeE2sdBPUTj865xUUprD+dzNWP7GBWZ9jbIbHa25Uckven4EzRvRdPJyNIQ7xpazawgqfRJvjKC1yJdr2NP41rftQI0sk=</t>
  </si>
  <si>
    <t>Kb4mjc1swnJ2+4WzU5AtyhbVBwkBY3SU2U2quRxGilFiULsbw4/cvVo+xv8FD3qbQsZBPwztAdFebdE5SxtW/SXBMnMKwB7oe73g3Bql9tmb+TA7WXGSRUwAIaTRXUP/Qj5790sppXR8HpMSLOJiB6/X0BfW3OZdbVJLeNYJXEjxKSRUtRLofaVsNDObGUhjPwHEathND4kSSSTSLxf3yT+pkD6EYpv3DVx8jk4njriOJMBbO6Y3eHa/T3U=</t>
  </si>
  <si>
    <t>b3PvTUrJseNiPHcNdQifl7mDzw7utIaRJtW9d2q+Oy0+Xyoyqtj/GgD3bziO30DG+TOCa9L75bahRgd9AVwpDM+7eP2RHihZt5Vq8RPZFe8BTn4hYDyW+epUywPq9bxIYxShataG0jhT+ssETSkksI/ynQUfyTy3LsBxsm8ALNgsB4vOFNECLlOuuxayAu0+WgJeIyHGIF2u5FD9wHzIfq/htbNzDgO31ogV7Y17O9gB/emUBYdFtBXcCdA=</t>
  </si>
  <si>
    <t>sPnPal7x5CGifxvc33Ovt7DGg8LC5EUEzoeW33Siu7szuzCqWbbzu6C7q7DgL++1K9kRzb2oWJiX3RQKl3Ut74aK2C74zPx9eobou9Dg/fZn+RNz8hu0u+jAwNpd25j1mPji7oR82hmWM7Egr7gsXmyPXEBzxaE8edrXtJvBC8bFHHOg0A6K3IY+CSf8JksYtXiBVee9Nnq2OBAdv2fuUIIVFLAFpBRMFnDKF5+WGPuPMvlhsHtENVXdH6U=</t>
  </si>
  <si>
    <t>JxyuQ6zqCh/mf8BBFfoPQQo0onDPUmj10uOuc9ZZKPezwjAf4UJzCdXRKqqLGTHJ3ihxoegQtlIkMJYeLTGfVzBK3th6Te0lRVZ/byfj74a2p9kYes4QqytFHi7CdezAujKAtbKOd18K0rtoPI+vdYrbgy42E8d34xxuXgnYNNiIjGLPue9ywII59zHncMu42Z6tZgKUVFlSvxfSUbWBotZL2ap7t6r73dQFkClIIO+6VNqKe85zqLjyEnQ=</t>
  </si>
  <si>
    <t>XZ4475F9CqjrU1YzZnvPbB39b9zsAnM8ReJU+PZ6EtL7Qth3nv24uzgjrakzoBKVu6D2gCf0GPiE1R+2ZaBtvfsWGd8lA6LZ9HZIQ+DXHFObXHW5S557v1w54M4ebEc3HxlcGgQhBcrzAhx98Epa+htwnPuzVrj4tMfJ0iQasYpIiTrmzlxOFciMxozz9lm/0dqDinPIj9xur32AAuSS66ugDT2M/jL2+ohDE1S+XjikclWsBzKGC66qQ2A=</t>
  </si>
  <si>
    <t>jjKJu+o0Kjvm4/z9jRtSBuygCkhuvH7X4GuG1GGSgZTSfm5l+dw0sr+Bdw8SZoOLSFV8FuO17AeOI0230skipEFmmUkjW40hc7cyL+0H6rnXoz4QMO6nHuS+cIxnZSgMX5yLLq/91LgDM0XiQcuwnR9T0J6An+SYckTr7Ayu3WZl9zYFQisF9h1yGMEmzprAWPxLH/PVNQoRqE35h4bybaIduj1/+pwgEINqJkjA8SHYlZr93oeAy3h3WSI=</t>
  </si>
  <si>
    <t>VdDZ49Oich7wr2pwjMTte+ROv4fIqhkXtQ03Zap2IRm7eylXbXtJMxMjqeTPlnm5ID+g0Wu8oJqCLkPngzrs8F5FJLgzSMDfUy4kdSQi1ePNtQKYwK4So6kS8aDfM+kZfKCCd9iB/I2xZtf53fkuLX1Q222Fai49ZJMh3ryc+ktnQX/NkGNZc23Y166ragLmWp06nOoCWVpZiKp4XklQdeDs0zOTwXEMz2eEE9f/JE5ZMLn2zFVANQyfieU=</t>
  </si>
  <si>
    <t>8Qt8zYlIjxGgRvebXjkcjvjLMKPNf9p05VcGbUujdkMTVQiqgIM1DWCu81yWjLvA3pEIIMZqLb1HvvWgmB7nENO1Kie5CZOyz1K9wJFj8MQVXiHo+T4p6QwTue7/24fREXrKBaRZFzx3pE6L5oT+fPDnod5sYTNhBhMNy3WY8/HqIfUnGorlG5m13SoqQxF/qrKufuPGJzR0LaDhzCE4nWkEabON6E2RI9Ho2RnpuAgT6WCNy5XUyhR4f8Q=</t>
  </si>
  <si>
    <t>Bbn6Klfv8Z+1lXsG1guD7eaW3URKveWv93vNpBB4ULpP2K1sHWSLuRxnKN0IaJsoBpmY03BmGNHESa1kvsg8v3EvXF2nDNvQTGW82T7+r2pXxNnuAJreq2VqhpTCs0G/Zoxw2Hap6ITIuIxxFZL2mKoSBaUKkBHkhwHQFq36PGPwk4maa5983GMunIBmM1mQEPeDh5S2UgEyIJkUTuLSeT3Apw167vHtg/uGJJX46SoONrVKo1THgiuQ2nw=</t>
  </si>
  <si>
    <t>CKp1uVpS8qw2li13C6XCLqiKdHsAye65oFHCRI5vcaECaDkTYs9jey7ZmI7Qu5a5VgEMwkupXRsLkzJ4sVuLcUu4QWe9DMT5mwh+F4eJFy9KKfMklhp7D3ZZxa6B19jBkUYO1R/mo9hMkzHIu3K5nE+UL5MCoq8gnF9K4XVcBGXoGJE6sgCtdB6EkwtnjsTiE3V3VSqQpy9KPDkCRE0JCD1pnylPYG+se9XcP8g9TQQSF8apdhy3gcHc7eA=</t>
  </si>
  <si>
    <t>qLmwcfEKVo+4AZyPGepVI67vHA73G1lPSnDPBLM7BpzmWbHTTZDhs5FSEqvQRYoNCIp5pn2Msk5cHx+yYsDvFL2bbyefs1DZIVPEd59HbjkU1V9Q4fIgeJaMGY+Ngr6WT7BX07vizFxUlrzw4BO2AyOTNvpf6x2IQo+V6B5FvU4HdBkWwJEiaMv0pX0w8IMDjM75wbLJF2rcecOpyyEzsXd5dbjjKy0DV+9ZPYPUmO/l4oBEc6yzzw4D+HM=</t>
  </si>
  <si>
    <t>smOMAR3/fPqQMNjyD6LjzanIXyYGgS4wLhR9wK/oZeHOudi+DfJrViV4k+MJfnhs07cKVBjYUkr7AWuLUdvhMaH79Bked4xDmPRGZZizoYJQL5bheCPgQb1CNUTMhoc9/AOXaCWLFNGdHLfWqXvSIUbPGoqu4rqMsKalKGBth1B6CFnlYM5w9c87/SJ39XaYok04TlirpBiz+XmWTb5qXO4O5E6MbwzeQaMI+pXRDJ41SjQj+/KhEQ0UqU0=</t>
  </si>
  <si>
    <t>0tCh7coFRxMYhBF+J9tu12dYyetPoZDWpuomsUhFr0r8P6XGhu5lWtrPFHZqvJX/EU3UgyabnXLxB972KgDn8kweoF9Q+ZPGpl0hmvcydAGc4tdZWhgShsy4NfXA0VGez5crEu7B2iMcLEX7naFVV2Bs4ttIQO7dB88+LHMgWpZH1Xw/7ELe4bsWPhzui6PNe7pEH2TS/Vy0LxbPjifc4sL1KKK4IWJB8R2WBUNPHqCUEs8eOTFMjBafswQ=</t>
  </si>
  <si>
    <t>l/jGT7zJ/oJCCr0s0Z/GCVIUI4zCr6pZdR4IUv3nJV5ybk0a7KqbzqleUPRHXNlfSBySe9qIH3Ipplx1bmczupOSCGClmwqEv8CbZrW6B9jlkJQ8oUxKPVAWh2me7Ebm/LKugFC3YEdrHlM8f2MlO/sy/axZ0tWivEgp0WETWioncfxAz1qGwVW0t7T5c+LElK3JjIo4eGaOLdNjhCfTl5y3RZJkD3fc2tPr9+/JElrEQepTV+HJBQqWjHs=</t>
  </si>
  <si>
    <t>GmQI/QD2zz8KquKQ0Win1aVfJDp/DZIVetcZN64A/0oSjSaNWWF6DailRkEdJvx41yaOeZ2pI1hxCoNSKOlkrwfC9LwGPfUjW23EQ7xcWnioOP/4lESzM00TEmdutlmVEcb4vpA8WiGSSGOkFtszIZbT7n3vnilOjR2b9V/doOj8ef9KjvBvt3AZVEV7NTvwa38+d1wHR0itojTRcNlgm5kNe7ngB3ba/bv4YgE/ceRZwr/brKMJeO6liG4=</t>
  </si>
  <si>
    <t>wBDKeg7LgVFjjw7e0/q+ST7Tn4OgQrHpitX3x/nfm9KjYlPaoqlaN7MyFEQqSG/YfvIh9JdKcF3CtHu+Sgnu425ubH7/khIhloD6ETk0I0Eq+dk08SrAUfIaA+RVN27Fx0lZFmOPinwbTbSOiTcPkVjk9wV3GR2kozALxezclrWH9lIhe4gsi/bdJD6Rui/g4ugpAfL6uxugw3y+Vnkz6S4WhFyvNevU6BYdJzVFKC6DvaIw57fW2fTEA8g=</t>
  </si>
  <si>
    <t>U+Wj8Tc/8BsrBPQQUN/CHsgnYa6xW2PsQ7ZCVF2UIGmwb5sk9FnjJthCAoupnBr71X+g3q9+KhJy+l3LF6L5OlkgK2Os85/dGtlkLlQDfvX/B4DlmFo9KQwHjyuhCr6RF6/jg4zlVGYXs09qu5g+segzPa/bxXA69tkeK7ZyMX8a2YgqUFQL9SwaJvUeaQIugqzsLKwuB1M1nhe0A1jGfNqfQQMEjsSeoIJhFlCqFdY4VbEiWyVMM/9yPgs=</t>
  </si>
  <si>
    <t>sjAi3x3wuwkbklWP+1XKaOGNZ4VTo833lk9mlTiehs7lZVga/LLAumDYETbdHRhMjO7l3JhgVBN466+VBfprE6+rG+Rr75IXHBIL4Urk5Wt89K+cvlYX0IB6F92gMFbtnntxnQE56RsLbNuO+lcATLT1ENaWv4Yzc0+FhEFMWy3XJmzZKJ/wVCb/Cw2tfaq4g2G6S/jUk7O1qp4LIbSVnMRBZLLau4zsVWrtTyiOdzqWpakNXnLaLy5s0dI=</t>
  </si>
  <si>
    <t>i70e2JpkHsZfxUyvc+OvSbu/Wza5uk9pLrKRKHnEGTIKZQrPaPY70FPVWgQca/sGoQo/jl0j5YsZUl2ob2fvYQoq+ob/oDFARTziWccyHLZi5kpVM5kV3Qj0TLdsO9si7VFRMkfHM6RHeVnSk8Z35jyd8Kv6wm+Sr2zLhFW8LhWabLompUK1T+8fJVCM5q4iJ4GBYqEUSTNQwPZRNi1BFH/h5OQZTCVlAvQjQWkqBnGB7kYKKnZzQFI0MNI=</t>
  </si>
  <si>
    <t>W0+r6mxNML+gP7cKi5vDRNXN2KeeA3wrDJA7pa8siWeKoCLX9POH8pf46ByODe4hrkTifOU6AiH9vK2DX98M6q/NJJK4NI6pTD68OQMEifaP4GQfk5rMYEaQG88ZI5ONpinK3J9BO0Q7EbRaF/sHZgMVbEF4CjISjVFkBog0PVacZ7lPjF9lSwxzzD9obXiQPlUlSx49hbOZXS18xXMTZXspondk1C9DkbnvE/s4KVACc4ylgojrHoPlKxY=</t>
  </si>
  <si>
    <t>NR+UTQvDx6yhlW/XTr/RI5Mx/1LGZPGs3/vHQXC3exkWri581B/mO4s8rHUohXPVwJCfsxtBpmb7XG34JfDG7p10LAy7KF4an/R9PbDZ3TSP2up31ETjs0T9Y715zPzmyvaiz5BwwkhANM++jCaz8REl+Hidc/Sw/6xxIpAmVoVIMvNrC6tEAbawjGqsMcr7Z4Fp8BzlkWZ8H1FrvKvRX66B84YXcEau6QH1Rq2wEKnDY5d0s/Njbncc9OI=</t>
  </si>
  <si>
    <t>Y2fLWqt13Aj5CvOEcBjqxuBusaZbawbAHpMneOmIhMINp/g016lNdJEvvXTdmpUh5ekIHN3ZBTEtMcPEq2LwBpAPAvaAPqVSD+klvGIzzZ0W8TnG3cow3B+BvbpIEAvDkdFG7BSs7HZCbWAnV4oUQJE1p6uxnFsn5QdMRK+qWBnMjM02YHIY7yCu6fHHhJUOPnI31AWbNRIGX+eHkGKFxegBWaWODB7fq2twIuN1aIaoHv+NlszQUwDTC+I=</t>
  </si>
  <si>
    <t>X9F95lUaT5Dspg/uOFtQvfiVch+syiYJRzvLSHO/0k6WD3jP0Er4RgIO265nFmGXIi3Fjnk4IEiUsuGgUcmiTkz+eGQTEY0XQC8RMBfk3VUffPhtIe604+GhW3DjNAIGtIIFzxMQlEunEBhK4RQ/joZUPGWg26sBXlfHCsom9AY10XXoyG/Zcj1NQKgoL2WJRwAC8bn7jMtfPtaCq0sCeJCWipC/3D/hIllhSXp9Bxr8j7g+Vc8/Ry5c+DA=</t>
  </si>
  <si>
    <t>eve1iywVBS/bZbf7v9nSxbOiqa9sjWEqcCnHbgz07LAWvG7zff0PfAJJ9GHiXm4tUpSjT6BTSvI/0E7vd6qNl7e8NTZ4faYLWbLCSxybqb2xKNKurRqXX4M5z5dldm0NJyf7i7sESgUn5qU2mESeCD+ADp9IyLzz84zRNwjd9vzlrp2Cw3S8kD+PxC3Lxh0KY9Bt3S5E6Zzp2wRR4FNrXIBw9/xoc+Ey83kHwBJ9134s0kIjgqRurzmMXdU=</t>
  </si>
  <si>
    <t>c02yDxhbDc7+MApjIgZt89MG/06uAV9EcpQ1I8UmwpxGdaGqds9VAgZZiLCdE4KgDn9O/f21CNmE22dNo3yXaWtQruredPRRXVPHj5j1TF/1Y5tM3O6pc6lqhGyO+3/oiqGwf4ZAA9JkS5aXyz9h+P6sVHKldYo6r7krEC5gx5S5mrjLjopfC61gwvYBkjMxF38WVBYHtQmBzVSDyu4mfvpEcxskFThsT058hR7oWrN+bbrScdBRf6UGnsY=</t>
  </si>
  <si>
    <t>GxRymzUPTY0gbTH+MQyU8+PnATwZ/c8WWusdvzStzoiVAsesVN/a/5ixGEb0xdVeDyZLPE3o1VXJsNncIXWWJT8FPPANFFatARyHWH/NuX+VyvpPDKJWk1LBbO0fweVjtBRzAsL4sPsTa+k2kB82y9WleW62O+rspxQOemT4v+3jNhTXckQiRguUb/XpiQFJKNJRGWTCMqtTRW8g7MHG9a/Bl5ZKmhgmwfj9LoVT4vGBAEHwBmO5WOw4HfA=</t>
  </si>
  <si>
    <t>yQoU470B1AnnrtQyNxZSdeNv9mRK+kU5IxgNSmxL5sLkha7v5jbo5sBj68kRUXiLJZ4wEoN7S3dOvtv/gQHNEzSQdJMO3b/TWkGLN7ZBmNuzH8kZzq++HmOgyxyY4nH6nl6GwidEQxM/sFJQgidTlU3aHRppkH6B1DmaqalgMuh4sEdehFSzX7UR9Qq3U8HDJtWHHOk3ii7JzUiqbvBMCNXsXWZYYYbMXghGzv/qFRIRUvTDpM9/rFee8zE=</t>
  </si>
  <si>
    <t>7XuhopsB0ltvMv/0jqyk1kq4cbJRg1+HBCB+rw8YjYHXiKpBrV8L1b9812zUhXMNtfqRCqiquj88zGNbwY5KwpPH1LVEllxpg+k/pntUyrRBOF5cZGobgY85Zhu2E0fpVsEX9pmuPkIJj2lydo5XSIMTXpn/onweq/3I6bL442cktylTcm5KXaznLNLPDfVorlWBe+pKYRe9HSy8DbporUjAAveoPUpZ7ISwt28gBXXrbZUkk60IJKL7YF0=</t>
  </si>
  <si>
    <t>IhFn41E/5LuozX/UM2fwXQM+IMhi6tJA+YAh6B5qnnjL7zQy3CTLiT1Vt8R6rlMziink3Iw1SpMR+X7b+eTGyULKH2CvKZGjkOcZSsTBephYtgVglFAnFNK7YyiqRD+dnHtKCYpyK495ml3K1S0sqwwdiqXvef+050j8SRaQTyEEm922qQ/5AyLPDf8agEIVSAsnXKO4UmYSnb/I0BKyYqVXvxpggrCs62KaV6pLvrR/J3Ov1X0ZVU566tY=</t>
  </si>
  <si>
    <t>ila6Mah4QLu6lN2YTA3blxtynSoTaIKiIyFMIXec2umbhjfsmVKfoezTXD+K7hu0ipNYqcTno5dn6C3E3rZuzE6QKaFFpL3WnUJPMp9vA5tiNBxybyLnXRuydsFCngHzx2hZ7Fn7uKxr34QRYUd/t8cyQ0YATQF019Fe1mk5D/lB8T4XE8hTJ7OnaNAXbbzUGXhEPU80cqw69Y+UO09rdHgO3GjmgsaBeaFAtBCMFHw0MlTJVYcrvPqe1yo=</t>
  </si>
  <si>
    <t>ZFnuBH/P9uS7rLGu7V+0LOZRkLCoaKA45q3NOyS5rbnkMT2KCbZ4dGVaEUppY96PQ1vuz7lGkH1JWAkgTo4sRy3E6JTenPQ3Gfr70FngBE8tSV/KgMUFRHHYVZlca0mIJPK59skAzq/PSsmkeqP6LK7rtTFt3xDMzr9OUoLEzmF2qRKSrI9jQUJON4uTRvlctEBYB8RdC7OJR+78KH5ZewdznBsXDj80fS5nXxr4n4HgGGd66DLUNkmkNKE=</t>
  </si>
  <si>
    <t>m/hfHUeoxT2Tow8iE0Wm0KPdI/x2/5v0t2dcnWoFtqa8jqC7bwp1SWjuTJt/HubKmqtsz2Vrtv7qFIDWk7B8PMwog8AU8aNc7koq6Bicvi6uIigndjr5oqqFpE3h4pokM/qW5oXwZ4F/4HVXypH0OqSYmVjslz7SPDPd3j8LXOsEJTBrDcX6krWCyewxer13IAhUuZEWFbkryVQIn3JFLbBkvZrIo+w9pxDDV8Kq/1e0y/+rad14YIYt/CM=</t>
  </si>
  <si>
    <t>SN3KRYzjhE/1Kpbx37F0auUDv85PXoHtbAgNb8jaS93nXhWNJXS2wWi7kiz8wQJOUyRNv+k3SGXOj7JS+q12W5H2XDL+nfKiHux208CogYhbOWGE1yk70qgT5l1H0XZBVUo9+xZl2S9XH+THD+vnytqP6o3EQAP+cK+zFzdbKFjMuwrkvk+VO5lpfbKoAmtEUjTQuMqxKat2pppxmTpgaMxSKBEy8ppp3X+IVWVgYSXmF0SSVDJWCa5sElk=</t>
  </si>
  <si>
    <t>YndPl5svT4PfVTTLJyiUKwMWvs2ekmWORys1L4I7pEgD5dypzs/wvwBfYEDMiPbQoZPdF+nylkQasRcWqgzcUlHLvPgyEoKxzgdjpg/xeq6y77hytyHSLHf9uEeClmu5GIVQ1tqUXkUEtN4kFnQZyOviT3oBJuslkRBm71XFhgilfTbwaHl9XuRdGWxpwc42hehszGWRPjbCCGzlCNBeJT6EhPiPjApzEd+FMVXu9EGcUfivQva/zZPZ5PM=</t>
  </si>
  <si>
    <t>YEeqrBAGlRxXU00/Go4ef4+Cp+h/AFMGOaSLSf2Eiu++VITN72YhRuD3ast5GgIJn88P6keRHIiBBu01xfNyQkcXbzhYyy7p2VlmocY4J2/Xp10Adb1+sXQRhn+sH+8rHrPkd6fMqCfdeW0Pc9aRY2malbYwXJ2VwpMgYjpvIxTfagnwhddj/Av4Ain80bZ/c/qbiMvYptfbG23BWzqe5TmzDjcXZHR1xAytYX/pUzWBXprTHv/SiBJ/Omg=</t>
  </si>
  <si>
    <t>aUa39bojo6+86kd5IQp1YqPEbSCkge/y2/8DNICVlZHf7LgcZuV9P88mBrHV6cY4olmve7xr1SPp+vlOPJbFqCOfy1Uov33wq6MuufjwXIvVo8FVYEu+Aj5rwjFkBpjKeXwhf71M6dh3rxB45Qb9cJRXE97pOFyANzgKH3qbqxlc2ERm2wuLIjk0AqH6BdpMs5HE7SAUsP2WDhGk3ha1jcRKzGdrwgDzPU6d3G3EU258nWgJOHhOKKZj8pQ=</t>
  </si>
  <si>
    <t>U4O0J1dq9EH2MOTnBsIYDSQ/WpFKYQibAZid4qhWlrIgFvUoppGdiVZf8XJKs4M1aMoNT/IPfWaKHHrnsdEHvk9W3mbvtlsrnvJHlEc/SioobxZG1jnsyip+xBS2Y5EI+1pP1ltkNpspenrB28jKpa0o4o2lXyY8gwHcwkN0l4dI+bPT6z64+V2b7xu+wHHTByV9IM3kh6QcwEPf6nL9fQ21O5chlEBVeVZW0464m09jH7EydY1xBn+SKPg=</t>
  </si>
  <si>
    <t>ftbdojpRMXjAzcSD7lLC2jdgKYt8TvQ/UqpQksJH29K0G7UbjMM8Q8ymcLdQfUEnH2H62BsVmo6chTzMLyFBKzYWA2KA0gt4bpEVTXHodcuWT0Z0+d84GlOygySdXlfW5vS0fZ5KTKwU+j5iABvHVBLuE2PdFbtoxoF8XRICMAYjeR9tE1SCk88AgALNwtARt0fiFmTjw8e52DvzLk//yyTQ0gEBRdGeJEdBbR8cqhRqnmWVo2i0TLuQaEg=</t>
  </si>
  <si>
    <t>bFjlBhCUBCP/gUC6+YtqJZwKkSBq6tZHMEX+hDrAfIw/aweFOspC4x4wRSqN9fgV4WUkufTPybU9gCYFXEdf8IndxPr81lMOd16vdU0BBC2ViI2lgPQBuZPsGHbIDiInvQkpQfsDBKjh5Fd8hb8jp5Xep+VRYapNJT+QhpqraLDln7Fmx9eGWUIFyr0Rs5nc3k+PchCFU1ZLvROXyAwphMBhtWoZ4xpWTGlZ5FywzjU8zwJDNFmV5okCcTE=</t>
  </si>
  <si>
    <t>Dz/2uVOeX994TGSI8//4Yw8Vr6jZhcXktct8/t4oAgzFIek7WIOrb2xV7NyTVKgvFT+xwf5oGVH52RTYTrfG/Kjo/3ha2pGtOKHk1t1I/rmWAbzTyGulU51kYqssoaVmXXlEAjhQm0rH6yOF5Fd5wFJU5W2qDiJ3J/apKv9mC58fI5Ci04RulSWb+FXSFw0fJ4QZDIRsMXi5FI2N2tbb9VlSp4lGaw4RVN1g1UVY/tCHAFQ5lOX2X8pPW7c=</t>
  </si>
  <si>
    <t>1j1Aj5zhDhNlpo+r2InkEPJp3Aj9KvT4NcPt/MfRPRrwcZRKxw5sCrLRkXdbrFbBuqqvq8GYDeuU4jtiaDoTeCO7YHYlepFLNgho9Cr+5tD0zEX4pdW5pnBmPH1uD8y+82paX51J0A80NmZAR/avDaqN6et1G8UjcJGDtv8p288tfJ96W5cCbTdFY07STUYnKDLxymts9bwwNwCKMEm57K04avEl++0PHZBRecoygcBHCEdmjvZsiiWB0G0=</t>
  </si>
  <si>
    <t>bJedAPD0vR+NNV9qTJ9frAh5OpmQ0IFekHDA1jyT8EZnh0d5XIWczaEtNFjTw3C0ZQ4sOp97EbZBXwSsHfLrilezDlUEs3wBB4a2vZ1N/L8pgJ2QoL3SRnWwQe5c+OqONd64W3MDWlbTzCe4zXgj7n7CNgT1gm0u9NlwtoJiBjMu/cJW48xW8tLKm98f6Fy7ElybZDajQA2r9lK54behESDQPyNZwKgHpxSBmiOtJmbVLNycUru9ggTWMqQ=</t>
  </si>
  <si>
    <t>8+4ldPH4yl4/p/qloC24aKzSnKemXhDE1uoDODhOKWg8pCf5qBqt/RBe7wufyBiN6k+iSsweNLmvrX+vOtuCfjpJzj88NF9dVOepRibN/hf0L8h0hiQOpCdePT5P+jLuTHIfyA8iwKVOnxx6zxs0a3L1hmKoXtxBBHkjaQZ48tSCV/4zr/z3/QWXmTQtVfTL/31BqPnNyWTH2iMdbUV4+4Yho5lHGh+pOUQTLqPAoXZ5ngc3EZx0FGUrE+o=</t>
  </si>
  <si>
    <t>2OpAGp+x1MgLzylBcRwTnKiHT8v0fT9WDexan2gJ4TzvDIZWKV3TmGwMddDcFbTFTgJoq5d7PFO95VH8OcFRjrEXJJqDMXW6+YwmLBugVeiaSaVPtFm3mFKCWL5ZIGALWBmituwdw6LugI6PNN5LJG71ExUQIjx+W0w+y7A/5k4RpUB/2Vltwm5PcFzvKVPW3kXGSDdLLoFipW9Flhw7RBnb8K/rBqNu5tAJ7YnbTRNUbGPSpHWxyvIfoec=</t>
  </si>
  <si>
    <t>ZtfMx85wv1EMQEttg0rNo7+IJA430GpOn62ttMUa3JhfX0CKvfInTKv/uMbe2RMXgrDYXFJP+UUmn8/QdWxSgSULb1/B0GNUCIqGo5qHEbhzRc09d2TH5OcLS7weGaxafqgfkViKDgVupxMN+/IAnkdykjTlBy0qT0dfqoeypKPBXXWdZP1ffhW5ejZKbNXLNBXE9SkODnBDrubRZ391St1rL3sHuwYlAufdkGaI9lMRJBngt1V10pHKNDo=</t>
  </si>
  <si>
    <t>PluVn0abUjKRCb3OZG9tK8+OYcRzgE4p/4Kr7KRWZfJPcroPynEazYR1giR5a6GqknRshB1DaZ18IV91yIkdJ3yBB7QIrkHxhhPZlWSjJtJisjCJstnw9+59SjPGegM+6pdVJxAUaZM386HZDfXQyeaJRWN2YMlE1vvMXh7hhginFUuJUEVcrjLOtIKxhaEF538uxLB0iv+Lmf0sCEEqSgneFozWeRG2hyylzrK8kd5Kkurk9A3v0DoWkjQ=</t>
  </si>
  <si>
    <t>QSqjnw4Vk0MzwHxixA3wGEpg8MQeZuiI05bV6Y+HVB3varrVx650rdVE27RZAFUrnYHgGZm4DmTeJAtJzSikZXn14DsKKQcKYK5MoGAMuMFQxOmHttx7rNMfQKaiUHGaFmIv9LTTNonFsomkWRLLrd0Yy1JghHHV/zKirhsWTwmZKw7vazS+qBoKObF2JKZ4B6NXmGO3IjZz0TizpxzaBU/o5tZMtnaFgsjxNEN5HHu/P3p1TRa7V0Zzu8Y=</t>
  </si>
  <si>
    <t>L5SfSJi4OIJe3sLfkf3K9FpKyqlPF2N0Cu4UL391rDsy6fxBkgZYLRrSI+2SyjD9eFEKKf2wIKxXDkLmniulHV6PcW7bmVm/M/tnTOYeurwMdQH7/3BY8FAOxvIO0cSEXUrMFpUZDQh1MDy0TbqwYUYar2PhobYCQtS8ZC5iqABENpr9Km0R2NKWm7kgEm3O/j9Pxurcjo/TpBDxYMH9WiRoSceRyAjPHBHeYRiBNgOiHa23OLuwwmboHRk=</t>
  </si>
  <si>
    <t>JXO38SCrAd7YPMozZlw0CUO5Mu3rAkubeV5s3eGTkzvWYZXvcl8BiilhWRpNWDCMvmiZzH3thd9KDt/tKJ9MXW86rrYlIT/ZbbmXM8oVwDGUMwrxTHGBtJzYjRcqHUk85yHiDUc9nDfs/tPE2ol2BvegShOoCAbPqmxXwz/owrLx+ybr/N2vMzCpZUMV3//I9tbO/GQQysVN/wCBuS5mzNDpM9YJ+uCV7phswIaHh6Ib1id0DVXAuY/UMR0=</t>
  </si>
  <si>
    <t>2AnL3ONnZdQibFDBdD15H0a7fjEJlXfUMzroAEEm7wPJFU7Mv7CwMe4brYNlN9PSmBH+GSwyXpfxA4w2It0tzmjUKIH1SRYpekP63uPd9h8BF6F99HZiDHmc2nv01qtvI7j+q2hJdo3LCbwICJziitJpyy/NA8r+bBYWJqYCJOvGhsg5jJ6U0K5cAzVu/xfeZFA7ceceg8TLjL0EuWtx2qZf1LZI/BK/k3pXehuvzL/gsPsOxRmQidhUTB0=</t>
  </si>
  <si>
    <t>p7UPJw6sujNxLGvZWpWyubltp8L8i+bDmXDYYCQ0JDtqdI1NQ8xGADSlU3rSUVMUtink4Zry7UBblTIDBCMGTGb6lMTCGjXDxzrtnpcwvK1FOJaCgCluoKrh2qeRahYoLbW7MrBQXpObRLWF+t2LxRsEupdav1yUcUohNXMHz6G6k2Jd+L2KLySBAYrIQ3vaBv4lIPbW7GtXvfJ5HbFZ8CiYDZv3ZocgvJlQHq8VZPQkxdDT24Qu9HkU9KM=</t>
  </si>
  <si>
    <t>DzyX9GeYE/eIIlI+9/tkRqAg0W/wHfkGDTzvZqQDJl1TY9JjVWoOI3KS+gCJk1hJnXlmAKl/TfnuRG2BJILF1Kf1aTE9+0yBlX2K8GLiKFCLjb2CnAGv4brLR7yq6phGGUCwJKT0pFSKh6dNrxfxZEu5vyv1WGITn5VYC8MglcilBOxEJYYPTwZAL/wWbw7ioPstq5ToaISod/21LdOdphTY1CRX0tuQbdIsz0mYe9f+a1K7jqPeOFp+hnA=</t>
  </si>
  <si>
    <t>wiZcoTa8J4C9srwWbOYr6r2FTG9wC3cfs9MaJmb4kwbNw7hC4IlX/aTN8s9QohuEc8H2NRrhqGuMeKM4CqgHYhlxogTs1ePAevtNqcCGD+qIeHa/F7n0XDNI9nf5cF6xb7isiwn8P+MWCcPMwZG5YNuH4byQ3jrsA06fknWwb4Z8i37zkkKXFPdjt9wlceYReoGSsIN7FbFvF8tFZPW21Wc2Xo7C7G1W9FpEMRpOpyf1QlfWz25RrEuFZeg=</t>
  </si>
  <si>
    <t>SLrchz4F9zEHRxENTp2fe6321g0JyjRfy+9AK7rbjx05JfWNiXoRanMY/lKfjU3ErRmJZeo6G2poy/1lvH9MOsQSecK7agZINhWJoft8sWp9LLPCb7z6FxB9NWTqWb2SRVj0pl9GEj96GeiqSfngILtowHld1XhdKhfaFBHuFC5t9gXvnCyR7pGj5k688Qz2VmYnbETrP7CGl4OD2iyiqzGFuvC2WP1w5QSn34ntcQ4kPiq+ri0EWe3lKlM=</t>
  </si>
  <si>
    <t>xKe/tpDyf8LlSZYXAM8ic21on0ulxkIzW8EA1A2c99Ak8i1dfnUo7ehAmmUWcJNpnyG1kGR1gbkKDLGp9yFFGkvDEYR6AaZv0Wfj2/IhVw9Wflwr2yLS3zYvMvDHmuR4TaBL3L6y5Y7fRRWPGUI+cmYMfAxoYktCeML/gb45rxqCyQNWJMXF2o2AqW7z5mUFOUCFg2yP2xiC5maNXVty31oawdxnlVJBmYWU2uz2fjWD8a/XgMJ67oiaNQ0=</t>
  </si>
  <si>
    <t>oJy7ikDgI/TX5f0MQUydNE9tW1UCDZ9VQC9iiUiJrNLJsv9X3cU2t9lQskFyxXT1SohFl12PiR/hDX/f2/BJkGoMacMawj3ylQldPTiL9wnZoh/Jo/Z4FEJgetUZy+mY+PxbHaII3H5IapehmTJ+cWyIy8HeO2yA5OF6StmISomaQRb2g6xct+6tT7Vipg7KR4TEQWBnGD7POwyHoS7TEzRzA3tgD693pInulvsTnBosJeWaeqmfgd6HyZo=</t>
  </si>
  <si>
    <t>0wfebcOp1zJsJVPg7h2a2xcOuLnEoobIfCizDUKcinMgMXuQJXk8LwBCCq5KjjMuk6nd05Jap1d04k4asGSAebclpe8SNc8lL/A2MjJVQm21zSaUQGykGbC2eXh8H8VxDdh2KqPhvxXoBmKQyWKfrXhvAqBWkSNqaPYsb1q6Yn78/D/KRRdK3pRMDWGYFJMW3TMQQ9Hfuar8VtarZxyZZ0z+kGW/maTt0bIf5o4dMTgEtnk/uH7nHdCemd8=</t>
  </si>
  <si>
    <t>3d9geLywgbK6GdFG0DYk2gCm8mqCf8BrpgES+WmkV/Dvz9flaKyVwJFpG3rrydFwBkpPAuft6Lu4Vps0KB6iZfKzA91dC119xHxrZQ0u6dcUUBM7wKgsDMnUE45Ede+CitG6PQxuUxeBSK2hL2ipeXUx0YEj2EKk2+eP6HMNx155lCU94oH9AFE7qvIKicGHw/X7itpdaLRR/y2/fF4iDYLcFGm60EpLtcHh/Jb4bjX9slWPlKm/tZZmNXo=</t>
  </si>
  <si>
    <t>3nCP2vGM+QqdPlawV3c2WmS5lV1tTfNrDEr5ObQ19BDCfGrBvzFN9WYaGrot4zEWv56Ows+mjPdgYGSE/UXyQ36pe+CSjnTvBZj4ux+2HSR+W7r1YbMSbSwJHGJazSFZneh/T7dc0sizQ4LzzHGJcpfL4phIeESdFne8xI1p2oS5HRWldDMPS0zmaMo9mWu/d3UU1hh8RUpNmlwqBzmKU+LQbincUNmQEhcR8dUuR+H2RFP7j4o/tmul2Go=</t>
  </si>
  <si>
    <t>/tDJ6nj+jnpSfqIWpLpHo9pb7/f24VExFBn/P1sjz7ZORIVck7anMzAnWEBJ+TywXIbaokLYdR+FFgjgsX+zCwb20j46nCaqXChztndHgXJ1VzfJCnf8cxc10Lzfv6VJXnG1QAlDGmM+Dph03RbzQrTcGpIaoyCe0jYKQApD0lFhsjDPHIWRe5RBxgXnXLR3oQeGO4GJcyiuHEs8QK6QSOK82kwnGP7H8xROYFzDCkaS3tQypUZTsyMNWoM=</t>
  </si>
  <si>
    <t>rYV9SnvgueOAY2To5pD0DOnDjIMRb3b0jF6sBp3OXqEFUVKr39L6mu05vOx4S++/KAxlo6D92fe898+7ET1eiqxYVO88u1zjXvhiFO/NfgX2Iq2bt7Err4+3hMou4ldcIGtPp4pzRZUcNonlZvfneIlWIgXiub7Mdng/mCcUB/txgFL8kQnwphIEYLmAcNSRnqHkoeGS36bkrYt6BnB5oeXkT7Da3PWyjWaGxiycNPiN3vIaGzDLwT7fUWE=</t>
  </si>
  <si>
    <t>sQmwGm29p44vw3OFHo4OXD7St2IJPXaztv5uYYqIDgQoMCDcy7tCkYbK0W+dzWkoVk8CnOB0i/hxtiCDhy5MM2DetiFV/H29QTVomx5Jwc7xmEWzxUK188y5k+mmxg+43Zj+2hVn4VaiXoM7y4NRlLZk8Y+xSOy/soZGANVMRtrINtvVerLKPK6Pvk+/g3jK3LYjeRWWLwkfJAdqsSLPj5by8F7DkNH6K78wdQT5SzgsPuYQgHN7IJqHYvM=</t>
  </si>
  <si>
    <t>GvLIa0gd8WTHN1vcTqbw2wF2ppe++JAFZVu0YkBfF2njIgTaFqbMlLmWCEFiHKq8ojcC1iIY0rmFzwyHRNdQNjlouL/ab8vnLspNh4vIyFtTClrgp8PuBDdqbUwtlsl4Tzw29iB1Yt+ViJYvR7e/gd7GHn0u4GbShBZeIknROvH6SpGwtFQEZntcwQTS8VRC4v4JZtdH9CxVlsOATXdrFpV0RVDMgurZQreoVJAM/e2g5KxwpQ3v3OTXTvA=</t>
  </si>
  <si>
    <t>xj0VjwiaNSYfugKCzX/5KiLdJhvzyavYxBDKzEj6/HwbM/mR6+nZsFI/+JX3M9SL1TTkTBW5tIVyAJFCUjFV4IaRNLjhjMdMNbnqN4ofJAfmUmkoueyebBEN2Wvj3hH5RbFxb6p7Kb4GJoSOojCcqYz1dRGHi/P1XTtINj6ptpN7O3kgeQEkTVJgmgSaRrkAY+mAGEFbAQpYZV9wuQKPUdCNElvqtHVr1bEBru6czAfPCTjmNjfZy4P4PGE=</t>
  </si>
  <si>
    <t>Rj2/oVr6/t0LjEpbd4jWyvR7HrCP2oCF+sLo9OhbiVKTI1eJzqGnHsTP9OuI+iH6CS22NnExp+rFORQUaqeYqxAcsenDSzxB7p9w6OwgvVVbkYEEw24249/9AgS4l4WSWorYY4ib8VizrppCB1Eu4VSrhXcbdgjsPVwNWQ2wUapgLtkpHUpJLrBzxUIcYZTtA09HNbLgJX+LFCw9HbqTLTrUU376iw+4MGIyDtHN6zUF3+xiKwz3tHLrsVU=</t>
  </si>
  <si>
    <t>F2EJSjkAlabq1iu0z4oea5PjXWrkdf5L05Abo91IQ/nLO2xTSBXr7ip9MWHKp6Nq3PC4l7n4zqKsnZDGsDhShcFqWs+fvR2gOhaI8N5ItG9/5qGMBXe4Y7zC2uJLZ/Laayy0IJe/5qkSPYepPgl8JtGSW2Rf5wFhlcPbQToBueI4gpz578RQmku+EO92FQTeRk275MLO3uBTRLgzswmu2JmYo0psc2GYFUyjUk/cYDdteyzn5Rl7t6cCfwQ=</t>
  </si>
  <si>
    <t>ZNRBBfcRBDzZV+c+eEHIdmiY6hJtnl2KkNE2ZiGSSADgQlSgFCQGO9Th4GY7j1BFHayFsXrK2TMzFpQXHzy10/Tu3UgwN3gt3vboOw20zta9EPnbb8YwKrGRQ9EENGqFAcTpzc6mttUP8Wih8j4L8nYe7XqOOS2LF01Jqc1MYO4ETj0oj8JJBf8C4XJvOI52t63cK7uuZMUKUatDwDBqdgg1HmJ9mYcCZwPmc9H7QPaodSPw/Mi2qTvBUx8=</t>
  </si>
  <si>
    <t>2tuSZ8ldTEgkVW8rWroEYUFPR1yBhAIrZIowIjn9Az87SygCqmYcH2dp18JSsTHqdrbsxaN9kUmnsHOzssUhCw2amI771mWR6JIiVxI+zL1c0HUgGiJY7ub967VR4iTc8Vg6SiSao8zqNjGaCT5CdkvpTbbJDDnqzrscnePqp3p989QSgwZAeQRURmxtvqlCt9iMszXRqApB5PejzsKnP5Ep6urECEL4/jM9Tjq6WYDBaRG6QhaOitmOe4A=</t>
  </si>
  <si>
    <t>XqXSyCX4dNt5s0JiTX3VB8Kv/eel2EWPvWBfkNbkYGNStAUgSSatGgjiI69J5NqXdSM2bfo/8Io6KQCpp8iziXEU/A9Gr9HuMx9oreEdIfdlc7IH1o0SsMgiU4n2srGRUR56fXU6ZWELPZ6NfXof/Al7i1puIo3w1g7B8rL3FME1rRvoZO4b1d6CULeulINaS5AwzoGynBdwmqLNRR06sJ0dYk5KjmCpD1XwlfN/z+cxnO8Rz7vLg/ngIh0=</t>
  </si>
  <si>
    <t>T0jKbVhEDVlqfuQW/8/e8NCKGDFW5SrzDZ1ogiseaw9K5mckMVzJfj1YQtEZYqZr/3moLhKLzolYkTqvs1LI8ndhlJOpwCQmh4BEqc6dDS93uPFZBd5Xvgv+N+l/ITQdC1lERe/JY2nerWxzCEIQlXFesgsqpiav2TWLa7EXf/ARBAKoX/KZIvM8Yti7rD+sva6PEf1VVEP0dxUDNJu7/DZzLbjPBMY2I1jN+TyDJcQsDACGjKnlD4NM8Ug=</t>
  </si>
  <si>
    <t>CsNZZFrb+OqYytVxwkagEzAlai3MzCvuF0tS6j+XP2KGQoyBhafRxgxgXmGglgqfvOT8mL4v/7UHmLoqkUA1LX3JCXQxXAnzMtXPLrWsRtZU6wU2uaQgcCQ1bQtm2pgRktebBDvKxbV/o2kQ373kNU4U78cfgm1cOEC7Z8+QknbQ0RSI6CNcSZxOibFT7TysVgJ2MYhg7Lfa2Lpt2jaUuY5h0M8oT0DGwYRAqs5c+TS0+d3Nad4SsncMVAw=</t>
  </si>
  <si>
    <t>zka9zAUmf8f9/GIQtLXRqFYhD9c+WDPjoom8KSjRS/F4cJkwzVWG9LGgz59loiwEsMumVQWgpVLDoH33dPTZUbo7hKfGMZ92/ssRAGHYp2r2zBmhFVTYfP04CaOQ3xBzj03MeW7ld+ylwuTltrQ84BCVTiLjjln2W66eWpx0d2c8yh3onu6ApAxrw3okReBr8CAqTGrew9Q5c6nF4pNjlDLeo/ZjL/16J0PbooqxU0t01yzWQW2v+06QOzo=</t>
  </si>
  <si>
    <t>70ZDyPLQMLHYrc7o3PZP2/7D/RV9HpG/54qQu/4R7UkdzHPUG5iTIUiWfDhmfW7yTpbi75ul4Cysq4jC2jBZHmcDT8RQXfGXgXQH6wH2gXiUYx9N/vhD4YuqYRJllm85as5gP3I+MMBTS7b/g1WOKnQibqR5ghNgmFxbYz2W/heJyIjGciR8+zAFZsTpDrtGsGY7nH581ORnN0nt65U0w6UkNWH8HtSX6xUbl2qXiVDeVSKo6ixfVAmFyls=</t>
  </si>
  <si>
    <t>IcMwnSJbigz6kBmNeFiTFcafPmA7R3AlaixG8H18Zjfzp9B38RI/TFGw2VzXdvUgzTjiyPqj3egBo8GjEFGhysvjsm6MpnxgAtyTlVaCYitZrBfkUg1kA/Dxq6xkptgujNVSCZiBBy7hS8UixxfWrXmgz0XjTB1OrptVjpGlQ9i0k9na8D867n8tGObZKI479QQYb0xsB4izaOMvmimwQfN1goC64mh9XLMD4Vy5UdHbo81osuc97u/HG8Q=</t>
  </si>
  <si>
    <t>55I7CE3y8zn737iIiiam8NqEmalHaPFL0ZkJscJNyruvmdax2icGFtfDfTvTs0pAVT0WkvvkLVdJal/BalJIttnk6NMi91xOo4mlPRNsAinGfl4S4/tbTdvqEr9YB8yOLl0F5GwlXKSq8FyEd5oML4WoTsFwsoLqqVN+F2ku3UcyaFukX+9BtinZgDyc6DCNLwA2hLzDtsrFaSlP4mxQ+yAKU9al2XF7GS+bKtpfB6jKlRQMni7bud9a/yQ=</t>
  </si>
  <si>
    <t>fRmnPtDlD+HclalrO8LRoxvTZvWnWJh+DmDQDYcecx30EoISNal6pjGGPMxEVuA/ZNz42S0NlEWAK9td9I11Tok7bDJBe09ngj3ts7vnIcWhW4s6DCxlMUnH25iv8y+o4YWF4pxp0s7xWIq7y4UAQmX4OA+ljM7E7j0Hy4V/WHuRgIXZSykePDyG29X/6lrIFuA1GdYFfB8Q9GasJlqoncQdo6OncE2RfKOiA6nLkY/I8QkspBqtpKebzi0=</t>
  </si>
  <si>
    <t>cs+qY74UPd1nXAD1F81fBSXCzKkS6KynZIZCpt3vzgKbHUS/NvGCR/N1J299E2dKnsmpd1Bxnsvk+fz6ppUrWgFD3pOeKE1yv229QDo4FERDNr5R96OfVYPf+d1dPBs1f/eluG2V5eAD07E/PLyQ/O7TSmLHwHtqSXQso96HjVjW/+esu47tfQLwQhX9JYeCw7Jk4RGYFREY1/ZAdcuh+CuF2bD2HIMmJ/q+y54Zk44OMeETPDY0hF0jK6o=</t>
  </si>
  <si>
    <t>87YOTwMm8ZgRfQpEsVlX7LawRnHyMXvIfjIKxRZyM1GLQJhvuZ4pl9TYVE1ou395QA4k+91iRaqwVGwlEhkwfG68InH7CwXEVi7kdpRP3GKrPsMI/wPIfk+QNg4uj9U8nPiYCdl8vLLNEYKcRNdOY+RTMdMR+MhgAQ2c05G+rNRQFcN63TZKqvL3rjjs/rcRCewhRpazokNW/ZAEVXREJygCe4qCQjW2RmGNqi1igLDvNpE29pcE3g67/+Q=</t>
  </si>
  <si>
    <t>Iqio44H6d6EUmozURlAl2wmhX3GbE3vlEJiDoLWN5EpncZvYFOswq/CGNs24zRvoAy3Kv9+Zqoy19Wrt80ct/Wkan4FB2wMWXYqdmR7KCVO5WWL+Zy025gqLyc+L/4r59kzxwOZ6fipY9mzxrMKJWU9mS+cYHr0a0KhYM9CvSx+1weXZOTAiW7zQKzpzrHWSGXxD7XPVAX8tm3E++x+xJknIrNxSUracoEIp3FkTWb+k8t98NYvSJJ0+8io=</t>
  </si>
  <si>
    <t>f/2GGfE42q1Vljj3ZSVRdX6T3EH88l853Jxv1VsATLb/DhD9836Tl+eU4qSne5MJ8iL4XHv38y+9+Qf0bLIeNjcFIBfM3FWg1hJ/evp7meggrC/bDLZACFxRfj0ibhKXz4tkCYtCyI7lbITS5aC4qWf+7ukeVwU/IvbWf2irA++s9xDzurMvVfxtfrjMIx5V6wdJl0F2W1QZdYfF/S4UvPHwGOVUFBjZSPFl0uvVTUoPZwZWlvWbi9/of94=</t>
  </si>
  <si>
    <t>0dUYLcrhLzXhm0Pkcgq70InCBjFowTOfO8WT2BGAXBq1Cyg2yJnGwvkVAq9dh8gohRvfAZgpsG/Bgu9Tr8ZTfG6roInfiTrsIMj42fyElfiJKnKzKxjf5KQLW2I1+0IcSEPb4YH4QGoXLTp7Dp73N2V8WYwllraNcXaj5qIer5mAq1YUOr1z4qrYJuUrxcjxqpJ4XrPi+kpUChiKUVEcfqsFQiBgiMkOY4nGSMK0/QvBlZ6+rCgrFe1Xlq8=</t>
  </si>
  <si>
    <t>xRVzexUOQaVis7o+JCjDnpz6wXR9q0soa/2ASaG5g5nIpQ4fx6yIF67Dxl/fhE3xCCD6hqhw6m4v04x9VFViXh+qJGAmjCRzTeoLu55HYEgsul9sC234mNphiTcCG+PRkqFxrbOtUVgHjXVGj9Zj7S7PppxuN4IxEdCCpfpI0nojGjw/n+KG3WCNaTUaOiE2Ac29XLOxKOU19UhBjWyd0+RDiOE59Q3BL8SV5OWNuSPJwUyBHvSk3gr8hkw=</t>
  </si>
  <si>
    <t>oL7795f4HynM2QD1MUvd/l58zU7qHon5JkHnAp2gi5nPVuODXeQIB0TOcoKgPlx8nQCpZ+gq04QD/LAifLzUt2YYaILEjCuqKhHf/44G38FT/d6ZZ2bfjHh9XRXZEBUwjGhDJqTiRgofDnZrX0mmgWLMy+8IqRjVTLXi2TkqeFlmJhdovWldOlCkLu5bg0kCJjW/01qwRXd/JsGPquPDhl7AP/tNslzzbaqtTYlCjV3X5c1ydXBu4mIoYhg=</t>
  </si>
  <si>
    <t>7Y5p5aLVTPRHrFlCG+/MHUyUN5/3j35jJjeKjoAbgYEM6hoXEs3kpYmnj3BSfVy7KfH9Z657TrOJVFDz6UrnBCTMMshe76hIGdtCfTgYpd28sVpX5OEYQ/rU+msA3m6yNVtRf6PiYwon5msjxlfp8lNZOpXFcn0fNW+kMB3IrnDaS78utXjeLup2d/0asVMTJxN3q9YpbJgwxaXR/2OloaZ5UEPb8xDHNKOU33KAwjmlKf1xFKjUX7cuW64=</t>
  </si>
  <si>
    <t>Fm9mJrv91wbqOe30szR4hnwb1HLP/ta08UYr+iKtfoR0DsP3bmqPMBKwxFdi3iL8tsc5gMg3pX7NMvkAXZJBB2X+MyL7iIpcS+zuEZsTn94sdFRKBtFEB5vJ+EWI2BLKBKGsdnjoMxCbRJie/DW/XMGzNhWFuIYJoXzSCkq+qI/pR4UCglvP7yAsTVIcCfMlEkspepGoqy/mUbeUnpv18nXIUxnfTfmxkWDsed3qdJggUHw+aNO3fNLcRoU=</t>
  </si>
  <si>
    <t>1bAoNwMQ1+YY/T2xvR34Gt8OftbO88TnbYIhZr+zLF9+FbhFE0Qjz30v4lhPJlk4ZBj2uYGQIZFPVMPEPGCY0XPBCHDh51VfLx0QGm7hKwOqIf8fLbzhhv6+HvrKweFKsFRzQeiwquY0IhVq0EkXhwc530pBXqXKfvYxbN7zFDTqulSBbAnNx6TZ7t+QWblYJhOKyH9u6pXfu6M4CxxufQK1Yj34s9lmsVVMiBNWOUvTBEtXiQwJcto9s7o=</t>
  </si>
  <si>
    <t>iGhlE6qCB9qz+fBZNllAp5YyxhK2IqZ1rzDYeFPbJb4kv/5KR0DU438tF3/ftlxIbuStgrDWFRCvD9RiC5mOZAep+/n6+gR3j/GyeIL7+ugVu3RB79I+GDtV0vhRUayarjIVfj6DXfSUY0yAwtnZ7wn4OsZWXeGBZu1QFmQeM33OVFsgAYDk4CQWSfsLm8Q8f84dxS/MSQu1qVRqnIFxwUa5nsQqrj0GPOJjQQF2RQE5uAnqNtVJCHevaP4=</t>
  </si>
  <si>
    <t>3RCFfPdyeH1nPMIUhw2+cOQFfMYeV0LgrDrrPO4+cUiWuqumQxbQnTA+l3JfRCDdnJ6IyR44wjqkzNxqYH/wNEiawpztMVvcmoiEFNq6sTj907F8hYlSvVTAV9TV33NhrybmixsiKMkGDyJ/nBL5Wq0SQ4vCTS3U3VjcTNZa2epjQ0dSgNJCZ/EU8ea2F1ABmEBHpCTLAzYSDBkm5/+PBTKvrK3e7nL/k1Qo+JIiJLClsfqHYrqG2M50DMg=</t>
  </si>
  <si>
    <t>oCzv/ozCz3MOZyaHnHQ1xxUdr84Ak8ret0YyDXN12KwKITCmTTQdRPj65qRbHfMeeFt7MbL22peg2ozjl0XD4z9DGXhSPNchxd8mtEFT7a/QUhB0BC1OQYfA9H966wvpWmoAcoBt6uxP2LtQFlI1Kic5Ak39uSs8oElN+XOMW/HuoPo9TuR63vkIVhyydVSo3Rq6TzLg5sS7AMzu+FIxXABorQRo6OCJf86YLkj8+2VJGjiXxHD3gL++34U=</t>
  </si>
  <si>
    <t>fThr8v7V/EOXXSFuaxFg1/veA8CC/BcNfBH/O/Y7KiNdqkKxb2J9WZE+oXI7T+IDprwzWuyJTeGKmxsg22glPCD0AayKZRE+odpltq3XMdvl78DGJCY8Zn4Zxa0jDv90eoG2F6G2TKhrevhGUdXWNJaa9QZzzMYGvYurLwzmYML1w7+SGh2hIeePPJpXvOd7KN9vGKsRoipKGGkh1ySp91VZvvSO7QuVTls5lT97CD+xpXSijY2uVzE3a/w=</t>
  </si>
  <si>
    <t>Apl5lOMsNpbiUIWqlbuNM+HWm8RCHyJ0gMFwswlGkiWZ2pcoYIrXtsYZD+vod78+OpsBoHMkAKHxBCoxmXC8MzERQgDvw14ZMx2ljp/YQOHpvTPvB04p7JGlMMdKCTmhTAXvytZU/aVlP9EHiNNf5LRLDLrAm4VySEVKf2rc4FMY2jF+0nzZV/PX7swwmSDEvZ7dFhAsXaTGbTxlcshxEFIdmMZStju/XaxqS04+I3LXFjaa3gEtdaXYuU4=</t>
  </si>
  <si>
    <t>XHr3A//HmAqaKAnUOOrz6zdVdyk/KGu86X/RVRcyBvDLiXh7gVLqUbnBxmSCAb8gf0ZPG7iuxtV3KEPkdKL0g7m1YiDrAIO4GGfI4d3NNoDFhR/QLRVLoySqioZb5/CSPXSswX3SmTis4+4ANM0fLLdMrZyd9w3rSdUoSxfslc8TcYULhPb8MBLJZWWVySzvhvkGECy0t1z2v/oyUdaRaBY7gHW+52JArTizRfXQe1Sgm+x7xB0+WASMmBg=</t>
  </si>
  <si>
    <t>bChs0adc/r60uK82DziRT5lDtv7ni2+f0lZSAGIt/QPxFyybwYwxq0Gy8vyvSOWVXjvv8SScocxPZ9krwpggRXpIXT8VbuUpOqVAXOfxsrduf84oVPksEX94jHHVHVB/TAlaOrWCjS6dIbbcFIPCYee0NOtKRfK3SQ/6waBRqbSr/Eqj4EAE3vcouZ8uPnX9IL/Uh9qqcoAFSWHo7bWafIVgHvMrd3mLCVww3J5RA8gQhV+fo6CU11783nc=</t>
  </si>
  <si>
    <t>qstG5Qd0SIxgdKB9JImlnCJeh+WhcvikqTwuidTWGTPBYaJz17GFoPxh3+wnf5b/Tv77yW2bcX0E5GIYI3eWfR0J8+LTJybTbma7u1onIU7OSphpycQkzK6oShXRjLE4o+TfR2tVefH9Zvr45+ly7kzotD/8k1fq63f/MEKBT9+8j4PrhwMNaE1B3SlSBvDMmx7BSeGpF3RDad9yKQpjeDeCAiueVaBTbVfT9Z+CvE4yjE/V1I46pCv5+/U=</t>
  </si>
  <si>
    <t>E/gcl8qcb5LvrIix3wlgv1sBA6TIyngm1KyJRcntdrjZIRlL5wQSNM0Jg4ML/OWfjqTrSSKUVAr2m5dC2H2lYuzyAnRrXk8tSEEIFmGyCJRhbpmJeToKA9UFAnQ2RlI7b5j58bBEJoFHEU22SLm1fFtLd3ZEVa5Dj/AMdV8A7K7bu2VHGr9tIarqP/biafpn0AYWwPLS19bQVQyoa7qUTYafMbVVfRwv0ujonyP/DUZ/ZfuwvNGjgDqlFnY=</t>
  </si>
  <si>
    <t>eTrX5mj0xngQn8uh1fS6UCWIYlxy677OxmfFrA+3JQQmNb55dHr0KYWKnGsNABKhFwE5S3R1FK7ZNw0u2mZFQopjuwsJZxyqMhqpmCWBh7hSzrjaV4nvPweIseBIAnNdu5U+7F7hQ0LBr3vPtDdKlJpVVS44FBco5f8ziI35kBF1OPPXQSAOeZuh+LiKVM9dqZVSVwozcfKk7Wh6/rX/VU19684CGOrH6TT+L/vX1duQrFAqgHFRlui+fmY=</t>
  </si>
  <si>
    <t>DOI13zguIbx5u/HU7gti+pFZjFWnUZI29P9+xleeUgehDKgyJqN45nv+CAtIaOh6l7OdGnGDeSNhjIJyXafTiq/7mh7EEJKI0ZfG8I01y//ghS630xzyKdPc99fLi4sAQMYDm/c8uFjRkh2pvup15SxQl0FGplSZrjLEcJZW2ZU5uMVPLttRjj4VfrrSN8L0jBkfZoYMUE5GbVwsfbNmeKHIm0i0HFVE231eEZPHjZy/SdOdUuoHc4MW3cI=</t>
  </si>
  <si>
    <t>YqrYzxXWfpKWzS1tvhqSiys+4LCbtOKNJR6jbdIZA2nBzg/I3Jui8+fcj/3jOUjejG0clcETV0FdzK1iiajMATgd7yfkjBiYvtxEVPoMHFPbDXs6IPu/sAE2+vQOLSg0Eya4WW8+FwkAy9DvqOvn8gZwTsJoLOij+o6kO3iGtccaurLyoRcqE7/FmxhA02rweBvlrt4mjbLxlYhgXkRwmHTVMN2cJHiL6giMowjAZvwM3PyLDjEogFSVyj0=</t>
  </si>
  <si>
    <t>pqgWKs9Uzl1UYi57OjPm3X9trLcbEMECwB9BDnopmaY6KQvt7ZaSmCfr1Ihjo+pFlGAmN6yRtbBmiONlh0koFNPmwJS3ppWWos/kyk7Olin9yEQ/oqLlXgTnjrvZlCTAF/38ECEjycyeEB8uBq/v3x6KIzhZtP04LsYfYok6xgb2MUpTmhenG9Kp1wqWveUeCrAA4IdwNbP9FRhpyjxXqZQM0vy32YibB9Boup7VCR+C0eGdbmNryIybR/E=</t>
  </si>
  <si>
    <t>jvppKy4pHjShFyFS4hhdADZmP62RE0fje2yyz256WmKbZVZcPbbOYB+GuQ3YpyoQd/a9HOPR8VOs/ND53as4fJaaQiScDTY8YiBITFjrhP1pnnOqQ0im6NhgW1ikcdqTMXNS6XtyM9sRWFI5bGmPRtMYwP1NbZ4W+kj26QMRlR4JFg0OPRvIVOASsnwCz9ZGUkoluuJffO3PduJlJ55Ryuy5ftfuPtRiAetjYsTNd2Xmsf+UZha5OCmaDww=</t>
  </si>
  <si>
    <t>64LkEydgJ9Wq3Di5+iibCX4B+/0P9TSPWsO7Yod4lUlI1X5gioA/O18K3pfAovosakFELRi8RjWpeOSZ3n7i5K9PuPUNzG50x4aoGzfrKgrzSHcpdBLvD6yKgQb64Z7oREb9/HrTiVKoQbBxkujbKzehjCzDWvQ3r4AyZRbjxXzJsTZiCmiitOFPFl8WDi6MmdjBnAS0zjq0Zs9CJMEo2g5XparSKjeFMSuS8IKL0s3COwImdkQw00l4xFs=</t>
  </si>
  <si>
    <t>DN8IRt5CocXYmpvD/uZVx0M4MtgwEOjwEWWj/g0R8hGc/T0MdK2ikNO54W1WGz2d7IazbOd1D6KVVoZ68a7S/Op3TmOZ8dnHYTEuNU0oe0DZ307L0stemNudk/yCxemgt0ppLiGI5/yh2PF6cOjYejy9gtypVpTPJ/DhtDXkYzWg8cm0kl2fGlTJWS7CHwihy2fsXUmdCXZ5OuDrB32j3PRP3pUcsCOkDZ8Tbn3ludxQKHU3n7fa/J5bl54=</t>
  </si>
  <si>
    <t>LRJ/KwsAFP+/Om5tm+JKL6dD7Yh8HXBJpHGMzT5q3SMENqpwePnezyyVb0Ulb3+IQN06BiK0aC/HeseJ0gWew2uJTc4fm1vVUiEcBFw8GcTWbruIcuB9BkhwU0iid7HUqqDT0EuUkBkzXoy+/U7bs60jDgLp6c6nL98S0NHfn2VUkuNlFt5I1yrHZ9yKXSK94/HAq9JntRqfMLKBpLdA2Oyulh6Wl4qZz96D28YYtnIJSwsUGhguaUVkc7I=</t>
  </si>
  <si>
    <t>bfnH/tGqZjrssjT1/dsQ/47ZHpjHiWgY3e2PwnCShmKca2HcRC434DlUr9yXzhiDgPhkaIbqJts38E0S7Wf+HMkQ1xGQLF/ybXaoJL/NCQnjneOTah2TL+uSlUYqjjPkoucXTHwAzO1pyCHaYimW6c0ijjuuGnFwdjI5cqtxrdjYe+jqdZiznnUzxu0WftKU+gsq750oUgLv1/QRXF6NxvfJcou9+L657qtdh8uttS6QppUK6GGVoD2aGhg=</t>
  </si>
  <si>
    <t>GUkv3DKWgOzUs3owN+OU/OLTieFoMtiv/hUPLb4DDUqHQkmgSIaGC0038ScgaCaWlMuNe02/PsTewvHR753RQcNLw9RY4/BDF7doQJN64rSuVLAybS2+pnJty69S5viirbWYyFfQ28lDv09hrPBnybB9CO/hWJcHiXAqHv94WN6fQ/AxdXxpcP//HbcdmiZslXF9tMa+BAhfkZWh6cFlGJThHAacbwFot7p6mJ65PcaMRbpfxK5bS46gFdc=</t>
  </si>
  <si>
    <t>YrcG2VN5ubdmP0FaUkF5APCPQTPQGFH1YwBBZxEY8BE3Q8rw0HY6fLOxJ/XlPoE3pQ17Af5y1bsLVjqvT7bvBbUsO6vKgoTdNv103pr6cnOlSV+1/1rpMmYaRfzsMfqJ5glv/pwF+r5oivD4hg2wuQD8ZAoXnIKtH7RAYuN14k+uXTNHN7BM8cyDHNEhlIOht7Vu7gSpkDiYgkXIaBcli3in4B3jdApcQR3iBv6wTkLFXWTq/9rA90VuX94=</t>
  </si>
  <si>
    <t>afrar1YEZicp8fGRy2gCC0mkfDUddplHEcosoIAe6wn/joRrUtgOzvPmmdf+ftodCno0bo+Z2wcznK1GtV6ntWcK6z5SLAoH/E6odSSkYSP8aySBnyTfhBJkCHrm0La7xZheRb+mk/wAKkXd2hPyEizbbSUIKlF51NPUVfPMjHZRoHk2lY9cYSfworV1+efJP3nwzO1z0bg4MM87yeoyI4uU/h/okrxcOs79OEpnJY9HTJaP3H5g6x7TuTk=</t>
  </si>
  <si>
    <t>uBzRHhevHEXbGvpAhQbUfnzPUbh5F5+5mdtcqOGNNxCSueNwcqdsh8FaYfvzPls33zhxmc/VPRU+kvTVf0bV1rnLoysxlhuGsNPB5B11sBh9PHYDIKejhKSitxfNuhClsejthtRXHgfjCeVsrYFULneXvJDmpv84rYhsaW+McSIi0Ek8utDutK5Gn+Ij7GwX9URoadCZWDwsi9l+4Fjt1vHk1Jg/kaC7SeiFUFAdDkFVxuldJkAX/DKOYGk=</t>
  </si>
  <si>
    <t>o30R1BYvFc0gEokqHsvuuvR3hde4MsZqsPcQ56aoiyMSxWusRanxrjElQ+S6kXHr+ZUK6E0xhD81q0JhKW6CMlrjIp9H1/bAWiUvvQdnOlhkQuvljs98yeIlcTNkpEOYeTNNhxWDAxZ/NnRFY479SPPWfMF2aP8YP0ozX0q8RHkYpkIuOTlLdCWTQLxNiGaOiN+HyvX5jMnepTiTznNZaaRnSsQpmeYxM6vi4AIjGfmPUttKaJ0nfu7pN7E=</t>
  </si>
  <si>
    <t>NyRnkpaRIZLQx/JJrddTyK0heuOQ+oaiMDHVZiNRhQksrb00d99XNhUe4aDO8aOx4FbcP4AASVJ8r0BhHNmigSPHrYOWFJL1ho/7N60sPfucPcGF6zGU60D+QozcKURfoxPynHFq14jCwN+o/YpEIF32XFHFgz5komzmrdlcKwl32vLr1O371J+OQ2d+k+sG2iC9TpHk/4W90a6SFLDASdcZXNx2hU+hIo3Z/8bwrIBjXeb5vzy0X6nOwc8=</t>
  </si>
  <si>
    <t>fY35NyjJr2ubJ+NgJr/f5dSA/EKhNA8NjkunwO8rz8d3jIZVi4UFP7P0oT9Un2vT7HslX4+pENJhxaL1BZW7ibyeT3s2DBvCqbZpXQRCA/VE6m1uqHBPtyMO7HYMf0lJpkE6ItSZrdcGr6pCZSL6SRb0c5FlppZCwymsFffehOjdjLfAlquThgmI6dsRWLXz9dO/Na4yvLamQ2Z++e5+7TIOfw2Qq3iAIpxpQ9l1Qok3dIpwDRhEAKS1MGI=</t>
  </si>
  <si>
    <t>S+/BXULtdVm4rv9SQAyrja8FuE6QL4lZ05BC6L+kwpo9gJ0GfgP2AoJFViG+6Q9GKzhEgA7qPITZ0W6+0I0IsmGUnnp4qzzvAm4FycqvyyYcZZhC0t1KpfbBJU7qXeY6h8rRN5tnyTpbNifKppyvFzagf1a94W1RqBSCiUGOuK7A0NJ3Ii1WQ2JEg7+qDAnO7+x2FM7mXFLzGRBcY6wBk8S1giP/xkVuiBy1N4tmOzanCodODCHjRvDl+n4=</t>
  </si>
  <si>
    <t>dpcjbr5gNhABYMF5VfaCJXZzMJw2vGGTK3iiAu7Nw8oJuTTZWmsy8boWxWwFDYEty9yj4r780uBmz6imcI/XURbruKPgA1A8Ij59mIpHfV/tc9EIZRME5MXzKBXjdKcRRGDqXvTwyXa72g4Ov3zis+8p/l8nsLdQK1RQaQnx2061a4MJxx6Yjsgq6ko6/AkMG+RHj4sWvWr8Wu00DVYKtTsFp5gTx9UuUoMg9KZKnlcE6clpcHxQyWX/uZ4=</t>
  </si>
  <si>
    <t>rjibUpqG504MlrPUxtrmnN1phkifluctrD8TdlRq1AbXW5Ksf6kNV25PLoVhepuAxjwO4V4PJIyoGSbjVhQZxKqBtS5FMuLHwU7WBn7SMl9UzGwIFZbrD/sEySBxw1Wn81xSxUfQOBsOQP+fT/DpRSrx8gQQTzfglgBOd3eagLNRDrJ9CWZg0FntWo8W1Ay5LXLWznyGqUuPEsjoY751DvKSTjg7ABlSuRrsrfv5mpGWfxpMSUJHBMHxNEA=</t>
  </si>
  <si>
    <t>YTPCYpJo5ACdfLBoiqxd9gVCiDKorLtbL0tezd1E8hiWlJsSke1ML3k4h11oRkdPykNNNyui1FEmhHOQ4r0ahE7zBzpj1iTcCyumDPKE1BYhJ+XisQuy9BZ/DbGAbmbSQ5xWIwn+l6b1YdL1u/wgP7IEVtGUnwWSoU1m9c3+4QkAaHIEeNF4yI4zBb8y9BvGVU5QxAyxBvr9IeaQvnlY643lyTxSTHlqEOdFpsuGZRz2WRQYs6L73XQ4oqE=</t>
  </si>
  <si>
    <t>x+3errljohBNKoYG6GeO576473cgqPWQ1DQrXhMabjR/FrtI/jvKNSoaw6kQw4uRDd0Mg8a9jxPlPOD9f19bqiIG783XZLUc+UUp94v7mNm2Goy0kvUggbLu9IEB6AvliRDYUHwQ683UsKAAxSd/vpiH+j5uZH6lb77IF8aXPlobOoTr9D1AJZLHlbFPF5+2Rynec4L9GrKIzgRwx3ScWO4T0kRVdN4v3asrVqpUCFhuLXRF7jlzkCs1vJs=</t>
  </si>
  <si>
    <t>jdncFsP9Wt5WHjZiYtMxAVMGy9QA3vA30cDY5wE3iQIA1K9Yw841owgZ07Sydf4cAJWHPpWOz2e2InbMVKfYbVCat498bPXtfDoA7IdHYVSQnLcpYhC5yMt8TCaYJDq+WeZLz9BV4B09UVj6R+8Bk341bwU6S7y45lM6Z78LUGbIrSJwf/3/12Vfd+maIj6wGoaL1h+AP8FWTo7Byth0Dm+hulT24AbVwLYXty3BmdjPSjmL2XLNIYMguH0=</t>
  </si>
  <si>
    <t>Hu3DVDTfodhncZBJQDV1kfx0s3uAJflJtQC5MsPZ1R1krspP4BDs90aM+tEDguzgQx3UpbQOZERL4fctzAhQ1X5TyWqq01gQkgUvipYFgjIiRQNm0vap8EOvKIfo7dGLsfWQSHl3ej7ysJdch91CexmyN01awKa2r/UbN84dRYrkRX83sW2g/XQdrjgGf10bZK54Mo2fArbQSRO2P4a7wVszhPJ5gKxRuc6rlrQIRd7SMwPcsZnccHEVQ3o=</t>
  </si>
  <si>
    <t>5MTrlQvKFuJn6zhyfDY4xHdTizesDIPXTqPlevw/t0Xq8/cUO3x07lHzCtj48gstntytN6bRHkzrir5JXz5Ha0M/ieOIXhQBoz+u9kz9oL3vVBr7f6Vf4Qx9q6Uf38tPgblTMJkaGVwHABNlpI0Al1Kr0xDe0MbVsu1dmyzL70fFMdwLan4EK5Fy0NIo9damIEWap7gelFT3psxUIchXWqvhga1dVxvVZub3d/MTWVYjlsyv1ZNYzsEa4yc=</t>
  </si>
  <si>
    <t>r+lvdR9qD5+O2NeAxgwTjSwGXqfb3wZ0nGqAXLSiDxaNIPIUgdlVxkzdZpOWlPfnaXL+0hgaNFo7bcTmeE5aDctCi3pZUGPrcdaYon3XEvDuv5ydrOOBKu7psmN7QBXsGKzNlKLY884vbu9xik9amb4vIRI9UGFYLQfkrGGB9+/Z2+F3jJ16xxgNHFXaSQTgR/LV+taq97FaUxsGgjm8VQRGR4plFjMIfvS6g5TyyY5O32chg1PIASwhkz0=</t>
  </si>
  <si>
    <t>FkiWj0tWb2jOJ/DDj3ehWpW3ZinJAC7KDl8T1ii61QwT+BzHmi73mD9YOy6A7aQiKxfvGYVqW09ZyEmr+CpkR6+HMnL2OLBcM3xDIzV5Mxfyk8rZDALj6y6HqYL01GRmnp4z6Eo/8Ie56PkvfcWb+eYdI0M2HaSYQguNZOl6EF/Fzn0/J5QTCCUQsP1HBmfNF92UgXScVWdorS6NXMfmiqa+vvnEJQ2JJWsT8p/vQpFqDRWeCn03v18CVyg=</t>
  </si>
  <si>
    <t>Xtts6HcFsJZU9tLSW9Ltnw/an8s39lW3oK5AWmSo3BT4+IJy0QBTOw1AZ1lJOimNjUlzcLUThXpcWqsoDfDdPcYGLxwHffyUM28i8Fx0cisxU21m6/YAFKsMtSO5HWWIK2ZfqOmpFbrKqVmi25C/VeMDpczLVFSOmCqi2Ura1IMNOERALokbKOQK6pZ4tJNqSkOrYfBwG2E8I7Ng6ge+psZHsp1PdzbHSeT4nvNn4mxd8td6q0dNSbOMQFM=</t>
  </si>
  <si>
    <t>LZkp2MrK1mcxikYOfj1NfyavwDm5pL+c3zKFDc7tl2DTOnmZ8iQyYKc+qWnnSB7rEGLVtoxs10bKBpkymc+4vPcwfltzQ1cORlz2XiQb2TbAZacnGfFlxHyI/yv6va476r5V/ZT1RodlGt0mA3q/Wp5YVIBIk2/NCdaT9BvPKZ25DhtmGQ//Hu8zSGL5mgC9MzAaGuXCz7+cBFBF/NcUhK7GzdaX1a1M032a4158lOFQdzfJ8RsJ/PuZF0o=</t>
  </si>
  <si>
    <t>QMX4t4uuZEfHdS7UtNZR/hhQSXjMeksK5KKm1awO442UKT101UShYrQ9jGv36Kpz7aTFjOev8cmCFTsWv0r0qhz1cHmv8TK2FUcltFHjvP/zgebfXorlHToLmcjQhbLdjZvJDXTrmxJrAQRNH2qjm/wXZGInMgfjYBPIuQNz9Hhvi6ZB0S6rdEQcYsdROmTaNyMFhJ7mNMN6ZVgsf4fmEa0TuLpH7qJwWCbX+xwMwlfj6XT0LjQCfhVxMRo=</t>
  </si>
  <si>
    <t>QUgfRX0ocnzy1k9IohzNqW4xXuk2C7tlkdUwYa5kfpCXWcjdF4FHNAsfLm5bxF8skAmSCIM8BO4j6Y17UBItgMSvz2sGqtw/V4Ph+BnvnHWiOHAw5JTLvRSWZrovuAPAoZzeUINaqs4mUWbs3/cK/89yqVOoMg5SVK+WdKywPf/pytvm6ctq9EDupkOgHHAxHMS9ciaHL6R7tqpyR4HzMgDRmd37iYYHrh9KIvp9WGIlK3qP5f5hjDe7C1g=</t>
  </si>
  <si>
    <t>VKWByCgbiLI/w22KkmiQnCzUhAxTPp83gO+o/pe91rKSouerS4M0T54r9xh3rD0uHiiYe1fi/g6laRZyGwjkt7MLCNyY7W7erc1CQo2jO0+Vl4a+pEbUau7jCt0Y+zGJ0pqx7PbeKYmBupORBCEVymG0F1AV4Xt8NNJLd1ZyqqxpQ41vRZWpdED+M0fIqpH11VTllYDVI52RLNuiPMIbC2jgjWNZRdKyC9fWoaffH39fyjys/mIAvEVnyG8=</t>
  </si>
  <si>
    <t>7Gt6qyyDldpL+Z1YCVXpnu0tf8GtsXMNUOBsGcY3WcVkujuAErW2So26SbsJk0s6N9ELro/KOk18pCoK0tqRXp61MFXUIQApz9o8j5sJdPtOqHHKVi/X4sY7bJTAzh/rZmzVRztyNRko4stcjbFlpt25Bc1r3gw1fwXk0/ES0rMFzMUQyBY9KaJGzV39lhHOW/+OoMRIWo4Md5gyjzjt8YAtLVT1ddPCs4kmXWZP12HcN1Z1y096xNAClcE=</t>
  </si>
  <si>
    <t>inJF+UvFhRg5InlEZCL/AxNeRIyHapWbrvb5CxoU+x7DPjaQiYW0rk09FtuDeKhP5GC71XUmvskoVsAq2IJMVZJCw63xMXkScIrauuLhVpg0SEWVTkNcBpoYEuCckOFkHjrwWxA6U+VO2u/8kp5TOE4kkPeN4f4vG5Sf1wnPpZDvwSw6hSIJ1Hau/LSfQPrVTVbxvbwXTSS0Yl9i9vUwSyIXLGc5iVaY7CNog1aZzFT4E7Ca83T9JoGVYSo=</t>
  </si>
  <si>
    <t>qNAkOltQ2z5yNQ8Ri1e8MQP50j/tG3TV/FC1M0uVYTQNi5e3HJ7XurqETYx66dYqHIPR/BC8nZy9QdfhfIPfX0xQpJtEz4ZJSHNOkkP0NX+X0NXaXywR0VL5yjvXRcPL2BYGmDO7J4f+MCz/mGjT/eaHRPKSFN5Md1iEESDlAO2Pav6JNJTza4zoQMSPvTD9e6+2ABG183fvDbCNuBlvb0I7JLUc42onTRSWmEdshRX5C/sCJY9c+De41kA=</t>
  </si>
  <si>
    <t>MNonj6VOLu+ZS0TI60nA/D4T4OQWBRBZQf51YHtBJDYjejBGuHzi3Nge9hvPwZ2kiM5IlFaTIpXpB37FIvhKtK6HC6EUdY8qgvMKq6XE6RDpQkarzhciF1LAudHpYlEN1084j7nOGMHmNRg6OM0B4urVhwgNd9IL3wOm0CrkiPbQelGrKJVvepC2/wrDYmvigVUs9nS60b2jOs12AVq+EI92opvFvZKVA6qN8NkIg0vESIxaCzXGAux9ta0=</t>
  </si>
  <si>
    <t>6y7j/YczCH4RglqYWVh8ukE0u273y08a2MJq2Nkrrh2mBu5XzdFg2Fyd/uLY3ThTOb0t5hfBmVan9y/FAwLLQkU3gW6nb/xPZBIyakO9fQmL4oRliaEjM2Z9kyd+C/R15GnVueYsPLi71HIiGSmrYWOqN67uAckNf1vozixpHNUYglLf84Yv6QnbihNvpGtT5qsjoSqmsb4VSH80FFMR+YC0orbuZ8GkUjOmRNeTlWlKa47BI0kypb25hMI=</t>
  </si>
  <si>
    <t>PrK6BZxir5v+aNSmhbHBvkzY2fhlPUGUqY2wuvuvpu7xMK6qfyrwPvYTUvHhOuJaPQh5SnsP5dLZ/BX2PmxwJnE7RWwfkI/35co8/XowJUZ+vicRMIPVtTRW2K5vuz3HfCg5bwTHp/POu/OvvQ8h5vYzc0bD1DSMwCvx/fOKlE6YQZZqr4yyrRWyOcV4LfcBZfbD+C89XrYHuUFWkh0rdSOlUuosVZJ4Fx1j+pUH8klTX7K0BCqquR2pg4U=</t>
  </si>
  <si>
    <t>o93qyaXvu2BsvayB+fXk8D6oadZFY1Une6YNgiyuO7cdbSb1H5PkBqvCh/gLCiiViimTpPdapHUgR/wKR9JD1QCeb5onr8YwzJpzXg5nlCIOGOE3jjgfDHV5bcx202r3p37KEx0e3EXrK80YYYaiIMn84+qmoC3VMY4WMCwEt1OGicFctOmzuJReyg1wGE925Fnenl2Xh41oFZZakePyEgKGI34S8nyixvI3vmQMSOtFjTbVw+CYVq9mgkI=</t>
  </si>
  <si>
    <t>s+zqHu+Hi/NcH+CxE5xtVHZpgAKhf3o+owY6If+U0Oo/J808ACMQO4q2RrmY/40JEX7P0A1DYh4tucmlpsgX167L99D5kaDEqmJM8jKhlnSYyqC5pI5qGSQ65D1tediBzgBjOryKBTueWV7IQBODKkE5g+WnL2EJ+nc2aSpyGxI4GkySsggxDBGVJVGuqGVk+x3CJQ7y88pp27pETtal7cf1oN3kLmmAZXUg7ovvFLE+lkNjQEaQ5jYZMsM=</t>
  </si>
  <si>
    <t>yB9bisHKokyxgFmoNgoiI9g8eoawI4vDQ3UBhADK4ljMqNf8YIlHRZXq0KT1yETIA2CSCeyrYGLB7X0ORN4UKyjIF+B7ABXGvqcUZK5Bu7bxwgfnYPt3PXa4sVpAutAYOuDh21bOaU3VSOfCGonvtOEcLwz5zhAjB4gW9exLQKZpHkHBkfQSICSEZ5hbTYlJfrc2tw2ORxT6g+7poaEKEj/6p3fooLDoj8f60RFjvAFaJSc0cHRCgm0LrEM=</t>
  </si>
  <si>
    <t>2kHCGUGaZ30iE5Rbr1WC8xTrwruY9niayildDbUpJs44vCLNoAJRpO+AN94D3mXvyeQUdvOICKtoWTFnsY5pdKa0THqNve2g/x/ooawxCI5bvHrSsifnGQJgozsAGMfPKJk0yW7PH/iw+uc2TMdoOGlIUPB3Mk9jfkJmDt0vPGVah5bz393jcfvaG9nqP8ihjaYS/j2luAsQVll7vsckw7BKq+ETr+ucJjv/YimqlA7lDwzF59hwfYICxBk=</t>
  </si>
  <si>
    <t>UskX/1ERyFqzdWupji76oCNpV2xYYdjB7OV6BXamrgw8C0jPXYen7BnaRrfJLWjFWSCpOnKsC5cmoQ1R8Ybp7CuDbMi1bRwW48L3QT1roZdWG8C1T9//jHcfb++8+5X95cFyVivBlbVx1O0ZD3kat6cXvHFi9eIEAntU8dGmoPL+GiaUkzTAJdDAzPPthaD7YYZU2tufUkKnp2VYNKlHTO1hGmG5Am3tvPMYinaRtgpscad6p9S+u87BQDw=</t>
  </si>
  <si>
    <t>v/0BRdbZAP/4SIKtAV+RqgzqsK0W7L7tnz8x4ZmZfarM0pLwILfnR1dSoiBzDt0qqKXvINuPyHbdbdN3zEV4lOkdKcR/Swl7NRSS9MtyXEXmtzUYqv3yeaUMmDScSaqj5Tu04GjXyazPyAMzEiawc3xYKscpx+1UpLqrx1BHSg3a8NM0t0fSg+Q2ho+uy0brNYnMH8oWINv9PnsPyg40j7DaGP7q1ogDx8OE/jkV6Y8SqbxqLNlDwkEkY8w=</t>
  </si>
  <si>
    <t>DZvmd3CpJpRPSMHxHo3LkRw80Iqmx89vEhyy38Gb/bsNpXROkEvemqXy4w7vSNLsVlIZIpGTPms0xlu73mjgJSzXCYdPKkrenBUfgu3G/8ZGgu+u2VAn+bIkL+3tL2oY5KO93UdkMSfh/nn2HLs1+dhtjvSldDqk4lfyNyqr8FrkfsWclgvj7jSZaAxkTxxR+qjMdoH9HjUCXUMdCmkngAjOP8Jd8w5Ota0Af+nys1EmzOMDTX2njRD0MxM=</t>
  </si>
  <si>
    <t>Ra4Ntzsoj4+yLZjo7BwmV9Ycn4EWWsNUWh1xioxBDLt/BK321Nzdd5NLzvf49dT9f65jAWD2qiNKbtcPGYiOBx5lQBYd1Ox5oHf+rf8Adu7o03TvIr7nnlK9NYLgd9Z5P9OkviSEBS3WRe3tYDRLHOqlshCFahEq5oq64i9/5PCLoqerKfGX+ABa5PKeEP9Dwd9KaO7KWlG3ZpvCKUk474v+I3dCQuZ4TozGMd+jtRx0FdeFaFFtBngvnaw=</t>
  </si>
  <si>
    <t>tmWHv/OvqT7NDaFUfX0rF4bbKDUJXyQbgAAcSRcOLU7TQ5WvYlxe4EfhGr6fRefzcnEXxN7zkkaw7siFB5AQFb9WIchsHpy3rXjLFtl1vrdk2bwWdeg5Lbzg58OrDTYGlMfBPVl11IO86FuAUW2AKBokWv4uC3q/SwQ23RLpd6QYxKYYsu7W5ieQoss9+AjAujZkJECD/jaOA7Q7kfG23AdoXEk1UJbfdMVoqJi9z7y1jd92G206WuXSHac=</t>
  </si>
  <si>
    <t>fx/FPTrx61KLUNjA6duV41+nS/MBMW6fIJA2/usCBbETKCaQc3Ws02IChB47s4G6XAljVRPws5AO9p/5/RAqIP+bVVhcy7cSHXhqmbo3ru3UJCLG4qFN7hA1Sjy0i3A0UucEupbdCj9ur8gOYK3rWQ9q4QVHd7jy7u6+cAtTp5f/2UghkWihzN5+9cdwswdYsUN1vBLtwtQXmSHmlvonprj3lb0J2cjMOaEyCk/BBYQ/R4lBGQGsjC1gbeM=</t>
  </si>
  <si>
    <t>Q+hqkepjxGv6zA8XN8OZMGxgn4dO/mR5/bsNrLNlcJlY8BGW6/tQFKR3U/9C6kdL6F7LYc1n14yzLKiRwV/XPuQSB4s2GlpwagKZo4x34aVpmzv2nscb2NiSQ2BGHRdkYLsVVPepE5F8C4aps4tCUDakTChQVzJ3v7p36Dll4laqcC5n4isazv16Lhq1HASCWRShLuA28jYP+VJILIew4sMBwgLg46gJhw9QSpv+tSsKxzUY2LNsUFSmCrk=</t>
  </si>
  <si>
    <t>21+4KKtEliuVi5qgo6LlSJW7KcgjTZ+uvt9Cvc0OrVrtRF/Pxx7nrY1VQqrL3R/mRpZ75j7lmAPKTgZLF55cYKugsNeLCt3s63CKh++ZU2IgxcSVpKcocnfs8h9/aqvs/uUiqVfk8ewgB5q+yBnn72eFn3MDelQtV+wmeprhGpne+6a8bHtrTYkKKruwh/DNvvCzz1EReL2evT6+Py2tjDGvBCdcUB3o8wm2qVU2rQGpWYYSfPN2Kp2PmyM=</t>
  </si>
  <si>
    <t>WYWFSVh9F17V6akO1yoWAeBgP8DLWD4g6SCCF40BVS/pbp3wAtwBQWF2LM96JidEs43wimBNMrn4WFEZ2DTjX99RqrbI2ZGT9NMbfaHriAFTqkjkOkpKvuFdwgKiOydOJ6RnazHqsrY6UqisGVNINmNszCqpn3hyOZctwVmqBSSEKdPW2Gfjjpcnic8Jtj/TvH30wGW3V9QUX+MCwqSPOC8Cz/STwQsUESJ2cAhj99T+qb6KRbO7afTho8I=</t>
  </si>
  <si>
    <t>MmJOqliSOuUrdCtpdAaLMVShKXUwWukjli1t9VU4OqmNM9xJwZhp40eQFu/KCLelPw39R8nibzxWnjSMM7kYSp+o1H3GRMMGmhiDdFCvzvZVDVLOF8fk0lrW7lpJzYtRQBnD3yO/SEw/Q9+SQUHdwO1e8S2EdQoGY9Vn1yVF9slZsohC771df3Ca0EgYQRWeKwWHQzBjG83S22a7C+Xin52GCluzkqV2IPcEeoJvJbKH5Otzb4k1X8dvTgo=</t>
  </si>
  <si>
    <t>xXN1IB26kmX34kmVXL5+SxhhfsoyrJjId8gAroXfDD1ZaEPoBfO1rYOLj09Glqk1WB64qI1GkROUuaWoS+K9sgLHu5RBlUemFH2Hs7vsjJ0N+hidPUvaexbDFrwzFtLODQ8sJkU0kSan9D7VKPo7rgxiJiRbvE7I/7VUfZa8QWgEjmnZHh+vfTVlCqQ2ziX4cQj3HEhvjniWAu0Y3AV7ZlkPttzrFSqape12h3pvyVARcRQNOuk2RVoDYEY=</t>
  </si>
  <si>
    <t>SQ99gjSl//5VLeCc/HNj5tUKDBXJaQKsxi9ZiGHvK9rRDkwKiPdXxDTVBXb8Y0OS5up/sSrdQR7Vs11Dmx6ePL6tbGCxah/rw/oCWsOS9ribMkHxzdKPQHQ0u1fhgWwLyy910BwNJ56DC8FuaZ2aOefzGgfXwlcGPtIO6S0z0L8KSMhjeSjyT4up141W8UhrJ4zZvccSpIAsQKclamq96CXHyTTZkjye/AtLoi+odaoisjEutk2hKo4+Qsc=</t>
  </si>
  <si>
    <t>DCUeA4HP5b8bNGT2FHHtYdCExEdbcpk7u3WqKyPbuXzxnqmuDHZTRmXbs1qlpEaFfttxf7HfB4QEdJpVZdZRH1/eblecRcyipiAxF7iEotrMt4BvWMKidyclbE493G7475quFvB5g853GXX1iYBOKSQyr4TVLNWc8/Pz+sssTNJC655cmsxBon7iHyPlOhT8dPA+XxN6MDdpVrc8t5UHy3pp6hXeipADpVHWy88QHw41U5eQDvIzij8oBBU=</t>
  </si>
  <si>
    <t>NcpkBVmGRg/d5u96jJwrEdeGEqGkoXz7GaklzriQ1d6sAERmFQ48AFMlYgNvhpk6+YYf2DdbuHu+/f/ZAJIRu/adfD1MFQhFTRsQ87ccv2nYPpY4cs2JAPSCzn4p2/Rg7Odcj37QFWqef+XSuJe5pE/5X2h3eMlO7KaO9TmnObCb9ht1VZu3DmPd3oCnLEVShE+I/pOUIsVkIJ0ZXsv4msaFrUGFNzfgxDUM4rbVHcLzHQRtx+KKQf9TTNM=</t>
  </si>
  <si>
    <t>lqj3fxGTrCV6BfT1tGFfe7LWEycUdLQPfQlI/U2zZOXS5IdltuaVvt6FhNiyxpxsslPWpzsb7vfd9mf05CNoFCxKVmYUPTnxO6crIa61iSpgDJJww8nIeR9k9ZeP6/MhfEVR5N1H1RlgReQyTcskzuVldVF9l/me7RXaB3+wlCQkmz7U4fu10jN2h2Rr0zw7t8t5SB6wZA1ZBCgrjGCi2E00DM4vrcjqD4Th9DoTZqI43RmKesoNMeobuN8=</t>
  </si>
  <si>
    <t>FSPCN9OPfDz5Z4g+n8iqQSOd+vgMBHjMUXpAsyiAE8J8ntdKLZ4D2skijO5EhFCfCNBtq10YT5O2vlXxAlJOw3B+pVCNUGYl5K4vNMzbFlbmEodmGopn7ppXjXmtgQWissvLgJpaacB+EHM5W9j7yzOuk9eWR4VXALU6UyEuiEDGS01Cy9ybya7JOdmVwWxJrb9I6zkxZn8moMpnzhZdhUZpNJJvXQNaO5VVJGagm5MLQLvZRa4KDrwXWOs=</t>
  </si>
  <si>
    <t>iTX5XiEQPfMG02SDhsyFKFYfNEcfKxInOlmEO4Iuyruy55vy5F2XbuKEXsc4AZ0zyRmlaxWAB0aWmPt+99vrNRDq11kMv4ZOjMHFTjtPSL5Zjj+9ZoSRyr6ULbuGaJPiap30Wu9SdRCd1t/zVFH+X5v7p34mmfr+uCGsiAKL8JwXKHwBHwvYxY8KlxEEVUsCyUECIMBrRvvZLWkKGEetYUrVG1fjpIvDSsM7gUoPlrr/DWfQjrKyX8p/KnA=</t>
  </si>
  <si>
    <t>G5gR8BcWtIew47xgYTR/BrwHRSn4Qkju3+RgvBNv4fakzT2a03Bhkb1RhwPt6NDmGkbC35ZQlKkbgl/qLXNobvb97jRYBs2xivwZT0korjbaL4oNqdmO9/8qmbQdxzoYurepLlM8LCLRmnuYJ2FVtwc982URJhhrgBAwrTwOLZq3g2CXb0v4Xoq1mvv0Gf/zmU1GFG5z53UIBvAFl+G27OgD1E/TW2FmOHeZO4uwr0Qs/MzttI2dY8dRKhY=</t>
  </si>
  <si>
    <t>NFpF6DS0PgxwmLLb1krlq28Nfvnu0wi79u0GIalpzLvXs+up448e338POm2fLWdibxznGMFSNRNQo5X1SUt7WiUDwy6PrcrmgFWf0uqS7v2t1rEHLKU5haCUGp5Yt7NLu2LXJCl/NaguzwOh8Azq08w8alADvCXubfLWXZPPadcxA1hC8C8Rpa6ybzbHx5XrxO/7ggfj5kf/hM8C15XD7mj6RA9cz6QwFcvIqLwh0NlRXUldTC1x4gPL2+I=</t>
  </si>
  <si>
    <t>ay1PQf7CBNJa8PQ3Pr5PJgxlX3sMcw222UNv2bn05dfTp6upYyvqEJQNaHOliihwsCZOxdFSwbtQSud4oQkhAndtQ2iH0sZWmy7ojbz3TcNCIVPQMxbJXVrmqGP4LBVPjDm7VwpeyQXOb0jWqlQ5MCNUGpB+Zq1ceH9D0supkn4v8z6RzA31LZfQu4VtDXmsBW4o7UAvTgHUbFcnOoXaOmerX9C7r0gLJaSp8RWd25G8Hsnxenw8PUMPVhk=</t>
  </si>
  <si>
    <t>k613vz0ezp1iywCl9tHPppFYr06gHwxefFwqvBY9NmNU/obrvkJ3Tild9rFyQaD2CojhcLCFjr+vD6Ae+QQYFXrwc6D5ggmiU7BO0pTsG109CM5EUM1ToQLExsRzuTXKgoD7WMfV0nnYJ9mKhk2566WmNKimVT75aQDI4gfqyi4OXjht/S5EVvHepy5W0TXo9gcXh+XkT7wfMIDlH8CxyuuIPsc0cZkJcrJvJyPECuH/xNCN21TQ+JxlOBM=</t>
  </si>
  <si>
    <t>3IduxWfYxYVcNDZeIjYD25EaAzz4jeAeUAiBGLG2nSEOydjwUKdpx7woknQvFVxOglRuecDTef7ugk8rcazJeoh105zyrsxQBLwAMv49Edeogjx3POgDAy7ybQvldXRV5ERGFMpSGwR/TsMT3jOK7zG9UU2ZOprdvgp6dcayeqA/hzxl8zSXNKoCNYr9/rdaboVph7GiVi26DQ2vgQrcevzB/XtIFLBpx/Kff3pjNveW/aIZYh3Go6sXpdI=</t>
  </si>
  <si>
    <t>L8pmlvcHVTq3saEWhBwtgyhzB8D9f5pdtjf0iS51S12eVz0Q+ZVhQDiQX9d/xcQe8bc8H7KZGyaH2AN9IPbZibiBaEorRPs9r5jKH3QgvcI718gYJTUMnuzGnmC2GPeOyXU0Gxn5/n+j9rEZT9n7qVmN1ZCR0QlcugB7fOk43ncPgI1sfuzUHA9pRqQ2M34Qvi6pjRzaOZ/lnSsCP5M/Cjuz4yNC/YKJrh8fgwAt9duK4QqJLaVtkVEujDQ=</t>
  </si>
  <si>
    <t>O7GtPOJNByYG3PzAT1Gbu+cHqm5oXvoMNvUYxJA0os0QkotKB/EXNDSATBXq2ecrVAyoDNKxUUmmP0ng4DIlktLQk8o+L4QCO3Lb8erqvks/F3qib9mj7JMjyj0h4JBnBUP99JT8NMnllhCgR5AyTse4ZoskrqeTyvMXER2sm4baBdFr/1V2yLVxtphgb5XQw4pH7M+oBPdNCy9l8y9FMQKfKSHQleU1K56aKVg1ISbv5ZYNY4MX7Ja/lpY=</t>
  </si>
  <si>
    <t>bNUuFw2VDsTbyVwpfKIIY6F/ZJsYtodKB+dojv4sA3urfje5M+l+lwXsDlknudSe6/6PYwOXF8m1MMyRfNGO4KFp+//MpHDJ16pQ8wioakNgKA2KppzUFVYV0HoL8chIrFgkirerFPd4JcZX8RADrSUrx2EE4hKP2oeaW5Ry8yYFsJxc6oumMlNOykII4LirL5aMSePWiwMd01xLBeayaRjdkT+YQuPftZxsO+XGFs/qvdB0CW+qPFzDKBE=</t>
  </si>
  <si>
    <t>k70TkGS3mH/feb6VAgWLisRruBR0WBl22afQaI6/0Xdknz/B5/gxQUzc+r19RCCuDxa5sYtUW/9NcGrk1lN+MUDo8vNFWf6b0l8UWMP+0L/cJ9Gr7HBoldZRvbkagrpUWo5OVaBOwLtjML3XRAVxa103InBv+IDGpkfb6BjZwkJ75QiX+zTAu9a0ZsanIrFOcNLzX6C2i7WVCaZANjLaXhpBQFQiOo5VtdMpwvzQvjA9DGQ/0QeYASbAeHU=</t>
  </si>
  <si>
    <t>zdTTh82FsrdmFQtZ5x/r+Y2LUZ30auz6YRcwQGDld3Isg4cmAc1aSkbQj5R8M2xQVWU6tG98D0AlEghzL+hkcMLAhATGq0O8tUn98351Wex6oaMMz0OWiZU5Mt+7hi1iITdrQ3XEn9bFgqx1UPq/W3xVRXMZPWYJumHJ+PIDaPeKJKx5tDQ6WmNKe4XxWJ92RQJXEHCMqM42a+uus7OmJxpRnrlxtHO5i9ZXd7S+4QhR1AJDA34wDraCBqg=</t>
  </si>
  <si>
    <t>g2EDmrJzwgV+LhdvR+Vz1WwhSTyO+yYdjdjYFwRPiHVI9KgtjVL78egeEFUaTDeIcYAuNlaZlPEA/TNs9E0mdJkRPGm6EC/fVeGp3Ty37cgW/e+1Z6kA0dlIZUTrWCUN8ES4fun/khrKECb3mGgDPYKRA7rcFnnzQ7PKjAMbwG7rn0OwgHe2BlU8FlwyN+ZxxJ/0rCiPCpKyy/929I45CyUN7FbIFG7inpPCs8nccnr8Wydgx2bj4J5DJO0=</t>
  </si>
  <si>
    <t>AL9gu7fHXCX4KpdrXe6S4DTjGNS/I3u5kW1IWMxOjQ6M4EDaQWPSAKRlMrYenXjXNnmC9+hu0Nx6WeupDlN+GfOf0Qr2O4Ms3de5fp7QKcPSMof+FoK416ALkK5bB4ZPZNo/N/CZEiM5XmuvPRDtdzgsArFKwwaNq1ISpvTtYD7aGiKca49jB5IGSBSCEt7zZ6ioLGKkK0J1UPrStUzFrcCdJKJCYIZURLuf2bXywNvfQMzb890Wc3r+FF8=</t>
  </si>
  <si>
    <t>KBFqAVS2V3VIMMKebpcImWOWUsf2JplpzWg2ZW5H5C7rVwiMPzwpPLS3JTdX86wRi6gi454xziiBsWCONFuysEUIB71iBeqPucdXPRnxTTrer23gMXekZ4kgnhSQtcFYpk4+OeS61OykyEg/u1DMDtcx5lhbFXxEyyn4a413/TtU2QrrQak/H8zkwkX4qyMYNqum5TdD+fnwKRJIqZHO8vZeWUf7njiz4cH4ErBkb0c+N6Ln3EMVgrf+3G8=</t>
  </si>
  <si>
    <t>EiBeif8j5hsGIEggVCAVk/6Rm2XjJ1Cg07tbnf2T/EcpMZJUhHPjqAtw4F7HO8CqFKtXfvgCUlG8vBWoIHbckc41FHInk3IATuLkEQ5rxjOR4NIs89BdfyaUXdZjNlIbrznMjG7yCvP4td35ijFmsdOLB9eKtagRSaliZJ83udqyRv4vHWUTDozN3hFor4AWM/ZG633ceGVy3Gv0o4HZ+50KSQr07si9Qrx+QC1THHyU/GSFwezacYJHjlw=</t>
  </si>
  <si>
    <t>ByNkQPYeJFzFK4rzBMfGKXHflCUt6BRYpWbOEXBSVaTCNPYhn5HUJuhR5m6e9kh8G8laI+0h5FuzgqNa88hHrt+N+rSlVPLjx68iwbnkczbA/VSFoLCGJ0KBDRSSxxhZtnrfuB0OBr1O/d6iCudUbkW5GdTzOaa3qFmw5S6qB6XVJYGaIVGsosm5uWSXaBINHY3eIayDD9c1fd2Icwk/yEp41XuAFQk5GPnIAdEHyjJ7aYtn0ud3IgNUIlo=</t>
  </si>
  <si>
    <t>LBxzW6t1213olUxLON0Ammc3V4bIiOR91W5aU6NVuC1jlJrUU+lslcP/q+oYY04EyNHYiyyQT17esrdlO1+6MklgTFK5PdtcQnd4aj4nREJ6YkMUyOgWkP93RZjlSdJMZ9OPHkXBexVoKMix7ql2+WsLC0VWN8y7QskiC7/H/sEGt4wGV7sF/qGhVAK9qWHrNBbR139p66uEAFrMS03YsdBfixW1LbAUcDp2tBlWi14l9k+xai/GOwyesgc=</t>
  </si>
  <si>
    <t>FEOFaTdUcltERKlIC4S3EukMJ+2ZbH4UvRw6Lk/rI892ZWdA4MYbgM9V2XL4MfGC0F6Z9uYChfv6n0v9SvtNIFhzfACU1vQXFmm1mN2k7Ls92PD/7rHu58pjt3nk5weatV781dcRhhYtO9OxL20/nXZ4BpuInQ/+UPx4UdFHRztD+d+C2jva8wN6TslHZ9IS+mSmVjJGSG6sdGsFSGdzvuMmx83JUaZngMgK1CKrvHR2yJWB+rB9fLigLqk=</t>
  </si>
  <si>
    <t>kW7paBLTMmPvOsEBvjLLXdJ+Ko+UGLDFVzJnH33XdmiFUr1wmIXrz5/zALkZnQ8PvCfq1UUBoenF0M4oEOzAcQ7mFiVHZXsptdy1jqizg2ihWuYeJAJPpVS6Fm1YuFyuElNChcN8B4FGNVgha8N3MhguJ5N3DkG15bsw8LkYAZzc+BVFp+Y4wmYMeYt2i9cmTDllu388NY9fXYkK6aRp1XdEeI3d7IE9oounWEsVW925NviiNy0FVNHAml8=</t>
  </si>
  <si>
    <t>hSLuO2ewAD89Zha9xTWOpI08QIhL0Nu28it+R5EMwOMOMbEOrPGnAQyzRrGV7T+ASOo/dkDOmGF12hN4lgqdRFcqmthOd0DRR/QJBg7LsEP5lr/hhPMrX7OaWbyqWWSVmfq80uh7H89wNfMCRvADnq6vi7wHUWHnXADSkiiTOBSz33vl6zR3SwQuVEQA+igLHXkR0utlsmPlEHXsEY2Xu+eRFQEWJ0S/6Ds6w9w4aSnrDfwRm4utR7EZWq8=</t>
  </si>
  <si>
    <t>nw6ff6jv7PFns3Sd8mKWnbEcRNFVJHi1TPPpo7T+vRsSqs4X/YGyfsjBw0QV2jbzSWqN7mblRpXKCQ6dWVwMEQSnmzgY85EFU83g8TOiwRI+0cnnJiA4yZAS10iXe2BS10wqIi2J7GyGXvKPlEYX2phLNTtcMHWanPrUUofTyFZH5iFFeSMO5nvC+oevNDRp62NKhzWZMU1onkLhXlDo96MgOdZzXeoDsQaMkhxNBsiif4hbTQBLSNCSaGw=</t>
  </si>
  <si>
    <t>7cVy51f4zPElmp+psYIzWCSkAfLYB6HA+bx5bL5bYZrJUi3PLFd3Ez9HOslx/N+e/1oPrmijaJ71g4FzmY9l0kB4AdpX8xdK+h1FvGU/mmWJk+F6bfI/0A1cvmRH7+vRsOt6cbrpliXK55DcUv0Tx/6ZG0gndrBPqLmKgtWHVQvclJpJHPcpbQsP/COygcBD8TvXCo1/PMx7DN2JWEqv3nqtMm3CkCjqI9dac1vVkuRn2DFCMvurktLXrcs=</t>
  </si>
  <si>
    <t>uUdu8yU+xz6SaaYL3LjZT96nuTrqtqHXFYZcwLDrsFn+QfVcFM1jUTJkGDb2fdb/ARJQ2GzbtJfmiAkNEYlpY1I788q+nSD1AlK21iTJ3zMXe88dtLNbeN36ONKcCpEsJAsermA3rMlu0HPCyYKn8pfEX8a0btaqaNSa2MHi9XaZuvkccqabbQFIIBT3yVsrDlEH5EDDwWVkVVlRq8jZI+a6Nd1hQ56hY3Skt74ZcFKSv0NOxEGhZTJEH2M=</t>
  </si>
  <si>
    <t>gfvQ8RTaKTW2lx2f2YhV4DhBgQaWpzRiebdi/vaAYJvBlTdq6Hep/yAijhxTixehwT3HWTplWd+1Qx9oSAk5a2H6F4nfH2678Vfr6Ru0N7fDGFHYTacvYxKlRm5sailnxfardmjOKlj0eW/JvZMqfRrp2YfVIU5I87SQvknLhIbGSZG+pgfo+kGo8YIkCYqCjyPaPq2vt6vFFwpsX1zsDeDcx76IowdJEc/N3+ZFQ6EsPFWcuqX2A+R0ae4=</t>
  </si>
  <si>
    <t>gBxRbQeIWw22glekq9SJWXH0kFrcfYUMNU5TUrGjseBGP7yQwXt17QTyNwJu/nzLVvhGERg56NAzAoP6bY91EoXHHTG4hwS031hgDjDYbRvNU22+NCvbxY7+iEo6XJw8Nk7syTUZBGdIrZeQOx3ENarqfTPJD4GYtP+BtduL5Jk+TFETTR5sOeFwiu8aV7HzjYezByx/ipEH0c9amN9kSHLA7rUvghbl4mhvjtdxJ8qm12nkRrCJNkW1zGs=</t>
  </si>
  <si>
    <t>2CHAFIZco5WV197JN29orpYyd/jClEw/6f5BHBPZ7HwYT8HKICWLuXR+buCGwNRceJ2qMcNA/k1Q7NR241wBCAiRqBszx0+kb+l9rZLwEXps3PhrVp4f/xqaTjZl2eiQ7e12gwIhSZHBnSOA4r/YlmrvwHPNFgNU0F5XA2Pxdg7Fb5qxf6nv0xUhRYQHDzEyOiezOgAxXGHsr/UIP2ujvFXsrUI48JwZkj6Wo0468CI6+RPeNjjGc1UgH18=</t>
  </si>
  <si>
    <t>ZMnlyJUqDBQhf9J3e7gyh9CvkNsm6EYGdjCBJynGlb+7S5CXblQukkje+s34IfmF0fX3u9JtzFgRi5EkI4i3xwWYa7G/kvpPSOsx8OnPpkJIANVJwbhG29+zpn1OE2b1yHQYDDKtRfwLj1arfXcGPjm28Us/o7j68phDiwmLNVGQhQN+J2nLTS/6tojzdx0JU6gW/wTCj8vgXshuTnaQnjhwq3An5JWqi6sGanl0fPfhWcybVQRyXpob/Gw=</t>
  </si>
  <si>
    <t>q4BNVbLWBhEP9Qh0xmKOwtuovWtnilGMSH+Hnc7Q9vQr7suizXy0Z8rCDEG4lqHGSXUAxZjQYnPYfqjwvgl+yrRiOUY68ypH0/PYKbqExA/H5XvfElLbLBXk9Hd92OpNf3fU+PhDzN36hYrTdE8Lrc3ResPXTf6gM4bKIpNw4vkwl8T3OJm8Fg8+66EspQPNwM20vkJQC2kOsipURpUpH8qCmCJw40+s4+Cr8j5WJ8+YupXcu7GY+4wa4Ls=</t>
  </si>
  <si>
    <t>GwuzvGogeZux9maGjcPWX7fCeD6FdEs1mP+9w76Xk6iTY0dBqh/nC0gwvJGtQoJ594k/1Cyhx9s+RlLXgDheXC9PxPT0gxVnFveM90S+o0xPpJyJmo9Px/sH1N72fzdtwj5tfYtISWJpTsiu5xG8gBTh1YhN4/NYAlxh4vy/c7Sk+5bKCVmMN+klny2pg89GqwRhQF1uL6lx+Pt/yFey6YOlSFInmG7pCJBmLMO4wMvMNC9cXrCpBe6YvBE=</t>
  </si>
  <si>
    <t>4Qz674fduzh0paMtUdWMMUH7s6NGF52zM6qHXIxoxfq8WwxWRKXxsfGf+UtoNTXcPYua5/vSV56VYgfcBeuTbTpQhBCbTvTF1O8gtOlVVl2OPlMAmo85tRQ4iO9RIaktLh4/6FSlbdIU+we54JhwbTjqiSrBfBoJwCjOAB8HlBuPtBiVihjqwmADYXzzcTKyuUhwJOtWd7AfzWWhtxC9Orf+gQbVHUg3nMUkpJDYtjNEBffj5g4Qd8mrVbE=</t>
  </si>
  <si>
    <t>BF/k3DJaDI4zX1BSOY1qaYE6/k5lICXR+f+eJsDKfZRCpd8Nwg9rt1Yf1jujyi+bgy5pxLru3P0pyVl+Zk8NKsJzLTm5y4CDwdU3gSxVQbzWfbUs/Z8Sc6DYASyJky07h5giIU0PBUPLcF4aGcN1jEPaEwkQg/SX4L+tzKm2Eb8wGwpyM/hL21bAU6LdwX7U8gdKkB+yJ1lCx1qYsEifOSw3Fjez40iyeCA3VqfUyhu+DQp8+3I77XLc7T4=</t>
  </si>
  <si>
    <t>kY11oXzCLEUWeTbtTtiT8yp88VvsNezgGr2aTEE3m36qLkGAEfy3NixRddcSS3b4zFtWTtlCbSTKw/vCZCjosnvKFVJz8OLYuRwNLRgcawdCtXMKSVWdkUeOITHz0w5KzCoiyQYMzYY3lUr1jV9VvnKnfn3RwkNRuuvreQg+7hvLTP4pccZ8la9XyV0Kj/J2bqstsS1DcArAXbmbR7DhwC0nNPfYIy6GHkrBdSm4E7aoxHEZuv3GhpG6Vgs=</t>
  </si>
  <si>
    <t>De0rdQEuBa5Yk8grRVzY/Z5uQ/oElO7OFumsiLzpXE0metg3gJ0IDZJ2AW3dFDKkeKnU9DqXgp/mwmLrGdwg89pmTmYRO5Hv1g6bW3GVyIG9z5JmWIc5/tchVPHGznr9Wbj9KZ0IBMFI2Escab3umnRT20FGiPnO0OyGEa6ERNBa/EuoR4SzNf1D5mZ4u/kPMSfzs6JMK5fvkyUxQfmMR9l2yZ3yvD64HZtsHu898KKgAxlR+A1BzjYu78c=</t>
  </si>
  <si>
    <t>eaCoJB+bkoLf0EIedh4TmjSKtwsG7QSaEQMkYN9cL1oCu90okRbA0eIt9WZa7oPqluBq+yHLgne7gTb4dqk8lMDw1CO0Mm2I7J04LL2t5ArglpDH+wnIXS2aK8qV9t7SZIOn22Ly+4ACDcZQGXWtUzIPIcOTjNuuJJox57i/GDb5hsUlwFIFjphB5NgcGaY5FiljUNCo5Bf4KxQBK+OpGvkBZOrz8RJ75vrSGPNqbpJgtmRVEsEEacT2cYc=</t>
  </si>
  <si>
    <t>L9R4ibvHAnDnxK29jRUccmnDECE5cbtfqp+AfJgvrJBH1s/q3PV+i3xAeuAYTRJV5cBru52TXDAdQzDp7W6zB6MNFIe9iOcEY9OsqYyQyBYc3uAmTWo0b4iURlJGez7gvjzQlLOsHoPepmNx0CzzukXXtIAKJ+XV9ajnk5+mmqqKKYx9ZIvqGMRO55WAeVLLNpRsHVgGfSzLN3yjmV2X+GO4EDt4413mkh0I2nO1+BVFe4uGLRqfW0OYYwM=</t>
  </si>
  <si>
    <t>rX3qftn+filXfytyugZVysCy+Y251uvaBaDYP1DiqN0m1P27V64idCjJOG32NhGXLFOcAzOERVBfqak1SbUG0TkMJGFunHfJDvZFPZGAVBwG0nAvh2nCPdyvc6trzYXE4czF+mJQDChzUlfzpw/toeRqKcUcl5k0dWcoI/9ku6dMparK66hF9EzZIjFBtG9G2nQuDIsD+GWSFH68X66xqR4pbBrmP2IeRvlOSr4cHbhrPPI3IIVnI6W3xzs=</t>
  </si>
  <si>
    <t>wUfb4QNaUdop0+SpPBVx4qmlOmKXriPAxd4g872lfL5xvRWYpcXwR8TZ2l7DSR9YMmr0AWuNpUK9LM9SGp51RSAqu8jD9cTQllfuWOs5FpFbyEaSQ7qwv+46mr8lNdmDXhOmTkvF6paBbzRWfW3Emk58iCuVzvQO1gE6bjiL+TMj0llbOTqrCXfNuil/y30L4dPIasFMZEkVne41UkHhuaBNtIiGxyoMO8d0pWAzcwQ5quc2P06TLM4HM7I=</t>
  </si>
  <si>
    <t>pWOmITBn2FaEiFXryFRfAtxZ25amyWspiDEz22Xh4IXkNXMta51tmLVl/oezW4N/eDA/Zt2BLVzY3V/7jimaXxFc5b3JKYmnsXVoFdWb/6MwZ/yhZiBd6l3/8eaTTfIyQhK5x/5K4udXBKlmXUy8Q+uVwJJ9oT5oQY0NgEOcQ6XcONKifv061YqDlZuMZp66FzOhydSUJL3zXqQLIJI4PgtzXuA4Zq9abX1N66mbqhMj4/NRh9/x7nRlECY=</t>
  </si>
  <si>
    <t>p5IVjeujIQ0ky+XkXgU1mStAcNopt/guU/JUTMdnt78DIak7+ozeu4/Xv4q2NAunHOsvpjpG7NS5wBJ6DhEKiotj3zrBj0IE2h33PbAhlQaqR0jYQ+dOI940DAflPaj96S6V4BKhbN5ijn04Rmo7bXXCqal27Wrlcp1Tx8UqbW9yauErrpfSSfrhbaPXignsWqJXcoGjW+0slA0DCZJYlPK2tK+wTuBtmQMTpRFJvS6roobWfixNTRFMd5M=</t>
  </si>
  <si>
    <t>OjnJThXYWVYK/GHkidPf17iDP2h6EzfZnemyYf4e6ncsJswu4hSiHp7zMJs9ugrZrCCLJC9o1G+5A4aIz/4Q8qWJP5URg/o7cgDq23apLvah2KfPOSl7Vi8py0qx/X7umq1AuDnN1tTkltcZtFyjSODhRjrB6aV4Z99tG7oflyuQ34PTkASgBLD5QSJQ3W2dDNIVveqHSo3Y4EzHcKABlVo3ew+D3WUernz/FILxQVC3havNn4fEFC1AE3E=</t>
  </si>
  <si>
    <t>wbCiUc7bM0KP1FtNdawzpnjuQniZeCkQ8APxV/Gyf2xSC/UZnagcN9reHrK6p3xRkYgPjTm4bouARrpuhTtHk8lnmIz0Pw8L8P7ecsTFJ10IHVK7ki3R1gPO52xzI1OLt1/WP0x20mWy78kXM+RhXVEJ6BrpO/jac6E+WTi/YkbsUHs0kzLRoGyoyRYMPwieCL6Vy1zKy3sIx2rFt+cwD6BtU3HZz3zO5RmwSczlx936abfHwH+oPj59E+w=</t>
  </si>
  <si>
    <t>+bB9rBn1Bbk4fVW3/0+sPmoDJ5ujIA+r+bmWdOh5IIqFOO7BlUfTYBVrAczQSDTHhDDBoCmdy7Io/bQC6q4CPcBSasLObEUTyrqRmS02xXGEwQULB41x3RGXwFnpBBlVRjozaGjDwM/gzajCjmO1HKGx3wa6VKB3zM/U0T4I0Wb4PGkGKbM8TszRfSxsQaUxJqWTvRR318j1ITipEkaFyDqWwQAZeBakWWZbPVWkHq47sovwXb/qu3tSdgs=</t>
  </si>
  <si>
    <t>S2ZpOYKsTJBOvM1C47LtIBWI1yTvizYpInnK4KWcgA7S/L/M7KBuNvB4s9/Qdzyte2vwJNGx3Vozok32OAeAH7hElm+1MPNj0pJYXomkrrOG/21Q3UMRsus6WzJuM29fUWlKo1eqCA4M9bHjgagNj34+LLZ1szClBVm48KScIYnKGW7S/zO1KQqOVojDRTOzZ5eH0i9QyS5fZBAmkIbejcgtTAHVw1OwK8nNQCw17zKySNo5LMtvZQFOnYg=</t>
  </si>
  <si>
    <t>4rC52fo/0MA4+zSz9tSI0IjAuamei/ohQSRiDwg9z6AnywFrYyxBb+iTdTKFgLPZtL+wX6AiTPYwWfFAiA13djWztrHNMhIee3sPEFMUaDlZqhZ1GOg/zDsnkRdsZ74Ar/u/stbHGlm8IkoKjcjL0ldJqxmqI5OIxlmm7mrH7IoWTBtmBb1XUjzDuE7xvIsxYbtWqRn60St+Ych3eHjLhxQwgiHZ/pBbyqNjJxFnN+1Ozu0DvBTckf05PJk=</t>
  </si>
  <si>
    <t>VezG8rApU/STclPUuOHQ9gPW9US4oHSGDZLR5tdKuQm5k0nK7Rw6cRe3LQl52EuYZFg1gFrAbek8tDPaEOkT6bYE7lQWgOEW7q/XUF6Xy37ODTv5Kx7QX9jnJSE3LxdmmtDK/Op7bjV6BGgYpsIshgXUzyFhtYoSItIFakvlsBxD0mq+tDBJ87cbLQ/i/IAnjzh3oX3IGSHuOVDd4Hl5v9cwJAUnDvaZIKgB45DaRScUol9VIi+9HNKGL1I=</t>
  </si>
  <si>
    <t>eSQZuf1ajWfroprmXbg9VTwzuq5AZZI38oCKGBySL2SfkM9KvtgxI6qqTNDZTWjXciMBU8UFSkppFzoJ1uCOs0M00fjGTqAcJIKU/FbhdAT+PX7s3ACXhnBhM69D+Ll01UsbW/ZYW/+x/Or6eiZetNJV6/FutN1wAMe81ZLiLy95q1L4zzrVVkiPfl2lyMJkXw2Ux7hGbVyLyZeQBuyJy82Lp7I/pdwfqj/MeW5SG079oO5+U9zFzt5mZBI=</t>
  </si>
  <si>
    <t>qLm//N6XTlThhF1/+o6tK/uYLv8gfusGPoCCIrpRrVjsMQ9h6+YDlMzjusplv16Bnjzf40wIuo5S/u14cDKadhCPGT2tywoXtQrdb8b26wjwbIdw7I595T1VMeDzO1iprp3lxUE9WR3aWUnRQIX1+8MpNeZHIk++AW3JThoAEen6YmMP2XGLB0xMbALPODnP6JLmneVWzp4CbZz6sjRn8wJKyZ8W8ddMZ8/26RnG7FDPtxHQbXH3lpT6VkQ=</t>
  </si>
  <si>
    <t>htTG7W0uKMQ6HpqdvP6gsTp+IcbvEam7DyXQwKz+lPKnG8mXcFIkSQu7AP4zsgyiZbZqcha2PCI9cWF1QpLRcK+i2wV7Q9El4BayPB82d0aS5qWhdS/xsv0uAchPm2aPoqemgAMzvHZSz1GK4slcIizQWchm1bNSmw5LXWR+E86AzinHud/RMfLKkldrUnsSAO1Og2+BK4LLWRotbo8x2SlACVDrtCFUiMp73Ioy42FOFXotPH9zguAk6Lw=</t>
  </si>
  <si>
    <t>FC+CPcYsUDjijHFu71NLtY1XlaDiFTOqHUOz/8edvuWGR2CXdq3mFgen+c8+gGNlojB0siTFsUUwDbMxQfaTrt1gss3oTFKL+XpGYceDqPnV7bMl/FTJ+/k0OkBIgFIJcs0nzPG9cfEeyy1JbSONyx0S2u9MU8LD1EoxR6on/yWxd9kDxlbYf1dyrwt5pYwvVPL+Y8NpN19mGFWcUPwMLqsLDN39qk2Y/prbuiqiSXFgdGNQ1cJXeUD/bD8=</t>
  </si>
  <si>
    <t>Z3SB7f4zUNIuQfTyPZcEweUQ8PeuS3uRwaaXiA/qo37Bw+NNrp3JT6Bm/Ff4Xz0KKHVxNxs3YMxLH6pZH9ZSJ4VniOhBJlXeJcJpiUhGyVtsull9R0dk3XVcHLjc3CIzuyLqVQKj16deSj20Kaj/7BGf7B8OIi4+zA+6oxc7hOSumdiDK53Ru7WxEtOi6eePJsVkxtbmJZ/KjRf58cAlw5H+4UTGpUAFUQaaN57xbBiCLjba3PdUEmFzJrk=</t>
  </si>
  <si>
    <t>EvIWoMasdlHh6EGhT43VsxdlvN4tmJVCo8oyZXk1+emqRj7z6lCA7OHfoYWREQbiB6YJumCGFUNoFV1LbaaHSQ68f64CxaIwEGEw+J/0/6PUiUAZS3yAU3nCUOrn3hmDOL7BM5AYtARjfYme48xqRX1RUXNb8oqwODGrLashge/WSwIdSxAfFrYlvIrTKS8WVnapFZJtmR9y4DVPwDXqGyy+p7AJSG1kO4r4ZajYom6ZQ7VdSpWDTsJA11o=</t>
  </si>
  <si>
    <t>ewnuA2jktrmI7YGWlVX7gWwPMA6z3Asi8CBZpYu8v2n4wk/l+dY0ZnD/pbp3O3oAqJHk/yZZi+D5wc9Pw44rp+6rNyGhCTutXZYB+uCaZ2pSHUn9eRywigIzNCn2c9YFIgSaS1lrFFr+28iqJw4jCN6M8AzYnUQImHBCCLU7EkfWiDA15UXs+rHtSUKw4O025feIgOaAigSob0WnxLreBiSQrzo6SG7ypMGnxHVS2okGhr99KSceezjCPwI=</t>
  </si>
  <si>
    <t>e7ESbV49WEHjuZRIRZ1D0VxkFuKliWhWqa9z2/6j+s1DdoKG01+J4uwKevhncsV77H1Wu/rD2ZNxbm0ms9ltCUvjmZ1eBAzMMrg98rd7Nwc8uis15PP0Bk6pXZMyxj3+GriZRkvWYTQ/LkYf1pSolmBICCverV9HLdog8Sk+oUQCgdHsjGzWpL8IZErTbxPBJLoEZn7ZHvm+x5MFt3HlBPptdQ6vGSXO538sKzdRKitdJ7qXYlo8IwsgZK4=</t>
  </si>
  <si>
    <t>BSXxttq3oyvNGaUHxFtquXqgKSPIrHU4Wsqdw5Omkm2qct4uFOuG9ywBUZMTD8lRGOfeKYn2lUWzJNspFI1BMHM6AdHbebALLx7fLzLiiVjL9+iBxI+BUO8SVGPrmuLAQONyhMGBMkUiq46/f28ZBTsOJ2TkzE+HbpOeTC6Rm2rDO/oeeQlVeSAmxllTPEqz1cene8rKvl50mSGQHx4KU0lIJHQsV7vWqqjFKj5DB0xLHnXoxWRA/Yvn1Ec=</t>
  </si>
  <si>
    <t>fQHm2huQwTBGAAR2JBkLlaMDaudAGlS5u1vfFtX8/orxLYR5dOT3vWjFFqwZ28RICKFVdnvNOe8K6s9ysxUlpmBIqeHmF8WWzSk8xccogqQoJfYgWrvhz5whDVpWNXIyvYP/oiyX8D6rzrru0obipTTSlgeRFZu92o9N9neAKvm1JMQUiC6dQQv6UAX2TYHJp9F/U49WKhOFZhZqLwxkriVYWaBlXmyfe+4IOzprmzuJ1SoS31Zul8TZISA=</t>
  </si>
  <si>
    <t>Tt+yu/wjsJHVv7IiJrI4CfZKWbTSNzXCZJekEnHocUA4dYSQ72CecjNrv79ZEnwixT9poglwA+6I5H2vTaAg3PpKWkE519yKAN7iiTgwefN60zUGqHyehoJWYjR+LE9OUDKtB6HpsbAqzwE4/Xn/tPCGfWugxDQXkHjGSIpwYe6OZhJLcwH2QoD+p7OVFXkEyYHZsHGuBCucpzDR7ecF/zTqG2DqH/z0sHmdoQ0QRRBKVXwASjjwuLjmA/A=</t>
  </si>
  <si>
    <t>Xzw4J7CyWTqR1ImCbFVGLH0Weiem5a9+alZE/BiW7VY6P2YLmh3rPRsGDNReAszbUViPJFfT/MAlFqSlDsuMvBKYp/RxC0dnsL/Lkslj89q8fcAuaOpVTmbEP2fE7g0q0AIW/IZmmj+qXRbs88QIopi5UFrdfnanPSvQQZkv2WjAgBHtglynqdLF8qrbiWWun+uwVBF99JiF9rqCAXEJvOBtazXIdf1p7nFRfVUD+fHUJq8w8aiMtEaSd2Y=</t>
  </si>
  <si>
    <t>Ocye7EkIh3BnGYZDgEzAmkwzZofd4M+iojXot9xpfMAQUyxFgyAjKcKXx+YIxc+/zmSfabpaCH9vjxI8sHGqkLIfIkBpDjn8EpFEd9hEQaz8cL4IdE9+o3HU2WAyw3ytjuaOihjRdu2JANvbEf2ahUYH7kdyAX4PXTfBO95M+gTZuqWgG0jiFWxVe14P89g798ZgLXmzsNFuF5+XX2hvtZWjdueJKcJjDpTVF+F/oAqw5xLqzhPCxgBt4xE=</t>
  </si>
  <si>
    <t>JFUJNfDk0Z2Fd9cjmu56ptjbIIM6TxEmdfo6ZTb+pzFrE5TjVQyu6jw+ZpkKtLFzj83QrU/3dsjEkdd2zsJIxk/hxBqsxsfx1ZYbgmmqlobDn+Kt6hp/ZzNI0w+RhigKA3egJzr2FbL7xz5+gOeuMIBe1chtCBxEal0Iq3ZTCg6j/JaLt3XbJHQaJdtKJ55zSos5dpcAsi15MPoEEqXAB3dEHiJs4oiflwMANNzq1YjSshScf66YNnF0W4g=</t>
  </si>
  <si>
    <t>MN+ziN8yRv75hXGCTXIDgZO/r/itAl4RspOC0zXHzlZrir7sVz0zUFW4j2O3F1LP3qd4C1u7P46qCH+z20xp6WLMrKcTMYNjAx/XjOGvkzWQiuSIaLA5kNv3zmsqSBeViTqzjX+PYnJItCmzbWHE+ZPBJhvC4qK3BoC89xhzQagJy4AX/s5l/ThZH7eTeKxyqscfwSKvuYkqVt4gWlLiBRYQMSaaFCqvUeCLfBcPuIzhArm5JbE9y9sphuM=</t>
  </si>
  <si>
    <t>cIQABjEes7JdFD7d3AIhxBEhiQwXOLt04tCDnlPhX3s6Fptn02LzUAj/kCSmd3zftuX6egJgPdqYd8bOyN669iu7K/RIqCrqnya6jvSTCWkoDcc74pUgyVZSGS45dWDf8AH1FZlqBGq+kP2sd85IKKfnBjo059bbyCkCNAxem0EP0r/u+RxwJwcHHWkQ5vuj7GWcHyETSO8oEu6l4djBc5wq/wGDaxc7XvzNURsTFJDzwl1fMLN1RSWDtL8=</t>
  </si>
  <si>
    <t>3qxTm8Jj4+bo1F2wa3fTXTTDZ8Y899xzFDBdttZsovXZrIIM7Rl9h658EKXobbTETH3rDynoCrxd98nbj9QMYwgCvM1WPu+TaqFC414wJwROWaUFqP3SiCB2x14Zj4BkTAvPGZNJbbwPcBbvn1a4ISwvXKYVG5crSjO4OniZNoGMmUugJHBz2yQ6r2bIpuMRVroS/hubbXU1QLigZ9Fay+o8WACB94/hX8GDzHhl6ppcPgt4Z7YHQ1otD58=</t>
  </si>
  <si>
    <t>EgLiuREuqDx0XdEMPDNcKDSf5dlRI3wrJsTc/3ORO4ZsAW+dDt/9J1ewlcglA8BQTuE0ZJttdpceY+qenDbc7PepA9pxZuo0Zgzej0oUjECPpO5Z3GnkgblrKCBT+4yjVK3yufM7s1ThT0iPQk6FU1Xk6FWZoiRrwllOkOFNPwnJORaD29z/wOcd0vHL76QpUZZ6RERf5RIJNAco9GCrDknjTStvgryLLg/lQbt16vGszQLmjKPSmKwH9Ws=</t>
  </si>
  <si>
    <t>ANJx/XjH6/FwM6YbtnwGc0zaiFCkR3SWRmgmRtaIYSX9Wl9efdp0l/W3Zv9x5yjuVSxnOquIUADKHFXsU14wEGr1Gds8/YGC4bCjDhH/mKX5nJ8+8UpMgkjuySY+WUPPcS+fQG5FmJhMEup/l3ga8XmTqVs99Pid/mGc29iLCAwex7PXPUjBEwOnyjWeXGZNk7AtUBWijimHwSnQx0yYjduwa3UZ4lbWZNFNoTbGALESkP1a4Ih4m8yKOgw=</t>
  </si>
  <si>
    <t>CvLkO/7ZJWUgfluW093x7Oxz5O6nMyZecquPINyVr4hDoZj75sw+DIefBmpnuKix9fdvY1FpIEyXzkVqgqtvmPuk/ET+Ps8RaX3LkR34Yp3dQVN17ggvl5kph6HlYQukAnmH/2xy1hXz17TRAU/0US6Zx47MAVL2sveC0pVksEbbcQ/rJZvZfE1cZ3ieUqnXdZ6sq4x3aQmfeGUrJzm4joy8/+gWCg1CpzKnGpkjvJsqpusFkMjI83INF1M=</t>
  </si>
  <si>
    <t>7wDP9Nnw4ROgGap7hIMMaOPF/qh1yYlQSm2f5ThHpD3E0Qv/FBQmSHpyXuNeoeWYEfVAKd29xWQ6x97cSX322YCXB+dUvUXL8XoKWToSZ8xu8gzZCUzt/tw7/pm4LkZv56bLsY2tTSjKIYuV/E9p5TgEXWmOQKjfCB4fj3huKnXXq6WXcMnm6Yxod2KWEepIe3j32L6lUtUrPX/poRmsxjQePX8axPsOOP83Ac07DE6FQ30SnQjDRsOGV+M=</t>
  </si>
  <si>
    <t>Ms7DXXZfyv+R72+SAv6GI+QZmlgDhlAOJL06Zv1T3NuuHc+kxYeVOhpybTPXmxFTatddYJ8QIuTCQf2zn01TOYsSPEfAdIEf+Okwm1RIUNhLL4MDAuoT8vSaHao9D+wNnbiNCAxp2+B4er7MRmbSfKbtsYwmA7UYnuDYmywDRWdfOosx/BGITGB3BkeVpAqdtd4UGszz9i+Mn/MSSf4QLU8frtT+7lgc7cpKYJYD2p6aTp1Ni55Tz2tW+Hk=</t>
  </si>
  <si>
    <t>DDPRd/yKc4qDNXCivRRkA1p7wOGGwrlCsQMdLw/Q83a2EryFO0c9ggU4gkgT+/6oCz2n2Zl6mRkaypzU5fCOzp2MXsO1DbFT3/StP4RlphSCqA3RKY79LU3RjLVFH3gUMjarLWfGCH+AbwpLpTTggXjIjEexZYb6DPRP4cwzpCKAq05+hicRuaiemuSnrvG7YPxi9LB2buv7EjrGerDcv/wie/o/T1CBCATaV/uD4K7FBLzvvlm2EY2oUvA=</t>
  </si>
  <si>
    <t>P6hN684eGUV8iEqNl23AVs79n+hjM3fluUVPJeKh+DNspMBfwy2/kS/h4EHi6kDWO+wcDfaA3R0a6qcalK1iyP8jK5Hoac7Eiy0QL/hTetanJw8W6suwuwAgzWdWKHbPcdeR4/Gv7EeAnsKJR3Aqu+M8rnJKPOBDd+aUT5QIaYP+E+S7FecTdgI+ntcAhG8SBkoCYptrsKKh2P9IwVgsecC5Kn6WNhKnXwwJwDFC/5sELSnRKvPOPXX1m2o=</t>
  </si>
  <si>
    <t>uEk6XGk39oH2OMEI1Aaz+h6Gs8QRotwAZDbQN7DEbrMrVVq098b75gp4tqMsQOFapwJoo1dl0U5/CB5Qd3YIBkl0OUWzSb1W6JINFVLejOyi5eAz4dsF5YN/SABJ1XyuiLkrmobvlgVi42nv/Lmtc2znLRhDt5oqne+Z9jFshCyRQSEZ5d7VSyS+XRB6A6xer7rGedTLjRmthdCMr+OhE/XH8ynK1M0ZdftA6t1jJ6EKp6eXszsIjiiGRXw=</t>
  </si>
  <si>
    <t>u2K12rtv8xE5HIma9xtGPGe3sbvrjcO2XoyEgj9zsywU1u5C6lUn8hrA/3RQm6z4/TLLqhUi4ubRrvcr4i5XVtZnaTFwsS/usIxg8pEa4/a3uVCtfPytQ1vd41DTwrhuqhwgXUHqzg5VEcJzeGq9cz1xylr73sYPsHjANy55QTg7YIvd18qdG7gYkcuPWQ25A0ljdyyEoRD+djPiS13wblhS/CKEr567gm73qdFVjs7dcNCVyBWp0edDiq8=</t>
  </si>
  <si>
    <t>f+ckd67dQ5SMHFptoUU0t0z5J99rgtbg0sVW3lK2mk3li6BbjmK/d8wj6ozfT9lECsqbgQQ7yZ8fPUkWdYhl2JpbBxWHASVN3mQ4tta+5KZyg6BN1Pf6zuM4CSwpgGnO0dS+alfGmOJ1/uxlrabG5YFkryFpwVLwBzahM7maqR5/AZyjTWY4ChPklgosdKP4o0eFjuMpjWuRXvXu0gQiS+qqVPPsRm32luAnE1Db6H0MZSUu+nYcQa9+PlI=</t>
  </si>
  <si>
    <t>ejmrgwrUuCJFWLT+ABrCHeNrzuzF6ZABE/Qtwke3lCk8P2fankxSNbqzGXOirnd8HEiJaTYgympvgYYAXoKZS6h+j9h/RvQBB1hOnLAnVNqTbIPJwhWxB5dJb7SQpHuxEiKSmwZy2EvZ3RiNsDTMW+Iij9aQibd8VPqaED5bdrTvbQ72kBbCCdJTItUSYEyHfN9FJ/H0L1SiUFsPT/VfyQtVIrJSSYlkdWnZb5NE/5c43JYz1bPWEEvZP3M=</t>
  </si>
  <si>
    <t>7cqpQ4Q5L5sQo4b8BLp/SYANnR9PzW5ek5OmquVWyZGbFzDCfC4OjoMAsB2Vp8D+L9GPxPxZVuP+Jel6L0MJw//3wIKeeBAlOgnPQBpE7VSpy7wFKJt3zJq4HZAkJsSZLHZOWuWvuFoLLkyLBJ9lSG8U53WCIdgo8UcXb6B75+YLENvCOHxZR7AHX+zn7aeapTlqkuZHtis2CUagf6+EP1gfZrosq3KJipn+lWHemMskb5LHW2jR1aOYPLQ=</t>
  </si>
  <si>
    <t>ZZ9iUKsTUlXG6lPqDDrQKbkVD7wMxvYClhD/rP0iZSoLIbtFRqLVAUno0BgmZAbKrL8MmHozjrbACb2yK2xn7T8U60et3Ali8UfJmyqjNORwUQZEtLGQBiuoxIhUi0ixMeIjZHJTALrhrgJiVIkddgeUVtgTIyuL5aNO0VaDtRZzZ3pwg3JaGRlHWOaZXf5tqSC5djPC7fBj1h7T9zgBgZdhF+bwvoB+I3KbD+kgLdOqtIlKe3RgO0vX9KM=</t>
  </si>
  <si>
    <t>85XuVybx5PZdBv4nCkD/nA0+yR19IPVQMs9GcS79AxnHV5yKg/zQ6VTbxmtMF/xEmgNTKrxmQQRpiQNCwrdFU5r6+R8oB5XA1wmcKpQW9gb7ceb5WGBDO8gj8/UMZxHVWxu2A2vGHl62WsYap1bUuX2mU7JohX1Km09joPPon5dhCDVH1Sm9e9BMrOU39NiqLh/2Q0Gxm4dnIROUNvOcQ6sWDdFBa/5tLaad2czXsD5sLbgDAKbrdZxYfkU=</t>
  </si>
  <si>
    <t>wciERM9kiu3p8AA6vBn3t8zDsMwEHU/Ms2y7l3pow15fCzBO4Wh+D6iVPERNvNxVTShT+qpbF+NMAJJDV4m5hgu6lxkt311+USe9S37IP5mJcrCDmLC8vR2VwIydZkQhSLCtJtkHLoMcK2/5iDyon8Hktpa1u179mMKDb6bxdYaUOL8UgIgbKvwZ13O/PjClbegvf9ubGqGZ7otfgv+mobZn/7jWO7ukBbjxiCYB2TAhMPKQ0ZLvidfh2n0=</t>
  </si>
  <si>
    <t>hWqmE407QBeq0MfNVfISeb+Q2rzUBZi/NiQz5f0/dI+7hWdr6CwFXfGQPr6VYQikyypBGKF5V/GE5i8pw8LVDUNAMNJ2m7a9jnrqq6eCmb0NiVavlQ3xTc5MTo2rHWdLhJY/bWe1xFBHBuIxePJXEpm3hO6NC6mIwOw54SxJtWVeuUsaSCVQzmtee9r0VEYBsomCWJFrw06e5eZh6cUz7rssRZFQcEjlFvJF+0sx2sOSmDmho0yA+K0+fN0=</t>
  </si>
  <si>
    <t>3481ejKTKAKELHqVyzeoIQMC+mxLaXzpEC4S97KII0sgkKlMRKBbb/w5lVbxwsZG9eGIntsdTa6HegD+amnvLKMxMgVxuMZvCueY/2dNLdfqqSIBk4g0Y4zaw6YoajcP0sYX17bNei45G6kqwiSHyq0fXw847eu8jHDkS9aNjolnLYrQ2IK56FRYi2CmoKaEXjhD/9Bt0esXUCisC1Z8bSPscTKqlDVnmHfgE0p7wLTWuU8AX2ifH1OoaSY=</t>
  </si>
  <si>
    <t>LRWeMaKpJ/n3Ps40LAdesh48ItEHL++9BTd7kFi+DADOTfaozcFuH0pNPsyEzF5xk2ND7kqy/ZlzrvqOBniIhC7ggwfQp62fgvpwkFgKKxDiUUnhfuxwYzo1Srlk5rKMi0d/1R2+NiEDVKwI7DuncObvjPVZNbgg2v79wARq7u1NB0pvxfmHEY1+6xRpE0HLY+yyzpFIsFE+L+bzo7xeaxSgGCKTm6hE6bgWDxU4mNODaodNSAcPoiFivKI=</t>
  </si>
  <si>
    <t>TKkP04pmlRpTe4XjdyC+MfzyRHPP0f+onxIS40sfkfTM5KnboF2+IT+bT1gtzflzcvazcbDc/hItzhiPKU0bIAvaHDAnrf66bVlYNYwf1dJ0ATWXkXUadmjxE8p+WAI6XPi0tWLMAwtTje+EOSpU2zgXvix49Wy0YBrCHj7Bqy5UV0WshjqYH/NFEbfp4rAw0PpuhxDpUfxyw0q9IzuiHsptKS/fRJIJwKcIVmIQe3f8VYkZGhga2P4O7Ac=</t>
  </si>
  <si>
    <t>tpBLfrXVapkXLYhmXbCVHw7VLnEjDWm1NEV03NrkzYjwYANpxRxEp4r+XKhPN/X2iFx6lmRfa0nQyR9uq5RnmdfEG2CfAZ1gtzEeuqIJsTkUQIvlnd73ndkRdYU9l6H8mRsTk7I+aHQOruQRhVbA0nhqAX8XJTCCP+ly9e2EN9jkoIDNLUpmIojqYg76sZzyvMFH0uNFbEpwhsaDrA04Lmg8uqGummt059dO4fjpdHzDhgFMrSMHrG7EJf0=</t>
  </si>
  <si>
    <t>MBRkv+7vwZyD8AyHTsygYie7GH9qFP7luH2OJ9aFijeSCuptYmYBUwKwlAAhQNvRRsYk9H2GV6brvSZ7NYN8EZEKenQioMLiUeUJuobpQDv+TxgnTUTaY5kSerkCZx8VVoLrsdQ5+rBzCH85r/RrJ6XOjXGTptcR80ySduipACjrH29jyBivsH9Jr9SFn4OCR6anwaOQ96/6I47PIL65LxHhxtQKLEM1IHgv3oOmoUOULiJd9r9hmWs3Gos=</t>
  </si>
  <si>
    <t>41x33tN/krXFnOXGoOip/+6a969GrA8IQGJF9ol1FPKx9u/hnefUqjMAfApSMbkB55KgMKW9/rDcjGZOr3gtLlf4L/1nIIDh/H2+XkmF9aczc2d+zn/ophg6735YQxOPWzfDKpfszfwwmcn/0FXYtOALgkNPrFhHr9RP54/cs1zdX3yMkBNSwLWqpFzYCsQst9LbPx0ECYiV9T5LK9OSye6lbTPfv7QqZGOUkNIAQgKL8gwgj61u6NNuVpA=</t>
  </si>
  <si>
    <t>QTCOcWSLu6tfFAOaNSOzWNCO/AmMLMEdi/Iv+iLWVUordk4IFY9diZNpSntPT16pfovy+i7/IO4HeKkRrzfZv5bggCqAHJ2BJZP1TW872c/FcfoWyuWLzJCxDPTWOuA7jM/D57IgR/W5yf9SYg4pswPoudLy78YFVF7l/xUnDnza+sPyA/hC5E8ZllvkY+pij0I6yX73gsNtXfF2U98bGIOARREygdUm/kmPYT+zHZTKC7w3kGXuaA9KFD8=</t>
  </si>
  <si>
    <t>rn/00lhS6iVzq0U7goqFMJOP6m+ZbTZHE1PWsOHeYXWTR70dZGTPghhAKAs6RrErxZRt7j8E7F12HCDY64Wid2D1rrDhx1uWXc9/T7hXYYSnwExE1r0IhMpXL9xt5qX4Q9vsrE2/pp5tFPARp/5qLMcO+9V+b0RPfCtQFxqVDsdx/dSragFOnNFcLli4j5YK2UjNkzX4uY+ac8sjww+HUbg3cmwCd5ttx18VkD1bhng5gsI3vdbSNS15kQQ=</t>
  </si>
  <si>
    <t>v1ZYobmnMzv+qpJtnc/tCGbAn0xdWyKVrl2kQ7YR7pu9Pyg/Gzszcd9JJcLTVnAW2eO8dCuMGljor3FQ+/CJg/yJ9rCDQcnamon9aR6zaqku+2wSp9PxLrW5N2bbUbpHCpxr1R2OaWPkvjZFyTaacWL5aFYh37/mCkshjw9neS7SrGle9YwBpK7F1UFV8BZvD7flfPs/zJS6/0WSCHskWgBXQho5JhoONU/S/Kb0R/bC33xogrtrlqxBK4E=</t>
  </si>
  <si>
    <t>ovhyEvubS4hRn0VHmc/44FsAU0Qjbk3bKE5mpsnav/fciVM3R9JEBzHJ8Dxsw9c2KQKjg4LBo+jT5o03jBTBhBvE1jt2hJyhSTYanChTCKsS22zZqb1WZ6jghv8ap5Aw2HnxrOa+DQtWbHk2zOFxAMo5i/KNX8fNcKOj0DB80n7WyceVgc0u44dJxRq87RJtBxmEbcy3y9/WVi/xFF2fbwZ+HsvinYPj/JF0tbrifMNCM/ASaF2bw60r9r0=</t>
  </si>
  <si>
    <t>zNS4Iw4tuDr+8bS05y7rj4i4upzB2nCcNdXAn74av/PrqCF88fIWefn7znCIkVt4jYyClUcYII6GQEDvkIXB5zFd2Wp33u7aGMSeWWZWWEM4Qdait4W1Ah6piF/tcjLsJs3d7cIALcOA4CZzHr8BKp23+yFFG9LuIdSu4kL/O4FLcLWd5fS4gNHs6XdPJ0y2L1v5sG59DEM96pTrrH+1U48+EEghGhJSdRfJ04xmlvZAy2ygpCsvBwL2qho=</t>
  </si>
  <si>
    <t>0kqXTT62hLhyZaQpcBeIiqnyYCVGi09dO4I+EHskMnpjeZw6czSovlBkK/OmdbGnwrE4uekRFRy/h5hWH0NGQoVxiaFCq/GIQ/lMyEtsJRbGTe7HA5sFc1hYwJ2TazIF5cnVpa4NzNgEHbQv/gWvsvNqsX+RRJYBCvIFfGPGpj4Z24a2oyZ/WrLBqFMslIYs4ZTjcvQ4Rx0ZglCsxDgc5HczyO617iX3qP6GegR2SBKz6HE3IW6aiWk8hco=</t>
  </si>
  <si>
    <t>yCIwPOF984dDXe57pY7ss8rzAa6nfi6JS2TiUVyOq2XBcwJd4IOeJ3yzq2TyaHaLC2Wg3cNvkzt5F6CAXXU+cj+Xov5s5yGrH5eeC3ig4AD11ZsfsmSgs5u9wijhGzTwaLBpAHuBBio/suZlfgK2oFvyvYO4fw5Mq/7y66SWZT3H9i18FO/RcQcovVW8QmK7mWDv9hjkb9ovyX2uuX1bI/DU+VMLT8TPTb8tE5DOhjQRVy/S2oTR1xO62yU=</t>
  </si>
  <si>
    <t>j0Q/Wgs88ohIrKRXitSA/BrdqKUWaDCozENnx9r1Qb6QIIPkamqqyvdP/D+TFYr4eaegV5dZbw5Ke1V4v6RYX2Ih3HeFrkA/p839HO2qm6DFEarshw1Jy6iJjKjKrb+hAsLVjB7qmFmReWxHxJEf9wwWfcct1ulAXVC+U/VVxsiuRWWkXwMGChptdmB0ORWC9BljByzElYJxja/vIVO6Zm8nNjX5XhccqM+mIRliiV5Fg/YiNFJgy4N4f1U=</t>
  </si>
  <si>
    <t>AtnyUwe+cYrQSPqimKXmq111YY962ZT6cnWPw93tOGlHIk5UqwfJAt0pM3ltEUcvtwqpQbeIDSj5Sr9wBojdP8js3apiStWTevZMLA4j83SrITGZ4A+LwfgSj1+y1/F22rrh+oMDWOW53TTAXvSfvt3W+Ad3FqwxvtzAkG9QyEmoFGfwaZ4pKE3wJBvkr/9bpVpIpkISqjeW8gEVfIv1Tzdcb9EvBlhbsBnq0m8UugL4N87Bi7HwLqdnCdM=</t>
  </si>
  <si>
    <t>5FqlhOCDl/pMbdonZYf2wnvT2wvlZRX0R6g+MZop/S758Amhnp2PoB3kVaqqBuXD0OjR2/04oqzQDnFDk96ThgFXpFAaokDgm+1GerX5JqpP9O+Cg94n1N9EnIYNAUavxQKhsjSfy+Z4f5QLfk8WXoise5Z85DA2N1tB+s663nm+qtYQ0ALNh+wPYK6ivZd3z8sSSnhdJ9A/7NQcv1AC6uigSfxZv5CJxOFSR9LBvCvnIXA2bFdvRD1WvIg=</t>
  </si>
  <si>
    <t>/uj2wU5noBVsn6p8yBVDp04sR4QAsMZhjMCOAJ1N3au5Kht2NaGWScBLLtSZfMMR8C8Lq608frQruajnF7p3KxDo6NNuuAQgkoE1IVxWv48Lx8+0OAzJGRXA8xkxz+9cBwXCYlQxHcPjCpywVaXgYXNNAtNufMKKKBAEUS1pX5hSwKq2sd6rX/ogWend5Ih90EAyZLyraTq+z7vZe6iVKxur9vJWMiY2BLeWVPy7ZGn3L1/81VnP0fh1zeI=</t>
  </si>
  <si>
    <t>VECn2q08zb3sohzzJXT2LFgSX1HpUmxrNShzH6jkksNH4cNul3rGJjS5cii88rTg4730izywUYTo9aucEngqMkGjJ+Nlwd7/2YBlPFdCUN91AMtfVGw7lssavEj9lXCavqaN+f6FQcLjTKOM3JNRiIVA3+/8+D0oaZrHNv7ygcOsVtuwedxcJJ65hvT08zPH2kk124384YHETHHJ7Ert3xY/wGJDADGLwFNpKdw/sP/ULL+qjonORrjlwgM=</t>
  </si>
  <si>
    <t>ysO6OYuN6fDuQfdnzkaqrtnBKehh4YEgIB7Y/aj1dDYVq1qwt2hdNmun/8Rkoq2WibFL5KSUlwU+1fP3f00c0GKL9TpsTtoqhZcXVSVFa5iupo9vT3GaITbQbRjGPAc1wfNg0v8vAeAHwpT5iIql9zyXBwqm7MrGqufZXqD0qe1ZC+QCpzZNR0vYbRTz+QRAl5wJXYM9iFB4udUhodKTqNKcNsHYYF6JeQarDDogubp3uPwqUtfLbljXNIw=</t>
  </si>
  <si>
    <t>q0jeMqSxq5CN9ls90yWRRCTq78hzMzcVLp5Ddd8UWJ+6696lY/mGDiNWz53/+/QRuAvNhhlSM6aFm5MS7ROSzOVGm9LNlE/74PYszAcmHWrJmK0JDfygSDh9MI1bAsh6avgxBT5a991T6SCAs/ls4FFkOlRj9TOxPYgtaZRsiQdOq+0hMBgnzBNRpbKQTkJ9r/Ic6ooLpwKDP81aw1jq2ErBs84vsCojtAJ7OhdhcXJqtkmAsvxUPoA5KFY=</t>
  </si>
  <si>
    <t>LpI8YwNXtsIq+locgZ5yjdsbQLSyS9TpYFqXP+TocOvg+s5n4Hjb9tW4KlYoObNdkR0LvDIZvkYi9lVV1kL13VQoQP0Ntmn3g6PEPe3eglrzJOboVVzM62J8xO7YbjYgptRvyQTEsoD7voK8kdsEQ+YdCwAl/ec1ujmsr2Tb8X5tFgr3486Hhr1jBsdWP3BNomBuiL/mOnwj8HbuC3ujgKHPnO5QXBEuw3FFu+dqZrKoWk5wp8W00SkLyVE=</t>
  </si>
  <si>
    <t>qyE2kmyt+/US3SJPFSrdJn4l3RvCfJZnriYYxyHgrQ4hxewvHPcEDc6mP3leJiIn0JA74tO+5JNCwEnjuKiq8FwwsngGOhTELayWm8EgbwQP5eTSDXI2etY2kbLyehM910QaddXGGcQ/DLSOUIxP7SKt00rdrQteqpjomvpJSqWZVvOQik5PnbShTPVuIefQXnYFkziIB6jjrvyz+NmnCIvsObbs943sRfA4GrQx922rznaqmlOCb/mp/jc=</t>
  </si>
  <si>
    <t>Fj5WLKEnzktgZyuW7Yqcya2olvIymMQzEWHRBj//nROBZvIggBpaI+joVvvHWNNZ2yWa6a8eGP27xafeZZKDDE/a/JVQ11Ag15LP/NWEwqIbeXI37Mypx/F147ODWyfgdLPMz6Xj+F4vy4Ey25vKONnL2NqUgOEWSfJ1f3zIdVKZu+sXpsw4pDBFEWdXbmhCOSn5r0iEMdsviCtvLRS3kuIJv09Hbhob2NiDrr8x5dhusDiZP1JlU96wtaA=</t>
  </si>
  <si>
    <t>21b9gammoWsAi2XwWFDyYxReSxD14Ntw3TDSSXP7vH567EqkXKy0aMB/uBydSSQVriVVvkV9YagNVS/iNJxuU1x5i1nkGb9sjZ1m8mhSqB/91Tu633h+PytWAyUdCuq8r3NagNT1uhU3PrlacTTlF/tT7CSlMmS+Jx7QNXbxUTrtz+3xQhnYvBMq88PQ67xXHLLrC0SfBQRK7BHmUyjsBZIpnpRHktuGZEZERdjhnuiHkUkzt8FoEAVGBn4=</t>
  </si>
  <si>
    <t>s+czn9S8FEu1M4YrBkFmrnPVufsWz+BuHjSDPK45TvJ1bel/8TgbB05EL79zTh/kgy6CRhP2qQY5wM6HfY+jK5nJXgQVMM0cimaCaNwYWO/thI67zijofO+NqhB/6bZkDA218RNQgXntcPpVeQdgrtuBnbm088so9hHAdS1E9U3E3LwAroQuHwIw7wYGKoxgqedWeUrCheQFQQ0us7ORPf0zU6+mbowL3yh24BceHIONyM7Y3GX0jrkBKmI=</t>
  </si>
  <si>
    <t>ssoqa8A2SrftdtpENXUJOuhokOJm6JihlH/y68B0LabY5JbY+igWPxxsDe5kzS/m3W07B5FH2cN2MvBPc7bNFDsLH0TaIhirXDTsMGbmEsSiGqXNmqlkAwDZoOTkn6MQRq8yYjUooYTfzuXplkmtstejtP6svXZzFSv5EQf0vyma128ErFICYsVdq4fmVcQH/0jeoqc9Z016wznOJI6OhmM74jSN4KVAUOGlQ6eZzneSyLMJtDR63xfUCTc=</t>
  </si>
  <si>
    <t>oqkK3kHHtbSFa63dzU2vZxWj4wZ3c+Zc8lWtg4TVAupqwPRD6Xtvsql7PXTxuMKoHejHpDDzyTQkQG/0VTgQ82CxvSWYhsEZxhD+MoYmcUmUvFICnxD0yueMsqKdYmSmtl3mTeQsYE7BFwv8HIGgQ/oL+6eazZ8+SCvLVBaiFy3BSDA1MNqgWOdHPVwjg4qTscAEQ839n2hkgxuQzzs6bq0cSGU7mSgvtK9+C7LLzKqWc7kny0SOinJhOms=</t>
  </si>
  <si>
    <t>KwVWbA0jX9FzM67gAiczSCyFm/vkCW0e8tnyaIPCpLPqGWuaIjXfxmW1mGPjEnoXnKTvtO61hgJ51YeUAKgRZ6dP0EiayLhmaavave+niJWMUYmivyzedLa+dlXJZTO7xoIvnCWypoA5PO7ChD5D0zmmFJjAVlAZ503N2r4718S4TFB/1Q20KN8/Lma9XvaZwIq5HXLKCpoWxNCpLF5A70YD4iOsbmAW58Qw+jk8CeJvYX9wBKGKK+wg52A=</t>
  </si>
  <si>
    <t>/WokMXqgVGPKXVR1Iumck6T7FNA0S0a4tMBzCLE7fA0QXGLkQHwYzdI0a/m1SQuPH3qkETCb6A8xNuF1AotMt7uuYlk6TJjUqpLLNRmm3zKCIYBRioxrUBnIgUcz/k3KTHZvZ6vNd/dX2/I2PF41VD7HXQSOMDUw67VGqigr7U8ZC8TV0pURHd0/Uuuwq2qxN+UxL2cO8s5OvsZiMD57djIaTWMXKQEqbPORR/I6Le3zsJAjguihbr6/i+k=</t>
  </si>
  <si>
    <t>j1NgVQ4EXL7XWNK0z47lcRcyXRIIKc1RrEWeY5Fk7IXRydY9qTiIQMzTI1oh41FjNfTt8ZTKMSOfHFBYVVvnNJnIMEdkwYyOnlYR/BpwR8EIROh6ulwhQXt0ZHayd6bxN5/WJWwv9cS/MuL6bmzehk64+ZMEfcy/T7kb9m+lhQYPeNCmSPJMGr5FIoo3EqB7WrTJx2/FFDRzfCQCdHn5NBFB8rzYvNuCurnbXDdicXXHuCxdAiiYpCH4NbM=</t>
  </si>
  <si>
    <t>ulvcMe6NCjw03qh2cUeFfr/YNmyQghXhpuG8PlpQeR8efOUfmgmxiAf3rYbUZLfnazXhlKskQ6jmVnYt83DV2ILF2gi/sJRpRDjVhOTPhvIS0om7F9zJvG+/BFbzL4TzyhMqZgzK3I/oy/RliG8eTh14l412lzJPiDCJeGkj4oP/lY9TGeEAk6LBXgk7dF9Cbscm7BPgvct3EtEpMkRHZ5eIresILYuI5VGyvGteHfw0xAq/ilm+TPzb9Q0=</t>
  </si>
  <si>
    <t>Q+dTgjSzvS7M4QbYuND4EVu27Jt6gMlbcn/dUJeRcCQB3v8919U/nMQ1BKtEPaLn2Vckev9MWj2xQ4XN4Za8zd40y3Wx7IRCq3kI4dAiPYOnUb4KtkZTpTZhZiGaxS8FMSjx4x90vJfr9aQ1+f/BGMUa+WXevo+pjweSHK2ZDjdlglc0aJ/4+f0huC8zhN6igtY2UX/HXZOu5hrvD/fkkyt8go5OTUzoufL3wBT54waqZuwOw/6bivwWuNE=</t>
  </si>
  <si>
    <t>GK1LzLoUHJ4oMWxd0Cue9FiDDKNs8jvNOb6nW5fHJcZLJQu81nNOvXEaPPbOIapU1vFd33uuJL7hkLSTmvCMfAnZsEjMuyOBHfEIQ9G2iW5wQDL/I1XSCLOfEqDbxptQ/jo4qMqt7Z7c65V7JWs4rkBPJ7TjUUBIxRKFwVuJCrWUEyYIOZK3Vv/QFDN+3slKKuO+wElw78Cgu8D7UoOvGArJf7CZFJZyY3AuKbPFEobSY4+3nCfLmg0RfT0=</t>
  </si>
  <si>
    <t>27XzaH2ZTq159u8D1fmiBuL7Bz1EpSb883SMUvh/PffZdnKFZrwABrkvw/LCGosA/bW+Kzj+XulM4UwoG2Fqu24ua48OYsuKvOIQQ22RNLybpaaDwLz7kWA7MLcyvh2VjSGUcnCJfioh6Xl7xY+S7jZq7clrGIJ04X1tIQlipK/CgKMr/BoJe+pjAjOFpEEtr54yeHSQfhS19Hn1a9dPYnC7ZYtGrq2BziaBoofi1Q+FbJX7augMQqvpN+U=</t>
  </si>
  <si>
    <t>J/le+/5QW0JHcfr9EFOTol6bx8PgHIAhl3WGR7LY5Oj7scZxRlVU5Rrxd5fw/wwxUGT42vqQwxqMif3gXKRkC9IXTYyOmImof2lqQJBt9t93LfuvvEwQaJvDRzMm84p++BCxjzlQO/ywQRNM8QqLTlEdUWTp6ZyCz2ftdBWsa0GQ1nPSJf3gxl8WSSvGAIjtdi05m1wlT7wLmylXa7KTU5kwNG6r3S93GT6D8t15IOA1TwOMRUYwXheEeNg=</t>
  </si>
  <si>
    <t>yYm2p0S+ZTOWC/WvsPSrLzCrTlfuxoLWUFXRO6kUBcae5YwCRQOYrlikoJ6Hek1ohmvv7i77z2ojOua3Ou9DpJ72AGd5XtjzfTuPeA+OeZe5qdpVEtjQ9kabixN9l0x2Nacf2Zj7GhuDP4M0cYx7gPSF5I7BdovWNTu3TjeZZa2vxbbJpp5n7KhcVatTuz/gitbyfHD4VSYdloiLLmspJKVThtAyL+9Yj/0lstTJXoD52IKF5tWAXKuQH8w=</t>
  </si>
  <si>
    <t>TrDIF2g1wgdTk7Ehh8Dxkt7RBUozmShMPfzJ+wGkmQCaAEEGbBZ9qi+nM75ePK/UJhmsD7QCaybBCBeUDk+yRd4phKujm8jILMb+gGQOBX8NFlSZZpxz6Fq2NxN8F2blEFH0+lkpfACOTfsFwk0UJL/pbslWpsDzH1hBJFein+LWwSjVD+ct6fb8MM1ecMziAUuGhSynoxbjs2GZ4X1ykpl3NZxDBxj4dnn67MHuhmlCeb73FLdkvifuwro=</t>
  </si>
  <si>
    <t>wjysehZgTD7XehSF/xCT9T5cRhb52Gpt5a3BZFxtDLY4pmgD7uGaOMJwdzOAI8h+TiFY/HDo9dbZ/WK4fF8aZlFyHwutCWbwpQ8Dv3VS/jU4NzR/TnWwTJCd18qe8/PN4cOtw//qtle2POqEg7mfZeix1bAVcfPhPvtmCuUOBxNPIssmdae4e2gZETwTfi9PQ/bOWmkr/EgDqrXw3z1ylm3nBHr8ZOivetswdWzDYexouw0So0ARRJrLZo0=</t>
  </si>
  <si>
    <t>L58qCaflTzbF6o/PL/GF3LDQLsCIcFVZJ2x4ziwg2GHkX7t+HicNmrXIWGWfjqRtcYp6MC171brfWYkPPCKjqe1drVJ7e3aGJEaOK5JGA2zuVtXRvzU7wFxNxwWp4fIG+/5FnFtbfZMHrdyL1Kh976rD9Of26r2IfxOF/ttKQw9w6MODzlnzYu7wb+rGIiWTN+R+KSkMLXiMQ7PxX3YmezWpiIzaEENYGtqRKVf3rR2bBxDy4hs/odY521Q=</t>
  </si>
  <si>
    <t>Ol22JXLZmgIEiZ54lF0iOLNQXfwNSqTdAj3nJ+4XoHtSLHYXF+R/qxodeVy9/K+U4m3leH9AM8HdADwJ7gmsXn6m2+2qJlNDfLKlxNZgfXFMoyNlShZsqAnGAgqL3qhi6hPY98XD9S0eXhbTDzgNuyqDIB0SC5taeJpaST54ypFeN7TPU78F1j90jPcYzAer0YDceG12mJWkE/KyIz7PkwLvrSu8uXkaT8iDry4Q+Vc/KrLBEFjIGldjwCY=</t>
  </si>
  <si>
    <t>pxzJSC758Edq95uW4g6n+zX+bpsUsaQh+z4QUaJeLW+hlgeRNvnPc8435iLh1b8pnd9mqWlKaOhpTOeMotWrOhMUh3KjmcPX1djCclAArPIeC+JVh3vH19zvnNq1f5R77yicAzSCQIVbacpnZyim9Ye781BSoiMjg3DjtJ2myhKfROEv+Ct6E9jSNEgldAnnx5TIlfCakwicm/SDHSQI7XtjbOmFZ1NaNOUA1KSZqcwLVdZmaNuq9k18kXQ=</t>
  </si>
  <si>
    <t>TQasxX9AD2l9U/wjIH2pkUTutS8hlLEsf/+0f7Ig6yWhdxAdTq8peP+DkDlOMC/yoF3bJfz9ZEE/0YSwa+IbcYBNWxRiVaGGfbztjUIh5Xslk1AMTlhJISrbvewC86YAA29l+JGoMEuTVCp2eWGE1EsohPBGJzYZls+AA/02W4VWF+LyS3FYSyl+CtoqwMf81TvKVcOm/uJqEAOyacny7pRTfGvr/bFY20400OERsA9DYWIq37Rzcwu8P40=</t>
  </si>
  <si>
    <t>5JJDriWyaK2riuHHb+Uyb757fsxozWxJvghvruoNauVOp1nYjCrL3yA330ZSWhJUcnk4ySBOTDUYVnXNvtwLAI1XCtdr1tFTCV62SXTHrogmm2DX/ctZaXjOVShdhzoVGfpf2kAJDaDkc5quY073/Z/crkeQ/iu+OkA+k3EX0tNyzIWWZTsBFFEHHp1IM2CW6aVQSzpzuq/RTVcxBpMKn2FQkqF6oi+Ds8mlHzZyAWPwKut+5ritoGrBztA=</t>
  </si>
  <si>
    <t>uhmoRcgw0Vx7UDwAJ9DrZ3yBL6RDCKn/pjn7AICx339SG8GdtYqMa1TgvUuxupHSR4d09Efze9jeRgHZ83M6kTtGaUc+7i6GiQGmfnnZgQCO0USi+pyY5jvlbWRM4Owv4+MmKTHoiNY1XL1J0+O2M+bbAO64yXcdzN9ljVFDbLzvmaFB/3FYSd430YWGkVjo56WoIHQoqIdFL9X3wAOSo/i7ZTf/AKcjIBxoJnc8VFfTpnB0mCBbgziN46s=</t>
  </si>
  <si>
    <t>pu0/npKxnzMHZo6JTE/9lkTyFYDmwo6u3x+6TD3ceNuo9b71RulrilfE1Nn41TFrnUQ12dB8tEt0n3Ni1riEpEC2a4hBZiJPqj2BavWlZxfygrXUxZfejsdtQ9zTpfKq7PLpihQJivj/O4o5jGpU5xA2rcDDL0T7MYNR3vO1ImxaNEh9eHrp5Eyycsh0pZW2HNqMnkhIDux5FCoob9fFTyiQk0wFS73Ntb0toUfcEzZzZg15dIT/QGrBc1Q=</t>
  </si>
  <si>
    <t>bMIopS4TpQLLljl0e4MLU2hczC6T1KLFVn2e662Bf1ImRFslklXWApQW8v2GpTDXjolRuT3L4qMVjtto5CAgTbirzTGxAtvv46TsqNnljho6FVseFFH6/94jGFSr0LR4uk3IOJwkyl4t4QCSJQ3Ang+Hf41GMUoALlXWRoFuw6Hm/FgYrQSQt2j+QaVeYvF5CU6baIQ7L4iAvGeElI28Etyg95C85fYYYo8sr9hNQUZNFhcm6AetN7Dbk0Q=</t>
  </si>
  <si>
    <t>JkjNrimwuQQYMI+BzS3ScENXhP1TbSnA9+pMUQNf+LE3II3nDfELGVEk+KeFeaRcS9w1MsoK7nmp3nZ94OjlEwXkAVivTEKngocibT3cjurdsxqrAUfnt5wLlPHXE0jiGT9OeL/m6fNXeY86eklHDtTdCdOuMLYOGcfcs4MvPD3X9tamT+34XEILN/x2KC8ye1RXsQN3E3YzXoDL0vVHQ0gLJNbFav1i/JKtR0n9RoI4z+Pe/mvyd8rG2q0=</t>
  </si>
  <si>
    <t>I1olMA3PNg4fhkUTkh8zXXXXNqmXnZ6RTZ3YdlkD+zSz69l7WLTUZJPRpjlmCoaYf4HFuulHgxdWID6FySRXq1Q+cnf1gPn1RLHpemnKKzcOsNcrXEmafMMkqa/kozibTBicixGLwfH3uaVeaLGk/yrjjC7K0TbcxUW39QztjiZ8RAClDaYoZKdbb8xH7xBKknKRPBeAukkFtR2pchLHIX1BRRx2ASBU8yisYOfJ3dXuU9PKj/mKvi6LTLo=</t>
  </si>
  <si>
    <t>KP5ckj+6b9COt3Z593llySr0zV/3KZJOSY4/yPzdHqHHGpSE5QEqeCXHpgrc1XxNSjSnvKHBxmqveytXr5Im3ue06cFw499JMKqZnoMCwJT6kqhfXmp66JKa8EM5U/4zoXvYTf+veCmJz+hWWvMwqOOFEC3lH2lLvagMSiLpDsW9lFVJrbBqjQyobR3ex1xlcg1ITWpE4iifn0Ir9K1sWtAR2XJFKvvKtnx7rIyudyYmDM7kk09fVlBGivc=</t>
  </si>
  <si>
    <t>VEK4KiIWuSqPS17rg/RxD54Q+81PwMxCcCi22U/t+90IJYfNDpk2Di2RRu08ZC1+znHiBoey0oIz60Mf/ca65YJdYQ33mIbGpR/8jGIWjR35LDUYEuaDO3qjXrDpIwIq6eMdZ/oGyDKr2SQ1qF3FILzRpS1iENUWiCsVzw8e9y2BkDyvrAxu0VEwdkw7W9BaWcU3vUs+FaYG7LO5vDpSHAE69KuWMdxqOSUv6R0s5Q0a2DUGa01HF6N0tuY=</t>
  </si>
  <si>
    <t>6zWYw/++hCfPV3cw0EFETVCIMgfAtmKV4dnYOWE4RZpowQhbZGhVCT8nyTH6l5cXBCDbUueJCTSHJgfU/+msIpTAaEFP95JhcO7Ps79BQNF6pEF8Nz4FR1wGrS8CDxfSqDovqnaQnni0Hb0MdMhfjqolCxsyuAeNwYNY1MKTQ9gI3OL8pCGwOfUhoRVk7MLuZwj9hzlTSDoWPpom569q/anIxZR2ydKwSooRdEpjtm8mFynTzpr5e/dB0H4=</t>
  </si>
  <si>
    <t>oRmQHPupOeuZayPWgQmwIDR8jfRPDXPxER+Z4Tqbezdt61hbOUcjDKt8PsN74YQlN6E3Bpyex3vjWQrZQE+F/SbFbjgBPJbbgykLug11RHrDGxXY86rFAlEV9gBwbhZWHAtLlrAQJ0MIBnicW28OBEKouE0s4jSj/8s8//zHFCHMzTn53PMTYQzs19WcCG+FbtlbtXQ6Lxok/d8MFl6xUyQoQDe2/R/UieK1qyfHh7gugHprLsZevqb4y4E=</t>
  </si>
  <si>
    <t>SBU8fefwYk9zF/pyOnscYRq1qrNHA0wbAfHTrbJwYYlt1CZjlLedctpzVNAIDHADRFU5pFNwwX9WP1f0haEcxynRccI8SlZk2NqA9bSTeN5b4kEkRb63YfJgny8yowd+UnZnRG1dbjHE4e8Kl8uz3suUuQ2R7YVocMJXOoUASX7aiBEURagyeysYeh46Bq/b/OeM1RS0eIxdBJRFdm8j7tG7H853y4qWY5SBp9ix0RsVM/prefzWLYPMYXw=</t>
  </si>
  <si>
    <t>1R9qVTeiH0H2F4nwu6G06QYdh+BWnYna5yltrVk1WPH6a+Z9CRWH4hTfQOuVsw7IqG+n4epxRspWC6mv1vzFt0ruo0/ve+fEpQe8Pqu/WUTbis+66OYFYGczHotzxuW8TMiKWbhSeJ0npY0FdKRoBDh5K9lTaUzkU4cUzO0gsW8EsgOJKPxZ3QDy7L2+QpPakCu7l4bPmMTEagvDeNo+xS+kQxQJJpvb3nALbGiKwe090/MC+CwCo59b09s=</t>
  </si>
  <si>
    <t>y5xXJQWI7yet+lb8fGBYhMtkAV/Ef9S8aOnnh3zhqFrCThCHQJiO0bp9a0GTFq8SOmf4ZrJxUhIFAw9nOwSXBAs5XOkL2XVfAgmdDl2DPDuhkQKVCLKLqj4UwR6MhQoGvUjdETSGgX54Vb8t3CVc/9fsJEABi+dXTw5cWgjbUScaNtizxs9HVx8zJTm1hO4J3szmBFWroXFOVHxCGvk32CobJqB1HlPuh+bL5NTeLpzetGmS/0Glg3JTmXY=</t>
  </si>
  <si>
    <t>Sz9vgPTTKBn6C0OeoiwFZ8qBJXGoLu+taYoobMUFklNTZy2DVVwH0/IdPPtnbsNW7FBRyjrhox6TkMeeTrY/pXO+UXa6axkcGJSJXUi9ivGMETcl6u/n9gV52i8TfBTQP1pC6FDgK0IytlA2oJCuXTApKvahJcv9oJMpOh2Q1R2qLpKGsjfO/y5MHGZJm7B4yvBFpwJsfWy5digJJgLFlRaSckL3oU2sZZmzYSZORYzLN0k8POV/fILz5iQ=</t>
  </si>
  <si>
    <t>35L00xzN5OkU0iC+zp9vw6PlxfI3h+brqvrZTldt8/D/Ss+0DfP9ojVRLqjwRMyOXWrsGu4hf2huq6Hh9bEg6yfZo637S7lj3AWN9YwU1esmdAqR5DOtO9+XMEvLek7eV5OyH6K/da14feqgKnv6fnIKvVinfrsBL201Jjd6vRXxojOCNm60SofFKH1wJfl1cnxpYtym0tfqjgmofFnWcVMUB/V83hA/+w1gxxICHTJygQw/JjT8okG1Nkg=</t>
  </si>
  <si>
    <t>s62vGnLW0QaWQsA7TFd3mlEgP/CijxZx9cHcSKbp3avxcmP4XxEp9vQDLra1n+/q4J0nqttAsLMVGPh1iNiR8qImMuvSvmLVTinTJ5e4draAy9AEEoDx4Py4Jj+X4hhFdDxBxqVBrucULwIXnMqbg94P8cfw8ngtJkWy3woM1LOXc0XX85WohTuCp++/qcncqSsKsJiq7u5BVbzPYm9I9cXOdqdCcRaF5AA8fAQYB2C7Ui/AuJ60gte/Tu8=</t>
  </si>
  <si>
    <t>2392fxZi7PpiPGcZHm4yndEsrMumF5pTQuRIrHfKZipCSX366++r637L6RUuwTZRFnX4l6VhXQUKBnlMs+Ba9cd4xTBYc+3aTmQEEsyBa8s1t0KigomT1mKEVicu5F6iFaiMXpGO5zXSabdUXzozwmSOxYw7LLVvGdnfmMj831snzhiWBGozSjf+/sG13nAYISyEpYuCcqbIh7V9OLasnt6ntaOgL6HL9/BrYH1B/IVVjOT52fjvt4N4oGo=</t>
  </si>
  <si>
    <t>a0H6Ei31+ZjvVv9sRvxm73KicZXpD8/WVNYMU12Pws0r/0EIUd46l4SaWshkhreXnvuYV7FBmUaSeoz6HgBFBcblk20v2IOTvORfA5HVU80q1+yixo4UgiUNC5/TyngWVgMV5wZl4lrcjUvk6TyNn7Xrlpn7AkNyAnI+JlgCAAqUopHd/URtjs3qPeW0VkhBITzi8cJ8kVsDOrGyHLpUU4VJpHAsbRAnr4LARZjzV/5l1EBKm2FMUS+2Wys=</t>
  </si>
  <si>
    <t>opQNKaSnRpj5UAhmxAzhroT5hJKbVYF8g598hGmakWVAU/8y5YibuY9ZwaSs9wIn5zWpTYv5UPFhioPREmRxkb81r0M5yVptKzHbFsIGuUiYB4z0aehzph1meA4vp3S2o3g3JeKSzJQcNB8G4L1UbOkfTVUCdWIx7SmpMIujYmR+8k1QaTlqKS0iQqh+IGdWnVdDyxGtf8X9jGoLhPqN/yiMF0pK10YSKcVH+xbBwVFR6pj7GvzOsMrSz7k=</t>
  </si>
  <si>
    <t>R4kKSpnOlbT97hZwVP4QLek/5WEAkcWR6DIczd3r4VfCczdtzAEBmlZS0Lh4xRiR0S55GAdNDlWj1oUTJJLWLQheCZuhS7Wm9jvDK+HdbqsptZkvubtYGA7SoIAaBJi5nvcvfF9UJ/U4YYPAL8/MzAL3DEv6W5H69F10ds+RnT5EmHdRGvBZe9GfrZ1rE9JsqyLV558SUXD8152EZ23A+iGJm5Ki9wu7FM0Oq5LFCb9egCP9peESdRZ4FvU=</t>
  </si>
  <si>
    <t>hxxPXrieuFZix/bgDWesJFrPLwi38TL4ivDX2y5vD2UN61eFwP7bM8DIPlKELg4gOIxUBq0RSzFW6Pey8x4PqQXkC3+M/BO3ctZMaDpVIkppYPzjXkPyukZ59UOtOvI5L49fFoGUdp6/Ir1Gd9NBK9Il+NRKcwytjFIPqvMIy7L1VTaTyxEDpbTm9/nLe0t/QBBdXUa1TmxG8twZhUTUzea+J0d6XDJilv8n3EeiZjmrXrnTuw7AzKdXy/E=</t>
  </si>
  <si>
    <t>/tlYcXeQDPLKyN1MuQik49Xibb1RFE9BCBoOt4H1NU3wsJR1u5eiCb9RU596N7U8sXd23N52cz3ovaCzAKDLDlIms7Iot0CXyaRMcwv6C6GVRvfPcsyKbizYSTmzq6uWA8klAOrAdee5NF81AbB0Ze85BajhcPIDQ6m4+m+4elskpFrB+h8dh6CA2GL09xuK2vmmfLBKp4QhmCBY/RG6llBzx0bXQ8aaf4an9i0WKzd2X+uWaDb2EkclzJI=</t>
  </si>
  <si>
    <t>tNMXA2qVcbxwisS4CenfLrwqIt4zM1R+bzi3JdlznHZFsX3hLYEXyDraXBMDF1jkxO4Kli1ihYZFQTDU1vy6rnlMqg8P3Dw3ieDZIUqkq9PacHX7a77q21ImqjI0wttdX9SPKjsFUYAgYZ310qimRLH+rrkCAd30gihBnwxc14YODRW5uBROTOQR6Kc8VgZWzRikJ5vy6b+sBpCgHOJ1C/daJmjC2glactMtfnvlqVAs28iXSYeiYA6rf1Q=</t>
  </si>
  <si>
    <t>SZ4rp1nFhj8bMznY9L0pSd/+/OECvfkTLXF2cHBpXVQYlg7wnKlUN4ZBTO/OW2QUevxZanESNA0quNM6NFgUaqYyL5ulX3e+hnF/oRM+wIMRlUV3n0aNU3U8s5KYii/7Jb41ZX//gXQaP1qh+OZUtokarlDh8nZUkb5whpqwN7vcm9mPTxYA9E0N8m9gk20ynnIX83SBeTD9m2lwQGqj0v1s+eGzu7PWvUyb1MLuQ1NdzlC/0T2kH7u7nTc=</t>
  </si>
  <si>
    <t>rSY+lbKk0gKnWkD6wAkZFjSK0YS6dU5PSu3YDgMOnZ/DyA8ZfZK/dL0KNZjScx7Q9LHpFwmo4/6fMyolc3FzQSJM9qwsXOqJaowcjPwFk1AuznxDaXtADND2K5zjZdRu0LT1kj5rOU/tv0LhY/B5WVXiAu524jhcO2GodFxwDBNKdefsa8Wk4OI3qh6mpAC+/KjFx7e4i21bP2rK0Rpjq797EG/C6VT5EOyzgvIhm+Dcdgac8+UxWE2d/Zk=</t>
  </si>
  <si>
    <t>iiNdYgFoKK55caBlyvFpFj9ckUYzQu/YXg08Nq0ygLRBY5YEc2vdD3r3dFQD1NexWGJsjV7o38Ar26oKjxARUFK0W+BEy9WOB+brv7czgC653ZHWTcudsTmYwvaSzzMkWUywbUqI2GxH/h+4ZeSI2d4MicjuBIUJKmcrSH4eRRGWijwkgGKSE1f6DN09ISSCWJ7RgpGabA4RwozLrP8lZ35bFhWyEEC06EUhCiKDOW3Se8yy3qyqMNOoD7o=</t>
  </si>
  <si>
    <t>uK+7oo/ountrpccR4L10iHa05ZVnEd5DwPg2vwCbbtUjSAjTCCkUnhSJ5OqDsFYd6ijHKwrq4K026w9n70oSpOyoW+fJv9bxYKy3iawHNfi1tN3YHnITBphCXTWs/j+jo9l0T6LXVSxJGQyzSr0BgFCSqGTY44vDswus+TUm5f0YuHk56cPNrNOCw0mJni9IY31dxtNrICtHj9cGIc8N9K1zUZN2VhRv2ExH1IjGGVqQM2bXnb2RKhSKa3U=</t>
  </si>
  <si>
    <t>Mg0kxX9u2wxvsgVv1GvSeTLAZxmoqqP7ik5Gan78mgL4gAOHj2Ql4RramFxWS9WRx4dYkDATQ41x6skUzIsRHy/zVs9J+jScBYZQf8O9xe03LfIx0guCLyNZ863iFc9Yv23i9LTn41HCV0SBtZFVdT90MPBgzJ8/2KbgcZ3OuDhgTDHWxjWM6IdBtfd9SS0ITNT4XJF+Es+eVjZEDWam2xsZgREEWKvWMjaBq6pyAfFx19GV+4o0ykSz41U=</t>
  </si>
  <si>
    <t>RggBlwf6102nqfPjcWc7pZv5X3EAjrezr3lPI23Piou5RW9SwLha2ESs0E05nUqKu5ny6B0WEDIQdas92dC4ER6UsQHDfkr/KYdYTl1AjsSuhwSYnuhMbgQpOQ1oAywQl1VX+eqLlztqghb1F5LsoW8bY7bsy8pQm5qk9AOxsCBAsi6JHpDrxz15rL/GUPDMlKZi8myZ1bU/BjtkisERAQqUl+s7HgXTtOxNeO+EjDqB3dyZ8zszVxsphQI=</t>
  </si>
  <si>
    <t>aET3vtBccaF122GRvbEq2ZJBqjXvOKbw87tX4y0f60W+7D10SKZh0Q0QfWuXaNQ3rPaQ3vKXIX2URrMPHfVNzo18ooOQDm+ZGzA/sWhmu/wfvK78OqWSLoX4YSl7hX8swK59eC9qDp6CutoRrWTXE2PQ+O6ccEdLPa1iyoAlY/RIT2j9C1ExNGrtc3CbjkBujBPHEA/TPgyH6zCb0ih9cFF23+kpT5qSYs2w2Xf89IPcATm5Qwd656rNWf8=</t>
  </si>
  <si>
    <t>UHOQ/zrKm4BWS7KbuYCKnGCON+BAVeZYuZZOmCriEM5q8ZQ4pl+nH1pV+LgRiZycBtwxNcz/p0iAhHKd2qT2hHREUH1pe1YoG9pYL8mskP8JDPWgwJIx8ZUr4tWpJR+0j9P1YWGHXCmpOsvU6rVATCEZTh1kOYbT8/dWYdL89XahJFSUdXDmKfsFvGV6LuiJvBrOfEKzT+Jkn+CMXJ1ATW5kXeSVvMhS5XbYTWdzeyuos/Q/zDwF9m28qoo=</t>
  </si>
  <si>
    <t>acyIlCqO+kjiwCaP7VfyeM0WZn4Z6WBC+8P+V5kLrJ+zKzeW3GTL1PyeUL9+SpFs3Nt9gpyYF7+E1bt/g4Ts5plrUJg+PSDT0Sa2KztSTOS1tM2H7If9vqtFr6cYUiGZSxUN//aj49u4VPd3N1tqjxx0N/AvE784kf8geJqmhPkxNv0ALzVwi+vfO9PT/fmDG050ZbYh4QOMG8bpw2Pxc3F3aphVLl3sM2PpuMNMEM6anqBQqtQkOj4Nc6Y=</t>
  </si>
  <si>
    <t>9TKTSmCGdcicB1kcD5nMQaONzdVPaIVGrCkXotg90ppemcivpXVzT31sREC9OdEVYeO1JAfDU/HjKQSQM4HJDYfVc9Y21fyJV7xr03m0K7LPVh6z80lir2EHUaSavhsMAcyBjllsSWESoDaVVHFqFNFWIvsFtOe0ZMQHWl13Ge2IRKcCVNdYDWblMu2FywGflRjOUlOnUPlaE518hWxhbK0n4gjgBK6Waw8I2Fuh7av6K3dl+sfIyMbQg1g=</t>
  </si>
  <si>
    <t>EBiiXIZGySQ8qaH6mBBBgNQL5nBgcOLIPjEi7tnqULfn+vdnOMpQHi5Gyt7rzIL3M7U5ui7kmL2uQhg0IEf/8Rne0YYLhonrumeHZ4NE43xpaLlWpUK6r0sEJq+uO9ysQcESLSRTlxHhqv1JIWlgHbmLG/qBAyhNgjhYB+YyxYzM/t+TfDfmGpv0Ok1250X+IkWIYCYUYN5p60yZIZ4XsefBuQE8FNRoz6KUWd4erR7r6hUyn+RWvFIMOI4=</t>
  </si>
  <si>
    <t>tT2t9q5+j6IW1sVMrP9FCF1wRSzKbttxZLVd29V+sfa5MDiB7TUMouKP9hD4pzdvGeoHusheQxkd6ADgQg6ANhhZvDxbHIU9Iiz2IKvE7omBZJhzrc+xjBA4LqlV2Kp9rByDLUGUqSFL2peLi6EylAzVtCr++Lhtjap7i0LUoEhMpy0Xdpj36Z6qqGJTpJjaNqg5I7G3CF25HKPdnIJck+NhslNQfU1f8giwiS6eO001+myDKwnXHiV8dnY=</t>
  </si>
  <si>
    <t>W6ekZ9VV7h6Yt3tnbEZGz9ivuc41wjDDcuuFmMICrzuCg4l8nondB4mqqfbNYlNVVf0+RXK0Wzx5pGe7sX3RIxGAsh4WzyUYWTljzfeUabid5wqh3hlNt0GRLwouToxztCI9HMKD199woJi0oM7vMS6o1zHQVSflEHmCR2IrT4bywYZ5cDwQOdUbtgDHheUCrXGROowMbwG02QI4gmzo3wB54bdHBVUthraPP7iteJf4vod2ejM+mWu7Vp0=</t>
  </si>
  <si>
    <t>0C08KIBp69ytKTXzouPhWyLi9XdN+zKat8uMj2yDtDRyp9+yoNGHk3tqBIqlPho6l41lzlLeqB0N7QF0MGzvMwTLkdSBJ5csfHgJB4cuDs+roIlt/gsK8VToBB5EiuXDVHVYocidO8fCuR1XEik6Gp1hBPbtfPO4FrI4Q1Xru7xrj//DzJq3PEdiN4bgeE/B1TZdNSS29fPESUlqFjTUzXNE+ah7pyNqhYV57hHlXkLINv2s1NptiWfvCtI=</t>
  </si>
  <si>
    <t>GLr8cEwHMKGPAxs2SO5IZf70BGlTxjoyhd0jZxbqcZE8+0dpyQd/MikalABm421zQkQ2Koa3Jh0aTxaeNQ18TmYLVd0cBdiKzdOrzYwm05cZZDeN3SVnaQnUZVKTm9bVjwO7L9dbjuVHLZcnDHuHO5zrA4roSoWK8FRIzUhjycTpZWD7oVASwVMwXm/gIMnnKwRHQO/A8XYG1R6nf7dlrB1RqWegZBUXICFRQURkkwTCjb+kKIybjP3Pql4=</t>
  </si>
  <si>
    <t>O/zyzHqv1Cwg7MtOW35JeGr5ROZRASuCw6HM58GDyMHfBizPmsaKHpHmh/bDMTxwpSLSnVj8G6Zja76dSsBVmacXQAqV0FzxsUzTb+diewVyX9iQe6LPbzJPhe9eNsdnj3HKsaUzVN8FOBIHiLvAyHmtLm/FII/80yt5rqQMpiZ9I11jilJ61kmtVSppH1m7uEQvNjEYHxC/Otua4MhZQDIsvP50yw4kchRZmDIiJoe28ALSS7kt5PaYyMM=</t>
  </si>
  <si>
    <t>66BpcwD00PGOtgdNcik5/gRHvFtzxIMAwcgR7p7cU01k3EVD8j18ndUZCyc/9izfl4Xi1a7Z6WSfVM13T7b90nZdS5MkjyamdseSZf33HoS6sQhbfeR0sng7l6Mo9DbkIJdt9hyYmWJ8m0g4tNy+rgDSzoGfBgElEvmXnMamcuRNrziGzubkuacK33FWgv8A6C/O7DVPHDuR6OdvcwerjxXTE+EiTMo/jwL1n4s0WUqobDXJBTQQEbEVxTw=</t>
  </si>
  <si>
    <t>cCy7GGUv1CGJG3QOxMWTZZbVBs7EseZ5fEPpcZ3SLK1qQTWwv6EKCCL3O7oIwOmF/KuPbSyqw8Int6NRDB6yrA977eWh+08kUhVrFi+us2RWe713WiqM23pdRi+ozAQGjn2lkpmaJihzKocw8yDZgsyJ0Bvb4oe3tAYgzqOW4Js77ZZRgt9qTkgYa9VPFzJyQDeT10dO8SJgCwzVqUdMO2GKZGv7tO+gIB/+BD2xnBhFWs9McwzBSbr5S/M=</t>
  </si>
  <si>
    <t>Q9KU7Pw3JU75swnA6ao8pRgulKR4lqvsz9TqqrFVIwJLDEbpz0WHdK0+FlyoC8Y0c/q2ja1ObACZtKPuPRkxgHnc2xhfSI/heufnkkChrXoyS4cgk6RP9B8QJVtkgDL6VEJ88JjdP1cgyIwDOGrP01FK9H15N8V9xHPtvMT9tZWt5g6bRC60ebya7YAfKbpV+QTizI1+103zakpdGUWobFXpsEQ/9Q9+ywLC8VVIsfanZaeL74pBaS/wvxk=</t>
  </si>
  <si>
    <t>i7bOxpI6G3cImV/eewcmT3B+jByTBr4H1XSabLbVyEJJXpqmrapTQQ8HPZhtOaU64cJkJHGQuynJ1NOz0gg38Kd14xSy7ASh+VRAPXBv/32gSD4dQ5jPJbK/O7aRXyqcKj81Q099Ow+eIVhuav2+2hu2XJr401nnqTvKp6jtzas5YUilZ1Sik+z5xKlQr3ViUM+x97D3XVDsCG70hdvqb2snyyY9qtS14S5m0JsFVnceIIoQnk4yxXTgwGM=</t>
  </si>
  <si>
    <t>nPggu0dOFciHVha0CU0xwLsWaE07yfI0nWbwbyiv8jiFqxQehBHzKQxyqU0zZrVMxmRHtTeyIKFgwmLjezhXoZ2F4xU0Za4jlifu5/FIH6V0brZaYjdF4SSas/w4orkhr11FprWLNmBSamnUwssc+KhYI1yBqt65jM1C2Lpdpzl26r6QuS8GJk5QO/DMhL7e18AXDCG20XRY/M69dCoVhwQM9yl9mAD+hpgokwpWlgQcu2J74BFc3a+YfDE=</t>
  </si>
  <si>
    <t>xZgJUMnhC2PhXEKp16XOj5ghkqaC+40tOR8yDRxvEVPjbtYRabAE/uHs3+igLBaswVFueqaw1d30s2l9BhA3mTXpJaQ6XCjTC8lSsQEL+lYEUUi2ruPFzoLcjw6bfzrDMhYZKWrk5MELeyBeXYmTNmHZwRYeGDOWYvselkEH/VrT2eeHDYoO7JjeMaFB3brj0n56HPlUuknrxCXq163WPnyn47GFuN+d48KFgQwzJN4RdN8QiX5NKWf/UsA=</t>
  </si>
  <si>
    <t>ufromS+kBiZw8l9cqp6wQRqZjlUWZBNom9GpOvOnmPWVEHVZO54Hx5rQtY0p8DMN/cvCuGIQduW+CuE3+zGmpeMbaT0vTSXScBrkwJfwGn8J8XHfdCTVakLgTyaqfZHtHgRwo8/UPBXuRndp9mlJQ3MS5qml7v/JYTtN7EmgRsWlJU+0HZv+9mpt11VVBF8eK7AmhczI1jzd5bM4rMqIeVYnVuUhe3b32Y3EJmQ1nMvxA+YEKA4lhLnkJG8=</t>
  </si>
  <si>
    <t>914O1jLvXsnC2cjemPv1zGNtLgt3bEI7fxpWhywWbhK6QhpcVGRPorGd4EYfLJK9TkkxFxWQFWvq8RSCNajALZX9fEv710NF/nevPXxykdGHtYIcJ/os+rgNlQ/aQuehbzhbQuWL6MZvvuWBc3ADNn/0GDj4pW/+cSRs5+gcZjYnLZICUQr6FbPGHYotD8n5YSx7mToMBhlX8ICK4ltTwPMdoxtw5pTXRinDfrA/Hl9aCcssv4PqmLLAFco=</t>
  </si>
  <si>
    <t>DcBW1UmV9hPmG6bUOy3AnDcdsjjsmTalm62h/GgYlg5Q0VS8Y9GygqSA0xOvhqj0zlkpYEusINsqgQWXHGl4oM15zfYAha35hB2A4ENiVqOYZp8fYRkFU3wFndhb2JxMHGKki2LF0+6cK3Ej1uYYiEPwB8nxbGiZcErxyuZ/SsfzZ+R79xRUbitZSS3Gq5Qry1BXQ/OXhpECle05s8T20bi0/ojm3F5jZ3pKZywe9n0qZEC0EwyuaWWD+Hg=</t>
  </si>
  <si>
    <t>wHJXtG9+mmnvvg8D/VllAvSkXQlnCov/5oq8+w1zE+Q7Mm3UC5OjB3tNAxOoK2nAKr1vpckbykUMxrGfKT8Rd/FK+sPd6zCkf1++cKOVhnNjvnfFjGvWGCnWuzqBTszy6o9llknCWr0rbmJv4h9SjrOkqsnhEvA8N5YyUqJ3hE8u12dN+VPmw2iX/oVFjn6q4viohsgn7Hfrad/VcMT4YeqBOTU2hMOQ7Dtuz1gJxhtop5qUQifP+6e0taQ=</t>
  </si>
  <si>
    <t>5TShSSYaciFAjEfZJOYzQEnRzPzZa6Wp0JdR8IBcosDtl+8I0WZiYAmJ8g9kMTN7aFk9joW72R8zQ8xHU3tzfb0uz1DtdogsrMOMv+SQmmC+VJLX0VUvRaH8+qkq65OdsKkE4kBeU1G2JaxjEDbaNLlqtGnAYjr5uwCrcgYTmhLfV2PZGHi/RGrMei/KFMi3RrvYhHS6HXvk1UYWo+X7PfgMvcRyht6K2CAlTIKN1bxFQObXNIOfBsD70JE=</t>
  </si>
  <si>
    <t>RZkMp7d08pMYcbpyYOeujwMDc5Ka3a7LBW2TPHoQrpT8xlCwsBzW0kGSCoUyodOwEt20dEyyeMjrDm3TKeBlhHcLEHZ6ghw/+kMzYxxa4IeudQOgLky8XiqHRyS+yOh2pkqDzl4MgEOyUhdFe+AF/qMa0roAn7c7R4FVb6Sxra8m+vERDcEspADRaN/4mNF44NuIb/lbydhLBMJO0zUSkoS81Lnq6g3J4NzqCe9We6x+5/SRYe619HIq1Js=</t>
  </si>
  <si>
    <t>+Ho0UmGFu80wgGFjOh5uqmcdQQz4GkTjPz8s9nq5wx0APTDqmfeJ06/IGI/HkInYo37dZOdqa1x2o4qrjvjnLKml7vKwcDwXX8MeoBCot3pyGfbzElWy4hrTh3nYJ05JbLvnzkcn6WdtCX+XU6wiKuFFUiH/+RBlN+5PjRXCO20bTL366KVKSh/w/U6bmQo3ofB/Rbezao+0ukSCmHzFyE+6bXKbdHe1dDeh98oInhqASv9e7PnbyQn3eUQ=</t>
  </si>
  <si>
    <t>tHGtj4Dh3j9eGyQGFv94c/hJ4Oe1H9AFbmM00J6Qk+IydUBKZ3GKVYe3h6d/2vyIa9+FRGHBVxu54Ce9dwvnEyY4Ej8CUwftXoAJPgTU2q4s3ITIgK5SVq/5tmwy/lJidYak5HQS04ph9vtVJDx59wjQYhsPVVSkZwZyxAUE0J7MSEb3zrkvuADxCAwgVrstrUs7vp6VoVewpE3kCcAesf1MRrtqr+g3UpjLlVMLmuENL/+0eiWCZPr5yGk=</t>
  </si>
  <si>
    <t>XjE5CQ/WL/pmyYhOXdV+ScJQK+X682h5bK9++CYbhqllOVMQSSbEOxgI9q451xp73tnMLfPY4I7AmaL5Z/EV1w9SuVG7C0qLfma7c9NydQ0CoL+GVGFFhOHxDlTeEFgriDIT6hVe5wRw0G/9/rWKEbo/SRmzUHCaKf2EbATJ2vQqRUMhZ6Q2kn0DZwB1Z3dxH/SQkfXHrDM1w4xCEHeMHZlDP260BQu6fiTudQ1lD3baYn0gkZcfx9J176U=</t>
  </si>
  <si>
    <t>5nx1nAK+8eMQC11O9a0v4a3FiiuPT7xUj1kul4Vx3hGrCHTs4fZin0AyqW83ETVlTf54N5KWg9+MT1yl6D3x0f+lkCnazpMbc5oXoSO6Sq5J447gDrt7RAOQ4eekbq1F5U1n7u9r8iYrmz8Z2dJqj0VWoiwTV3FjqEZvnZ1D6cCT2zUB/obGOfzDos2ze67Cjn25B7+MGzHwIDFpAd3U7vxhgu/lbZJUyq5kiHqTTSjhx9CmTzq0qg9BYLg=</t>
  </si>
  <si>
    <t>rbPtxjGXhd/NwAY8JE8p5X0pUzB2+8Iqo2mZF8uVpEe8gxU6RFoJ0IIdfTJPsn35DefnnAmurOI9o8FFTMliVE6aSjk8BZQkpzj2sqzp/J6oybBQIw19AUGTMoWz4aEk1X/luBO2fFgP9eocoLeJjmYKyI979cdXq6XgjRI3wOf29Q+1jkNEHB/aMiGoTRMkV0mqGSXqg2dNe3FjRrUXB5PaKrNXnhIYO5HbutWHJHCeB52FWTttuIh2Cqs=</t>
  </si>
  <si>
    <t>z0BxSRDSmKPh+vrfUyP6VAOz2s/6dEuvaIsjNDKZl1N6uqPo9BswfAmp87Sjm5xF3pU9ez9mdm/y7FjjmB155f4jdz8ZmQgOYFo5ejra/kDfUlNo8TzdN10Ik9q8sWmarMcM2CKuVbTwSKcmc85rs8t63RGceaxdqutMY3Dhd831esRrFgeDQrd9pxZNMwtReTXyICkaEqm/76ZTLJzwCVhQPiKllFYBgm7kIGiNvu8+/KY4hIUABnBVAD4=</t>
  </si>
  <si>
    <t>A6dW4IFW2UcIRKpuV2F9+kuSxHU72z41p8GMQ8+/J0pcIMcfNrZMdnIb9gjBaUnGlt//pOvVEU2T9fF95yt6NVaYRjWqFFDfMumbAQoxCghYaeJCicqyBHB79HfislYA7rN2OrVG9TgpBu4GSNN5HxruCzId8wc0b5VhG+4ckpP6rvinZYqPvxPWXWxFTulQAXZIBDTF83R1uLTtn6AshXTSMAN1HK9sWcA49RDhXbJrynTdFvSo3+umr0I=</t>
  </si>
  <si>
    <t>gzo5egJ3bqwFAS7p0VEFeZ43V27MdmitnZhgnOzvcXu2Jk/HT3LeSqGDJ+6px6ilZL75bIdZLro3EumTuYJWCdJtxpo4QJHXW8NA6Xtpl2LJ+jPNoq6BidIofvIT7R1SMiJULsqtrd0gCYXrL1tqfT35zXwuugl/vSJtvgf8WEMyjY3I2aE3O3nnLH/OKji4sEGF+/7k93CBAqv9N6794H2pTgKcMNHkcwaqyC+fAashZ7S33uq7AgVqzXY=</t>
  </si>
  <si>
    <t>Q3TSj4KZQG08kijvTW1O16Qt7w1oqNyeYWkegVW5n+VI0ZEAQ1Y39YQyuAv8SHJnToVBD6rUdQc9Rzxf20n8o/FLNG5g5V2qm+9oL9UDA+ApFzgPxdfWZze60Et5Xon6K5+XdZLFDkEUVK0KrRw+AOs6h+63j5zQuutEKcvRrNrdf8fGTKF5XSTkzg+P/Z87jz/KAm8l4O6ZxIOdVbBwdrqkuleBdwyTQhxH9+rfaGXVqgVnYIv2zWIwcZs=</t>
  </si>
  <si>
    <t>ZIkoX5Y0Si1aLmpIuXMHN3AWSY3cE4ow/dPcjOb4+eHlNdrm5sIHDqrntEYtSN0htCh0NFKx65koYaGvwBIRGYtDARGnQWoxQqa0tozwwhTvkIaNQ63U/rSVW1NHYvbOgIWbIldPNFlXlURh3oPWI+avMHtMjHygXQFFrDdtQ3foyZ+SIo+0MigMC1wepsGkhbmNXhWDSareEO8uKrcOHPFKPzKVl2p9ztTZaucsd69Bkv1F/kDyuABgidU=</t>
  </si>
  <si>
    <t>XvTL+NkJcoFEoc21CmRdmnyNTyy8e1GnqPBzbloOO3KSfDRfZVTiXKsOEvAxDGr/l0wGNl5TOKIN0oPrU7uUbpkKgBtJ4bDBYx74xdF6bYYlNUS3yRHTJol4LdxUuJ8P31kc4AI/Rt8uBLlPZ0o8dUmeaQE0fYUaY+1NrHZeIeTaALgxYU5EKoLzhl7hoZAVi9QkxdzrXw9xFmdy6J04552tHUqOfeGYqjfDv9TtkKKrh6zcOrlF4oD6vmk=</t>
  </si>
  <si>
    <t>ou1BJ42DcO774iVOTAv6Axfje0EtmVodwv6aiKJEgQ4koz6lGO/ACI26/Gs3vceBufY8S+5towhG2z/KzlfIItPk4oBXISK7GqPZ6moRB1a6EI5UNtokddl3PiAZ/oPMqe5WLCGkqofvqpXgJhp1SWhs7gj/esMbCVb6WTJOmKzibosBQPrv6OkBNa4tna2C4vuO1RCwSKifAsgiVZ2lQtvO7OYYSave+0IFhGzSD6vrnG5m70gqeryXBcw=</t>
  </si>
  <si>
    <t>/TYniFingyZ+Nt4pW/nF6gvJCx03k9UFIZOafN/CgUuE6zV/9HhvWTEHwD9xp3Za22AdFcBxt3afwxev0kMfaewhvQDKx3UiBnrU87C2MaHrCTo34WhWR5Gs/wd9/+FNm4t+Cp9+7IHFM6447Q46Uv/gxC3z8SBz0oyHQcLxlvmF96FC1UnIs2qH02cqalqaj0mLMKKDrtXXR+MGgkUi5IeVugqZ2+Z9jqvXuow6vQzS6vaJDB+so6k40o4=</t>
  </si>
  <si>
    <t>sa/lOyenOEPUWfG/IZzPOL+CnrWAR3LGdcYavz3aZxf1Idx6tGjU7t7ZZtIGY5/P7+eV4TFHe0fU4JFl4ADB/qwOwKUIfS/hpC77AqimhltykEDNkEiDdoxkh+sm2fDZ+x+R1djBzKYDVZbgwVnK/VxOyUEwarJXUclFyg4hY2dPXdBvGGwt9y5utfAbM7vsOMGdsLm/XtDkqUjd6Exz4iSXuN0jqjYgj+rntYP9/wji/P/HH34x5NnLrtI=</t>
  </si>
  <si>
    <t>wxMDB1qVkytUjcGFqpXt7DTjlPGQX1mDAj3bXODr08OHHAxJsT38fIv0S18m4aIdYrhHU90HjMHeVMt6P1f4mUASSzpPZ11U/4OBZ781w8jSr9bMlsLL/2iGcH70QNS9rSiLXLgdjNe0eCGAY/A1Qi1qia+vgbJvIZhJ4csxyAZHT99fhZoSirCl90Lw4jhB5Ltg9MlOskKj/oAUzNqHt2rqEaJUKnFLNUqE5m5ktGB9IN9VyoH4c+rj9Hg=</t>
  </si>
  <si>
    <t>VgrZ208TmquadXYMCJm4/44XDImUgYFaAIUNZYKBW3FN6m+FoTXvui6KEMEJE30yKYg5mbfTJe4oCNnsF3tEy5ArvP0OeW9/gmJwl/1mTokejUkKJUqpFa3IFLbKpN09OsEgqa65fz3KOcrb5YAyBSSz0MJeeTXpWm1TsvEiufxhZaeDI+vVM1gemup1GqfKnm8jDG7qhLmTziBDIikTP7eQ52r4tfBbc6OpoKgKV3PfSoTfgYS/jNTXzGE=</t>
  </si>
  <si>
    <t>QxKQNPThCLwbhAyiHg3g8ganBiWfet5jYoCvqVDfHv6UhiFHoD5rhqXXod+DvWAVnPBwNY0rD2lbSEC1JaBuGHxr+M8LCgGocm2NbxbMwZvH/I/WK2TmGLzfXFS2S+rO9PvSXRQcKhJa2bTPbj48Xcy5rkrdemNqpZQtLVj6DYM893SnsT8UAPBW6JXMD+D8UW0E7+EsFA2CRZ9jCNEBJLANmO8Uvdvu4vgZpk7IODt/h3LXGV9tMc98hlI=</t>
  </si>
  <si>
    <t>tCfFZyaOGIRYjKO9uI6hE5DeDyeeeNT++6hS0jUEhDUgkPKhmprM7yDlzItXxhOSLM9oEbQESfgnPbKAFoJS7/ZghXn+ub6iCdKb8/aCoa3NNhXJeA66TkfCsrgKs2d+QUgfuZ6wcwfuolaklg6pYbXPIt7ks3Gj3PnsEAGqaPg9HobKqSj73sG7K9ReVIA109M/W1QdZywJ24D1IkLSvrrOcGPxCopji4DJjLuJx4pSs21H9FZ7hBznYu8=</t>
  </si>
  <si>
    <t>PONpF7npJMpaEcvCj9LfraDo7IleGcY4unKd6uQcCME/JwUUJcobH9d45YRian2c4vhjkvQkTMeqMmtuKXsxwwHsGbRovMZUPeXT8KzmLLTQA8wDPFyDRKKtszCAXkeMTT6xk4tHPjRDifQtRx5nU8BquilTbONDaeKTVhLnAHn+D/+bahmCT/can5CQ4pCfwELSm6+Ou+pkt/2FN3vnMHd39jZtnSKQzxkJbyrb/N9rLFHxY3E1Gal8Fn8=</t>
  </si>
  <si>
    <t>xi4COrDtEZCZwuHwWzycWi5BxMFX8oLBJ2G1Grcu7XV6v9IhQVgAMVLErILmbi2I6C2BgJVkw44qO8C8oRdZyUaOivNjpudf6HXoU9lTHiTQZ6icKbe5Id5Qw9GuaSAMVvCELv9pxJEwURSkYR0F4EOTWOZU0kl7GY7Gpah9KbVg0CeM66RtNyWyfpkQjQWBbKc4Hx//Y3qEH3cE5ZIEDnd/a39TROR6dNynxWgdisV6CX2891EM4/N9hgo=</t>
  </si>
  <si>
    <t>9NudAn1eiUNkCtvVp6gfYN78KjDDwqC5QoxR3kZYx6nRdSGq7gcr48c7Cdv1YHq2qRJO79sUxGXlB//cjgv5nJSGNSVoBTYmVN5gqcvnWy8FY2IY0Te7+5cEawqpGb7QDx74w+bwgBpYdMFZjGL0S/4Ys9OqhB3f21qOVr6hVw6PamSW5H2nFJxroxcvMhiGeg+OiY6OF2RdEUfhyoH/JVIHXj4X6BbdHpzp2Q2G/k9B7cAm2Hz3FygO+ww=</t>
  </si>
  <si>
    <t>zhgU7LIRSy2f8UjtWHPJpZtnAEVX3pGLbD64v2DKHEtYusu5TXKK91LOKSk0rA2Ms4X8KJTJ9mHsOyBsdK/xTFlhbZVWwTg1v2OZhuAZuiNLiVNmxCn+BmyefmZEd4ZkWu7UAnrxRlH3D577WqkiDw8SvSO5hGDnymGUR+3tAGNvRwTGKF7fbgeZT4JgSZ3r1OVDoQ4KRiZrSfC7zqtMiQN3MNXtqEGWnUlrPyKdV0+WqOJx/pQUoG7uFoE=</t>
  </si>
  <si>
    <t>DR4gxtJ70yzEgy2bcHZWxlmKLVYlW1qtWOoZYENvS/DPlwpH3wLs4XZOkHf2J0v9WV4o8xgSz217rO+8uqtVhGk37pZO45CyVDPoxhWqOqlOLdvpf42HZqzjbRS0PE3+TEAu0+OPsxSIPDLPV5Vj5bhT43daKyG1mPKp1ae4CqO4ljHh1uXwMOT7OauubCEZ61XgJQehDKMy31Ljg1gEBJzmF+MvxMothBzng1vaTsqfe7G3798tUwXQjzU=</t>
  </si>
  <si>
    <t>LWNlsp2jMjv4QfS0U7ZGSuAmyJsfTcA/geIIYb/7vDlCOeGJszHc2UTeFpXwcqD4UCpZAsEI6Kd6VRs0zmXBSdCQRRElCuD0rrsWtSA06Cfy6sAk3L+wSm8VJEx0Ib3UjBTk0Bipqa/JhLOUm5t7Vw0Blvt/QX+kWJb/mFmTgJN1Qlw/ZMwCSYBypOuTMrTWVu8ienulwC7/nuD/RpThSRD/eXBrL9sCF7vdnpGO+k5lEKFWjq2i6+kXBkA=</t>
  </si>
  <si>
    <t>6Ny0eHfTgGhAB0Ed2ZQrvPPmPywqRr93l+TZgbl2+hCbyDcEyn0Pv3wJkeLRsLlNq5mQ2lYvMmLr3pxxcdj5ngJKKNQITMfe+zumPKqmbuUFpP9A5S98rIyGTz3DQFBUUvTl1CEotXmUCos02BuQIaFYos60Botxk7efo4d2/Os0oJfuJhm+O5/OakHlG9Gow+3xcwMphrdKT3Q2kqImJvlLPMd7bCYEeLCkFA6HLLzs1CfXth7rHAM+xl0=</t>
  </si>
  <si>
    <t>Z43sYnX5xu9TAJItptnxYVui4ZPpEOvlbjUpQObzopz+7Je6YA9F/2IO5z3E1fg24BqaPYOvGBf326O8kRS5Kc3czUONgJAAUAyOtrQpkFYXeOoNtUZbu7VqkUKr/802VvX6gg/dm6/FoCmOo5IHixDWKhLRtk9ktRKY+FGKdI/iVzS3J0WbpdJHEJC0TuPv32mNaDeZICB/s1YKEEvs5rvxdLOPaWdLtSEM3gKfbeO1nVcfUUw2zSkycbg=</t>
  </si>
  <si>
    <t>bF6FYIxYVO3zzfOi8M95Ylhvwh1qswD5dpozfIAg9AgpW0wh0h2E7+k0TnU0tV8B9Cx99U+YFGVgJw+FUJV8AnQDYxea1diUPDBptrOZJgEmwVA4LICoHZIrbAeB3Ce6QCttbKZSvX1fzYenECso2MD93HNcCQU6G/IpihFQ1t1M4d5HF3j6Wxsv8eNJZASRSE3gJkY+tM3fgcxOmx4j5k9dLhIWBn4O87pqLvTqmzjCzc/zIWo7kDSlkgc=</t>
  </si>
  <si>
    <t>zX5inIlfddDuSS7hzeGyAwywz70Qa6XQmmxVyKbWExsHe/pAzChGeUcddKK8lPbPdkJa4Pcoff66Co8bp0zOTDBBuLqpga7vXE8lyv4y1owZssqHxWJgQWGaxl9qr2uKRdyYyrWKNUS7aTfR28NsgaVTUxLs3WYvnvZkUUL6zszsNArJlVC4K1HOH8wIkmqj7AL+4nCDDk+LSBQJlblJ7AOJxOw6Grg0uwSUcyN/m9AtARvbsMugCO0201A=</t>
  </si>
  <si>
    <t>qV1sxPi2pMMv5mZEom6URLlSlkTPiueX0yZ+xSFzdH+u6VjjmdomsrhSE3bvepltWJDo/1qlTwUDZxnsB51jw0AhHqZSAwya/cCFyON+JA1QJr8PMJJdRK001w7pvaiUNJ3+oLGjeRwxoApwYvOKSt460D3rtoUej5VtuWQM/6dkjbUWQqN50hRfaC9aXWRkeZIRn7yD8QkOTGd7u0L79Bmd2RdCtU712HZpaz/SCT916xdfLWVzYACQzSg=</t>
  </si>
  <si>
    <t>LzK74fIK+XkQsrepotSL+3Y1GuOcQG0r5WJzFXSIxKDa+HjEbT9ZWCdjpPVIbqkV6RzIOngpTPAEE5I1EepvahO94p+MzwRLFSkqOsNRB/FPRquVfWnWakjEX3Z5kiW+AQ2L/9TJbKO7o+LBhTp+VF2Gx/2YKz9L8u5obVAM4XpfEM4k8G1E/+cD+l+MMSEptKQA6HwvTpmzH5tPDJSTgICFFBseQCiIrrmJfmKeuOLGnLfNfzNEHEKGQPk=</t>
  </si>
  <si>
    <t>k3IQT/crQi0pZ+SpRlVbGt4RRPBJ1hcihn9Jsis9TQQkeyyleK39LfQB8A9ZXGNUqtAhal/LytpcX3v0cXb7v3hLP29SUt2wCPqurnGAJJ0SlDdwjJpZHWxySML5Zgw0kIC82k+4/TmzogYt+Up/mVunuJ3tOiSHM6RT412hyUy/9mQPTYxlhkPjBkb5Zx702nHRGM+jbhhDhejDAXrUrlF9YZLXRqjE0piaJ8fgUMN7bIVx+RDi4Fe/Ulo=</t>
  </si>
  <si>
    <t>PsQt3cCo4gZtq4JjLCWINxCPzrBn/zBv5mHdMIili2nI027uFa4bwa6yFW9/MMeFBCouUEWOgmSfPDO6MjifvJTiDv+hAMBgB7wpMI/+plrPA5ViQZfY5ZPLsN1MR459ot7gaLLIzQuIh+Um27QmP4m2KIOlOaS6IPxs0w1xyEVDsXSAA9vx7fi5EPaHoI3iAGqC+/GEac2IvFFn9rkEUzJAKKf1g4PXcJ4LQlKma3Ttn8PJcLbjxbI7ACk=</t>
  </si>
  <si>
    <t>66U6xjbjnG4KM8sVFOpma5R4tlO5+YmWJa58MRUpBJuoPW0I8py2tfxMZRPz0TOzrEqSIPjR2F4bfks7FV9vGogBrcRqEw408luh2CG7uzF9au5INuUceVzCYdVBBfICY77nvI55vd5CG8y2f96z07DCmSn4jHakqYJ/u7K3Z9MugDFEGPImiEfyeDSnA8Vbp+VxoDh35YsYNajC9nDExi0Jd9V+aL3xumXnUHP94jIuGkWngtdpEj7tPzc=</t>
  </si>
  <si>
    <t>y+az6iXchZnG/FZI6ix4GWWYCc93/uI9lXMwR+YPuZyZaT1hQpontOFeevvAqShIIbm+3WwmZWh9BkhiLkB8dbKycr4PuBDFTGTADs41AbwRiZDa9f5gVyHOg555VsjLmGHulNu9deGc57F89bYIzYt6BHngyGiSV63t0cfn+hZMGjT9IrFi+rVp+hNBte54FQcscUHFJuruHLyHxHWEAxkUWk+yhkgfSH/AVQ7kaghxrnX4v86+ZqBE0wk=</t>
  </si>
  <si>
    <t>OawVF2kMiFfu12rXiRCst0fjKLVus68u1DrlFtx7gnx4Cg+ttLzXc7eAqgeQ0L0yrfX8wNnPNVo1QLNfWj1epDga6a877fo5+TtJHgMGI1uGUfrcAHC18phrLcq06UHfXKZWMJmWR2UmoR04nEBRUuVpo6TVF1UFnGeV6wy/TiHLOyRqCrWvVfrQ4+wWVHGP0dgTTTXFytOEj1Y7kMcdiT1FXXV5xV1gjBAGOou70krbFPJIXkqAQnl5lYY=</t>
  </si>
  <si>
    <t>QadPLGN01VzpHGjimxqvyUSk6bXxGW4KAS68xAnCgCscA1txyj9on3lXL2t51fGs3yEPpMubAr+a8EgkD5vxxT1q0QtGkfCeafNkLcRIuSjwoLeDSG7heIdvCbAdEpqVFUsumaxD9t5be3EHqDN2wu0jOoTiLt+vHfD3BmCjxAzao2ivj5gUWm5aGBi25EDr4HCPRDDpYJ+2JRZvFG69alwiKIHt9nIJx/R3YvXrnLWXiYgo2KHrBg7Trt0=</t>
  </si>
  <si>
    <t>P8K8YF2h9/R+lg0Cm2QBIxh67mRoIMZD6T8sj/QnxfwGk+XqLns3Z4OIjhn69WklkdHZ4KRn/eeqdJoS3khzZ2cnvjhH7AT2+WrSDB7mg+wZfBAl4o0Zlu/qjyOFFn1dtOBeRoPLi6iXYwu/uYDmZt3PTDGAGitr7Nq7Uts9OyFUuwivCvvqaZ8VssDC+zENuOkdEByp8zsFaXUGW8By45FjuSUQdxTnbWaCUHxhJRmTTyCLOy89kge2cGI=</t>
  </si>
  <si>
    <t>dwqeX98K8YfrneuMttwk48RWShDvXARgr9kZZeuujpklwIcSaHs/ojA2pHdP23Tt1//+YoQhcjOdiFZRXaZ8ks/TtdewINM8exWJSkbl+AwUchF+uRtBCeFWKUdOl73JIXtSGgvgYvqdI8ga/twIFjxYfXjH4nrz/EugOGA6Wodaf1HKrPxACg+dEbGxnmjV6wpn0xR8m/kHnH+I2rtNpEX+Wsseq05w4OEXnDkKDnQX2QUau4ktgUUxNfs=</t>
  </si>
  <si>
    <t>0mwQUbW0V4yoanSulNXv3rRMLgccV9cjaHhmI0+FHK7Bu2xyKozFLnY8Sj1YorNoBfRbetzq8KKAcnqBzGT/BOdZMGRPHg7NkA/jb0E/ECNVCPNPgVCPBUxeuuucFDuqqgqILOI9d+3PSKXW39AuLMK6f7PcLHia+21CEV15XPUzybbf6as18+UJHJUOSHBn7O7YpO6Ut1oAtebkqp4xE8Gra6V87wqAKhw/YogVClcTcwsJIyQNKRtQDWA=</t>
  </si>
  <si>
    <t>wZLOrUPRKWForcNwIzeJrO3cUg0SLKw7GVjQLgxb5zXJW/YRL7UUAGdgSE1ERP1k20Tm3Qc1oFol2hfsBSM3LIo745zXERtaRk/9Qecv4g3XsLKvRuMZniaM+FYnd4LzRhyBtqUlwHzYf4VmBQ7LcKyBRShddQGzehTcUvVOvJ0+La0WR22prxsIw4Keq02bNzLxXfSfo8ItGo0vYLy+kJCl2lLt48PLm691tNsp/QdUXgut8EvaYw94mKk=</t>
  </si>
  <si>
    <t>zGHfWgXnsxwgne3SWOpAMBxvLsMvm1vTbacZqoh3QPSXLT8JyHLDd5ikanf5KF3zbp4z79PQcs/Bdm+W057oPL46RuBnsudpiUnrkQebbasAu0zJHRxIXEfeudauODDw6JQ4eqebyRZcLST8fQ++ZAAcF9oDhtXKlBRvmbzPQO3q4p4yIUojQBYAp/qMSWB1NUllaTElU6PmvLrIYYdxJPSFzQZDJt9nPtpcMvMYcCuJj4ypj9nharhbjBs=</t>
  </si>
  <si>
    <t>h6F4tuFRsS450McIqxoCwnZW6QVp0K0AIPLDMXKPZtgD48kKqxh5+MVFVA6CLEVf8JPuJxBJ+nwTThLfB6AY8e5df7QIffJCkolAo3QL464csr7702xw2a3AfSlwj4xAmDRrDXyMEnhzZZGIFE9VNoS61oPGrzG3fyrTQNzDZe+Uiu9U1eDG19ry52MWI9VsB+CiD0rEyRL42g50+oYVzYxQsou6wGKKJWY2gVhPE8OfqjJBVF1VjtDF/J4=</t>
  </si>
  <si>
    <t>y1foJj4pQjO+lw8GdywlnbACEbeKLxZKgZ4V5sTkRajane5teZ/1Jrd9FEcjWOS1iB90R31zchSduAlRWxnTxMFLQUzVmRSNNcy8resWtJyucguBhiwg59tkRn4yaTXoXfFP/EtPQqid+Ev7V4YmTn94ojZCQUL3BzL6HTBltFdeOPrOSbSzA6RCVTFTFDGzG//2+G63QgByFfb32yyz3D/SfVqzfE+Hq5/V261BWAGWhIXPK0lwgkjHo+4=</t>
  </si>
  <si>
    <t>PiDO8qu2eMOjzHmO6Nj3Sf1+h/j60rKdrByyi/wwdWQDJwScbTYr34EKtIKXFX4uIDFJoXBxy7uzawAGa0bPnyh4kNT3g561YoAx1fghPe60AUNCx4Gh+P4fm2An+kKHv+2CtuE2Ob5DdrW5UfDaRq7yDc1du4XdScj25/c/PBleagHUZzdLSNGA6yak405c5SofhNwRTm9fYByxh6cxTvz+zKsdTDZsZe0/xTEh8Ys7+lw3iikXN7wzxo0=</t>
  </si>
  <si>
    <t>IQVq9XVUvOkWmaj69bSbMdaVb3oCxcFTxU3PkKMV4PXvYUTAo5XKn/l8vka3YwXJs/vK2+a/R2GIUvnMzoiR8MFageT5vh7xfUI1zoPDtqlA3+NAXkw5pA+3+CpAT8DEpk57SEMCasWMjjfI8UotYWZpov2O1e/Mg/pcSEHURPYWoiHFlvnvWeXEj5wW9ws0p0Js/OX0o84hXb2EITQqOwMm+TmcIw/aDQf1Uust+ioeJPrIP8PoIkH83BI=</t>
  </si>
  <si>
    <t>5w7EISZETO5rda77mYLX7MpWHK7blTf01KJ6AvT6GaIQHmUIGarv+yiEF8R5AGr1Yb0TWS9/iugJ45RUD89MC5DyU7tpLI1vtGELJWdv29SxW/0Azquylaiwq5PlHWK0K87nxFlFYNGV5ZsNHl2BOpry8nEoZ4T2OdCYDkJd3SbSaZM7gg87LkMkYbDuw4ulZks2tkWd1iPgUerOgwjLCtizqMwpVYTACdMO3Wy5eYgQsLxPUEVNkiiwNxg=</t>
  </si>
  <si>
    <t>stDe1f47RkBdm64pMJs+GK1MMzHaMy/bC/RkGpaho+Ua1AJcpsW90lBmd909L5au6hlEIKrCEAko/DIzQWnaEYvufoDl+DtsS4Jr5aKMm3eEZRakVhCzQfu3z2x7HnyJK1qc2i2QjcsgoP8WvDQgffYedq0orMjQAlPuzCo4OxSrBh8X1+yfhoO8iQ6JzcScioYDnncDFcTDi4JSZOsMfRReU0iIAzFivH6WTiMVvKsRFZAr4q20Wp78ZDY=</t>
  </si>
  <si>
    <t>ovKxl7MogUuoLo+RzlzCkuZPJFATHcAIGZAzJQd0aaaFuQ9v4fDlqzDpPczzUU8iRKZm/KFhhTTU4Ldo3XC3whyDJxs2QciAIuaoEfCMsnKFNgMPl2tDdPfuDPY2kmxJToKYOAMveoyjak1teTWmE/sM4LPRcTpoM4KXxHvabiXeGrae5uwOhATqUdpc7VGo7HAFXFBsxcyhBDHHD6c1XU0yF/E6xcTcpQJ+d50oVAQOuhKJbQ6Tzm36mJ4=</t>
  </si>
  <si>
    <t>2jYFZOrhgNhUjT1+FPJz5BccLD6GxnR/PKv5KTxDPUCtPZdiWOw7tFb7pnyZZKnedGoxdsEF1sWaKbZkCToXqVGwNQtSI41umc3hZUACyXRRjEfCRKa8iTk4b5nlPsYFdc469pHzcGdVZMKQIO2s2knhLtIUEODqFiunPZHdnu7YNYOTeoEa8r5uESdaXnSQuM3OYzON4Sj4dLdbgqk8YkHUsYHAh3zMkvB1Wgu0LJeltkaQrgl7QtyWFd4=</t>
  </si>
  <si>
    <t>AYyAACYiPo8W2g2amwaN98AmsTZMQwinI0Carp1dCvsj2xaiMe+pnMZ+nwO7TCycFfNyePSQVOzhBYIpn/neEFYmgpiSrE7PB20qbjxkwe2QerqEVcnYe0EorBJbopMks4B4w9g3//3LOlijVAm4dQ1qcnjrHPYLeqZKzXyvqKG7QuOalTgSJitFXsR7PvIWWNa+KySEIMKgb4a3iCedL2aFYl9t+Gfb7NXEPNUYZkLulNYiKmh4SARrpSQ=</t>
  </si>
  <si>
    <t>w1apOfI0m/tNA7wBddslSgr5zELavDfCyRrOda3ybZbhDMYaYvIevUNk2CyuiJsOMaUhDe8YtXg0r72CHtErtx8dII2quqUxkir+85lFdo7SExKlB8LRxWTk8H7sEP1ha6yJNpdh7j7nANY6q+mSmtrZWd+MqYah+5Chp+neNGwRP8Dfz+QxXFmrft251SOrZKyA+wK0Yf57bLYJfKhOWh7BMpPyTOJHIiVmU2PJHd+zfvb2B0k2Nme14Gw=</t>
  </si>
  <si>
    <t>MjKgT4ceZ3x6SmhTcxVp2GUQqmkJ/vD08Wr/EdaezN0RpJjA0we/E7P4WlcImfHih8JP55fCfO8YpKkXWGaCoeTOnBQyA0QKX18lkwhBcoCW3+Bc3GE0EROnNJmxzhqB5rLhuvjALmqQHk5TNyMz0DyN8Rw5BfwFfukipm93aIyZ8UsJ532BbzTCjUGnvFGqUPnAZ4mE+ixRnqSadwba/ViIumS/nA1eOEyi/ANrrX8Jpbhz0fIKR3hXJGQ=</t>
  </si>
  <si>
    <t>DbbNstxqjfwNqmvOnCc/cu3A5++QcIY96K+SCcB2UIga5ja4k3W2/X9Di93xZiwzypihnGshLlOPLaesDAgQ46XrZluhfvON81iSmSJoExV1lf1iJ9VOe/KzHJnC2fo2eZ0lOm1/YffijWOoNUo3mZIUsOGG+GdHBQtA6MlpBHCc98QrZaIytVCQ7hwQPt/GplFH7xTmUVHy64wwn3y39nWiCkQ0L2qaoJL4z5gA5Ee1zmS+0Et/7W1aDlk=</t>
  </si>
  <si>
    <t>Xfz85/cMPLdRr6MXv6U8mdrdSa4CpwwQbH2Yl79K5J0baSVHJvjuM8sLcDt54kCyNrjHO2LZxWF565GqdSANL01zva60FmSareEkeHnRDEVUZaoC3ue2f9b3wcJnAd7FBODOp9ORi7rBxHQI0SHh0xQc9WEvGqYDKtyGH1vZ5i+vJSyvG4cykmo7bJKgCxnUsSHixRTMxh1sYvIAbckhxv/34tjjUxxf8tITpIHaHGTujnv2gjKh23W33fM=</t>
  </si>
  <si>
    <t>JZ69Yo9ZVAefSV2QeccvbA==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</si>
</sst>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_(&quot;$&quot;* \(#,##0.00\);_(&quot;$&quot;* &quot;-&quot;??_);_(@_)"/>
    <numFmt numFmtId="166" formatCode="0.0%"/>
    <numFmt numFmtId="167" formatCode="###,###.00"/>
    <numFmt numFmtId="168" formatCode="[$$]\ #,##0.00;\-[$$]\ #,##0.00"/>
    <numFmt numFmtId="169" formatCode="_-&quot;$&quot;* #,##0.00_-;\-&quot;$&quot;* #,##0.00_-;_-&quot;$&quot;* &quot;-&quot;_-;_-@_-"/>
    <numFmt numFmtId="170" formatCode="_-* #,##0_-;\-* #,##0_-;_-* &quot;-&quot;??_-;_-@_-"/>
    <numFmt numFmtId="171" formatCode="mm/dd/yyyy"/>
    <numFmt numFmtId="172" formatCode="0.0"/>
    <numFmt numFmtId="173" formatCode="#,##0.0"/>
    <numFmt numFmtId="174" formatCode="0.000%"/>
    <numFmt numFmtId="175" formatCode="_-* #,##0.00_-;\-* #,##0.00_-;_-* &quot;-&quot;_-;_-@_-"/>
    <numFmt numFmtId="176" formatCode="_-* #,##0.000_-;\-* #,##0.000_-;_-* &quot;-&quot;_-;_-@_-"/>
    <numFmt numFmtId="177" formatCode="#,##0.000"/>
    <numFmt numFmtId="178" formatCode="#,##0.0_);\(#,##0.0\)"/>
    <numFmt numFmtId="179" formatCode="_-* #,##0.0000_-;\-* #,##0.0000_-;_-* &quot;-&quot;_-;_-@_-"/>
    <numFmt numFmtId="180" formatCode="_-&quot;$&quot;* #,##0.000_-;\-&quot;$&quot;* #,##0.000_-;_-&quot;$&quot;* &quot;-&quot;_-;_-@_-"/>
    <numFmt numFmtId="181" formatCode="_(* #,##0.00_);_(* \(#,##0.00\);_(* &quot;-&quot;??_);_(@_)"/>
    <numFmt numFmtId="182" formatCode="0.0000%"/>
    <numFmt numFmtId="183" formatCode="_(&quot;$&quot;* #,##0_);_(&quot;$&quot;* \(#,##0\);_(&quot;$&quot;* &quot;-&quot;??_);_(@_)"/>
    <numFmt numFmtId="184" formatCode="#,###.00\x"/>
    <numFmt numFmtId="185" formatCode="d/mm/yy"/>
    <numFmt numFmtId="186" formatCode="dd/mm/yyyy"/>
    <numFmt numFmtId="187" formatCode="_-* #,##0.0_-;\-* #,##0.0_-;_-* &quot;-&quot;_-;_-@_-"/>
    <numFmt numFmtId="188" formatCode="0.0000"/>
    <numFmt numFmtId="189" formatCode="[$USD]\ #,##0.0;\-[$USD]\ #,##0.0"/>
    <numFmt numFmtId="190" formatCode="[$COP]\ #,##0.00;\-[$COP]\ #,##0.00"/>
    <numFmt numFmtId="191" formatCode="0.000"/>
    <numFmt numFmtId="192" formatCode="0.00000%"/>
    <numFmt numFmtId="193" formatCode="_-* #,##0.0_-;\-* #,##0.0_-;_-* &quot;-&quot;?_-;_-@_-"/>
    <numFmt numFmtId="194" formatCode="_-&quot;$&quot;* #,##0.0_-;\-&quot;$&quot;* #,##0.0_-;_-&quot;$&quot;* &quot;-&quot;_-;_-@_-"/>
    <numFmt numFmtId="195" formatCode="[$USD]\ #,##0.00"/>
    <numFmt numFmtId="196" formatCode="[$COP]\ #,##0"/>
    <numFmt numFmtId="197" formatCode="#,##0.00_ ;\-#,##0.00\ "/>
  </numFmts>
  <fonts count="10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4"/>
      <color rgb="FF333333"/>
      <name val="Helvetica Neue"/>
      <family val="2"/>
    </font>
    <font>
      <i/>
      <sz val="12"/>
      <color theme="1"/>
      <name val="Calibri"/>
      <family val="2"/>
      <scheme val="minor"/>
    </font>
    <font>
      <sz val="10"/>
      <color rgb="FF000000"/>
      <name val="Tahoma"/>
      <family val="2"/>
    </font>
    <font>
      <b/>
      <sz val="10"/>
      <color rgb="FF000000"/>
      <name val="Tahoma"/>
      <family val="2"/>
    </font>
    <font>
      <sz val="14"/>
      <color theme="0"/>
      <name val="Calibri"/>
      <family val="2"/>
      <scheme val="minor"/>
    </font>
    <font>
      <sz val="10"/>
      <name val="Arial"/>
      <family val="2"/>
    </font>
    <font>
      <b/>
      <sz val="18"/>
      <name val="Arial"/>
      <family val="2"/>
    </font>
    <font>
      <b/>
      <sz val="18"/>
      <color rgb="FFFFFFFF"/>
      <name val="Arial"/>
      <family val="2"/>
    </font>
    <font>
      <sz val="18"/>
      <color rgb="FF000000"/>
      <name val="Arial"/>
      <family val="2"/>
    </font>
    <font>
      <b/>
      <sz val="16"/>
      <color rgb="FFFFFFFF"/>
      <name val="Arial"/>
      <family val="2"/>
    </font>
    <font>
      <b/>
      <sz val="10"/>
      <color theme="0"/>
      <name val="Arial"/>
      <family val="2"/>
    </font>
    <font>
      <sz val="10"/>
      <color theme="1"/>
      <name val="Arial"/>
      <family val="2"/>
    </font>
    <font>
      <u/>
      <sz val="12"/>
      <color theme="10"/>
      <name val="Calibri"/>
      <family val="2"/>
      <scheme val="minor"/>
    </font>
    <font>
      <sz val="20"/>
      <color theme="1"/>
      <name val="Calibri"/>
      <family val="2"/>
      <scheme val="minor"/>
    </font>
    <font>
      <b/>
      <sz val="36"/>
      <color theme="4"/>
      <name val="Calibri"/>
      <family val="2"/>
      <scheme val="minor"/>
    </font>
    <font>
      <b/>
      <sz val="48"/>
      <color theme="4"/>
      <name val="Calibri"/>
      <family val="2"/>
      <scheme val="minor"/>
    </font>
    <font>
      <b/>
      <sz val="20"/>
      <color theme="4"/>
      <name val="Calibri"/>
      <family val="2"/>
      <scheme val="minor"/>
    </font>
    <font>
      <b/>
      <sz val="12"/>
      <color theme="4"/>
      <name val="Calibri"/>
      <family val="2"/>
      <scheme val="minor"/>
    </font>
    <font>
      <b/>
      <sz val="14"/>
      <color theme="4"/>
      <name val="Calibri"/>
      <family val="2"/>
      <scheme val="minor"/>
    </font>
    <font>
      <b/>
      <sz val="43"/>
      <color theme="4"/>
      <name val="Calibri"/>
      <family val="2"/>
      <scheme val="minor"/>
    </font>
    <font>
      <b/>
      <sz val="9"/>
      <color indexed="8"/>
      <name val="Arial"/>
      <family val="2"/>
    </font>
    <font>
      <sz val="9"/>
      <color indexed="8"/>
      <name val="Arial"/>
      <family val="2"/>
    </font>
    <font>
      <b/>
      <sz val="9"/>
      <name val="Arial"/>
      <family val="2"/>
    </font>
    <font>
      <sz val="9"/>
      <name val="Arial"/>
      <family val="2"/>
    </font>
    <font>
      <b/>
      <sz val="14"/>
      <color rgb="FF333333"/>
      <name val="Helvetica Neue"/>
      <family val="2"/>
    </font>
    <font>
      <sz val="9"/>
      <color indexed="81"/>
      <name val="Tahoma"/>
      <family val="2"/>
    </font>
    <font>
      <b/>
      <sz val="9"/>
      <color indexed="81"/>
      <name val="Tahoma"/>
      <family val="2"/>
    </font>
    <font>
      <b/>
      <sz val="50"/>
      <color theme="1"/>
      <name val="Calibri"/>
      <family val="2"/>
      <scheme val="minor"/>
    </font>
    <font>
      <sz val="10"/>
      <color theme="1"/>
      <name val="Calibri"/>
      <family val="2"/>
      <scheme val="minor"/>
    </font>
    <font>
      <i/>
      <sz val="10"/>
      <color theme="1"/>
      <name val="Calibri"/>
      <family val="2"/>
      <scheme val="minor"/>
    </font>
    <font>
      <sz val="8"/>
      <color rgb="FF0070C0"/>
      <name val="Calibri"/>
      <family val="2"/>
      <scheme val="minor"/>
    </font>
    <font>
      <b/>
      <sz val="22"/>
      <color theme="1"/>
      <name val="Calibri"/>
      <family val="2"/>
      <scheme val="minor"/>
    </font>
    <font>
      <b/>
      <sz val="26"/>
      <color theme="4"/>
      <name val="Calibri"/>
      <family val="2"/>
      <scheme val="minor"/>
    </font>
    <font>
      <sz val="8"/>
      <color theme="1"/>
      <name val="Calibri"/>
      <family val="2"/>
      <scheme val="minor"/>
    </font>
    <font>
      <b/>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name val="Arial"/>
      <family val="2"/>
    </font>
    <font>
      <sz val="12"/>
      <color theme="1"/>
      <name val="Calibri"/>
      <family val="2"/>
      <scheme val="minor"/>
    </font>
    <font>
      <sz val="10"/>
      <color theme="0"/>
      <name val="Arial"/>
      <family val="2"/>
    </font>
    <font>
      <b/>
      <sz val="22"/>
      <color theme="4"/>
      <name val="Calibri"/>
      <family val="2"/>
      <scheme val="minor"/>
    </font>
    <font>
      <b/>
      <sz val="24"/>
      <color theme="4"/>
      <name val="Calibri"/>
      <family val="2"/>
      <scheme val="minor"/>
    </font>
    <font>
      <b/>
      <sz val="40"/>
      <color theme="4"/>
      <name val="Calibri"/>
      <family val="2"/>
      <scheme val="minor"/>
    </font>
    <font>
      <b/>
      <sz val="22"/>
      <color theme="0"/>
      <name val="Calibri"/>
      <family val="2"/>
      <scheme val="minor"/>
    </font>
    <font>
      <b/>
      <sz val="14"/>
      <color theme="0"/>
      <name val="Calibri"/>
      <family val="2"/>
      <scheme val="minor"/>
    </font>
    <font>
      <b/>
      <sz val="28"/>
      <color theme="4"/>
      <name val="Calibri"/>
      <family val="2"/>
      <scheme val="minor"/>
    </font>
    <font>
      <sz val="12"/>
      <color theme="1"/>
      <name val="Calibri"/>
      <family val="2"/>
      <scheme val="minor"/>
    </font>
    <font>
      <sz val="14"/>
      <color theme="0"/>
      <name val="Calibri"/>
      <family val="2"/>
      <scheme val="minor"/>
    </font>
    <font>
      <sz val="10"/>
      <color theme="0"/>
      <name val="Calibri"/>
      <family val="2"/>
      <scheme val="minor"/>
    </font>
    <font>
      <sz val="8"/>
      <color theme="0"/>
      <name val="Calibri"/>
      <family val="2"/>
      <scheme val="minor"/>
    </font>
    <font>
      <b/>
      <sz val="10"/>
      <name val="Arial"/>
      <family val="2"/>
    </font>
    <font>
      <sz val="10"/>
      <name val="Arial"/>
      <family val="2"/>
    </font>
    <font>
      <sz val="10"/>
      <color theme="1"/>
      <name val="Arial"/>
      <family val="2"/>
    </font>
    <font>
      <sz val="11"/>
      <color theme="1"/>
      <name val="Calibri"/>
      <family val="2"/>
    </font>
    <font>
      <b/>
      <sz val="12"/>
      <name val="Arial"/>
      <family val="2"/>
    </font>
    <font>
      <b/>
      <sz val="11"/>
      <name val="Arial"/>
      <family val="2"/>
    </font>
    <font>
      <sz val="12"/>
      <name val="Arial"/>
      <family val="2"/>
    </font>
    <font>
      <sz val="12"/>
      <name val="Calibri"/>
      <family val="2"/>
      <scheme val="minor"/>
    </font>
    <font>
      <b/>
      <sz val="12"/>
      <name val="Calibri"/>
      <family val="2"/>
      <scheme val="minor"/>
    </font>
    <font>
      <sz val="12"/>
      <color rgb="FF555555"/>
      <name val="Calibri"/>
      <family val="2"/>
      <scheme val="minor"/>
    </font>
    <font>
      <sz val="9"/>
      <color rgb="FF555555"/>
      <name val="Arial"/>
      <family val="2"/>
    </font>
    <font>
      <i/>
      <sz val="11"/>
      <color theme="1"/>
      <name val="Calibri"/>
      <family val="2"/>
      <scheme val="minor"/>
    </font>
    <font>
      <sz val="11"/>
      <color theme="0"/>
      <name val="Calibri"/>
      <family val="2"/>
      <scheme val="minor"/>
    </font>
    <font>
      <sz val="11"/>
      <color theme="1"/>
      <name val="Playbill"/>
      <family val="5"/>
    </font>
    <font>
      <i/>
      <sz val="9"/>
      <name val="Arial"/>
      <family val="2"/>
    </font>
    <font>
      <sz val="12"/>
      <color rgb="FF000000"/>
      <name val="Calibri"/>
      <family val="2"/>
    </font>
    <font>
      <sz val="12"/>
      <color theme="1"/>
      <name val="Calibri"/>
      <family val="2"/>
      <scheme val="minor"/>
    </font>
    <font>
      <sz val="10"/>
      <name val="Arial"/>
      <family val="2"/>
    </font>
    <font>
      <sz val="12"/>
      <color theme="1"/>
      <name val="Calibri"/>
      <family val="2"/>
      <scheme val="minor"/>
    </font>
    <font>
      <sz val="9"/>
      <color rgb="FFFFFFFF"/>
      <name val="Calibri"/>
      <family val="2"/>
      <scheme val="minor"/>
    </font>
    <font>
      <b/>
      <sz val="20"/>
      <color theme="1"/>
      <name val="Calibri"/>
      <family val="2"/>
      <scheme val="minor"/>
    </font>
    <font>
      <b/>
      <sz val="18"/>
      <color theme="1"/>
      <name val="Calibri"/>
      <family val="2"/>
      <scheme val="minor"/>
    </font>
    <font>
      <sz val="9"/>
      <color theme="1"/>
      <name val="Arial"/>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9"/>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theme="5" tint="-0.249977111117893"/>
        <bgColor indexed="64"/>
      </patternFill>
    </fill>
    <fill>
      <patternFill patternType="solid">
        <fgColor theme="5"/>
        <bgColor indexed="64"/>
      </patternFill>
    </fill>
    <fill>
      <patternFill patternType="solid">
        <fgColor theme="9" tint="-0.499984740745262"/>
        <bgColor indexed="64"/>
      </patternFill>
    </fill>
    <fill>
      <patternFill patternType="solid">
        <fgColor theme="4"/>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2F2F2"/>
        <bgColor indexed="64"/>
      </patternFill>
    </fill>
    <fill>
      <patternFill patternType="solid">
        <fgColor indexed="43"/>
        <bgColor indexed="64"/>
      </patternFill>
    </fill>
    <fill>
      <patternFill patternType="solid">
        <fgColor theme="7" tint="0.39997558519241921"/>
        <bgColor indexed="64"/>
      </patternFill>
    </fill>
    <fill>
      <patternFill patternType="solid">
        <fgColor indexed="42"/>
        <bgColor indexed="64"/>
      </patternFill>
    </fill>
    <fill>
      <patternFill patternType="solid">
        <fgColor theme="9" tint="0.79998168889431442"/>
        <bgColor indexed="64"/>
      </patternFill>
    </fill>
    <fill>
      <patternFill patternType="solid">
        <fgColor rgb="FF999999"/>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style="thin">
        <color rgb="FF979991"/>
      </left>
      <right/>
      <top style="thin">
        <color rgb="FF979991"/>
      </top>
      <bottom style="thin">
        <color rgb="FF979991"/>
      </bottom>
      <diagonal/>
    </border>
    <border>
      <left/>
      <right/>
      <top style="thin">
        <color theme="4"/>
      </top>
      <bottom/>
      <diagonal/>
    </border>
    <border>
      <left style="medium">
        <color auto="1"/>
      </left>
      <right style="thin">
        <color auto="1"/>
      </right>
      <top/>
      <bottom/>
      <diagonal/>
    </border>
    <border>
      <left style="thin">
        <color auto="1"/>
      </left>
      <right style="medium">
        <color auto="1"/>
      </right>
      <top/>
      <bottom/>
      <diagonal/>
    </border>
    <border>
      <left style="thin">
        <color indexed="64"/>
      </left>
      <right style="thin">
        <color indexed="64"/>
      </right>
      <top style="thin">
        <color indexed="64"/>
      </top>
      <bottom/>
      <diagonal/>
    </border>
    <border>
      <left/>
      <right/>
      <top/>
      <bottom style="thin">
        <color rgb="FF979991"/>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theme="4"/>
      </right>
      <top style="thin">
        <color theme="4"/>
      </top>
      <bottom/>
      <diagonal/>
    </border>
    <border>
      <left style="thin">
        <color theme="4"/>
      </left>
      <right/>
      <top style="thin">
        <color theme="4"/>
      </top>
      <bottom/>
      <diagonal/>
    </border>
    <border>
      <left style="medium">
        <color auto="1"/>
      </left>
      <right style="thin">
        <color auto="1"/>
      </right>
      <top style="thin">
        <color theme="4"/>
      </top>
      <bottom/>
      <diagonal/>
    </border>
    <border>
      <left style="thin">
        <color theme="4"/>
      </left>
      <right/>
      <top/>
      <bottom/>
      <diagonal/>
    </border>
    <border>
      <left style="thin">
        <color indexed="64"/>
      </left>
      <right/>
      <top style="thin">
        <color indexed="64"/>
      </top>
      <bottom style="thin">
        <color indexed="64"/>
      </bottom>
      <diagonal/>
    </border>
    <border>
      <left/>
      <right/>
      <top style="medium">
        <color indexed="64"/>
      </top>
      <bottom/>
      <diagonal/>
    </border>
    <border>
      <left style="thin">
        <color rgb="FF979991"/>
      </left>
      <right style="thin">
        <color rgb="FF979991"/>
      </right>
      <top/>
      <bottom/>
      <diagonal/>
    </border>
    <border>
      <left style="medium">
        <color auto="1"/>
      </left>
      <right/>
      <top/>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right/>
      <top style="thin">
        <color theme="4"/>
      </top>
      <bottom style="thin">
        <color theme="4"/>
      </bottom>
      <diagonal/>
    </border>
    <border>
      <left style="thin">
        <color indexed="64"/>
      </left>
      <right style="thin">
        <color indexed="64"/>
      </right>
      <top/>
      <bottom/>
      <diagonal/>
    </border>
    <border>
      <left/>
      <right/>
      <top style="thin">
        <color indexed="64"/>
      </top>
      <bottom style="double">
        <color indexed="64"/>
      </bottom>
      <diagonal/>
    </border>
    <border>
      <left/>
      <right/>
      <top/>
      <bottom style="thin">
        <color theme="4"/>
      </bottom>
      <diagonal/>
    </border>
    <border>
      <left style="thin">
        <color theme="4"/>
      </left>
      <right/>
      <top style="thin">
        <color theme="4"/>
      </top>
      <bottom style="mediumDashed">
        <color theme="4"/>
      </bottom>
      <diagonal/>
    </border>
    <border>
      <left/>
      <right/>
      <top/>
      <bottom style="mediumDashed">
        <color theme="4"/>
      </bottom>
      <diagonal/>
    </border>
    <border>
      <left style="thin">
        <color theme="4"/>
      </left>
      <right/>
      <top style="mediumDashed">
        <color theme="4"/>
      </top>
      <bottom style="mediumDashed">
        <color theme="4"/>
      </bottom>
      <diagonal/>
    </border>
    <border>
      <left/>
      <right/>
      <top style="mediumDashed">
        <color theme="4"/>
      </top>
      <bottom style="mediumDashed">
        <color theme="4"/>
      </bottom>
      <diagonal/>
    </border>
    <border>
      <left/>
      <right/>
      <top/>
      <bottom style="mediumDashed">
        <color rgb="FF4472C4"/>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medium">
        <color rgb="FFFFFFFF"/>
      </right>
      <top/>
      <bottom style="medium">
        <color rgb="FFFFFFFF"/>
      </bottom>
      <diagonal/>
    </border>
    <border>
      <left/>
      <right style="medium">
        <color rgb="FFFFFFFF"/>
      </right>
      <top/>
      <bottom/>
      <diagonal/>
    </border>
    <border>
      <left style="medium">
        <color auto="1"/>
      </left>
      <right/>
      <top style="thin">
        <color theme="4"/>
      </top>
      <bottom/>
      <diagonal/>
    </border>
    <border>
      <left style="thick">
        <color indexed="64"/>
      </left>
      <right/>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top style="thick">
        <color indexed="64"/>
      </top>
      <bottom/>
      <diagonal/>
    </border>
    <border>
      <left style="medium">
        <color indexed="64"/>
      </left>
      <right/>
      <top style="medium">
        <color indexed="64"/>
      </top>
      <bottom style="thin">
        <color indexed="64"/>
      </bottom>
      <diagonal/>
    </border>
    <border>
      <left style="medium">
        <color indexed="64"/>
      </left>
      <right/>
      <top/>
      <bottom style="thick">
        <color indexed="64"/>
      </bottom>
      <diagonal/>
    </border>
    <border>
      <left/>
      <right style="medium">
        <color indexed="64"/>
      </right>
      <top style="thick">
        <color indexed="64"/>
      </top>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thick">
        <color indexed="64"/>
      </bottom>
      <diagonal/>
    </border>
  </borders>
  <cellStyleXfs count="86">
    <xf numFmtId="0" fontId="0" fillId="0" borderId="0"/>
    <xf numFmtId="9" fontId="13" fillId="0" borderId="0" applyFont="0" applyFill="0" applyBorder="0" applyAlignment="0" applyProtection="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4" applyNumberFormat="0" applyAlignment="0" applyProtection="0"/>
    <xf numFmtId="0" fontId="22" fillId="6" borderId="5" applyNumberFormat="0" applyAlignment="0" applyProtection="0"/>
    <xf numFmtId="0" fontId="23" fillId="6" borderId="4" applyNumberFormat="0" applyAlignment="0" applyProtection="0"/>
    <xf numFmtId="0" fontId="24" fillId="0" borderId="6" applyNumberFormat="0" applyFill="0" applyAlignment="0" applyProtection="0"/>
    <xf numFmtId="0" fontId="25" fillId="7" borderId="7" applyNumberFormat="0" applyAlignment="0" applyProtection="0"/>
    <xf numFmtId="0" fontId="26" fillId="0" borderId="0" applyNumberFormat="0" applyFill="0" applyBorder="0" applyAlignment="0" applyProtection="0"/>
    <xf numFmtId="0" fontId="13" fillId="8" borderId="8" applyNumberFormat="0" applyFon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29"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29"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29"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29"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29"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41"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42" fillId="0" borderId="0" applyNumberFormat="0" applyFill="0" applyBorder="0" applyAlignment="0" applyProtection="0"/>
    <xf numFmtId="0" fontId="12" fillId="0" borderId="0"/>
    <xf numFmtId="181" fontId="11" fillId="0" borderId="0" applyFont="0" applyFill="0" applyBorder="0" applyAlignment="0" applyProtection="0"/>
    <xf numFmtId="0" fontId="10" fillId="0" borderId="0"/>
    <xf numFmtId="0" fontId="29" fillId="9" borderId="0" applyNumberFormat="0" applyBorder="0" applyAlignment="0" applyProtection="0"/>
    <xf numFmtId="0" fontId="29" fillId="13" borderId="0" applyNumberFormat="0" applyBorder="0" applyAlignment="0" applyProtection="0"/>
    <xf numFmtId="9" fontId="13" fillId="0" borderId="0" applyFont="0" applyFill="0" applyBorder="0" applyAlignment="0" applyProtection="0"/>
    <xf numFmtId="9" fontId="10" fillId="0" borderId="0" applyFont="0" applyFill="0" applyBorder="0" applyAlignment="0" applyProtection="0"/>
    <xf numFmtId="42" fontId="10" fillId="0" borderId="0" applyFont="0" applyFill="0" applyBorder="0" applyAlignment="0" applyProtection="0"/>
    <xf numFmtId="0" fontId="82" fillId="0" borderId="0" applyNumberFormat="0" applyFont="0" applyFill="0" applyBorder="0" applyAlignment="0" applyProtection="0"/>
    <xf numFmtId="0" fontId="84" fillId="0" borderId="0"/>
    <xf numFmtId="41" fontId="13" fillId="0" borderId="0" applyFont="0" applyFill="0" applyBorder="0" applyAlignment="0" applyProtection="0"/>
    <xf numFmtId="0" fontId="35" fillId="0" borderId="0"/>
    <xf numFmtId="0" fontId="9" fillId="0" borderId="0"/>
    <xf numFmtId="0" fontId="35" fillId="0" borderId="0"/>
    <xf numFmtId="0" fontId="8" fillId="0" borderId="0"/>
    <xf numFmtId="0" fontId="7" fillId="0" borderId="0"/>
    <xf numFmtId="44"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2" fontId="6" fillId="0" borderId="0" applyFont="0" applyFill="0" applyBorder="0" applyAlignment="0" applyProtection="0"/>
    <xf numFmtId="0" fontId="35" fillId="0" borderId="0" applyNumberFormat="0" applyFont="0" applyFill="0" applyBorder="0" applyAlignment="0" applyProtection="0"/>
    <xf numFmtId="41" fontId="13" fillId="0" borderId="0" applyFont="0" applyFill="0" applyBorder="0" applyAlignment="0" applyProtection="0"/>
    <xf numFmtId="0" fontId="6" fillId="0" borderId="0"/>
    <xf numFmtId="0" fontId="6" fillId="0" borderId="0"/>
    <xf numFmtId="0" fontId="6" fillId="0" borderId="0"/>
    <xf numFmtId="0" fontId="5" fillId="0" borderId="0"/>
    <xf numFmtId="0" fontId="4" fillId="0" borderId="0"/>
    <xf numFmtId="0" fontId="2" fillId="0" borderId="0"/>
    <xf numFmtId="41" fontId="2" fillId="0" borderId="0" applyFont="0" applyFill="0" applyBorder="0" applyAlignment="0" applyProtection="0"/>
    <xf numFmtId="42" fontId="2" fillId="0" borderId="0" applyFont="0" applyFill="0" applyBorder="0" applyAlignment="0" applyProtection="0"/>
    <xf numFmtId="9" fontId="2" fillId="0" borderId="0" applyFont="0" applyFill="0" applyBorder="0" applyAlignment="0" applyProtection="0"/>
    <xf numFmtId="0" fontId="1" fillId="0" borderId="0"/>
  </cellStyleXfs>
  <cellXfs count="687">
    <xf numFmtId="0" fontId="0" fillId="0" borderId="0" xfId="0"/>
    <xf numFmtId="3" fontId="0" fillId="0" borderId="0" xfId="0" applyNumberFormat="1"/>
    <xf numFmtId="0" fontId="30" fillId="0" borderId="0" xfId="0" applyFont="1"/>
    <xf numFmtId="10" fontId="0" fillId="0" borderId="0" xfId="0" applyNumberFormat="1"/>
    <xf numFmtId="41" fontId="0" fillId="0" borderId="0" xfId="43" applyFont="1"/>
    <xf numFmtId="10" fontId="30" fillId="0" borderId="0" xfId="0" applyNumberFormat="1" applyFont="1"/>
    <xf numFmtId="41" fontId="30" fillId="0" borderId="0" xfId="43" applyFont="1"/>
    <xf numFmtId="9" fontId="0" fillId="0" borderId="0" xfId="1" applyFont="1"/>
    <xf numFmtId="9" fontId="30" fillId="0" borderId="0" xfId="1" applyFont="1"/>
    <xf numFmtId="0" fontId="29" fillId="9" borderId="0" xfId="19"/>
    <xf numFmtId="0" fontId="29" fillId="13" borderId="0" xfId="23"/>
    <xf numFmtId="164" fontId="0" fillId="0" borderId="10" xfId="44" applyFont="1" applyBorder="1"/>
    <xf numFmtId="166" fontId="23" fillId="0" borderId="10" xfId="12" applyNumberFormat="1" applyFill="1" applyBorder="1"/>
    <xf numFmtId="3" fontId="23" fillId="0" borderId="10" xfId="12" applyNumberFormat="1" applyFill="1" applyBorder="1"/>
    <xf numFmtId="164" fontId="23" fillId="0" borderId="10" xfId="44" applyFont="1" applyBorder="1"/>
    <xf numFmtId="164" fontId="23" fillId="6" borderId="10" xfId="44" applyFont="1" applyFill="1" applyBorder="1"/>
    <xf numFmtId="3" fontId="23" fillId="6" borderId="10" xfId="12" applyNumberFormat="1" applyBorder="1"/>
    <xf numFmtId="0" fontId="0" fillId="33" borderId="0" xfId="0" applyFill="1"/>
    <xf numFmtId="164" fontId="13" fillId="0" borderId="10" xfId="44" applyBorder="1"/>
    <xf numFmtId="3" fontId="28" fillId="6" borderId="11" xfId="18" applyNumberFormat="1" applyFill="1" applyBorder="1"/>
    <xf numFmtId="0" fontId="29" fillId="13" borderId="0" xfId="23" applyAlignment="1">
      <alignment horizontal="left" indent="1"/>
    </xf>
    <xf numFmtId="0" fontId="29" fillId="13" borderId="0" xfId="23" applyAlignment="1">
      <alignment horizontal="left" indent="2"/>
    </xf>
    <xf numFmtId="0" fontId="0" fillId="0" borderId="10" xfId="0" applyBorder="1"/>
    <xf numFmtId="3" fontId="0" fillId="0" borderId="10" xfId="0" applyNumberFormat="1" applyBorder="1"/>
    <xf numFmtId="9" fontId="0" fillId="0" borderId="10" xfId="1" applyFont="1" applyBorder="1"/>
    <xf numFmtId="0" fontId="34" fillId="9" borderId="0" xfId="19" applyFont="1"/>
    <xf numFmtId="164" fontId="0" fillId="0" borderId="12" xfId="44" applyFont="1" applyBorder="1"/>
    <xf numFmtId="164" fontId="0" fillId="0" borderId="13" xfId="44" applyFont="1" applyBorder="1"/>
    <xf numFmtId="164" fontId="0" fillId="0" borderId="14" xfId="44" applyFont="1" applyBorder="1"/>
    <xf numFmtId="164" fontId="0" fillId="0" borderId="15" xfId="44" applyFont="1" applyBorder="1"/>
    <xf numFmtId="164" fontId="0" fillId="0" borderId="16" xfId="44" applyFont="1" applyBorder="1"/>
    <xf numFmtId="164" fontId="0" fillId="0" borderId="17" xfId="44" applyFont="1" applyBorder="1"/>
    <xf numFmtId="168" fontId="0" fillId="35" borderId="19" xfId="0" applyNumberFormat="1" applyFill="1" applyBorder="1" applyAlignment="1">
      <alignment horizontal="right" vertical="center" wrapText="1"/>
    </xf>
    <xf numFmtId="168" fontId="0" fillId="37" borderId="19" xfId="0" applyNumberFormat="1" applyFill="1" applyBorder="1" applyAlignment="1">
      <alignment horizontal="right" vertical="center" wrapText="1"/>
    </xf>
    <xf numFmtId="14" fontId="41" fillId="0" borderId="21" xfId="0" applyNumberFormat="1" applyFont="1" applyBorder="1"/>
    <xf numFmtId="167" fontId="41" fillId="0" borderId="21" xfId="0" applyNumberFormat="1" applyFont="1" applyBorder="1"/>
    <xf numFmtId="0" fontId="29" fillId="9" borderId="18" xfId="19" applyBorder="1" applyAlignment="1">
      <alignment horizontal="center" vertical="center" wrapText="1"/>
    </xf>
    <xf numFmtId="0" fontId="29" fillId="9" borderId="19" xfId="19" applyBorder="1" applyAlignment="1">
      <alignment horizontal="center" vertical="center" wrapText="1"/>
    </xf>
    <xf numFmtId="0" fontId="41" fillId="0" borderId="21" xfId="0" applyFont="1" applyBorder="1"/>
    <xf numFmtId="0" fontId="40" fillId="38" borderId="0" xfId="0" applyFont="1" applyFill="1"/>
    <xf numFmtId="14" fontId="40" fillId="38" borderId="0" xfId="0" applyNumberFormat="1" applyFont="1" applyFill="1"/>
    <xf numFmtId="164" fontId="0" fillId="0" borderId="0" xfId="44" applyFont="1"/>
    <xf numFmtId="164" fontId="30" fillId="0" borderId="0" xfId="44" applyFont="1"/>
    <xf numFmtId="169" fontId="0" fillId="0" borderId="0" xfId="44" applyNumberFormat="1" applyFont="1"/>
    <xf numFmtId="0" fontId="29" fillId="9" borderId="0" xfId="19" applyAlignment="1">
      <alignment horizontal="center" wrapText="1"/>
    </xf>
    <xf numFmtId="0" fontId="0" fillId="0" borderId="0" xfId="0" applyAlignment="1">
      <alignment horizontal="left"/>
    </xf>
    <xf numFmtId="0" fontId="29" fillId="9" borderId="22" xfId="19" applyBorder="1" applyAlignment="1">
      <alignment horizontal="center"/>
    </xf>
    <xf numFmtId="1" fontId="29" fillId="9" borderId="23" xfId="19" applyNumberFormat="1" applyBorder="1" applyAlignment="1">
      <alignment horizontal="center"/>
    </xf>
    <xf numFmtId="10" fontId="0" fillId="0" borderId="10" xfId="1" applyNumberFormat="1" applyFont="1" applyBorder="1"/>
    <xf numFmtId="164" fontId="0" fillId="0" borderId="0" xfId="0" applyNumberFormat="1"/>
    <xf numFmtId="41" fontId="0" fillId="0" borderId="0" xfId="0" applyNumberFormat="1"/>
    <xf numFmtId="166" fontId="13" fillId="0" borderId="10" xfId="1" applyNumberFormat="1" applyBorder="1"/>
    <xf numFmtId="166" fontId="0" fillId="0" borderId="10" xfId="1" applyNumberFormat="1" applyFont="1" applyBorder="1"/>
    <xf numFmtId="0" fontId="42" fillId="0" borderId="0" xfId="47" quotePrefix="1"/>
    <xf numFmtId="0" fontId="0" fillId="0" borderId="16" xfId="0" applyBorder="1"/>
    <xf numFmtId="1" fontId="29" fillId="9" borderId="0" xfId="19" applyNumberFormat="1" applyAlignment="1">
      <alignment horizontal="center"/>
    </xf>
    <xf numFmtId="0" fontId="29" fillId="9" borderId="0" xfId="0" applyFont="1" applyFill="1"/>
    <xf numFmtId="0" fontId="29" fillId="9" borderId="22" xfId="0" applyFont="1" applyFill="1" applyBorder="1" applyAlignment="1">
      <alignment horizontal="center"/>
    </xf>
    <xf numFmtId="1" fontId="29" fillId="9" borderId="23" xfId="0" applyNumberFormat="1" applyFont="1" applyFill="1" applyBorder="1" applyAlignment="1">
      <alignment horizontal="center"/>
    </xf>
    <xf numFmtId="1" fontId="29" fillId="9" borderId="0" xfId="0" applyNumberFormat="1" applyFont="1" applyFill="1" applyAlignment="1">
      <alignment horizontal="center"/>
    </xf>
    <xf numFmtId="43" fontId="23" fillId="0" borderId="10" xfId="45" applyFont="1" applyBorder="1"/>
    <xf numFmtId="1" fontId="29" fillId="9" borderId="23" xfId="19" applyNumberFormat="1" applyBorder="1" applyAlignment="1">
      <alignment horizontal="center" wrapText="1"/>
    </xf>
    <xf numFmtId="170" fontId="23" fillId="0" borderId="10" xfId="45" applyNumberFormat="1" applyFont="1" applyBorder="1"/>
    <xf numFmtId="0" fontId="34" fillId="9" borderId="0" xfId="19" applyFont="1" applyAlignment="1">
      <alignment horizontal="center" wrapText="1"/>
    </xf>
    <xf numFmtId="10" fontId="0" fillId="0" borderId="24" xfId="1" applyNumberFormat="1" applyFont="1" applyBorder="1"/>
    <xf numFmtId="165" fontId="35" fillId="0" borderId="10" xfId="46" applyFont="1" applyBorder="1"/>
    <xf numFmtId="165" fontId="0" fillId="0" borderId="10" xfId="46" applyFont="1" applyBorder="1"/>
    <xf numFmtId="10" fontId="0" fillId="0" borderId="26" xfId="1" applyNumberFormat="1" applyFont="1" applyBorder="1"/>
    <xf numFmtId="14" fontId="0" fillId="36" borderId="20" xfId="0" applyNumberFormat="1" applyFill="1" applyBorder="1" applyAlignment="1">
      <alignment horizontal="right" vertical="center" wrapText="1"/>
    </xf>
    <xf numFmtId="171" fontId="0" fillId="36" borderId="20" xfId="0" applyNumberFormat="1" applyFill="1" applyBorder="1" applyAlignment="1">
      <alignment horizontal="right" vertical="center" wrapText="1"/>
    </xf>
    <xf numFmtId="43" fontId="0" fillId="0" borderId="0" xfId="45" applyFont="1"/>
    <xf numFmtId="170" fontId="41" fillId="0" borderId="0" xfId="45" applyNumberFormat="1" applyFont="1"/>
    <xf numFmtId="165" fontId="0" fillId="0" borderId="0" xfId="46" applyFont="1"/>
    <xf numFmtId="0" fontId="47" fillId="0" borderId="0" xfId="0" applyFont="1" applyAlignment="1">
      <alignment vertical="center"/>
    </xf>
    <xf numFmtId="165" fontId="0" fillId="0" borderId="0" xfId="46" applyFont="1" applyAlignment="1">
      <alignment vertical="center"/>
    </xf>
    <xf numFmtId="0" fontId="29" fillId="9" borderId="0" xfId="19" applyAlignment="1">
      <alignment horizontal="right"/>
    </xf>
    <xf numFmtId="10" fontId="0" fillId="0" borderId="0" xfId="1" applyNumberFormat="1" applyFont="1"/>
    <xf numFmtId="37" fontId="0" fillId="0" borderId="0" xfId="0" applyNumberFormat="1"/>
    <xf numFmtId="14" fontId="41" fillId="0" borderId="0" xfId="0" applyNumberFormat="1" applyFont="1"/>
    <xf numFmtId="167" fontId="41" fillId="0" borderId="0" xfId="0" applyNumberFormat="1" applyFont="1"/>
    <xf numFmtId="0" fontId="0" fillId="0" borderId="27" xfId="0" applyBorder="1"/>
    <xf numFmtId="0" fontId="31" fillId="0" borderId="28" xfId="0" applyFont="1" applyBorder="1" applyAlignment="1">
      <alignment horizontal="center"/>
    </xf>
    <xf numFmtId="0" fontId="31" fillId="0" borderId="28" xfId="0" applyFont="1" applyBorder="1" applyAlignment="1">
      <alignment horizontal="centerContinuous"/>
    </xf>
    <xf numFmtId="10" fontId="0" fillId="0" borderId="27" xfId="0" applyNumberFormat="1" applyBorder="1"/>
    <xf numFmtId="0" fontId="0" fillId="0" borderId="0" xfId="0" pivotButton="1"/>
    <xf numFmtId="14" fontId="0" fillId="0" borderId="0" xfId="0" applyNumberFormat="1" applyAlignment="1">
      <alignment horizontal="left"/>
    </xf>
    <xf numFmtId="171" fontId="0" fillId="0" borderId="0" xfId="0" applyNumberFormat="1" applyAlignment="1">
      <alignment horizontal="left"/>
    </xf>
    <xf numFmtId="0" fontId="50" fillId="40" borderId="13" xfId="0" applyFont="1" applyFill="1" applyBorder="1" applyAlignment="1">
      <alignment horizontal="center" vertical="center"/>
    </xf>
    <xf numFmtId="0" fontId="51" fillId="40" borderId="13" xfId="0" applyFont="1" applyFill="1" applyBorder="1" applyAlignment="1">
      <alignment horizontal="center" vertical="center"/>
    </xf>
    <xf numFmtId="0" fontId="50" fillId="40" borderId="13" xfId="0" applyFont="1" applyFill="1" applyBorder="1" applyAlignment="1">
      <alignment horizontal="center" vertical="center" wrapText="1"/>
    </xf>
    <xf numFmtId="0" fontId="50" fillId="40" borderId="16" xfId="0" applyFont="1" applyFill="1" applyBorder="1" applyAlignment="1">
      <alignment horizontal="center" vertical="center"/>
    </xf>
    <xf numFmtId="0" fontId="50" fillId="40" borderId="29" xfId="0" applyFont="1" applyFill="1" applyBorder="1" applyAlignment="1">
      <alignment horizontal="center" vertical="center"/>
    </xf>
    <xf numFmtId="0" fontId="52" fillId="40" borderId="29" xfId="0" applyFont="1" applyFill="1" applyBorder="1" applyAlignment="1">
      <alignment horizontal="center" vertical="center" wrapText="1"/>
    </xf>
    <xf numFmtId="0" fontId="52" fillId="40" borderId="16" xfId="0" applyFont="1" applyFill="1" applyBorder="1" applyAlignment="1">
      <alignment horizontal="center" vertical="center" wrapText="1"/>
    </xf>
    <xf numFmtId="0" fontId="52" fillId="40" borderId="30" xfId="0" applyFont="1" applyFill="1" applyBorder="1" applyAlignment="1">
      <alignment horizontal="center" vertical="center" wrapText="1"/>
    </xf>
    <xf numFmtId="0" fontId="50" fillId="39" borderId="13" xfId="0" applyFont="1" applyFill="1" applyBorder="1"/>
    <xf numFmtId="0" fontId="51" fillId="41" borderId="13" xfId="0" applyFont="1" applyFill="1" applyBorder="1" applyAlignment="1">
      <alignment horizontal="left"/>
    </xf>
    <xf numFmtId="3" fontId="51" fillId="41" borderId="13" xfId="0" applyNumberFormat="1" applyFont="1" applyFill="1" applyBorder="1" applyAlignment="1">
      <alignment horizontal="center" vertical="center"/>
    </xf>
    <xf numFmtId="3" fontId="53" fillId="41" borderId="13" xfId="0" applyNumberFormat="1" applyFont="1" applyFill="1" applyBorder="1" applyAlignment="1">
      <alignment horizontal="center" vertical="center"/>
    </xf>
    <xf numFmtId="172" fontId="51" fillId="41" borderId="13" xfId="0" applyNumberFormat="1" applyFont="1" applyFill="1" applyBorder="1" applyAlignment="1">
      <alignment horizontal="center" vertical="center"/>
    </xf>
    <xf numFmtId="172" fontId="51" fillId="41" borderId="14" xfId="0" applyNumberFormat="1" applyFont="1" applyFill="1" applyBorder="1" applyAlignment="1">
      <alignment horizontal="center" vertical="center"/>
    </xf>
    <xf numFmtId="0" fontId="50" fillId="39" borderId="0" xfId="0" applyFont="1" applyFill="1"/>
    <xf numFmtId="0" fontId="51" fillId="42" borderId="0" xfId="0" applyFont="1" applyFill="1" applyAlignment="1">
      <alignment horizontal="left"/>
    </xf>
    <xf numFmtId="3" fontId="51" fillId="42" borderId="0" xfId="0" applyNumberFormat="1" applyFont="1" applyFill="1" applyAlignment="1">
      <alignment horizontal="center" vertical="center"/>
    </xf>
    <xf numFmtId="3" fontId="53" fillId="42" borderId="0" xfId="0" applyNumberFormat="1" applyFont="1" applyFill="1" applyAlignment="1">
      <alignment horizontal="center" vertical="center"/>
    </xf>
    <xf numFmtId="172" fontId="51" fillId="42" borderId="0" xfId="0" applyNumberFormat="1" applyFont="1" applyFill="1" applyAlignment="1">
      <alignment horizontal="center" vertical="center"/>
    </xf>
    <xf numFmtId="172" fontId="51" fillId="42" borderId="32" xfId="0" applyNumberFormat="1" applyFont="1" applyFill="1" applyBorder="1" applyAlignment="1">
      <alignment horizontal="center" vertical="center"/>
    </xf>
    <xf numFmtId="0" fontId="51" fillId="41" borderId="0" xfId="0" applyFont="1" applyFill="1" applyAlignment="1">
      <alignment horizontal="left"/>
    </xf>
    <xf numFmtId="3" fontId="51" fillId="41" borderId="0" xfId="0" applyNumberFormat="1" applyFont="1" applyFill="1" applyAlignment="1">
      <alignment horizontal="center" vertical="center"/>
    </xf>
    <xf numFmtId="3" fontId="53" fillId="41" borderId="0" xfId="0" applyNumberFormat="1" applyFont="1" applyFill="1" applyAlignment="1">
      <alignment horizontal="center" vertical="center"/>
    </xf>
    <xf numFmtId="172" fontId="51" fillId="41" borderId="0" xfId="0" applyNumberFormat="1" applyFont="1" applyFill="1" applyAlignment="1">
      <alignment horizontal="center" vertical="center"/>
    </xf>
    <xf numFmtId="172" fontId="51" fillId="41" borderId="32" xfId="0" applyNumberFormat="1" applyFont="1" applyFill="1" applyBorder="1" applyAlignment="1">
      <alignment horizontal="center" vertical="center"/>
    </xf>
    <xf numFmtId="0" fontId="52" fillId="39" borderId="31" xfId="0" applyFont="1" applyFill="1" applyBorder="1" applyAlignment="1">
      <alignment horizontal="center"/>
    </xf>
    <xf numFmtId="0" fontId="52" fillId="39" borderId="0" xfId="0" applyFont="1" applyFill="1"/>
    <xf numFmtId="0" fontId="53" fillId="42" borderId="0" xfId="0" applyFont="1" applyFill="1" applyAlignment="1">
      <alignment horizontal="left"/>
    </xf>
    <xf numFmtId="172" fontId="53" fillId="42" borderId="0" xfId="0" applyNumberFormat="1" applyFont="1" applyFill="1" applyAlignment="1">
      <alignment horizontal="center" vertical="center"/>
    </xf>
    <xf numFmtId="0" fontId="53" fillId="39" borderId="0" xfId="0" applyFont="1" applyFill="1" applyAlignment="1">
      <alignment horizontal="left"/>
    </xf>
    <xf numFmtId="172" fontId="53" fillId="41" borderId="0" xfId="0" applyNumberFormat="1" applyFont="1" applyFill="1" applyAlignment="1">
      <alignment horizontal="center" vertical="center"/>
    </xf>
    <xf numFmtId="0" fontId="53" fillId="39" borderId="0" xfId="0" applyFont="1" applyFill="1"/>
    <xf numFmtId="0" fontId="53" fillId="42" borderId="0" xfId="0" applyFont="1" applyFill="1"/>
    <xf numFmtId="173" fontId="51" fillId="42" borderId="32" xfId="0" applyNumberFormat="1" applyFont="1" applyFill="1" applyBorder="1" applyAlignment="1">
      <alignment horizontal="center" vertical="center"/>
    </xf>
    <xf numFmtId="1" fontId="53" fillId="41" borderId="0" xfId="0" applyNumberFormat="1" applyFont="1" applyFill="1" applyAlignment="1">
      <alignment horizontal="center" vertical="center"/>
    </xf>
    <xf numFmtId="173" fontId="51" fillId="41" borderId="32" xfId="0" applyNumberFormat="1" applyFont="1" applyFill="1" applyBorder="1" applyAlignment="1">
      <alignment horizontal="center" vertical="center"/>
    </xf>
    <xf numFmtId="1" fontId="53" fillId="42" borderId="0" xfId="0" applyNumberFormat="1" applyFont="1" applyFill="1" applyAlignment="1">
      <alignment horizontal="center" vertical="center"/>
    </xf>
    <xf numFmtId="0" fontId="53" fillId="39" borderId="0" xfId="0" applyFont="1" applyFill="1" applyAlignment="1">
      <alignment horizontal="center" vertical="center"/>
    </xf>
    <xf numFmtId="0" fontId="53" fillId="42" borderId="0" xfId="0" applyFont="1" applyFill="1" applyAlignment="1">
      <alignment horizontal="center" vertical="center"/>
    </xf>
    <xf numFmtId="172" fontId="53" fillId="41" borderId="32" xfId="0" applyNumberFormat="1" applyFont="1" applyFill="1" applyBorder="1" applyAlignment="1">
      <alignment horizontal="center" vertical="center"/>
    </xf>
    <xf numFmtId="172" fontId="53" fillId="42" borderId="32" xfId="0" applyNumberFormat="1" applyFont="1" applyFill="1" applyBorder="1" applyAlignment="1">
      <alignment horizontal="center" vertical="center"/>
    </xf>
    <xf numFmtId="0" fontId="53" fillId="41" borderId="0" xfId="0" applyFont="1" applyFill="1"/>
    <xf numFmtId="0" fontId="51" fillId="39" borderId="0" xfId="0" applyFont="1" applyFill="1" applyAlignment="1">
      <alignment horizontal="left"/>
    </xf>
    <xf numFmtId="3" fontId="53" fillId="39" borderId="0" xfId="0" applyNumberFormat="1" applyFont="1" applyFill="1" applyAlignment="1">
      <alignment horizontal="center" vertical="center"/>
    </xf>
    <xf numFmtId="172" fontId="53" fillId="39" borderId="0" xfId="0" applyNumberFormat="1" applyFont="1" applyFill="1" applyAlignment="1">
      <alignment horizontal="center" vertical="center"/>
    </xf>
    <xf numFmtId="172" fontId="51" fillId="39" borderId="0" xfId="0" applyNumberFormat="1" applyFont="1" applyFill="1" applyAlignment="1">
      <alignment horizontal="center" vertical="center"/>
    </xf>
    <xf numFmtId="172" fontId="53" fillId="39" borderId="32" xfId="0" applyNumberFormat="1" applyFont="1" applyFill="1" applyBorder="1" applyAlignment="1">
      <alignment horizontal="center" vertical="center"/>
    </xf>
    <xf numFmtId="0" fontId="53" fillId="39" borderId="16" xfId="0" applyFont="1" applyFill="1" applyBorder="1"/>
    <xf numFmtId="0" fontId="51" fillId="39" borderId="16" xfId="0" applyFont="1" applyFill="1" applyBorder="1" applyAlignment="1">
      <alignment horizontal="left"/>
    </xf>
    <xf numFmtId="3" fontId="53" fillId="39" borderId="16" xfId="0" applyNumberFormat="1" applyFont="1" applyFill="1" applyBorder="1" applyAlignment="1">
      <alignment horizontal="center" vertical="center"/>
    </xf>
    <xf numFmtId="0" fontId="53" fillId="39" borderId="16" xfId="0" applyFont="1" applyFill="1" applyBorder="1" applyAlignment="1">
      <alignment horizontal="center" vertical="center"/>
    </xf>
    <xf numFmtId="172" fontId="53" fillId="39" borderId="16" xfId="0" applyNumberFormat="1" applyFont="1" applyFill="1" applyBorder="1" applyAlignment="1">
      <alignment horizontal="center" vertical="center"/>
    </xf>
    <xf numFmtId="172" fontId="51" fillId="39" borderId="16" xfId="0" applyNumberFormat="1" applyFont="1" applyFill="1" applyBorder="1" applyAlignment="1">
      <alignment horizontal="center" vertical="center"/>
    </xf>
    <xf numFmtId="172" fontId="53" fillId="39" borderId="17" xfId="0" applyNumberFormat="1" applyFont="1" applyFill="1" applyBorder="1" applyAlignment="1">
      <alignment horizontal="center" vertical="center"/>
    </xf>
    <xf numFmtId="166" fontId="0" fillId="0" borderId="0" xfId="1" applyNumberFormat="1" applyFont="1"/>
    <xf numFmtId="1" fontId="29" fillId="34" borderId="23" xfId="19" applyNumberFormat="1" applyFill="1" applyBorder="1" applyAlignment="1">
      <alignment horizontal="center" wrapText="1"/>
    </xf>
    <xf numFmtId="166" fontId="0" fillId="0" borderId="26" xfId="1" applyNumberFormat="1" applyFont="1" applyBorder="1"/>
    <xf numFmtId="166" fontId="0" fillId="0" borderId="24" xfId="1" applyNumberFormat="1" applyFont="1" applyBorder="1"/>
    <xf numFmtId="1" fontId="29" fillId="9" borderId="23" xfId="0" applyNumberFormat="1" applyFont="1" applyFill="1" applyBorder="1" applyAlignment="1">
      <alignment horizontal="center" wrapText="1"/>
    </xf>
    <xf numFmtId="10" fontId="0" fillId="0" borderId="10" xfId="1" applyNumberFormat="1" applyFont="1" applyBorder="1" applyAlignment="1">
      <alignment wrapText="1"/>
    </xf>
    <xf numFmtId="10" fontId="0" fillId="0" borderId="24" xfId="1" applyNumberFormat="1" applyFont="1" applyBorder="1" applyAlignment="1">
      <alignment wrapText="1"/>
    </xf>
    <xf numFmtId="17" fontId="0" fillId="0" borderId="0" xfId="0" applyNumberFormat="1"/>
    <xf numFmtId="0" fontId="28" fillId="0" borderId="0" xfId="0" applyFont="1" applyAlignment="1">
      <alignment horizontal="center"/>
    </xf>
    <xf numFmtId="0" fontId="28" fillId="0" borderId="0" xfId="0" applyFont="1"/>
    <xf numFmtId="0" fontId="28" fillId="0" borderId="0" xfId="0" applyFont="1" applyAlignment="1">
      <alignment horizontal="center" vertical="top" wrapText="1"/>
    </xf>
    <xf numFmtId="0" fontId="25" fillId="38" borderId="34" xfId="0" applyFont="1" applyFill="1" applyBorder="1"/>
    <xf numFmtId="0" fontId="0" fillId="0" borderId="34" xfId="0" applyBorder="1"/>
    <xf numFmtId="0" fontId="54" fillId="38" borderId="21" xfId="0" applyFont="1" applyFill="1" applyBorder="1"/>
    <xf numFmtId="0" fontId="54" fillId="38" borderId="33" xfId="0" applyFont="1" applyFill="1" applyBorder="1"/>
    <xf numFmtId="0" fontId="30" fillId="0" borderId="21" xfId="0" applyFont="1" applyBorder="1"/>
    <xf numFmtId="0" fontId="30" fillId="0" borderId="33" xfId="0" applyFont="1" applyBorder="1"/>
    <xf numFmtId="9" fontId="0" fillId="0" borderId="0" xfId="0" applyNumberFormat="1"/>
    <xf numFmtId="0" fontId="54" fillId="38" borderId="0" xfId="0" applyFont="1" applyFill="1"/>
    <xf numFmtId="9" fontId="0" fillId="0" borderId="0" xfId="43" applyNumberFormat="1" applyFont="1"/>
    <xf numFmtId="10" fontId="0" fillId="0" borderId="10" xfId="0" applyNumberFormat="1" applyBorder="1"/>
    <xf numFmtId="175" fontId="0" fillId="0" borderId="0" xfId="43" applyNumberFormat="1" applyFont="1"/>
    <xf numFmtId="0" fontId="42" fillId="0" borderId="0" xfId="47"/>
    <xf numFmtId="9" fontId="0" fillId="34" borderId="0" xfId="1" applyFont="1" applyFill="1"/>
    <xf numFmtId="9" fontId="0" fillId="34" borderId="0" xfId="0" applyNumberFormat="1" applyFill="1"/>
    <xf numFmtId="10" fontId="0" fillId="43" borderId="0" xfId="0" applyNumberFormat="1" applyFill="1"/>
    <xf numFmtId="174" fontId="0" fillId="43" borderId="0" xfId="0" applyNumberFormat="1" applyFill="1"/>
    <xf numFmtId="10" fontId="42" fillId="0" borderId="0" xfId="47" applyNumberFormat="1"/>
    <xf numFmtId="10" fontId="0" fillId="34" borderId="0" xfId="0" applyNumberFormat="1" applyFill="1"/>
    <xf numFmtId="10" fontId="0" fillId="34" borderId="0" xfId="1" applyNumberFormat="1" applyFont="1" applyFill="1"/>
    <xf numFmtId="0" fontId="25" fillId="9" borderId="35" xfId="0" applyFont="1" applyFill="1" applyBorder="1" applyAlignment="1">
      <alignment horizontal="center"/>
    </xf>
    <xf numFmtId="0" fontId="29" fillId="13" borderId="36" xfId="23" applyBorder="1"/>
    <xf numFmtId="0" fontId="29" fillId="13" borderId="36" xfId="23" applyBorder="1" applyAlignment="1">
      <alignment horizontal="left" indent="2"/>
    </xf>
    <xf numFmtId="0" fontId="42" fillId="0" borderId="0" xfId="47" applyAlignment="1">
      <alignment wrapText="1"/>
    </xf>
    <xf numFmtId="0" fontId="29" fillId="13" borderId="36" xfId="23" applyBorder="1" applyAlignment="1">
      <alignment horizontal="left" vertical="center"/>
    </xf>
    <xf numFmtId="0" fontId="29" fillId="13" borderId="36" xfId="23" applyBorder="1" applyAlignment="1">
      <alignment horizontal="left" vertical="center" indent="2"/>
    </xf>
    <xf numFmtId="0" fontId="25" fillId="9" borderId="0" xfId="0" applyFont="1" applyFill="1" applyAlignment="1">
      <alignment horizontal="center"/>
    </xf>
    <xf numFmtId="0" fontId="25" fillId="13" borderId="36" xfId="23" applyFont="1" applyBorder="1"/>
    <xf numFmtId="0" fontId="0" fillId="43" borderId="0" xfId="0" applyFill="1"/>
    <xf numFmtId="0" fontId="58" fillId="0" borderId="10" xfId="0" applyFont="1" applyBorder="1"/>
    <xf numFmtId="174" fontId="0" fillId="0" borderId="0" xfId="1" applyNumberFormat="1" applyFont="1"/>
    <xf numFmtId="0" fontId="25" fillId="45" borderId="36" xfId="23" applyFont="1" applyFill="1" applyBorder="1"/>
    <xf numFmtId="0" fontId="25" fillId="46" borderId="36" xfId="23" applyFont="1" applyFill="1" applyBorder="1"/>
    <xf numFmtId="0" fontId="25" fillId="45" borderId="0" xfId="23" applyFont="1" applyFill="1"/>
    <xf numFmtId="0" fontId="0" fillId="0" borderId="10" xfId="0" applyBorder="1" applyAlignment="1">
      <alignment wrapText="1"/>
    </xf>
    <xf numFmtId="9" fontId="35" fillId="0" borderId="10" xfId="1" applyFont="1" applyBorder="1" applyAlignment="1">
      <alignment horizontal="right"/>
    </xf>
    <xf numFmtId="9" fontId="0" fillId="0" borderId="10" xfId="0" applyNumberFormat="1" applyBorder="1"/>
    <xf numFmtId="41" fontId="0" fillId="0" borderId="10" xfId="43" applyFont="1" applyBorder="1"/>
    <xf numFmtId="0" fontId="25" fillId="9" borderId="10" xfId="0" applyFont="1" applyFill="1" applyBorder="1" applyAlignment="1">
      <alignment horizontal="center"/>
    </xf>
    <xf numFmtId="0" fontId="59" fillId="0" borderId="10" xfId="0" applyFont="1" applyBorder="1"/>
    <xf numFmtId="166" fontId="0" fillId="0" borderId="0" xfId="0" applyNumberFormat="1"/>
    <xf numFmtId="0" fontId="29" fillId="9" borderId="0" xfId="19" applyAlignment="1">
      <alignment horizontal="center"/>
    </xf>
    <xf numFmtId="0" fontId="25" fillId="9" borderId="0" xfId="0" applyFont="1" applyFill="1"/>
    <xf numFmtId="0" fontId="29" fillId="9" borderId="39" xfId="19" applyBorder="1" applyAlignment="1">
      <alignment horizontal="center" vertical="center" wrapText="1"/>
    </xf>
    <xf numFmtId="0" fontId="0" fillId="0" borderId="0" xfId="0" applyAlignment="1">
      <alignment horizontal="center"/>
    </xf>
    <xf numFmtId="0" fontId="63" fillId="0" borderId="0" xfId="0" applyFont="1" applyAlignment="1">
      <alignment vertical="top" wrapText="1"/>
    </xf>
    <xf numFmtId="0" fontId="25" fillId="9" borderId="40" xfId="0" applyFont="1" applyFill="1" applyBorder="1" applyAlignment="1">
      <alignment horizontal="center"/>
    </xf>
    <xf numFmtId="0" fontId="64" fillId="0" borderId="0" xfId="0" applyFont="1"/>
    <xf numFmtId="10" fontId="58" fillId="39" borderId="10" xfId="1" applyNumberFormat="1" applyFont="1" applyFill="1" applyBorder="1" applyAlignment="1">
      <alignment horizontal="center" vertical="center"/>
    </xf>
    <xf numFmtId="166" fontId="58" fillId="39" borderId="10" xfId="1" applyNumberFormat="1" applyFont="1" applyFill="1" applyBorder="1" applyAlignment="1">
      <alignment horizontal="center" vertical="center"/>
    </xf>
    <xf numFmtId="166" fontId="58" fillId="42" borderId="10" xfId="1" applyNumberFormat="1" applyFont="1" applyFill="1" applyBorder="1" applyAlignment="1">
      <alignment horizontal="center" vertical="center"/>
    </xf>
    <xf numFmtId="2" fontId="58" fillId="39" borderId="10" xfId="1" applyNumberFormat="1" applyFont="1" applyFill="1" applyBorder="1" applyAlignment="1">
      <alignment horizontal="center" vertical="center"/>
    </xf>
    <xf numFmtId="10" fontId="64" fillId="39" borderId="10" xfId="1" applyNumberFormat="1" applyFont="1" applyFill="1" applyBorder="1" applyAlignment="1">
      <alignment horizontal="center" vertical="center"/>
    </xf>
    <xf numFmtId="10" fontId="64" fillId="49" borderId="10" xfId="1" applyNumberFormat="1" applyFont="1" applyFill="1" applyBorder="1" applyAlignment="1">
      <alignment horizontal="center" vertical="center"/>
    </xf>
    <xf numFmtId="166" fontId="22" fillId="6" borderId="5" xfId="11" applyNumberFormat="1"/>
    <xf numFmtId="0" fontId="65" fillId="44" borderId="10" xfId="48" applyFont="1" applyFill="1" applyBorder="1" applyAlignment="1">
      <alignment horizontal="center" vertical="center" wrapText="1"/>
    </xf>
    <xf numFmtId="164" fontId="23" fillId="6" borderId="4" xfId="12" applyNumberFormat="1"/>
    <xf numFmtId="3" fontId="23" fillId="6" borderId="4" xfId="12" applyNumberFormat="1"/>
    <xf numFmtId="165" fontId="23" fillId="6" borderId="4" xfId="12" applyNumberFormat="1"/>
    <xf numFmtId="2" fontId="23" fillId="6" borderId="4" xfId="12" applyNumberFormat="1" applyAlignment="1">
      <alignment horizontal="center"/>
    </xf>
    <xf numFmtId="164" fontId="66" fillId="0" borderId="10" xfId="44" applyFont="1" applyBorder="1" applyAlignment="1">
      <alignment horizontal="center"/>
    </xf>
    <xf numFmtId="2" fontId="23" fillId="6" borderId="44" xfId="12" applyNumberFormat="1" applyBorder="1" applyAlignment="1">
      <alignment horizontal="center"/>
    </xf>
    <xf numFmtId="179" fontId="0" fillId="0" borderId="10" xfId="43" applyNumberFormat="1" applyFont="1" applyBorder="1"/>
    <xf numFmtId="169" fontId="66" fillId="0" borderId="10" xfId="44" applyNumberFormat="1" applyFont="1" applyBorder="1" applyAlignment="1">
      <alignment horizontal="center"/>
    </xf>
    <xf numFmtId="180" fontId="66" fillId="0" borderId="10" xfId="44" applyNumberFormat="1" applyFont="1" applyBorder="1" applyAlignment="1">
      <alignment horizontal="center"/>
    </xf>
    <xf numFmtId="175" fontId="0" fillId="0" borderId="10" xfId="43" applyNumberFormat="1" applyFont="1" applyBorder="1"/>
    <xf numFmtId="174" fontId="0" fillId="0" borderId="10" xfId="1" applyNumberFormat="1" applyFont="1" applyBorder="1"/>
    <xf numFmtId="44" fontId="0" fillId="0" borderId="0" xfId="0" applyNumberFormat="1"/>
    <xf numFmtId="0" fontId="0" fillId="33" borderId="12" xfId="0" applyFill="1" applyBorder="1"/>
    <xf numFmtId="10" fontId="69" fillId="0" borderId="24" xfId="0" applyNumberFormat="1" applyFont="1" applyBorder="1"/>
    <xf numFmtId="164" fontId="68" fillId="0" borderId="14" xfId="44" applyFont="1" applyBorder="1"/>
    <xf numFmtId="178" fontId="29" fillId="13" borderId="0" xfId="23" applyNumberFormat="1"/>
    <xf numFmtId="178" fontId="29" fillId="9" borderId="0" xfId="19" applyNumberFormat="1" applyAlignment="1">
      <alignment wrapText="1"/>
    </xf>
    <xf numFmtId="44" fontId="23" fillId="6" borderId="4" xfId="12" applyNumberFormat="1"/>
    <xf numFmtId="178" fontId="29" fillId="13" borderId="0" xfId="23" applyNumberFormat="1" applyAlignment="1">
      <alignment horizontal="left" indent="1"/>
    </xf>
    <xf numFmtId="43" fontId="24" fillId="0" borderId="10" xfId="13" applyNumberFormat="1" applyBorder="1"/>
    <xf numFmtId="2" fontId="0" fillId="0" borderId="24" xfId="0" applyNumberFormat="1" applyBorder="1"/>
    <xf numFmtId="0" fontId="25" fillId="9" borderId="0" xfId="19" applyFont="1"/>
    <xf numFmtId="172" fontId="0" fillId="0" borderId="10" xfId="0" applyNumberFormat="1" applyBorder="1"/>
    <xf numFmtId="2" fontId="0" fillId="0" borderId="26" xfId="0" applyNumberFormat="1" applyBorder="1"/>
    <xf numFmtId="182" fontId="0" fillId="0" borderId="0" xfId="1" applyNumberFormat="1" applyFont="1"/>
    <xf numFmtId="164" fontId="23" fillId="6" borderId="4" xfId="44" applyFont="1" applyFill="1" applyBorder="1" applyAlignment="1">
      <alignment horizontal="center"/>
    </xf>
    <xf numFmtId="0" fontId="44" fillId="0" borderId="0" xfId="0" applyFont="1"/>
    <xf numFmtId="41" fontId="0" fillId="0" borderId="10" xfId="0" applyNumberFormat="1" applyBorder="1"/>
    <xf numFmtId="10" fontId="0" fillId="39" borderId="10" xfId="1" applyNumberFormat="1" applyFont="1" applyFill="1" applyBorder="1"/>
    <xf numFmtId="166" fontId="0" fillId="39" borderId="10" xfId="1" applyNumberFormat="1" applyFont="1" applyFill="1" applyBorder="1"/>
    <xf numFmtId="0" fontId="0" fillId="0" borderId="24" xfId="0" applyBorder="1"/>
    <xf numFmtId="166" fontId="0" fillId="0" borderId="24" xfId="0" applyNumberFormat="1" applyBorder="1"/>
    <xf numFmtId="3" fontId="0" fillId="0" borderId="24" xfId="0" applyNumberFormat="1" applyBorder="1"/>
    <xf numFmtId="10" fontId="0" fillId="0" borderId="24" xfId="0" applyNumberFormat="1" applyBorder="1"/>
    <xf numFmtId="44" fontId="23" fillId="39" borderId="4" xfId="12" applyNumberFormat="1" applyFill="1"/>
    <xf numFmtId="0" fontId="0" fillId="39" borderId="0" xfId="0" applyFill="1"/>
    <xf numFmtId="41" fontId="23" fillId="6" borderId="4" xfId="43" applyFont="1" applyFill="1" applyBorder="1"/>
    <xf numFmtId="41" fontId="24" fillId="0" borderId="6" xfId="43" applyFont="1" applyBorder="1"/>
    <xf numFmtId="183" fontId="0" fillId="0" borderId="0" xfId="44" applyNumberFormat="1" applyFont="1"/>
    <xf numFmtId="0" fontId="29" fillId="13" borderId="21" xfId="23" applyBorder="1"/>
    <xf numFmtId="0" fontId="29" fillId="13" borderId="45" xfId="23" applyBorder="1"/>
    <xf numFmtId="0" fontId="29" fillId="13" borderId="21" xfId="23" applyBorder="1" applyAlignment="1">
      <alignment horizontal="left" indent="2"/>
    </xf>
    <xf numFmtId="164" fontId="0" fillId="51" borderId="0" xfId="0" applyNumberFormat="1" applyFill="1"/>
    <xf numFmtId="3" fontId="0" fillId="44" borderId="0" xfId="0" applyNumberFormat="1" applyFill="1"/>
    <xf numFmtId="164" fontId="0" fillId="44" borderId="0" xfId="0" applyNumberFormat="1" applyFill="1"/>
    <xf numFmtId="41" fontId="0" fillId="0" borderId="0" xfId="1" applyNumberFormat="1" applyFont="1"/>
    <xf numFmtId="3" fontId="0" fillId="52" borderId="0" xfId="0" applyNumberFormat="1" applyFill="1"/>
    <xf numFmtId="164" fontId="0" fillId="52" borderId="0" xfId="0" applyNumberFormat="1" applyFill="1"/>
    <xf numFmtId="164" fontId="0" fillId="49" borderId="0" xfId="0" applyNumberFormat="1" applyFill="1"/>
    <xf numFmtId="164" fontId="0" fillId="43" borderId="0" xfId="0" applyNumberFormat="1" applyFill="1"/>
    <xf numFmtId="3" fontId="0" fillId="43" borderId="0" xfId="0" applyNumberFormat="1" applyFill="1"/>
    <xf numFmtId="41" fontId="0" fillId="53" borderId="0" xfId="43" applyFont="1" applyFill="1"/>
    <xf numFmtId="3" fontId="0" fillId="53" borderId="0" xfId="0" applyNumberFormat="1" applyFill="1"/>
    <xf numFmtId="41" fontId="28" fillId="53" borderId="0" xfId="0" applyNumberFormat="1" applyFont="1" applyFill="1"/>
    <xf numFmtId="41" fontId="0" fillId="50" borderId="0" xfId="0" applyNumberFormat="1" applyFill="1"/>
    <xf numFmtId="164" fontId="0" fillId="56" borderId="0" xfId="0" applyNumberFormat="1" applyFill="1"/>
    <xf numFmtId="0" fontId="0" fillId="56" borderId="0" xfId="0" applyFill="1"/>
    <xf numFmtId="164" fontId="0" fillId="56" borderId="10" xfId="44" applyFont="1" applyFill="1" applyBorder="1"/>
    <xf numFmtId="164" fontId="0" fillId="57" borderId="0" xfId="0" applyNumberFormat="1" applyFill="1"/>
    <xf numFmtId="164" fontId="0" fillId="55" borderId="0" xfId="0" applyNumberFormat="1" applyFill="1"/>
    <xf numFmtId="164" fontId="0" fillId="54" borderId="0" xfId="0" applyNumberFormat="1" applyFill="1"/>
    <xf numFmtId="0" fontId="10" fillId="0" borderId="0" xfId="50"/>
    <xf numFmtId="0" fontId="75" fillId="9" borderId="21" xfId="51" applyFont="1" applyBorder="1"/>
    <xf numFmtId="0" fontId="29" fillId="13" borderId="21" xfId="52" applyBorder="1"/>
    <xf numFmtId="10" fontId="13" fillId="0" borderId="0" xfId="53" applyNumberFormat="1"/>
    <xf numFmtId="166" fontId="13" fillId="0" borderId="0" xfId="53" applyNumberFormat="1"/>
    <xf numFmtId="10" fontId="10" fillId="0" borderId="0" xfId="50" applyNumberFormat="1"/>
    <xf numFmtId="10" fontId="0" fillId="0" borderId="0" xfId="54" applyNumberFormat="1" applyFont="1"/>
    <xf numFmtId="42" fontId="0" fillId="0" borderId="0" xfId="55" applyFont="1"/>
    <xf numFmtId="164" fontId="23" fillId="58" borderId="10" xfId="44" applyFont="1" applyFill="1" applyBorder="1"/>
    <xf numFmtId="0" fontId="45" fillId="0" borderId="0" xfId="0" applyFont="1" applyAlignment="1">
      <alignment horizontal="center"/>
    </xf>
    <xf numFmtId="0" fontId="45" fillId="0" borderId="0" xfId="0" applyFont="1"/>
    <xf numFmtId="164" fontId="77" fillId="0" borderId="10" xfId="44" applyFont="1" applyBorder="1"/>
    <xf numFmtId="166" fontId="77" fillId="0" borderId="10" xfId="1" applyNumberFormat="1" applyFont="1" applyBorder="1"/>
    <xf numFmtId="166" fontId="77" fillId="0" borderId="24" xfId="1" applyNumberFormat="1" applyFont="1" applyBorder="1"/>
    <xf numFmtId="9" fontId="0" fillId="0" borderId="13" xfId="1" applyFont="1" applyBorder="1"/>
    <xf numFmtId="10" fontId="0" fillId="0" borderId="16" xfId="1" applyNumberFormat="1" applyFont="1" applyBorder="1"/>
    <xf numFmtId="164" fontId="0" fillId="0" borderId="16" xfId="1" applyNumberFormat="1" applyFont="1" applyBorder="1"/>
    <xf numFmtId="164" fontId="58" fillId="0" borderId="10" xfId="44" applyFont="1" applyBorder="1" applyAlignment="1">
      <alignment horizontal="center" vertical="center"/>
    </xf>
    <xf numFmtId="0" fontId="78" fillId="9" borderId="0" xfId="19" applyFont="1" applyAlignment="1">
      <alignment horizontal="center"/>
    </xf>
    <xf numFmtId="166" fontId="0" fillId="0" borderId="10" xfId="0" applyNumberFormat="1" applyBorder="1"/>
    <xf numFmtId="10" fontId="58" fillId="0" borderId="10" xfId="1" applyNumberFormat="1" applyFont="1" applyBorder="1"/>
    <xf numFmtId="164" fontId="0" fillId="39" borderId="10" xfId="44" applyFont="1" applyFill="1" applyBorder="1"/>
    <xf numFmtId="42" fontId="10" fillId="0" borderId="0" xfId="50" applyNumberFormat="1"/>
    <xf numFmtId="0" fontId="44" fillId="0" borderId="0" xfId="0" applyFont="1" applyAlignment="1">
      <alignment horizontal="center"/>
    </xf>
    <xf numFmtId="166" fontId="58" fillId="0" borderId="10" xfId="1" applyNumberFormat="1" applyFont="1" applyBorder="1" applyAlignment="1">
      <alignment horizontal="center"/>
    </xf>
    <xf numFmtId="9" fontId="60" fillId="0" borderId="10" xfId="1" applyFont="1" applyBorder="1" applyAlignment="1">
      <alignment horizontal="center"/>
    </xf>
    <xf numFmtId="166" fontId="58" fillId="0" borderId="10" xfId="0" applyNumberFormat="1" applyFont="1" applyBorder="1" applyAlignment="1">
      <alignment horizontal="center"/>
    </xf>
    <xf numFmtId="9" fontId="60" fillId="0" borderId="10" xfId="0" applyNumberFormat="1" applyFont="1" applyBorder="1" applyAlignment="1">
      <alignment horizontal="center"/>
    </xf>
    <xf numFmtId="9" fontId="58" fillId="0" borderId="10" xfId="1" applyFont="1" applyBorder="1"/>
    <xf numFmtId="10" fontId="58" fillId="0" borderId="10" xfId="0" applyNumberFormat="1" applyFont="1" applyBorder="1"/>
    <xf numFmtId="9" fontId="58" fillId="0" borderId="10" xfId="0" applyNumberFormat="1" applyFont="1" applyBorder="1"/>
    <xf numFmtId="9" fontId="79" fillId="47" borderId="0" xfId="0" applyNumberFormat="1" applyFont="1" applyFill="1"/>
    <xf numFmtId="166" fontId="79" fillId="47" borderId="0" xfId="0" applyNumberFormat="1" applyFont="1" applyFill="1" applyAlignment="1">
      <alignment horizontal="center"/>
    </xf>
    <xf numFmtId="9" fontId="80" fillId="47" borderId="0" xfId="0" applyNumberFormat="1" applyFont="1" applyFill="1" applyAlignment="1">
      <alignment horizontal="center"/>
    </xf>
    <xf numFmtId="175" fontId="0" fillId="0" borderId="10" xfId="0" applyNumberFormat="1" applyBorder="1"/>
    <xf numFmtId="178" fontId="29" fillId="9" borderId="0" xfId="19" applyNumberFormat="1"/>
    <xf numFmtId="166" fontId="23" fillId="6" borderId="4" xfId="1" applyNumberFormat="1" applyFont="1" applyFill="1" applyBorder="1"/>
    <xf numFmtId="0" fontId="0" fillId="0" borderId="21" xfId="0" applyBorder="1"/>
    <xf numFmtId="0" fontId="0" fillId="0" borderId="33" xfId="0" applyBorder="1"/>
    <xf numFmtId="42" fontId="23" fillId="6" borderId="4" xfId="12" applyNumberFormat="1"/>
    <xf numFmtId="0" fontId="75" fillId="9" borderId="21" xfId="19" applyFont="1" applyBorder="1"/>
    <xf numFmtId="167" fontId="83" fillId="0" borderId="21" xfId="0" applyNumberFormat="1" applyFont="1" applyBorder="1"/>
    <xf numFmtId="167" fontId="83" fillId="0" borderId="0" xfId="0" applyNumberFormat="1" applyFont="1"/>
    <xf numFmtId="0" fontId="83" fillId="0" borderId="21" xfId="0" applyFont="1" applyBorder="1"/>
    <xf numFmtId="185" fontId="83" fillId="0" borderId="21" xfId="0" applyNumberFormat="1" applyFont="1" applyBorder="1"/>
    <xf numFmtId="0" fontId="41" fillId="0" borderId="0" xfId="0" applyFont="1"/>
    <xf numFmtId="10" fontId="58" fillId="0" borderId="10" xfId="1" applyNumberFormat="1" applyFont="1" applyBorder="1" applyAlignment="1">
      <alignment horizontal="center" vertical="center"/>
    </xf>
    <xf numFmtId="175" fontId="23" fillId="6" borderId="4" xfId="43" applyNumberFormat="1" applyFont="1" applyFill="1" applyBorder="1"/>
    <xf numFmtId="186" fontId="84" fillId="36" borderId="20" xfId="57" applyNumberFormat="1" applyFill="1" applyBorder="1" applyAlignment="1">
      <alignment horizontal="right" vertical="center" wrapText="1"/>
    </xf>
    <xf numFmtId="168" fontId="84" fillId="35" borderId="19" xfId="57" applyNumberFormat="1" applyFill="1" applyBorder="1" applyAlignment="1">
      <alignment horizontal="right" vertical="center" wrapText="1"/>
    </xf>
    <xf numFmtId="168" fontId="84" fillId="37" borderId="19" xfId="57" applyNumberFormat="1" applyFill="1" applyBorder="1" applyAlignment="1">
      <alignment horizontal="right" vertical="center" wrapText="1"/>
    </xf>
    <xf numFmtId="1" fontId="29" fillId="29" borderId="23" xfId="39" applyNumberFormat="1" applyBorder="1" applyAlignment="1">
      <alignment horizontal="center"/>
    </xf>
    <xf numFmtId="0" fontId="29" fillId="29" borderId="0" xfId="39" applyAlignment="1">
      <alignment horizontal="center"/>
    </xf>
    <xf numFmtId="0" fontId="29" fillId="29" borderId="21" xfId="39" applyBorder="1" applyAlignment="1">
      <alignment horizontal="center"/>
    </xf>
    <xf numFmtId="0" fontId="29" fillId="29" borderId="0" xfId="39"/>
    <xf numFmtId="0" fontId="34" fillId="9" borderId="0" xfId="19" applyFont="1" applyAlignment="1">
      <alignment horizontal="center"/>
    </xf>
    <xf numFmtId="0" fontId="25" fillId="29" borderId="33" xfId="39" applyFont="1" applyBorder="1" applyAlignment="1">
      <alignment horizontal="center" wrapText="1"/>
    </xf>
    <xf numFmtId="0" fontId="25" fillId="29" borderId="0" xfId="39" applyFont="1" applyAlignment="1">
      <alignment horizontal="center"/>
    </xf>
    <xf numFmtId="0" fontId="75" fillId="9" borderId="0" xfId="19" applyFont="1" applyAlignment="1">
      <alignment horizontal="center" wrapText="1"/>
    </xf>
    <xf numFmtId="0" fontId="25" fillId="29" borderId="0" xfId="39" applyFont="1" applyAlignment="1">
      <alignment horizontal="center" wrapText="1"/>
    </xf>
    <xf numFmtId="0" fontId="25" fillId="29" borderId="10" xfId="39" applyFont="1" applyBorder="1" applyAlignment="1">
      <alignment horizontal="center"/>
    </xf>
    <xf numFmtId="166" fontId="29" fillId="0" borderId="0" xfId="1" applyNumberFormat="1" applyFont="1"/>
    <xf numFmtId="10" fontId="29" fillId="0" borderId="0" xfId="1" applyNumberFormat="1" applyFont="1"/>
    <xf numFmtId="9" fontId="29" fillId="0" borderId="0" xfId="0" applyNumberFormat="1" applyFont="1"/>
    <xf numFmtId="0" fontId="25" fillId="29" borderId="0" xfId="39" applyFont="1"/>
    <xf numFmtId="41" fontId="23" fillId="6" borderId="4" xfId="12" applyNumberFormat="1"/>
    <xf numFmtId="0" fontId="23" fillId="6" borderId="4" xfId="12"/>
    <xf numFmtId="41" fontId="22" fillId="6" borderId="5" xfId="11" applyNumberFormat="1"/>
    <xf numFmtId="43" fontId="22" fillId="6" borderId="5" xfId="11" applyNumberFormat="1"/>
    <xf numFmtId="165" fontId="22" fillId="6" borderId="5" xfId="11" applyNumberFormat="1"/>
    <xf numFmtId="175" fontId="0" fillId="0" borderId="10" xfId="1" applyNumberFormat="1" applyFont="1" applyBorder="1"/>
    <xf numFmtId="164" fontId="0" fillId="0" borderId="24" xfId="0" applyNumberFormat="1" applyBorder="1"/>
    <xf numFmtId="169" fontId="0" fillId="0" borderId="24" xfId="0" applyNumberFormat="1" applyBorder="1"/>
    <xf numFmtId="0" fontId="25" fillId="29" borderId="35" xfId="39" applyFont="1" applyBorder="1" applyAlignment="1">
      <alignment horizontal="center"/>
    </xf>
    <xf numFmtId="0" fontId="25" fillId="29" borderId="40" xfId="39" applyFont="1" applyBorder="1" applyAlignment="1">
      <alignment horizontal="center"/>
    </xf>
    <xf numFmtId="187" fontId="0" fillId="0" borderId="0" xfId="0" applyNumberFormat="1"/>
    <xf numFmtId="0" fontId="29" fillId="13" borderId="10" xfId="23" applyBorder="1"/>
    <xf numFmtId="0" fontId="29" fillId="13" borderId="37" xfId="23" applyBorder="1"/>
    <xf numFmtId="0" fontId="29" fillId="13" borderId="46" xfId="23" applyBorder="1"/>
    <xf numFmtId="0" fontId="29" fillId="13" borderId="31" xfId="23" applyBorder="1"/>
    <xf numFmtId="166" fontId="30" fillId="0" borderId="0" xfId="1" applyNumberFormat="1" applyFont="1"/>
    <xf numFmtId="166" fontId="30" fillId="0" borderId="0" xfId="0" applyNumberFormat="1" applyFont="1"/>
    <xf numFmtId="191" fontId="0" fillId="0" borderId="0" xfId="0" applyNumberFormat="1"/>
    <xf numFmtId="0" fontId="25" fillId="9" borderId="0" xfId="0" applyFont="1" applyFill="1" applyAlignment="1">
      <alignment horizontal="center" wrapText="1"/>
    </xf>
    <xf numFmtId="169" fontId="0" fillId="0" borderId="10" xfId="44" applyNumberFormat="1" applyFont="1" applyBorder="1"/>
    <xf numFmtId="2" fontId="0" fillId="0" borderId="0" xfId="0" applyNumberFormat="1"/>
    <xf numFmtId="175" fontId="23" fillId="0" borderId="10" xfId="43" applyNumberFormat="1" applyFont="1" applyBorder="1"/>
    <xf numFmtId="10" fontId="0" fillId="0" borderId="10" xfId="0" applyNumberFormat="1" applyBorder="1" applyAlignment="1">
      <alignment wrapText="1"/>
    </xf>
    <xf numFmtId="0" fontId="29" fillId="17" borderId="0" xfId="27"/>
    <xf numFmtId="0" fontId="29" fillId="13" borderId="21" xfId="23" applyBorder="1" applyAlignment="1">
      <alignment horizontal="left"/>
    </xf>
    <xf numFmtId="176" fontId="23" fillId="0" borderId="10" xfId="43" applyNumberFormat="1" applyFont="1" applyBorder="1"/>
    <xf numFmtId="164" fontId="35" fillId="0" borderId="30" xfId="44" applyFont="1" applyBorder="1"/>
    <xf numFmtId="165" fontId="87" fillId="0" borderId="10" xfId="46" applyFont="1" applyBorder="1"/>
    <xf numFmtId="0" fontId="76" fillId="0" borderId="0" xfId="0" applyFont="1" applyAlignment="1">
      <alignment horizontal="center"/>
    </xf>
    <xf numFmtId="0" fontId="70" fillId="13" borderId="0" xfId="23" applyFont="1"/>
    <xf numFmtId="0" fontId="46" fillId="0" borderId="0" xfId="0" applyFont="1"/>
    <xf numFmtId="0" fontId="75" fillId="9" borderId="21" xfId="51" applyFont="1" applyBorder="1" applyAlignment="1">
      <alignment horizontal="center"/>
    </xf>
    <xf numFmtId="0" fontId="29" fillId="13" borderId="49" xfId="23" applyBorder="1" applyAlignment="1">
      <alignment horizontal="left" indent="2"/>
    </xf>
    <xf numFmtId="41" fontId="0" fillId="0" borderId="50" xfId="43" applyFont="1" applyBorder="1"/>
    <xf numFmtId="0" fontId="29" fillId="13" borderId="51" xfId="23" applyBorder="1" applyAlignment="1">
      <alignment horizontal="left" indent="2"/>
    </xf>
    <xf numFmtId="41" fontId="0" fillId="0" borderId="52" xfId="43" applyFont="1" applyBorder="1"/>
    <xf numFmtId="0" fontId="75" fillId="9" borderId="21" xfId="51" applyFont="1" applyBorder="1" applyAlignment="1">
      <alignment horizontal="center" wrapText="1"/>
    </xf>
    <xf numFmtId="0" fontId="88" fillId="39" borderId="0" xfId="0" applyFont="1" applyFill="1" applyAlignment="1">
      <alignment horizontal="left" vertical="top" wrapText="1"/>
    </xf>
    <xf numFmtId="41" fontId="88" fillId="39" borderId="0" xfId="43" applyFont="1" applyFill="1" applyAlignment="1">
      <alignment horizontal="left" vertical="top" wrapText="1"/>
    </xf>
    <xf numFmtId="10" fontId="88" fillId="39" borderId="0" xfId="0" applyNumberFormat="1" applyFont="1" applyFill="1" applyAlignment="1">
      <alignment horizontal="right" vertical="top" wrapText="1"/>
    </xf>
    <xf numFmtId="0" fontId="88" fillId="39" borderId="52" xfId="0" applyFont="1" applyFill="1" applyBorder="1" applyAlignment="1">
      <alignment horizontal="left" vertical="top" wrapText="1"/>
    </xf>
    <xf numFmtId="41" fontId="88" fillId="39" borderId="52" xfId="43" applyFont="1" applyFill="1" applyBorder="1" applyAlignment="1">
      <alignment horizontal="left" vertical="top" wrapText="1"/>
    </xf>
    <xf numFmtId="10" fontId="88" fillId="39" borderId="52" xfId="0" applyNumberFormat="1" applyFont="1" applyFill="1" applyBorder="1" applyAlignment="1">
      <alignment horizontal="right" vertical="top" wrapText="1"/>
    </xf>
    <xf numFmtId="0" fontId="89" fillId="60" borderId="0" xfId="0" applyFont="1" applyFill="1" applyAlignment="1">
      <alignment horizontal="left" vertical="top" wrapText="1"/>
    </xf>
    <xf numFmtId="41" fontId="89" fillId="60" borderId="0" xfId="0" applyNumberFormat="1" applyFont="1" applyFill="1"/>
    <xf numFmtId="9" fontId="89" fillId="60" borderId="0" xfId="0" applyNumberFormat="1" applyFont="1" applyFill="1" applyAlignment="1">
      <alignment horizontal="right" vertical="top" wrapText="1"/>
    </xf>
    <xf numFmtId="0" fontId="90" fillId="39" borderId="0" xfId="0" applyFont="1" applyFill="1" applyAlignment="1">
      <alignment horizontal="left" vertical="top" wrapText="1"/>
    </xf>
    <xf numFmtId="0" fontId="91" fillId="39" borderId="0" xfId="0" applyFont="1" applyFill="1" applyAlignment="1">
      <alignment horizontal="left" vertical="top" wrapText="1"/>
    </xf>
    <xf numFmtId="0" fontId="0" fillId="0" borderId="50" xfId="0" applyBorder="1"/>
    <xf numFmtId="166" fontId="0" fillId="0" borderId="50" xfId="1" applyNumberFormat="1" applyFont="1" applyBorder="1"/>
    <xf numFmtId="0" fontId="0" fillId="0" borderId="52" xfId="0" applyBorder="1"/>
    <xf numFmtId="9" fontId="0" fillId="0" borderId="52" xfId="1" applyFont="1" applyBorder="1"/>
    <xf numFmtId="0" fontId="0" fillId="60" borderId="0" xfId="0" applyFill="1"/>
    <xf numFmtId="9" fontId="0" fillId="60" borderId="0" xfId="1" applyFont="1" applyFill="1"/>
    <xf numFmtId="41" fontId="28" fillId="60" borderId="0" xfId="43" applyFont="1" applyFill="1"/>
    <xf numFmtId="0" fontId="87" fillId="0" borderId="0" xfId="0" applyFont="1" applyAlignment="1">
      <alignment vertical="center" wrapText="1"/>
    </xf>
    <xf numFmtId="0" fontId="87" fillId="0" borderId="0" xfId="0" applyFont="1"/>
    <xf numFmtId="0" fontId="88" fillId="0" borderId="0" xfId="0" applyFont="1"/>
    <xf numFmtId="0" fontId="88" fillId="0" borderId="50" xfId="0" applyFont="1" applyBorder="1"/>
    <xf numFmtId="0" fontId="87" fillId="0" borderId="50" xfId="0" applyFont="1" applyBorder="1"/>
    <xf numFmtId="0" fontId="87" fillId="0" borderId="50" xfId="0" applyFont="1" applyBorder="1" applyAlignment="1">
      <alignment vertical="center" wrapText="1"/>
    </xf>
    <xf numFmtId="175" fontId="58" fillId="39" borderId="10" xfId="43" applyNumberFormat="1" applyFont="1" applyFill="1" applyBorder="1" applyAlignment="1">
      <alignment horizontal="center" vertical="center"/>
    </xf>
    <xf numFmtId="42" fontId="0" fillId="0" borderId="10" xfId="44" applyNumberFormat="1" applyFont="1" applyBorder="1"/>
    <xf numFmtId="0" fontId="75" fillId="9" borderId="21" xfId="19" applyFont="1" applyBorder="1" applyAlignment="1">
      <alignment horizontal="center"/>
    </xf>
    <xf numFmtId="10" fontId="0" fillId="61" borderId="0" xfId="0" applyNumberFormat="1" applyFill="1"/>
    <xf numFmtId="164" fontId="0" fillId="61" borderId="0" xfId="44" applyFont="1" applyFill="1"/>
    <xf numFmtId="10" fontId="0" fillId="61" borderId="0" xfId="1" applyNumberFormat="1" applyFont="1" applyFill="1"/>
    <xf numFmtId="174" fontId="0" fillId="61" borderId="0" xfId="1" applyNumberFormat="1" applyFont="1" applyFill="1"/>
    <xf numFmtId="175" fontId="0" fillId="61" borderId="0" xfId="43" applyNumberFormat="1" applyFont="1" applyFill="1"/>
    <xf numFmtId="41" fontId="0" fillId="61" borderId="0" xfId="43" applyFont="1" applyFill="1"/>
    <xf numFmtId="166" fontId="0" fillId="61" borderId="0" xfId="1" applyNumberFormat="1" applyFont="1" applyFill="1"/>
    <xf numFmtId="165" fontId="23" fillId="0" borderId="4" xfId="12" applyNumberFormat="1" applyFill="1"/>
    <xf numFmtId="0" fontId="95" fillId="41" borderId="0" xfId="61" applyFont="1" applyFill="1"/>
    <xf numFmtId="0" fontId="53" fillId="41" borderId="0" xfId="61" applyFont="1" applyFill="1"/>
    <xf numFmtId="0" fontId="35" fillId="41" borderId="0" xfId="61" applyFont="1" applyFill="1"/>
    <xf numFmtId="0" fontId="35" fillId="41" borderId="0" xfId="61" quotePrefix="1" applyFont="1" applyFill="1" applyAlignment="1">
      <alignment horizontal="right"/>
    </xf>
    <xf numFmtId="0" fontId="35" fillId="41" borderId="0" xfId="61" applyFont="1" applyFill="1" applyAlignment="1">
      <alignment horizontal="right"/>
    </xf>
    <xf numFmtId="188" fontId="35" fillId="41" borderId="0" xfId="61" applyNumberFormat="1" applyFont="1" applyFill="1" applyAlignment="1">
      <alignment horizontal="right"/>
    </xf>
    <xf numFmtId="188" fontId="35" fillId="0" borderId="0" xfId="61" applyNumberFormat="1" applyFont="1" applyFill="1" applyAlignment="1">
      <alignment horizontal="right"/>
    </xf>
    <xf numFmtId="192" fontId="79" fillId="47" borderId="0" xfId="0" applyNumberFormat="1" applyFont="1" applyFill="1" applyAlignment="1">
      <alignment horizontal="center"/>
    </xf>
    <xf numFmtId="0" fontId="96" fillId="0" borderId="53" xfId="0" applyFont="1" applyBorder="1" applyAlignment="1">
      <alignment horizontal="right" vertical="center"/>
    </xf>
    <xf numFmtId="10" fontId="96" fillId="0" borderId="53" xfId="0" applyNumberFormat="1" applyFont="1" applyBorder="1" applyAlignment="1">
      <alignment horizontal="right" vertical="center"/>
    </xf>
    <xf numFmtId="164" fontId="23" fillId="0" borderId="10" xfId="44" applyFont="1" applyFill="1" applyBorder="1"/>
    <xf numFmtId="176" fontId="23" fillId="0" borderId="10" xfId="43" applyNumberFormat="1" applyFont="1" applyFill="1" applyBorder="1"/>
    <xf numFmtId="10" fontId="97" fillId="0" borderId="24" xfId="0" applyNumberFormat="1" applyFont="1" applyFill="1" applyBorder="1"/>
    <xf numFmtId="10" fontId="98" fillId="0" borderId="14" xfId="0" applyNumberFormat="1" applyFont="1" applyFill="1" applyBorder="1"/>
    <xf numFmtId="166" fontId="0" fillId="0" borderId="24" xfId="0" applyNumberFormat="1" applyFill="1" applyBorder="1"/>
    <xf numFmtId="177" fontId="0" fillId="0" borderId="24" xfId="0" applyNumberFormat="1" applyBorder="1"/>
    <xf numFmtId="3" fontId="0" fillId="0" borderId="24" xfId="0" applyNumberFormat="1" applyFill="1" applyBorder="1"/>
    <xf numFmtId="175" fontId="98" fillId="0" borderId="14" xfId="43" applyNumberFormat="1" applyFont="1" applyFill="1" applyBorder="1"/>
    <xf numFmtId="9" fontId="0" fillId="0" borderId="24" xfId="1" applyFont="1" applyBorder="1"/>
    <xf numFmtId="9" fontId="0" fillId="0" borderId="24" xfId="1" applyFont="1" applyFill="1" applyBorder="1"/>
    <xf numFmtId="9" fontId="97" fillId="0" borderId="24" xfId="1" applyFont="1" applyFill="1" applyBorder="1"/>
    <xf numFmtId="0" fontId="29" fillId="13" borderId="0" xfId="23" applyBorder="1"/>
    <xf numFmtId="184" fontId="23" fillId="0" borderId="10" xfId="43" applyNumberFormat="1" applyFont="1" applyFill="1" applyBorder="1"/>
    <xf numFmtId="164" fontId="22" fillId="6" borderId="5" xfId="44" applyFont="1" applyFill="1" applyBorder="1"/>
    <xf numFmtId="41" fontId="22" fillId="6" borderId="5" xfId="43" applyFont="1" applyFill="1" applyBorder="1"/>
    <xf numFmtId="41" fontId="23" fillId="6" borderId="10" xfId="43" applyFont="1" applyFill="1" applyBorder="1"/>
    <xf numFmtId="0" fontId="75" fillId="34" borderId="0" xfId="51" applyFont="1" applyFill="1" applyAlignment="1">
      <alignment horizontal="right"/>
    </xf>
    <xf numFmtId="0" fontId="29" fillId="34" borderId="0" xfId="19" applyFill="1"/>
    <xf numFmtId="175" fontId="23" fillId="0" borderId="10" xfId="43" applyNumberFormat="1" applyFont="1" applyFill="1" applyBorder="1"/>
    <xf numFmtId="0" fontId="92" fillId="0" borderId="28" xfId="63" applyFont="1" applyFill="1" applyBorder="1" applyAlignment="1">
      <alignment horizontal="center"/>
    </xf>
    <xf numFmtId="0" fontId="7" fillId="0" borderId="0" xfId="63"/>
    <xf numFmtId="2" fontId="7" fillId="0" borderId="0" xfId="63" applyNumberFormat="1" applyFill="1" applyBorder="1" applyAlignment="1">
      <alignment horizontal="center"/>
    </xf>
    <xf numFmtId="0" fontId="7" fillId="0" borderId="0" xfId="63" applyFill="1" applyBorder="1" applyAlignment="1">
      <alignment horizontal="center"/>
    </xf>
    <xf numFmtId="0" fontId="93" fillId="0" borderId="0" xfId="63" applyFont="1"/>
    <xf numFmtId="2" fontId="93" fillId="0" borderId="0" xfId="63" applyNumberFormat="1" applyFont="1"/>
    <xf numFmtId="9" fontId="58" fillId="0" borderId="0" xfId="63" applyNumberFormat="1" applyFont="1" applyFill="1" applyAlignment="1">
      <alignment horizontal="left"/>
    </xf>
    <xf numFmtId="2" fontId="7" fillId="0" borderId="0" xfId="63" applyNumberFormat="1" applyAlignment="1">
      <alignment horizontal="center"/>
    </xf>
    <xf numFmtId="10" fontId="7" fillId="0" borderId="0" xfId="63" applyNumberFormat="1"/>
    <xf numFmtId="0" fontId="94" fillId="0" borderId="0" xfId="63" applyFont="1"/>
    <xf numFmtId="0" fontId="7" fillId="0" borderId="0" xfId="63" applyAlignment="1">
      <alignment horizontal="center"/>
    </xf>
    <xf numFmtId="0" fontId="7" fillId="0" borderId="10" xfId="63" applyBorder="1" applyAlignment="1">
      <alignment horizontal="center"/>
    </xf>
    <xf numFmtId="0" fontId="93" fillId="0" borderId="0" xfId="63" applyFont="1" applyAlignment="1">
      <alignment horizontal="center"/>
    </xf>
    <xf numFmtId="0" fontId="7" fillId="0" borderId="0" xfId="63" applyAlignment="1">
      <alignment horizontal="left"/>
    </xf>
    <xf numFmtId="0" fontId="53" fillId="41" borderId="0" xfId="63" applyFont="1" applyFill="1"/>
    <xf numFmtId="0" fontId="95" fillId="41" borderId="0" xfId="63" applyFont="1" applyFill="1"/>
    <xf numFmtId="2" fontId="53" fillId="41" borderId="0" xfId="61" applyNumberFormat="1" applyFont="1" applyFill="1"/>
    <xf numFmtId="0" fontId="53" fillId="41" borderId="0" xfId="61" applyNumberFormat="1" applyFont="1" applyFill="1"/>
    <xf numFmtId="2" fontId="81" fillId="41" borderId="0" xfId="61" applyNumberFormat="1" applyFont="1" applyFill="1"/>
    <xf numFmtId="2" fontId="81" fillId="41" borderId="0" xfId="61" applyNumberFormat="1" applyFont="1" applyFill="1" applyAlignment="1"/>
    <xf numFmtId="2" fontId="52" fillId="41" borderId="0" xfId="61" applyNumberFormat="1" applyFont="1" applyFill="1"/>
    <xf numFmtId="166" fontId="52" fillId="41" borderId="0" xfId="61" applyNumberFormat="1" applyFont="1" applyFill="1"/>
    <xf numFmtId="166" fontId="53" fillId="41" borderId="0" xfId="61" applyNumberFormat="1" applyFont="1" applyFill="1"/>
    <xf numFmtId="44" fontId="53" fillId="41" borderId="0" xfId="61" applyNumberFormat="1" applyFont="1" applyFill="1"/>
    <xf numFmtId="190" fontId="53" fillId="41" borderId="0" xfId="61" applyNumberFormat="1" applyFont="1" applyFill="1"/>
    <xf numFmtId="0" fontId="0" fillId="0" borderId="0" xfId="0" applyNumberFormat="1"/>
    <xf numFmtId="10" fontId="99" fillId="0" borderId="24" xfId="0" applyNumberFormat="1" applyFont="1" applyBorder="1"/>
    <xf numFmtId="164" fontId="99" fillId="0" borderId="24" xfId="0" applyNumberFormat="1" applyFont="1" applyBorder="1"/>
    <xf numFmtId="0" fontId="99" fillId="0" borderId="24" xfId="0" applyFont="1" applyBorder="1"/>
    <xf numFmtId="190" fontId="22" fillId="59" borderId="0" xfId="43" applyNumberFormat="1" applyFont="1" applyFill="1" applyAlignment="1">
      <alignment horizontal="right"/>
    </xf>
    <xf numFmtId="165" fontId="22" fillId="6" borderId="0" xfId="11" applyNumberFormat="1" applyBorder="1" applyAlignment="1">
      <alignment horizontal="right"/>
    </xf>
    <xf numFmtId="184" fontId="22" fillId="6" borderId="0" xfId="11" applyNumberFormat="1" applyBorder="1" applyAlignment="1">
      <alignment horizontal="right"/>
    </xf>
    <xf numFmtId="41" fontId="22" fillId="59" borderId="0" xfId="43" applyFont="1" applyFill="1" applyAlignment="1">
      <alignment horizontal="right"/>
    </xf>
    <xf numFmtId="189" fontId="22" fillId="59" borderId="0" xfId="43" applyNumberFormat="1" applyFont="1" applyFill="1" applyAlignment="1">
      <alignment horizontal="right"/>
    </xf>
    <xf numFmtId="176" fontId="0" fillId="0" borderId="0" xfId="43" applyNumberFormat="1" applyFont="1"/>
    <xf numFmtId="166" fontId="23" fillId="6" borderId="55" xfId="1" applyNumberFormat="1" applyFont="1" applyFill="1" applyBorder="1" applyAlignment="1"/>
    <xf numFmtId="166" fontId="23" fillId="6" borderId="44" xfId="1" applyNumberFormat="1" applyFont="1" applyFill="1" applyBorder="1" applyAlignment="1"/>
    <xf numFmtId="178" fontId="29" fillId="44" borderId="0" xfId="23" applyNumberFormat="1" applyFill="1"/>
    <xf numFmtId="0" fontId="0" fillId="44" borderId="0" xfId="0" applyFill="1"/>
    <xf numFmtId="165" fontId="23" fillId="6" borderId="54" xfId="12" applyNumberFormat="1" applyBorder="1"/>
    <xf numFmtId="44" fontId="23" fillId="6" borderId="54" xfId="12" applyNumberFormat="1" applyBorder="1"/>
    <xf numFmtId="41" fontId="23" fillId="6" borderId="54" xfId="43" applyFont="1" applyFill="1" applyBorder="1"/>
    <xf numFmtId="165" fontId="23" fillId="6" borderId="44" xfId="12" applyNumberFormat="1" applyBorder="1"/>
    <xf numFmtId="44" fontId="23" fillId="6" borderId="44" xfId="12" applyNumberFormat="1" applyBorder="1"/>
    <xf numFmtId="41" fontId="23" fillId="6" borderId="44" xfId="43" applyFont="1" applyFill="1" applyBorder="1"/>
    <xf numFmtId="0" fontId="29" fillId="9" borderId="0" xfId="19" applyBorder="1"/>
    <xf numFmtId="183" fontId="0" fillId="0" borderId="0" xfId="44" applyNumberFormat="1" applyFont="1" applyBorder="1"/>
    <xf numFmtId="164" fontId="0" fillId="0" borderId="0" xfId="44" applyFont="1" applyBorder="1"/>
    <xf numFmtId="165" fontId="23" fillId="6" borderId="0" xfId="12" applyNumberFormat="1" applyBorder="1"/>
    <xf numFmtId="41" fontId="0" fillId="0" borderId="0" xfId="43" applyFont="1" applyBorder="1"/>
    <xf numFmtId="44" fontId="23" fillId="6" borderId="0" xfId="12" applyNumberFormat="1" applyBorder="1"/>
    <xf numFmtId="0" fontId="0" fillId="0" borderId="0" xfId="0" applyBorder="1"/>
    <xf numFmtId="41" fontId="23" fillId="6" borderId="0" xfId="43" applyFont="1" applyFill="1" applyBorder="1"/>
    <xf numFmtId="41" fontId="24" fillId="0" borderId="0" xfId="43" applyFont="1" applyBorder="1"/>
    <xf numFmtId="178" fontId="29" fillId="9" borderId="0" xfId="19" applyNumberFormat="1" applyBorder="1" applyAlignment="1"/>
    <xf numFmtId="166" fontId="23" fillId="6" borderId="44" xfId="1" applyNumberFormat="1" applyFont="1" applyFill="1" applyBorder="1"/>
    <xf numFmtId="175" fontId="23" fillId="6" borderId="44" xfId="43" applyNumberFormat="1" applyFont="1" applyFill="1" applyBorder="1"/>
    <xf numFmtId="178" fontId="29" fillId="39" borderId="32" xfId="19" applyNumberFormat="1" applyFill="1" applyBorder="1" applyAlignment="1"/>
    <xf numFmtId="0" fontId="100" fillId="0" borderId="0" xfId="0" applyFont="1"/>
    <xf numFmtId="0" fontId="29" fillId="29" borderId="0" xfId="39" applyAlignment="1">
      <alignment horizontal="center"/>
    </xf>
    <xf numFmtId="175" fontId="58" fillId="0" borderId="10" xfId="43" applyNumberFormat="1" applyFont="1" applyBorder="1" applyAlignment="1">
      <alignment horizontal="center" vertical="center"/>
    </xf>
    <xf numFmtId="187" fontId="0" fillId="61" borderId="0" xfId="43" applyNumberFormat="1" applyFont="1" applyFill="1"/>
    <xf numFmtId="0" fontId="0" fillId="0" borderId="0" xfId="0"/>
    <xf numFmtId="10" fontId="0" fillId="0" borderId="0" xfId="0" applyNumberFormat="1"/>
    <xf numFmtId="164" fontId="0" fillId="0" borderId="0" xfId="0" applyNumberFormat="1"/>
    <xf numFmtId="0" fontId="28" fillId="0" borderId="0" xfId="0" applyFont="1"/>
    <xf numFmtId="164" fontId="0" fillId="43" borderId="0" xfId="0" applyNumberFormat="1" applyFill="1"/>
    <xf numFmtId="164" fontId="28" fillId="0" borderId="0" xfId="0" applyNumberFormat="1" applyFont="1"/>
    <xf numFmtId="2" fontId="81" fillId="41" borderId="0" xfId="61" applyNumberFormat="1" applyFont="1" applyFill="1" applyAlignment="1"/>
    <xf numFmtId="166" fontId="79" fillId="0" borderId="0" xfId="0" applyNumberFormat="1" applyFont="1" applyFill="1" applyAlignment="1">
      <alignment horizontal="center"/>
    </xf>
    <xf numFmtId="178" fontId="29" fillId="13" borderId="0" xfId="23" applyNumberFormat="1" applyAlignment="1"/>
    <xf numFmtId="0" fontId="92" fillId="0" borderId="28" xfId="80" applyFont="1" applyFill="1" applyBorder="1" applyAlignment="1">
      <alignment horizontal="center"/>
    </xf>
    <xf numFmtId="0" fontId="4" fillId="0" borderId="0" xfId="80"/>
    <xf numFmtId="2" fontId="4" fillId="0" borderId="0" xfId="80" applyNumberFormat="1" applyFill="1" applyBorder="1" applyAlignment="1">
      <alignment horizontal="center"/>
    </xf>
    <xf numFmtId="0" fontId="4" fillId="0" borderId="0" xfId="80" applyFill="1" applyBorder="1" applyAlignment="1">
      <alignment horizontal="center"/>
    </xf>
    <xf numFmtId="0" fontId="93" fillId="0" borderId="0" xfId="80" applyFont="1"/>
    <xf numFmtId="2" fontId="93" fillId="0" borderId="0" xfId="80" applyNumberFormat="1" applyFont="1"/>
    <xf numFmtId="9" fontId="58" fillId="0" borderId="0" xfId="80" applyNumberFormat="1" applyFont="1" applyFill="1" applyAlignment="1">
      <alignment horizontal="left"/>
    </xf>
    <xf numFmtId="2" fontId="4" fillId="0" borderId="0" xfId="80" applyNumberFormat="1" applyAlignment="1">
      <alignment horizontal="center"/>
    </xf>
    <xf numFmtId="10" fontId="4" fillId="0" borderId="0" xfId="80" applyNumberFormat="1"/>
    <xf numFmtId="0" fontId="94" fillId="0" borderId="0" xfId="80" applyFont="1"/>
    <xf numFmtId="0" fontId="4" fillId="0" borderId="0" xfId="80" applyAlignment="1">
      <alignment horizontal="center"/>
    </xf>
    <xf numFmtId="0" fontId="4" fillId="0" borderId="10" xfId="80" applyBorder="1" applyAlignment="1">
      <alignment horizontal="center"/>
    </xf>
    <xf numFmtId="0" fontId="93" fillId="0" borderId="0" xfId="80" applyFont="1" applyAlignment="1">
      <alignment horizontal="center"/>
    </xf>
    <xf numFmtId="0" fontId="4" fillId="0" borderId="0" xfId="80" applyAlignment="1">
      <alignment horizontal="left"/>
    </xf>
    <xf numFmtId="0" fontId="53" fillId="41" borderId="0" xfId="80" applyFont="1" applyFill="1"/>
    <xf numFmtId="0" fontId="95" fillId="41" borderId="0" xfId="80" applyFont="1" applyFill="1"/>
    <xf numFmtId="10" fontId="52" fillId="41" borderId="0" xfId="61" applyNumberFormat="1" applyFont="1" applyFill="1"/>
    <xf numFmtId="10" fontId="53" fillId="41" borderId="0" xfId="61" applyNumberFormat="1" applyFont="1" applyFill="1"/>
    <xf numFmtId="178" fontId="29" fillId="13" borderId="32" xfId="23" applyNumberFormat="1" applyBorder="1" applyAlignment="1"/>
    <xf numFmtId="0" fontId="101" fillId="0" borderId="0" xfId="0" applyFont="1" applyAlignment="1">
      <alignment horizontal="center"/>
    </xf>
    <xf numFmtId="41" fontId="3" fillId="0" borderId="0" xfId="43" applyFont="1" applyAlignment="1">
      <alignment vertical="center"/>
    </xf>
    <xf numFmtId="175" fontId="0" fillId="0" borderId="0" xfId="0" applyNumberFormat="1"/>
    <xf numFmtId="43" fontId="0" fillId="0" borderId="0" xfId="0" applyNumberFormat="1"/>
    <xf numFmtId="187" fontId="0" fillId="0" borderId="0" xfId="43" applyNumberFormat="1" applyFont="1"/>
    <xf numFmtId="164" fontId="0" fillId="39" borderId="0" xfId="0" applyNumberFormat="1" applyFill="1"/>
    <xf numFmtId="0" fontId="28" fillId="62" borderId="0" xfId="0" applyFont="1" applyFill="1" applyBorder="1"/>
    <xf numFmtId="164" fontId="28" fillId="62" borderId="0" xfId="0" applyNumberFormat="1" applyFont="1" applyFill="1"/>
    <xf numFmtId="166" fontId="28" fillId="62" borderId="0" xfId="1" applyNumberFormat="1" applyFont="1" applyFill="1"/>
    <xf numFmtId="193" fontId="28" fillId="62" borderId="0" xfId="0" applyNumberFormat="1" applyFont="1" applyFill="1"/>
    <xf numFmtId="0" fontId="25" fillId="9" borderId="0" xfId="0" applyFont="1" applyFill="1" applyAlignment="1">
      <alignment horizontal="center"/>
    </xf>
    <xf numFmtId="10" fontId="79" fillId="47" borderId="0" xfId="0" applyNumberFormat="1" applyFont="1" applyFill="1" applyAlignment="1">
      <alignment horizontal="center"/>
    </xf>
    <xf numFmtId="10" fontId="96" fillId="63" borderId="56" xfId="0" applyNumberFormat="1" applyFont="1" applyFill="1" applyBorder="1" applyAlignment="1">
      <alignment horizontal="right" vertical="center"/>
    </xf>
    <xf numFmtId="0" fontId="25" fillId="9" borderId="57" xfId="0" applyFont="1" applyFill="1" applyBorder="1" applyAlignment="1">
      <alignment horizontal="center"/>
    </xf>
    <xf numFmtId="0" fontId="0" fillId="0" borderId="0" xfId="0" applyAlignment="1"/>
    <xf numFmtId="10" fontId="0" fillId="44" borderId="32" xfId="1" applyNumberFormat="1" applyFont="1" applyFill="1" applyBorder="1" applyAlignment="1">
      <alignment horizontal="center"/>
    </xf>
    <xf numFmtId="0" fontId="25" fillId="9" borderId="0" xfId="0" applyFont="1" applyFill="1" applyAlignment="1">
      <alignment horizontal="center"/>
    </xf>
    <xf numFmtId="0" fontId="25" fillId="9" borderId="58" xfId="0" applyFont="1" applyFill="1" applyBorder="1" applyAlignment="1">
      <alignment horizontal="center"/>
    </xf>
    <xf numFmtId="0" fontId="25" fillId="29" borderId="0" xfId="39" applyFont="1" applyBorder="1" applyAlignment="1">
      <alignment horizontal="center"/>
    </xf>
    <xf numFmtId="10" fontId="58" fillId="0" borderId="10" xfId="1" applyNumberFormat="1" applyFont="1" applyBorder="1" applyAlignment="1">
      <alignment horizontal="center"/>
    </xf>
    <xf numFmtId="194" fontId="0" fillId="0" borderId="0" xfId="44" applyNumberFormat="1" applyFont="1"/>
    <xf numFmtId="195" fontId="0" fillId="0" borderId="0" xfId="0" applyNumberFormat="1"/>
    <xf numFmtId="196" fontId="0" fillId="0" borderId="0" xfId="0" applyNumberFormat="1"/>
    <xf numFmtId="197" fontId="0" fillId="0" borderId="0" xfId="43" applyNumberFormat="1" applyFont="1"/>
    <xf numFmtId="197" fontId="0" fillId="0" borderId="0" xfId="0" applyNumberFormat="1"/>
    <xf numFmtId="182" fontId="79" fillId="47" borderId="0" xfId="0" applyNumberFormat="1" applyFont="1" applyFill="1" applyAlignment="1">
      <alignment horizontal="center"/>
    </xf>
    <xf numFmtId="175" fontId="23" fillId="6" borderId="54" xfId="43" applyNumberFormat="1" applyFont="1" applyFill="1" applyBorder="1"/>
    <xf numFmtId="175" fontId="23" fillId="6" borderId="0" xfId="43" applyNumberFormat="1" applyFont="1" applyFill="1" applyBorder="1"/>
    <xf numFmtId="9" fontId="58" fillId="0" borderId="10" xfId="1" applyFont="1" applyBorder="1" applyAlignment="1">
      <alignment horizontal="center" vertical="center"/>
    </xf>
    <xf numFmtId="165" fontId="22" fillId="59" borderId="0" xfId="11" applyNumberFormat="1" applyFill="1" applyBorder="1" applyAlignment="1">
      <alignment horizontal="right"/>
    </xf>
    <xf numFmtId="0" fontId="53" fillId="41" borderId="59" xfId="61" applyFont="1" applyFill="1" applyBorder="1"/>
    <xf numFmtId="0" fontId="53" fillId="41" borderId="0" xfId="61" applyFont="1" applyFill="1" applyBorder="1"/>
    <xf numFmtId="10" fontId="53" fillId="41" borderId="0" xfId="61" applyNumberFormat="1" applyFont="1" applyFill="1" applyBorder="1"/>
    <xf numFmtId="41" fontId="53" fillId="41" borderId="0" xfId="61" applyNumberFormat="1" applyFont="1" applyFill="1" applyBorder="1"/>
    <xf numFmtId="166" fontId="53" fillId="41" borderId="0" xfId="61" applyNumberFormat="1" applyFont="1" applyFill="1" applyBorder="1"/>
    <xf numFmtId="187" fontId="53" fillId="41" borderId="0" xfId="61" applyNumberFormat="1" applyFont="1" applyFill="1" applyBorder="1"/>
    <xf numFmtId="174" fontId="53" fillId="41" borderId="0" xfId="61" applyNumberFormat="1" applyFont="1" applyFill="1" applyBorder="1"/>
    <xf numFmtId="164" fontId="53" fillId="41" borderId="0" xfId="61" applyNumberFormat="1" applyFont="1" applyFill="1" applyBorder="1"/>
    <xf numFmtId="175" fontId="53" fillId="41" borderId="0" xfId="61" applyNumberFormat="1" applyFont="1" applyFill="1" applyBorder="1"/>
    <xf numFmtId="10" fontId="53" fillId="41" borderId="60" xfId="61" applyNumberFormat="1" applyFont="1" applyFill="1" applyBorder="1"/>
    <xf numFmtId="41" fontId="53" fillId="41" borderId="60" xfId="61" applyNumberFormat="1" applyFont="1" applyFill="1" applyBorder="1"/>
    <xf numFmtId="166" fontId="53" fillId="41" borderId="60" xfId="61" applyNumberFormat="1" applyFont="1" applyFill="1" applyBorder="1"/>
    <xf numFmtId="187" fontId="53" fillId="41" borderId="60" xfId="61" applyNumberFormat="1" applyFont="1" applyFill="1" applyBorder="1"/>
    <xf numFmtId="174" fontId="53" fillId="41" borderId="60" xfId="61" applyNumberFormat="1" applyFont="1" applyFill="1" applyBorder="1"/>
    <xf numFmtId="164" fontId="53" fillId="41" borderId="60" xfId="61" applyNumberFormat="1" applyFont="1" applyFill="1" applyBorder="1"/>
    <xf numFmtId="175" fontId="53" fillId="41" borderId="60" xfId="61" applyNumberFormat="1" applyFont="1" applyFill="1" applyBorder="1"/>
    <xf numFmtId="0" fontId="53" fillId="41" borderId="61" xfId="61" applyFont="1" applyFill="1" applyBorder="1"/>
    <xf numFmtId="0" fontId="53" fillId="41" borderId="64" xfId="61" applyFont="1" applyFill="1" applyBorder="1"/>
    <xf numFmtId="0" fontId="53" fillId="41" borderId="65" xfId="61" applyFont="1" applyFill="1" applyBorder="1"/>
    <xf numFmtId="41" fontId="53" fillId="41" borderId="65" xfId="61" applyNumberFormat="1" applyFont="1" applyFill="1" applyBorder="1"/>
    <xf numFmtId="41" fontId="53" fillId="41" borderId="66" xfId="61" applyNumberFormat="1" applyFont="1" applyFill="1" applyBorder="1"/>
    <xf numFmtId="0" fontId="53" fillId="41" borderId="67" xfId="61" applyFont="1" applyFill="1" applyBorder="1" applyAlignment="1">
      <alignment horizontal="center" wrapText="1"/>
    </xf>
    <xf numFmtId="0" fontId="53" fillId="41" borderId="28" xfId="61" applyFont="1" applyFill="1" applyBorder="1" applyAlignment="1">
      <alignment horizontal="center" wrapText="1"/>
    </xf>
    <xf numFmtId="0" fontId="53" fillId="41" borderId="68" xfId="61" applyFont="1" applyFill="1" applyBorder="1" applyAlignment="1">
      <alignment horizontal="center" wrapText="1"/>
    </xf>
    <xf numFmtId="0" fontId="53" fillId="41" borderId="70" xfId="61" applyFont="1" applyFill="1" applyBorder="1" applyAlignment="1">
      <alignment horizontal="center" wrapText="1"/>
    </xf>
    <xf numFmtId="0" fontId="53" fillId="41" borderId="40" xfId="61" applyFont="1" applyFill="1" applyBorder="1"/>
    <xf numFmtId="0" fontId="53" fillId="41" borderId="71" xfId="61" applyFont="1" applyFill="1" applyBorder="1"/>
    <xf numFmtId="0" fontId="53" fillId="41" borderId="73" xfId="61" applyFont="1" applyFill="1" applyBorder="1" applyAlignment="1">
      <alignment horizontal="center" wrapText="1"/>
    </xf>
    <xf numFmtId="2" fontId="53" fillId="41" borderId="74" xfId="61" applyNumberFormat="1" applyFont="1" applyFill="1" applyBorder="1"/>
    <xf numFmtId="2" fontId="53" fillId="41" borderId="75" xfId="61" applyNumberFormat="1" applyFont="1" applyFill="1" applyBorder="1"/>
    <xf numFmtId="0" fontId="53" fillId="41" borderId="0" xfId="61" applyFont="1" applyFill="1" applyAlignment="1">
      <alignment horizontal="right"/>
    </xf>
    <xf numFmtId="0" fontId="52" fillId="41" borderId="0" xfId="61" applyFont="1" applyFill="1"/>
    <xf numFmtId="0" fontId="52" fillId="41" borderId="0" xfId="61" applyFont="1" applyFill="1" applyAlignment="1">
      <alignment horizontal="right"/>
    </xf>
    <xf numFmtId="0" fontId="92" fillId="0" borderId="28" xfId="85" applyFont="1" applyBorder="1" applyAlignment="1">
      <alignment horizontal="center"/>
    </xf>
    <xf numFmtId="0" fontId="1" fillId="0" borderId="0" xfId="85"/>
    <xf numFmtId="2" fontId="1" fillId="0" borderId="0" xfId="85" applyNumberFormat="1" applyAlignment="1">
      <alignment horizontal="center"/>
    </xf>
    <xf numFmtId="0" fontId="1" fillId="0" borderId="0" xfId="85" applyAlignment="1">
      <alignment horizontal="center"/>
    </xf>
    <xf numFmtId="0" fontId="93" fillId="0" borderId="0" xfId="85" applyFont="1"/>
    <xf numFmtId="2" fontId="93" fillId="0" borderId="0" xfId="85" applyNumberFormat="1" applyFont="1"/>
    <xf numFmtId="0" fontId="35" fillId="41" borderId="0" xfId="61" applyFill="1"/>
    <xf numFmtId="0" fontId="35" fillId="41" borderId="0" xfId="61" quotePrefix="1" applyFill="1" applyAlignment="1">
      <alignment horizontal="right"/>
    </xf>
    <xf numFmtId="0" fontId="35" fillId="41" borderId="0" xfId="61" applyFill="1" applyAlignment="1">
      <alignment horizontal="right"/>
    </xf>
    <xf numFmtId="188" fontId="35" fillId="41" borderId="0" xfId="61" applyNumberFormat="1" applyFill="1" applyAlignment="1">
      <alignment horizontal="right"/>
    </xf>
    <xf numFmtId="9" fontId="58" fillId="0" borderId="0" xfId="85" applyNumberFormat="1" applyFont="1" applyAlignment="1">
      <alignment horizontal="left"/>
    </xf>
    <xf numFmtId="188" fontId="35" fillId="0" borderId="0" xfId="61" applyNumberFormat="1" applyAlignment="1">
      <alignment horizontal="right"/>
    </xf>
    <xf numFmtId="10" fontId="1" fillId="0" borderId="0" xfId="85" applyNumberFormat="1"/>
    <xf numFmtId="0" fontId="94" fillId="0" borderId="0" xfId="85" applyFont="1"/>
    <xf numFmtId="0" fontId="1" fillId="0" borderId="10" xfId="85" applyBorder="1" applyAlignment="1">
      <alignment horizontal="center"/>
    </xf>
    <xf numFmtId="0" fontId="93" fillId="0" borderId="0" xfId="85" applyFont="1" applyAlignment="1">
      <alignment horizontal="center"/>
    </xf>
    <xf numFmtId="0" fontId="1" fillId="0" borderId="0" xfId="85" applyAlignment="1">
      <alignment horizontal="left"/>
    </xf>
    <xf numFmtId="0" fontId="53" fillId="41" borderId="0" xfId="85" applyFont="1" applyFill="1"/>
    <xf numFmtId="0" fontId="95" fillId="41" borderId="0" xfId="85" applyFont="1" applyFill="1"/>
    <xf numFmtId="0" fontId="61" fillId="46" borderId="0" xfId="0" applyFont="1" applyFill="1" applyAlignment="1">
      <alignment horizontal="center"/>
    </xf>
    <xf numFmtId="0" fontId="61" fillId="44" borderId="0" xfId="0" applyFont="1" applyFill="1" applyAlignment="1">
      <alignment horizontal="center"/>
    </xf>
    <xf numFmtId="0" fontId="74" fillId="48" borderId="0" xfId="0" applyFont="1" applyFill="1" applyAlignment="1">
      <alignment horizontal="center"/>
    </xf>
    <xf numFmtId="0" fontId="28" fillId="0" borderId="16" xfId="0" applyFont="1" applyBorder="1" applyAlignment="1">
      <alignment horizontal="center"/>
    </xf>
    <xf numFmtId="0" fontId="50" fillId="40" borderId="29" xfId="0" applyFont="1" applyFill="1" applyBorder="1" applyAlignment="1">
      <alignment horizontal="center" vertical="center" wrapText="1"/>
    </xf>
    <xf numFmtId="0" fontId="50" fillId="40" borderId="30" xfId="0" applyFont="1" applyFill="1" applyBorder="1" applyAlignment="1">
      <alignment horizontal="center" vertical="center" wrapText="1"/>
    </xf>
    <xf numFmtId="0" fontId="50" fillId="40" borderId="12" xfId="0" applyFont="1" applyFill="1" applyBorder="1" applyAlignment="1">
      <alignment horizontal="center" vertical="center"/>
    </xf>
    <xf numFmtId="0" fontId="50" fillId="40" borderId="15" xfId="0" applyFont="1" applyFill="1" applyBorder="1" applyAlignment="1">
      <alignment horizontal="center" vertical="center"/>
    </xf>
    <xf numFmtId="0" fontId="50" fillId="40" borderId="13" xfId="0" applyFont="1" applyFill="1" applyBorder="1" applyAlignment="1">
      <alignment horizontal="center" vertical="center"/>
    </xf>
    <xf numFmtId="0" fontId="50" fillId="40" borderId="16" xfId="0" applyFont="1" applyFill="1" applyBorder="1" applyAlignment="1">
      <alignment horizontal="center" vertical="center"/>
    </xf>
    <xf numFmtId="0" fontId="50" fillId="40" borderId="29" xfId="0" applyFont="1" applyFill="1" applyBorder="1" applyAlignment="1">
      <alignment horizontal="center" vertical="center"/>
    </xf>
    <xf numFmtId="10" fontId="57" fillId="0" borderId="0" xfId="0" applyNumberFormat="1" applyFont="1" applyAlignment="1">
      <alignment horizontal="center"/>
    </xf>
    <xf numFmtId="0" fontId="57" fillId="0" borderId="0" xfId="0" applyFont="1" applyAlignment="1">
      <alignment horizontal="center"/>
    </xf>
    <xf numFmtId="0" fontId="29" fillId="13" borderId="0" xfId="23" applyAlignment="1">
      <alignment horizontal="left" wrapText="1"/>
    </xf>
    <xf numFmtId="0" fontId="47" fillId="0" borderId="0" xfId="0" applyFont="1" applyAlignment="1">
      <alignment horizontal="center" vertical="center"/>
    </xf>
    <xf numFmtId="0" fontId="45" fillId="39" borderId="0" xfId="0" applyFont="1" applyFill="1" applyAlignment="1">
      <alignment horizontal="center" vertical="center"/>
    </xf>
    <xf numFmtId="0" fontId="48" fillId="0" borderId="0" xfId="0" applyFont="1" applyAlignment="1">
      <alignment horizontal="center"/>
    </xf>
    <xf numFmtId="2" fontId="43" fillId="0" borderId="0" xfId="45" applyNumberFormat="1" applyFont="1" applyAlignment="1">
      <alignment horizontal="center" vertical="center"/>
    </xf>
    <xf numFmtId="0" fontId="49" fillId="0" borderId="0" xfId="0" applyFont="1" applyAlignment="1">
      <alignment horizontal="center"/>
    </xf>
    <xf numFmtId="0" fontId="45" fillId="0" borderId="0" xfId="0" applyFont="1" applyAlignment="1">
      <alignment horizontal="center"/>
    </xf>
    <xf numFmtId="0" fontId="25" fillId="44" borderId="0" xfId="23" applyFont="1" applyFill="1" applyAlignment="1">
      <alignment horizontal="center"/>
    </xf>
    <xf numFmtId="0" fontId="44" fillId="0" borderId="0" xfId="0" applyFont="1" applyAlignment="1">
      <alignment horizontal="center"/>
    </xf>
    <xf numFmtId="0" fontId="25" fillId="45" borderId="0" xfId="23" applyFont="1" applyFill="1" applyBorder="1" applyAlignment="1">
      <alignment horizontal="right"/>
    </xf>
    <xf numFmtId="0" fontId="25" fillId="9" borderId="0" xfId="0" applyFont="1" applyFill="1" applyAlignment="1">
      <alignment horizontal="center"/>
    </xf>
    <xf numFmtId="0" fontId="25" fillId="9" borderId="57" xfId="0" applyFont="1" applyFill="1" applyBorder="1" applyAlignment="1">
      <alignment horizontal="center"/>
    </xf>
    <xf numFmtId="166" fontId="28" fillId="0" borderId="0" xfId="0" applyNumberFormat="1" applyFont="1" applyAlignment="1">
      <alignment horizontal="center"/>
    </xf>
    <xf numFmtId="0" fontId="62" fillId="0" borderId="0" xfId="0" applyFont="1" applyAlignment="1">
      <alignment horizontal="center"/>
    </xf>
    <xf numFmtId="0" fontId="0" fillId="0" borderId="31" xfId="0" applyBorder="1" applyAlignment="1">
      <alignment horizontal="left" wrapText="1"/>
    </xf>
    <xf numFmtId="0" fontId="0" fillId="0" borderId="0" xfId="0" applyAlignment="1">
      <alignment horizontal="left" wrapText="1"/>
    </xf>
    <xf numFmtId="0" fontId="42" fillId="0" borderId="31" xfId="47" applyBorder="1" applyAlignment="1">
      <alignment horizontal="center"/>
    </xf>
    <xf numFmtId="0" fontId="42" fillId="0" borderId="0" xfId="47" applyAlignment="1">
      <alignment horizontal="center"/>
    </xf>
    <xf numFmtId="0" fontId="0" fillId="0" borderId="30" xfId="0" applyBorder="1" applyAlignment="1">
      <alignment horizontal="left" wrapText="1"/>
    </xf>
    <xf numFmtId="0" fontId="0" fillId="0" borderId="10" xfId="0" applyBorder="1" applyAlignment="1">
      <alignment horizontal="left" wrapText="1"/>
    </xf>
    <xf numFmtId="0" fontId="25" fillId="9" borderId="10" xfId="0" applyFont="1" applyFill="1" applyBorder="1" applyAlignment="1">
      <alignment horizontal="center"/>
    </xf>
    <xf numFmtId="0" fontId="66" fillId="39" borderId="37" xfId="48" applyFont="1" applyFill="1" applyBorder="1" applyAlignment="1">
      <alignment horizontal="center"/>
    </xf>
    <xf numFmtId="0" fontId="66" fillId="39" borderId="30" xfId="48" applyFont="1" applyFill="1" applyBorder="1" applyAlignment="1">
      <alignment horizontal="center"/>
    </xf>
    <xf numFmtId="0" fontId="67" fillId="39" borderId="37" xfId="48" applyFont="1" applyFill="1" applyBorder="1" applyAlignment="1">
      <alignment horizontal="center"/>
    </xf>
    <xf numFmtId="0" fontId="67" fillId="39" borderId="30" xfId="48" applyFont="1" applyFill="1" applyBorder="1" applyAlignment="1">
      <alignment horizontal="center"/>
    </xf>
    <xf numFmtId="0" fontId="65" fillId="44" borderId="37" xfId="48" applyFont="1" applyFill="1" applyBorder="1" applyAlignment="1">
      <alignment horizontal="center" vertical="center" wrapText="1"/>
    </xf>
    <xf numFmtId="0" fontId="65" fillId="44" borderId="30" xfId="48" applyFont="1" applyFill="1" applyBorder="1" applyAlignment="1">
      <alignment horizontal="center" vertical="center" wrapText="1"/>
    </xf>
    <xf numFmtId="0" fontId="101" fillId="0" borderId="0" xfId="0" applyFont="1" applyAlignment="1">
      <alignment horizontal="center"/>
    </xf>
    <xf numFmtId="0" fontId="102" fillId="53" borderId="0" xfId="0" applyFont="1" applyFill="1" applyAlignment="1">
      <alignment horizontal="center"/>
    </xf>
    <xf numFmtId="0" fontId="101" fillId="0" borderId="0" xfId="0" applyFont="1" applyBorder="1" applyAlignment="1">
      <alignment horizontal="center"/>
    </xf>
    <xf numFmtId="0" fontId="85" fillId="41" borderId="0" xfId="61" applyFont="1" applyFill="1" applyAlignment="1">
      <alignment horizontal="center" vertical="center"/>
    </xf>
    <xf numFmtId="0" fontId="86" fillId="41" borderId="47" xfId="61" applyFont="1" applyFill="1" applyBorder="1" applyAlignment="1">
      <alignment horizontal="left" vertical="center"/>
    </xf>
    <xf numFmtId="178" fontId="29" fillId="13" borderId="0" xfId="23" applyNumberFormat="1" applyAlignment="1">
      <alignment horizontal="left"/>
    </xf>
    <xf numFmtId="178" fontId="29" fillId="13" borderId="32" xfId="23" applyNumberFormat="1" applyBorder="1" applyAlignment="1">
      <alignment horizontal="left"/>
    </xf>
    <xf numFmtId="0" fontId="29" fillId="9" borderId="0" xfId="19" applyAlignment="1">
      <alignment horizontal="center"/>
    </xf>
    <xf numFmtId="0" fontId="72" fillId="0" borderId="0" xfId="0" applyFont="1" applyAlignment="1">
      <alignment horizontal="center"/>
    </xf>
    <xf numFmtId="0" fontId="75" fillId="9" borderId="0" xfId="19" applyFont="1" applyBorder="1" applyAlignment="1">
      <alignment horizontal="left"/>
    </xf>
    <xf numFmtId="178" fontId="29" fillId="0" borderId="32" xfId="23" applyNumberFormat="1" applyFill="1" applyBorder="1" applyAlignment="1">
      <alignment horizontal="left"/>
    </xf>
    <xf numFmtId="2" fontId="81" fillId="41" borderId="0" xfId="61" applyNumberFormat="1" applyFont="1" applyFill="1" applyAlignment="1"/>
    <xf numFmtId="2" fontId="85" fillId="41" borderId="0" xfId="61" applyNumberFormat="1" applyFont="1" applyFill="1" applyAlignment="1">
      <alignment horizontal="center" vertical="center"/>
    </xf>
    <xf numFmtId="2" fontId="86" fillId="41" borderId="47" xfId="61" applyNumberFormat="1" applyFont="1" applyFill="1" applyBorder="1" applyAlignment="1">
      <alignment horizontal="center" vertical="center"/>
    </xf>
    <xf numFmtId="0" fontId="53" fillId="41" borderId="69" xfId="61" applyFont="1" applyFill="1" applyBorder="1" applyAlignment="1">
      <alignment horizontal="center"/>
    </xf>
    <xf numFmtId="0" fontId="103" fillId="0" borderId="62" xfId="0" applyFont="1" applyBorder="1" applyAlignment="1">
      <alignment horizontal="center"/>
    </xf>
    <xf numFmtId="0" fontId="103" fillId="0" borderId="72" xfId="0" applyFont="1" applyBorder="1" applyAlignment="1">
      <alignment horizontal="center"/>
    </xf>
    <xf numFmtId="0" fontId="53" fillId="41" borderId="62" xfId="61" applyFont="1" applyFill="1" applyBorder="1" applyAlignment="1">
      <alignment horizontal="center"/>
    </xf>
    <xf numFmtId="0" fontId="103" fillId="0" borderId="63" xfId="0" applyFont="1" applyBorder="1" applyAlignment="1">
      <alignment horizontal="center"/>
    </xf>
    <xf numFmtId="0" fontId="53" fillId="41" borderId="0" xfId="61" applyFont="1" applyFill="1" applyAlignment="1">
      <alignment horizontal="justify" vertical="center"/>
    </xf>
    <xf numFmtId="0" fontId="29" fillId="29" borderId="0" xfId="39" applyAlignment="1">
      <alignment horizontal="center"/>
    </xf>
    <xf numFmtId="0" fontId="28" fillId="0" borderId="0" xfId="0" applyFont="1" applyAlignment="1">
      <alignment horizontal="center"/>
    </xf>
    <xf numFmtId="0" fontId="76" fillId="0" borderId="0" xfId="0" applyFont="1" applyAlignment="1">
      <alignment horizontal="center"/>
    </xf>
    <xf numFmtId="0" fontId="47" fillId="0" borderId="0" xfId="0" applyFont="1" applyAlignment="1">
      <alignment horizontal="center"/>
    </xf>
    <xf numFmtId="0" fontId="22" fillId="6" borderId="41" xfId="11" applyBorder="1" applyAlignment="1">
      <alignment horizontal="right"/>
    </xf>
    <xf numFmtId="0" fontId="22" fillId="6" borderId="42" xfId="11" applyBorder="1" applyAlignment="1">
      <alignment horizontal="right"/>
    </xf>
    <xf numFmtId="0" fontId="22" fillId="6" borderId="43" xfId="11" applyBorder="1" applyAlignment="1">
      <alignment horizontal="right"/>
    </xf>
    <xf numFmtId="0" fontId="63" fillId="0" borderId="38" xfId="0" applyFont="1" applyBorder="1" applyAlignment="1">
      <alignment horizontal="left" vertical="top" wrapText="1"/>
    </xf>
    <xf numFmtId="0" fontId="63"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44" fillId="0" borderId="27" xfId="0" applyFont="1" applyBorder="1" applyAlignment="1">
      <alignment horizontal="center"/>
    </xf>
    <xf numFmtId="0" fontId="29" fillId="13" borderId="0" xfId="52" applyAlignment="1">
      <alignment horizontal="left"/>
    </xf>
    <xf numFmtId="0" fontId="29" fillId="13" borderId="32" xfId="52" applyBorder="1" applyAlignment="1">
      <alignment horizontal="left"/>
    </xf>
    <xf numFmtId="0" fontId="73" fillId="0" borderId="0" xfId="0" applyFont="1" applyAlignment="1">
      <alignment horizontal="center"/>
    </xf>
    <xf numFmtId="0" fontId="71" fillId="0" borderId="0" xfId="0" applyFont="1" applyAlignment="1">
      <alignment horizontal="center"/>
    </xf>
    <xf numFmtId="0" fontId="46" fillId="0" borderId="25" xfId="0" applyFont="1" applyBorder="1" applyAlignment="1">
      <alignment horizontal="center" vertical="center"/>
    </xf>
    <xf numFmtId="0" fontId="46" fillId="0" borderId="0" xfId="0" applyFont="1" applyAlignment="1">
      <alignment horizontal="center" vertical="center"/>
    </xf>
    <xf numFmtId="0" fontId="46" fillId="0" borderId="48" xfId="0" applyFont="1" applyBorder="1" applyAlignment="1">
      <alignment horizontal="center"/>
    </xf>
    <xf numFmtId="0" fontId="0" fillId="0" borderId="0" xfId="0" applyNumberFormat="1" applyFont="1" applyFill="1" applyBorder="1" applyAlignment="1"/>
    <xf numFmtId="167" fontId="0" fillId="0" borderId="0" xfId="0" applyNumberFormat="1" applyFont="1" applyFill="1" applyBorder="1" applyAlignment="1"/>
  </cellXfs>
  <cellStyles count="8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1 2" xfId="51"/>
    <cellStyle name="Énfasis2" xfId="23" builtinId="33" customBuiltin="1"/>
    <cellStyle name="Énfasis2 2" xfId="52"/>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7" builtinId="8"/>
    <cellStyle name="Incorrecto" xfId="8" builtinId="27" customBuiltin="1"/>
    <cellStyle name="Millares" xfId="45" builtinId="3"/>
    <cellStyle name="Millares [0]" xfId="43" builtinId="6"/>
    <cellStyle name="Millares [0] 2" xfId="58"/>
    <cellStyle name="Millares [0] 2 2" xfId="75"/>
    <cellStyle name="Millares [0] 3" xfId="66"/>
    <cellStyle name="Millares [0] 4" xfId="82"/>
    <cellStyle name="Millares 2" xfId="67"/>
    <cellStyle name="Millares 3" xfId="65"/>
    <cellStyle name="Millares 8" xfId="49"/>
    <cellStyle name="Millares 8 2" xfId="70"/>
    <cellStyle name="Moneda" xfId="46" builtinId="4"/>
    <cellStyle name="Moneda [0]" xfId="44" builtinId="7"/>
    <cellStyle name="Moneda [0] 2" xfId="55"/>
    <cellStyle name="Moneda [0] 2 2" xfId="73"/>
    <cellStyle name="Moneda [0] 3" xfId="83"/>
    <cellStyle name="Moneda 2" xfId="68"/>
    <cellStyle name="Moneda 3" xfId="64"/>
    <cellStyle name="Neutral" xfId="9" builtinId="28" customBuiltin="1"/>
    <cellStyle name="Normal" xfId="0" builtinId="0"/>
    <cellStyle name="Normal 10" xfId="80"/>
    <cellStyle name="Normal 11" xfId="81"/>
    <cellStyle name="Normal 12" xfId="85"/>
    <cellStyle name="Normal 2" xfId="50"/>
    <cellStyle name="Normal 2 2" xfId="61"/>
    <cellStyle name="Normal 2 2 3" xfId="48"/>
    <cellStyle name="Normal 2 2 3 2" xfId="69"/>
    <cellStyle name="Normal 2 3" xfId="71"/>
    <cellStyle name="Normal 3" xfId="56"/>
    <cellStyle name="Normal 3 2" xfId="74"/>
    <cellStyle name="Normal 4" xfId="57"/>
    <cellStyle name="Normal 5" xfId="59"/>
    <cellStyle name="Normal 6" xfId="60"/>
    <cellStyle name="Normal 6 2" xfId="76"/>
    <cellStyle name="Normal 7" xfId="62"/>
    <cellStyle name="Normal 7 2" xfId="77"/>
    <cellStyle name="Normal 8" xfId="63"/>
    <cellStyle name="Normal 8 2" xfId="78"/>
    <cellStyle name="Normal 9" xfId="79"/>
    <cellStyle name="Notas" xfId="16" builtinId="10" customBuiltin="1"/>
    <cellStyle name="Porcentaje" xfId="1" builtinId="5"/>
    <cellStyle name="Porcentaje 2" xfId="53"/>
    <cellStyle name="Porcentaje 3" xfId="54"/>
    <cellStyle name="Porcentaje 3 2" xfId="72"/>
    <cellStyle name="Porcentaje 4" xfId="84"/>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286">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numFmt numFmtId="167" formatCode="###,###.0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4"/>
        <color rgb="FF333333"/>
        <name val="Helvetica Neue"/>
        <scheme val="none"/>
      </font>
    </dxf>
    <dxf>
      <font>
        <b val="0"/>
        <i val="0"/>
        <strike val="0"/>
        <condense val="0"/>
        <extend val="0"/>
        <outline val="0"/>
        <shadow val="0"/>
        <u val="none"/>
        <vertAlign val="baseline"/>
        <sz val="14"/>
        <color rgb="FF333333"/>
        <name val="Helvetica Neue"/>
        <scheme val="none"/>
      </font>
    </dxf>
    <dxf>
      <font>
        <b val="0"/>
        <i val="0"/>
        <strike val="0"/>
        <condense val="0"/>
        <extend val="0"/>
        <outline val="0"/>
        <shadow val="0"/>
        <u val="none"/>
        <vertAlign val="baseline"/>
        <sz val="14"/>
        <color rgb="FF333333"/>
        <name val="Helvetica Neue"/>
        <scheme val="none"/>
      </font>
    </dxf>
    <dxf>
      <font>
        <b val="0"/>
        <i val="0"/>
        <strike val="0"/>
        <condense val="0"/>
        <extend val="0"/>
        <outline val="0"/>
        <shadow val="0"/>
        <u val="none"/>
        <vertAlign val="baseline"/>
        <sz val="14"/>
        <color rgb="FF333333"/>
        <name val="Helvetica Neue"/>
        <scheme val="none"/>
      </font>
    </dxf>
    <dxf>
      <font>
        <b val="0"/>
        <i val="0"/>
        <strike val="0"/>
        <condense val="0"/>
        <extend val="0"/>
        <outline val="0"/>
        <shadow val="0"/>
        <u val="none"/>
        <vertAlign val="baseline"/>
        <sz val="14"/>
        <color rgb="FF333333"/>
        <name val="Helvetica Neue"/>
        <scheme val="none"/>
      </font>
    </dxf>
    <dxf>
      <font>
        <b val="0"/>
        <i val="0"/>
        <strike val="0"/>
        <condense val="0"/>
        <extend val="0"/>
        <outline val="0"/>
        <shadow val="0"/>
        <u val="none"/>
        <vertAlign val="baseline"/>
        <sz val="14"/>
        <color rgb="FF333333"/>
        <name val="Helvetica Neue"/>
        <scheme val="none"/>
      </font>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70"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67" formatCode="###,###.00"/>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numFmt numFmtId="185" formatCode="d/mm/yy"/>
      <alignment horizontal="general" vertical="bottom"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0"/>
        <color theme="1"/>
        <name val="Arial"/>
        <scheme val="none"/>
      </font>
      <border diagonalUp="0" diagonalDown="0">
        <left/>
        <right/>
        <top style="thin">
          <color theme="4"/>
        </top>
        <bottom/>
        <vertical/>
        <horizontal/>
      </border>
    </dxf>
    <dxf>
      <border outline="0">
        <left style="thin">
          <color theme="4"/>
        </left>
        <right style="thin">
          <color theme="4"/>
        </right>
        <top style="thin">
          <color theme="4"/>
        </top>
      </border>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dxf>
    <dxf>
      <numFmt numFmtId="13" formatCode="0%"/>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64" formatCode="_-&quot;$&quot;* #,##0_-;\-&quot;$&quot;* #,##0_-;_-&quot;$&quot;* &quot;-&quot;_-;_-@_-"/>
      <border diagonalUp="0" diagonalDown="0">
        <left style="thin">
          <color indexed="64"/>
        </left>
        <right style="thin">
          <color indexed="64"/>
        </right>
        <top style="thin">
          <color indexed="64"/>
        </top>
        <bottom style="thin">
          <color indexed="64"/>
        </bottom>
        <vertical/>
        <horizontal/>
      </border>
    </dxf>
    <dxf>
      <numFmt numFmtId="164" formatCode="_-&quot;$&quot;* #,##0_-;\-&quot;$&quot;* #,##0_-;_-&quot;$&quot;* &quot;-&quot;_-;_-@_-"/>
      <border diagonalUp="0" diagonalDown="0" outline="0">
        <left style="thin">
          <color indexed="64"/>
        </left>
        <right style="thin">
          <color indexed="64"/>
        </right>
        <top style="thin">
          <color indexed="64"/>
        </top>
        <bottom/>
      </border>
    </dxf>
    <dxf>
      <numFmt numFmtId="164" formatCode="_-&quot;$&quot;* #,##0_-;\-&quot;$&quot;* #,##0_-;_-&quot;$&quot;* &quot;-&quot;_-;_-@_-"/>
    </dxf>
    <dxf>
      <numFmt numFmtId="164" formatCode="_-&quot;$&quot;* #,##0_-;\-&quot;$&quot;* #,##0_-;_-&quot;$&quot;* &quot;-&quot;_-;_-@_-"/>
      <border diagonalUp="0" diagonalDown="0" outline="0">
        <left style="thin">
          <color indexed="64"/>
        </left>
        <right style="thin">
          <color indexed="64"/>
        </right>
        <top style="thin">
          <color indexed="64"/>
        </top>
        <bottom/>
      </border>
    </dxf>
    <dxf>
      <numFmt numFmtId="164" formatCode="_-&quot;$&quot;* #,##0_-;\-&quot;$&quot;* #,##0_-;_-&quot;$&quot;* &quot;-&quot;_-;_-@_-"/>
    </dxf>
    <dxf>
      <numFmt numFmtId="164" formatCode="_-&quot;$&quot;* #,##0_-;\-&quot;$&quot;* #,##0_-;_-&quot;$&quot;* &quot;-&quot;_-;_-@_-"/>
      <border diagonalUp="0" diagonalDown="0" outline="0">
        <left style="thin">
          <color indexed="64"/>
        </left>
        <right style="thin">
          <color indexed="64"/>
        </right>
        <top style="thin">
          <color indexed="64"/>
        </top>
        <bottom/>
      </border>
    </dxf>
    <dxf>
      <numFmt numFmtId="164" formatCode="_-&quot;$&quot;* #,##0_-;\-&quot;$&quot;* #,##0_-;_-&quot;$&quot;* &quot;-&quot;_-;_-@_-"/>
    </dxf>
    <dxf>
      <numFmt numFmtId="169" formatCode="_-&quot;$&quot;* #,##0.00_-;\-&quot;$&quot;* #,##0.00_-;_-&quot;$&quot;* &quot;-&quot;_-;_-@_-"/>
      <border diagonalUp="0" diagonalDown="0" outline="0">
        <left style="thin">
          <color indexed="64"/>
        </left>
        <right style="thin">
          <color indexed="64"/>
        </right>
        <top style="thin">
          <color indexed="64"/>
        </top>
        <bottom/>
      </border>
    </dxf>
    <dxf>
      <numFmt numFmtId="164" formatCode="_-&quot;$&quot;* #,##0_-;\-&quot;$&quot;* #,##0_-;_-&quot;$&quot;* &quot;-&quot;_-;_-@_-"/>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64" formatCode="_-&quot;$&quot;* #,##0_-;\-&quot;$&quot;* #,##0_-;_-&quot;$&quot;* &quot;-&quot;_-;_-@_-"/>
      <border diagonalUp="0" diagonalDown="0" outline="0">
        <left style="thin">
          <color indexed="64"/>
        </left>
        <right style="thin">
          <color indexed="64"/>
        </right>
        <top style="thin">
          <color indexed="64"/>
        </top>
        <bottom style="thin">
          <color indexed="64"/>
        </bottom>
      </border>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64" formatCode="_-&quot;$&quot;* #,##0_-;\-&quot;$&quot;* #,##0_-;_-&quot;$&quot;* &quot;-&quot;_-;_-@_-"/>
      <border diagonalUp="0" diagonalDown="0" outline="0">
        <left style="thin">
          <color indexed="64"/>
        </left>
        <right style="thin">
          <color indexed="64"/>
        </right>
        <top style="thin">
          <color indexed="64"/>
        </top>
        <bottom style="thin">
          <color indexed="64"/>
        </bottom>
      </border>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rgb="FF000000"/>
          <bgColor rgb="FFFFFFFF"/>
        </patternFill>
      </fill>
    </dxf>
    <dxf>
      <alignment horizontal="center" vertical="bottom" textRotation="0" wrapText="1" indent="0" justifyLastLine="0" shrinkToFit="0" readingOrder="0"/>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dxf>
    <dxf>
      <font>
        <b val="0"/>
        <i val="0"/>
        <strike val="0"/>
        <condense val="0"/>
        <extend val="0"/>
        <outline val="0"/>
        <shadow val="0"/>
        <u val="none"/>
        <vertAlign val="baseline"/>
        <sz val="12"/>
        <color rgb="FF000000"/>
        <name val="Calibri"/>
        <scheme val="none"/>
      </font>
    </dxf>
    <dxf>
      <font>
        <b val="0"/>
        <i val="0"/>
        <strike val="0"/>
        <condense val="0"/>
        <extend val="0"/>
        <outline val="0"/>
        <shadow val="0"/>
        <u val="none"/>
        <vertAlign val="baseline"/>
        <sz val="14"/>
        <color theme="0"/>
        <name val="Calibri"/>
        <scheme val="minor"/>
      </font>
      <alignment horizontal="center" vertical="bottom" textRotation="0" wrapText="0" indent="0" justifyLastLine="0" shrinkToFit="0" readingOrder="0"/>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77" formatCode="#,##0.000"/>
      <border diagonalUp="0" diagonalDown="0" outline="0">
        <left style="thin">
          <color indexed="64"/>
        </left>
        <right style="thin">
          <color indexed="64"/>
        </right>
        <top style="thin">
          <color indexed="64"/>
        </top>
        <bottom/>
      </border>
    </dxf>
    <dxf>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77" formatCode="#,##0.000"/>
      <border diagonalUp="0" diagonalDown="0" outline="0">
        <left style="thin">
          <color indexed="64"/>
        </left>
        <right style="thin">
          <color indexed="64"/>
        </right>
        <top style="thin">
          <color indexed="64"/>
        </top>
        <bottom/>
      </border>
    </dxf>
    <dxf>
      <numFmt numFmtId="177" formatCode="#,##0.000"/>
      <border diagonalUp="0" diagonalDown="0">
        <left style="thin">
          <color indexed="64"/>
        </left>
        <right style="thin">
          <color indexed="64"/>
        </right>
        <top style="thin">
          <color indexed="64"/>
        </top>
        <bottom style="thin">
          <color indexed="64"/>
        </bottom>
        <vertical/>
        <horizontal/>
      </border>
    </dxf>
    <dxf>
      <numFmt numFmtId="177" formatCode="#,##0.000"/>
      <border diagonalUp="0" diagonalDown="0" outline="0">
        <left style="thin">
          <color indexed="64"/>
        </left>
        <right style="thin">
          <color indexed="64"/>
        </right>
        <top style="thin">
          <color indexed="64"/>
        </top>
        <bottom/>
      </border>
    </dxf>
    <dxf>
      <numFmt numFmtId="177" formatCode="#,##0.000"/>
      <border diagonalUp="0" diagonalDown="0">
        <left style="thin">
          <color indexed="64"/>
        </left>
        <right style="thin">
          <color indexed="64"/>
        </right>
        <top style="thin">
          <color indexed="64"/>
        </top>
        <bottom style="thin">
          <color indexed="64"/>
        </bottom>
        <vertical/>
        <horizontal/>
      </border>
    </dxf>
    <dxf>
      <numFmt numFmtId="177" formatCode="#,##0.000"/>
      <border diagonalUp="0" diagonalDown="0" outline="0">
        <left style="thin">
          <color indexed="64"/>
        </left>
        <right style="thin">
          <color indexed="64"/>
        </right>
        <top style="thin">
          <color indexed="64"/>
        </top>
        <bottom/>
      </border>
    </dxf>
    <dxf>
      <numFmt numFmtId="177" formatCode="#,##0.000"/>
      <border diagonalUp="0" diagonalDown="0">
        <left style="thin">
          <color indexed="64"/>
        </left>
        <right style="thin">
          <color indexed="64"/>
        </right>
        <top style="thin">
          <color indexed="64"/>
        </top>
        <bottom style="thin">
          <color indexed="64"/>
        </bottom>
        <vertical/>
        <horizontal/>
      </border>
    </dxf>
    <dxf>
      <numFmt numFmtId="177" formatCode="#,##0.000"/>
      <border diagonalUp="0" diagonalDown="0" outline="0">
        <left style="thin">
          <color indexed="64"/>
        </left>
        <right style="thin">
          <color indexed="64"/>
        </right>
        <top style="thin">
          <color indexed="64"/>
        </top>
        <bottom/>
      </border>
    </dxf>
    <dxf>
      <numFmt numFmtId="177" formatCode="#,##0.00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65" formatCode="_(&quot;$&quot;* #,##0.00_);_(&quot;$&quot;* \(#,##0.00\);_(&quot;$&quot;* &quot;-&quot;??_);_(@_)"/>
      <border diagonalUp="0" diagonalDown="0" outline="0">
        <left style="thin">
          <color indexed="64"/>
        </left>
        <right style="thin">
          <color indexed="64"/>
        </right>
        <top style="thin">
          <color indexed="64"/>
        </top>
        <bottom/>
      </border>
    </dxf>
    <dxf>
      <numFmt numFmtId="165"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4" formatCode="0.00%"/>
      <border diagonalUp="0" diagonalDown="0" outline="0">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border diagonalUp="0" diagonalDown="0" outline="0">
        <left/>
        <right style="thin">
          <color indexed="64"/>
        </right>
        <top style="thin">
          <color indexed="64"/>
        </top>
        <bottom style="thin">
          <color indexed="64"/>
        </bottom>
      </border>
    </dxf>
    <dxf>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4" formatCode="0.00%"/>
      <fill>
        <patternFill patternType="none">
          <fgColor indexed="64"/>
          <bgColor indexed="65"/>
        </patternFill>
      </fill>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0"/>
        <color auto="1"/>
        <name val="Arial"/>
        <scheme val="none"/>
      </font>
      <border diagonalUp="0" diagonalDown="0" outline="0">
        <left style="thin">
          <color indexed="64"/>
        </left>
        <right style="thin">
          <color indexed="64"/>
        </right>
        <top style="thin">
          <color indexed="64"/>
        </top>
        <bottom/>
      </border>
    </dxf>
    <dxf>
      <fill>
        <patternFill patternType="solid">
          <fgColor indexed="64"/>
          <bgColor theme="0" tint="-0.34998626667073579"/>
        </patternFill>
      </fill>
      <border diagonalUp="0" diagonalDown="0" outline="0">
        <left style="thin">
          <color indexed="64"/>
        </left>
        <right/>
        <top style="thin">
          <color indexed="64"/>
        </top>
        <bottom/>
      </border>
    </dxf>
    <dxf>
      <fill>
        <patternFill patternType="solid">
          <fgColor indexed="64"/>
          <bgColor theme="0" tint="-0.34998626667073579"/>
        </patternFill>
      </fill>
      <border diagonalUp="0" diagonalDown="0" outline="0">
        <left style="thin">
          <color indexed="64"/>
        </left>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Calibri"/>
        <scheme val="minor"/>
      </font>
      <fill>
        <patternFill patternType="none">
          <fgColor indexed="64"/>
          <bgColor indexed="65"/>
        </patternFill>
      </fill>
    </dxf>
    <dxf>
      <numFmt numFmtId="1" formatCode="0"/>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bottom" textRotation="0" wrapText="0" indent="0" justifyLastLine="0" shrinkToFit="0" readingOrder="0"/>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theme="1"/>
        <name val="Calibri"/>
        <scheme val="minor"/>
      </font>
      <numFmt numFmtId="166" formatCode="0.0%"/>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A7D00"/>
        <name val="Calibri"/>
        <scheme val="minor"/>
      </font>
      <numFmt numFmtId="164" formatCode="_-&quot;$&quot;* #,##0_-;\-&quot;$&quot;* #,##0_-;_-&quot;$&quot;* &quot;-&quot;_-;_-@_-"/>
      <fill>
        <patternFill patternType="solid">
          <fgColor indexed="64"/>
          <bgColor rgb="FFF2F2F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4"/>
        <color theme="0"/>
        <name val="Calibri"/>
        <scheme val="minor"/>
      </font>
      <alignment horizontal="center" vertical="bottom" textRotation="0" wrapText="0" indent="0" justifyLastLine="0" shrinkToFit="0" readingOrder="0"/>
    </dxf>
    <dxf>
      <numFmt numFmtId="164" formatCode="_-&quot;$&quot;* #,##0_-;\-&quot;$&quot;* #,##0_-;_-&quot;$&quot;* &quot;-&quot;_-;_-@_-"/>
      <fill>
        <patternFill patternType="none">
          <fgColor indexed="64"/>
          <bgColor indexed="65"/>
        </patternFill>
      </fill>
    </dxf>
    <dxf>
      <numFmt numFmtId="3" formatCode="#,##0"/>
      <border diagonalUp="0" diagonalDown="0" outline="0">
        <left style="thin">
          <color indexed="64"/>
        </left>
        <right style="thin">
          <color indexed="64"/>
        </right>
        <top style="thin">
          <color indexed="64"/>
        </top>
        <bottom/>
      </border>
    </dxf>
    <dxf>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3" formatCode="#,##0"/>
      <border diagonalUp="0" diagonalDown="0" outline="0">
        <left style="thin">
          <color indexed="64"/>
        </left>
        <right style="thin">
          <color indexed="64"/>
        </right>
        <top style="thin">
          <color indexed="64"/>
        </top>
        <bottom/>
      </border>
    </dxf>
    <dxf>
      <numFmt numFmtId="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166" formatCode="0.0%"/>
      <border diagonalUp="0" diagonalDown="0" outline="0">
        <left style="thin">
          <color indexed="64"/>
        </left>
        <right style="thin">
          <color indexed="64"/>
        </right>
        <top style="thin">
          <color indexed="64"/>
        </top>
        <bottom/>
      </border>
    </dxf>
    <dxf>
      <numFmt numFmtId="166" formatCode="0.0%"/>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64" formatCode="_-&quot;$&quot;* #,##0_-;\-&quot;$&quot;* #,##0_-;_-&quot;$&quot;*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64" formatCode="_-&quot;$&quot;* #,##0_-;\-&quot;$&quot;* #,##0_-;_-&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4" formatCode="0.0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dxf>
    <dxf>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alcChain" Target="calcChain.xml"/><Relationship Id="rId84" Type="http://schemas.openxmlformats.org/officeDocument/2006/relationships/customXml" Target="../customXml/item16.xml"/><Relationship Id="rId89" Type="http://schemas.openxmlformats.org/officeDocument/2006/relationships/customXml" Target="../customXml/item2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2.xml"/><Relationship Id="rId58" Type="http://schemas.openxmlformats.org/officeDocument/2006/relationships/pivotCacheDefinition" Target="pivotCache/pivotCacheDefinition7.xml"/><Relationship Id="rId74" Type="http://schemas.openxmlformats.org/officeDocument/2006/relationships/customXml" Target="../customXml/item6.xml"/><Relationship Id="rId79" Type="http://schemas.openxmlformats.org/officeDocument/2006/relationships/customXml" Target="../customXml/item11.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5.xml"/><Relationship Id="rId64" Type="http://schemas.openxmlformats.org/officeDocument/2006/relationships/connections" Target="connections.xml"/><Relationship Id="rId69" Type="http://schemas.openxmlformats.org/officeDocument/2006/relationships/customXml" Target="../customXml/item1.xml"/><Relationship Id="rId77"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customXml" Target="../customXml/item4.xml"/><Relationship Id="rId80" Type="http://schemas.openxmlformats.org/officeDocument/2006/relationships/customXml" Target="../customXml/item12.xml"/><Relationship Id="rId85" Type="http://schemas.openxmlformats.org/officeDocument/2006/relationships/customXml" Target="../customXml/item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8.xml"/><Relationship Id="rId67"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3.xml"/><Relationship Id="rId62" Type="http://schemas.microsoft.com/office/2007/relationships/slicerCache" Target="slicerCaches/slicerCache2.xml"/><Relationship Id="rId70" Type="http://schemas.openxmlformats.org/officeDocument/2006/relationships/customXml" Target="../customXml/item2.xml"/><Relationship Id="rId75" Type="http://schemas.openxmlformats.org/officeDocument/2006/relationships/customXml" Target="../customXml/item7.xml"/><Relationship Id="rId83" Type="http://schemas.openxmlformats.org/officeDocument/2006/relationships/customXml" Target="../customXml/item15.xml"/><Relationship Id="rId88"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60" Type="http://schemas.openxmlformats.org/officeDocument/2006/relationships/pivotCacheDefinition" Target="pivotCache/pivotCacheDefinition9.xml"/><Relationship Id="rId65" Type="http://schemas.openxmlformats.org/officeDocument/2006/relationships/styles" Target="styles.xml"/><Relationship Id="rId73" Type="http://schemas.openxmlformats.org/officeDocument/2006/relationships/customXml" Target="../customXml/item5.xml"/><Relationship Id="rId78" Type="http://schemas.openxmlformats.org/officeDocument/2006/relationships/customXml" Target="../customXml/item10.xml"/><Relationship Id="rId81" Type="http://schemas.openxmlformats.org/officeDocument/2006/relationships/customXml" Target="../customXml/item13.xml"/><Relationship Id="rId86"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pivotCacheDefinition" Target="pivotCache/pivotCacheDefinition4.xml"/><Relationship Id="rId76"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sharedStrings" Target="sharedStrings.xml"/><Relationship Id="rId87" Type="http://schemas.openxmlformats.org/officeDocument/2006/relationships/customXml" Target="../customXml/item19.xml"/><Relationship Id="rId61" Type="http://schemas.microsoft.com/office/2007/relationships/slicerCache" Target="slicerCaches/slicerCache1.xml"/><Relationship Id="rId82" Type="http://schemas.openxmlformats.org/officeDocument/2006/relationships/customXml" Target="../customXml/item14.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Activo</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'Balance General'!$C$20</c:f>
              <c:strCache>
                <c:ptCount val="1"/>
                <c:pt idx="0">
                  <c:v>Total del Activo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3"/>
              <c:layout>
                <c:manualLayout>
                  <c:x val="-4.8920863309352622E-2"/>
                  <c:y val="-5.48812573691633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B4C-45FA-954B-78B944BD980E}"/>
                </c:ext>
              </c:extLst>
            </c:dLbl>
            <c:dLbl>
              <c:idx val="4"/>
              <c:layout>
                <c:manualLayout>
                  <c:x val="-8.3453237410072045E-2"/>
                  <c:y val="5.48812573691633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B4C-45FA-954B-78B944BD98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'Balance General'!$D$3:$I$3</c:f>
              <c:strCache>
                <c:ptCount val="5"/>
                <c:pt idx="0">
                  <c:v>2014</c:v>
                </c:pt>
                <c:pt idx="1">
                  <c:v>2015</c:v>
                </c:pt>
                <c:pt idx="2">
                  <c:v>2016</c:v>
                </c:pt>
                <c:pt idx="3">
                  <c:v>2017</c:v>
                </c:pt>
                <c:pt idx="4">
                  <c:v>2018</c:v>
                </c:pt>
              </c:strCache>
            </c:strRef>
          </c:cat>
          <c:val>
            <c:numRef>
              <c:f>'Balance General'!$D$20:$I$20</c:f>
              <c:numCache>
                <c:formatCode>#,##0</c:formatCode>
                <c:ptCount val="5"/>
                <c:pt idx="0" formatCode="_-&quot;$&quot;* #,##0_-;\-&quot;$&quot;* #,##0_-;_-&quot;$&quot;* &quot;-&quot;_-;_-@_-">
                  <c:v>3483940</c:v>
                </c:pt>
                <c:pt idx="1">
                  <c:v>3196930</c:v>
                </c:pt>
                <c:pt idx="2" formatCode="_-&quot;$&quot;* #,##0_-;\-&quot;$&quot;* #,##0_-;_-&quot;$&quot;* &quot;-&quot;_-;_-@_-">
                  <c:v>3294646</c:v>
                </c:pt>
                <c:pt idx="3" formatCode="_-&quot;$&quot;* #,##0_-;\-&quot;$&quot;* #,##0_-;_-&quot;$&quot;* &quot;-&quot;_-;_-@_-">
                  <c:v>3293989</c:v>
                </c:pt>
                <c:pt idx="4" formatCode="_-&quot;$&quot;* #,##0_-;\-&quot;$&quot;* #,##0_-;_-&quot;$&quot;* &quot;-&quot;_-;_-@_-">
                  <c:v>3047781</c:v>
                </c:pt>
              </c:numCache>
            </c:numRef>
          </c:val>
          <c:smooth val="0"/>
          <c:extLst>
            <c:ext xmlns:c16="http://schemas.microsoft.com/office/drawing/2014/chart" uri="{C3380CC4-5D6E-409C-BE32-E72D297353CC}">
              <c16:uniqueId val="{0000000D-FB4C-45FA-954B-78B944BD980E}"/>
            </c:ext>
          </c:extLst>
        </c:ser>
        <c:dLbls>
          <c:showLegendKey val="0"/>
          <c:showVal val="0"/>
          <c:showCatName val="0"/>
          <c:showSerName val="0"/>
          <c:showPercent val="0"/>
          <c:showBubbleSize val="0"/>
        </c:dLbls>
        <c:marker val="1"/>
        <c:smooth val="0"/>
        <c:axId val="2131171712"/>
        <c:axId val="2131179584"/>
      </c:lineChart>
      <c:lineChart>
        <c:grouping val="standard"/>
        <c:varyColors val="0"/>
        <c:ser>
          <c:idx val="1"/>
          <c:order val="1"/>
          <c:tx>
            <c:v>Variación</c:v>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'Balance General'!$Q$3:$U$3</c:f>
              <c:strCache>
                <c:ptCount val="5"/>
                <c:pt idx="0">
                  <c:v> Horizontal 2014vs2013</c:v>
                </c:pt>
                <c:pt idx="1">
                  <c:v> Horizontal 2015vs2014</c:v>
                </c:pt>
                <c:pt idx="2">
                  <c:v> Horizontal 2016vs2015</c:v>
                </c:pt>
                <c:pt idx="3">
                  <c:v> Horizontal 2017vs2016</c:v>
                </c:pt>
                <c:pt idx="4">
                  <c:v> Horizontal 2018vs2017</c:v>
                </c:pt>
              </c:strCache>
            </c:strRef>
          </c:cat>
          <c:val>
            <c:numRef>
              <c:f>('Balance General'!$A$1,'Balance General'!$Q$20:$U$20)</c:f>
              <c:numCache>
                <c:formatCode>0.0%</c:formatCode>
                <c:ptCount val="6"/>
                <c:pt idx="1">
                  <c:v>-0.10114181070856559</c:v>
                </c:pt>
                <c:pt idx="2">
                  <c:v>-8.9776754573919357E-2</c:v>
                </c:pt>
                <c:pt idx="3">
                  <c:v>2.9659028617945601E-2</c:v>
                </c:pt>
                <c:pt idx="4">
                  <c:v>-1.9945421797097683E-4</c:v>
                </c:pt>
                <c:pt idx="5">
                  <c:v>-8.0782707156452513E-2</c:v>
                </c:pt>
              </c:numCache>
            </c:numRef>
          </c:val>
          <c:smooth val="0"/>
          <c:extLst>
            <c:ext xmlns:c16="http://schemas.microsoft.com/office/drawing/2014/chart" uri="{C3380CC4-5D6E-409C-BE32-E72D297353CC}">
              <c16:uniqueId val="{00000010-FB4C-45FA-954B-78B944BD980E}"/>
            </c:ext>
          </c:extLst>
        </c:ser>
        <c:dLbls>
          <c:showLegendKey val="0"/>
          <c:showVal val="0"/>
          <c:showCatName val="0"/>
          <c:showSerName val="0"/>
          <c:showPercent val="0"/>
          <c:showBubbleSize val="0"/>
        </c:dLbls>
        <c:marker val="1"/>
        <c:smooth val="0"/>
        <c:axId val="2131231736"/>
        <c:axId val="2131234688"/>
      </c:lineChart>
      <c:catAx>
        <c:axId val="21311717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179584"/>
        <c:crosses val="autoZero"/>
        <c:auto val="1"/>
        <c:lblAlgn val="ctr"/>
        <c:lblOffset val="100"/>
        <c:noMultiLvlLbl val="0"/>
      </c:catAx>
      <c:valAx>
        <c:axId val="213117958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171712"/>
        <c:crosses val="autoZero"/>
        <c:crossBetween val="between"/>
      </c:valAx>
      <c:valAx>
        <c:axId val="213123468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231736"/>
        <c:crosses val="max"/>
        <c:crossBetween val="between"/>
      </c:valAx>
      <c:catAx>
        <c:axId val="2131231736"/>
        <c:scaling>
          <c:orientation val="minMax"/>
        </c:scaling>
        <c:delete val="1"/>
        <c:axPos val="b"/>
        <c:numFmt formatCode="General" sourceLinked="1"/>
        <c:majorTickMark val="none"/>
        <c:minorTickMark val="none"/>
        <c:tickLblPos val="nextTo"/>
        <c:crossAx val="213123468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Consolidada20190929.xlsx]Hoja1!PivotTable2</c:name>
    <c:fmtId val="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Consumo de Cemento(Miles Toneladas)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ivotFmts>
      <c:pivotFmt>
        <c:idx val="0"/>
      </c:pivotFmt>
      <c:pivotFmt>
        <c:idx val="1"/>
      </c:pivotFmt>
      <c:pivotFmt>
        <c:idx val="2"/>
      </c:pivotFmt>
      <c:pivotFmt>
        <c:idx val="3"/>
      </c:pivotFmt>
      <c:pivotFmt>
        <c:idx val="4"/>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pivotFmt>
      <c:pivotFmt>
        <c:idx val="8"/>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pivotFmt>
      <c:pivotFmt>
        <c:idx val="17"/>
      </c:pivotFmt>
      <c:pivotFmt>
        <c:idx val="18"/>
      </c:pivotFmt>
      <c:pivotFmt>
        <c:idx val="19"/>
      </c:pivotFmt>
      <c:pivotFmt>
        <c:idx val="20"/>
      </c:pivotFmt>
      <c:pivotFmt>
        <c:idx val="21"/>
      </c:pivotFmt>
    </c:pivotFmts>
    <c:plotArea>
      <c:layout/>
      <c:barChart>
        <c:barDir val="bar"/>
        <c:grouping val="clustered"/>
        <c:varyColors val="0"/>
        <c:ser>
          <c:idx val="0"/>
          <c:order val="0"/>
          <c:tx>
            <c:strRef>
              <c:f>Hoja1!$V$50:$V$51</c:f>
              <c:strCache>
                <c:ptCount val="1"/>
                <c:pt idx="0">
                  <c:v>Colombia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Hoja1!$U$52:$U$56</c:f>
              <c:strCache>
                <c:ptCount val="5"/>
                <c:pt idx="0">
                  <c:v>Sum of 2013</c:v>
                </c:pt>
                <c:pt idx="1">
                  <c:v>Sum of 2014</c:v>
                </c:pt>
                <c:pt idx="2">
                  <c:v>Sum of 2015</c:v>
                </c:pt>
                <c:pt idx="3">
                  <c:v>Sum of 2016*</c:v>
                </c:pt>
                <c:pt idx="4">
                  <c:v>Sum of 2017F**</c:v>
                </c:pt>
              </c:strCache>
            </c:strRef>
          </c:cat>
          <c:val>
            <c:numRef>
              <c:f>Hoja1!$V$52:$V$56</c:f>
              <c:numCache>
                <c:formatCode>General</c:formatCode>
                <c:ptCount val="5"/>
                <c:pt idx="0">
                  <c:v>10866</c:v>
                </c:pt>
                <c:pt idx="1">
                  <c:v>11970</c:v>
                </c:pt>
                <c:pt idx="2">
                  <c:v>12807</c:v>
                </c:pt>
                <c:pt idx="3">
                  <c:v>12101</c:v>
                </c:pt>
                <c:pt idx="4">
                  <c:v>11983</c:v>
                </c:pt>
              </c:numCache>
            </c:numRef>
          </c:val>
          <c:extLst>
            <c:ext xmlns:c16="http://schemas.microsoft.com/office/drawing/2014/chart" uri="{C3380CC4-5D6E-409C-BE32-E72D297353CC}">
              <c16:uniqueId val="{00000000-4048-4E4C-8601-FA46F2D5F2F9}"/>
            </c:ext>
          </c:extLst>
        </c:ser>
        <c:ser>
          <c:idx val="1"/>
          <c:order val="1"/>
          <c:tx>
            <c:strRef>
              <c:f>Hoja1!$W$50:$W$51</c:f>
              <c:strCache>
                <c:ptCount val="1"/>
                <c:pt idx="0">
                  <c:v>Costa Rica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Hoja1!$U$52:$U$56</c:f>
              <c:strCache>
                <c:ptCount val="5"/>
                <c:pt idx="0">
                  <c:v>Sum of 2013</c:v>
                </c:pt>
                <c:pt idx="1">
                  <c:v>Sum of 2014</c:v>
                </c:pt>
                <c:pt idx="2">
                  <c:v>Sum of 2015</c:v>
                </c:pt>
                <c:pt idx="3">
                  <c:v>Sum of 2016*</c:v>
                </c:pt>
                <c:pt idx="4">
                  <c:v>Sum of 2017F**</c:v>
                </c:pt>
              </c:strCache>
            </c:strRef>
          </c:cat>
          <c:val>
            <c:numRef>
              <c:f>Hoja1!$W$52:$W$56</c:f>
              <c:numCache>
                <c:formatCode>General</c:formatCode>
                <c:ptCount val="5"/>
                <c:pt idx="0">
                  <c:v>1400</c:v>
                </c:pt>
                <c:pt idx="1">
                  <c:v>1380</c:v>
                </c:pt>
                <c:pt idx="2">
                  <c:v>1410</c:v>
                </c:pt>
                <c:pt idx="3">
                  <c:v>1450</c:v>
                </c:pt>
                <c:pt idx="4">
                  <c:v>1560</c:v>
                </c:pt>
              </c:numCache>
            </c:numRef>
          </c:val>
          <c:extLst>
            <c:ext xmlns:c16="http://schemas.microsoft.com/office/drawing/2014/chart" uri="{C3380CC4-5D6E-409C-BE32-E72D297353CC}">
              <c16:uniqueId val="{00000001-4048-4E4C-8601-FA46F2D5F2F9}"/>
            </c:ext>
          </c:extLst>
        </c:ser>
        <c:ser>
          <c:idx val="2"/>
          <c:order val="2"/>
          <c:tx>
            <c:strRef>
              <c:f>Hoja1!$X$50:$X$51</c:f>
              <c:strCache>
                <c:ptCount val="1"/>
                <c:pt idx="0">
                  <c:v>El Salvador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Hoja1!$U$52:$U$56</c:f>
              <c:strCache>
                <c:ptCount val="5"/>
                <c:pt idx="0">
                  <c:v>Sum of 2013</c:v>
                </c:pt>
                <c:pt idx="1">
                  <c:v>Sum of 2014</c:v>
                </c:pt>
                <c:pt idx="2">
                  <c:v>Sum of 2015</c:v>
                </c:pt>
                <c:pt idx="3">
                  <c:v>Sum of 2016*</c:v>
                </c:pt>
                <c:pt idx="4">
                  <c:v>Sum of 2017F**</c:v>
                </c:pt>
              </c:strCache>
            </c:strRef>
          </c:cat>
          <c:val>
            <c:numRef>
              <c:f>Hoja1!$X$52:$X$56</c:f>
              <c:numCache>
                <c:formatCode>General</c:formatCode>
                <c:ptCount val="5"/>
                <c:pt idx="0">
                  <c:v>1029</c:v>
                </c:pt>
                <c:pt idx="1">
                  <c:v>941</c:v>
                </c:pt>
                <c:pt idx="2">
                  <c:v>945</c:v>
                </c:pt>
                <c:pt idx="3">
                  <c:v>956</c:v>
                </c:pt>
                <c:pt idx="4">
                  <c:v>1034</c:v>
                </c:pt>
              </c:numCache>
            </c:numRef>
          </c:val>
          <c:extLst>
            <c:ext xmlns:c16="http://schemas.microsoft.com/office/drawing/2014/chart" uri="{C3380CC4-5D6E-409C-BE32-E72D297353CC}">
              <c16:uniqueId val="{00000002-4048-4E4C-8601-FA46F2D5F2F9}"/>
            </c:ext>
          </c:extLst>
        </c:ser>
        <c:ser>
          <c:idx val="3"/>
          <c:order val="3"/>
          <c:tx>
            <c:strRef>
              <c:f>Hoja1!$Y$50:$Y$51</c:f>
              <c:strCache>
                <c:ptCount val="1"/>
                <c:pt idx="0">
                  <c:v>Guatemala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Hoja1!$U$52:$U$56</c:f>
              <c:strCache>
                <c:ptCount val="5"/>
                <c:pt idx="0">
                  <c:v>Sum of 2013</c:v>
                </c:pt>
                <c:pt idx="1">
                  <c:v>Sum of 2014</c:v>
                </c:pt>
                <c:pt idx="2">
                  <c:v>Sum of 2015</c:v>
                </c:pt>
                <c:pt idx="3">
                  <c:v>Sum of 2016*</c:v>
                </c:pt>
                <c:pt idx="4">
                  <c:v>Sum of 2017F**</c:v>
                </c:pt>
              </c:strCache>
            </c:strRef>
          </c:cat>
          <c:val>
            <c:numRef>
              <c:f>Hoja1!$Y$52:$Y$56</c:f>
              <c:numCache>
                <c:formatCode>General</c:formatCode>
                <c:ptCount val="5"/>
                <c:pt idx="0">
                  <c:v>2769</c:v>
                </c:pt>
                <c:pt idx="1">
                  <c:v>2874</c:v>
                </c:pt>
                <c:pt idx="2">
                  <c:v>2954</c:v>
                </c:pt>
                <c:pt idx="3">
                  <c:v>3000</c:v>
                </c:pt>
                <c:pt idx="4">
                  <c:v>3240</c:v>
                </c:pt>
              </c:numCache>
            </c:numRef>
          </c:val>
          <c:extLst>
            <c:ext xmlns:c16="http://schemas.microsoft.com/office/drawing/2014/chart" uri="{C3380CC4-5D6E-409C-BE32-E72D297353CC}">
              <c16:uniqueId val="{00000003-4048-4E4C-8601-FA46F2D5F2F9}"/>
            </c:ext>
          </c:extLst>
        </c:ser>
        <c:ser>
          <c:idx val="4"/>
          <c:order val="4"/>
          <c:tx>
            <c:strRef>
              <c:f>Hoja1!$Z$50:$Z$51</c:f>
              <c:strCache>
                <c:ptCount val="1"/>
                <c:pt idx="0">
                  <c:v>Nicaragua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Hoja1!$U$52:$U$56</c:f>
              <c:strCache>
                <c:ptCount val="5"/>
                <c:pt idx="0">
                  <c:v>Sum of 2013</c:v>
                </c:pt>
                <c:pt idx="1">
                  <c:v>Sum of 2014</c:v>
                </c:pt>
                <c:pt idx="2">
                  <c:v>Sum of 2015</c:v>
                </c:pt>
                <c:pt idx="3">
                  <c:v>Sum of 2016*</c:v>
                </c:pt>
                <c:pt idx="4">
                  <c:v>Sum of 2017F**</c:v>
                </c:pt>
              </c:strCache>
            </c:strRef>
          </c:cat>
          <c:val>
            <c:numRef>
              <c:f>Hoja1!$Z$52:$Z$56</c:f>
              <c:numCache>
                <c:formatCode>General</c:formatCode>
                <c:ptCount val="5"/>
                <c:pt idx="0">
                  <c:v>760</c:v>
                </c:pt>
                <c:pt idx="1">
                  <c:v>740</c:v>
                </c:pt>
                <c:pt idx="2">
                  <c:v>760</c:v>
                </c:pt>
                <c:pt idx="3">
                  <c:v>820</c:v>
                </c:pt>
                <c:pt idx="4">
                  <c:v>870</c:v>
                </c:pt>
              </c:numCache>
            </c:numRef>
          </c:val>
          <c:extLst>
            <c:ext xmlns:c16="http://schemas.microsoft.com/office/drawing/2014/chart" uri="{C3380CC4-5D6E-409C-BE32-E72D297353CC}">
              <c16:uniqueId val="{00000004-4048-4E4C-8601-FA46F2D5F2F9}"/>
            </c:ext>
          </c:extLst>
        </c:ser>
        <c:ser>
          <c:idx val="5"/>
          <c:order val="5"/>
          <c:tx>
            <c:strRef>
              <c:f>Hoja1!$AA$50:$AA$51</c:f>
              <c:strCache>
                <c:ptCount val="1"/>
                <c:pt idx="0">
                  <c:v>Panamá</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Hoja1!$U$52:$U$56</c:f>
              <c:strCache>
                <c:ptCount val="5"/>
                <c:pt idx="0">
                  <c:v>Sum of 2013</c:v>
                </c:pt>
                <c:pt idx="1">
                  <c:v>Sum of 2014</c:v>
                </c:pt>
                <c:pt idx="2">
                  <c:v>Sum of 2015</c:v>
                </c:pt>
                <c:pt idx="3">
                  <c:v>Sum of 2016*</c:v>
                </c:pt>
                <c:pt idx="4">
                  <c:v>Sum of 2017F**</c:v>
                </c:pt>
              </c:strCache>
            </c:strRef>
          </c:cat>
          <c:val>
            <c:numRef>
              <c:f>Hoja1!$AA$52:$AA$56</c:f>
              <c:numCache>
                <c:formatCode>General</c:formatCode>
                <c:ptCount val="5"/>
                <c:pt idx="0">
                  <c:v>2184</c:v>
                </c:pt>
                <c:pt idx="1">
                  <c:v>2033</c:v>
                </c:pt>
                <c:pt idx="2">
                  <c:v>1848</c:v>
                </c:pt>
                <c:pt idx="3">
                  <c:v>1903</c:v>
                </c:pt>
                <c:pt idx="4">
                  <c:v>1960</c:v>
                </c:pt>
              </c:numCache>
            </c:numRef>
          </c:val>
          <c:extLst>
            <c:ext xmlns:c16="http://schemas.microsoft.com/office/drawing/2014/chart" uri="{C3380CC4-5D6E-409C-BE32-E72D297353CC}">
              <c16:uniqueId val="{00000005-4048-4E4C-8601-FA46F2D5F2F9}"/>
            </c:ext>
          </c:extLst>
        </c:ser>
        <c:dLbls>
          <c:showLegendKey val="0"/>
          <c:showVal val="0"/>
          <c:showCatName val="0"/>
          <c:showSerName val="0"/>
          <c:showPercent val="0"/>
          <c:showBubbleSize val="0"/>
        </c:dLbls>
        <c:gapWidth val="115"/>
        <c:overlap val="-20"/>
        <c:axId val="1035904376"/>
        <c:axId val="1035903392"/>
      </c:barChart>
      <c:catAx>
        <c:axId val="1035904376"/>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035903392"/>
        <c:crosses val="autoZero"/>
        <c:auto val="1"/>
        <c:lblAlgn val="ctr"/>
        <c:lblOffset val="100"/>
        <c:noMultiLvlLbl val="0"/>
      </c:catAx>
      <c:valAx>
        <c:axId val="103590339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035904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bar"/>
        <c:grouping val="clustered"/>
        <c:varyColors val="0"/>
        <c:ser>
          <c:idx val="0"/>
          <c:order val="0"/>
          <c:tx>
            <c:strRef>
              <c:f>'Rs Oper y Fin Desta'!$A$3</c:f>
              <c:strCache>
                <c:ptCount val="1"/>
                <c:pt idx="0">
                  <c:v>Volumen de cemento consolidado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'Rs Oper y Fin Desta'!$B$2:$E$2</c:f>
              <c:strCache>
                <c:ptCount val="4"/>
                <c:pt idx="0">
                  <c:v>2014</c:v>
                </c:pt>
                <c:pt idx="1">
                  <c:v>2015</c:v>
                </c:pt>
                <c:pt idx="2">
                  <c:v>2016</c:v>
                </c:pt>
                <c:pt idx="3">
                  <c:v>2017</c:v>
                </c:pt>
              </c:strCache>
            </c:strRef>
          </c:cat>
          <c:val>
            <c:numRef>
              <c:f>'Rs Oper y Fin Desta'!$B$3:$E$3</c:f>
              <c:numCache>
                <c:formatCode>_(* #,##0_);_(* \(#,##0\);_(* "-"_);_(@_)</c:formatCode>
                <c:ptCount val="4"/>
                <c:pt idx="0">
                  <c:v>7910</c:v>
                </c:pt>
                <c:pt idx="1">
                  <c:v>7315</c:v>
                </c:pt>
                <c:pt idx="2">
                  <c:v>7525</c:v>
                </c:pt>
                <c:pt idx="3">
                  <c:v>7133</c:v>
                </c:pt>
              </c:numCache>
            </c:numRef>
          </c:val>
          <c:extLst>
            <c:ext xmlns:c16="http://schemas.microsoft.com/office/drawing/2014/chart" uri="{C3380CC4-5D6E-409C-BE32-E72D297353CC}">
              <c16:uniqueId val="{00000000-7790-4CFF-B0D2-271AA91161E1}"/>
            </c:ext>
          </c:extLst>
        </c:ser>
        <c:dLbls>
          <c:showLegendKey val="0"/>
          <c:showVal val="0"/>
          <c:showCatName val="0"/>
          <c:showSerName val="0"/>
          <c:showPercent val="0"/>
          <c:showBubbleSize val="0"/>
        </c:dLbls>
        <c:gapWidth val="115"/>
        <c:overlap val="-20"/>
        <c:axId val="958505888"/>
        <c:axId val="958508840"/>
      </c:barChart>
      <c:catAx>
        <c:axId val="95850588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958508840"/>
        <c:crosses val="autoZero"/>
        <c:auto val="1"/>
        <c:lblAlgn val="ctr"/>
        <c:lblOffset val="100"/>
        <c:noMultiLvlLbl val="0"/>
      </c:catAx>
      <c:valAx>
        <c:axId val="958508840"/>
        <c:scaling>
          <c:orientation val="minMax"/>
        </c:scaling>
        <c:delete val="0"/>
        <c:axPos val="b"/>
        <c:majorGridlines>
          <c:spPr>
            <a:ln w="9525" cap="flat" cmpd="sng" algn="ctr">
              <a:solidFill>
                <a:schemeClr val="lt1">
                  <a:lumMod val="95000"/>
                  <a:alpha val="10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95850588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solidFill>
                  <a:sysClr val="windowText" lastClr="000000"/>
                </a:solidFill>
              </a:rPr>
              <a:t>Comportamiento Acción</a:t>
            </a:r>
          </a:p>
          <a:p>
            <a:pPr>
              <a:defRPr>
                <a:solidFill>
                  <a:sysClr val="windowText" lastClr="000000"/>
                </a:solidFill>
              </a:defRPr>
            </a:pPr>
            <a:endParaRPr lang="en-U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lineChart>
        <c:grouping val="stacked"/>
        <c:varyColors val="0"/>
        <c:ser>
          <c:idx val="0"/>
          <c:order val="0"/>
          <c:tx>
            <c:strRef>
              <c:f>ComportamientoAcción!$G$2</c:f>
              <c:strCache>
                <c:ptCount val="1"/>
                <c:pt idx="0">
                  <c:v>Precio Cierre</c:v>
                </c:pt>
              </c:strCache>
            </c:strRef>
          </c:tx>
          <c:spPr>
            <a:ln w="31750" cap="rnd">
              <a:solidFill>
                <a:schemeClr val="accent6"/>
              </a:solidFill>
              <a:round/>
            </a:ln>
            <a:effectLst/>
          </c:spPr>
          <c:marker>
            <c:symbol val="none"/>
          </c:marker>
          <c:dPt>
            <c:idx val="18"/>
            <c:marker>
              <c:symbol val="circle"/>
              <c:size val="10"/>
              <c:spPr>
                <a:noFill/>
                <a:ln w="22225">
                  <a:noFill/>
                  <a:round/>
                </a:ln>
                <a:effectLst/>
              </c:spPr>
            </c:marker>
            <c:bubble3D val="0"/>
            <c:spPr>
              <a:ln w="31750" cap="rnd">
                <a:noFill/>
                <a:round/>
              </a:ln>
              <a:effectLst/>
            </c:spPr>
            <c:extLst>
              <c:ext xmlns:c16="http://schemas.microsoft.com/office/drawing/2014/chart" uri="{C3380CC4-5D6E-409C-BE32-E72D297353CC}">
                <c16:uniqueId val="{00000001-78F3-4FDF-99BC-4E8C3B028FC1}"/>
              </c:ext>
            </c:extLst>
          </c:dPt>
          <c:dPt>
            <c:idx val="108"/>
            <c:marker>
              <c:symbol val="diamond"/>
              <c:size val="11"/>
              <c:spPr>
                <a:noFill/>
                <a:ln w="22225">
                  <a:solidFill>
                    <a:srgbClr val="FF0000"/>
                  </a:solidFill>
                  <a:round/>
                </a:ln>
                <a:effectLst/>
              </c:spPr>
            </c:marker>
            <c:bubble3D val="0"/>
            <c:extLst>
              <c:ext xmlns:c16="http://schemas.microsoft.com/office/drawing/2014/chart" uri="{C3380CC4-5D6E-409C-BE32-E72D297353CC}">
                <c16:uniqueId val="{00000002-78F3-4FDF-99BC-4E8C3B028FC1}"/>
              </c:ext>
            </c:extLst>
          </c:dPt>
          <c:dPt>
            <c:idx val="190"/>
            <c:marker>
              <c:symbol val="circle"/>
              <c:size val="6"/>
              <c:spPr>
                <a:noFill/>
                <a:ln w="12700">
                  <a:noFill/>
                  <a:round/>
                </a:ln>
                <a:effectLst/>
              </c:spPr>
            </c:marker>
            <c:bubble3D val="0"/>
            <c:spPr>
              <a:ln w="31750" cap="rnd">
                <a:noFill/>
                <a:round/>
              </a:ln>
              <a:effectLst/>
            </c:spPr>
            <c:extLst>
              <c:ext xmlns:c16="http://schemas.microsoft.com/office/drawing/2014/chart" uri="{C3380CC4-5D6E-409C-BE32-E72D297353CC}">
                <c16:uniqueId val="{00000004-78F3-4FDF-99BC-4E8C3B028FC1}"/>
              </c:ext>
            </c:extLst>
          </c:dPt>
          <c:dPt>
            <c:idx val="239"/>
            <c:marker>
              <c:symbol val="circle"/>
              <c:size val="9"/>
              <c:spPr>
                <a:noFill/>
                <a:ln w="22225">
                  <a:noFill/>
                  <a:round/>
                </a:ln>
                <a:effectLst/>
              </c:spPr>
            </c:marker>
            <c:bubble3D val="0"/>
            <c:extLst>
              <c:ext xmlns:c16="http://schemas.microsoft.com/office/drawing/2014/chart" uri="{C3380CC4-5D6E-409C-BE32-E72D297353CC}">
                <c16:uniqueId val="{00000005-78F3-4FDF-99BC-4E8C3B028FC1}"/>
              </c:ext>
            </c:extLst>
          </c:dPt>
          <c:dPt>
            <c:idx val="1190"/>
            <c:marker>
              <c:symbol val="diamond"/>
              <c:size val="12"/>
              <c:spPr>
                <a:noFill/>
                <a:ln w="22225">
                  <a:solidFill>
                    <a:srgbClr val="FF0000"/>
                  </a:solidFill>
                  <a:round/>
                </a:ln>
                <a:effectLst/>
              </c:spPr>
            </c:marker>
            <c:bubble3D val="0"/>
            <c:extLst>
              <c:ext xmlns:c16="http://schemas.microsoft.com/office/drawing/2014/chart" uri="{C3380CC4-5D6E-409C-BE32-E72D297353CC}">
                <c16:uniqueId val="{00000006-78F3-4FDF-99BC-4E8C3B028FC1}"/>
              </c:ext>
            </c:extLst>
          </c:dPt>
          <c:dPt>
            <c:idx val="1225"/>
            <c:marker>
              <c:symbol val="circle"/>
              <c:size val="11"/>
              <c:spPr>
                <a:noFill/>
                <a:ln w="22225">
                  <a:solidFill>
                    <a:schemeClr val="accent2"/>
                  </a:solidFill>
                  <a:round/>
                </a:ln>
                <a:effectLst/>
              </c:spPr>
            </c:marker>
            <c:bubble3D val="0"/>
            <c:extLst>
              <c:ext xmlns:c16="http://schemas.microsoft.com/office/drawing/2014/chart" uri="{C3380CC4-5D6E-409C-BE32-E72D297353CC}">
                <c16:uniqueId val="{00000007-78F3-4FDF-99BC-4E8C3B028FC1}"/>
              </c:ext>
            </c:extLst>
          </c:dPt>
          <c:cat>
            <c:numRef>
              <c:f>ComportamientoAcción!$B$124:$B$1339</c:f>
              <c:numCache>
                <c:formatCode>d/mm/yy</c:formatCode>
                <c:ptCount val="243"/>
                <c:pt idx="0">
                  <c:v>43462</c:v>
                </c:pt>
                <c:pt idx="1">
                  <c:v>43461</c:v>
                </c:pt>
                <c:pt idx="2">
                  <c:v>43460</c:v>
                </c:pt>
                <c:pt idx="3">
                  <c:v>43458</c:v>
                </c:pt>
                <c:pt idx="4">
                  <c:v>43455</c:v>
                </c:pt>
                <c:pt idx="5">
                  <c:v>43454</c:v>
                </c:pt>
                <c:pt idx="6">
                  <c:v>43453</c:v>
                </c:pt>
                <c:pt idx="7">
                  <c:v>43452</c:v>
                </c:pt>
                <c:pt idx="8">
                  <c:v>43451</c:v>
                </c:pt>
                <c:pt idx="9">
                  <c:v>43448</c:v>
                </c:pt>
                <c:pt idx="10">
                  <c:v>43447</c:v>
                </c:pt>
                <c:pt idx="11">
                  <c:v>43446</c:v>
                </c:pt>
                <c:pt idx="12">
                  <c:v>43445</c:v>
                </c:pt>
                <c:pt idx="13">
                  <c:v>43444</c:v>
                </c:pt>
                <c:pt idx="14">
                  <c:v>43441</c:v>
                </c:pt>
                <c:pt idx="15">
                  <c:v>43440</c:v>
                </c:pt>
                <c:pt idx="16">
                  <c:v>43439</c:v>
                </c:pt>
                <c:pt idx="17">
                  <c:v>43438</c:v>
                </c:pt>
                <c:pt idx="18">
                  <c:v>43437</c:v>
                </c:pt>
                <c:pt idx="19">
                  <c:v>43434</c:v>
                </c:pt>
                <c:pt idx="20">
                  <c:v>43433</c:v>
                </c:pt>
                <c:pt idx="21">
                  <c:v>43432</c:v>
                </c:pt>
                <c:pt idx="22">
                  <c:v>43431</c:v>
                </c:pt>
                <c:pt idx="23">
                  <c:v>43430</c:v>
                </c:pt>
                <c:pt idx="24">
                  <c:v>43427</c:v>
                </c:pt>
                <c:pt idx="25">
                  <c:v>43426</c:v>
                </c:pt>
                <c:pt idx="26">
                  <c:v>43425</c:v>
                </c:pt>
                <c:pt idx="27">
                  <c:v>43424</c:v>
                </c:pt>
                <c:pt idx="28">
                  <c:v>43423</c:v>
                </c:pt>
                <c:pt idx="29">
                  <c:v>43420</c:v>
                </c:pt>
                <c:pt idx="30">
                  <c:v>43419</c:v>
                </c:pt>
                <c:pt idx="31">
                  <c:v>43418</c:v>
                </c:pt>
                <c:pt idx="32">
                  <c:v>43417</c:v>
                </c:pt>
                <c:pt idx="33">
                  <c:v>43413</c:v>
                </c:pt>
                <c:pt idx="34">
                  <c:v>43412</c:v>
                </c:pt>
                <c:pt idx="35">
                  <c:v>43411</c:v>
                </c:pt>
                <c:pt idx="36">
                  <c:v>43410</c:v>
                </c:pt>
                <c:pt idx="37">
                  <c:v>43406</c:v>
                </c:pt>
                <c:pt idx="38">
                  <c:v>43405</c:v>
                </c:pt>
                <c:pt idx="39">
                  <c:v>43404</c:v>
                </c:pt>
                <c:pt idx="40">
                  <c:v>43403</c:v>
                </c:pt>
                <c:pt idx="41">
                  <c:v>43402</c:v>
                </c:pt>
                <c:pt idx="42">
                  <c:v>43399</c:v>
                </c:pt>
                <c:pt idx="43">
                  <c:v>43398</c:v>
                </c:pt>
                <c:pt idx="44">
                  <c:v>43397</c:v>
                </c:pt>
                <c:pt idx="45">
                  <c:v>43396</c:v>
                </c:pt>
                <c:pt idx="46">
                  <c:v>43395</c:v>
                </c:pt>
                <c:pt idx="47">
                  <c:v>43392</c:v>
                </c:pt>
                <c:pt idx="48">
                  <c:v>43391</c:v>
                </c:pt>
                <c:pt idx="49">
                  <c:v>43390</c:v>
                </c:pt>
                <c:pt idx="50">
                  <c:v>43389</c:v>
                </c:pt>
                <c:pt idx="51">
                  <c:v>43385</c:v>
                </c:pt>
                <c:pt idx="52">
                  <c:v>43384</c:v>
                </c:pt>
                <c:pt idx="53">
                  <c:v>43383</c:v>
                </c:pt>
                <c:pt idx="54">
                  <c:v>43382</c:v>
                </c:pt>
                <c:pt idx="55">
                  <c:v>43381</c:v>
                </c:pt>
                <c:pt idx="56">
                  <c:v>43378</c:v>
                </c:pt>
                <c:pt idx="57">
                  <c:v>43377</c:v>
                </c:pt>
                <c:pt idx="58">
                  <c:v>43376</c:v>
                </c:pt>
                <c:pt idx="59">
                  <c:v>43375</c:v>
                </c:pt>
                <c:pt idx="60" formatCode="m/d/yyyy">
                  <c:v>43374</c:v>
                </c:pt>
                <c:pt idx="61" formatCode="m/d/yyyy">
                  <c:v>43371</c:v>
                </c:pt>
                <c:pt idx="62" formatCode="m/d/yyyy">
                  <c:v>43370</c:v>
                </c:pt>
                <c:pt idx="63" formatCode="m/d/yyyy">
                  <c:v>43369</c:v>
                </c:pt>
                <c:pt idx="64" formatCode="m/d/yyyy">
                  <c:v>43368</c:v>
                </c:pt>
                <c:pt idx="65" formatCode="m/d/yyyy">
                  <c:v>43367</c:v>
                </c:pt>
                <c:pt idx="66" formatCode="m/d/yyyy">
                  <c:v>43364</c:v>
                </c:pt>
                <c:pt idx="67" formatCode="m/d/yyyy">
                  <c:v>43363</c:v>
                </c:pt>
                <c:pt idx="68" formatCode="m/d/yyyy">
                  <c:v>43362</c:v>
                </c:pt>
                <c:pt idx="69" formatCode="m/d/yyyy">
                  <c:v>43361</c:v>
                </c:pt>
                <c:pt idx="70" formatCode="m/d/yyyy">
                  <c:v>43360</c:v>
                </c:pt>
                <c:pt idx="71" formatCode="m/d/yyyy">
                  <c:v>43357</c:v>
                </c:pt>
                <c:pt idx="72" formatCode="m/d/yyyy">
                  <c:v>43356</c:v>
                </c:pt>
                <c:pt idx="73" formatCode="m/d/yyyy">
                  <c:v>43355</c:v>
                </c:pt>
                <c:pt idx="74" formatCode="m/d/yyyy">
                  <c:v>43354</c:v>
                </c:pt>
                <c:pt idx="75" formatCode="m/d/yyyy">
                  <c:v>43353</c:v>
                </c:pt>
                <c:pt idx="76" formatCode="m/d/yyyy">
                  <c:v>43350</c:v>
                </c:pt>
                <c:pt idx="77" formatCode="m/d/yyyy">
                  <c:v>43349</c:v>
                </c:pt>
                <c:pt idx="78" formatCode="m/d/yyyy">
                  <c:v>43348</c:v>
                </c:pt>
                <c:pt idx="79" formatCode="m/d/yyyy">
                  <c:v>43347</c:v>
                </c:pt>
                <c:pt idx="80" formatCode="m/d/yyyy">
                  <c:v>43346</c:v>
                </c:pt>
                <c:pt idx="81" formatCode="m/d/yyyy">
                  <c:v>43343</c:v>
                </c:pt>
                <c:pt idx="82" formatCode="m/d/yyyy">
                  <c:v>43342</c:v>
                </c:pt>
                <c:pt idx="83" formatCode="m/d/yyyy">
                  <c:v>43341</c:v>
                </c:pt>
                <c:pt idx="84" formatCode="m/d/yyyy">
                  <c:v>43340</c:v>
                </c:pt>
                <c:pt idx="85" formatCode="m/d/yyyy">
                  <c:v>43339</c:v>
                </c:pt>
                <c:pt idx="86" formatCode="m/d/yyyy">
                  <c:v>43336</c:v>
                </c:pt>
                <c:pt idx="87" formatCode="m/d/yyyy">
                  <c:v>43335</c:v>
                </c:pt>
                <c:pt idx="88" formatCode="m/d/yyyy">
                  <c:v>43334</c:v>
                </c:pt>
                <c:pt idx="89" formatCode="m/d/yyyy">
                  <c:v>43333</c:v>
                </c:pt>
                <c:pt idx="90" formatCode="m/d/yyyy">
                  <c:v>43329</c:v>
                </c:pt>
                <c:pt idx="91" formatCode="m/d/yyyy">
                  <c:v>43328</c:v>
                </c:pt>
                <c:pt idx="92" formatCode="m/d/yyyy">
                  <c:v>43327</c:v>
                </c:pt>
                <c:pt idx="93" formatCode="m/d/yyyy">
                  <c:v>43326</c:v>
                </c:pt>
                <c:pt idx="94" formatCode="m/d/yyyy">
                  <c:v>43325</c:v>
                </c:pt>
                <c:pt idx="95" formatCode="m/d/yyyy">
                  <c:v>43322</c:v>
                </c:pt>
                <c:pt idx="96" formatCode="m/d/yyyy">
                  <c:v>43321</c:v>
                </c:pt>
                <c:pt idx="97" formatCode="m/d/yyyy">
                  <c:v>43320</c:v>
                </c:pt>
                <c:pt idx="98" formatCode="m/d/yyyy">
                  <c:v>43318</c:v>
                </c:pt>
                <c:pt idx="99" formatCode="m/d/yyyy">
                  <c:v>43315</c:v>
                </c:pt>
                <c:pt idx="100" formatCode="m/d/yyyy">
                  <c:v>43314</c:v>
                </c:pt>
                <c:pt idx="101" formatCode="m/d/yyyy">
                  <c:v>43313</c:v>
                </c:pt>
                <c:pt idx="102" formatCode="m/d/yyyy">
                  <c:v>43312</c:v>
                </c:pt>
                <c:pt idx="103" formatCode="m/d/yyyy">
                  <c:v>43311</c:v>
                </c:pt>
                <c:pt idx="104" formatCode="m/d/yyyy">
                  <c:v>43308</c:v>
                </c:pt>
                <c:pt idx="105" formatCode="m/d/yyyy">
                  <c:v>43307</c:v>
                </c:pt>
                <c:pt idx="106" formatCode="m/d/yyyy">
                  <c:v>43306</c:v>
                </c:pt>
                <c:pt idx="107" formatCode="m/d/yyyy">
                  <c:v>43305</c:v>
                </c:pt>
                <c:pt idx="108" formatCode="m/d/yyyy">
                  <c:v>43304</c:v>
                </c:pt>
                <c:pt idx="109" formatCode="m/d/yyyy">
                  <c:v>43300</c:v>
                </c:pt>
                <c:pt idx="110" formatCode="m/d/yyyy">
                  <c:v>43299</c:v>
                </c:pt>
                <c:pt idx="111" formatCode="m/d/yyyy">
                  <c:v>43298</c:v>
                </c:pt>
                <c:pt idx="112" formatCode="m/d/yyyy">
                  <c:v>43297</c:v>
                </c:pt>
                <c:pt idx="113" formatCode="m/d/yyyy">
                  <c:v>43294</c:v>
                </c:pt>
                <c:pt idx="114" formatCode="m/d/yyyy">
                  <c:v>43293</c:v>
                </c:pt>
                <c:pt idx="115" formatCode="m/d/yyyy">
                  <c:v>43292</c:v>
                </c:pt>
                <c:pt idx="116" formatCode="m/d/yyyy">
                  <c:v>43291</c:v>
                </c:pt>
                <c:pt idx="117" formatCode="m/d/yyyy">
                  <c:v>43290</c:v>
                </c:pt>
                <c:pt idx="118" formatCode="m/d/yyyy">
                  <c:v>43287</c:v>
                </c:pt>
                <c:pt idx="119" formatCode="m/d/yyyy">
                  <c:v>43286</c:v>
                </c:pt>
                <c:pt idx="120" formatCode="m/d/yyyy">
                  <c:v>43285</c:v>
                </c:pt>
                <c:pt idx="121" formatCode="m/d/yyyy">
                  <c:v>43284</c:v>
                </c:pt>
                <c:pt idx="122" formatCode="m/d/yyyy">
                  <c:v>43280</c:v>
                </c:pt>
                <c:pt idx="123" formatCode="m/d/yyyy">
                  <c:v>43279</c:v>
                </c:pt>
                <c:pt idx="124" formatCode="m/d/yyyy">
                  <c:v>43278</c:v>
                </c:pt>
                <c:pt idx="125" formatCode="m/d/yyyy">
                  <c:v>43277</c:v>
                </c:pt>
                <c:pt idx="126" formatCode="m/d/yyyy">
                  <c:v>43276</c:v>
                </c:pt>
                <c:pt idx="127" formatCode="m/d/yyyy">
                  <c:v>43273</c:v>
                </c:pt>
                <c:pt idx="128" formatCode="m/d/yyyy">
                  <c:v>43272</c:v>
                </c:pt>
                <c:pt idx="129" formatCode="m/d/yyyy">
                  <c:v>43271</c:v>
                </c:pt>
                <c:pt idx="130" formatCode="m/d/yyyy">
                  <c:v>43270</c:v>
                </c:pt>
                <c:pt idx="131" formatCode="m/d/yyyy">
                  <c:v>43269</c:v>
                </c:pt>
                <c:pt idx="132" formatCode="m/d/yyyy">
                  <c:v>43266</c:v>
                </c:pt>
                <c:pt idx="133" formatCode="m/d/yyyy">
                  <c:v>43265</c:v>
                </c:pt>
                <c:pt idx="134" formatCode="m/d/yyyy">
                  <c:v>43264</c:v>
                </c:pt>
                <c:pt idx="135" formatCode="m/d/yyyy">
                  <c:v>43263</c:v>
                </c:pt>
                <c:pt idx="136" formatCode="m/d/yyyy">
                  <c:v>43259</c:v>
                </c:pt>
                <c:pt idx="137" formatCode="m/d/yyyy">
                  <c:v>43258</c:v>
                </c:pt>
                <c:pt idx="138" formatCode="m/d/yyyy">
                  <c:v>43257</c:v>
                </c:pt>
                <c:pt idx="139" formatCode="m/d/yyyy">
                  <c:v>43256</c:v>
                </c:pt>
                <c:pt idx="140" formatCode="m/d/yyyy">
                  <c:v>43252</c:v>
                </c:pt>
                <c:pt idx="141" formatCode="m/d/yyyy">
                  <c:v>43251</c:v>
                </c:pt>
                <c:pt idx="142" formatCode="m/d/yyyy">
                  <c:v>43250</c:v>
                </c:pt>
                <c:pt idx="143" formatCode="m/d/yyyy">
                  <c:v>43249</c:v>
                </c:pt>
                <c:pt idx="144" formatCode="m/d/yyyy">
                  <c:v>43248</c:v>
                </c:pt>
                <c:pt idx="145" formatCode="m/d/yyyy">
                  <c:v>43245</c:v>
                </c:pt>
                <c:pt idx="146" formatCode="m/d/yyyy">
                  <c:v>43244</c:v>
                </c:pt>
                <c:pt idx="147" formatCode="m/d/yyyy">
                  <c:v>43243</c:v>
                </c:pt>
                <c:pt idx="148" formatCode="m/d/yyyy">
                  <c:v>43242</c:v>
                </c:pt>
                <c:pt idx="149" formatCode="m/d/yyyy">
                  <c:v>43241</c:v>
                </c:pt>
                <c:pt idx="150" formatCode="m/d/yyyy">
                  <c:v>43238</c:v>
                </c:pt>
                <c:pt idx="151" formatCode="m/d/yyyy">
                  <c:v>43237</c:v>
                </c:pt>
                <c:pt idx="152" formatCode="m/d/yyyy">
                  <c:v>43236</c:v>
                </c:pt>
                <c:pt idx="153" formatCode="m/d/yyyy">
                  <c:v>43235</c:v>
                </c:pt>
                <c:pt idx="154" formatCode="m/d/yyyy">
                  <c:v>43231</c:v>
                </c:pt>
                <c:pt idx="155" formatCode="m/d/yyyy">
                  <c:v>43230</c:v>
                </c:pt>
                <c:pt idx="156" formatCode="m/d/yyyy">
                  <c:v>43229</c:v>
                </c:pt>
                <c:pt idx="157" formatCode="m/d/yyyy">
                  <c:v>43228</c:v>
                </c:pt>
                <c:pt idx="158" formatCode="m/d/yyyy">
                  <c:v>43227</c:v>
                </c:pt>
                <c:pt idx="159" formatCode="m/d/yyyy">
                  <c:v>43224</c:v>
                </c:pt>
                <c:pt idx="160" formatCode="m/d/yyyy">
                  <c:v>43223</c:v>
                </c:pt>
                <c:pt idx="161" formatCode="m/d/yyyy">
                  <c:v>43222</c:v>
                </c:pt>
                <c:pt idx="162" formatCode="m/d/yyyy">
                  <c:v>43220</c:v>
                </c:pt>
                <c:pt idx="163" formatCode="m/d/yyyy">
                  <c:v>43217</c:v>
                </c:pt>
                <c:pt idx="164" formatCode="m/d/yyyy">
                  <c:v>43216</c:v>
                </c:pt>
                <c:pt idx="165" formatCode="m/d/yyyy">
                  <c:v>43215</c:v>
                </c:pt>
                <c:pt idx="166" formatCode="m/d/yyyy">
                  <c:v>43214</c:v>
                </c:pt>
                <c:pt idx="167" formatCode="m/d/yyyy">
                  <c:v>43213</c:v>
                </c:pt>
                <c:pt idx="168" formatCode="m/d/yyyy">
                  <c:v>43210</c:v>
                </c:pt>
                <c:pt idx="169" formatCode="m/d/yyyy">
                  <c:v>43209</c:v>
                </c:pt>
                <c:pt idx="170" formatCode="m/d/yyyy">
                  <c:v>43208</c:v>
                </c:pt>
                <c:pt idx="171" formatCode="m/d/yyyy">
                  <c:v>43207</c:v>
                </c:pt>
                <c:pt idx="172" formatCode="m/d/yyyy">
                  <c:v>43206</c:v>
                </c:pt>
                <c:pt idx="173" formatCode="m/d/yyyy">
                  <c:v>43203</c:v>
                </c:pt>
                <c:pt idx="174" formatCode="m/d/yyyy">
                  <c:v>43202</c:v>
                </c:pt>
                <c:pt idx="175" formatCode="m/d/yyyy">
                  <c:v>43201</c:v>
                </c:pt>
                <c:pt idx="176" formatCode="m/d/yyyy">
                  <c:v>43200</c:v>
                </c:pt>
                <c:pt idx="177" formatCode="m/d/yyyy">
                  <c:v>43199</c:v>
                </c:pt>
                <c:pt idx="178" formatCode="m/d/yyyy">
                  <c:v>43196</c:v>
                </c:pt>
                <c:pt idx="179" formatCode="m/d/yyyy">
                  <c:v>43195</c:v>
                </c:pt>
                <c:pt idx="180" formatCode="m/d/yyyy">
                  <c:v>43194</c:v>
                </c:pt>
                <c:pt idx="181" formatCode="m/d/yyyy">
                  <c:v>43193</c:v>
                </c:pt>
                <c:pt idx="182" formatCode="m/d/yyyy">
                  <c:v>43192</c:v>
                </c:pt>
                <c:pt idx="183" formatCode="m/d/yyyy">
                  <c:v>43187</c:v>
                </c:pt>
                <c:pt idx="184" formatCode="m/d/yyyy">
                  <c:v>43186</c:v>
                </c:pt>
                <c:pt idx="185" formatCode="m/d/yyyy">
                  <c:v>43185</c:v>
                </c:pt>
                <c:pt idx="186" formatCode="m/d/yyyy">
                  <c:v>43182</c:v>
                </c:pt>
                <c:pt idx="187" formatCode="m/d/yyyy">
                  <c:v>43181</c:v>
                </c:pt>
                <c:pt idx="188" formatCode="m/d/yyyy">
                  <c:v>43180</c:v>
                </c:pt>
                <c:pt idx="189" formatCode="m/d/yyyy">
                  <c:v>43179</c:v>
                </c:pt>
                <c:pt idx="190" formatCode="m/d/yyyy">
                  <c:v>43175</c:v>
                </c:pt>
                <c:pt idx="191" formatCode="m/d/yyyy">
                  <c:v>43174</c:v>
                </c:pt>
                <c:pt idx="192" formatCode="m/d/yyyy">
                  <c:v>43173</c:v>
                </c:pt>
                <c:pt idx="193" formatCode="m/d/yyyy">
                  <c:v>43172</c:v>
                </c:pt>
                <c:pt idx="194" formatCode="m/d/yyyy">
                  <c:v>43171</c:v>
                </c:pt>
                <c:pt idx="195" formatCode="m/d/yyyy">
                  <c:v>43168</c:v>
                </c:pt>
                <c:pt idx="196" formatCode="m/d/yyyy">
                  <c:v>43167</c:v>
                </c:pt>
                <c:pt idx="197" formatCode="m/d/yyyy">
                  <c:v>43166</c:v>
                </c:pt>
                <c:pt idx="198" formatCode="m/d/yyyy">
                  <c:v>43165</c:v>
                </c:pt>
                <c:pt idx="199" formatCode="m/d/yyyy">
                  <c:v>43164</c:v>
                </c:pt>
                <c:pt idx="200" formatCode="m/d/yyyy">
                  <c:v>43161</c:v>
                </c:pt>
                <c:pt idx="201" formatCode="m/d/yyyy">
                  <c:v>43160</c:v>
                </c:pt>
                <c:pt idx="202" formatCode="m/d/yyyy">
                  <c:v>43159</c:v>
                </c:pt>
                <c:pt idx="203" formatCode="m/d/yyyy">
                  <c:v>43158</c:v>
                </c:pt>
                <c:pt idx="204" formatCode="m/d/yyyy">
                  <c:v>43157</c:v>
                </c:pt>
                <c:pt idx="205" formatCode="m/d/yyyy">
                  <c:v>43154</c:v>
                </c:pt>
                <c:pt idx="206" formatCode="m/d/yyyy">
                  <c:v>43153</c:v>
                </c:pt>
                <c:pt idx="207" formatCode="m/d/yyyy">
                  <c:v>43152</c:v>
                </c:pt>
                <c:pt idx="208" formatCode="m/d/yyyy">
                  <c:v>43151</c:v>
                </c:pt>
                <c:pt idx="209" formatCode="m/d/yyyy">
                  <c:v>43150</c:v>
                </c:pt>
                <c:pt idx="210" formatCode="m/d/yyyy">
                  <c:v>43147</c:v>
                </c:pt>
                <c:pt idx="211" formatCode="m/d/yyyy">
                  <c:v>43146</c:v>
                </c:pt>
                <c:pt idx="212" formatCode="m/d/yyyy">
                  <c:v>43145</c:v>
                </c:pt>
                <c:pt idx="213" formatCode="m/d/yyyy">
                  <c:v>43144</c:v>
                </c:pt>
                <c:pt idx="214" formatCode="m/d/yyyy">
                  <c:v>43143</c:v>
                </c:pt>
                <c:pt idx="215" formatCode="m/d/yyyy">
                  <c:v>43140</c:v>
                </c:pt>
                <c:pt idx="216" formatCode="m/d/yyyy">
                  <c:v>43139</c:v>
                </c:pt>
                <c:pt idx="217" formatCode="m/d/yyyy">
                  <c:v>43138</c:v>
                </c:pt>
                <c:pt idx="218" formatCode="m/d/yyyy">
                  <c:v>43137</c:v>
                </c:pt>
                <c:pt idx="219" formatCode="m/d/yyyy">
                  <c:v>43136</c:v>
                </c:pt>
                <c:pt idx="220" formatCode="m/d/yyyy">
                  <c:v>43133</c:v>
                </c:pt>
                <c:pt idx="221" formatCode="m/d/yyyy">
                  <c:v>43132</c:v>
                </c:pt>
                <c:pt idx="222" formatCode="m/d/yyyy">
                  <c:v>43131</c:v>
                </c:pt>
                <c:pt idx="223" formatCode="m/d/yyyy">
                  <c:v>43130</c:v>
                </c:pt>
                <c:pt idx="224" formatCode="m/d/yyyy">
                  <c:v>43129</c:v>
                </c:pt>
                <c:pt idx="225" formatCode="m/d/yyyy">
                  <c:v>43126</c:v>
                </c:pt>
                <c:pt idx="226" formatCode="m/d/yyyy">
                  <c:v>43125</c:v>
                </c:pt>
                <c:pt idx="227" formatCode="m/d/yyyy">
                  <c:v>43124</c:v>
                </c:pt>
                <c:pt idx="228" formatCode="m/d/yyyy">
                  <c:v>43123</c:v>
                </c:pt>
                <c:pt idx="229" formatCode="m/d/yyyy">
                  <c:v>43122</c:v>
                </c:pt>
                <c:pt idx="230" formatCode="m/d/yyyy">
                  <c:v>43119</c:v>
                </c:pt>
                <c:pt idx="231" formatCode="m/d/yyyy">
                  <c:v>43118</c:v>
                </c:pt>
                <c:pt idx="232" formatCode="m/d/yyyy">
                  <c:v>43117</c:v>
                </c:pt>
                <c:pt idx="233" formatCode="m/d/yyyy">
                  <c:v>43116</c:v>
                </c:pt>
                <c:pt idx="234" formatCode="m/d/yyyy">
                  <c:v>43115</c:v>
                </c:pt>
                <c:pt idx="235" formatCode="m/d/yyyy">
                  <c:v>43112</c:v>
                </c:pt>
                <c:pt idx="236" formatCode="m/d/yyyy">
                  <c:v>43111</c:v>
                </c:pt>
                <c:pt idx="237" formatCode="m/d/yyyy">
                  <c:v>43110</c:v>
                </c:pt>
                <c:pt idx="238" formatCode="m/d/yyyy">
                  <c:v>43109</c:v>
                </c:pt>
                <c:pt idx="239" formatCode="m/d/yyyy">
                  <c:v>43105</c:v>
                </c:pt>
                <c:pt idx="240" formatCode="m/d/yyyy">
                  <c:v>43104</c:v>
                </c:pt>
                <c:pt idx="241" formatCode="m/d/yyyy">
                  <c:v>43103</c:v>
                </c:pt>
                <c:pt idx="242" formatCode="m/d/yyyy">
                  <c:v>43102</c:v>
                </c:pt>
              </c:numCache>
            </c:numRef>
          </c:cat>
          <c:val>
            <c:numRef>
              <c:f>ComportamientoAcción!$G$3:$G$1339</c:f>
              <c:numCache>
                <c:formatCode>###,###.00</c:formatCode>
                <c:ptCount val="364"/>
                <c:pt idx="0">
                  <c:v>3600.15</c:v>
                </c:pt>
                <c:pt idx="1">
                  <c:v>3585.4</c:v>
                </c:pt>
                <c:pt idx="2">
                  <c:v>3560.22</c:v>
                </c:pt>
                <c:pt idx="3">
                  <c:v>3690.45</c:v>
                </c:pt>
                <c:pt idx="4">
                  <c:v>3728.91</c:v>
                </c:pt>
                <c:pt idx="5">
                  <c:v>3792.75</c:v>
                </c:pt>
                <c:pt idx="6">
                  <c:v>3835.95</c:v>
                </c:pt>
                <c:pt idx="7">
                  <c:v>3991.79</c:v>
                </c:pt>
                <c:pt idx="8">
                  <c:v>4470.17</c:v>
                </c:pt>
                <c:pt idx="9">
                  <c:v>4233.54</c:v>
                </c:pt>
                <c:pt idx="10">
                  <c:v>4274.26</c:v>
                </c:pt>
                <c:pt idx="11">
                  <c:v>4439.0200000000004</c:v>
                </c:pt>
                <c:pt idx="12">
                  <c:v>4584.43</c:v>
                </c:pt>
                <c:pt idx="13">
                  <c:v>4694.2</c:v>
                </c:pt>
                <c:pt idx="14">
                  <c:v>4740.4799999999996</c:v>
                </c:pt>
                <c:pt idx="15">
                  <c:v>4741.17</c:v>
                </c:pt>
                <c:pt idx="16">
                  <c:v>4704.78</c:v>
                </c:pt>
                <c:pt idx="17">
                  <c:v>4537.51</c:v>
                </c:pt>
                <c:pt idx="18">
                  <c:v>4513.75</c:v>
                </c:pt>
                <c:pt idx="19">
                  <c:v>4593.01</c:v>
                </c:pt>
                <c:pt idx="20">
                  <c:v>4398.75</c:v>
                </c:pt>
                <c:pt idx="21">
                  <c:v>4433.8</c:v>
                </c:pt>
                <c:pt idx="22">
                  <c:v>4509.9399999999996</c:v>
                </c:pt>
                <c:pt idx="23">
                  <c:v>4601.99</c:v>
                </c:pt>
                <c:pt idx="24">
                  <c:v>4657.8500000000004</c:v>
                </c:pt>
                <c:pt idx="25">
                  <c:v>4672.88</c:v>
                </c:pt>
                <c:pt idx="26">
                  <c:v>4727.42</c:v>
                </c:pt>
                <c:pt idx="27">
                  <c:v>4891.8900000000003</c:v>
                </c:pt>
                <c:pt idx="28">
                  <c:v>4882.1000000000004</c:v>
                </c:pt>
                <c:pt idx="29">
                  <c:v>4808.45</c:v>
                </c:pt>
                <c:pt idx="30">
                  <c:v>4927.51</c:v>
                </c:pt>
                <c:pt idx="31">
                  <c:v>5157.83</c:v>
                </c:pt>
                <c:pt idx="32">
                  <c:v>5515.84</c:v>
                </c:pt>
                <c:pt idx="33">
                  <c:v>5504.22</c:v>
                </c:pt>
                <c:pt idx="34">
                  <c:v>5399.51</c:v>
                </c:pt>
                <c:pt idx="35">
                  <c:v>5116.29</c:v>
                </c:pt>
                <c:pt idx="36">
                  <c:v>4878.7299999999996</c:v>
                </c:pt>
                <c:pt idx="37">
                  <c:v>4727.6899999999996</c:v>
                </c:pt>
                <c:pt idx="38">
                  <c:v>4881.68</c:v>
                </c:pt>
                <c:pt idx="39">
                  <c:v>4959.8999999999996</c:v>
                </c:pt>
                <c:pt idx="40">
                  <c:v>5027.75</c:v>
                </c:pt>
                <c:pt idx="41">
                  <c:v>4947.3999999999996</c:v>
                </c:pt>
                <c:pt idx="42">
                  <c:v>4899.6000000000004</c:v>
                </c:pt>
                <c:pt idx="43">
                  <c:v>4825.6099999999997</c:v>
                </c:pt>
                <c:pt idx="44">
                  <c:v>4799.46</c:v>
                </c:pt>
                <c:pt idx="45">
                  <c:v>4680.3</c:v>
                </c:pt>
                <c:pt idx="46">
                  <c:v>4511.9799999999996</c:v>
                </c:pt>
                <c:pt idx="47">
                  <c:v>4597.79</c:v>
                </c:pt>
                <c:pt idx="48">
                  <c:v>4650.1099999999997</c:v>
                </c:pt>
                <c:pt idx="49">
                  <c:v>4731.92</c:v>
                </c:pt>
                <c:pt idx="50">
                  <c:v>4573.5</c:v>
                </c:pt>
                <c:pt idx="51">
                  <c:v>4491.0200000000004</c:v>
                </c:pt>
                <c:pt idx="52">
                  <c:v>4598.63</c:v>
                </c:pt>
                <c:pt idx="53">
                  <c:v>4657.76</c:v>
                </c:pt>
                <c:pt idx="54">
                  <c:v>4705.5600000000004</c:v>
                </c:pt>
                <c:pt idx="55">
                  <c:v>4780.25</c:v>
                </c:pt>
                <c:pt idx="56">
                  <c:v>4637.47</c:v>
                </c:pt>
                <c:pt idx="57">
                  <c:v>4692.67</c:v>
                </c:pt>
                <c:pt idx="58">
                  <c:v>4726.78</c:v>
                </c:pt>
                <c:pt idx="59">
                  <c:v>4714.7700000000004</c:v>
                </c:pt>
                <c:pt idx="60">
                  <c:v>4821.5600000000004</c:v>
                </c:pt>
                <c:pt idx="61">
                  <c:v>4709.67</c:v>
                </c:pt>
                <c:pt idx="62">
                  <c:v>4641.63</c:v>
                </c:pt>
                <c:pt idx="63">
                  <c:v>4626.25</c:v>
                </c:pt>
                <c:pt idx="64">
                  <c:v>4522.22</c:v>
                </c:pt>
                <c:pt idx="65">
                  <c:v>4537.79</c:v>
                </c:pt>
                <c:pt idx="66">
                  <c:v>4544.87</c:v>
                </c:pt>
                <c:pt idx="67">
                  <c:v>4525.3999999999996</c:v>
                </c:pt>
                <c:pt idx="68">
                  <c:v>4530.1000000000004</c:v>
                </c:pt>
                <c:pt idx="69">
                  <c:v>4471.79</c:v>
                </c:pt>
                <c:pt idx="70">
                  <c:v>4491.37</c:v>
                </c:pt>
                <c:pt idx="71">
                  <c:v>4940.4799999999996</c:v>
                </c:pt>
                <c:pt idx="72">
                  <c:v>5004.45</c:v>
                </c:pt>
                <c:pt idx="73">
                  <c:v>5010.17</c:v>
                </c:pt>
                <c:pt idx="74">
                  <c:v>5001.83</c:v>
                </c:pt>
                <c:pt idx="75">
                  <c:v>4992.1499999999996</c:v>
                </c:pt>
                <c:pt idx="76">
                  <c:v>4853.08</c:v>
                </c:pt>
                <c:pt idx="77">
                  <c:v>4702.16</c:v>
                </c:pt>
                <c:pt idx="78">
                  <c:v>4800.91</c:v>
                </c:pt>
                <c:pt idx="79">
                  <c:v>4821.9799999999996</c:v>
                </c:pt>
                <c:pt idx="80">
                  <c:v>4865.08</c:v>
                </c:pt>
                <c:pt idx="81">
                  <c:v>4840.71</c:v>
                </c:pt>
                <c:pt idx="82">
                  <c:v>4805.3</c:v>
                </c:pt>
                <c:pt idx="83">
                  <c:v>4746.42</c:v>
                </c:pt>
                <c:pt idx="84">
                  <c:v>4664.03</c:v>
                </c:pt>
                <c:pt idx="85">
                  <c:v>4563.57</c:v>
                </c:pt>
                <c:pt idx="86">
                  <c:v>4501.57</c:v>
                </c:pt>
                <c:pt idx="87">
                  <c:v>4635.4799999999996</c:v>
                </c:pt>
                <c:pt idx="88">
                  <c:v>4536.71</c:v>
                </c:pt>
                <c:pt idx="89">
                  <c:v>4495.26</c:v>
                </c:pt>
                <c:pt idx="90">
                  <c:v>4468.91</c:v>
                </c:pt>
                <c:pt idx="91">
                  <c:v>4427.3</c:v>
                </c:pt>
                <c:pt idx="92">
                  <c:v>4461.8</c:v>
                </c:pt>
                <c:pt idx="93">
                  <c:v>4485.01</c:v>
                </c:pt>
                <c:pt idx="94">
                  <c:v>4489.29</c:v>
                </c:pt>
                <c:pt idx="95">
                  <c:v>4503.71</c:v>
                </c:pt>
                <c:pt idx="96">
                  <c:v>4506.68</c:v>
                </c:pt>
                <c:pt idx="97">
                  <c:v>4358.53</c:v>
                </c:pt>
                <c:pt idx="98">
                  <c:v>4460.6400000000003</c:v>
                </c:pt>
                <c:pt idx="99">
                  <c:v>4692.82</c:v>
                </c:pt>
                <c:pt idx="100">
                  <c:v>4710.97</c:v>
                </c:pt>
                <c:pt idx="101">
                  <c:v>4585.91</c:v>
                </c:pt>
                <c:pt idx="102">
                  <c:v>4585.7</c:v>
                </c:pt>
                <c:pt idx="103">
                  <c:v>4455.8500000000004</c:v>
                </c:pt>
                <c:pt idx="104">
                  <c:v>4434.38</c:v>
                </c:pt>
                <c:pt idx="105">
                  <c:v>4429.0200000000004</c:v>
                </c:pt>
                <c:pt idx="106">
                  <c:v>4403.47</c:v>
                </c:pt>
                <c:pt idx="107">
                  <c:v>4489.9399999999996</c:v>
                </c:pt>
                <c:pt idx="108">
                  <c:v>4484.57</c:v>
                </c:pt>
                <c:pt idx="109">
                  <c:v>4415.76</c:v>
                </c:pt>
                <c:pt idx="110">
                  <c:v>4483.6099999999997</c:v>
                </c:pt>
                <c:pt idx="111">
                  <c:v>4467.9799999999996</c:v>
                </c:pt>
                <c:pt idx="112">
                  <c:v>4278.5</c:v>
                </c:pt>
                <c:pt idx="113">
                  <c:v>4371.79</c:v>
                </c:pt>
                <c:pt idx="114">
                  <c:v>4335</c:v>
                </c:pt>
                <c:pt idx="115">
                  <c:v>4390.8</c:v>
                </c:pt>
                <c:pt idx="116">
                  <c:v>4424.66</c:v>
                </c:pt>
                <c:pt idx="117">
                  <c:v>4503.66</c:v>
                </c:pt>
                <c:pt idx="118">
                  <c:v>4501.6000000000004</c:v>
                </c:pt>
                <c:pt idx="119">
                  <c:v>4472</c:v>
                </c:pt>
                <c:pt idx="120">
                  <c:v>4550</c:v>
                </c:pt>
                <c:pt idx="121">
                  <c:v>3695.68</c:v>
                </c:pt>
                <c:pt idx="122">
                  <c:v>3690.82</c:v>
                </c:pt>
                <c:pt idx="123">
                  <c:v>3683.33</c:v>
                </c:pt>
                <c:pt idx="124">
                  <c:v>3511.18</c:v>
                </c:pt>
                <c:pt idx="125">
                  <c:v>3581.51</c:v>
                </c:pt>
                <c:pt idx="126">
                  <c:v>3865.3</c:v>
                </c:pt>
                <c:pt idx="127">
                  <c:v>3870.09</c:v>
                </c:pt>
                <c:pt idx="128">
                  <c:v>3949.45</c:v>
                </c:pt>
                <c:pt idx="129">
                  <c:v>3800</c:v>
                </c:pt>
                <c:pt idx="130">
                  <c:v>3897.27</c:v>
                </c:pt>
                <c:pt idx="131">
                  <c:v>4062.42</c:v>
                </c:pt>
                <c:pt idx="132">
                  <c:v>4173.25</c:v>
                </c:pt>
                <c:pt idx="133">
                  <c:v>4158</c:v>
                </c:pt>
                <c:pt idx="134">
                  <c:v>4271.42</c:v>
                </c:pt>
                <c:pt idx="135">
                  <c:v>4230.8999999999996</c:v>
                </c:pt>
                <c:pt idx="136">
                  <c:v>4247.53</c:v>
                </c:pt>
                <c:pt idx="137">
                  <c:v>4280</c:v>
                </c:pt>
                <c:pt idx="138">
                  <c:v>4153.8900000000003</c:v>
                </c:pt>
                <c:pt idx="139">
                  <c:v>4287.6099999999997</c:v>
                </c:pt>
                <c:pt idx="140">
                  <c:v>4129.17</c:v>
                </c:pt>
                <c:pt idx="141">
                  <c:v>4023.16</c:v>
                </c:pt>
                <c:pt idx="142">
                  <c:v>3995.36</c:v>
                </c:pt>
                <c:pt idx="143">
                  <c:v>4000.78</c:v>
                </c:pt>
                <c:pt idx="144">
                  <c:v>3990.45</c:v>
                </c:pt>
                <c:pt idx="145">
                  <c:v>4010.51</c:v>
                </c:pt>
                <c:pt idx="146">
                  <c:v>4001.18</c:v>
                </c:pt>
                <c:pt idx="147">
                  <c:v>4216.25</c:v>
                </c:pt>
                <c:pt idx="148">
                  <c:v>5395.99</c:v>
                </c:pt>
                <c:pt idx="149">
                  <c:v>5612.61</c:v>
                </c:pt>
                <c:pt idx="150">
                  <c:v>5601.52</c:v>
                </c:pt>
                <c:pt idx="151">
                  <c:v>5649.66</c:v>
                </c:pt>
                <c:pt idx="152">
                  <c:v>5344.16</c:v>
                </c:pt>
                <c:pt idx="153">
                  <c:v>5092.12</c:v>
                </c:pt>
                <c:pt idx="154">
                  <c:v>5064.49</c:v>
                </c:pt>
                <c:pt idx="155">
                  <c:v>5008.93</c:v>
                </c:pt>
                <c:pt idx="156">
                  <c:v>4985.05</c:v>
                </c:pt>
                <c:pt idx="157">
                  <c:v>4999.16</c:v>
                </c:pt>
                <c:pt idx="158">
                  <c:v>5057.8100000000004</c:v>
                </c:pt>
                <c:pt idx="159">
                  <c:v>4995.13</c:v>
                </c:pt>
                <c:pt idx="160">
                  <c:v>5051.5</c:v>
                </c:pt>
                <c:pt idx="161">
                  <c:v>5111.5</c:v>
                </c:pt>
                <c:pt idx="162">
                  <c:v>5097.58</c:v>
                </c:pt>
                <c:pt idx="163">
                  <c:v>5124.08</c:v>
                </c:pt>
                <c:pt idx="164">
                  <c:v>5236.6099999999997</c:v>
                </c:pt>
                <c:pt idx="165">
                  <c:v>5229.04</c:v>
                </c:pt>
                <c:pt idx="166">
                  <c:v>5258.23</c:v>
                </c:pt>
                <c:pt idx="167">
                  <c:v>5274.75</c:v>
                </c:pt>
                <c:pt idx="168">
                  <c:v>5265.74</c:v>
                </c:pt>
                <c:pt idx="169">
                  <c:v>5093.04</c:v>
                </c:pt>
                <c:pt idx="170">
                  <c:v>5292.77</c:v>
                </c:pt>
                <c:pt idx="171">
                  <c:v>5380.86</c:v>
                </c:pt>
                <c:pt idx="172">
                  <c:v>5562.36</c:v>
                </c:pt>
                <c:pt idx="173">
                  <c:v>5511.97</c:v>
                </c:pt>
                <c:pt idx="174">
                  <c:v>5601.32</c:v>
                </c:pt>
                <c:pt idx="175">
                  <c:v>5600.01</c:v>
                </c:pt>
                <c:pt idx="176">
                  <c:v>5401.57</c:v>
                </c:pt>
                <c:pt idx="177">
                  <c:v>5410.97</c:v>
                </c:pt>
                <c:pt idx="178">
                  <c:v>5375.55</c:v>
                </c:pt>
                <c:pt idx="179">
                  <c:v>5362.44</c:v>
                </c:pt>
                <c:pt idx="180">
                  <c:v>5382.43</c:v>
                </c:pt>
                <c:pt idx="181">
                  <c:v>5400</c:v>
                </c:pt>
                <c:pt idx="182">
                  <c:v>5400</c:v>
                </c:pt>
                <c:pt idx="183">
                  <c:v>5550</c:v>
                </c:pt>
                <c:pt idx="184">
                  <c:v>5500</c:v>
                </c:pt>
                <c:pt idx="185">
                  <c:v>5650</c:v>
                </c:pt>
                <c:pt idx="186">
                  <c:v>5750</c:v>
                </c:pt>
                <c:pt idx="187">
                  <c:v>5580</c:v>
                </c:pt>
                <c:pt idx="188">
                  <c:v>5750</c:v>
                </c:pt>
                <c:pt idx="189">
                  <c:v>5710</c:v>
                </c:pt>
                <c:pt idx="190">
                  <c:v>5630</c:v>
                </c:pt>
                <c:pt idx="191">
                  <c:v>5530</c:v>
                </c:pt>
                <c:pt idx="192">
                  <c:v>5420</c:v>
                </c:pt>
                <c:pt idx="193">
                  <c:v>5300</c:v>
                </c:pt>
                <c:pt idx="194">
                  <c:v>5460</c:v>
                </c:pt>
                <c:pt idx="195">
                  <c:v>5800</c:v>
                </c:pt>
                <c:pt idx="196">
                  <c:v>5860</c:v>
                </c:pt>
                <c:pt idx="197">
                  <c:v>5920</c:v>
                </c:pt>
                <c:pt idx="198">
                  <c:v>6000</c:v>
                </c:pt>
                <c:pt idx="199">
                  <c:v>6290</c:v>
                </c:pt>
                <c:pt idx="200">
                  <c:v>6300</c:v>
                </c:pt>
                <c:pt idx="201">
                  <c:v>6300</c:v>
                </c:pt>
                <c:pt idx="202">
                  <c:v>6300</c:v>
                </c:pt>
                <c:pt idx="203">
                  <c:v>6300</c:v>
                </c:pt>
                <c:pt idx="204">
                  <c:v>6330</c:v>
                </c:pt>
                <c:pt idx="205">
                  <c:v>6100</c:v>
                </c:pt>
                <c:pt idx="206">
                  <c:v>6000</c:v>
                </c:pt>
                <c:pt idx="207">
                  <c:v>6370</c:v>
                </c:pt>
                <c:pt idx="208">
                  <c:v>6390</c:v>
                </c:pt>
                <c:pt idx="209">
                  <c:v>6680</c:v>
                </c:pt>
                <c:pt idx="210">
                  <c:v>6850</c:v>
                </c:pt>
                <c:pt idx="211">
                  <c:v>6900</c:v>
                </c:pt>
                <c:pt idx="212">
                  <c:v>6840</c:v>
                </c:pt>
                <c:pt idx="213">
                  <c:v>7050</c:v>
                </c:pt>
                <c:pt idx="214">
                  <c:v>7160</c:v>
                </c:pt>
                <c:pt idx="215">
                  <c:v>7200</c:v>
                </c:pt>
                <c:pt idx="216">
                  <c:v>7250</c:v>
                </c:pt>
                <c:pt idx="217">
                  <c:v>7300</c:v>
                </c:pt>
                <c:pt idx="218">
                  <c:v>7260</c:v>
                </c:pt>
                <c:pt idx="219">
                  <c:v>7500</c:v>
                </c:pt>
                <c:pt idx="220">
                  <c:v>7700</c:v>
                </c:pt>
                <c:pt idx="221">
                  <c:v>7650</c:v>
                </c:pt>
                <c:pt idx="222">
                  <c:v>7400</c:v>
                </c:pt>
                <c:pt idx="223">
                  <c:v>7300</c:v>
                </c:pt>
                <c:pt idx="224">
                  <c:v>7240</c:v>
                </c:pt>
                <c:pt idx="225">
                  <c:v>7190</c:v>
                </c:pt>
                <c:pt idx="226">
                  <c:v>7480</c:v>
                </c:pt>
                <c:pt idx="227">
                  <c:v>7600</c:v>
                </c:pt>
                <c:pt idx="228">
                  <c:v>7800</c:v>
                </c:pt>
                <c:pt idx="229">
                  <c:v>7760</c:v>
                </c:pt>
                <c:pt idx="230">
                  <c:v>7690</c:v>
                </c:pt>
                <c:pt idx="231">
                  <c:v>7820</c:v>
                </c:pt>
                <c:pt idx="232">
                  <c:v>7990</c:v>
                </c:pt>
                <c:pt idx="233">
                  <c:v>7990</c:v>
                </c:pt>
                <c:pt idx="234">
                  <c:v>8130</c:v>
                </c:pt>
                <c:pt idx="235">
                  <c:v>8080</c:v>
                </c:pt>
                <c:pt idx="236">
                  <c:v>8180</c:v>
                </c:pt>
                <c:pt idx="237">
                  <c:v>8300</c:v>
                </c:pt>
                <c:pt idx="238">
                  <c:v>8160</c:v>
                </c:pt>
                <c:pt idx="239">
                  <c:v>8000</c:v>
                </c:pt>
                <c:pt idx="240">
                  <c:v>8190</c:v>
                </c:pt>
                <c:pt idx="241">
                  <c:v>8160</c:v>
                </c:pt>
                <c:pt idx="242">
                  <c:v>8140</c:v>
                </c:pt>
                <c:pt idx="243">
                  <c:v>8300</c:v>
                </c:pt>
                <c:pt idx="244">
                  <c:v>8200</c:v>
                </c:pt>
                <c:pt idx="245">
                  <c:v>8380</c:v>
                </c:pt>
                <c:pt idx="246">
                  <c:v>8400</c:v>
                </c:pt>
                <c:pt idx="247">
                  <c:v>8400</c:v>
                </c:pt>
                <c:pt idx="248">
                  <c:v>8450</c:v>
                </c:pt>
                <c:pt idx="249">
                  <c:v>8570</c:v>
                </c:pt>
                <c:pt idx="250">
                  <c:v>8640</c:v>
                </c:pt>
                <c:pt idx="251">
                  <c:v>8640</c:v>
                </c:pt>
                <c:pt idx="252">
                  <c:v>8600</c:v>
                </c:pt>
                <c:pt idx="253">
                  <c:v>8800</c:v>
                </c:pt>
                <c:pt idx="254">
                  <c:v>8600</c:v>
                </c:pt>
                <c:pt idx="255">
                  <c:v>8700</c:v>
                </c:pt>
                <c:pt idx="256">
                  <c:v>8650</c:v>
                </c:pt>
                <c:pt idx="257">
                  <c:v>8600</c:v>
                </c:pt>
                <c:pt idx="258">
                  <c:v>8660</c:v>
                </c:pt>
                <c:pt idx="259">
                  <c:v>8800</c:v>
                </c:pt>
                <c:pt idx="260">
                  <c:v>8900</c:v>
                </c:pt>
                <c:pt idx="261">
                  <c:v>8920</c:v>
                </c:pt>
                <c:pt idx="262">
                  <c:v>8900</c:v>
                </c:pt>
                <c:pt idx="263">
                  <c:v>8320</c:v>
                </c:pt>
                <c:pt idx="264">
                  <c:v>8300</c:v>
                </c:pt>
                <c:pt idx="265">
                  <c:v>8300</c:v>
                </c:pt>
                <c:pt idx="266">
                  <c:v>8300</c:v>
                </c:pt>
                <c:pt idx="267">
                  <c:v>8280</c:v>
                </c:pt>
                <c:pt idx="268">
                  <c:v>8120</c:v>
                </c:pt>
                <c:pt idx="269">
                  <c:v>8200</c:v>
                </c:pt>
                <c:pt idx="270">
                  <c:v>8260</c:v>
                </c:pt>
                <c:pt idx="271">
                  <c:v>8560</c:v>
                </c:pt>
                <c:pt idx="272">
                  <c:v>8240</c:v>
                </c:pt>
                <c:pt idx="273">
                  <c:v>8480</c:v>
                </c:pt>
                <c:pt idx="274">
                  <c:v>8730</c:v>
                </c:pt>
                <c:pt idx="275">
                  <c:v>8800</c:v>
                </c:pt>
                <c:pt idx="276">
                  <c:v>8800</c:v>
                </c:pt>
                <c:pt idx="277">
                  <c:v>8810</c:v>
                </c:pt>
                <c:pt idx="278">
                  <c:v>8820</c:v>
                </c:pt>
                <c:pt idx="279">
                  <c:v>8750</c:v>
                </c:pt>
                <c:pt idx="280">
                  <c:v>8860</c:v>
                </c:pt>
                <c:pt idx="281">
                  <c:v>8620</c:v>
                </c:pt>
                <c:pt idx="282">
                  <c:v>8730</c:v>
                </c:pt>
                <c:pt idx="283">
                  <c:v>8660</c:v>
                </c:pt>
                <c:pt idx="284">
                  <c:v>8850</c:v>
                </c:pt>
                <c:pt idx="285">
                  <c:v>8640</c:v>
                </c:pt>
                <c:pt idx="286">
                  <c:v>8680</c:v>
                </c:pt>
                <c:pt idx="287">
                  <c:v>8900</c:v>
                </c:pt>
                <c:pt idx="288">
                  <c:v>9130</c:v>
                </c:pt>
                <c:pt idx="289">
                  <c:v>9240</c:v>
                </c:pt>
                <c:pt idx="290">
                  <c:v>9150</c:v>
                </c:pt>
                <c:pt idx="291">
                  <c:v>9390</c:v>
                </c:pt>
                <c:pt idx="292">
                  <c:v>9500</c:v>
                </c:pt>
                <c:pt idx="293">
                  <c:v>9500</c:v>
                </c:pt>
                <c:pt idx="294">
                  <c:v>9530</c:v>
                </c:pt>
                <c:pt idx="295">
                  <c:v>9630</c:v>
                </c:pt>
                <c:pt idx="296">
                  <c:v>9500</c:v>
                </c:pt>
                <c:pt idx="297">
                  <c:v>9700</c:v>
                </c:pt>
                <c:pt idx="298">
                  <c:v>9600</c:v>
                </c:pt>
                <c:pt idx="299">
                  <c:v>9280</c:v>
                </c:pt>
                <c:pt idx="300">
                  <c:v>9250</c:v>
                </c:pt>
                <c:pt idx="301">
                  <c:v>9090</c:v>
                </c:pt>
                <c:pt idx="302">
                  <c:v>9090</c:v>
                </c:pt>
                <c:pt idx="303">
                  <c:v>9100</c:v>
                </c:pt>
                <c:pt idx="304">
                  <c:v>8900</c:v>
                </c:pt>
                <c:pt idx="305">
                  <c:v>8700</c:v>
                </c:pt>
                <c:pt idx="306">
                  <c:v>8600</c:v>
                </c:pt>
                <c:pt idx="307">
                  <c:v>8520</c:v>
                </c:pt>
                <c:pt idx="308">
                  <c:v>8360</c:v>
                </c:pt>
                <c:pt idx="309">
                  <c:v>9020</c:v>
                </c:pt>
                <c:pt idx="310">
                  <c:v>9000</c:v>
                </c:pt>
                <c:pt idx="311">
                  <c:v>9060</c:v>
                </c:pt>
                <c:pt idx="312">
                  <c:v>9400</c:v>
                </c:pt>
                <c:pt idx="313">
                  <c:v>9430</c:v>
                </c:pt>
                <c:pt idx="314">
                  <c:v>9600</c:v>
                </c:pt>
                <c:pt idx="315">
                  <c:v>9660</c:v>
                </c:pt>
                <c:pt idx="316">
                  <c:v>9600</c:v>
                </c:pt>
                <c:pt idx="317">
                  <c:v>9680</c:v>
                </c:pt>
                <c:pt idx="318">
                  <c:v>9470</c:v>
                </c:pt>
                <c:pt idx="319">
                  <c:v>9660</c:v>
                </c:pt>
                <c:pt idx="320">
                  <c:v>9750</c:v>
                </c:pt>
                <c:pt idx="321">
                  <c:v>9400</c:v>
                </c:pt>
                <c:pt idx="322">
                  <c:v>9290</c:v>
                </c:pt>
                <c:pt idx="323">
                  <c:v>9430</c:v>
                </c:pt>
                <c:pt idx="324">
                  <c:v>9500</c:v>
                </c:pt>
                <c:pt idx="325">
                  <c:v>9820</c:v>
                </c:pt>
                <c:pt idx="326">
                  <c:v>10040</c:v>
                </c:pt>
                <c:pt idx="327">
                  <c:v>10060</c:v>
                </c:pt>
                <c:pt idx="328">
                  <c:v>10100</c:v>
                </c:pt>
                <c:pt idx="329">
                  <c:v>10040</c:v>
                </c:pt>
                <c:pt idx="330">
                  <c:v>10160</c:v>
                </c:pt>
                <c:pt idx="331">
                  <c:v>10020</c:v>
                </c:pt>
                <c:pt idx="332">
                  <c:v>9990</c:v>
                </c:pt>
                <c:pt idx="333">
                  <c:v>9990</c:v>
                </c:pt>
                <c:pt idx="334">
                  <c:v>10100</c:v>
                </c:pt>
                <c:pt idx="335">
                  <c:v>10200</c:v>
                </c:pt>
                <c:pt idx="336">
                  <c:v>10300</c:v>
                </c:pt>
                <c:pt idx="337">
                  <c:v>10520</c:v>
                </c:pt>
                <c:pt idx="338">
                  <c:v>10740</c:v>
                </c:pt>
                <c:pt idx="339">
                  <c:v>10760</c:v>
                </c:pt>
                <c:pt idx="340">
                  <c:v>10800</c:v>
                </c:pt>
                <c:pt idx="341">
                  <c:v>10980</c:v>
                </c:pt>
                <c:pt idx="342">
                  <c:v>11000</c:v>
                </c:pt>
                <c:pt idx="343">
                  <c:v>10920</c:v>
                </c:pt>
                <c:pt idx="344">
                  <c:v>11040</c:v>
                </c:pt>
                <c:pt idx="345">
                  <c:v>11100</c:v>
                </c:pt>
                <c:pt idx="346">
                  <c:v>11060</c:v>
                </c:pt>
                <c:pt idx="347">
                  <c:v>11080</c:v>
                </c:pt>
                <c:pt idx="348">
                  <c:v>11040</c:v>
                </c:pt>
                <c:pt idx="349">
                  <c:v>10940</c:v>
                </c:pt>
                <c:pt idx="350">
                  <c:v>10960</c:v>
                </c:pt>
                <c:pt idx="351">
                  <c:v>10880</c:v>
                </c:pt>
                <c:pt idx="352">
                  <c:v>10800</c:v>
                </c:pt>
                <c:pt idx="353">
                  <c:v>10800</c:v>
                </c:pt>
                <c:pt idx="354">
                  <c:v>10900</c:v>
                </c:pt>
                <c:pt idx="355">
                  <c:v>10920</c:v>
                </c:pt>
                <c:pt idx="356">
                  <c:v>10880</c:v>
                </c:pt>
                <c:pt idx="357">
                  <c:v>10800</c:v>
                </c:pt>
                <c:pt idx="358">
                  <c:v>11040</c:v>
                </c:pt>
                <c:pt idx="359">
                  <c:v>11060</c:v>
                </c:pt>
                <c:pt idx="360">
                  <c:v>10880</c:v>
                </c:pt>
                <c:pt idx="361">
                  <c:v>10800</c:v>
                </c:pt>
                <c:pt idx="362">
                  <c:v>10860</c:v>
                </c:pt>
                <c:pt idx="363">
                  <c:v>10960</c:v>
                </c:pt>
              </c:numCache>
            </c:numRef>
          </c:val>
          <c:smooth val="1"/>
          <c:extLst>
            <c:ext xmlns:c16="http://schemas.microsoft.com/office/drawing/2014/chart" uri="{C3380CC4-5D6E-409C-BE32-E72D297353CC}">
              <c16:uniqueId val="{00000008-78F3-4FDF-99BC-4E8C3B028FC1}"/>
            </c:ext>
          </c:extLst>
        </c:ser>
        <c:dLbls>
          <c:showLegendKey val="0"/>
          <c:showVal val="0"/>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131154328"/>
        <c:axId val="2131159248"/>
      </c:lineChart>
      <c:dateAx>
        <c:axId val="2131154328"/>
        <c:scaling>
          <c:orientation val="minMax"/>
        </c:scaling>
        <c:delete val="0"/>
        <c:axPos val="b"/>
        <c:numFmt formatCode="d/mm/yy"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Foco" panose="020B0504050202020203" pitchFamily="34" charset="0"/>
                <a:ea typeface="+mn-ea"/>
                <a:cs typeface="+mn-cs"/>
              </a:defRPr>
            </a:pPr>
            <a:endParaRPr lang="es-CO"/>
          </a:p>
        </c:txPr>
        <c:crossAx val="2131159248"/>
        <c:crosses val="autoZero"/>
        <c:auto val="1"/>
        <c:lblOffset val="100"/>
        <c:baseTimeUnit val="days"/>
        <c:majorUnit val="2"/>
        <c:majorTimeUnit val="months"/>
      </c:dateAx>
      <c:valAx>
        <c:axId val="2131159248"/>
        <c:scaling>
          <c:orientation val="minMax"/>
          <c:min val="2000"/>
        </c:scaling>
        <c:delete val="0"/>
        <c:axPos val="l"/>
        <c:majorGridlines>
          <c:spPr>
            <a:ln w="9525" cap="flat" cmpd="sng" algn="ctr">
              <a:solidFill>
                <a:schemeClr val="tx2">
                  <a:lumMod val="15000"/>
                  <a:lumOff val="85000"/>
                </a:schemeClr>
              </a:solidFill>
              <a:round/>
            </a:ln>
            <a:effectLst/>
          </c:spPr>
        </c:majorGridlines>
        <c:numFmt formatCode="###,###.00" sourceLinked="1"/>
        <c:majorTickMark val="in"/>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131154328"/>
        <c:crosses val="autoZero"/>
        <c:crossBetween val="between"/>
      </c:valAx>
      <c:spPr>
        <a:noFill/>
        <a:ln>
          <a:solidFill>
            <a:schemeClr val="accent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dbl"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Consolidada20190929.xlsx]Dashboard!PivotTable1</c:name>
    <c:fmtId val="0"/>
  </c:pivotSource>
  <c:chart>
    <c:autoTitleDeleted val="0"/>
    <c:pivotFmts>
      <c:pivotFmt>
        <c:idx val="0"/>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4.788686934501320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4.309818241051170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0.1005624256245277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4.092557739635259E-17"/>
              <c:y val="-3.669327169634150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5.74642432140158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1.6370230958541036E-16"/>
              <c:y val="-3.210661273429881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4.127993065838419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2.2323300093880904E-3"/>
              <c:y val="-0.1284264509371953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1.5626310065716631E-2"/>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8.185115479270518E-17"/>
              <c:y val="-0.119253133013109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6.060420139137429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7.359081597524021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6.493307291932969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3.4007047303721637E-17"/>
              <c:y val="-3.463097222364245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0"/>
              <c:y val="-2.597322916773184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6.8014094607443274E-17"/>
              <c:y val="-6.493307291932960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Dashboard!$K$74:$K$75</c:f>
              <c:strCache>
                <c:ptCount val="1"/>
                <c:pt idx="0">
                  <c:v>Colombia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Dashboard!$J$76:$J$80</c:f>
              <c:strCache>
                <c:ptCount val="5"/>
                <c:pt idx="0">
                  <c:v>2014.</c:v>
                </c:pt>
                <c:pt idx="1">
                  <c:v>2015.</c:v>
                </c:pt>
                <c:pt idx="2">
                  <c:v>2016.</c:v>
                </c:pt>
                <c:pt idx="3">
                  <c:v>2017.</c:v>
                </c:pt>
                <c:pt idx="4">
                  <c:v>2018.</c:v>
                </c:pt>
              </c:strCache>
            </c:strRef>
          </c:cat>
          <c:val>
            <c:numRef>
              <c:f>Dashboard!$K$76:$K$80</c:f>
              <c:numCache>
                <c:formatCode>General</c:formatCode>
                <c:ptCount val="5"/>
                <c:pt idx="0">
                  <c:v>0.13600000000000001</c:v>
                </c:pt>
                <c:pt idx="1">
                  <c:v>7.0000000000000007E-2</c:v>
                </c:pt>
                <c:pt idx="2">
                  <c:v>-1.2999999999999999E-2</c:v>
                </c:pt>
                <c:pt idx="3">
                  <c:v>4.0000000000000001E-3</c:v>
                </c:pt>
                <c:pt idx="4">
                  <c:v>4.2000000000000003E-2</c:v>
                </c:pt>
              </c:numCache>
            </c:numRef>
          </c:val>
          <c:extLst>
            <c:ext xmlns:c16="http://schemas.microsoft.com/office/drawing/2014/chart" uri="{C3380CC4-5D6E-409C-BE32-E72D297353CC}">
              <c16:uniqueId val="{00000000-5C67-404D-94E9-A54E1A5B1249}"/>
            </c:ext>
          </c:extLst>
        </c:ser>
        <c:ser>
          <c:idx val="1"/>
          <c:order val="1"/>
          <c:tx>
            <c:strRef>
              <c:f>Dashboard!$L$74:$L$75</c:f>
              <c:strCache>
                <c:ptCount val="1"/>
                <c:pt idx="0">
                  <c:v>Costa Rica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1"/>
            <c:invertIfNegative val="0"/>
            <c:bubble3D val="0"/>
            <c:extLst>
              <c:ext xmlns:c16="http://schemas.microsoft.com/office/drawing/2014/chart" uri="{C3380CC4-5D6E-409C-BE32-E72D297353CC}">
                <c16:uniqueId val="{0000000C-240F-4270-9978-7D6BDEB79B38}"/>
              </c:ext>
            </c:extLst>
          </c:dPt>
          <c:dPt>
            <c:idx val="2"/>
            <c:invertIfNegative val="0"/>
            <c:bubble3D val="0"/>
            <c:extLst>
              <c:ext xmlns:c16="http://schemas.microsoft.com/office/drawing/2014/chart" uri="{C3380CC4-5D6E-409C-BE32-E72D297353CC}">
                <c16:uniqueId val="{0000000D-5C67-404D-94E9-A54E1A5B1249}"/>
              </c:ext>
            </c:extLst>
          </c:dPt>
          <c:dPt>
            <c:idx val="3"/>
            <c:invertIfNegative val="0"/>
            <c:bubble3D val="0"/>
            <c:extLst>
              <c:ext xmlns:c16="http://schemas.microsoft.com/office/drawing/2014/chart" uri="{C3380CC4-5D6E-409C-BE32-E72D297353CC}">
                <c16:uniqueId val="{00000008-5C67-404D-94E9-A54E1A5B1249}"/>
              </c:ext>
            </c:extLst>
          </c:dPt>
          <c:dLbls>
            <c:dLbl>
              <c:idx val="1"/>
              <c:layout>
                <c:manualLayout>
                  <c:x val="-3.4007047303721637E-17"/>
                  <c:y val="-3.4630972223642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0F-4270-9978-7D6BDEB79B38}"/>
                </c:ext>
              </c:extLst>
            </c:dLbl>
            <c:dLbl>
              <c:idx val="2"/>
              <c:layout>
                <c:manualLayout>
                  <c:x val="-6.8014094607443274E-17"/>
                  <c:y val="-6.4933072919329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67-404D-94E9-A54E1A5B124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Dashboard!$J$76:$J$80</c:f>
              <c:strCache>
                <c:ptCount val="5"/>
                <c:pt idx="0">
                  <c:v>2014.</c:v>
                </c:pt>
                <c:pt idx="1">
                  <c:v>2015.</c:v>
                </c:pt>
                <c:pt idx="2">
                  <c:v>2016.</c:v>
                </c:pt>
                <c:pt idx="3">
                  <c:v>2017.</c:v>
                </c:pt>
                <c:pt idx="4">
                  <c:v>2018.</c:v>
                </c:pt>
              </c:strCache>
            </c:strRef>
          </c:cat>
          <c:val>
            <c:numRef>
              <c:f>Dashboard!$L$76:$L$80</c:f>
              <c:numCache>
                <c:formatCode>General</c:formatCode>
                <c:ptCount val="5"/>
                <c:pt idx="0">
                  <c:v>2.1000000000000001E-2</c:v>
                </c:pt>
                <c:pt idx="1">
                  <c:v>9.4E-2</c:v>
                </c:pt>
                <c:pt idx="2">
                  <c:v>-3.4000000000000002E-2</c:v>
                </c:pt>
                <c:pt idx="3">
                  <c:v>-5.5E-2</c:v>
                </c:pt>
                <c:pt idx="4">
                  <c:v>0.218</c:v>
                </c:pt>
              </c:numCache>
            </c:numRef>
          </c:val>
          <c:extLst>
            <c:ext xmlns:c16="http://schemas.microsoft.com/office/drawing/2014/chart" uri="{C3380CC4-5D6E-409C-BE32-E72D297353CC}">
              <c16:uniqueId val="{00000001-5C67-404D-94E9-A54E1A5B1249}"/>
            </c:ext>
          </c:extLst>
        </c:ser>
        <c:ser>
          <c:idx val="2"/>
          <c:order val="2"/>
          <c:tx>
            <c:strRef>
              <c:f>Dashboard!$M$74:$M$75</c:f>
              <c:strCache>
                <c:ptCount val="1"/>
                <c:pt idx="0">
                  <c:v>Guatemala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6-5C67-404D-94E9-A54E1A5B1249}"/>
              </c:ext>
            </c:extLst>
          </c:dPt>
          <c:dPt>
            <c:idx val="1"/>
            <c:invertIfNegative val="0"/>
            <c:bubble3D val="0"/>
            <c:extLst>
              <c:ext xmlns:c16="http://schemas.microsoft.com/office/drawing/2014/chart" uri="{C3380CC4-5D6E-409C-BE32-E72D297353CC}">
                <c16:uniqueId val="{0000000A-5C67-404D-94E9-A54E1A5B1249}"/>
              </c:ext>
            </c:extLst>
          </c:dPt>
          <c:dPt>
            <c:idx val="4"/>
            <c:invertIfNegative val="0"/>
            <c:bubble3D val="0"/>
            <c:extLst>
              <c:ext xmlns:c16="http://schemas.microsoft.com/office/drawing/2014/chart" uri="{C3380CC4-5D6E-409C-BE32-E72D297353CC}">
                <c16:uniqueId val="{0000000B-5C67-404D-94E9-A54E1A5B1249}"/>
              </c:ext>
            </c:extLst>
          </c:dPt>
          <c:dLbls>
            <c:dLbl>
              <c:idx val="0"/>
              <c:layout>
                <c:manualLayout>
                  <c:x val="0"/>
                  <c:y val="-2.5973229167731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67-404D-94E9-A54E1A5B124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Dashboard!$J$76:$J$80</c:f>
              <c:strCache>
                <c:ptCount val="5"/>
                <c:pt idx="0">
                  <c:v>2014.</c:v>
                </c:pt>
                <c:pt idx="1">
                  <c:v>2015.</c:v>
                </c:pt>
                <c:pt idx="2">
                  <c:v>2016.</c:v>
                </c:pt>
                <c:pt idx="3">
                  <c:v>2017.</c:v>
                </c:pt>
                <c:pt idx="4">
                  <c:v>2018.</c:v>
                </c:pt>
              </c:strCache>
            </c:strRef>
          </c:cat>
          <c:val>
            <c:numRef>
              <c:f>Dashboard!$M$76:$M$80</c:f>
              <c:numCache>
                <c:formatCode>General</c:formatCode>
                <c:ptCount val="5"/>
                <c:pt idx="0">
                  <c:v>5.6000000000000001E-2</c:v>
                </c:pt>
                <c:pt idx="1">
                  <c:v>3.9E-2</c:v>
                </c:pt>
                <c:pt idx="2">
                  <c:v>4.2999999999999997E-2</c:v>
                </c:pt>
                <c:pt idx="3">
                  <c:v>5.2999999999999999E-2</c:v>
                </c:pt>
              </c:numCache>
            </c:numRef>
          </c:val>
          <c:extLst>
            <c:ext xmlns:c16="http://schemas.microsoft.com/office/drawing/2014/chart" uri="{C3380CC4-5D6E-409C-BE32-E72D297353CC}">
              <c16:uniqueId val="{00000002-5C67-404D-94E9-A54E1A5B1249}"/>
            </c:ext>
          </c:extLst>
        </c:ser>
        <c:ser>
          <c:idx val="3"/>
          <c:order val="3"/>
          <c:tx>
            <c:strRef>
              <c:f>Dashboard!$N$74:$N$75</c:f>
              <c:strCache>
                <c:ptCount val="1"/>
                <c:pt idx="0">
                  <c:v>Nicaragua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3"/>
            <c:invertIfNegative val="0"/>
            <c:bubble3D val="0"/>
            <c:extLst>
              <c:ext xmlns:c16="http://schemas.microsoft.com/office/drawing/2014/chart" uri="{C3380CC4-5D6E-409C-BE32-E72D297353CC}">
                <c16:uniqueId val="{00000009-5C67-404D-94E9-A54E1A5B1249}"/>
              </c:ext>
            </c:extLst>
          </c:dPt>
          <c:dLbls>
            <c:dLbl>
              <c:idx val="3"/>
              <c:layout>
                <c:manualLayout>
                  <c:x val="0"/>
                  <c:y val="-7.3590815975240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67-404D-94E9-A54E1A5B124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Dashboard!$J$76:$J$80</c:f>
              <c:strCache>
                <c:ptCount val="5"/>
                <c:pt idx="0">
                  <c:v>2014.</c:v>
                </c:pt>
                <c:pt idx="1">
                  <c:v>2015.</c:v>
                </c:pt>
                <c:pt idx="2">
                  <c:v>2016.</c:v>
                </c:pt>
                <c:pt idx="3">
                  <c:v>2017.</c:v>
                </c:pt>
                <c:pt idx="4">
                  <c:v>2018.</c:v>
                </c:pt>
              </c:strCache>
            </c:strRef>
          </c:cat>
          <c:val>
            <c:numRef>
              <c:f>Dashboard!$N$76:$N$80</c:f>
              <c:numCache>
                <c:formatCode>General</c:formatCode>
                <c:ptCount val="5"/>
                <c:pt idx="0">
                  <c:v>0.2903</c:v>
                </c:pt>
                <c:pt idx="1">
                  <c:v>0.21310000000000001</c:v>
                </c:pt>
                <c:pt idx="2">
                  <c:v>-5.0900000000000001E-2</c:v>
                </c:pt>
                <c:pt idx="3">
                  <c:v>4.9399999999999999E-2</c:v>
                </c:pt>
                <c:pt idx="4">
                  <c:v>-7.7700000000000005E-2</c:v>
                </c:pt>
              </c:numCache>
            </c:numRef>
          </c:val>
          <c:extLst>
            <c:ext xmlns:c16="http://schemas.microsoft.com/office/drawing/2014/chart" uri="{C3380CC4-5D6E-409C-BE32-E72D297353CC}">
              <c16:uniqueId val="{00000003-5C67-404D-94E9-A54E1A5B1249}"/>
            </c:ext>
          </c:extLst>
        </c:ser>
        <c:ser>
          <c:idx val="4"/>
          <c:order val="4"/>
          <c:tx>
            <c:strRef>
              <c:f>Dashboard!$O$74:$O$75</c:f>
              <c:strCache>
                <c:ptCount val="1"/>
                <c:pt idx="0">
                  <c:v>Panamá</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1"/>
            <c:invertIfNegative val="0"/>
            <c:bubble3D val="0"/>
            <c:extLst>
              <c:ext xmlns:c16="http://schemas.microsoft.com/office/drawing/2014/chart" uri="{C3380CC4-5D6E-409C-BE32-E72D297353CC}">
                <c16:uniqueId val="{0000000F-5C67-404D-94E9-A54E1A5B1249}"/>
              </c:ext>
            </c:extLst>
          </c:dPt>
          <c:dPt>
            <c:idx val="2"/>
            <c:invertIfNegative val="0"/>
            <c:bubble3D val="0"/>
            <c:extLst>
              <c:ext xmlns:c16="http://schemas.microsoft.com/office/drawing/2014/chart" uri="{C3380CC4-5D6E-409C-BE32-E72D297353CC}">
                <c16:uniqueId val="{0000000E-5C67-404D-94E9-A54E1A5B1249}"/>
              </c:ext>
            </c:extLst>
          </c:dPt>
          <c:dPt>
            <c:idx val="3"/>
            <c:invertIfNegative val="0"/>
            <c:bubble3D val="0"/>
            <c:extLst>
              <c:ext xmlns:c16="http://schemas.microsoft.com/office/drawing/2014/chart" uri="{C3380CC4-5D6E-409C-BE32-E72D297353CC}">
                <c16:uniqueId val="{00000010-5C67-404D-94E9-A54E1A5B1249}"/>
              </c:ext>
            </c:extLst>
          </c:dPt>
          <c:dPt>
            <c:idx val="4"/>
            <c:invertIfNegative val="0"/>
            <c:bubble3D val="0"/>
            <c:extLst>
              <c:ext xmlns:c16="http://schemas.microsoft.com/office/drawing/2014/chart" uri="{C3380CC4-5D6E-409C-BE32-E72D297353CC}">
                <c16:uniqueId val="{0000000C-5C67-404D-94E9-A54E1A5B124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Dashboard!$J$76:$J$80</c:f>
              <c:strCache>
                <c:ptCount val="5"/>
                <c:pt idx="0">
                  <c:v>2014.</c:v>
                </c:pt>
                <c:pt idx="1">
                  <c:v>2015.</c:v>
                </c:pt>
                <c:pt idx="2">
                  <c:v>2016.</c:v>
                </c:pt>
                <c:pt idx="3">
                  <c:v>2017.</c:v>
                </c:pt>
                <c:pt idx="4">
                  <c:v>2018.</c:v>
                </c:pt>
              </c:strCache>
            </c:strRef>
          </c:cat>
          <c:val>
            <c:numRef>
              <c:f>Dashboard!$O$76:$O$80</c:f>
              <c:numCache>
                <c:formatCode>General</c:formatCode>
                <c:ptCount val="5"/>
                <c:pt idx="0">
                  <c:v>0.21199999999999999</c:v>
                </c:pt>
                <c:pt idx="1">
                  <c:v>0.122</c:v>
                </c:pt>
                <c:pt idx="2">
                  <c:v>8.4000000000000005E-2</c:v>
                </c:pt>
                <c:pt idx="3">
                  <c:v>0.06</c:v>
                </c:pt>
                <c:pt idx="4">
                  <c:v>2.1000000000000001E-2</c:v>
                </c:pt>
              </c:numCache>
            </c:numRef>
          </c:val>
          <c:extLst>
            <c:ext xmlns:c16="http://schemas.microsoft.com/office/drawing/2014/chart" uri="{C3380CC4-5D6E-409C-BE32-E72D297353CC}">
              <c16:uniqueId val="{00000004-5C67-404D-94E9-A54E1A5B1249}"/>
            </c:ext>
          </c:extLst>
        </c:ser>
        <c:ser>
          <c:idx val="5"/>
          <c:order val="5"/>
          <c:tx>
            <c:strRef>
              <c:f>Dashboard!$P$74:$P$75</c:f>
              <c:strCache>
                <c:ptCount val="1"/>
                <c:pt idx="0">
                  <c:v>Salvador</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2"/>
            <c:invertIfNegative val="0"/>
            <c:bubble3D val="0"/>
            <c:extLst>
              <c:ext xmlns:c16="http://schemas.microsoft.com/office/drawing/2014/chart" uri="{C3380CC4-5D6E-409C-BE32-E72D297353CC}">
                <c16:uniqueId val="{0000000A-240F-4270-9978-7D6BDEB79B38}"/>
              </c:ext>
            </c:extLst>
          </c:dPt>
          <c:dPt>
            <c:idx val="4"/>
            <c:invertIfNegative val="0"/>
            <c:bubble3D val="0"/>
            <c:extLst>
              <c:ext xmlns:c16="http://schemas.microsoft.com/office/drawing/2014/chart" uri="{C3380CC4-5D6E-409C-BE32-E72D297353CC}">
                <c16:uniqueId val="{0000000B-240F-4270-9978-7D6BDEB79B38}"/>
              </c:ext>
            </c:extLst>
          </c:dPt>
          <c:dLbls>
            <c:dLbl>
              <c:idx val="2"/>
              <c:layout>
                <c:manualLayout>
                  <c:x val="0"/>
                  <c:y val="-6.060420139137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40F-4270-9978-7D6BDEB79B38}"/>
                </c:ext>
              </c:extLst>
            </c:dLbl>
            <c:dLbl>
              <c:idx val="4"/>
              <c:layout>
                <c:manualLayout>
                  <c:x val="0"/>
                  <c:y val="-6.493307291932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0F-4270-9978-7D6BDEB79B3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Dashboard!$J$76:$J$80</c:f>
              <c:strCache>
                <c:ptCount val="5"/>
                <c:pt idx="0">
                  <c:v>2014.</c:v>
                </c:pt>
                <c:pt idx="1">
                  <c:v>2015.</c:v>
                </c:pt>
                <c:pt idx="2">
                  <c:v>2016.</c:v>
                </c:pt>
                <c:pt idx="3">
                  <c:v>2017.</c:v>
                </c:pt>
                <c:pt idx="4">
                  <c:v>2018.</c:v>
                </c:pt>
              </c:strCache>
            </c:strRef>
          </c:cat>
          <c:val>
            <c:numRef>
              <c:f>Dashboard!$P$76:$P$80</c:f>
              <c:numCache>
                <c:formatCode>General</c:formatCode>
                <c:ptCount val="5"/>
                <c:pt idx="0">
                  <c:v>-0.152</c:v>
                </c:pt>
                <c:pt idx="1">
                  <c:v>6.6000000000000003E-2</c:v>
                </c:pt>
                <c:pt idx="2">
                  <c:v>0.10299999999999999</c:v>
                </c:pt>
                <c:pt idx="3">
                  <c:v>2.1999999999999999E-2</c:v>
                </c:pt>
                <c:pt idx="4">
                  <c:v>4.7E-2</c:v>
                </c:pt>
              </c:numCache>
            </c:numRef>
          </c:val>
          <c:extLst>
            <c:ext xmlns:c16="http://schemas.microsoft.com/office/drawing/2014/chart" uri="{C3380CC4-5D6E-409C-BE32-E72D297353CC}">
              <c16:uniqueId val="{00000005-5C67-404D-94E9-A54E1A5B1249}"/>
            </c:ext>
          </c:extLst>
        </c:ser>
        <c:dLbls>
          <c:showLegendKey val="0"/>
          <c:showVal val="0"/>
          <c:showCatName val="0"/>
          <c:showSerName val="0"/>
          <c:showPercent val="0"/>
          <c:showBubbleSize val="0"/>
        </c:dLbls>
        <c:gapWidth val="100"/>
        <c:overlap val="-24"/>
        <c:axId val="2055821888"/>
        <c:axId val="2055822216"/>
      </c:barChart>
      <c:catAx>
        <c:axId val="2055821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2055822216"/>
        <c:crosses val="autoZero"/>
        <c:auto val="1"/>
        <c:lblAlgn val="ctr"/>
        <c:lblOffset val="100"/>
        <c:noMultiLvlLbl val="0"/>
      </c:catAx>
      <c:valAx>
        <c:axId val="20558222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5582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CO"/>
              <a:t>Cambios en el Capital</a:t>
            </a:r>
            <a:r>
              <a:rPr lang="es-CO" baseline="0"/>
              <a:t> de Trabajo</a:t>
            </a:r>
            <a:endParaRPr lang="es-CO"/>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FCL!$A$28</c:f>
              <c:strCache>
                <c:ptCount val="1"/>
                <c:pt idx="0">
                  <c:v>Flujo de Caja Libre</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2E26-4CF8-AC65-4B4CAA33C985}"/>
              </c:ext>
            </c:extLst>
          </c:dPt>
          <c:dPt>
            <c:idx val="4"/>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5-2E26-4CF8-AC65-4B4CAA33C985}"/>
              </c:ext>
            </c:extLst>
          </c:dPt>
          <c:dPt>
            <c:idx val="5"/>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7-2E26-4CF8-AC65-4B4CAA33C985}"/>
              </c:ext>
            </c:extLst>
          </c:dPt>
          <c:dPt>
            <c:idx val="6"/>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9-2E26-4CF8-AC65-4B4CAA33C985}"/>
              </c:ext>
            </c:extLst>
          </c:dPt>
          <c:dPt>
            <c:idx val="7"/>
            <c:invertIfNegative val="0"/>
            <c:bubble3D val="0"/>
            <c:spPr>
              <a:pattFill prst="dkUpDiag">
                <a:fgClr>
                  <a:srgbClr val="FF0000"/>
                </a:fgClr>
                <a:bgClr>
                  <a:schemeClr val="bg1"/>
                </a:bgClr>
              </a:pattFill>
              <a:ln>
                <a:noFill/>
              </a:ln>
              <a:effectLst/>
            </c:spPr>
            <c:extLst>
              <c:ext xmlns:c16="http://schemas.microsoft.com/office/drawing/2014/chart" uri="{C3380CC4-5D6E-409C-BE32-E72D297353CC}">
                <c16:uniqueId val="{0000000B-2E26-4CF8-AC65-4B4CAA33C985}"/>
              </c:ext>
            </c:extLst>
          </c:dPt>
          <c:dPt>
            <c:idx val="8"/>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D-2E26-4CF8-AC65-4B4CAA33C985}"/>
              </c:ext>
            </c:extLst>
          </c:dPt>
          <c:dLbls>
            <c:dLbl>
              <c:idx val="7"/>
              <c:layout>
                <c:manualLayout>
                  <c:x val="2.7777777777775741E-3"/>
                  <c:y val="-9.7221128608923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26-4CF8-AC65-4B4CAA33C985}"/>
                </c:ext>
              </c:extLst>
            </c:dLbl>
            <c:dLbl>
              <c:idx val="8"/>
              <c:layout>
                <c:manualLayout>
                  <c:x val="0"/>
                  <c:y val="-4.8621047745294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E26-4CF8-AC65-4B4CAA33C985}"/>
                </c:ext>
              </c:extLst>
            </c:dLbl>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FCL!$C$3:$M$3</c15:sqref>
                  </c15:fullRef>
                </c:ext>
              </c:extLst>
              <c:f>(FCL!$C$3:$F$3,FCL!$H$3:$M$3)</c:f>
              <c:strCache>
                <c:ptCount val="10"/>
                <c:pt idx="0">
                  <c:v>2014</c:v>
                </c:pt>
                <c:pt idx="1">
                  <c:v>2015</c:v>
                </c:pt>
                <c:pt idx="2">
                  <c:v>2016</c:v>
                </c:pt>
                <c:pt idx="3">
                  <c:v>2017</c:v>
                </c:pt>
                <c:pt idx="4">
                  <c:v>2018</c:v>
                </c:pt>
                <c:pt idx="5">
                  <c:v>2019P</c:v>
                </c:pt>
                <c:pt idx="6">
                  <c:v>2020P</c:v>
                </c:pt>
                <c:pt idx="7">
                  <c:v>2021P</c:v>
                </c:pt>
                <c:pt idx="8">
                  <c:v>2022P</c:v>
                </c:pt>
                <c:pt idx="9">
                  <c:v>2023P</c:v>
                </c:pt>
              </c:strCache>
            </c:strRef>
          </c:cat>
          <c:val>
            <c:numRef>
              <c:extLst>
                <c:ext xmlns:c15="http://schemas.microsoft.com/office/drawing/2012/chart" uri="{02D57815-91ED-43cb-92C2-25804820EDAC}">
                  <c15:fullRef>
                    <c15:sqref>FCL!$C$27:$M$27</c15:sqref>
                  </c15:fullRef>
                </c:ext>
              </c:extLst>
              <c:f>(FCL!$C$27:$F$27,FCL!$H$27:$M$27)</c:f>
              <c:numCache>
                <c:formatCode>#,##0.0_);\(#,##0.0\)</c:formatCode>
                <c:ptCount val="10"/>
                <c:pt idx="0">
                  <c:v>16722</c:v>
                </c:pt>
                <c:pt idx="1">
                  <c:v>64301</c:v>
                </c:pt>
                <c:pt idx="2">
                  <c:v>36936</c:v>
                </c:pt>
                <c:pt idx="3">
                  <c:v>-11689</c:v>
                </c:pt>
                <c:pt idx="4" formatCode="_(&quot;$&quot;* #,##0.00_);_(&quot;$&quot;* \(#,##0.00\);_(&quot;$&quot;* &quot;-&quot;??_);_(@_)">
                  <c:v>13067</c:v>
                </c:pt>
                <c:pt idx="5" formatCode="_(&quot;$&quot;* #,##0.00_);_(&quot;$&quot;* \(#,##0.00\);_(&quot;$&quot;* &quot;-&quot;??_);_(@_)">
                  <c:v>5776.4207180175872</c:v>
                </c:pt>
                <c:pt idx="6" formatCode="_(&quot;$&quot;* #,##0.00_);_(&quot;$&quot;* \(#,##0.00\);_(&quot;$&quot;* &quot;-&quot;??_);_(@_)">
                  <c:v>6042.5330831372703</c:v>
                </c:pt>
                <c:pt idx="7" formatCode="_(&quot;$&quot;* #,##0.00_);_(&quot;$&quot;* \(#,##0.00\);_(&quot;$&quot;* &quot;-&quot;??_);_(@_)">
                  <c:v>6042.0707077732659</c:v>
                </c:pt>
                <c:pt idx="8" formatCode="_(&quot;$&quot;* #,##0.00_);_(&quot;$&quot;* \(#,##0.00\);_(&quot;$&quot;* &quot;-&quot;??_);_(@_)">
                  <c:v>5176.2850224479334</c:v>
                </c:pt>
                <c:pt idx="9" formatCode="_(&quot;$&quot;* #,##0.00_);_(&quot;$&quot;* \(#,##0.00\);_(&quot;$&quot;* &quot;-&quot;??_);_(@_)">
                  <c:v>6511.0094777040067</c:v>
                </c:pt>
              </c:numCache>
            </c:numRef>
          </c:val>
          <c:extLst>
            <c:ext xmlns:c15="http://schemas.microsoft.com/office/drawing/2012/chart" uri="{02D57815-91ED-43cb-92C2-25804820EDAC}">
              <c15:categoryFilterExceptions>
                <c15:categoryFilterException>
                  <c15:sqref>FCL!$G$27</c15:sqref>
                  <c15:spPr xmlns:c15="http://schemas.microsoft.com/office/drawing/2012/chart">
                    <a:solidFill>
                      <a:srgbClr val="FF0000"/>
                    </a:solidFill>
                    <a:ln>
                      <a:noFill/>
                    </a:ln>
                    <a:effectLst/>
                  </c15:spPr>
                  <c15:invertIfNegative val="0"/>
                  <c15:bubble3D val="0"/>
                </c15:categoryFilterException>
              </c15:categoryFilterExceptions>
            </c:ext>
            <c:ext xmlns:c16="http://schemas.microsoft.com/office/drawing/2014/chart" uri="{C3380CC4-5D6E-409C-BE32-E72D297353CC}">
              <c16:uniqueId val="{0000000E-2E26-4CF8-AC65-4B4CAA33C985}"/>
            </c:ext>
          </c:extLst>
        </c:ser>
        <c:dLbls>
          <c:showLegendKey val="0"/>
          <c:showVal val="0"/>
          <c:showCatName val="0"/>
          <c:showSerName val="0"/>
          <c:showPercent val="0"/>
          <c:showBubbleSize val="0"/>
        </c:dLbls>
        <c:gapWidth val="219"/>
        <c:overlap val="-27"/>
        <c:axId val="736434399"/>
        <c:axId val="736426911"/>
      </c:barChart>
      <c:catAx>
        <c:axId val="736434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6426911"/>
        <c:crosses val="autoZero"/>
        <c:auto val="1"/>
        <c:lblAlgn val="ctr"/>
        <c:lblOffset val="100"/>
        <c:noMultiLvlLbl val="0"/>
      </c:catAx>
      <c:valAx>
        <c:axId val="736426911"/>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6434399"/>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Capex y Capex/Ingresos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Indicadores!$B$44</c:f>
              <c:strCache>
                <c:ptCount val="1"/>
                <c:pt idx="0">
                  <c:v>CAPEX</c:v>
                </c:pt>
              </c:strCache>
            </c:strRef>
          </c:tx>
          <c:spPr>
            <a:solidFill>
              <a:schemeClr val="accent1"/>
            </a:solidFill>
            <a:ln>
              <a:noFill/>
            </a:ln>
            <a:effectLst/>
          </c:spPr>
          <c:invertIfNegative val="0"/>
          <c:dPt>
            <c:idx val="5"/>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1-CFAD-4114-B48A-FC94F3F101F1}"/>
              </c:ext>
            </c:extLst>
          </c:dPt>
          <c:dPt>
            <c:idx val="6"/>
            <c:invertIfNegative val="0"/>
            <c:bubble3D val="0"/>
            <c:spPr>
              <a:pattFill prst="dkDnDiag">
                <a:fgClr>
                  <a:srgbClr val="0070C0"/>
                </a:fgClr>
                <a:bgClr>
                  <a:schemeClr val="bg1"/>
                </a:bgClr>
              </a:pattFill>
              <a:ln>
                <a:solidFill>
                  <a:schemeClr val="accent1"/>
                </a:solidFill>
                <a:prstDash val="sysDash"/>
              </a:ln>
              <a:effectLst/>
            </c:spPr>
            <c:extLst>
              <c:ext xmlns:c16="http://schemas.microsoft.com/office/drawing/2014/chart" uri="{C3380CC4-5D6E-409C-BE32-E72D297353CC}">
                <c16:uniqueId val="{00000003-CFAD-4114-B48A-FC94F3F101F1}"/>
              </c:ext>
            </c:extLst>
          </c:dPt>
          <c:dPt>
            <c:idx val="7"/>
            <c:invertIfNegative val="0"/>
            <c:bubble3D val="0"/>
            <c:spPr>
              <a:pattFill prst="dkDnDiag">
                <a:fgClr>
                  <a:srgbClr val="0070C0"/>
                </a:fgClr>
                <a:bgClr>
                  <a:schemeClr val="bg1"/>
                </a:bgClr>
              </a:pattFill>
              <a:ln>
                <a:noFill/>
              </a:ln>
              <a:effectLst/>
            </c:spPr>
            <c:extLst>
              <c:ext xmlns:c16="http://schemas.microsoft.com/office/drawing/2014/chart" uri="{C3380CC4-5D6E-409C-BE32-E72D297353CC}">
                <c16:uniqueId val="{00000005-CFAD-4114-B48A-FC94F3F101F1}"/>
              </c:ext>
            </c:extLst>
          </c:dPt>
          <c:dPt>
            <c:idx val="8"/>
            <c:invertIfNegative val="0"/>
            <c:bubble3D val="0"/>
            <c:spPr>
              <a:pattFill prst="dkDnDiag">
                <a:fgClr>
                  <a:srgbClr val="0070C0"/>
                </a:fgClr>
                <a:bgClr>
                  <a:schemeClr val="bg1"/>
                </a:bgClr>
              </a:pattFill>
              <a:ln>
                <a:noFill/>
              </a:ln>
              <a:effectLst/>
            </c:spPr>
            <c:extLst>
              <c:ext xmlns:c16="http://schemas.microsoft.com/office/drawing/2014/chart" uri="{C3380CC4-5D6E-409C-BE32-E72D297353CC}">
                <c16:uniqueId val="{00000007-CFAD-4114-B48A-FC94F3F101F1}"/>
              </c:ext>
            </c:extLst>
          </c:dPt>
          <c:dPt>
            <c:idx val="9"/>
            <c:invertIfNegative val="0"/>
            <c:bubble3D val="0"/>
            <c:spPr>
              <a:pattFill prst="dkDnDiag">
                <a:fgClr>
                  <a:srgbClr val="0070C0"/>
                </a:fgClr>
                <a:bgClr>
                  <a:schemeClr val="bg1"/>
                </a:bgClr>
              </a:pattFill>
              <a:ln>
                <a:noFill/>
              </a:ln>
              <a:effectLst/>
            </c:spPr>
            <c:extLst>
              <c:ext xmlns:c16="http://schemas.microsoft.com/office/drawing/2014/chart" uri="{C3380CC4-5D6E-409C-BE32-E72D297353CC}">
                <c16:uniqueId val="{00000009-CFAD-4114-B48A-FC94F3F101F1}"/>
              </c:ext>
            </c:extLst>
          </c:dPt>
          <c:dPt>
            <c:idx val="10"/>
            <c:invertIfNegative val="0"/>
            <c:bubble3D val="0"/>
            <c:spPr>
              <a:pattFill prst="dkDnDiag">
                <a:fgClr>
                  <a:srgbClr val="0070C0"/>
                </a:fgClr>
                <a:bgClr>
                  <a:schemeClr val="bg1"/>
                </a:bgClr>
              </a:pattFill>
              <a:ln>
                <a:noFill/>
              </a:ln>
              <a:effectLst/>
            </c:spPr>
            <c:extLst>
              <c:ext xmlns:c16="http://schemas.microsoft.com/office/drawing/2014/chart" uri="{C3380CC4-5D6E-409C-BE32-E72D297353CC}">
                <c16:uniqueId val="{0000000B-CFAD-4114-B48A-FC94F3F101F1}"/>
              </c:ext>
            </c:extLst>
          </c:dPt>
          <c:dLbls>
            <c:dLbl>
              <c:idx val="5"/>
              <c:layout>
                <c:manualLayout>
                  <c:x val="0"/>
                  <c:y val="-3.6303630363036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AD-4114-B48A-FC94F3F101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Indicadores!$D$2:$N$2</c:f>
              <c:strCache>
                <c:ptCount val="10"/>
                <c:pt idx="0">
                  <c:v>2014</c:v>
                </c:pt>
                <c:pt idx="1">
                  <c:v>2015</c:v>
                </c:pt>
                <c:pt idx="2">
                  <c:v>2016</c:v>
                </c:pt>
                <c:pt idx="3">
                  <c:v>2017</c:v>
                </c:pt>
                <c:pt idx="4">
                  <c:v>2018</c:v>
                </c:pt>
                <c:pt idx="5">
                  <c:v>2019P</c:v>
                </c:pt>
                <c:pt idx="6">
                  <c:v>2020P</c:v>
                </c:pt>
                <c:pt idx="7">
                  <c:v>2021P</c:v>
                </c:pt>
                <c:pt idx="8">
                  <c:v>2022P</c:v>
                </c:pt>
                <c:pt idx="9">
                  <c:v>2023P</c:v>
                </c:pt>
              </c:strCache>
              <c:extLst/>
            </c:strRef>
          </c:cat>
          <c:val>
            <c:numRef>
              <c:f>Indicadores!$D$44:$N$44</c:f>
              <c:numCache>
                <c:formatCode>_-"$"* #,##0_-;\-"$"* #,##0_-;_-"$"* "-"_-;_-@_-</c:formatCode>
                <c:ptCount val="10"/>
                <c:pt idx="0">
                  <c:v>-134401</c:v>
                </c:pt>
                <c:pt idx="1">
                  <c:v>-186628</c:v>
                </c:pt>
                <c:pt idx="2">
                  <c:v>-187408</c:v>
                </c:pt>
                <c:pt idx="3">
                  <c:v>-68878</c:v>
                </c:pt>
                <c:pt idx="4">
                  <c:v>-2950</c:v>
                </c:pt>
                <c:pt idx="5">
                  <c:v>-44914.386591802584</c:v>
                </c:pt>
                <c:pt idx="6">
                  <c:v>-45560.113416219901</c:v>
                </c:pt>
                <c:pt idx="7">
                  <c:v>-46137.573475246136</c:v>
                </c:pt>
                <c:pt idx="8">
                  <c:v>-46784.026073989306</c:v>
                </c:pt>
                <c:pt idx="9">
                  <c:v>-47953.626725839036</c:v>
                </c:pt>
              </c:numCache>
              <c:extLst/>
            </c:numRef>
          </c:val>
          <c:extLst>
            <c:ext xmlns:c16="http://schemas.microsoft.com/office/drawing/2014/chart" uri="{C3380CC4-5D6E-409C-BE32-E72D297353CC}">
              <c16:uniqueId val="{0000000C-CFAD-4114-B48A-FC94F3F101F1}"/>
            </c:ext>
          </c:extLst>
        </c:ser>
        <c:dLbls>
          <c:showLegendKey val="0"/>
          <c:showVal val="0"/>
          <c:showCatName val="0"/>
          <c:showSerName val="0"/>
          <c:showPercent val="0"/>
          <c:showBubbleSize val="0"/>
        </c:dLbls>
        <c:gapWidth val="219"/>
        <c:axId val="710489968"/>
        <c:axId val="710491216"/>
      </c:barChart>
      <c:lineChart>
        <c:grouping val="stacked"/>
        <c:varyColors val="0"/>
        <c:ser>
          <c:idx val="1"/>
          <c:order val="1"/>
          <c:tx>
            <c:strRef>
              <c:f>Indicadores!$B$45</c:f>
              <c:strCache>
                <c:ptCount val="1"/>
                <c:pt idx="0">
                  <c:v>CAPEX/INGRESOS</c:v>
                </c:pt>
              </c:strCache>
            </c:strRef>
          </c:tx>
          <c:spPr>
            <a:ln w="28575" cap="rnd">
              <a:solidFill>
                <a:schemeClr val="accent2"/>
              </a:solidFill>
              <a:prstDash val="dash"/>
              <a:round/>
            </a:ln>
            <a:effectLst/>
          </c:spPr>
          <c:marker>
            <c:symbol val="circle"/>
            <c:size val="5"/>
            <c:spPr>
              <a:solidFill>
                <a:schemeClr val="accent2"/>
              </a:solidFill>
              <a:ln w="9525">
                <a:solidFill>
                  <a:schemeClr val="accent2"/>
                </a:solidFill>
                <a:prstDash val="dash"/>
              </a:ln>
              <a:effectLst/>
            </c:spPr>
          </c:marker>
          <c:dPt>
            <c:idx val="1"/>
            <c:marker>
              <c:symbol val="circle"/>
              <c:size val="5"/>
              <c:spPr>
                <a:solidFill>
                  <a:schemeClr val="accent2"/>
                </a:solidFill>
                <a:ln w="9525">
                  <a:solidFill>
                    <a:schemeClr val="accent2"/>
                  </a:solidFill>
                  <a:prstDash val="dash"/>
                </a:ln>
                <a:effectLst/>
              </c:spPr>
            </c:marker>
            <c:bubble3D val="0"/>
            <c:spPr>
              <a:ln w="28575" cap="rnd">
                <a:solidFill>
                  <a:schemeClr val="accent2"/>
                </a:solidFill>
                <a:prstDash val="solid"/>
                <a:round/>
              </a:ln>
              <a:effectLst/>
            </c:spPr>
            <c:extLst>
              <c:ext xmlns:c16="http://schemas.microsoft.com/office/drawing/2014/chart" uri="{C3380CC4-5D6E-409C-BE32-E72D297353CC}">
                <c16:uniqueId val="{0000000E-CFAD-4114-B48A-FC94F3F101F1}"/>
              </c:ext>
            </c:extLst>
          </c:dPt>
          <c:dPt>
            <c:idx val="2"/>
            <c:marker>
              <c:symbol val="circle"/>
              <c:size val="5"/>
              <c:spPr>
                <a:solidFill>
                  <a:schemeClr val="accent2"/>
                </a:solidFill>
                <a:ln w="9525">
                  <a:solidFill>
                    <a:schemeClr val="accent2"/>
                  </a:solidFill>
                  <a:prstDash val="dash"/>
                </a:ln>
                <a:effectLst/>
              </c:spPr>
            </c:marker>
            <c:bubble3D val="0"/>
            <c:spPr>
              <a:ln w="28575" cap="rnd">
                <a:solidFill>
                  <a:schemeClr val="accent2"/>
                </a:solidFill>
                <a:prstDash val="solid"/>
                <a:round/>
              </a:ln>
              <a:effectLst/>
            </c:spPr>
            <c:extLst>
              <c:ext xmlns:c16="http://schemas.microsoft.com/office/drawing/2014/chart" uri="{C3380CC4-5D6E-409C-BE32-E72D297353CC}">
                <c16:uniqueId val="{00000010-CFAD-4114-B48A-FC94F3F101F1}"/>
              </c:ext>
            </c:extLst>
          </c:dPt>
          <c:dPt>
            <c:idx val="3"/>
            <c:marker>
              <c:symbol val="circle"/>
              <c:size val="5"/>
              <c:spPr>
                <a:solidFill>
                  <a:schemeClr val="accent2"/>
                </a:solidFill>
                <a:ln w="9525">
                  <a:solidFill>
                    <a:schemeClr val="accent2"/>
                  </a:solidFill>
                  <a:prstDash val="dash"/>
                </a:ln>
                <a:effectLst/>
              </c:spPr>
            </c:marker>
            <c:bubble3D val="0"/>
            <c:spPr>
              <a:ln w="28575" cap="rnd">
                <a:solidFill>
                  <a:schemeClr val="accent2"/>
                </a:solidFill>
                <a:prstDash val="solid"/>
                <a:round/>
              </a:ln>
              <a:effectLst/>
            </c:spPr>
            <c:extLst>
              <c:ext xmlns:c16="http://schemas.microsoft.com/office/drawing/2014/chart" uri="{C3380CC4-5D6E-409C-BE32-E72D297353CC}">
                <c16:uniqueId val="{00000012-CFAD-4114-B48A-FC94F3F101F1}"/>
              </c:ext>
            </c:extLst>
          </c:dPt>
          <c:dPt>
            <c:idx val="4"/>
            <c:marker>
              <c:symbol val="circle"/>
              <c:size val="5"/>
              <c:spPr>
                <a:solidFill>
                  <a:schemeClr val="accent2"/>
                </a:solidFill>
                <a:ln w="9525">
                  <a:solidFill>
                    <a:schemeClr val="accent2"/>
                  </a:solidFill>
                  <a:prstDash val="dash"/>
                </a:ln>
                <a:effectLst/>
              </c:spPr>
            </c:marker>
            <c:bubble3D val="0"/>
            <c:spPr>
              <a:ln w="28575" cap="rnd">
                <a:solidFill>
                  <a:schemeClr val="accent2"/>
                </a:solidFill>
                <a:prstDash val="solid"/>
                <a:round/>
              </a:ln>
              <a:effectLst/>
            </c:spPr>
            <c:extLst>
              <c:ext xmlns:c16="http://schemas.microsoft.com/office/drawing/2014/chart" uri="{C3380CC4-5D6E-409C-BE32-E72D297353CC}">
                <c16:uniqueId val="{00000014-CFAD-4114-B48A-FC94F3F101F1}"/>
              </c:ext>
            </c:extLst>
          </c:dPt>
          <c:dPt>
            <c:idx val="5"/>
            <c:marker>
              <c:symbol val="circle"/>
              <c:size val="5"/>
              <c:spPr>
                <a:solidFill>
                  <a:schemeClr val="accent2"/>
                </a:solidFill>
                <a:ln w="9525">
                  <a:solidFill>
                    <a:schemeClr val="accent2"/>
                  </a:solidFill>
                  <a:prstDash val="dash"/>
                </a:ln>
                <a:effectLst/>
              </c:spPr>
            </c:marker>
            <c:bubble3D val="0"/>
            <c:spPr>
              <a:ln w="28575" cap="rnd">
                <a:solidFill>
                  <a:schemeClr val="accent2"/>
                </a:solidFill>
                <a:prstDash val="solid"/>
                <a:round/>
              </a:ln>
              <a:effectLst/>
            </c:spPr>
            <c:extLst>
              <c:ext xmlns:c16="http://schemas.microsoft.com/office/drawing/2014/chart" uri="{C3380CC4-5D6E-409C-BE32-E72D297353CC}">
                <c16:uniqueId val="{00000016-CFAD-4114-B48A-FC94F3F101F1}"/>
              </c:ext>
            </c:extLst>
          </c:dPt>
          <c:dLbls>
            <c:dLbl>
              <c:idx val="6"/>
              <c:layout>
                <c:manualLayout>
                  <c:x val="0"/>
                  <c:y val="3.7282518641259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AD-4114-B48A-FC94F3F101F1}"/>
                </c:ext>
              </c:extLst>
            </c:dLbl>
            <c:dLbl>
              <c:idx val="7"/>
              <c:layout>
                <c:manualLayout>
                  <c:x val="-8.6222793874421115E-17"/>
                  <c:y val="-7.0422535211267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FAD-4114-B48A-FC94F3F101F1}"/>
                </c:ext>
              </c:extLst>
            </c:dLbl>
            <c:dLbl>
              <c:idx val="8"/>
              <c:layout>
                <c:manualLayout>
                  <c:x val="-2.3515579071134627E-3"/>
                  <c:y val="-6.2137531068765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AD-4114-B48A-FC94F3F101F1}"/>
                </c:ext>
              </c:extLst>
            </c:dLbl>
            <c:dLbl>
              <c:idx val="9"/>
              <c:layout>
                <c:manualLayout>
                  <c:x val="0"/>
                  <c:y val="-7.0422535211267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AD-4114-B48A-FC94F3F101F1}"/>
                </c:ext>
              </c:extLst>
            </c:dLbl>
            <c:dLbl>
              <c:idx val="10"/>
              <c:layout>
                <c:manualLayout>
                  <c:x val="-3.292181069958848E-2"/>
                  <c:y val="5.799502899751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FAD-4114-B48A-FC94F3F101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Indicadores!$D$2:$N$2</c:f>
              <c:strCache>
                <c:ptCount val="10"/>
                <c:pt idx="0">
                  <c:v>2014</c:v>
                </c:pt>
                <c:pt idx="1">
                  <c:v>2015</c:v>
                </c:pt>
                <c:pt idx="2">
                  <c:v>2016</c:v>
                </c:pt>
                <c:pt idx="3">
                  <c:v>2017</c:v>
                </c:pt>
                <c:pt idx="4">
                  <c:v>2018</c:v>
                </c:pt>
                <c:pt idx="5">
                  <c:v>2019P</c:v>
                </c:pt>
                <c:pt idx="6">
                  <c:v>2020P</c:v>
                </c:pt>
                <c:pt idx="7">
                  <c:v>2021P</c:v>
                </c:pt>
                <c:pt idx="8">
                  <c:v>2022P</c:v>
                </c:pt>
                <c:pt idx="9">
                  <c:v>2023P</c:v>
                </c:pt>
              </c:strCache>
              <c:extLst/>
            </c:strRef>
          </c:cat>
          <c:val>
            <c:numRef>
              <c:f>Indicadores!$D$45:$N$45</c:f>
              <c:numCache>
                <c:formatCode>0.0%</c:formatCode>
                <c:ptCount val="10"/>
                <c:pt idx="0">
                  <c:v>7.792672391300566E-2</c:v>
                </c:pt>
                <c:pt idx="1">
                  <c:v>0.13077814636826254</c:v>
                </c:pt>
                <c:pt idx="2">
                  <c:v>0.14248026724933591</c:v>
                </c:pt>
                <c:pt idx="3">
                  <c:v>5.7091324734573165E-2</c:v>
                </c:pt>
                <c:pt idx="4">
                  <c:v>2.6616645418463289E-3</c:v>
                </c:pt>
                <c:pt idx="5">
                  <c:v>4.4048279369999679E-2</c:v>
                </c:pt>
                <c:pt idx="6">
                  <c:v>4.4048279369999679E-2</c:v>
                </c:pt>
                <c:pt idx="7">
                  <c:v>4.3999999999999997E-2</c:v>
                </c:pt>
                <c:pt idx="8">
                  <c:v>4.4048279369999679E-2</c:v>
                </c:pt>
                <c:pt idx="9">
                  <c:v>4.4048279369999679E-2</c:v>
                </c:pt>
              </c:numCache>
              <c:extLst/>
            </c:numRef>
          </c:val>
          <c:smooth val="0"/>
          <c:extLst>
            <c:ext xmlns:c16="http://schemas.microsoft.com/office/drawing/2014/chart" uri="{C3380CC4-5D6E-409C-BE32-E72D297353CC}">
              <c16:uniqueId val="{0000001C-CFAD-4114-B48A-FC94F3F101F1}"/>
            </c:ext>
          </c:extLst>
        </c:ser>
        <c:dLbls>
          <c:showLegendKey val="0"/>
          <c:showVal val="0"/>
          <c:showCatName val="0"/>
          <c:showSerName val="0"/>
          <c:showPercent val="0"/>
          <c:showBubbleSize val="0"/>
        </c:dLbls>
        <c:marker val="1"/>
        <c:smooth val="0"/>
        <c:axId val="710467920"/>
        <c:axId val="710466672"/>
      </c:lineChart>
      <c:dateAx>
        <c:axId val="710489968"/>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s-CO"/>
          </a:p>
        </c:txPr>
        <c:crossAx val="710491216"/>
        <c:crosses val="autoZero"/>
        <c:auto val="0"/>
        <c:lblOffset val="100"/>
        <c:baseTimeUnit val="days"/>
      </c:dateAx>
      <c:valAx>
        <c:axId val="7104912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0489968"/>
        <c:crosses val="autoZero"/>
        <c:crossBetween val="between"/>
      </c:valAx>
      <c:valAx>
        <c:axId val="7104666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0467920"/>
        <c:crosses val="max"/>
        <c:crossBetween val="between"/>
      </c:valAx>
      <c:catAx>
        <c:axId val="710467920"/>
        <c:scaling>
          <c:orientation val="minMax"/>
        </c:scaling>
        <c:delete val="1"/>
        <c:axPos val="b"/>
        <c:numFmt formatCode="General" sourceLinked="1"/>
        <c:majorTickMark val="none"/>
        <c:minorTickMark val="none"/>
        <c:tickLblPos val="nextTo"/>
        <c:crossAx val="7104666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Deuda</a:t>
            </a:r>
            <a:r>
              <a:rPr lang="es-CO" baseline="0"/>
              <a:t> Neta y Deuda Neta/ EBITDA</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'Indicadores Estrategicos'!$B$18</c:f>
              <c:strCache>
                <c:ptCount val="1"/>
                <c:pt idx="0">
                  <c:v>Endeudamiento Neto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5"/>
            <c:invertIfNegative val="0"/>
            <c:bubble3D val="0"/>
            <c:spPr>
              <a:pattFill prst="dkUpDiag">
                <a:fgClr>
                  <a:srgbClr val="FF0000"/>
                </a:fgClr>
                <a:bgClr>
                  <a:schemeClr val="bg1"/>
                </a:bgClr>
              </a:patt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61B-4DE3-A276-EB33C27D1F2C}"/>
              </c:ext>
            </c:extLst>
          </c:dPt>
          <c:dPt>
            <c:idx val="6"/>
            <c:invertIfNegative val="0"/>
            <c:bubble3D val="0"/>
            <c:spPr>
              <a:pattFill prst="dkUpDiag">
                <a:fgClr>
                  <a:srgbClr val="FF0000"/>
                </a:fgClr>
                <a:bgClr>
                  <a:schemeClr val="bg1"/>
                </a:bgClr>
              </a:patt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561B-4DE3-A276-EB33C27D1F2C}"/>
              </c:ext>
            </c:extLst>
          </c:dPt>
          <c:dPt>
            <c:idx val="7"/>
            <c:invertIfNegative val="0"/>
            <c:bubble3D val="0"/>
            <c:spPr>
              <a:pattFill prst="dkUpDiag">
                <a:fgClr>
                  <a:srgbClr val="FF0000"/>
                </a:fgClr>
                <a:bgClr>
                  <a:schemeClr val="bg1"/>
                </a:bgClr>
              </a:patt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561B-4DE3-A276-EB33C27D1F2C}"/>
              </c:ext>
            </c:extLst>
          </c:dPt>
          <c:dPt>
            <c:idx val="8"/>
            <c:invertIfNegative val="0"/>
            <c:bubble3D val="0"/>
            <c:spPr>
              <a:pattFill prst="dkUpDiag">
                <a:fgClr>
                  <a:srgbClr val="FF0000"/>
                </a:fgClr>
                <a:bgClr>
                  <a:schemeClr val="bg1"/>
                </a:bgClr>
              </a:patt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561B-4DE3-A276-EB33C27D1F2C}"/>
              </c:ext>
            </c:extLst>
          </c:dPt>
          <c:dPt>
            <c:idx val="9"/>
            <c:invertIfNegative val="0"/>
            <c:bubble3D val="0"/>
            <c:spPr>
              <a:pattFill prst="dkUpDiag">
                <a:fgClr>
                  <a:srgbClr val="FF0000"/>
                </a:fgClr>
                <a:bgClr>
                  <a:schemeClr val="bg1"/>
                </a:bgClr>
              </a:patt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561B-4DE3-A276-EB33C27D1F2C}"/>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 Estrategicos'!$D$2:$N$2</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extLst/>
            </c:strRef>
          </c:cat>
          <c:val>
            <c:numRef>
              <c:f>'Indicadores Estrategicos'!$D$18:$N$18</c:f>
              <c:numCache>
                <c:formatCode>_-"$"* #,##0_-;\-"$"* #,##0_-;_-"$"* "-"_-;_-@_-</c:formatCode>
                <c:ptCount val="11"/>
                <c:pt idx="0">
                  <c:v>1391194</c:v>
                </c:pt>
                <c:pt idx="1">
                  <c:v>1167166</c:v>
                </c:pt>
                <c:pt idx="2">
                  <c:v>1053378</c:v>
                </c:pt>
                <c:pt idx="3">
                  <c:v>971020</c:v>
                </c:pt>
                <c:pt idx="4">
                  <c:v>915187</c:v>
                </c:pt>
                <c:pt idx="5">
                  <c:v>847981</c:v>
                </c:pt>
                <c:pt idx="6">
                  <c:v>881438.25862747245</c:v>
                </c:pt>
                <c:pt idx="7">
                  <c:v>855053.8156313831</c:v>
                </c:pt>
                <c:pt idx="8">
                  <c:v>819519.27997587703</c:v>
                </c:pt>
                <c:pt idx="9">
                  <c:v>787685.01593594521</c:v>
                </c:pt>
                <c:pt idx="10">
                  <c:v>762316.92458294379</c:v>
                </c:pt>
              </c:numCache>
              <c:extLst/>
            </c:numRef>
          </c:val>
          <c:extLst>
            <c:ext xmlns:c16="http://schemas.microsoft.com/office/drawing/2014/chart" uri="{C3380CC4-5D6E-409C-BE32-E72D297353CC}">
              <c16:uniqueId val="{0000000A-561B-4DE3-A276-EB33C27D1F2C}"/>
            </c:ext>
          </c:extLst>
        </c:ser>
        <c:dLbls>
          <c:showLegendKey val="0"/>
          <c:showVal val="0"/>
          <c:showCatName val="0"/>
          <c:showSerName val="0"/>
          <c:showPercent val="0"/>
          <c:showBubbleSize val="0"/>
        </c:dLbls>
        <c:gapWidth val="219"/>
        <c:axId val="1161029440"/>
        <c:axId val="1161010304"/>
      </c:barChart>
      <c:lineChart>
        <c:grouping val="standard"/>
        <c:varyColors val="0"/>
        <c:ser>
          <c:idx val="1"/>
          <c:order val="1"/>
          <c:tx>
            <c:strRef>
              <c:f>'Indicadores Estrategicos'!$B$9</c:f>
              <c:strCache>
                <c:ptCount val="1"/>
                <c:pt idx="0">
                  <c:v>Deuda Neta / EBITDA</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dLbl>
              <c:idx val="3"/>
              <c:layout>
                <c:manualLayout>
                  <c:x val="0"/>
                  <c:y val="4.4203335342575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1B-4DE3-A276-EB33C27D1F2C}"/>
                </c:ext>
              </c:extLst>
            </c:dLbl>
            <c:dLbl>
              <c:idx val="4"/>
              <c:layout>
                <c:manualLayout>
                  <c:x val="-4.2328042328042326E-2"/>
                  <c:y val="-6.4295760498292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1B-4DE3-A276-EB33C27D1F2C}"/>
                </c:ext>
              </c:extLst>
            </c:dLbl>
            <c:dLbl>
              <c:idx val="8"/>
              <c:layout>
                <c:manualLayout>
                  <c:x val="0"/>
                  <c:y val="7.0460704607046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1B-4DE3-A276-EB33C27D1F2C}"/>
                </c:ext>
              </c:extLst>
            </c:dLbl>
            <c:numFmt formatCode="#,###.00\x"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 Estrategicos'!$D$2:$N$2</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extLst/>
            </c:strRef>
          </c:cat>
          <c:val>
            <c:numRef>
              <c:f>'Indicadores Estrategicos'!$D$9:$N$9</c:f>
              <c:numCache>
                <c:formatCode>#,###.00\x</c:formatCode>
                <c:ptCount val="11"/>
                <c:pt idx="0">
                  <c:v>2.198883483329698</c:v>
                </c:pt>
                <c:pt idx="1">
                  <c:v>2.0230283911671925</c:v>
                </c:pt>
                <c:pt idx="2">
                  <c:v>2.3420266268242576</c:v>
                </c:pt>
                <c:pt idx="3">
                  <c:v>2.2920335182343914</c:v>
                </c:pt>
                <c:pt idx="4">
                  <c:v>2.9136061482038027</c:v>
                </c:pt>
                <c:pt idx="5">
                  <c:v>3.496727929503066</c:v>
                </c:pt>
                <c:pt idx="6">
                  <c:v>4.1640955758375622</c:v>
                </c:pt>
                <c:pt idx="7">
                  <c:v>3.5421447412722702</c:v>
                </c:pt>
                <c:pt idx="8">
                  <c:v>3.1201858849524795</c:v>
                </c:pt>
                <c:pt idx="9">
                  <c:v>2.8465865239734383</c:v>
                </c:pt>
                <c:pt idx="10">
                  <c:v>2.6341350903588769</c:v>
                </c:pt>
              </c:numCache>
              <c:extLst/>
            </c:numRef>
          </c:val>
          <c:smooth val="0"/>
          <c:extLst>
            <c:ext xmlns:c16="http://schemas.microsoft.com/office/drawing/2014/chart" uri="{C3380CC4-5D6E-409C-BE32-E72D297353CC}">
              <c16:uniqueId val="{0000000E-561B-4DE3-A276-EB33C27D1F2C}"/>
            </c:ext>
          </c:extLst>
        </c:ser>
        <c:dLbls>
          <c:showLegendKey val="0"/>
          <c:showVal val="0"/>
          <c:showCatName val="0"/>
          <c:showSerName val="0"/>
          <c:showPercent val="0"/>
          <c:showBubbleSize val="0"/>
        </c:dLbls>
        <c:marker val="1"/>
        <c:smooth val="0"/>
        <c:axId val="1161026528"/>
        <c:axId val="1161061056"/>
      </c:lineChart>
      <c:catAx>
        <c:axId val="11610294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1010304"/>
        <c:crosses val="autoZero"/>
        <c:auto val="1"/>
        <c:lblAlgn val="ctr"/>
        <c:lblOffset val="100"/>
        <c:noMultiLvlLbl val="0"/>
      </c:catAx>
      <c:valAx>
        <c:axId val="11610103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1029440"/>
        <c:crosses val="autoZero"/>
        <c:crossBetween val="between"/>
      </c:valAx>
      <c:valAx>
        <c:axId val="1161061056"/>
        <c:scaling>
          <c:orientation val="minMax"/>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1026528"/>
        <c:crosses val="max"/>
        <c:crossBetween val="between"/>
      </c:valAx>
      <c:catAx>
        <c:axId val="1161026528"/>
        <c:scaling>
          <c:orientation val="minMax"/>
        </c:scaling>
        <c:delete val="1"/>
        <c:axPos val="b"/>
        <c:numFmt formatCode="General" sourceLinked="1"/>
        <c:majorTickMark val="none"/>
        <c:minorTickMark val="none"/>
        <c:tickLblPos val="nextTo"/>
        <c:crossAx val="1161061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Costos Ventas, Administración</a:t>
            </a:r>
            <a:r>
              <a:rPr lang="es-CO" baseline="0"/>
              <a:t> y Distribución</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Suspuestos!$B$25</c:f>
              <c:strCache>
                <c:ptCount val="1"/>
                <c:pt idx="0">
                  <c:v>% Costos de venta</c:v>
                </c:pt>
              </c:strCache>
            </c:strRef>
          </c:tx>
          <c:spPr>
            <a:ln w="28575" cap="rnd">
              <a:solidFill>
                <a:schemeClr val="accent1"/>
              </a:solidFill>
              <a:prstDash val="sysDash"/>
              <a:round/>
            </a:ln>
            <a:effectLst/>
          </c:spPr>
          <c:marker>
            <c:symbol val="none"/>
          </c:marker>
          <c:dPt>
            <c:idx val="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1-EC31-4D45-ADB0-1C269DD0B061}"/>
              </c:ext>
            </c:extLst>
          </c:dPt>
          <c:dLbls>
            <c:dLbl>
              <c:idx val="0"/>
              <c:layout>
                <c:manualLayout>
                  <c:x val="-1.1111111111111112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31-4D45-ADB0-1C269DD0B061}"/>
                </c:ext>
              </c:extLst>
            </c:dLbl>
            <c:dLbl>
              <c:idx val="1"/>
              <c:layout>
                <c:manualLayout>
                  <c:x val="-5.5555555555555558E-3"/>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31-4D45-ADB0-1C269DD0B061}"/>
                </c:ext>
              </c:extLst>
            </c:dLbl>
            <c:dLbl>
              <c:idx val="2"/>
              <c:layout>
                <c:manualLayout>
                  <c:x val="-3.3333333333333333E-2"/>
                  <c:y val="6.4814814814814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31-4D45-ADB0-1C269DD0B061}"/>
                </c:ext>
              </c:extLst>
            </c:dLbl>
            <c:dLbl>
              <c:idx val="3"/>
              <c:layout>
                <c:manualLayout>
                  <c:x val="0"/>
                  <c:y val="-5.55555555555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31-4D45-ADB0-1C269DD0B061}"/>
                </c:ext>
              </c:extLst>
            </c:dLbl>
            <c:dLbl>
              <c:idx val="4"/>
              <c:layout>
                <c:manualLayout>
                  <c:x val="0"/>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31-4D45-ADB0-1C269DD0B061}"/>
                </c:ext>
              </c:extLst>
            </c:dLbl>
            <c:dLbl>
              <c:idx val="5"/>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31-4D45-ADB0-1C269DD0B061}"/>
                </c:ext>
              </c:extLst>
            </c:dLbl>
            <c:dLbl>
              <c:idx val="6"/>
              <c:layout>
                <c:manualLayout>
                  <c:x val="-8.3333333333333332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31-4D45-ADB0-1C269DD0B061}"/>
                </c:ext>
              </c:extLst>
            </c:dLbl>
            <c:spPr>
              <a:noFill/>
              <a:ln>
                <a:noFill/>
              </a:ln>
              <a:effectLst/>
            </c:spPr>
            <c:txPr>
              <a:bodyPr rot="0" spcFirstLastPara="1" vertOverflow="ellipsis" vert="horz" wrap="square" lIns="38100" tIns="19050" rIns="38100" bIns="19050" anchor="ctr" anchorCtr="0">
                <a:spAutoFit/>
              </a:bodyPr>
              <a:lstStyle/>
              <a:p>
                <a:pPr algn="ct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Suspuestos!$C$18:$I$18</c:f>
              <c:strCache>
                <c:ptCount val="7"/>
                <c:pt idx="0">
                  <c:v>2017</c:v>
                </c:pt>
                <c:pt idx="1">
                  <c:v>2018</c:v>
                </c:pt>
                <c:pt idx="2">
                  <c:v>2019p</c:v>
                </c:pt>
                <c:pt idx="3">
                  <c:v>2020p</c:v>
                </c:pt>
                <c:pt idx="4">
                  <c:v>2021p</c:v>
                </c:pt>
                <c:pt idx="5">
                  <c:v>2022p</c:v>
                </c:pt>
                <c:pt idx="6">
                  <c:v>2023p</c:v>
                </c:pt>
              </c:strCache>
            </c:strRef>
          </c:cat>
          <c:val>
            <c:numRef>
              <c:f>Suspuestos!$C$25:$I$25</c:f>
              <c:numCache>
                <c:formatCode>0.00%</c:formatCode>
                <c:ptCount val="7"/>
                <c:pt idx="0">
                  <c:v>-0.55550278378022189</c:v>
                </c:pt>
                <c:pt idx="1">
                  <c:v>-0.5861707128478999</c:v>
                </c:pt>
                <c:pt idx="2">
                  <c:v>-0.59899999999999998</c:v>
                </c:pt>
                <c:pt idx="3">
                  <c:v>-0.58499999999999996</c:v>
                </c:pt>
                <c:pt idx="4">
                  <c:v>-0.57999999999999996</c:v>
                </c:pt>
                <c:pt idx="5">
                  <c:v>-0.57799999999999996</c:v>
                </c:pt>
                <c:pt idx="6">
                  <c:v>-0.57499999999999996</c:v>
                </c:pt>
              </c:numCache>
            </c:numRef>
          </c:val>
          <c:smooth val="0"/>
          <c:extLst>
            <c:ext xmlns:c16="http://schemas.microsoft.com/office/drawing/2014/chart" uri="{C3380CC4-5D6E-409C-BE32-E72D297353CC}">
              <c16:uniqueId val="{00000008-EC31-4D45-ADB0-1C269DD0B061}"/>
            </c:ext>
          </c:extLst>
        </c:ser>
        <c:ser>
          <c:idx val="1"/>
          <c:order val="1"/>
          <c:tx>
            <c:strRef>
              <c:f>Suspuestos!$B$27</c:f>
              <c:strCache>
                <c:ptCount val="1"/>
                <c:pt idx="0">
                  <c:v>%Gastos Administrativos Y Ventas</c:v>
                </c:pt>
              </c:strCache>
            </c:strRef>
          </c:tx>
          <c:spPr>
            <a:ln w="28575" cap="rnd">
              <a:solidFill>
                <a:schemeClr val="accent2"/>
              </a:solidFill>
              <a:prstDash val="sysDash"/>
              <a:round/>
            </a:ln>
            <a:effectLst/>
          </c:spPr>
          <c:marker>
            <c:symbol val="none"/>
          </c:marker>
          <c:dPt>
            <c:idx val="1"/>
            <c:marker>
              <c:symbol val="none"/>
            </c:marker>
            <c:bubble3D val="0"/>
            <c:spPr>
              <a:ln w="28575" cap="rnd">
                <a:solidFill>
                  <a:schemeClr val="accent2"/>
                </a:solidFill>
                <a:prstDash val="solid"/>
                <a:round/>
              </a:ln>
              <a:effectLst/>
            </c:spPr>
            <c:extLst>
              <c:ext xmlns:c16="http://schemas.microsoft.com/office/drawing/2014/chart" uri="{C3380CC4-5D6E-409C-BE32-E72D297353CC}">
                <c16:uniqueId val="{0000000A-EC31-4D45-ADB0-1C269DD0B061}"/>
              </c:ext>
            </c:extLst>
          </c:dPt>
          <c:dLbls>
            <c:dLbl>
              <c:idx val="0"/>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31-4D45-ADB0-1C269DD0B061}"/>
                </c:ext>
              </c:extLst>
            </c:dLbl>
            <c:dLbl>
              <c:idx val="1"/>
              <c:layout>
                <c:manualLayout>
                  <c:x val="0"/>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31-4D45-ADB0-1C269DD0B061}"/>
                </c:ext>
              </c:extLst>
            </c:dLbl>
            <c:dLbl>
              <c:idx val="2"/>
              <c:layout>
                <c:manualLayout>
                  <c:x val="0"/>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31-4D45-ADB0-1C269DD0B061}"/>
                </c:ext>
              </c:extLst>
            </c:dLbl>
            <c:dLbl>
              <c:idx val="3"/>
              <c:layout>
                <c:manualLayout>
                  <c:x val="-2.7777777777778798E-3"/>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31-4D45-ADB0-1C269DD0B061}"/>
                </c:ext>
              </c:extLst>
            </c:dLbl>
            <c:dLbl>
              <c:idx val="4"/>
              <c:layout>
                <c:manualLayout>
                  <c:x val="0"/>
                  <c:y val="6.4814814814814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31-4D45-ADB0-1C269DD0B061}"/>
                </c:ext>
              </c:extLst>
            </c:dLbl>
            <c:dLbl>
              <c:idx val="5"/>
              <c:layout>
                <c:manualLayout>
                  <c:x val="-8.3333333333333332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31-4D45-ADB0-1C269DD0B061}"/>
                </c:ext>
              </c:extLst>
            </c:dLbl>
            <c:dLbl>
              <c:idx val="6"/>
              <c:layout>
                <c:manualLayout>
                  <c:x val="-1.0185067526415994E-16"/>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31-4D45-ADB0-1C269DD0B0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Suspuestos!$C$18:$I$18</c:f>
              <c:strCache>
                <c:ptCount val="7"/>
                <c:pt idx="0">
                  <c:v>2017</c:v>
                </c:pt>
                <c:pt idx="1">
                  <c:v>2018</c:v>
                </c:pt>
                <c:pt idx="2">
                  <c:v>2019p</c:v>
                </c:pt>
                <c:pt idx="3">
                  <c:v>2020p</c:v>
                </c:pt>
                <c:pt idx="4">
                  <c:v>2021p</c:v>
                </c:pt>
                <c:pt idx="5">
                  <c:v>2022p</c:v>
                </c:pt>
                <c:pt idx="6">
                  <c:v>2023p</c:v>
                </c:pt>
              </c:strCache>
            </c:strRef>
          </c:cat>
          <c:val>
            <c:numRef>
              <c:f>Suspuestos!$C$27:$I$27</c:f>
              <c:numCache>
                <c:formatCode>0.00%</c:formatCode>
                <c:ptCount val="7"/>
                <c:pt idx="0">
                  <c:v>-0.16286999990882364</c:v>
                </c:pt>
                <c:pt idx="1">
                  <c:v>-0.16709298412294543</c:v>
                </c:pt>
                <c:pt idx="2">
                  <c:v>-0.16700000000000001</c:v>
                </c:pt>
                <c:pt idx="3">
                  <c:v>-0.16</c:v>
                </c:pt>
                <c:pt idx="4">
                  <c:v>-0.155</c:v>
                </c:pt>
                <c:pt idx="5">
                  <c:v>-0.152</c:v>
                </c:pt>
                <c:pt idx="6">
                  <c:v>-0.15</c:v>
                </c:pt>
              </c:numCache>
            </c:numRef>
          </c:val>
          <c:smooth val="0"/>
          <c:extLst>
            <c:ext xmlns:c16="http://schemas.microsoft.com/office/drawing/2014/chart" uri="{C3380CC4-5D6E-409C-BE32-E72D297353CC}">
              <c16:uniqueId val="{00000011-EC31-4D45-ADB0-1C269DD0B061}"/>
            </c:ext>
          </c:extLst>
        </c:ser>
        <c:ser>
          <c:idx val="2"/>
          <c:order val="2"/>
          <c:tx>
            <c:strRef>
              <c:f>Suspuestos!$B$28</c:f>
              <c:strCache>
                <c:ptCount val="1"/>
                <c:pt idx="0">
                  <c:v>%Gastos De Distribución</c:v>
                </c:pt>
              </c:strCache>
            </c:strRef>
          </c:tx>
          <c:spPr>
            <a:ln w="28575" cap="rnd">
              <a:solidFill>
                <a:schemeClr val="accent3"/>
              </a:solidFill>
              <a:prstDash val="sysDash"/>
              <a:round/>
            </a:ln>
            <a:effectLst/>
          </c:spPr>
          <c:marker>
            <c:symbol val="none"/>
          </c:marker>
          <c:dPt>
            <c:idx val="1"/>
            <c:marker>
              <c:symbol val="none"/>
            </c:marker>
            <c:bubble3D val="0"/>
            <c:spPr>
              <a:ln w="28575" cap="rnd">
                <a:solidFill>
                  <a:schemeClr val="accent3"/>
                </a:solidFill>
                <a:prstDash val="solid"/>
                <a:round/>
              </a:ln>
              <a:effectLst/>
            </c:spPr>
            <c:extLst>
              <c:ext xmlns:c16="http://schemas.microsoft.com/office/drawing/2014/chart" uri="{C3380CC4-5D6E-409C-BE32-E72D297353CC}">
                <c16:uniqueId val="{00000013-EC31-4D45-ADB0-1C269DD0B061}"/>
              </c:ext>
            </c:extLst>
          </c:dPt>
          <c:dLbls>
            <c:dLbl>
              <c:idx val="0"/>
              <c:layout>
                <c:manualLayout>
                  <c:x val="0"/>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C31-4D45-ADB0-1C269DD0B061}"/>
                </c:ext>
              </c:extLst>
            </c:dLbl>
            <c:dLbl>
              <c:idx val="1"/>
              <c:layout>
                <c:manualLayout>
                  <c:x val="0"/>
                  <c:y val="-0.115740740740740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C31-4D45-ADB0-1C269DD0B061}"/>
                </c:ext>
              </c:extLst>
            </c:dLbl>
            <c:dLbl>
              <c:idx val="2"/>
              <c:layout>
                <c:manualLayout>
                  <c:x val="-5.5555555555555558E-3"/>
                  <c:y val="-9.2592592592592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C31-4D45-ADB0-1C269DD0B061}"/>
                </c:ext>
              </c:extLst>
            </c:dLbl>
            <c:dLbl>
              <c:idx val="3"/>
              <c:layout>
                <c:manualLayout>
                  <c:x val="0"/>
                  <c:y val="-9.7222222222222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C31-4D45-ADB0-1C269DD0B061}"/>
                </c:ext>
              </c:extLst>
            </c:dLbl>
            <c:dLbl>
              <c:idx val="4"/>
              <c:layout>
                <c:manualLayout>
                  <c:x val="2.7777777777777779E-3"/>
                  <c:y val="-8.3333333333333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C31-4D45-ADB0-1C269DD0B061}"/>
                </c:ext>
              </c:extLst>
            </c:dLbl>
            <c:dLbl>
              <c:idx val="5"/>
              <c:layout>
                <c:manualLayout>
                  <c:x val="0"/>
                  <c:y val="-8.3333333333333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C31-4D45-ADB0-1C269DD0B061}"/>
                </c:ext>
              </c:extLst>
            </c:dLbl>
            <c:dLbl>
              <c:idx val="6"/>
              <c:layout>
                <c:manualLayout>
                  <c:x val="-1.0185067526415994E-16"/>
                  <c:y val="-8.7962962962962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C31-4D45-ADB0-1C269DD0B0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Suspuestos!$C$18:$I$18</c:f>
              <c:strCache>
                <c:ptCount val="7"/>
                <c:pt idx="0">
                  <c:v>2017</c:v>
                </c:pt>
                <c:pt idx="1">
                  <c:v>2018</c:v>
                </c:pt>
                <c:pt idx="2">
                  <c:v>2019p</c:v>
                </c:pt>
                <c:pt idx="3">
                  <c:v>2020p</c:v>
                </c:pt>
                <c:pt idx="4">
                  <c:v>2021p</c:v>
                </c:pt>
                <c:pt idx="5">
                  <c:v>2022p</c:v>
                </c:pt>
                <c:pt idx="6">
                  <c:v>2023p</c:v>
                </c:pt>
              </c:strCache>
            </c:strRef>
          </c:cat>
          <c:val>
            <c:numRef>
              <c:f>Suspuestos!$C$28:$I$28</c:f>
              <c:numCache>
                <c:formatCode>0.00%</c:formatCode>
                <c:ptCount val="7"/>
                <c:pt idx="0">
                  <c:v>-8.3756267339050922E-2</c:v>
                </c:pt>
                <c:pt idx="1">
                  <c:v>-9.5327290001434598E-2</c:v>
                </c:pt>
                <c:pt idx="2">
                  <c:v>-0.1</c:v>
                </c:pt>
                <c:pt idx="3">
                  <c:v>-9.4E-2</c:v>
                </c:pt>
                <c:pt idx="4">
                  <c:v>-8.5999999999999993E-2</c:v>
                </c:pt>
                <c:pt idx="5">
                  <c:v>-0.08</c:v>
                </c:pt>
                <c:pt idx="6">
                  <c:v>-7.8E-2</c:v>
                </c:pt>
              </c:numCache>
            </c:numRef>
          </c:val>
          <c:smooth val="0"/>
          <c:extLst>
            <c:ext xmlns:c16="http://schemas.microsoft.com/office/drawing/2014/chart" uri="{C3380CC4-5D6E-409C-BE32-E72D297353CC}">
              <c16:uniqueId val="{0000001A-EC31-4D45-ADB0-1C269DD0B061}"/>
            </c:ext>
          </c:extLst>
        </c:ser>
        <c:dLbls>
          <c:showLegendKey val="0"/>
          <c:showVal val="0"/>
          <c:showCatName val="0"/>
          <c:showSerName val="0"/>
          <c:showPercent val="0"/>
          <c:showBubbleSize val="0"/>
        </c:dLbls>
        <c:smooth val="0"/>
        <c:axId val="2084133312"/>
        <c:axId val="2084144128"/>
      </c:lineChart>
      <c:catAx>
        <c:axId val="208413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4144128"/>
        <c:crosses val="autoZero"/>
        <c:auto val="1"/>
        <c:lblAlgn val="ctr"/>
        <c:lblOffset val="100"/>
        <c:noMultiLvlLbl val="0"/>
      </c:catAx>
      <c:valAx>
        <c:axId val="20841441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8413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vs EBITDA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'ER Proyectado'!$B$3</c:f>
              <c:strCache>
                <c:ptCount val="1"/>
                <c:pt idx="0">
                  <c:v>Ingresos</c:v>
                </c:pt>
              </c:strCache>
            </c:strRef>
          </c:tx>
          <c:spPr>
            <a:solidFill>
              <a:schemeClr val="accent2"/>
            </a:solidFill>
            <a:ln>
              <a:noFill/>
            </a:ln>
            <a:effectLst/>
          </c:spPr>
          <c:invertIfNegative val="0"/>
          <c:dPt>
            <c:idx val="5"/>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1-5C59-4E96-B463-37261B517E3F}"/>
              </c:ext>
            </c:extLst>
          </c:dPt>
          <c:dPt>
            <c:idx val="6"/>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3-5C59-4E96-B463-37261B517E3F}"/>
              </c:ext>
            </c:extLst>
          </c:dPt>
          <c:dPt>
            <c:idx val="7"/>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5-5C59-4E96-B463-37261B517E3F}"/>
              </c:ext>
            </c:extLst>
          </c:dPt>
          <c:dPt>
            <c:idx val="8"/>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7-5C59-4E96-B463-37261B517E3F}"/>
              </c:ext>
            </c:extLst>
          </c:dPt>
          <c:dPt>
            <c:idx val="9"/>
            <c:invertIfNegative val="0"/>
            <c:bubble3D val="0"/>
            <c:spPr>
              <a:pattFill prst="dkDnDiag">
                <a:fgClr>
                  <a:schemeClr val="accent1"/>
                </a:fgClr>
                <a:bgClr>
                  <a:schemeClr val="bg1"/>
                </a:bgClr>
              </a:pattFill>
              <a:ln>
                <a:noFill/>
              </a:ln>
              <a:effectLst/>
            </c:spPr>
            <c:extLst>
              <c:ext xmlns:c16="http://schemas.microsoft.com/office/drawing/2014/chart" uri="{C3380CC4-5D6E-409C-BE32-E72D297353CC}">
                <c16:uniqueId val="{00000009-5C59-4E96-B463-37261B517E3F}"/>
              </c:ext>
            </c:extLst>
          </c:dPt>
          <c:dLbls>
            <c:dLbl>
              <c:idx val="1"/>
              <c:layout>
                <c:manualLayout>
                  <c:x val="6.701664246621203E-3"/>
                  <c:y val="0.3421723788675792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C59-4E96-B463-37261B517E3F}"/>
                </c:ext>
              </c:extLst>
            </c:dLbl>
            <c:dLbl>
              <c:idx val="2"/>
              <c:layout>
                <c:manualLayout>
                  <c:x val="4.0954141734723088E-17"/>
                  <c:y val="0.1454030123827881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C59-4E96-B463-37261B517E3F}"/>
                </c:ext>
              </c:extLst>
            </c:dLbl>
            <c:dLbl>
              <c:idx val="3"/>
              <c:layout>
                <c:manualLayout>
                  <c:x val="-6.7016642466212447E-3"/>
                  <c:y val="0.189767046754010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C59-4E96-B463-37261B517E3F}"/>
                </c:ext>
              </c:extLst>
            </c:dLbl>
            <c:dLbl>
              <c:idx val="4"/>
              <c:layout>
                <c:manualLayout>
                  <c:x val="0"/>
                  <c:y val="0.2939873231613682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C59-4E96-B463-37261B517E3F}"/>
                </c:ext>
              </c:extLst>
            </c:dLbl>
            <c:dLbl>
              <c:idx val="5"/>
              <c:layout>
                <c:manualLayout>
                  <c:x val="0"/>
                  <c:y val="0.1051547031724768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C59-4E96-B463-37261B517E3F}"/>
                </c:ext>
              </c:extLst>
            </c:dLbl>
            <c:dLbl>
              <c:idx val="6"/>
              <c:layout>
                <c:manualLayout>
                  <c:x val="0"/>
                  <c:y val="0.2818355278204332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C59-4E96-B463-37261B517E3F}"/>
                </c:ext>
              </c:extLst>
            </c:dLbl>
            <c:dLbl>
              <c:idx val="8"/>
              <c:layout>
                <c:manualLayout>
                  <c:x val="0"/>
                  <c:y val="0.1328787532263860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C59-4E96-B463-37261B517E3F}"/>
                </c:ext>
              </c:extLst>
            </c:dLbl>
            <c:dLbl>
              <c:idx val="9"/>
              <c:layout>
                <c:manualLayout>
                  <c:x val="0"/>
                  <c:y val="0.2843316888293526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C59-4E96-B463-37261B517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Indicadores!$D$2:$N$2</c15:sqref>
                  </c15:fullRef>
                </c:ext>
              </c:extLst>
              <c:f>Indicadores!$E$2:$N$2</c:f>
              <c:strCache>
                <c:ptCount val="10"/>
                <c:pt idx="0">
                  <c:v>2014</c:v>
                </c:pt>
                <c:pt idx="1">
                  <c:v>2015</c:v>
                </c:pt>
                <c:pt idx="2">
                  <c:v>2016</c:v>
                </c:pt>
                <c:pt idx="3">
                  <c:v>2017</c:v>
                </c:pt>
                <c:pt idx="4">
                  <c:v>2018</c:v>
                </c:pt>
                <c:pt idx="5">
                  <c:v>2019P</c:v>
                </c:pt>
                <c:pt idx="6">
                  <c:v>2020P</c:v>
                </c:pt>
                <c:pt idx="7">
                  <c:v>2021P</c:v>
                </c:pt>
                <c:pt idx="8">
                  <c:v>2022P</c:v>
                </c:pt>
                <c:pt idx="9">
                  <c:v>2023P</c:v>
                </c:pt>
              </c:strCache>
            </c:strRef>
          </c:cat>
          <c:val>
            <c:numRef>
              <c:extLst>
                <c:ext xmlns:c15="http://schemas.microsoft.com/office/drawing/2012/chart" uri="{02D57815-91ED-43cb-92C2-25804820EDAC}">
                  <c15:fullRef>
                    <c15:sqref>'ER Proyectado'!$C$3:$M$3</c15:sqref>
                  </c15:fullRef>
                </c:ext>
              </c:extLst>
              <c:f>'ER Proyectado'!$D$3:$M$3</c:f>
              <c:numCache>
                <c:formatCode>_-"$"* #,##0_-;\-"$"* #,##0_-;_-"$"* "-"_-;_-@_-</c:formatCode>
                <c:ptCount val="10"/>
                <c:pt idx="0">
                  <c:v>1724710</c:v>
                </c:pt>
                <c:pt idx="1">
                  <c:v>1427058</c:v>
                </c:pt>
                <c:pt idx="2">
                  <c:v>1315326</c:v>
                </c:pt>
                <c:pt idx="3">
                  <c:v>1206453</c:v>
                </c:pt>
                <c:pt idx="4">
                  <c:v>1108329</c:v>
                </c:pt>
                <c:pt idx="5">
                  <c:v>1019662.6799999999</c:v>
                </c:pt>
                <c:pt idx="6">
                  <c:v>1034322.2043594714</c:v>
                </c:pt>
                <c:pt idx="7">
                  <c:v>1048581.2153465031</c:v>
                </c:pt>
                <c:pt idx="8">
                  <c:v>1062107.913024473</c:v>
                </c:pt>
                <c:pt idx="9">
                  <c:v>1088660.6108500848</c:v>
                </c:pt>
              </c:numCache>
            </c:numRef>
          </c:val>
          <c:extLst>
            <c:ext xmlns:c15="http://schemas.microsoft.com/office/drawing/2012/chart" uri="{02D57815-91ED-43cb-92C2-25804820EDAC}">
              <c15:categoryFilterExceptions>
                <c15:categoryFilterException>
                  <c15:sqref>'ER Proyectado'!$C$3</c15:sqref>
                  <c15:dLbl>
                    <c:idx val="-1"/>
                    <c:layout>
                      <c:manualLayout>
                        <c:x val="0"/>
                        <c:y val="0.2541389224687162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B746-4F7B-9107-BFC20942AFB8}"/>
                      </c:ext>
                    </c:extLst>
                  </c15:dLbl>
                </c15:categoryFilterException>
              </c15:categoryFilterExceptions>
            </c:ext>
            <c:ext xmlns:c16="http://schemas.microsoft.com/office/drawing/2014/chart" uri="{C3380CC4-5D6E-409C-BE32-E72D297353CC}">
              <c16:uniqueId val="{0000000F-5C59-4E96-B463-37261B517E3F}"/>
            </c:ext>
          </c:extLst>
        </c:ser>
        <c:dLbls>
          <c:showLegendKey val="0"/>
          <c:showVal val="0"/>
          <c:showCatName val="0"/>
          <c:showSerName val="0"/>
          <c:showPercent val="0"/>
          <c:showBubbleSize val="0"/>
        </c:dLbls>
        <c:gapWidth val="247"/>
        <c:axId val="103172176"/>
        <c:axId val="103154288"/>
      </c:barChart>
      <c:lineChart>
        <c:grouping val="stacked"/>
        <c:varyColors val="0"/>
        <c:ser>
          <c:idx val="0"/>
          <c:order val="0"/>
          <c:tx>
            <c:strRef>
              <c:f>Indicadores!$B$32</c:f>
              <c:strCache>
                <c:ptCount val="1"/>
                <c:pt idx="0">
                  <c:v>MARGEN EBITDA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6"/>
            <c:marker>
              <c:symbol val="circle"/>
              <c:size val="5"/>
              <c:spPr>
                <a:solidFill>
                  <a:schemeClr val="accent1"/>
                </a:solidFill>
                <a:ln w="9525">
                  <a:solidFill>
                    <a:schemeClr val="accent1"/>
                  </a:solidFill>
                </a:ln>
                <a:effectLst/>
              </c:spPr>
            </c:marker>
            <c:bubble3D val="0"/>
            <c:spPr>
              <a:ln w="28575" cap="rnd">
                <a:solidFill>
                  <a:schemeClr val="accent1"/>
                </a:solidFill>
                <a:prstDash val="sysDash"/>
                <a:round/>
              </a:ln>
              <a:effectLst/>
            </c:spPr>
            <c:extLst>
              <c:ext xmlns:c16="http://schemas.microsoft.com/office/drawing/2014/chart" uri="{C3380CC4-5D6E-409C-BE32-E72D297353CC}">
                <c16:uniqueId val="{00000011-5C59-4E96-B463-37261B517E3F}"/>
              </c:ext>
            </c:extLst>
          </c:dPt>
          <c:dPt>
            <c:idx val="7"/>
            <c:marker>
              <c:symbol val="circle"/>
              <c:size val="5"/>
              <c:spPr>
                <a:solidFill>
                  <a:schemeClr val="accent1"/>
                </a:solidFill>
                <a:ln w="9525">
                  <a:solidFill>
                    <a:schemeClr val="accent1"/>
                  </a:solidFill>
                </a:ln>
                <a:effectLst/>
              </c:spPr>
            </c:marker>
            <c:bubble3D val="0"/>
            <c:spPr>
              <a:ln w="28575" cap="rnd">
                <a:solidFill>
                  <a:schemeClr val="accent1"/>
                </a:solidFill>
                <a:prstDash val="sysDash"/>
                <a:round/>
              </a:ln>
              <a:effectLst/>
            </c:spPr>
            <c:extLst>
              <c:ext xmlns:c16="http://schemas.microsoft.com/office/drawing/2014/chart" uri="{C3380CC4-5D6E-409C-BE32-E72D297353CC}">
                <c16:uniqueId val="{00000013-5C59-4E96-B463-37261B517E3F}"/>
              </c:ext>
            </c:extLst>
          </c:dPt>
          <c:dPt>
            <c:idx val="8"/>
            <c:marker>
              <c:symbol val="circle"/>
              <c:size val="5"/>
              <c:spPr>
                <a:solidFill>
                  <a:schemeClr val="accent1"/>
                </a:solidFill>
                <a:ln w="9525">
                  <a:solidFill>
                    <a:schemeClr val="accent1"/>
                  </a:solidFill>
                </a:ln>
                <a:effectLst/>
              </c:spPr>
            </c:marker>
            <c:bubble3D val="0"/>
            <c:spPr>
              <a:ln w="28575" cap="rnd">
                <a:solidFill>
                  <a:schemeClr val="accent1"/>
                </a:solidFill>
                <a:prstDash val="sysDash"/>
                <a:round/>
              </a:ln>
              <a:effectLst/>
            </c:spPr>
            <c:extLst>
              <c:ext xmlns:c16="http://schemas.microsoft.com/office/drawing/2014/chart" uri="{C3380CC4-5D6E-409C-BE32-E72D297353CC}">
                <c16:uniqueId val="{00000015-5C59-4E96-B463-37261B517E3F}"/>
              </c:ext>
            </c:extLst>
          </c:dPt>
          <c:dPt>
            <c:idx val="9"/>
            <c:marker>
              <c:symbol val="circle"/>
              <c:size val="5"/>
              <c:spPr>
                <a:solidFill>
                  <a:schemeClr val="accent1"/>
                </a:solidFill>
                <a:ln w="9525">
                  <a:solidFill>
                    <a:schemeClr val="accent1"/>
                  </a:solidFill>
                </a:ln>
                <a:effectLst/>
              </c:spPr>
            </c:marker>
            <c:bubble3D val="0"/>
            <c:spPr>
              <a:ln w="28575" cap="rnd">
                <a:solidFill>
                  <a:schemeClr val="accent1"/>
                </a:solidFill>
                <a:prstDash val="sysDash"/>
                <a:round/>
              </a:ln>
              <a:effectLst/>
            </c:spPr>
            <c:extLst>
              <c:ext xmlns:c16="http://schemas.microsoft.com/office/drawing/2014/chart" uri="{C3380CC4-5D6E-409C-BE32-E72D297353CC}">
                <c16:uniqueId val="{00000017-5C59-4E96-B463-37261B517E3F}"/>
              </c:ext>
            </c:extLst>
          </c:dPt>
          <c:dLbls>
            <c:dLbl>
              <c:idx val="4"/>
              <c:layout>
                <c:manualLayout>
                  <c:x val="-6.7016642466212447E-3"/>
                  <c:y val="-4.149377593360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C59-4E96-B463-37261B517E3F}"/>
                </c:ext>
              </c:extLst>
            </c:dLbl>
            <c:dLbl>
              <c:idx val="5"/>
              <c:layout>
                <c:manualLayout>
                  <c:x val="-2.2338880822071632E-3"/>
                  <c:y val="-0.1244813278008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5C59-4E96-B463-37261B517E3F}"/>
                </c:ext>
              </c:extLst>
            </c:dLbl>
            <c:dLbl>
              <c:idx val="7"/>
              <c:layout>
                <c:manualLayout>
                  <c:x val="-2.2338880822071632E-3"/>
                  <c:y val="-5.8091286307053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C59-4E96-B463-37261B517E3F}"/>
                </c:ext>
              </c:extLst>
            </c:dLbl>
            <c:dLbl>
              <c:idx val="8"/>
              <c:layout>
                <c:manualLayout>
                  <c:x val="0"/>
                  <c:y val="2.9045643153526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C59-4E96-B463-37261B517E3F}"/>
                </c:ext>
              </c:extLst>
            </c:dLbl>
            <c:dLbl>
              <c:idx val="9"/>
              <c:layout>
                <c:manualLayout>
                  <c:x val="-1.1169440411035406E-2"/>
                  <c:y val="-4.564315352697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C59-4E96-B463-37261B517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Indicadores!$D$2:$N$2</c15:sqref>
                  </c15:fullRef>
                </c:ext>
              </c:extLst>
              <c:f>Indicadores!$E$2:$N$2</c:f>
              <c:strCache>
                <c:ptCount val="10"/>
                <c:pt idx="0">
                  <c:v>2014</c:v>
                </c:pt>
                <c:pt idx="1">
                  <c:v>2015</c:v>
                </c:pt>
                <c:pt idx="2">
                  <c:v>2016</c:v>
                </c:pt>
                <c:pt idx="3">
                  <c:v>2017</c:v>
                </c:pt>
                <c:pt idx="4">
                  <c:v>2018</c:v>
                </c:pt>
                <c:pt idx="5">
                  <c:v>2019P</c:v>
                </c:pt>
                <c:pt idx="6">
                  <c:v>2020P</c:v>
                </c:pt>
                <c:pt idx="7">
                  <c:v>2021P</c:v>
                </c:pt>
                <c:pt idx="8">
                  <c:v>2022P</c:v>
                </c:pt>
                <c:pt idx="9">
                  <c:v>2023P</c:v>
                </c:pt>
              </c:strCache>
            </c:strRef>
          </c:cat>
          <c:val>
            <c:numRef>
              <c:extLst>
                <c:ext xmlns:c15="http://schemas.microsoft.com/office/drawing/2012/chart" uri="{02D57815-91ED-43cb-92C2-25804820EDAC}">
                  <c15:fullRef>
                    <c15:sqref>Indicadores!$D$32:$N$32</c15:sqref>
                  </c15:fullRef>
                </c:ext>
              </c:extLst>
              <c:f>Indicadores!$E$32:$N$32</c:f>
              <c:numCache>
                <c:formatCode>0.0%</c:formatCode>
                <c:ptCount val="10"/>
                <c:pt idx="0">
                  <c:v>0.33451420818572397</c:v>
                </c:pt>
                <c:pt idx="1">
                  <c:v>0.31517429564881033</c:v>
                </c:pt>
                <c:pt idx="2">
                  <c:v>0.32208745208412209</c:v>
                </c:pt>
                <c:pt idx="3">
                  <c:v>0.26035659905524705</c:v>
                </c:pt>
                <c:pt idx="4">
                  <c:v>0.2188041637456026</c:v>
                </c:pt>
                <c:pt idx="5">
                  <c:v>0.20759394579391685</c:v>
                </c:pt>
                <c:pt idx="6">
                  <c:v>0.23338411752589622</c:v>
                </c:pt>
                <c:pt idx="7">
                  <c:v>0.25048206443430449</c:v>
                </c:pt>
                <c:pt idx="8">
                  <c:v>0.2605310864191574</c:v>
                </c:pt>
                <c:pt idx="9">
                  <c:v>0.26583062246689371</c:v>
                </c:pt>
              </c:numCache>
            </c:numRef>
          </c:val>
          <c:smooth val="0"/>
          <c:extLst>
            <c:ext xmlns:c16="http://schemas.microsoft.com/office/drawing/2014/chart" uri="{C3380CC4-5D6E-409C-BE32-E72D297353CC}">
              <c16:uniqueId val="{0000001A-5C59-4E96-B463-37261B517E3F}"/>
            </c:ext>
          </c:extLst>
        </c:ser>
        <c:dLbls>
          <c:showLegendKey val="0"/>
          <c:showVal val="0"/>
          <c:showCatName val="0"/>
          <c:showSerName val="0"/>
          <c:showPercent val="0"/>
          <c:showBubbleSize val="0"/>
        </c:dLbls>
        <c:marker val="1"/>
        <c:smooth val="0"/>
        <c:axId val="1574308079"/>
        <c:axId val="1574339695"/>
      </c:lineChart>
      <c:catAx>
        <c:axId val="1031721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154288"/>
        <c:crosses val="autoZero"/>
        <c:auto val="1"/>
        <c:lblAlgn val="ctr"/>
        <c:lblOffset val="100"/>
        <c:noMultiLvlLbl val="0"/>
      </c:catAx>
      <c:valAx>
        <c:axId val="10315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Miles de 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172176"/>
        <c:crosses val="autoZero"/>
        <c:crossBetween val="between"/>
      </c:valAx>
      <c:valAx>
        <c:axId val="15743396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Margen EBITDA</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4308079"/>
        <c:crosses val="max"/>
        <c:crossBetween val="between"/>
      </c:valAx>
      <c:catAx>
        <c:axId val="1574308079"/>
        <c:scaling>
          <c:orientation val="minMax"/>
        </c:scaling>
        <c:delete val="1"/>
        <c:axPos val="b"/>
        <c:numFmt formatCode="General" sourceLinked="1"/>
        <c:majorTickMark val="none"/>
        <c:minorTickMark val="none"/>
        <c:tickLblPos val="nextTo"/>
        <c:crossAx val="1574339695"/>
        <c:crosses val="autoZero"/>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Crecimiento Ventas Sector vs Proyectado CLH</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Suspuestos!$A$14</c:f>
              <c:strCache>
                <c:ptCount val="1"/>
                <c:pt idx="0">
                  <c:v>Total Crecimiento Ponderado Proyecta CLH</c:v>
                </c:pt>
              </c:strCache>
            </c:strRef>
          </c:tx>
          <c:spPr>
            <a:ln w="28575" cap="rnd">
              <a:solidFill>
                <a:schemeClr val="accent1"/>
              </a:solidFill>
              <a:prstDash val="sysDash"/>
              <a:round/>
            </a:ln>
            <a:effectLst/>
          </c:spPr>
          <c:marker>
            <c:symbol val="circle"/>
            <c:size val="5"/>
            <c:spPr>
              <a:solidFill>
                <a:schemeClr val="accent1"/>
              </a:solidFill>
              <a:ln w="9525">
                <a:solidFill>
                  <a:schemeClr val="accent1"/>
                </a:solidFill>
              </a:ln>
              <a:effectLst/>
            </c:spPr>
          </c:marker>
          <c:dPt>
            <c:idx val="1"/>
            <c:marker>
              <c:symbol val="circle"/>
              <c:size val="5"/>
              <c:spPr>
                <a:solidFill>
                  <a:schemeClr val="accent1"/>
                </a:solidFill>
                <a:ln w="9525">
                  <a:solidFill>
                    <a:schemeClr val="accent1"/>
                  </a:solidFill>
                </a:ln>
                <a:effectLst/>
              </c:spPr>
            </c:marker>
            <c:bubble3D val="0"/>
            <c:spPr>
              <a:ln w="28575" cap="rnd">
                <a:solidFill>
                  <a:schemeClr val="accent1"/>
                </a:solidFill>
                <a:prstDash val="solid"/>
                <a:round/>
              </a:ln>
              <a:effectLst/>
            </c:spPr>
            <c:extLst>
              <c:ext xmlns:c16="http://schemas.microsoft.com/office/drawing/2014/chart" uri="{C3380CC4-5D6E-409C-BE32-E72D297353CC}">
                <c16:uniqueId val="{00000001-E9B6-47DB-B3F3-933B89179A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Suspuestos!$D$2:$O$2</c:f>
              <c:strCache>
                <c:ptCount val="12"/>
                <c:pt idx="0">
                  <c:v>2018</c:v>
                </c:pt>
                <c:pt idx="1">
                  <c:v>%</c:v>
                </c:pt>
                <c:pt idx="2">
                  <c:v>2019P</c:v>
                </c:pt>
                <c:pt idx="3">
                  <c:v>%</c:v>
                </c:pt>
                <c:pt idx="4">
                  <c:v>2020P</c:v>
                </c:pt>
                <c:pt idx="5">
                  <c:v>%</c:v>
                </c:pt>
                <c:pt idx="6">
                  <c:v>2021P</c:v>
                </c:pt>
                <c:pt idx="7">
                  <c:v>%</c:v>
                </c:pt>
                <c:pt idx="8">
                  <c:v>2022P</c:v>
                </c:pt>
                <c:pt idx="9">
                  <c:v>%</c:v>
                </c:pt>
                <c:pt idx="10">
                  <c:v>2023P</c:v>
                </c:pt>
                <c:pt idx="11">
                  <c:v>%</c:v>
                </c:pt>
              </c:strCache>
              <c:extLst/>
            </c:strRef>
          </c:cat>
          <c:val>
            <c:numRef>
              <c:f>Suspuestos!$D$14:$O$14</c:f>
              <c:numCache>
                <c:formatCode>0.0%</c:formatCode>
                <c:ptCount val="12"/>
                <c:pt idx="0">
                  <c:v>-8.8533278475976002E-2</c:v>
                </c:pt>
                <c:pt idx="2">
                  <c:v>-0.08</c:v>
                </c:pt>
                <c:pt idx="4">
                  <c:v>1.4376837209999261E-2</c:v>
                </c:pt>
                <c:pt idx="6">
                  <c:v>1.3785850218561213E-2</c:v>
                </c:pt>
                <c:pt idx="8">
                  <c:v>1.29E-2</c:v>
                </c:pt>
                <c:pt idx="10">
                  <c:v>2.5000000000000001E-2</c:v>
                </c:pt>
              </c:numCache>
              <c:extLst/>
            </c:numRef>
          </c:val>
          <c:smooth val="0"/>
          <c:extLst>
            <c:ext xmlns:c16="http://schemas.microsoft.com/office/drawing/2014/chart" uri="{C3380CC4-5D6E-409C-BE32-E72D297353CC}">
              <c16:uniqueId val="{00000002-E9B6-47DB-B3F3-933B89179AD6}"/>
            </c:ext>
          </c:extLst>
        </c:ser>
        <c:ser>
          <c:idx val="1"/>
          <c:order val="1"/>
          <c:tx>
            <c:strRef>
              <c:f>Suspuestos!$A$15</c:f>
              <c:strCache>
                <c:ptCount val="1"/>
                <c:pt idx="0">
                  <c:v>Total Crecimiento Ponderado Esperado del Sector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3-E9B6-47DB-B3F3-933B89179AD6}"/>
              </c:ext>
            </c:extLst>
          </c:dPt>
          <c:dPt>
            <c:idx val="2"/>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5-E9B6-47DB-B3F3-933B89179AD6}"/>
              </c:ext>
            </c:extLst>
          </c:dPt>
          <c:dPt>
            <c:idx val="3"/>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7-E9B6-47DB-B3F3-933B89179AD6}"/>
              </c:ext>
            </c:extLst>
          </c:dPt>
          <c:dPt>
            <c:idx val="4"/>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9-E9B6-47DB-B3F3-933B89179AD6}"/>
              </c:ext>
            </c:extLst>
          </c:dPt>
          <c:dPt>
            <c:idx val="5"/>
            <c:marker>
              <c:symbol val="circle"/>
              <c:size val="5"/>
              <c:spPr>
                <a:solidFill>
                  <a:schemeClr val="accent2"/>
                </a:solidFill>
                <a:ln w="9525">
                  <a:solidFill>
                    <a:schemeClr val="accent2"/>
                  </a:solidFill>
                </a:ln>
                <a:effectLst/>
              </c:spPr>
            </c:marker>
            <c:bubble3D val="0"/>
            <c:spPr>
              <a:ln w="28575" cap="rnd">
                <a:solidFill>
                  <a:schemeClr val="accent2"/>
                </a:solidFill>
                <a:prstDash val="sysDash"/>
                <a:round/>
              </a:ln>
              <a:effectLst/>
            </c:spPr>
            <c:extLst>
              <c:ext xmlns:c16="http://schemas.microsoft.com/office/drawing/2014/chart" uri="{C3380CC4-5D6E-409C-BE32-E72D297353CC}">
                <c16:uniqueId val="{0000000B-E9B6-47DB-B3F3-933B89179AD6}"/>
              </c:ext>
            </c:extLst>
          </c:dPt>
          <c:cat>
            <c:strRef>
              <c:f>Suspuestos!$D$2:$O$2</c:f>
              <c:strCache>
                <c:ptCount val="12"/>
                <c:pt idx="0">
                  <c:v>2018</c:v>
                </c:pt>
                <c:pt idx="1">
                  <c:v>%</c:v>
                </c:pt>
                <c:pt idx="2">
                  <c:v>2019P</c:v>
                </c:pt>
                <c:pt idx="3">
                  <c:v>%</c:v>
                </c:pt>
                <c:pt idx="4">
                  <c:v>2020P</c:v>
                </c:pt>
                <c:pt idx="5">
                  <c:v>%</c:v>
                </c:pt>
                <c:pt idx="6">
                  <c:v>2021P</c:v>
                </c:pt>
                <c:pt idx="7">
                  <c:v>%</c:v>
                </c:pt>
                <c:pt idx="8">
                  <c:v>2022P</c:v>
                </c:pt>
                <c:pt idx="9">
                  <c:v>%</c:v>
                </c:pt>
                <c:pt idx="10">
                  <c:v>2023P</c:v>
                </c:pt>
                <c:pt idx="11">
                  <c:v>%</c:v>
                </c:pt>
              </c:strCache>
              <c:extLst/>
            </c:strRef>
          </c:cat>
          <c:val>
            <c:numRef>
              <c:f>Suspuestos!$D$15:$O$15</c:f>
              <c:numCache>
                <c:formatCode>0%</c:formatCode>
                <c:ptCount val="12"/>
                <c:pt idx="0" formatCode="0.0%">
                  <c:v>-1.2049944000000003E-2</c:v>
                </c:pt>
                <c:pt idx="2" formatCode="0.0%">
                  <c:v>1.1865378861196787E-2</c:v>
                </c:pt>
                <c:pt idx="4" formatCode="0.00000%">
                  <c:v>1.4262044624177333E-2</c:v>
                </c:pt>
                <c:pt idx="6" formatCode="0.0%">
                  <c:v>1.3763125287635264E-2</c:v>
                </c:pt>
                <c:pt idx="8" formatCode="0.0%">
                  <c:v>1.2907871841646244E-2</c:v>
                </c:pt>
                <c:pt idx="10" formatCode="0.0%">
                  <c:v>1.2909364818165219E-2</c:v>
                </c:pt>
              </c:numCache>
              <c:extLst/>
            </c:numRef>
          </c:val>
          <c:smooth val="0"/>
          <c:extLst>
            <c:ext xmlns:c16="http://schemas.microsoft.com/office/drawing/2014/chart" uri="{C3380CC4-5D6E-409C-BE32-E72D297353CC}">
              <c16:uniqueId val="{0000000C-E9B6-47DB-B3F3-933B89179AD6}"/>
            </c:ext>
          </c:extLst>
        </c:ser>
        <c:dLbls>
          <c:showLegendKey val="0"/>
          <c:showVal val="0"/>
          <c:showCatName val="0"/>
          <c:showSerName val="0"/>
          <c:showPercent val="0"/>
          <c:showBubbleSize val="0"/>
        </c:dLbls>
        <c:marker val="1"/>
        <c:smooth val="0"/>
        <c:axId val="710480816"/>
        <c:axId val="710490384"/>
      </c:lineChart>
      <c:catAx>
        <c:axId val="7104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0490384"/>
        <c:crosses val="autoZero"/>
        <c:auto val="1"/>
        <c:lblAlgn val="ctr"/>
        <c:lblOffset val="100"/>
        <c:noMultiLvlLbl val="0"/>
      </c:catAx>
      <c:valAx>
        <c:axId val="710490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04808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Pasivo</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0.17234328442757604"/>
          <c:y val="0.14434834407191008"/>
          <c:w val="0.70184127343794256"/>
          <c:h val="0.69017086985297083"/>
        </c:manualLayout>
      </c:layout>
      <c:lineChart>
        <c:grouping val="standard"/>
        <c:varyColors val="0"/>
        <c:ser>
          <c:idx val="1"/>
          <c:order val="0"/>
          <c:tx>
            <c:strRef>
              <c:f>'Balance General'!$C$36</c:f>
              <c:strCache>
                <c:ptCount val="1"/>
                <c:pt idx="0">
                  <c:v>Total del Pasivo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2"/>
              <c:layout>
                <c:manualLayout>
                  <c:x val="0"/>
                  <c:y val="-8.44327036448667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426-47A6-B74A-191CE982AC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'Balance General'!$D$3:$I$3</c:f>
              <c:strCache>
                <c:ptCount val="5"/>
                <c:pt idx="0">
                  <c:v>2014</c:v>
                </c:pt>
                <c:pt idx="1">
                  <c:v>2015</c:v>
                </c:pt>
                <c:pt idx="2">
                  <c:v>2016</c:v>
                </c:pt>
                <c:pt idx="3">
                  <c:v>2017</c:v>
                </c:pt>
                <c:pt idx="4">
                  <c:v>2018</c:v>
                </c:pt>
              </c:strCache>
            </c:strRef>
          </c:cat>
          <c:val>
            <c:numRef>
              <c:f>'Balance General'!$D$36:$I$36</c:f>
              <c:numCache>
                <c:formatCode>#,##0</c:formatCode>
                <c:ptCount val="5"/>
                <c:pt idx="0" formatCode="_-&quot;$&quot;* #,##0_-;\-&quot;$&quot;* #,##0_-;_-&quot;$&quot;* &quot;-&quot;_-;_-@_-">
                  <c:v>2083007</c:v>
                </c:pt>
                <c:pt idx="1">
                  <c:v>1880115</c:v>
                </c:pt>
                <c:pt idx="2" formatCode="_-&quot;$&quot;* #,##0_-;\-&quot;$&quot;* #,##0_-;_-&quot;$&quot;* &quot;-&quot;_-;_-@_-">
                  <c:v>1820735</c:v>
                </c:pt>
                <c:pt idx="3" formatCode="_-&quot;$&quot;* #,##0_-;\-&quot;$&quot;* #,##0_-;_-&quot;$&quot;* &quot;-&quot;_-;_-@_-">
                  <c:v>1750944</c:v>
                </c:pt>
                <c:pt idx="4" formatCode="_-&quot;$&quot;* #,##0_-;\-&quot;$&quot;* #,##0_-;_-&quot;$&quot;* &quot;-&quot;_-;_-@_-">
                  <c:v>1530180</c:v>
                </c:pt>
              </c:numCache>
            </c:numRef>
          </c:val>
          <c:smooth val="0"/>
          <c:extLst>
            <c:ext xmlns:c16="http://schemas.microsoft.com/office/drawing/2014/chart" uri="{C3380CC4-5D6E-409C-BE32-E72D297353CC}">
              <c16:uniqueId val="{00000008-1426-47A6-B74A-191CE982AC2C}"/>
            </c:ext>
          </c:extLst>
        </c:ser>
        <c:dLbls>
          <c:showLegendKey val="0"/>
          <c:showVal val="0"/>
          <c:showCatName val="0"/>
          <c:showSerName val="0"/>
          <c:showPercent val="0"/>
          <c:showBubbleSize val="0"/>
        </c:dLbls>
        <c:marker val="1"/>
        <c:smooth val="0"/>
        <c:axId val="2131171712"/>
        <c:axId val="2131179584"/>
      </c:lineChart>
      <c:lineChart>
        <c:grouping val="standard"/>
        <c:varyColors val="0"/>
        <c:ser>
          <c:idx val="0"/>
          <c:order val="1"/>
          <c:tx>
            <c:v>Variacion</c:v>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('Balance General'!$A$1,'Balance General'!$Q$36:$U$36)</c:f>
              <c:numCache>
                <c:formatCode>0.0%</c:formatCode>
                <c:ptCount val="6"/>
                <c:pt idx="1">
                  <c:v>-0.1897862081116386</c:v>
                </c:pt>
                <c:pt idx="2">
                  <c:v>-0.10791467543208794</c:v>
                </c:pt>
                <c:pt idx="3">
                  <c:v>-3.2613202909813892E-2</c:v>
                </c:pt>
                <c:pt idx="4">
                  <c:v>-3.9859070307217137E-2</c:v>
                </c:pt>
                <c:pt idx="5">
                  <c:v>-0.14427322275810689</c:v>
                </c:pt>
              </c:numCache>
            </c:numRef>
          </c:val>
          <c:smooth val="0"/>
          <c:extLst>
            <c:ext xmlns:c16="http://schemas.microsoft.com/office/drawing/2014/chart" uri="{C3380CC4-5D6E-409C-BE32-E72D297353CC}">
              <c16:uniqueId val="{00000009-1426-47A6-B74A-191CE982AC2C}"/>
            </c:ext>
          </c:extLst>
        </c:ser>
        <c:dLbls>
          <c:showLegendKey val="0"/>
          <c:showVal val="0"/>
          <c:showCatName val="0"/>
          <c:showSerName val="0"/>
          <c:showPercent val="0"/>
          <c:showBubbleSize val="0"/>
        </c:dLbls>
        <c:marker val="1"/>
        <c:smooth val="0"/>
        <c:axId val="11460519"/>
        <c:axId val="11463143"/>
      </c:lineChart>
      <c:catAx>
        <c:axId val="21311717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179584"/>
        <c:crosses val="autoZero"/>
        <c:auto val="1"/>
        <c:lblAlgn val="ctr"/>
        <c:lblOffset val="100"/>
        <c:noMultiLvlLbl val="0"/>
      </c:catAx>
      <c:valAx>
        <c:axId val="213117958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171712"/>
        <c:crosses val="autoZero"/>
        <c:crossBetween val="between"/>
      </c:valAx>
      <c:valAx>
        <c:axId val="11463143"/>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1460519"/>
        <c:crosses val="max"/>
        <c:crossBetween val="between"/>
      </c:valAx>
      <c:catAx>
        <c:axId val="11460519"/>
        <c:scaling>
          <c:orientation val="minMax"/>
        </c:scaling>
        <c:delete val="1"/>
        <c:axPos val="b"/>
        <c:majorTickMark val="none"/>
        <c:minorTickMark val="none"/>
        <c:tickLblPos val="nextTo"/>
        <c:crossAx val="11463143"/>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Versus</a:t>
            </a:r>
            <a:r>
              <a:rPr lang="es-CO" baseline="0"/>
              <a:t> Ingresos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'Analisis Produccion Vs Ventas'!$A$81</c:f>
              <c:strCache>
                <c:ptCount val="1"/>
                <c:pt idx="0">
                  <c:v>Ingresos</c:v>
                </c:pt>
              </c:strCache>
            </c:strRef>
          </c:tx>
          <c:spPr>
            <a:solidFill>
              <a:schemeClr val="accent2"/>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'Analisis Produccion Vs Ventas'!$C$79:$H$79</c15:sqref>
                  </c15:fullRef>
                </c:ext>
              </c:extLst>
              <c:f>'Analisis Produccion Vs Ventas'!$D$79:$H$79</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'Analisis Produccion Vs Ventas'!$C$81:$H$81</c15:sqref>
                  </c15:fullRef>
                </c:ext>
              </c:extLst>
              <c:f>'Analisis Produccion Vs Ventas'!$D$81:$H$81</c:f>
              <c:numCache>
                <c:formatCode>_(* #,##0_);_(* \(#,##0\);_(* "-"_);_(@_)</c:formatCode>
                <c:ptCount val="5"/>
                <c:pt idx="0">
                  <c:v>1724710</c:v>
                </c:pt>
                <c:pt idx="1">
                  <c:v>1427058</c:v>
                </c:pt>
                <c:pt idx="2">
                  <c:v>1315326</c:v>
                </c:pt>
                <c:pt idx="3">
                  <c:v>1206453</c:v>
                </c:pt>
                <c:pt idx="4">
                  <c:v>1108329</c:v>
                </c:pt>
              </c:numCache>
            </c:numRef>
          </c:val>
          <c:extLst>
            <c:ext xmlns:c15="http://schemas.microsoft.com/office/drawing/2012/chart" uri="{02D57815-91ED-43cb-92C2-25804820EDAC}">
              <c15:categoryFilterExceptions>
                <c15:categoryFilterException>
                  <c15:sqref>'Analisis Produccion Vs Ventas'!$C$81</c15:sqref>
                  <c15:dLbl>
                    <c:idx val="-1"/>
                    <c:layout>
                      <c:manualLayout>
                        <c:x val="0"/>
                        <c:y val="1.65896358927614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F94-454C-B9E2-4A1D660937D2}"/>
                      </c:ext>
                    </c:extLst>
                  </c15:dLbl>
                </c15:categoryFilterException>
              </c15:categoryFilterExceptions>
            </c:ext>
            <c:ext xmlns:c16="http://schemas.microsoft.com/office/drawing/2014/chart" uri="{C3380CC4-5D6E-409C-BE32-E72D297353CC}">
              <c16:uniqueId val="{00000001-59EA-483E-B8C0-B5AAEAF5F377}"/>
            </c:ext>
          </c:extLst>
        </c:ser>
        <c:dLbls>
          <c:showLegendKey val="0"/>
          <c:showVal val="0"/>
          <c:showCatName val="0"/>
          <c:showSerName val="0"/>
          <c:showPercent val="0"/>
          <c:showBubbleSize val="0"/>
        </c:dLbls>
        <c:gapWidth val="219"/>
        <c:axId val="607643856"/>
        <c:axId val="607649680"/>
      </c:barChart>
      <c:lineChart>
        <c:grouping val="stacked"/>
        <c:varyColors val="0"/>
        <c:ser>
          <c:idx val="0"/>
          <c:order val="0"/>
          <c:tx>
            <c:strRef>
              <c:f>'Analisis Produccion Vs Ventas'!$A$80</c:f>
              <c:strCache>
                <c:ptCount val="1"/>
                <c:pt idx="0">
                  <c:v>Toneladas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3515579071134669E-2"/>
                  <c:y val="-4.2131872761744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9EA-483E-B8C0-B5AAEAF5F377}"/>
                </c:ext>
              </c:extLst>
            </c:dLbl>
            <c:dLbl>
              <c:idx val="1"/>
              <c:layout>
                <c:manualLayout>
                  <c:x val="-3.0570252792475102E-2"/>
                  <c:y val="-3.79186854855698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9EA-483E-B8C0-B5AAEAF5F377}"/>
                </c:ext>
              </c:extLst>
            </c:dLbl>
            <c:dLbl>
              <c:idx val="2"/>
              <c:layout>
                <c:manualLayout>
                  <c:x val="-2.821869488536155E-2"/>
                  <c:y val="-5.4771434590267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9EA-483E-B8C0-B5AAEAF5F377}"/>
                </c:ext>
              </c:extLst>
            </c:dLbl>
            <c:dLbl>
              <c:idx val="3"/>
              <c:layout>
                <c:manualLayout>
                  <c:x val="-3.7624926513815403E-2"/>
                  <c:y val="-5.89846218664419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9EA-483E-B8C0-B5AAEAF5F3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'Analisis Produccion Vs Ventas'!$C$79:$H$79</c15:sqref>
                  </c15:fullRef>
                </c:ext>
              </c:extLst>
              <c:f>'Analisis Produccion Vs Ventas'!$D$79:$H$79</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'Analisis Produccion Vs Ventas'!$C$80:$H$80</c15:sqref>
                  </c15:fullRef>
                </c:ext>
              </c:extLst>
              <c:f>'Analisis Produccion Vs Ventas'!$D$80:$H$80</c:f>
              <c:numCache>
                <c:formatCode>_(* #,##0_);_(* \(#,##0\);_(* "-"_);_(@_)</c:formatCode>
                <c:ptCount val="5"/>
                <c:pt idx="0">
                  <c:v>27152</c:v>
                </c:pt>
                <c:pt idx="1">
                  <c:v>25863</c:v>
                </c:pt>
                <c:pt idx="2">
                  <c:v>24437</c:v>
                </c:pt>
                <c:pt idx="3">
                  <c:v>23267</c:v>
                </c:pt>
                <c:pt idx="4">
                  <c:v>21373</c:v>
                </c:pt>
              </c:numCache>
            </c:numRef>
          </c:val>
          <c:smooth val="0"/>
          <c:extLst>
            <c:ext xmlns:c15="http://schemas.microsoft.com/office/drawing/2012/chart" uri="{02D57815-91ED-43cb-92C2-25804820EDAC}">
              <c15:categoryFilterExceptions>
                <c15:categoryFilterException>
                  <c15:sqref>'Analisis Produccion Vs Ventas'!$C$80</c15:sqref>
                  <c15:dLbl>
                    <c:idx val="-1"/>
                    <c:layout>
                      <c:manualLayout>
                        <c:x val="-3.8506668147962983E-2"/>
                        <c:y val="-5.872154647195329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F94-454C-B9E2-4A1D660937D2}"/>
                      </c:ext>
                    </c:extLst>
                  </c15:dLbl>
                </c15:categoryFilterException>
              </c15:categoryFilterExceptions>
            </c:ext>
            <c:ext xmlns:c16="http://schemas.microsoft.com/office/drawing/2014/chart" uri="{C3380CC4-5D6E-409C-BE32-E72D297353CC}">
              <c16:uniqueId val="{00000007-59EA-483E-B8C0-B5AAEAF5F377}"/>
            </c:ext>
          </c:extLst>
        </c:ser>
        <c:dLbls>
          <c:showLegendKey val="0"/>
          <c:showVal val="0"/>
          <c:showCatName val="0"/>
          <c:showSerName val="0"/>
          <c:showPercent val="0"/>
          <c:showBubbleSize val="0"/>
        </c:dLbls>
        <c:marker val="1"/>
        <c:smooth val="0"/>
        <c:axId val="607662576"/>
        <c:axId val="607653840"/>
      </c:lineChart>
      <c:valAx>
        <c:axId val="60764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Ingresos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643856"/>
        <c:crosses val="autoZero"/>
        <c:crossBetween val="between"/>
      </c:valAx>
      <c:catAx>
        <c:axId val="607643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649680"/>
        <c:crosses val="autoZero"/>
        <c:auto val="1"/>
        <c:lblAlgn val="ctr"/>
        <c:lblOffset val="100"/>
        <c:noMultiLvlLbl val="0"/>
      </c:catAx>
      <c:valAx>
        <c:axId val="607653840"/>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7662576"/>
        <c:crosses val="max"/>
        <c:crossBetween val="between"/>
      </c:valAx>
      <c:catAx>
        <c:axId val="607662576"/>
        <c:scaling>
          <c:orientation val="minMax"/>
        </c:scaling>
        <c:delete val="1"/>
        <c:axPos val="b"/>
        <c:numFmt formatCode="General" sourceLinked="1"/>
        <c:majorTickMark val="out"/>
        <c:minorTickMark val="none"/>
        <c:tickLblPos val="nextTo"/>
        <c:crossAx val="60765384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Comportamiento Dias de Inventario, Deudores y Cuentas x Pagar</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Suspuestos!$B$31</c:f>
              <c:strCache>
                <c:ptCount val="1"/>
                <c:pt idx="0">
                  <c:v>Días de Deudores</c:v>
                </c:pt>
              </c:strCache>
            </c:strRef>
          </c:tx>
          <c:spPr>
            <a:ln w="31750" cap="rnd">
              <a:solidFill>
                <a:schemeClr val="accent1"/>
              </a:solidFill>
              <a:round/>
            </a:ln>
            <a:effectLst/>
          </c:spPr>
          <c:marker>
            <c:symbol val="circle"/>
            <c:size val="17"/>
            <c:spPr>
              <a:solidFill>
                <a:schemeClr val="accent1"/>
              </a:solidFill>
              <a:ln>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Suspuestos!$C$18:$I$18</c:f>
              <c:strCache>
                <c:ptCount val="7"/>
                <c:pt idx="0">
                  <c:v>2017</c:v>
                </c:pt>
                <c:pt idx="1">
                  <c:v>2018</c:v>
                </c:pt>
                <c:pt idx="2">
                  <c:v>2019p</c:v>
                </c:pt>
                <c:pt idx="3">
                  <c:v>2020p</c:v>
                </c:pt>
                <c:pt idx="4">
                  <c:v>2021p</c:v>
                </c:pt>
                <c:pt idx="5">
                  <c:v>2022p</c:v>
                </c:pt>
                <c:pt idx="6">
                  <c:v>2023p</c:v>
                </c:pt>
              </c:strCache>
              <c:extLst/>
            </c:strRef>
          </c:cat>
          <c:val>
            <c:numRef>
              <c:f>Suspuestos!$C$31:$I$31</c:f>
              <c:numCache>
                <c:formatCode>_(* #,##0.00_);_(* \(#,##0.00\);_(* "-"??_);_(@_)</c:formatCode>
                <c:ptCount val="7"/>
                <c:pt idx="0">
                  <c:v>34.457206372730646</c:v>
                </c:pt>
                <c:pt idx="1">
                  <c:v>28.409795286417662</c:v>
                </c:pt>
                <c:pt idx="2" formatCode="_-* #,##0.00_-;\-* #,##0.00_-;_-* &quot;-&quot;_-;_-@_-">
                  <c:v>28</c:v>
                </c:pt>
                <c:pt idx="3" formatCode="_-* #,##0.00_-;\-* #,##0.00_-;_-* &quot;-&quot;_-;_-@_-">
                  <c:v>27.5</c:v>
                </c:pt>
                <c:pt idx="4" formatCode="_-* #,##0.00_-;\-* #,##0.00_-;_-* &quot;-&quot;_-;_-@_-">
                  <c:v>27</c:v>
                </c:pt>
                <c:pt idx="5" formatCode="_-* #,##0.00_-;\-* #,##0.00_-;_-* &quot;-&quot;_-;_-@_-">
                  <c:v>26.5</c:v>
                </c:pt>
                <c:pt idx="6" formatCode="_-* #,##0.00_-;\-* #,##0.00_-;_-* &quot;-&quot;_-;_-@_-">
                  <c:v>25.7</c:v>
                </c:pt>
              </c:numCache>
              <c:extLst/>
            </c:numRef>
          </c:val>
          <c:smooth val="0"/>
          <c:extLst>
            <c:ext xmlns:c16="http://schemas.microsoft.com/office/drawing/2014/chart" uri="{C3380CC4-5D6E-409C-BE32-E72D297353CC}">
              <c16:uniqueId val="{00000000-C308-4274-AB07-D6A1C5E7908F}"/>
            </c:ext>
          </c:extLst>
        </c:ser>
        <c:ser>
          <c:idx val="1"/>
          <c:order val="1"/>
          <c:tx>
            <c:strRef>
              <c:f>Suspuestos!$B$32</c:f>
              <c:strCache>
                <c:ptCount val="1"/>
                <c:pt idx="0">
                  <c:v>Días de Inventarios</c:v>
                </c:pt>
              </c:strCache>
            </c:strRef>
          </c:tx>
          <c:spPr>
            <a:ln w="31750" cap="rnd">
              <a:solidFill>
                <a:schemeClr val="accent2"/>
              </a:solidFill>
              <a:round/>
            </a:ln>
            <a:effectLst/>
          </c:spPr>
          <c:marker>
            <c:symbol val="circle"/>
            <c:size val="17"/>
            <c:spPr>
              <a:solidFill>
                <a:schemeClr val="accent2"/>
              </a:solidFill>
              <a:ln>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Suspuestos!$C$18:$I$18</c:f>
              <c:strCache>
                <c:ptCount val="7"/>
                <c:pt idx="0">
                  <c:v>2017</c:v>
                </c:pt>
                <c:pt idx="1">
                  <c:v>2018</c:v>
                </c:pt>
                <c:pt idx="2">
                  <c:v>2019p</c:v>
                </c:pt>
                <c:pt idx="3">
                  <c:v>2020p</c:v>
                </c:pt>
                <c:pt idx="4">
                  <c:v>2021p</c:v>
                </c:pt>
                <c:pt idx="5">
                  <c:v>2022p</c:v>
                </c:pt>
                <c:pt idx="6">
                  <c:v>2023p</c:v>
                </c:pt>
              </c:strCache>
              <c:extLst/>
            </c:strRef>
          </c:cat>
          <c:val>
            <c:numRef>
              <c:f>Suspuestos!$C$32:$I$32</c:f>
              <c:numCache>
                <c:formatCode>0.00</c:formatCode>
                <c:ptCount val="7"/>
                <c:pt idx="0">
                  <c:v>44.409926766817669</c:v>
                </c:pt>
                <c:pt idx="1">
                  <c:v>44.979635815106136</c:v>
                </c:pt>
                <c:pt idx="2" formatCode="_-* #,##0.00_-;\-* #,##0.00_-;_-* &quot;-&quot;_-;_-@_-">
                  <c:v>43</c:v>
                </c:pt>
                <c:pt idx="3" formatCode="_-* #,##0.00_-;\-* #,##0.00_-;_-* &quot;-&quot;_-;_-@_-">
                  <c:v>42</c:v>
                </c:pt>
                <c:pt idx="4" formatCode="_-* #,##0.00_-;\-* #,##0.00_-;_-* &quot;-&quot;_-;_-@_-">
                  <c:v>41</c:v>
                </c:pt>
                <c:pt idx="5" formatCode="_-* #,##0.00_-;\-* #,##0.00_-;_-* &quot;-&quot;_-;_-@_-">
                  <c:v>40</c:v>
                </c:pt>
                <c:pt idx="6" formatCode="_-* #,##0.00_-;\-* #,##0.00_-;_-* &quot;-&quot;_-;_-@_-">
                  <c:v>38</c:v>
                </c:pt>
              </c:numCache>
              <c:extLst/>
            </c:numRef>
          </c:val>
          <c:smooth val="0"/>
          <c:extLst>
            <c:ext xmlns:c16="http://schemas.microsoft.com/office/drawing/2014/chart" uri="{C3380CC4-5D6E-409C-BE32-E72D297353CC}">
              <c16:uniqueId val="{00000001-C308-4274-AB07-D6A1C5E7908F}"/>
            </c:ext>
          </c:extLst>
        </c:ser>
        <c:ser>
          <c:idx val="2"/>
          <c:order val="2"/>
          <c:tx>
            <c:strRef>
              <c:f>Suspuestos!$B$33</c:f>
              <c:strCache>
                <c:ptCount val="1"/>
                <c:pt idx="0">
                  <c:v>Días de Cuentas por pagar</c:v>
                </c:pt>
              </c:strCache>
            </c:strRef>
          </c:tx>
          <c:spPr>
            <a:ln w="31750" cap="rnd">
              <a:solidFill>
                <a:schemeClr val="accent3"/>
              </a:solidFill>
              <a:round/>
            </a:ln>
            <a:effectLst/>
          </c:spPr>
          <c:marker>
            <c:symbol val="circle"/>
            <c:size val="17"/>
            <c:spPr>
              <a:solidFill>
                <a:schemeClr val="accent3"/>
              </a:solidFill>
              <a:ln>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Suspuestos!$C$18:$I$18</c:f>
              <c:strCache>
                <c:ptCount val="7"/>
                <c:pt idx="0">
                  <c:v>2017</c:v>
                </c:pt>
                <c:pt idx="1">
                  <c:v>2018</c:v>
                </c:pt>
                <c:pt idx="2">
                  <c:v>2019p</c:v>
                </c:pt>
                <c:pt idx="3">
                  <c:v>2020p</c:v>
                </c:pt>
                <c:pt idx="4">
                  <c:v>2021p</c:v>
                </c:pt>
                <c:pt idx="5">
                  <c:v>2022p</c:v>
                </c:pt>
                <c:pt idx="6">
                  <c:v>2023p</c:v>
                </c:pt>
              </c:strCache>
              <c:extLst/>
            </c:strRef>
          </c:cat>
          <c:val>
            <c:numRef>
              <c:f>Suspuestos!$C$33:$I$33</c:f>
              <c:numCache>
                <c:formatCode>0.0</c:formatCode>
                <c:ptCount val="7"/>
                <c:pt idx="0">
                  <c:v>89.15235724901072</c:v>
                </c:pt>
                <c:pt idx="1">
                  <c:v>82.85480320778241</c:v>
                </c:pt>
                <c:pt idx="2" formatCode="_-* #,##0.00_-;\-* #,##0.00_-;_-* &quot;-&quot;_-;_-@_-">
                  <c:v>83</c:v>
                </c:pt>
                <c:pt idx="3" formatCode="_-* #,##0.00_-;\-* #,##0.00_-;_-* &quot;-&quot;_-;_-@_-">
                  <c:v>85</c:v>
                </c:pt>
                <c:pt idx="4" formatCode="_-* #,##0.00_-;\-* #,##0.00_-;_-* &quot;-&quot;_-;_-@_-">
                  <c:v>87</c:v>
                </c:pt>
                <c:pt idx="5" formatCode="_-* #,##0.00_-;\-* #,##0.00_-;_-* &quot;-&quot;_-;_-@_-">
                  <c:v>88.3</c:v>
                </c:pt>
                <c:pt idx="6" formatCode="_-* #,##0.00_-;\-* #,##0.00_-;_-* &quot;-&quot;_-;_-@_-">
                  <c:v>89</c:v>
                </c:pt>
              </c:numCache>
              <c:extLst/>
            </c:numRef>
          </c:val>
          <c:smooth val="0"/>
          <c:extLst>
            <c:ext xmlns:c16="http://schemas.microsoft.com/office/drawing/2014/chart" uri="{C3380CC4-5D6E-409C-BE32-E72D297353CC}">
              <c16:uniqueId val="{00000002-C308-4274-AB07-D6A1C5E7908F}"/>
            </c:ext>
          </c:extLst>
        </c:ser>
        <c:dLbls>
          <c:dLblPos val="ctr"/>
          <c:showLegendKey val="0"/>
          <c:showVal val="1"/>
          <c:showCatName val="0"/>
          <c:showSerName val="0"/>
          <c:showPercent val="0"/>
          <c:showBubbleSize val="0"/>
        </c:dLbls>
        <c:marker val="1"/>
        <c:smooth val="0"/>
        <c:axId val="803272335"/>
        <c:axId val="803270671"/>
      </c:lineChart>
      <c:catAx>
        <c:axId val="803272335"/>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803270671"/>
        <c:crosses val="autoZero"/>
        <c:auto val="1"/>
        <c:lblAlgn val="ctr"/>
        <c:lblOffset val="100"/>
        <c:noMultiLvlLbl val="0"/>
      </c:catAx>
      <c:valAx>
        <c:axId val="80327067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0_);_(* \(#,##0.00\);_(* &quot;-&quot;??_);_(@_)" sourceLinked="1"/>
        <c:majorTickMark val="none"/>
        <c:minorTickMark val="none"/>
        <c:tickLblPos val="nextTo"/>
        <c:crossAx val="803272335"/>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FCL Vs ROA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FCL!$A$29</c:f>
              <c:strCache>
                <c:ptCount val="1"/>
                <c:pt idx="0">
                  <c:v>DCF  Calculo Enterprise Value</c:v>
                </c:pt>
              </c:strCache>
            </c:strRef>
          </c:tx>
          <c:spPr>
            <a:solidFill>
              <a:schemeClr val="accent1"/>
            </a:solidFill>
            <a:ln>
              <a:noFill/>
            </a:ln>
            <a:effectLst/>
          </c:spPr>
          <c:invertIfNegative val="0"/>
          <c:dPt>
            <c:idx val="4"/>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3-AD85-4A80-95B0-04706AF4C8BA}"/>
              </c:ext>
            </c:extLst>
          </c:dPt>
          <c:dPt>
            <c:idx val="5"/>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5-AD85-4A80-95B0-04706AF4C8BA}"/>
              </c:ext>
            </c:extLst>
          </c:dPt>
          <c:dPt>
            <c:idx val="6"/>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7-AD85-4A80-95B0-04706AF4C8BA}"/>
              </c:ext>
            </c:extLst>
          </c:dPt>
          <c:dPt>
            <c:idx val="7"/>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9-AD85-4A80-95B0-04706AF4C8BA}"/>
              </c:ext>
            </c:extLst>
          </c:dPt>
          <c:dLbls>
            <c:dLbl>
              <c:idx val="2"/>
              <c:layout>
                <c:manualLayout>
                  <c:x val="0"/>
                  <c:y val="-9.2369648788048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85-4A80-95B0-04706AF4C8BA}"/>
                </c:ext>
              </c:extLst>
            </c:dLbl>
            <c:dLbl>
              <c:idx val="5"/>
              <c:layout>
                <c:manualLayout>
                  <c:x val="-8.8607666467199933E-17"/>
                  <c:y val="-0.120080543424462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85-4A80-95B0-04706AF4C8BA}"/>
                </c:ext>
              </c:extLst>
            </c:dLbl>
            <c:dLbl>
              <c:idx val="7"/>
              <c:layout>
                <c:manualLayout>
                  <c:x val="0"/>
                  <c:y val="-7.389571903043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85-4A80-95B0-04706AF4C8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FCL!$B$3:$L$3</c15:sqref>
                  </c15:fullRef>
                </c:ext>
              </c:extLst>
              <c:f>(FCL!$C$3:$F$3,FCL!$H$3:$L$3)</c:f>
              <c:strCache>
                <c:ptCount val="9"/>
                <c:pt idx="0">
                  <c:v>2014</c:v>
                </c:pt>
                <c:pt idx="1">
                  <c:v>2015</c:v>
                </c:pt>
                <c:pt idx="2">
                  <c:v>2016</c:v>
                </c:pt>
                <c:pt idx="3">
                  <c:v>2017</c:v>
                </c:pt>
                <c:pt idx="4">
                  <c:v>2018</c:v>
                </c:pt>
                <c:pt idx="5">
                  <c:v>2019P</c:v>
                </c:pt>
                <c:pt idx="6">
                  <c:v>2020P</c:v>
                </c:pt>
                <c:pt idx="7">
                  <c:v>2021P</c:v>
                </c:pt>
                <c:pt idx="8">
                  <c:v>2022P</c:v>
                </c:pt>
              </c:strCache>
            </c:strRef>
          </c:cat>
          <c:val>
            <c:numRef>
              <c:extLst>
                <c:ext xmlns:c15="http://schemas.microsoft.com/office/drawing/2012/chart" uri="{02D57815-91ED-43cb-92C2-25804820EDAC}">
                  <c15:fullRef>
                    <c15:sqref>FCL!$B$29:$L$29</c15:sqref>
                  </c15:fullRef>
                </c:ext>
              </c:extLst>
              <c:f>(FCL!$C$29:$F$29,FCL!$H$29:$L$29)</c:f>
              <c:numCache>
                <c:formatCode>General</c:formatCode>
                <c:ptCount val="9"/>
              </c:numCache>
            </c:numRef>
          </c:val>
          <c:extLst>
            <c:ext xmlns:c15="http://schemas.microsoft.com/office/drawing/2012/chart" uri="{02D57815-91ED-43cb-92C2-25804820EDAC}">
              <c15:categoryFilterExceptions>
                <c15:categoryFilterException>
                  <c15:sqref>FCL!$G$29</c15:sqref>
                  <c15:spPr xmlns:c15="http://schemas.microsoft.com/office/drawing/2012/chart">
                    <a:pattFill prst="dkUpDiag">
                      <a:fgClr>
                        <a:schemeClr val="accent1"/>
                      </a:fgClr>
                      <a:bgClr>
                        <a:schemeClr val="bg1"/>
                      </a:bgClr>
                    </a:pattFill>
                    <a:ln>
                      <a:noFill/>
                    </a:ln>
                    <a:effectLst/>
                  </c15:spPr>
                  <c15:invertIfNegative val="0"/>
                  <c15:bubble3D val="0"/>
                  <c15:dLbl>
                    <c:idx val="3"/>
                    <c:layout>
                      <c:manualLayout>
                        <c:x val="0"/>
                        <c:y val="-0.10160661366685331"/>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68CC-4FC8-B65F-EA32EDBE6BAB}"/>
                      </c:ext>
                    </c:extLst>
                  </c15:dLbl>
                </c15:categoryFilterException>
              </c15:categoryFilterExceptions>
            </c:ext>
            <c:ext xmlns:c16="http://schemas.microsoft.com/office/drawing/2014/chart" uri="{C3380CC4-5D6E-409C-BE32-E72D297353CC}">
              <c16:uniqueId val="{0000000B-AD85-4A80-95B0-04706AF4C8BA}"/>
            </c:ext>
          </c:extLst>
        </c:ser>
        <c:dLbls>
          <c:showLegendKey val="0"/>
          <c:showVal val="0"/>
          <c:showCatName val="0"/>
          <c:showSerName val="0"/>
          <c:showPercent val="0"/>
          <c:showBubbleSize val="0"/>
        </c:dLbls>
        <c:gapWidth val="219"/>
        <c:overlap val="-27"/>
        <c:axId val="532941952"/>
        <c:axId val="532932384"/>
      </c:barChart>
      <c:lineChart>
        <c:grouping val="standard"/>
        <c:varyColors val="0"/>
        <c:ser>
          <c:idx val="1"/>
          <c:order val="1"/>
          <c:tx>
            <c:strRef>
              <c:f>FCL!$A$51</c:f>
              <c:strCache>
                <c:ptCount val="1"/>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AD85-4A80-95B0-04706AF4C8BA}"/>
              </c:ext>
            </c:extLst>
          </c:dPt>
          <c:dPt>
            <c:idx val="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F-AD85-4A80-95B0-04706AF4C8BA}"/>
              </c:ext>
            </c:extLst>
          </c:dPt>
          <c:dPt>
            <c:idx val="6"/>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1-AD85-4A80-95B0-04706AF4C8BA}"/>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3-AD85-4A80-95B0-04706AF4C8BA}"/>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D85-4A80-95B0-04706AF4C8B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D85-4A80-95B0-04706AF4C8BA}"/>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85-4A80-95B0-04706AF4C8BA}"/>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85-4A80-95B0-04706AF4C8BA}"/>
                </c:ext>
              </c:extLst>
            </c:dLbl>
            <c:dLbl>
              <c:idx val="7"/>
              <c:layout>
                <c:manualLayout>
                  <c:x val="-9.27185461001904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D85-4A80-95B0-04706AF4C8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2</c:v>
              </c:pt>
              <c:pt idx="1">
                <c:v>3</c:v>
              </c:pt>
              <c:pt idx="2">
                <c:v>4</c:v>
              </c:pt>
              <c:pt idx="3">
                <c:v>5</c:v>
              </c:pt>
              <c:pt idx="4">
                <c:v>7</c:v>
              </c:pt>
              <c:pt idx="5">
                <c:v>8</c:v>
              </c:pt>
              <c:pt idx="6">
                <c:v>9</c:v>
              </c:pt>
              <c:pt idx="7">
                <c:v>10</c:v>
              </c:pt>
              <c:pt idx="8">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FCL!$B$51:$L$51</c15:sqref>
                  </c15:fullRef>
                </c:ext>
              </c:extLst>
              <c:f>(FCL!$C$51:$F$51,FCL!$H$51:$L$51)</c:f>
              <c:numCache>
                <c:formatCode>General</c:formatCode>
                <c:ptCount val="9"/>
              </c:numCache>
            </c:numRef>
          </c:val>
          <c:smooth val="0"/>
          <c:extLst>
            <c:ext xmlns:c15="http://schemas.microsoft.com/office/drawing/2012/chart" uri="{02D57815-91ED-43cb-92C2-25804820EDAC}">
              <c15:categoryFilterExceptions>
                <c15:categoryFilterException>
                  <c15:sqref>FCL!$B$51</c15:sqref>
                  <c15:dLbl>
                    <c:idx val="-1"/>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12-68CC-4FC8-B65F-EA32EDBE6BAB}"/>
                      </c:ext>
                    </c:extLst>
                  </c15:dLbl>
                </c15:categoryFilterException>
                <c15:categoryFilterException>
                  <c15:sqref>FCL!$G$51</c15:sqref>
                  <c15:dLbl>
                    <c:idx val="3"/>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13-68CC-4FC8-B65F-EA32EDBE6BAB}"/>
                      </c:ext>
                    </c:extLst>
                  </c15:dLbl>
                </c15:categoryFilterException>
              </c15:categoryFilterExceptions>
            </c:ext>
            <c:ext xmlns:c16="http://schemas.microsoft.com/office/drawing/2014/chart" uri="{C3380CC4-5D6E-409C-BE32-E72D297353CC}">
              <c16:uniqueId val="{00000018-AD85-4A80-95B0-04706AF4C8BA}"/>
            </c:ext>
          </c:extLst>
        </c:ser>
        <c:dLbls>
          <c:showLegendKey val="0"/>
          <c:showVal val="0"/>
          <c:showCatName val="0"/>
          <c:showSerName val="0"/>
          <c:showPercent val="0"/>
          <c:showBubbleSize val="0"/>
        </c:dLbls>
        <c:marker val="1"/>
        <c:smooth val="0"/>
        <c:axId val="532933216"/>
        <c:axId val="532940704"/>
      </c:lineChart>
      <c:catAx>
        <c:axId val="53294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932384"/>
        <c:crosses val="autoZero"/>
        <c:auto val="1"/>
        <c:lblAlgn val="ctr"/>
        <c:lblOffset val="100"/>
        <c:noMultiLvlLbl val="0"/>
      </c:catAx>
      <c:valAx>
        <c:axId val="53293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941952"/>
        <c:crosses val="autoZero"/>
        <c:crossBetween val="between"/>
      </c:valAx>
      <c:valAx>
        <c:axId val="532940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933216"/>
        <c:crosses val="max"/>
        <c:crossBetween val="between"/>
      </c:valAx>
      <c:catAx>
        <c:axId val="532933216"/>
        <c:scaling>
          <c:orientation val="minMax"/>
        </c:scaling>
        <c:delete val="1"/>
        <c:axPos val="b"/>
        <c:numFmt formatCode="General" sourceLinked="1"/>
        <c:majorTickMark val="out"/>
        <c:minorTickMark val="none"/>
        <c:tickLblPos val="nextTo"/>
        <c:crossAx val="5329407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Comportamiento PIB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PIB COLOMBIA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ly"/>
            <c:order val="2"/>
            <c:dispRSqr val="0"/>
            <c:dispEq val="0"/>
          </c:trendline>
          <c:cat>
            <c:numRef>
              <c:f>'Analisis Produccion Vs Ventas'!$C$46:$H$46</c:f>
              <c:numCache>
                <c:formatCode>General</c:formatCode>
                <c:ptCount val="6"/>
                <c:pt idx="0">
                  <c:v>2013</c:v>
                </c:pt>
                <c:pt idx="1">
                  <c:v>2014</c:v>
                </c:pt>
                <c:pt idx="2">
                  <c:v>2015</c:v>
                </c:pt>
                <c:pt idx="3">
                  <c:v>2016</c:v>
                </c:pt>
                <c:pt idx="4">
                  <c:v>2017</c:v>
                </c:pt>
                <c:pt idx="5">
                  <c:v>2018</c:v>
                </c:pt>
              </c:numCache>
            </c:numRef>
          </c:cat>
          <c:val>
            <c:numRef>
              <c:f>'Analisis Produccion Vs Ventas'!$C$47:$H$47</c:f>
              <c:numCache>
                <c:formatCode>0.0%</c:formatCode>
                <c:ptCount val="6"/>
                <c:pt idx="0">
                  <c:v>5.8999999999999997E-2</c:v>
                </c:pt>
                <c:pt idx="1">
                  <c:v>4.3999999999999997E-2</c:v>
                </c:pt>
                <c:pt idx="2">
                  <c:v>0.03</c:v>
                </c:pt>
                <c:pt idx="3">
                  <c:v>1.2999999999999999E-2</c:v>
                </c:pt>
                <c:pt idx="4">
                  <c:v>1.7000000000000001E-2</c:v>
                </c:pt>
                <c:pt idx="5">
                  <c:v>2.8000000000000001E-2</c:v>
                </c:pt>
              </c:numCache>
            </c:numRef>
          </c:val>
          <c:extLst>
            <c:ext xmlns:c16="http://schemas.microsoft.com/office/drawing/2014/chart" uri="{C3380CC4-5D6E-409C-BE32-E72D297353CC}">
              <c16:uniqueId val="{00000000-7280-4733-8AB5-5C73DC394888}"/>
            </c:ext>
          </c:extLst>
        </c:ser>
        <c:ser>
          <c:idx val="1"/>
          <c:order val="1"/>
          <c:tx>
            <c:v>PIB Costa RICA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poly"/>
            <c:order val="3"/>
            <c:dispRSqr val="0"/>
            <c:dispEq val="0"/>
          </c:trendline>
          <c:val>
            <c:numRef>
              <c:f>'Analisis Produccion Vs Ventas'!$C$52:$H$52</c:f>
              <c:numCache>
                <c:formatCode>0.0%</c:formatCode>
                <c:ptCount val="6"/>
                <c:pt idx="0">
                  <c:v>2.3E-2</c:v>
                </c:pt>
                <c:pt idx="1">
                  <c:v>3.5000000000000003E-2</c:v>
                </c:pt>
                <c:pt idx="2">
                  <c:v>3.5999999999999997E-2</c:v>
                </c:pt>
                <c:pt idx="3">
                  <c:v>4.2000000000000003E-2</c:v>
                </c:pt>
                <c:pt idx="4">
                  <c:v>3.4000000000000002E-2</c:v>
                </c:pt>
                <c:pt idx="5">
                  <c:v>2.7E-2</c:v>
                </c:pt>
              </c:numCache>
            </c:numRef>
          </c:val>
          <c:extLst>
            <c:ext xmlns:c16="http://schemas.microsoft.com/office/drawing/2014/chart" uri="{C3380CC4-5D6E-409C-BE32-E72D297353CC}">
              <c16:uniqueId val="{00000001-7280-4733-8AB5-5C73DC394888}"/>
            </c:ext>
          </c:extLst>
        </c:ser>
        <c:ser>
          <c:idx val="2"/>
          <c:order val="2"/>
          <c:tx>
            <c:v>PIB PANAMA</c:v>
          </c:tx>
          <c:spPr>
            <a:solidFill>
              <a:schemeClr val="accent3"/>
            </a:solidFill>
            <a:ln>
              <a:noFill/>
            </a:ln>
            <a:effectLst/>
          </c:spPr>
          <c:invertIfNegative val="0"/>
          <c:dLbls>
            <c:dLbl>
              <c:idx val="3"/>
              <c:layout>
                <c:manualLayout>
                  <c:x val="2.2222222222222119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0-4733-8AB5-5C73DC3948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poly"/>
            <c:order val="2"/>
            <c:dispRSqr val="0"/>
            <c:dispEq val="0"/>
          </c:trendline>
          <c:val>
            <c:numRef>
              <c:f>'Analisis Produccion Vs Ventas'!$C$65:$H$65</c:f>
              <c:numCache>
                <c:formatCode>0.0%</c:formatCode>
                <c:ptCount val="6"/>
                <c:pt idx="0">
                  <c:v>8.4000000000000005E-2</c:v>
                </c:pt>
                <c:pt idx="1">
                  <c:v>6.3E-2</c:v>
                </c:pt>
                <c:pt idx="2">
                  <c:v>5.2999999999999999E-2</c:v>
                </c:pt>
                <c:pt idx="3">
                  <c:v>4.4999999999999998E-2</c:v>
                </c:pt>
                <c:pt idx="4">
                  <c:v>4.9000000000000002E-2</c:v>
                </c:pt>
                <c:pt idx="5">
                  <c:v>0.04</c:v>
                </c:pt>
              </c:numCache>
            </c:numRef>
          </c:val>
          <c:extLst>
            <c:ext xmlns:c16="http://schemas.microsoft.com/office/drawing/2014/chart" uri="{C3380CC4-5D6E-409C-BE32-E72D297353CC}">
              <c16:uniqueId val="{00000003-7280-4733-8AB5-5C73DC394888}"/>
            </c:ext>
          </c:extLst>
        </c:ser>
        <c:dLbls>
          <c:showLegendKey val="0"/>
          <c:showVal val="0"/>
          <c:showCatName val="0"/>
          <c:showSerName val="0"/>
          <c:showPercent val="0"/>
          <c:showBubbleSize val="0"/>
        </c:dLbls>
        <c:gapWidth val="219"/>
        <c:overlap val="-27"/>
        <c:axId val="1269598912"/>
        <c:axId val="1269609728"/>
      </c:barChart>
      <c:catAx>
        <c:axId val="126959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9609728"/>
        <c:crosses val="autoZero"/>
        <c:auto val="1"/>
        <c:lblAlgn val="ctr"/>
        <c:lblOffset val="100"/>
        <c:noMultiLvlLbl val="0"/>
      </c:catAx>
      <c:valAx>
        <c:axId val="1269609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959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IPC</a:t>
            </a:r>
            <a:r>
              <a:rPr lang="es-CO" baseline="0"/>
              <a:t> Regiones CLH</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IPC COLOMBIA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'Analisis Produccion Vs Ventas'!$C$46:$H$46</c:f>
              <c:numCache>
                <c:formatCode>General</c:formatCode>
                <c:ptCount val="6"/>
                <c:pt idx="0">
                  <c:v>2013</c:v>
                </c:pt>
                <c:pt idx="1">
                  <c:v>2014</c:v>
                </c:pt>
                <c:pt idx="2">
                  <c:v>2015</c:v>
                </c:pt>
                <c:pt idx="3">
                  <c:v>2016</c:v>
                </c:pt>
                <c:pt idx="4">
                  <c:v>2017</c:v>
                </c:pt>
                <c:pt idx="5">
                  <c:v>2018</c:v>
                </c:pt>
              </c:numCache>
            </c:numRef>
          </c:cat>
          <c:val>
            <c:numRef>
              <c:f>'Analisis Produccion Vs Ventas'!$C$49:$H$49</c:f>
              <c:numCache>
                <c:formatCode>0.0%</c:formatCode>
                <c:ptCount val="6"/>
                <c:pt idx="0">
                  <c:v>1.9400000000000001E-2</c:v>
                </c:pt>
                <c:pt idx="1">
                  <c:v>3.6600000000000001E-2</c:v>
                </c:pt>
                <c:pt idx="2" formatCode="0.00%">
                  <c:v>6.7699999999999996E-2</c:v>
                </c:pt>
                <c:pt idx="3">
                  <c:v>5.7500000000000002E-2</c:v>
                </c:pt>
                <c:pt idx="4">
                  <c:v>4.0899999999999999E-2</c:v>
                </c:pt>
                <c:pt idx="5" formatCode="0.00%">
                  <c:v>3.1800000000000002E-2</c:v>
                </c:pt>
              </c:numCache>
            </c:numRef>
          </c:val>
          <c:extLst>
            <c:ext xmlns:c16="http://schemas.microsoft.com/office/drawing/2014/chart" uri="{C3380CC4-5D6E-409C-BE32-E72D297353CC}">
              <c16:uniqueId val="{00000000-E6D9-4623-B1AC-B574EAF23B69}"/>
            </c:ext>
          </c:extLst>
        </c:ser>
        <c:ser>
          <c:idx val="1"/>
          <c:order val="1"/>
          <c:tx>
            <c:v>IPC COSTA RICA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'Analisis Produccion Vs Ventas'!$C$46:$H$46</c:f>
              <c:numCache>
                <c:formatCode>General</c:formatCode>
                <c:ptCount val="6"/>
                <c:pt idx="0">
                  <c:v>2013</c:v>
                </c:pt>
                <c:pt idx="1">
                  <c:v>2014</c:v>
                </c:pt>
                <c:pt idx="2">
                  <c:v>2015</c:v>
                </c:pt>
                <c:pt idx="3">
                  <c:v>2016</c:v>
                </c:pt>
                <c:pt idx="4">
                  <c:v>2017</c:v>
                </c:pt>
                <c:pt idx="5">
                  <c:v>2018</c:v>
                </c:pt>
              </c:numCache>
            </c:numRef>
          </c:cat>
          <c:val>
            <c:numRef>
              <c:f>'Analisis Produccion Vs Ventas'!$C$54:$H$54</c:f>
              <c:numCache>
                <c:formatCode>0.00%</c:formatCode>
                <c:ptCount val="6"/>
                <c:pt idx="0">
                  <c:v>3.6799999999999999E-2</c:v>
                </c:pt>
                <c:pt idx="1">
                  <c:v>5.1299999999999998E-2</c:v>
                </c:pt>
                <c:pt idx="2">
                  <c:v>-8.0999999999999996E-3</c:v>
                </c:pt>
                <c:pt idx="3">
                  <c:v>7.7000000000000002E-3</c:v>
                </c:pt>
                <c:pt idx="4">
                  <c:v>2.5700000000000001E-2</c:v>
                </c:pt>
                <c:pt idx="5">
                  <c:v>2.0299999999999999E-2</c:v>
                </c:pt>
              </c:numCache>
            </c:numRef>
          </c:val>
          <c:extLst>
            <c:ext xmlns:c16="http://schemas.microsoft.com/office/drawing/2014/chart" uri="{C3380CC4-5D6E-409C-BE32-E72D297353CC}">
              <c16:uniqueId val="{00000001-E6D9-4623-B1AC-B574EAF23B69}"/>
            </c:ext>
          </c:extLst>
        </c:ser>
        <c:ser>
          <c:idx val="2"/>
          <c:order val="2"/>
          <c:tx>
            <c:v>IPC PANMÁ</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'Analisis Produccion Vs Ventas'!$C$67:$H$67</c:f>
              <c:numCache>
                <c:formatCode>0.0%</c:formatCode>
                <c:ptCount val="6"/>
                <c:pt idx="0">
                  <c:v>3.6999999999999998E-2</c:v>
                </c:pt>
                <c:pt idx="1">
                  <c:v>1.9E-2</c:v>
                </c:pt>
                <c:pt idx="2">
                  <c:v>0</c:v>
                </c:pt>
                <c:pt idx="3">
                  <c:v>1.4999999999999999E-2</c:v>
                </c:pt>
                <c:pt idx="4">
                  <c:v>5.0000000000000001E-3</c:v>
                </c:pt>
                <c:pt idx="5">
                  <c:v>2E-3</c:v>
                </c:pt>
              </c:numCache>
            </c:numRef>
          </c:val>
          <c:extLst>
            <c:ext xmlns:c16="http://schemas.microsoft.com/office/drawing/2014/chart" uri="{C3380CC4-5D6E-409C-BE32-E72D297353CC}">
              <c16:uniqueId val="{00000002-E6D9-4623-B1AC-B574EAF23B69}"/>
            </c:ext>
          </c:extLst>
        </c:ser>
        <c:dLbls>
          <c:showLegendKey val="0"/>
          <c:showVal val="0"/>
          <c:showCatName val="0"/>
          <c:showSerName val="0"/>
          <c:showPercent val="0"/>
          <c:showBubbleSize val="0"/>
        </c:dLbls>
        <c:gapWidth val="219"/>
        <c:overlap val="-27"/>
        <c:axId val="2094862352"/>
        <c:axId val="2094886480"/>
      </c:barChart>
      <c:catAx>
        <c:axId val="209486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94886480"/>
        <c:crosses val="autoZero"/>
        <c:auto val="1"/>
        <c:lblAlgn val="ctr"/>
        <c:lblOffset val="100"/>
        <c:noMultiLvlLbl val="0"/>
      </c:catAx>
      <c:valAx>
        <c:axId val="2094886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9486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Variacion Tasa de Cambio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Colombia</c:v>
          </c:tx>
          <c:spPr>
            <a:solidFill>
              <a:schemeClr val="accent1"/>
            </a:solidFill>
            <a:ln>
              <a:noFill/>
            </a:ln>
            <a:effectLst/>
          </c:spPr>
          <c:invertIfNegative val="0"/>
          <c:dLbls>
            <c:dLbl>
              <c:idx val="4"/>
              <c:layout>
                <c:manualLayout>
                  <c:x val="-8.3333333333334356E-3"/>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E-446D-AAB8-70448B9EE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'Analisis Produccion Vs Ventas'!$C$46:$H$46</c:f>
              <c:numCache>
                <c:formatCode>General</c:formatCode>
                <c:ptCount val="6"/>
                <c:pt idx="0">
                  <c:v>2013</c:v>
                </c:pt>
                <c:pt idx="1">
                  <c:v>2014</c:v>
                </c:pt>
                <c:pt idx="2">
                  <c:v>2015</c:v>
                </c:pt>
                <c:pt idx="3">
                  <c:v>2016</c:v>
                </c:pt>
                <c:pt idx="4">
                  <c:v>2017</c:v>
                </c:pt>
                <c:pt idx="5">
                  <c:v>2018</c:v>
                </c:pt>
              </c:numCache>
            </c:numRef>
          </c:cat>
          <c:val>
            <c:numRef>
              <c:f>'Analisis Produccion Vs Ventas'!$C$50:$H$50</c:f>
              <c:numCache>
                <c:formatCode>0.00%</c:formatCode>
                <c:ptCount val="6"/>
                <c:pt idx="0">
                  <c:v>8.9700000000000002E-2</c:v>
                </c:pt>
                <c:pt idx="1">
                  <c:v>0.2417</c:v>
                </c:pt>
                <c:pt idx="2">
                  <c:v>0.316</c:v>
                </c:pt>
                <c:pt idx="3">
                  <c:v>-4.7E-2</c:v>
                </c:pt>
                <c:pt idx="4">
                  <c:v>-5.5999999999999999E-3</c:v>
                </c:pt>
                <c:pt idx="5">
                  <c:v>8.9058310991957157E-2</c:v>
                </c:pt>
              </c:numCache>
            </c:numRef>
          </c:val>
          <c:extLst>
            <c:ext xmlns:c16="http://schemas.microsoft.com/office/drawing/2014/chart" uri="{C3380CC4-5D6E-409C-BE32-E72D297353CC}">
              <c16:uniqueId val="{00000001-4EDE-446D-AAB8-70448B9EE0D7}"/>
            </c:ext>
          </c:extLst>
        </c:ser>
        <c:ser>
          <c:idx val="1"/>
          <c:order val="1"/>
          <c:tx>
            <c:v>Costa Rica</c:v>
          </c:tx>
          <c:spPr>
            <a:solidFill>
              <a:schemeClr val="accent2"/>
            </a:solidFill>
            <a:ln>
              <a:noFill/>
            </a:ln>
            <a:effectLst/>
          </c:spPr>
          <c:invertIfNegative val="0"/>
          <c:dLbls>
            <c:dLbl>
              <c:idx val="0"/>
              <c:layout>
                <c:manualLayout>
                  <c:x val="2.4999999999999974E-2"/>
                  <c:y val="0.129629629629629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E-446D-AAB8-70448B9EE0D7}"/>
                </c:ext>
              </c:extLst>
            </c:dLbl>
            <c:dLbl>
              <c:idx val="2"/>
              <c:layout>
                <c:manualLayout>
                  <c:x val="1.9444444444444445E-2"/>
                  <c:y val="7.870370370370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E-446D-AAB8-70448B9EE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'Analisis Produccion Vs Ventas'!$C$46:$H$46</c:f>
              <c:numCache>
                <c:formatCode>General</c:formatCode>
                <c:ptCount val="6"/>
                <c:pt idx="0">
                  <c:v>2013</c:v>
                </c:pt>
                <c:pt idx="1">
                  <c:v>2014</c:v>
                </c:pt>
                <c:pt idx="2">
                  <c:v>2015</c:v>
                </c:pt>
                <c:pt idx="3">
                  <c:v>2016</c:v>
                </c:pt>
                <c:pt idx="4">
                  <c:v>2017</c:v>
                </c:pt>
                <c:pt idx="5">
                  <c:v>2018</c:v>
                </c:pt>
              </c:numCache>
            </c:numRef>
          </c:cat>
          <c:val>
            <c:numRef>
              <c:f>'Analisis Produccion Vs Ventas'!$C$55:$H$55</c:f>
              <c:numCache>
                <c:formatCode>0%</c:formatCode>
                <c:ptCount val="6"/>
                <c:pt idx="0" formatCode="0.00%">
                  <c:v>-1.2699999999999999E-2</c:v>
                </c:pt>
                <c:pt idx="1">
                  <c:v>7.3999999999999996E-2</c:v>
                </c:pt>
                <c:pt idx="2" formatCode="0.00%">
                  <c:v>-1.1999999999999999E-3</c:v>
                </c:pt>
                <c:pt idx="3" formatCode="0.00%">
                  <c:v>2.98E-2</c:v>
                </c:pt>
                <c:pt idx="4" formatCode="0.00%">
                  <c:v>2.0400000000000001E-2</c:v>
                </c:pt>
                <c:pt idx="5" formatCode="0.00%">
                  <c:v>6.8400000000000002E-2</c:v>
                </c:pt>
              </c:numCache>
            </c:numRef>
          </c:val>
          <c:extLst>
            <c:ext xmlns:c16="http://schemas.microsoft.com/office/drawing/2014/chart" uri="{C3380CC4-5D6E-409C-BE32-E72D297353CC}">
              <c16:uniqueId val="{00000004-4EDE-446D-AAB8-70448B9EE0D7}"/>
            </c:ext>
          </c:extLst>
        </c:ser>
        <c:dLbls>
          <c:showLegendKey val="0"/>
          <c:showVal val="0"/>
          <c:showCatName val="0"/>
          <c:showSerName val="0"/>
          <c:showPercent val="0"/>
          <c:showBubbleSize val="0"/>
        </c:dLbls>
        <c:gapWidth val="219"/>
        <c:overlap val="-27"/>
        <c:axId val="1269608480"/>
        <c:axId val="1269608896"/>
      </c:barChart>
      <c:catAx>
        <c:axId val="126960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9608896"/>
        <c:crosses val="autoZero"/>
        <c:auto val="1"/>
        <c:lblAlgn val="ctr"/>
        <c:lblOffset val="100"/>
        <c:noMultiLvlLbl val="0"/>
      </c:catAx>
      <c:valAx>
        <c:axId val="1269608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9608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Proyección</a:t>
            </a:r>
            <a:r>
              <a:rPr lang="es-CO" baseline="0"/>
              <a:t> PIB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Graficas!$R$2</c:f>
              <c:strCache>
                <c:ptCount val="1"/>
                <c:pt idx="0">
                  <c:v>COLOMBIA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Graficas!$T$1:$X$1</c:f>
              <c:strCache>
                <c:ptCount val="5"/>
                <c:pt idx="0">
                  <c:v>2019P</c:v>
                </c:pt>
                <c:pt idx="1">
                  <c:v>2020P</c:v>
                </c:pt>
                <c:pt idx="2">
                  <c:v>2021P</c:v>
                </c:pt>
                <c:pt idx="3">
                  <c:v>2022P</c:v>
                </c:pt>
                <c:pt idx="4">
                  <c:v>2023P</c:v>
                </c:pt>
              </c:strCache>
            </c:strRef>
          </c:cat>
          <c:val>
            <c:numRef>
              <c:f>Graficas!$T$2:$X$2</c:f>
              <c:numCache>
                <c:formatCode>0.0%</c:formatCode>
                <c:ptCount val="5"/>
                <c:pt idx="0">
                  <c:v>3.2000000000000001E-2</c:v>
                </c:pt>
                <c:pt idx="1">
                  <c:v>3.3000000000000002E-2</c:v>
                </c:pt>
                <c:pt idx="2">
                  <c:v>3.1E-2</c:v>
                </c:pt>
                <c:pt idx="3">
                  <c:v>3.3000000000000002E-2</c:v>
                </c:pt>
                <c:pt idx="4">
                  <c:v>3.4000000000000002E-2</c:v>
                </c:pt>
              </c:numCache>
            </c:numRef>
          </c:val>
          <c:extLst>
            <c:ext xmlns:c16="http://schemas.microsoft.com/office/drawing/2014/chart" uri="{C3380CC4-5D6E-409C-BE32-E72D297353CC}">
              <c16:uniqueId val="{00000000-9651-487E-8573-E29686E8A5A6}"/>
            </c:ext>
          </c:extLst>
        </c:ser>
        <c:ser>
          <c:idx val="1"/>
          <c:order val="1"/>
          <c:tx>
            <c:strRef>
              <c:f>Graficas!$R$5</c:f>
              <c:strCache>
                <c:ptCount val="1"/>
                <c:pt idx="0">
                  <c:v>Panamá</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Graficas!$T$1:$X$1</c:f>
              <c:strCache>
                <c:ptCount val="5"/>
                <c:pt idx="0">
                  <c:v>2019P</c:v>
                </c:pt>
                <c:pt idx="1">
                  <c:v>2020P</c:v>
                </c:pt>
                <c:pt idx="2">
                  <c:v>2021P</c:v>
                </c:pt>
                <c:pt idx="3">
                  <c:v>2022P</c:v>
                </c:pt>
                <c:pt idx="4">
                  <c:v>2023P</c:v>
                </c:pt>
              </c:strCache>
            </c:strRef>
          </c:cat>
          <c:val>
            <c:numRef>
              <c:f>Graficas!$T$5:$X$5</c:f>
              <c:numCache>
                <c:formatCode>0.0%</c:formatCode>
                <c:ptCount val="5"/>
                <c:pt idx="0">
                  <c:v>6.3E-2</c:v>
                </c:pt>
                <c:pt idx="1">
                  <c:v>0.06</c:v>
                </c:pt>
                <c:pt idx="2">
                  <c:v>0.06</c:v>
                </c:pt>
                <c:pt idx="3">
                  <c:v>0.06</c:v>
                </c:pt>
                <c:pt idx="4">
                  <c:v>0.06</c:v>
                </c:pt>
              </c:numCache>
            </c:numRef>
          </c:val>
          <c:extLst>
            <c:ext xmlns:c16="http://schemas.microsoft.com/office/drawing/2014/chart" uri="{C3380CC4-5D6E-409C-BE32-E72D297353CC}">
              <c16:uniqueId val="{00000001-9651-487E-8573-E29686E8A5A6}"/>
            </c:ext>
          </c:extLst>
        </c:ser>
        <c:ser>
          <c:idx val="2"/>
          <c:order val="2"/>
          <c:tx>
            <c:strRef>
              <c:f>Graficas!$R$7</c:f>
              <c:strCache>
                <c:ptCount val="1"/>
                <c:pt idx="0">
                  <c:v>Costa Rica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Graficas!$T$1:$X$1</c:f>
              <c:strCache>
                <c:ptCount val="5"/>
                <c:pt idx="0">
                  <c:v>2019P</c:v>
                </c:pt>
                <c:pt idx="1">
                  <c:v>2020P</c:v>
                </c:pt>
                <c:pt idx="2">
                  <c:v>2021P</c:v>
                </c:pt>
                <c:pt idx="3">
                  <c:v>2022P</c:v>
                </c:pt>
                <c:pt idx="4">
                  <c:v>2023P</c:v>
                </c:pt>
              </c:strCache>
            </c:strRef>
          </c:cat>
          <c:val>
            <c:numRef>
              <c:f>Graficas!$T$7:$X$7</c:f>
              <c:numCache>
                <c:formatCode>0.0%</c:formatCode>
                <c:ptCount val="5"/>
                <c:pt idx="0">
                  <c:v>3.2000000000000001E-2</c:v>
                </c:pt>
                <c:pt idx="1">
                  <c:v>0.03</c:v>
                </c:pt>
                <c:pt idx="2">
                  <c:v>3.5999999999999997E-2</c:v>
                </c:pt>
                <c:pt idx="3">
                  <c:v>3.5999999999999997E-2</c:v>
                </c:pt>
                <c:pt idx="4">
                  <c:v>3.5999999999999997E-2</c:v>
                </c:pt>
              </c:numCache>
            </c:numRef>
          </c:val>
          <c:extLst>
            <c:ext xmlns:c16="http://schemas.microsoft.com/office/drawing/2014/chart" uri="{C3380CC4-5D6E-409C-BE32-E72D297353CC}">
              <c16:uniqueId val="{00000002-9651-487E-8573-E29686E8A5A6}"/>
            </c:ext>
          </c:extLst>
        </c:ser>
        <c:dLbls>
          <c:showLegendKey val="0"/>
          <c:showVal val="0"/>
          <c:showCatName val="0"/>
          <c:showSerName val="0"/>
          <c:showPercent val="0"/>
          <c:showBubbleSize val="0"/>
        </c:dLbls>
        <c:gapWidth val="219"/>
        <c:overlap val="-27"/>
        <c:axId val="1526417600"/>
        <c:axId val="1526428832"/>
      </c:barChart>
      <c:catAx>
        <c:axId val="15264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6428832"/>
        <c:crosses val="autoZero"/>
        <c:auto val="1"/>
        <c:lblAlgn val="ctr"/>
        <c:lblOffset val="100"/>
        <c:noMultiLvlLbl val="0"/>
      </c:catAx>
      <c:valAx>
        <c:axId val="1526428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641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Crecimiento Sector</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Graficas!$S$3</c:f>
              <c:strCache>
                <c:ptCount val="1"/>
                <c:pt idx="0">
                  <c:v>Crecimiento sector</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Graficas!$T$1:$X$1</c:f>
              <c:strCache>
                <c:ptCount val="5"/>
                <c:pt idx="0">
                  <c:v>2019P</c:v>
                </c:pt>
                <c:pt idx="1">
                  <c:v>2020P</c:v>
                </c:pt>
                <c:pt idx="2">
                  <c:v>2021P</c:v>
                </c:pt>
                <c:pt idx="3">
                  <c:v>2022P</c:v>
                </c:pt>
                <c:pt idx="4">
                  <c:v>2023P</c:v>
                </c:pt>
              </c:strCache>
            </c:strRef>
          </c:cat>
          <c:val>
            <c:numRef>
              <c:f>Graficas!$T$3:$X$3</c:f>
              <c:numCache>
                <c:formatCode>0.0%</c:formatCode>
                <c:ptCount val="5"/>
                <c:pt idx="0">
                  <c:v>3.2000000000000001E-2</c:v>
                </c:pt>
                <c:pt idx="1">
                  <c:v>3.2000000000000001E-2</c:v>
                </c:pt>
                <c:pt idx="2">
                  <c:v>3.2000000000000001E-2</c:v>
                </c:pt>
                <c:pt idx="3">
                  <c:v>3.2000000000000001E-2</c:v>
                </c:pt>
                <c:pt idx="4">
                  <c:v>3.2000000000000001E-2</c:v>
                </c:pt>
              </c:numCache>
            </c:numRef>
          </c:val>
          <c:extLst>
            <c:ext xmlns:c16="http://schemas.microsoft.com/office/drawing/2014/chart" uri="{C3380CC4-5D6E-409C-BE32-E72D297353CC}">
              <c16:uniqueId val="{00000000-9F9F-489C-A9D7-140B10CCB09C}"/>
            </c:ext>
          </c:extLst>
        </c:ser>
        <c:ser>
          <c:idx val="1"/>
          <c:order val="1"/>
          <c:tx>
            <c:strRef>
              <c:f>Graficas!$S$6</c:f>
              <c:strCache>
                <c:ptCount val="1"/>
                <c:pt idx="0">
                  <c:v>Crecimiento sector</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Graficas!$T$1:$X$1</c:f>
              <c:strCache>
                <c:ptCount val="5"/>
                <c:pt idx="0">
                  <c:v>2019P</c:v>
                </c:pt>
                <c:pt idx="1">
                  <c:v>2020P</c:v>
                </c:pt>
                <c:pt idx="2">
                  <c:v>2021P</c:v>
                </c:pt>
                <c:pt idx="3">
                  <c:v>2022P</c:v>
                </c:pt>
                <c:pt idx="4">
                  <c:v>2023P</c:v>
                </c:pt>
              </c:strCache>
            </c:strRef>
          </c:cat>
          <c:val>
            <c:numRef>
              <c:f>Graficas!$T$6:$X$6</c:f>
              <c:numCache>
                <c:formatCode>0.0%</c:formatCode>
                <c:ptCount val="5"/>
                <c:pt idx="0">
                  <c:v>0.02</c:v>
                </c:pt>
                <c:pt idx="1">
                  <c:v>0.02</c:v>
                </c:pt>
                <c:pt idx="2">
                  <c:v>0.02</c:v>
                </c:pt>
                <c:pt idx="3">
                  <c:v>0.02</c:v>
                </c:pt>
                <c:pt idx="4">
                  <c:v>0.02</c:v>
                </c:pt>
              </c:numCache>
            </c:numRef>
          </c:val>
          <c:extLst>
            <c:ext xmlns:c16="http://schemas.microsoft.com/office/drawing/2014/chart" uri="{C3380CC4-5D6E-409C-BE32-E72D297353CC}">
              <c16:uniqueId val="{00000001-9F9F-489C-A9D7-140B10CCB09C}"/>
            </c:ext>
          </c:extLst>
        </c:ser>
        <c:ser>
          <c:idx val="2"/>
          <c:order val="2"/>
          <c:tx>
            <c:strRef>
              <c:f>Graficas!$S$8</c:f>
              <c:strCache>
                <c:ptCount val="1"/>
                <c:pt idx="0">
                  <c:v>Crecimiento sector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layout>
                <c:manualLayout>
                  <c:x val="1.3888888888888838E-2"/>
                  <c:y val="-4.6296296296296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9F-489C-A9D7-140B10CCB09C}"/>
                </c:ext>
              </c:extLst>
            </c:dLbl>
            <c:dLbl>
              <c:idx val="2"/>
              <c:layout>
                <c:manualLayout>
                  <c:x val="1.3888888888888888E-2"/>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9F-489C-A9D7-140B10CCB09C}"/>
                </c:ext>
              </c:extLst>
            </c:dLbl>
            <c:dLbl>
              <c:idx val="3"/>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9F-489C-A9D7-140B10CCB09C}"/>
                </c:ext>
              </c:extLst>
            </c:dLbl>
            <c:dLbl>
              <c:idx val="4"/>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9F-489C-A9D7-140B10CCB0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Graficas!$T$1:$X$1</c:f>
              <c:strCache>
                <c:ptCount val="5"/>
                <c:pt idx="0">
                  <c:v>2019P</c:v>
                </c:pt>
                <c:pt idx="1">
                  <c:v>2020P</c:v>
                </c:pt>
                <c:pt idx="2">
                  <c:v>2021P</c:v>
                </c:pt>
                <c:pt idx="3">
                  <c:v>2022P</c:v>
                </c:pt>
                <c:pt idx="4">
                  <c:v>2023P</c:v>
                </c:pt>
              </c:strCache>
            </c:strRef>
          </c:cat>
          <c:val>
            <c:numRef>
              <c:f>Graficas!$T$8:$X$8</c:f>
              <c:numCache>
                <c:formatCode>0.0%</c:formatCode>
                <c:ptCount val="5"/>
                <c:pt idx="0">
                  <c:v>1.4E-2</c:v>
                </c:pt>
                <c:pt idx="1">
                  <c:v>0.02</c:v>
                </c:pt>
                <c:pt idx="2">
                  <c:v>0.02</c:v>
                </c:pt>
                <c:pt idx="3">
                  <c:v>0.02</c:v>
                </c:pt>
                <c:pt idx="4">
                  <c:v>0.02</c:v>
                </c:pt>
              </c:numCache>
            </c:numRef>
          </c:val>
          <c:extLst>
            <c:ext xmlns:c16="http://schemas.microsoft.com/office/drawing/2014/chart" uri="{C3380CC4-5D6E-409C-BE32-E72D297353CC}">
              <c16:uniqueId val="{00000002-9F9F-489C-A9D7-140B10CCB09C}"/>
            </c:ext>
          </c:extLst>
        </c:ser>
        <c:dLbls>
          <c:showLegendKey val="0"/>
          <c:showVal val="0"/>
          <c:showCatName val="0"/>
          <c:showSerName val="0"/>
          <c:showPercent val="0"/>
          <c:showBubbleSize val="0"/>
        </c:dLbls>
        <c:gapWidth val="100"/>
        <c:overlap val="-24"/>
        <c:axId val="2094864848"/>
        <c:axId val="2094857360"/>
      </c:barChart>
      <c:catAx>
        <c:axId val="20948648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94857360"/>
        <c:crosses val="autoZero"/>
        <c:auto val="1"/>
        <c:lblAlgn val="ctr"/>
        <c:lblOffset val="100"/>
        <c:noMultiLvlLbl val="0"/>
      </c:catAx>
      <c:valAx>
        <c:axId val="2094857360"/>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94864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'BG Proyectado'!$B$36</c:f>
              <c:strCache>
                <c:ptCount val="1"/>
                <c:pt idx="0">
                  <c:v>Pasivo</c:v>
                </c:pt>
              </c:strCache>
            </c:strRef>
          </c:tx>
          <c:spPr>
            <a:solidFill>
              <a:schemeClr val="accent1"/>
            </a:solidFill>
            <a:ln>
              <a:noFill/>
            </a:ln>
            <a:effectLst/>
          </c:spPr>
          <c:invertIfNegative val="0"/>
          <c:cat>
            <c:strRef>
              <c:f>'BG Proyectado'!$J$3:$N$3</c:f>
              <c:strCache>
                <c:ptCount val="5"/>
                <c:pt idx="0">
                  <c:v>2019P</c:v>
                </c:pt>
                <c:pt idx="1">
                  <c:v>2020P</c:v>
                </c:pt>
                <c:pt idx="2">
                  <c:v>2021P</c:v>
                </c:pt>
                <c:pt idx="3">
                  <c:v>2022P</c:v>
                </c:pt>
                <c:pt idx="4">
                  <c:v>2023P</c:v>
                </c:pt>
              </c:strCache>
            </c:strRef>
          </c:cat>
          <c:val>
            <c:numRef>
              <c:f>'BG Proyectado'!$J$36:$N$36</c:f>
              <c:numCache>
                <c:formatCode>_-"$"* #,##0_-;\-"$"* #,##0_-;_-"$"* "-"_-;_-@_-</c:formatCode>
                <c:ptCount val="5"/>
                <c:pt idx="0">
                  <c:v>1514948.91503649</c:v>
                </c:pt>
                <c:pt idx="1">
                  <c:v>1467283.7342861842</c:v>
                </c:pt>
                <c:pt idx="2">
                  <c:v>1418701.8953532232</c:v>
                </c:pt>
                <c:pt idx="3">
                  <c:v>1371585.5627893417</c:v>
                </c:pt>
                <c:pt idx="4">
                  <c:v>1338997.4121971466</c:v>
                </c:pt>
              </c:numCache>
            </c:numRef>
          </c:val>
          <c:extLst>
            <c:ext xmlns:c16="http://schemas.microsoft.com/office/drawing/2014/chart" uri="{C3380CC4-5D6E-409C-BE32-E72D297353CC}">
              <c16:uniqueId val="{00000000-7943-49F6-BEA2-01C2C7EED6D3}"/>
            </c:ext>
          </c:extLst>
        </c:ser>
        <c:ser>
          <c:idx val="1"/>
          <c:order val="1"/>
          <c:tx>
            <c:strRef>
              <c:f>'BG Proyectado'!$B$46</c:f>
              <c:strCache>
                <c:ptCount val="1"/>
                <c:pt idx="0">
                  <c:v>Patrimonio</c:v>
                </c:pt>
              </c:strCache>
            </c:strRef>
          </c:tx>
          <c:spPr>
            <a:solidFill>
              <a:schemeClr val="accent2"/>
            </a:solidFill>
            <a:ln>
              <a:noFill/>
            </a:ln>
            <a:effectLst/>
          </c:spPr>
          <c:invertIfNegative val="0"/>
          <c:cat>
            <c:strRef>
              <c:f>'BG Proyectado'!$J$3:$N$3</c:f>
              <c:strCache>
                <c:ptCount val="5"/>
                <c:pt idx="0">
                  <c:v>2019P</c:v>
                </c:pt>
                <c:pt idx="1">
                  <c:v>2020P</c:v>
                </c:pt>
                <c:pt idx="2">
                  <c:v>2021P</c:v>
                </c:pt>
                <c:pt idx="3">
                  <c:v>2022P</c:v>
                </c:pt>
                <c:pt idx="4">
                  <c:v>2023P</c:v>
                </c:pt>
              </c:strCache>
            </c:strRef>
          </c:cat>
          <c:val>
            <c:numRef>
              <c:f>'BG Proyectado'!$J$46:$N$46</c:f>
              <c:numCache>
                <c:formatCode>_-"$"* #,##0_-;\-"$"* #,##0_-;_-"$"* "-"_-;_-@_-</c:formatCode>
                <c:ptCount val="5"/>
                <c:pt idx="0">
                  <c:v>1484722.2005419512</c:v>
                </c:pt>
                <c:pt idx="1">
                  <c:v>1465140.2881603281</c:v>
                </c:pt>
                <c:pt idx="2">
                  <c:v>1450586.6317882978</c:v>
                </c:pt>
                <c:pt idx="3">
                  <c:v>1435821.0854309294</c:v>
                </c:pt>
                <c:pt idx="4">
                  <c:v>1412501.4630064219</c:v>
                </c:pt>
              </c:numCache>
            </c:numRef>
          </c:val>
          <c:extLst>
            <c:ext xmlns:c16="http://schemas.microsoft.com/office/drawing/2014/chart" uri="{C3380CC4-5D6E-409C-BE32-E72D297353CC}">
              <c16:uniqueId val="{00000001-7943-49F6-BEA2-01C2C7EED6D3}"/>
            </c:ext>
          </c:extLst>
        </c:ser>
        <c:dLbls>
          <c:showLegendKey val="0"/>
          <c:showVal val="0"/>
          <c:showCatName val="0"/>
          <c:showSerName val="0"/>
          <c:showPercent val="0"/>
          <c:showBubbleSize val="0"/>
        </c:dLbls>
        <c:gapWidth val="150"/>
        <c:axId val="950013392"/>
        <c:axId val="950011312"/>
      </c:barChart>
      <c:lineChart>
        <c:grouping val="standard"/>
        <c:varyColors val="0"/>
        <c:ser>
          <c:idx val="2"/>
          <c:order val="2"/>
          <c:tx>
            <c:v>WACC</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'BG Proyectado'!$J$3:$N$3</c:f>
              <c:strCache>
                <c:ptCount val="5"/>
                <c:pt idx="0">
                  <c:v>2019P</c:v>
                </c:pt>
                <c:pt idx="1">
                  <c:v>2020P</c:v>
                </c:pt>
                <c:pt idx="2">
                  <c:v>2021P</c:v>
                </c:pt>
                <c:pt idx="3">
                  <c:v>2022P</c:v>
                </c:pt>
                <c:pt idx="4">
                  <c:v>2023P</c:v>
                </c:pt>
              </c:strCache>
            </c:strRef>
          </c:cat>
          <c:val>
            <c:numRef>
              <c:f>'WACC '!$D$25:$H$25</c:f>
              <c:numCache>
                <c:formatCode>0.00%</c:formatCode>
                <c:ptCount val="5"/>
                <c:pt idx="0">
                  <c:v>8.8469306240994999E-2</c:v>
                </c:pt>
                <c:pt idx="1">
                  <c:v>8.9093504431082576E-2</c:v>
                </c:pt>
                <c:pt idx="2">
                  <c:v>8.9328780548318082E-2</c:v>
                </c:pt>
                <c:pt idx="3">
                  <c:v>8.9534257862684638E-2</c:v>
                </c:pt>
                <c:pt idx="4">
                  <c:v>9.2568243914019091E-2</c:v>
                </c:pt>
              </c:numCache>
            </c:numRef>
          </c:val>
          <c:smooth val="0"/>
          <c:extLst>
            <c:ext xmlns:c16="http://schemas.microsoft.com/office/drawing/2014/chart" uri="{C3380CC4-5D6E-409C-BE32-E72D297353CC}">
              <c16:uniqueId val="{00000002-7943-49F6-BEA2-01C2C7EED6D3}"/>
            </c:ext>
          </c:extLst>
        </c:ser>
        <c:dLbls>
          <c:showLegendKey val="0"/>
          <c:showVal val="0"/>
          <c:showCatName val="0"/>
          <c:showSerName val="0"/>
          <c:showPercent val="0"/>
          <c:showBubbleSize val="0"/>
        </c:dLbls>
        <c:marker val="1"/>
        <c:smooth val="0"/>
        <c:axId val="1162870416"/>
        <c:axId val="1162872912"/>
      </c:lineChart>
      <c:catAx>
        <c:axId val="95001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50011312"/>
        <c:crosses val="autoZero"/>
        <c:auto val="1"/>
        <c:lblAlgn val="ctr"/>
        <c:lblOffset val="100"/>
        <c:noMultiLvlLbl val="0"/>
      </c:catAx>
      <c:valAx>
        <c:axId val="9500113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50013392"/>
        <c:crosses val="autoZero"/>
        <c:crossBetween val="between"/>
      </c:valAx>
      <c:valAx>
        <c:axId val="116287291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2870416"/>
        <c:crosses val="max"/>
        <c:crossBetween val="between"/>
      </c:valAx>
      <c:catAx>
        <c:axId val="1162870416"/>
        <c:scaling>
          <c:orientation val="minMax"/>
        </c:scaling>
        <c:delete val="1"/>
        <c:axPos val="b"/>
        <c:numFmt formatCode="General" sourceLinked="1"/>
        <c:majorTickMark val="out"/>
        <c:minorTickMark val="none"/>
        <c:tickLblPos val="nextTo"/>
        <c:crossAx val="116287291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200"/>
            </a:pPr>
            <a:r>
              <a:rPr lang="en-US" sz="1200"/>
              <a:t>PDF</a:t>
            </a:r>
          </a:p>
        </c:rich>
      </c:tx>
      <c:layout>
        <c:manualLayout>
          <c:xMode val="edge"/>
          <c:yMode val="edge"/>
          <c:x val="0.47902092643824928"/>
          <c:y val="2.4615741214166414E-2"/>
        </c:manualLayout>
      </c:layout>
      <c:overlay val="0"/>
    </c:title>
    <c:autoTitleDeleted val="0"/>
    <c:plotArea>
      <c:layout>
        <c:manualLayout>
          <c:layoutTarget val="inner"/>
          <c:xMode val="edge"/>
          <c:yMode val="edge"/>
          <c:x val="7.7526975794692324E-2"/>
          <c:y val="0.12405574303212098"/>
          <c:w val="0.88780005336212409"/>
          <c:h val="0.66834895638045244"/>
        </c:manualLayout>
      </c:layout>
      <c:barChart>
        <c:barDir val="col"/>
        <c:grouping val="clustered"/>
        <c:varyColors val="0"/>
        <c:ser>
          <c:idx val="1"/>
          <c:order val="0"/>
          <c:tx>
            <c:strRef>
              <c:f>Histogram!$B$1</c:f>
              <c:strCache>
                <c:ptCount val="1"/>
                <c:pt idx="0">
                  <c:v>Y</c:v>
                </c:pt>
              </c:strCache>
            </c:strRef>
          </c:tx>
          <c:invertIfNegative val="0"/>
          <c:cat>
            <c:numRef>
              <c:f>Histogram!$A$2:$A$26</c:f>
              <c:numCache>
                <c:formatCode>0.00</c:formatCode>
                <c:ptCount val="25"/>
                <c:pt idx="0">
                  <c:v>15159.771619735304</c:v>
                </c:pt>
                <c:pt idx="1">
                  <c:v>15268.482743888286</c:v>
                </c:pt>
                <c:pt idx="2">
                  <c:v>15377.19386804127</c:v>
                </c:pt>
                <c:pt idx="3">
                  <c:v>15485.904992194251</c:v>
                </c:pt>
                <c:pt idx="4">
                  <c:v>15594.616116347233</c:v>
                </c:pt>
                <c:pt idx="5">
                  <c:v>15703.327240500215</c:v>
                </c:pt>
                <c:pt idx="6">
                  <c:v>15812.038364653199</c:v>
                </c:pt>
                <c:pt idx="7">
                  <c:v>15920.749488806181</c:v>
                </c:pt>
                <c:pt idx="8">
                  <c:v>16029.460612959163</c:v>
                </c:pt>
                <c:pt idx="9">
                  <c:v>16138.171737112145</c:v>
                </c:pt>
                <c:pt idx="10">
                  <c:v>16246.882861265129</c:v>
                </c:pt>
                <c:pt idx="11">
                  <c:v>16355.593985418111</c:v>
                </c:pt>
                <c:pt idx="12">
                  <c:v>16464.305109571094</c:v>
                </c:pt>
                <c:pt idx="13">
                  <c:v>16573.016233724076</c:v>
                </c:pt>
                <c:pt idx="14">
                  <c:v>16681.727357877058</c:v>
                </c:pt>
                <c:pt idx="15">
                  <c:v>16790.43848203004</c:v>
                </c:pt>
                <c:pt idx="16">
                  <c:v>16899.149606183022</c:v>
                </c:pt>
                <c:pt idx="17">
                  <c:v>17007.860730336004</c:v>
                </c:pt>
                <c:pt idx="18">
                  <c:v>17116.571854488986</c:v>
                </c:pt>
                <c:pt idx="19">
                  <c:v>17225.282978641968</c:v>
                </c:pt>
                <c:pt idx="20">
                  <c:v>17333.994102794954</c:v>
                </c:pt>
                <c:pt idx="21">
                  <c:v>17442.705226947935</c:v>
                </c:pt>
                <c:pt idx="22">
                  <c:v>17551.416351100917</c:v>
                </c:pt>
                <c:pt idx="23">
                  <c:v>17660.127475253899</c:v>
                </c:pt>
                <c:pt idx="24">
                  <c:v>17768.838599406881</c:v>
                </c:pt>
              </c:numCache>
            </c:numRef>
          </c:cat>
          <c: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val>
          <c:extLst>
            <c:ext xmlns:c16="http://schemas.microsoft.com/office/drawing/2014/chart" uri="{C3380CC4-5D6E-409C-BE32-E72D297353CC}">
              <c16:uniqueId val="{00000000-E955-4936-A9DE-5ABB0B9872D9}"/>
            </c:ext>
          </c:extLst>
        </c:ser>
        <c:dLbls>
          <c:showLegendKey val="0"/>
          <c:showVal val="0"/>
          <c:showCatName val="0"/>
          <c:showSerName val="0"/>
          <c:showPercent val="0"/>
          <c:showBubbleSize val="0"/>
        </c:dLbls>
        <c:gapWidth val="73"/>
        <c:axId val="1077623456"/>
        <c:axId val="1"/>
      </c:barChart>
      <c:catAx>
        <c:axId val="1077623456"/>
        <c:scaling>
          <c:orientation val="minMax"/>
        </c:scaling>
        <c:delete val="0"/>
        <c:axPos val="b"/>
        <c:majorGridlines>
          <c:spPr>
            <a:ln>
              <a:prstDash val="dash"/>
            </a:ln>
          </c:spPr>
        </c:majorGridlines>
        <c:title>
          <c:tx>
            <c:rich>
              <a:bodyPr/>
              <a:lstStyle/>
              <a:p>
                <a:pPr>
                  <a:defRPr/>
                </a:pPr>
                <a:r>
                  <a:rPr lang="en-US"/>
                  <a:t>X</a:t>
                </a:r>
              </a:p>
            </c:rich>
          </c:tx>
          <c:layout>
            <c:manualLayout>
              <c:xMode val="edge"/>
              <c:yMode val="edge"/>
              <c:x val="0.49463148187557637"/>
              <c:y val="0.91889559259637998"/>
            </c:manualLayout>
          </c:layout>
          <c:overlay val="0"/>
        </c:title>
        <c:numFmt formatCode="0.00" sourceLinked="0"/>
        <c:majorTickMark val="out"/>
        <c:minorTickMark val="none"/>
        <c:tickLblPos val="nextTo"/>
        <c:txPr>
          <a:bodyPr rot="-5400000" vert="horz"/>
          <a:lstStyle/>
          <a:p>
            <a:pPr>
              <a:defRPr/>
            </a:pPr>
            <a:endParaRPr lang="es-CO"/>
          </a:p>
        </c:txPr>
        <c:crossAx val="1"/>
        <c:crosses val="autoZero"/>
        <c:auto val="1"/>
        <c:lblAlgn val="ctr"/>
        <c:lblOffset val="100"/>
        <c:noMultiLvlLbl val="0"/>
      </c:catAx>
      <c:valAx>
        <c:axId val="1"/>
        <c:scaling>
          <c:orientation val="minMax"/>
        </c:scaling>
        <c:delete val="0"/>
        <c:axPos val="l"/>
        <c:majorGridlines>
          <c:spPr>
            <a:ln>
              <a:prstDash val="dash"/>
            </a:ln>
          </c:spPr>
        </c:majorGridlines>
        <c:title>
          <c:tx>
            <c:rich>
              <a:bodyPr/>
              <a:lstStyle/>
              <a:p>
                <a:pPr>
                  <a:defRPr/>
                </a:pPr>
                <a:r>
                  <a:rPr lang="en-US"/>
                  <a:t>F(x)</a:t>
                </a:r>
              </a:p>
            </c:rich>
          </c:tx>
          <c:layout/>
          <c:overlay val="0"/>
        </c:title>
        <c:numFmt formatCode="General" sourceLinked="1"/>
        <c:majorTickMark val="out"/>
        <c:minorTickMark val="none"/>
        <c:tickLblPos val="nextTo"/>
        <c:crossAx val="107762345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scene3d>
          <a:camera prst="orthographicFront"/>
          <a:lightRig rig="threePt" dir="t"/>
        </a:scene3d>
        <a:sp3d>
          <a:bevelT/>
        </a:sp3d>
      </c:spPr>
    </c:plotArea>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Patrimonio</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'Balance General'!$C$44</c:f>
              <c:strCache>
                <c:ptCount val="1"/>
                <c:pt idx="0">
                  <c:v>Total de la participación controladora</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3"/>
              <c:layout>
                <c:manualLayout>
                  <c:x val="-4.8920863309352622E-2"/>
                  <c:y val="-5.48812573691633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8D-46F2-92AF-015F093CEC5E}"/>
                </c:ext>
              </c:extLst>
            </c:dLbl>
            <c:dLbl>
              <c:idx val="4"/>
              <c:layout>
                <c:manualLayout>
                  <c:x val="-1.1510791366906581E-2"/>
                  <c:y val="2.9551446275703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F8D-46F2-92AF-015F093CEC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'Balance General'!$D$3:$I$3</c:f>
              <c:strCache>
                <c:ptCount val="5"/>
                <c:pt idx="0">
                  <c:v>2014</c:v>
                </c:pt>
                <c:pt idx="1">
                  <c:v>2015</c:v>
                </c:pt>
                <c:pt idx="2">
                  <c:v>2016</c:v>
                </c:pt>
                <c:pt idx="3">
                  <c:v>2017</c:v>
                </c:pt>
                <c:pt idx="4">
                  <c:v>2018</c:v>
                </c:pt>
              </c:strCache>
            </c:strRef>
          </c:cat>
          <c:val>
            <c:numRef>
              <c:f>'Balance General'!$D$46:$I$46</c:f>
              <c:numCache>
                <c:formatCode>_-"$"* #,##0_-;\-"$"* #,##0_-;_-"$"* "-"_-;_-@_-</c:formatCode>
                <c:ptCount val="5"/>
                <c:pt idx="0">
                  <c:v>1400933</c:v>
                </c:pt>
                <c:pt idx="1">
                  <c:v>1316815</c:v>
                </c:pt>
                <c:pt idx="2">
                  <c:v>1473911</c:v>
                </c:pt>
                <c:pt idx="3">
                  <c:v>1543045</c:v>
                </c:pt>
                <c:pt idx="4">
                  <c:v>1517601</c:v>
                </c:pt>
              </c:numCache>
            </c:numRef>
          </c:val>
          <c:smooth val="0"/>
          <c:extLst>
            <c:ext xmlns:c16="http://schemas.microsoft.com/office/drawing/2014/chart" uri="{C3380CC4-5D6E-409C-BE32-E72D297353CC}">
              <c16:uniqueId val="{00000002-4F8D-46F2-92AF-015F093CEC5E}"/>
            </c:ext>
          </c:extLst>
        </c:ser>
        <c:dLbls>
          <c:showLegendKey val="0"/>
          <c:showVal val="0"/>
          <c:showCatName val="0"/>
          <c:showSerName val="0"/>
          <c:showPercent val="0"/>
          <c:showBubbleSize val="0"/>
        </c:dLbls>
        <c:marker val="1"/>
        <c:smooth val="0"/>
        <c:axId val="2131171712"/>
        <c:axId val="2131179584"/>
      </c:lineChart>
      <c:lineChart>
        <c:grouping val="standard"/>
        <c:varyColors val="0"/>
        <c:ser>
          <c:idx val="1"/>
          <c:order val="1"/>
          <c:tx>
            <c:v>Variación</c:v>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'Balance General'!$Q$3:$U$3</c:f>
              <c:strCache>
                <c:ptCount val="5"/>
                <c:pt idx="0">
                  <c:v> Horizontal 2014vs2013</c:v>
                </c:pt>
                <c:pt idx="1">
                  <c:v> Horizontal 2015vs2014</c:v>
                </c:pt>
                <c:pt idx="2">
                  <c:v> Horizontal 2016vs2015</c:v>
                </c:pt>
                <c:pt idx="3">
                  <c:v> Horizontal 2017vs2016</c:v>
                </c:pt>
                <c:pt idx="4">
                  <c:v> Horizontal 2018vs2017</c:v>
                </c:pt>
              </c:strCache>
            </c:strRef>
          </c:cat>
          <c:val>
            <c:numRef>
              <c:f>('Balance General'!$A$1,'Balance General'!$Q$46:$U$46)</c:f>
              <c:numCache>
                <c:formatCode>0.0%</c:formatCode>
                <c:ptCount val="6"/>
                <c:pt idx="1">
                  <c:v>3.0660995208193396E-2</c:v>
                </c:pt>
                <c:pt idx="2">
                  <c:v>-6.387989201216572E-2</c:v>
                </c:pt>
                <c:pt idx="3">
                  <c:v>0.10658445455661841</c:v>
                </c:pt>
                <c:pt idx="4">
                  <c:v>4.480361881863458E-2</c:v>
                </c:pt>
                <c:pt idx="5">
                  <c:v>-1.6765935183226686E-2</c:v>
                </c:pt>
              </c:numCache>
            </c:numRef>
          </c:val>
          <c:smooth val="0"/>
          <c:extLst>
            <c:ext xmlns:c16="http://schemas.microsoft.com/office/drawing/2014/chart" uri="{C3380CC4-5D6E-409C-BE32-E72D297353CC}">
              <c16:uniqueId val="{00000003-4F8D-46F2-92AF-015F093CEC5E}"/>
            </c:ext>
          </c:extLst>
        </c:ser>
        <c:dLbls>
          <c:showLegendKey val="0"/>
          <c:showVal val="0"/>
          <c:showCatName val="0"/>
          <c:showSerName val="0"/>
          <c:showPercent val="0"/>
          <c:showBubbleSize val="0"/>
        </c:dLbls>
        <c:marker val="1"/>
        <c:smooth val="0"/>
        <c:axId val="2131221240"/>
        <c:axId val="2131227144"/>
      </c:lineChart>
      <c:catAx>
        <c:axId val="21311717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179584"/>
        <c:crosses val="autoZero"/>
        <c:auto val="1"/>
        <c:lblAlgn val="ctr"/>
        <c:lblOffset val="100"/>
        <c:noMultiLvlLbl val="0"/>
      </c:catAx>
      <c:valAx>
        <c:axId val="213117958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171712"/>
        <c:crosses val="autoZero"/>
        <c:crossBetween val="between"/>
      </c:valAx>
      <c:valAx>
        <c:axId val="213122714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221240"/>
        <c:crosses val="max"/>
        <c:crossBetween val="between"/>
      </c:valAx>
      <c:catAx>
        <c:axId val="2131221240"/>
        <c:scaling>
          <c:orientation val="minMax"/>
        </c:scaling>
        <c:delete val="1"/>
        <c:axPos val="b"/>
        <c:numFmt formatCode="General" sourceLinked="1"/>
        <c:majorTickMark val="none"/>
        <c:minorTickMark val="none"/>
        <c:tickLblPos val="nextTo"/>
        <c:crossAx val="21312271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200"/>
            </a:pPr>
            <a:r>
              <a:rPr lang="en-US" sz="1200"/>
              <a:t>PDF</a:t>
            </a:r>
          </a:p>
        </c:rich>
      </c:tx>
      <c:layout>
        <c:manualLayout>
          <c:xMode val="edge"/>
          <c:yMode val="edge"/>
          <c:x val="0.4772191246364475"/>
          <c:y val="3.1745898072901318E-2"/>
        </c:manualLayout>
      </c:layout>
      <c:overlay val="0"/>
    </c:title>
    <c:autoTitleDeleted val="0"/>
    <c:plotArea>
      <c:layout>
        <c:manualLayout>
          <c:layoutTarget val="inner"/>
          <c:xMode val="edge"/>
          <c:yMode val="edge"/>
          <c:x val="7.7526975794692324E-2"/>
          <c:y val="0.12405574303212098"/>
          <c:w val="0.88780005336212409"/>
          <c:h val="0.66834895638045244"/>
        </c:manualLayout>
      </c:layout>
      <c:barChart>
        <c:barDir val="col"/>
        <c:grouping val="clustered"/>
        <c:varyColors val="0"/>
        <c:ser>
          <c:idx val="1"/>
          <c:order val="0"/>
          <c:tx>
            <c:strRef>
              <c:f>Histogram!$B$1</c:f>
              <c:strCache>
                <c:ptCount val="1"/>
                <c:pt idx="0">
                  <c:v>Y</c:v>
                </c:pt>
              </c:strCache>
            </c:strRef>
          </c:tx>
          <c:invertIfNegative val="0"/>
          <c:cat>
            <c:numRef>
              <c:f>Histogram!$A$2:$A$26</c:f>
              <c:numCache>
                <c:formatCode>0.00</c:formatCode>
                <c:ptCount val="25"/>
                <c:pt idx="0">
                  <c:v>15159.771619735304</c:v>
                </c:pt>
                <c:pt idx="1">
                  <c:v>15268.482743888286</c:v>
                </c:pt>
                <c:pt idx="2">
                  <c:v>15377.19386804127</c:v>
                </c:pt>
                <c:pt idx="3">
                  <c:v>15485.904992194251</c:v>
                </c:pt>
                <c:pt idx="4">
                  <c:v>15594.616116347233</c:v>
                </c:pt>
                <c:pt idx="5">
                  <c:v>15703.327240500215</c:v>
                </c:pt>
                <c:pt idx="6">
                  <c:v>15812.038364653199</c:v>
                </c:pt>
                <c:pt idx="7">
                  <c:v>15920.749488806181</c:v>
                </c:pt>
                <c:pt idx="8">
                  <c:v>16029.460612959163</c:v>
                </c:pt>
                <c:pt idx="9">
                  <c:v>16138.171737112145</c:v>
                </c:pt>
                <c:pt idx="10">
                  <c:v>16246.882861265129</c:v>
                </c:pt>
                <c:pt idx="11">
                  <c:v>16355.593985418111</c:v>
                </c:pt>
                <c:pt idx="12">
                  <c:v>16464.305109571094</c:v>
                </c:pt>
                <c:pt idx="13">
                  <c:v>16573.016233724076</c:v>
                </c:pt>
                <c:pt idx="14">
                  <c:v>16681.727357877058</c:v>
                </c:pt>
                <c:pt idx="15">
                  <c:v>16790.43848203004</c:v>
                </c:pt>
                <c:pt idx="16">
                  <c:v>16899.149606183022</c:v>
                </c:pt>
                <c:pt idx="17">
                  <c:v>17007.860730336004</c:v>
                </c:pt>
                <c:pt idx="18">
                  <c:v>17116.571854488986</c:v>
                </c:pt>
                <c:pt idx="19">
                  <c:v>17225.282978641968</c:v>
                </c:pt>
                <c:pt idx="20">
                  <c:v>17333.994102794954</c:v>
                </c:pt>
                <c:pt idx="21">
                  <c:v>17442.705226947935</c:v>
                </c:pt>
                <c:pt idx="22">
                  <c:v>17551.416351100917</c:v>
                </c:pt>
                <c:pt idx="23">
                  <c:v>17660.127475253899</c:v>
                </c:pt>
                <c:pt idx="24">
                  <c:v>17768.838599406881</c:v>
                </c:pt>
              </c:numCache>
            </c:numRef>
          </c:cat>
          <c: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val>
          <c:extLst>
            <c:ext xmlns:c16="http://schemas.microsoft.com/office/drawing/2014/chart" uri="{C3380CC4-5D6E-409C-BE32-E72D297353CC}">
              <c16:uniqueId val="{00000000-6B1C-4D76-867C-50AD7BB4742E}"/>
            </c:ext>
          </c:extLst>
        </c:ser>
        <c:dLbls>
          <c:showLegendKey val="0"/>
          <c:showVal val="0"/>
          <c:showCatName val="0"/>
          <c:showSerName val="0"/>
          <c:showPercent val="0"/>
          <c:showBubbleSize val="0"/>
        </c:dLbls>
        <c:gapWidth val="73"/>
        <c:axId val="1079722680"/>
        <c:axId val="1"/>
      </c:barChart>
      <c:lineChart>
        <c:grouping val="standard"/>
        <c:varyColors val="0"/>
        <c:ser>
          <c:idx val="2"/>
          <c:order val="1"/>
          <c:spPr>
            <a:ln w="44450">
              <a:solidFill>
                <a:srgbClr val="7030A0"/>
              </a:solidFill>
              <a:prstDash val="sysDot"/>
            </a:ln>
          </c:spPr>
          <c:marker>
            <c:symbol val="none"/>
          </c:marker>
          <c:cat>
            <c:numRef>
              <c:f>Histogram!$A$2:$A$26</c:f>
              <c:numCache>
                <c:formatCode>0.00</c:formatCode>
                <c:ptCount val="25"/>
                <c:pt idx="0">
                  <c:v>15159.771619735304</c:v>
                </c:pt>
                <c:pt idx="1">
                  <c:v>15268.482743888286</c:v>
                </c:pt>
                <c:pt idx="2">
                  <c:v>15377.19386804127</c:v>
                </c:pt>
                <c:pt idx="3">
                  <c:v>15485.904992194251</c:v>
                </c:pt>
                <c:pt idx="4">
                  <c:v>15594.616116347233</c:v>
                </c:pt>
                <c:pt idx="5">
                  <c:v>15703.327240500215</c:v>
                </c:pt>
                <c:pt idx="6">
                  <c:v>15812.038364653199</c:v>
                </c:pt>
                <c:pt idx="7">
                  <c:v>15920.749488806181</c:v>
                </c:pt>
                <c:pt idx="8">
                  <c:v>16029.460612959163</c:v>
                </c:pt>
                <c:pt idx="9">
                  <c:v>16138.171737112145</c:v>
                </c:pt>
                <c:pt idx="10">
                  <c:v>16246.882861265129</c:v>
                </c:pt>
                <c:pt idx="11">
                  <c:v>16355.593985418111</c:v>
                </c:pt>
                <c:pt idx="12">
                  <c:v>16464.305109571094</c:v>
                </c:pt>
                <c:pt idx="13">
                  <c:v>16573.016233724076</c:v>
                </c:pt>
                <c:pt idx="14">
                  <c:v>16681.727357877058</c:v>
                </c:pt>
                <c:pt idx="15">
                  <c:v>16790.43848203004</c:v>
                </c:pt>
                <c:pt idx="16">
                  <c:v>16899.149606183022</c:v>
                </c:pt>
                <c:pt idx="17">
                  <c:v>17007.860730336004</c:v>
                </c:pt>
                <c:pt idx="18">
                  <c:v>17116.571854488986</c:v>
                </c:pt>
                <c:pt idx="19">
                  <c:v>17225.282978641968</c:v>
                </c:pt>
                <c:pt idx="20">
                  <c:v>17333.994102794954</c:v>
                </c:pt>
                <c:pt idx="21">
                  <c:v>17442.705226947935</c:v>
                </c:pt>
                <c:pt idx="22">
                  <c:v>17551.416351100917</c:v>
                </c:pt>
                <c:pt idx="23">
                  <c:v>17660.127475253899</c:v>
                </c:pt>
                <c:pt idx="24">
                  <c:v>17768.838599406881</c:v>
                </c:pt>
              </c:numCache>
            </c:numRef>
          </c:cat>
          <c: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val>
          <c:smooth val="0"/>
          <c:extLst>
            <c:ext xmlns:c16="http://schemas.microsoft.com/office/drawing/2014/chart" uri="{C3380CC4-5D6E-409C-BE32-E72D297353CC}">
              <c16:uniqueId val="{00000001-6B1C-4D76-867C-50AD7BB4742E}"/>
            </c:ext>
          </c:extLst>
        </c:ser>
        <c:dLbls>
          <c:showLegendKey val="0"/>
          <c:showVal val="0"/>
          <c:showCatName val="0"/>
          <c:showSerName val="0"/>
          <c:showPercent val="0"/>
          <c:showBubbleSize val="0"/>
        </c:dLbls>
        <c:marker val="1"/>
        <c:smooth val="0"/>
        <c:axId val="1079722680"/>
        <c:axId val="1"/>
      </c:lineChart>
      <c:catAx>
        <c:axId val="1079722680"/>
        <c:scaling>
          <c:orientation val="minMax"/>
        </c:scaling>
        <c:delete val="0"/>
        <c:axPos val="b"/>
        <c:majorGridlines>
          <c:spPr>
            <a:ln>
              <a:prstDash val="dash"/>
            </a:ln>
          </c:spPr>
        </c:majorGridlines>
        <c:title>
          <c:tx>
            <c:rich>
              <a:bodyPr/>
              <a:lstStyle/>
              <a:p>
                <a:pPr>
                  <a:defRPr/>
                </a:pPr>
                <a:r>
                  <a:rPr lang="en-US"/>
                  <a:t>X</a:t>
                </a:r>
              </a:p>
            </c:rich>
          </c:tx>
          <c:layout>
            <c:manualLayout>
              <c:xMode val="edge"/>
              <c:yMode val="edge"/>
              <c:x val="0.50183868908278362"/>
              <c:y val="0.9188956728002583"/>
            </c:manualLayout>
          </c:layout>
          <c:overlay val="0"/>
        </c:title>
        <c:numFmt formatCode="0.00" sourceLinked="0"/>
        <c:majorTickMark val="out"/>
        <c:minorTickMark val="none"/>
        <c:tickLblPos val="nextTo"/>
        <c:txPr>
          <a:bodyPr rot="-5400000" vert="horz"/>
          <a:lstStyle/>
          <a:p>
            <a:pPr>
              <a:defRPr/>
            </a:pPr>
            <a:endParaRPr lang="es-CO"/>
          </a:p>
        </c:txPr>
        <c:crossAx val="1"/>
        <c:crosses val="autoZero"/>
        <c:auto val="1"/>
        <c:lblAlgn val="ctr"/>
        <c:lblOffset val="100"/>
        <c:noMultiLvlLbl val="0"/>
      </c:catAx>
      <c:valAx>
        <c:axId val="1"/>
        <c:scaling>
          <c:orientation val="minMax"/>
        </c:scaling>
        <c:delete val="0"/>
        <c:axPos val="l"/>
        <c:majorGridlines>
          <c:spPr>
            <a:ln>
              <a:prstDash val="dash"/>
            </a:ln>
          </c:spPr>
        </c:majorGridlines>
        <c:title>
          <c:tx>
            <c:rich>
              <a:bodyPr/>
              <a:lstStyle/>
              <a:p>
                <a:pPr>
                  <a:defRPr/>
                </a:pPr>
                <a:r>
                  <a:rPr lang="en-US"/>
                  <a:t>F(X)</a:t>
                </a:r>
              </a:p>
            </c:rich>
          </c:tx>
          <c:layout/>
          <c:overlay val="0"/>
        </c:title>
        <c:numFmt formatCode="General" sourceLinked="1"/>
        <c:majorTickMark val="out"/>
        <c:minorTickMark val="none"/>
        <c:tickLblPos val="nextTo"/>
        <c:crossAx val="1079722680"/>
        <c:crosses val="autoZero"/>
        <c:crossBetween val="between"/>
      </c:valAx>
      <c:spPr>
        <a:solidFill>
          <a:schemeClr val="accent3">
            <a:lumMod val="40000"/>
            <a:lumOff val="60000"/>
            <a:alpha val="74000"/>
          </a:schemeClr>
        </a:solidFill>
        <a:scene3d>
          <a:camera prst="orthographicFront"/>
          <a:lightRig rig="threePt" dir="t"/>
        </a:scene3d>
        <a:sp3d>
          <a:bevelT/>
        </a:sp3d>
      </c:spPr>
    </c:plotArea>
    <c:plotVisOnly val="0"/>
    <c:dispBlanksAs val="gap"/>
    <c:showDLblsOverMax val="0"/>
  </c:chart>
  <c:spPr>
    <a:ln>
      <a:noFill/>
    </a:ln>
    <a:scene3d>
      <a:camera prst="orthographicFront"/>
      <a:lightRig rig="threePt" dir="t"/>
    </a:scene3d>
    <a:sp3d/>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CDF (S</a:t>
            </a:r>
            <a:r>
              <a:rPr lang="en-US" sz="1400"/>
              <a:t>)</a:t>
            </a:r>
          </a:p>
        </c:rich>
      </c:tx>
      <c:layout>
        <c:manualLayout>
          <c:xMode val="edge"/>
          <c:yMode val="edge"/>
          <c:x val="0.46580063148398743"/>
          <c:y val="9.5465393794749408E-3"/>
        </c:manualLayout>
      </c:layout>
      <c:overlay val="1"/>
    </c:title>
    <c:autoTitleDeleted val="0"/>
    <c:plotArea>
      <c:layout>
        <c:manualLayout>
          <c:layoutTarget val="inner"/>
          <c:xMode val="edge"/>
          <c:yMode val="edge"/>
          <c:x val="0.10706516218625581"/>
          <c:y val="8.3062931504940901E-2"/>
          <c:w val="0.83531195948273718"/>
          <c:h val="0.7824686404872595"/>
        </c:manualLayout>
      </c:layout>
      <c:scatterChart>
        <c:scatterStyle val="smoothMarker"/>
        <c:varyColors val="0"/>
        <c:ser>
          <c:idx val="0"/>
          <c:order val="0"/>
          <c:spPr>
            <a:ln w="38100" cap="flat" cmpd="sng" algn="ctr">
              <a:solidFill>
                <a:schemeClr val="lt1"/>
              </a:solidFill>
              <a:prstDash val="solid"/>
            </a:ln>
            <a:effectLst>
              <a:outerShdw blurRad="40000" dist="20000" dir="5400000" rotWithShape="0">
                <a:srgbClr val="000000">
                  <a:alpha val="38000"/>
                </a:srgbClr>
              </a:outerShdw>
            </a:effectLst>
          </c:spPr>
          <c:marker>
            <c:symbol val="none"/>
          </c:marker>
          <c:xVal>
            <c:numRef>
              <c:f>Histogram!$P$18:$P$31</c:f>
              <c:numCache>
                <c:formatCode>0.0000</c:formatCode>
                <c:ptCount val="14"/>
                <c:pt idx="0">
                  <c:v>15051.060495582322</c:v>
                </c:pt>
                <c:pt idx="1">
                  <c:v>15753.766776970766</c:v>
                </c:pt>
                <c:pt idx="2">
                  <c:v>15891.333065158395</c:v>
                </c:pt>
                <c:pt idx="3">
                  <c:v>16049.632840030241</c:v>
                </c:pt>
                <c:pt idx="4">
                  <c:v>16168.729737304044</c:v>
                </c:pt>
                <c:pt idx="5">
                  <c:v>16273.266703744155</c:v>
                </c:pt>
                <c:pt idx="6">
                  <c:v>16371.741067779427</c:v>
                </c:pt>
                <c:pt idx="7">
                  <c:v>16472.055813237814</c:v>
                </c:pt>
                <c:pt idx="8">
                  <c:v>16571.878682872153</c:v>
                </c:pt>
                <c:pt idx="9">
                  <c:v>16694.311752025471</c:v>
                </c:pt>
                <c:pt idx="10">
                  <c:v>16866.811850068876</c:v>
                </c:pt>
                <c:pt idx="11">
                  <c:v>17015.851309237263</c:v>
                </c:pt>
                <c:pt idx="12">
                  <c:v>17262.496042106595</c:v>
                </c:pt>
                <c:pt idx="13">
                  <c:v>17768.838599406881</c:v>
                </c:pt>
              </c:numCache>
            </c:numRef>
          </c:xVal>
          <c:yVal>
            <c:numRef>
              <c:f>Histogram!$O$18:$O$31</c:f>
              <c:numCache>
                <c:formatCode>0%</c:formatCode>
                <c:ptCount val="14"/>
                <c:pt idx="0">
                  <c:v>0</c:v>
                </c:pt>
                <c:pt idx="1">
                  <c:v>0.05</c:v>
                </c:pt>
                <c:pt idx="2">
                  <c:v>0.1</c:v>
                </c:pt>
                <c:pt idx="3">
                  <c:v>0.2</c:v>
                </c:pt>
                <c:pt idx="4">
                  <c:v>0.3</c:v>
                </c:pt>
                <c:pt idx="5">
                  <c:v>0.4</c:v>
                </c:pt>
                <c:pt idx="6">
                  <c:v>0.5</c:v>
                </c:pt>
                <c:pt idx="7">
                  <c:v>0.6</c:v>
                </c:pt>
                <c:pt idx="8">
                  <c:v>0.7</c:v>
                </c:pt>
                <c:pt idx="9">
                  <c:v>0.8</c:v>
                </c:pt>
                <c:pt idx="10">
                  <c:v>0.9</c:v>
                </c:pt>
                <c:pt idx="11">
                  <c:v>0.95</c:v>
                </c:pt>
                <c:pt idx="12">
                  <c:v>0.99</c:v>
                </c:pt>
                <c:pt idx="13">
                  <c:v>1</c:v>
                </c:pt>
              </c:numCache>
            </c:numRef>
          </c:yVal>
          <c:smooth val="1"/>
          <c:extLst>
            <c:ext xmlns:c16="http://schemas.microsoft.com/office/drawing/2014/chart" uri="{C3380CC4-5D6E-409C-BE32-E72D297353CC}">
              <c16:uniqueId val="{00000000-1483-49FA-9A7E-F8F49F6E18EE}"/>
            </c:ext>
          </c:extLst>
        </c:ser>
        <c:dLbls>
          <c:showLegendKey val="0"/>
          <c:showVal val="0"/>
          <c:showCatName val="0"/>
          <c:showSerName val="0"/>
          <c:showPercent val="0"/>
          <c:showBubbleSize val="0"/>
        </c:dLbls>
        <c:axId val="1079724320"/>
        <c:axId val="1"/>
      </c:scatterChart>
      <c:valAx>
        <c:axId val="1079724320"/>
        <c:scaling>
          <c:orientation val="minMax"/>
          <c:max val="17768.838599406881"/>
          <c:min val="15051.060495582322"/>
        </c:scaling>
        <c:delete val="0"/>
        <c:axPos val="b"/>
        <c:minorGridlines>
          <c:spPr>
            <a:ln>
              <a:prstDash val="dash"/>
            </a:ln>
          </c:spPr>
        </c:minorGridlines>
        <c:title>
          <c:tx>
            <c:rich>
              <a:bodyPr/>
              <a:lstStyle/>
              <a:p>
                <a:pPr>
                  <a:defRPr/>
                </a:pPr>
                <a:r>
                  <a:rPr lang="en-US"/>
                  <a:t>X</a:t>
                </a:r>
              </a:p>
            </c:rich>
          </c:tx>
          <c:overlay val="0"/>
        </c:title>
        <c:numFmt formatCode="0.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crossBetween val="midCat"/>
      </c:valAx>
      <c:valAx>
        <c:axId val="1"/>
        <c:scaling>
          <c:orientation val="minMax"/>
          <c:max val="1"/>
          <c:min val="0"/>
        </c:scaling>
        <c:delete val="0"/>
        <c:axPos val="l"/>
        <c:majorGridlines>
          <c:spPr>
            <a:ln>
              <a:prstDash val="dash"/>
            </a:ln>
          </c:spPr>
        </c:majorGridlines>
        <c:title>
          <c:tx>
            <c:rich>
              <a:bodyPr rot="-5400000" vert="horz"/>
              <a:lstStyle/>
              <a:p>
                <a:pPr>
                  <a:defRPr/>
                </a:pPr>
                <a:r>
                  <a:rPr lang="en-US"/>
                  <a:t>P(X)</a:t>
                </a:r>
              </a:p>
            </c:rich>
          </c:tx>
          <c:overlay val="0"/>
        </c:title>
        <c:numFmt formatCode="0%" sourceLinked="1"/>
        <c:majorTickMark val="out"/>
        <c:minorTickMark val="none"/>
        <c:tickLblPos val="nextTo"/>
        <c:crossAx val="1079724320"/>
        <c:crosses val="autoZero"/>
        <c:crossBetween val="midCat"/>
      </c:valAx>
      <c:spPr>
        <a:gradFill>
          <a:gsLst>
            <a:gs pos="0">
              <a:srgbClr val="FFEFD1"/>
            </a:gs>
            <a:gs pos="64999">
              <a:srgbClr val="F0EBD5"/>
            </a:gs>
            <a:gs pos="100000">
              <a:srgbClr val="D1C39F"/>
            </a:gs>
          </a:gsLst>
          <a:lin ang="5400000" scaled="0"/>
        </a:gradFill>
        <a:scene3d>
          <a:camera prst="orthographicFront"/>
          <a:lightRig rig="threePt" dir="t"/>
        </a:scene3d>
        <a:sp3d>
          <a:bevelT/>
        </a:sp3d>
      </c:spPr>
    </c:plotArea>
    <c:plotVisOnly val="1"/>
    <c:dispBlanksAs val="gap"/>
    <c:showDLblsOverMax val="0"/>
  </c:chart>
  <c:spPr>
    <a:ln>
      <a:noFill/>
      <a:prstDash val="dash"/>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5.8404558404558403E-2"/>
          <c:y val="4.142011834319527E-2"/>
          <c:w val="0.92022792022792022"/>
          <c:h val="0.79289940828402372"/>
        </c:manualLayout>
      </c:layout>
      <c:barChart>
        <c:barDir val="col"/>
        <c:grouping val="clustered"/>
        <c:varyColors val="0"/>
        <c:ser>
          <c:idx val="0"/>
          <c:order val="0"/>
          <c:tx>
            <c:strRef>
              <c:f>Histogram!$A$1</c:f>
              <c:strCache>
                <c:ptCount val="1"/>
                <c:pt idx="0">
                  <c:v>X</c:v>
                </c:pt>
              </c:strCache>
            </c:strRef>
          </c:tx>
          <c:spPr>
            <a:gradFill>
              <a:gsLst>
                <a:gs pos="0">
                  <a:srgbClr val="DDEBCF"/>
                </a:gs>
                <a:gs pos="50000">
                  <a:srgbClr val="9CB86E"/>
                </a:gs>
                <a:gs pos="100000">
                  <a:srgbClr val="156B13"/>
                </a:gs>
              </a:gsLst>
              <a:lin ang="5400000" scaled="0"/>
            </a:gradFill>
            <a:scene3d>
              <a:camera prst="orthographicFront"/>
              <a:lightRig rig="threePt" dir="t"/>
            </a:scene3d>
            <a:sp3d>
              <a:bevelT/>
            </a:sp3d>
          </c:spPr>
          <c:invertIfNegative val="0"/>
          <c:cat>
            <c:numRef>
              <c:f>Histogram!$A$2:$A$26</c:f>
              <c:numCache>
                <c:formatCode>0.00</c:formatCode>
                <c:ptCount val="25"/>
                <c:pt idx="0">
                  <c:v>15159.771619735304</c:v>
                </c:pt>
                <c:pt idx="1">
                  <c:v>15268.482743888286</c:v>
                </c:pt>
                <c:pt idx="2">
                  <c:v>15377.19386804127</c:v>
                </c:pt>
                <c:pt idx="3">
                  <c:v>15485.904992194251</c:v>
                </c:pt>
                <c:pt idx="4">
                  <c:v>15594.616116347233</c:v>
                </c:pt>
                <c:pt idx="5">
                  <c:v>15703.327240500215</c:v>
                </c:pt>
                <c:pt idx="6">
                  <c:v>15812.038364653199</c:v>
                </c:pt>
                <c:pt idx="7">
                  <c:v>15920.749488806181</c:v>
                </c:pt>
                <c:pt idx="8">
                  <c:v>16029.460612959163</c:v>
                </c:pt>
                <c:pt idx="9">
                  <c:v>16138.171737112145</c:v>
                </c:pt>
                <c:pt idx="10">
                  <c:v>16246.882861265129</c:v>
                </c:pt>
                <c:pt idx="11">
                  <c:v>16355.593985418111</c:v>
                </c:pt>
                <c:pt idx="12">
                  <c:v>16464.305109571094</c:v>
                </c:pt>
                <c:pt idx="13">
                  <c:v>16573.016233724076</c:v>
                </c:pt>
                <c:pt idx="14">
                  <c:v>16681.727357877058</c:v>
                </c:pt>
                <c:pt idx="15">
                  <c:v>16790.43848203004</c:v>
                </c:pt>
                <c:pt idx="16">
                  <c:v>16899.149606183022</c:v>
                </c:pt>
                <c:pt idx="17">
                  <c:v>17007.860730336004</c:v>
                </c:pt>
                <c:pt idx="18">
                  <c:v>17116.571854488986</c:v>
                </c:pt>
                <c:pt idx="19">
                  <c:v>17225.282978641968</c:v>
                </c:pt>
                <c:pt idx="20">
                  <c:v>17333.994102794954</c:v>
                </c:pt>
                <c:pt idx="21">
                  <c:v>17442.705226947935</c:v>
                </c:pt>
                <c:pt idx="22">
                  <c:v>17551.416351100917</c:v>
                </c:pt>
                <c:pt idx="23">
                  <c:v>17660.127475253899</c:v>
                </c:pt>
                <c:pt idx="24">
                  <c:v>17768.838599406881</c:v>
                </c:pt>
              </c:numCache>
            </c:numRef>
          </c:cat>
          <c: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val>
          <c:extLst>
            <c:ext xmlns:c16="http://schemas.microsoft.com/office/drawing/2014/chart" uri="{C3380CC4-5D6E-409C-BE32-E72D297353CC}">
              <c16:uniqueId val="{00000000-B00B-4C13-A976-D5519A4396C0}"/>
            </c:ext>
          </c:extLst>
        </c:ser>
        <c:dLbls>
          <c:showLegendKey val="0"/>
          <c:showVal val="0"/>
          <c:showCatName val="0"/>
          <c:showSerName val="0"/>
          <c:showPercent val="0"/>
          <c:showBubbleSize val="0"/>
        </c:dLbls>
        <c:gapWidth val="150"/>
        <c:axId val="1078881272"/>
        <c:axId val="1"/>
      </c:barChart>
      <c:scatterChart>
        <c:scatterStyle val="smoothMarker"/>
        <c:varyColors val="0"/>
        <c:ser>
          <c:idx val="1"/>
          <c:order val="1"/>
          <c:spPr>
            <a:ln w="38100">
              <a:solidFill>
                <a:srgbClr val="002060"/>
              </a:solidFill>
            </a:ln>
          </c:spPr>
          <c:marker>
            <c:symbol val="none"/>
          </c:marker>
          <c:xVal>
            <c:numRef>
              <c:f>Histogram!$O$64:$O$88</c:f>
              <c:numCache>
                <c:formatCode>General</c:formatCode>
                <c:ptCount val="20"/>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pt idx="16">
                  <c:v>11</c:v>
                </c:pt>
                <c:pt idx="17">
                  <c:v>11</c:v>
                </c:pt>
                <c:pt idx="18">
                  <c:v>11</c:v>
                </c:pt>
                <c:pt idx="19">
                  <c:v>11</c:v>
                </c:pt>
              </c:numCache>
            </c:numRef>
          </c:xVal>
          <c:y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yVal>
          <c:smooth val="1"/>
          <c:extLst>
            <c:ext xmlns:c16="http://schemas.microsoft.com/office/drawing/2014/chart" uri="{C3380CC4-5D6E-409C-BE32-E72D297353CC}">
              <c16:uniqueId val="{00000001-B00B-4C13-A976-D5519A4396C0}"/>
            </c:ext>
          </c:extLst>
        </c:ser>
        <c:ser>
          <c:idx val="2"/>
          <c:order val="2"/>
          <c:spPr>
            <a:ln w="38100" cmpd="sng">
              <a:solidFill>
                <a:srgbClr val="C00000"/>
              </a:solidFill>
            </a:ln>
          </c:spPr>
          <c:marker>
            <c:symbol val="none"/>
          </c:marker>
          <c:xVal>
            <c:numRef>
              <c:f>Histogram!$P$64:$P$88</c:f>
              <c:numCache>
                <c:formatCode>General</c:formatCode>
                <c:ptCount val="20"/>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numCache>
            </c:numRef>
          </c:xVal>
          <c:y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yVal>
          <c:smooth val="1"/>
          <c:extLst>
            <c:ext xmlns:c16="http://schemas.microsoft.com/office/drawing/2014/chart" uri="{C3380CC4-5D6E-409C-BE32-E72D297353CC}">
              <c16:uniqueId val="{00000002-B00B-4C13-A976-D5519A4396C0}"/>
            </c:ext>
          </c:extLst>
        </c:ser>
        <c:ser>
          <c:idx val="3"/>
          <c:order val="3"/>
          <c:marker>
            <c:symbol val="none"/>
          </c:marker>
          <c:yVal>
            <c:numRef>
              <c:f>Histogram!$B$2:$B$26</c:f>
              <c:numCache>
                <c:formatCode>General</c:formatCode>
                <c:ptCount val="25"/>
                <c:pt idx="0">
                  <c:v>2</c:v>
                </c:pt>
                <c:pt idx="1">
                  <c:v>11</c:v>
                </c:pt>
                <c:pt idx="2">
                  <c:v>25</c:v>
                </c:pt>
                <c:pt idx="3">
                  <c:v>54</c:v>
                </c:pt>
                <c:pt idx="4">
                  <c:v>97</c:v>
                </c:pt>
                <c:pt idx="5">
                  <c:v>181</c:v>
                </c:pt>
                <c:pt idx="6">
                  <c:v>322</c:v>
                </c:pt>
                <c:pt idx="7">
                  <c:v>456</c:v>
                </c:pt>
                <c:pt idx="8">
                  <c:v>693</c:v>
                </c:pt>
                <c:pt idx="9">
                  <c:v>884</c:v>
                </c:pt>
                <c:pt idx="10">
                  <c:v>1011</c:v>
                </c:pt>
                <c:pt idx="11">
                  <c:v>1097</c:v>
                </c:pt>
                <c:pt idx="12">
                  <c:v>1095</c:v>
                </c:pt>
                <c:pt idx="13">
                  <c:v>1075</c:v>
                </c:pt>
                <c:pt idx="14">
                  <c:v>912</c:v>
                </c:pt>
                <c:pt idx="15">
                  <c:v>658</c:v>
                </c:pt>
                <c:pt idx="16">
                  <c:v>561</c:v>
                </c:pt>
                <c:pt idx="17">
                  <c:v>343</c:v>
                </c:pt>
                <c:pt idx="18">
                  <c:v>260</c:v>
                </c:pt>
                <c:pt idx="19">
                  <c:v>134</c:v>
                </c:pt>
                <c:pt idx="20">
                  <c:v>69</c:v>
                </c:pt>
                <c:pt idx="21">
                  <c:v>43</c:v>
                </c:pt>
                <c:pt idx="22">
                  <c:v>9</c:v>
                </c:pt>
                <c:pt idx="23">
                  <c:v>5</c:v>
                </c:pt>
                <c:pt idx="24">
                  <c:v>3</c:v>
                </c:pt>
              </c:numCache>
            </c:numRef>
          </c:yVal>
          <c:smooth val="1"/>
          <c:extLst>
            <c:ext xmlns:c16="http://schemas.microsoft.com/office/drawing/2014/chart" uri="{C3380CC4-5D6E-409C-BE32-E72D297353CC}">
              <c16:uniqueId val="{00000003-B00B-4C13-A976-D5519A4396C0}"/>
            </c:ext>
          </c:extLst>
        </c:ser>
        <c:dLbls>
          <c:showLegendKey val="0"/>
          <c:showVal val="0"/>
          <c:showCatName val="0"/>
          <c:showSerName val="0"/>
          <c:showPercent val="0"/>
          <c:showBubbleSize val="0"/>
        </c:dLbls>
        <c:axId val="1078881272"/>
        <c:axId val="1"/>
      </c:scatterChart>
      <c:catAx>
        <c:axId val="1078881272"/>
        <c:scaling>
          <c:orientation val="minMax"/>
        </c:scaling>
        <c:delete val="0"/>
        <c:axPos val="b"/>
        <c:minorGridlines/>
        <c:numFmt formatCode="#,##0.00" sourceLinked="0"/>
        <c:majorTickMark val="out"/>
        <c:minorTickMark val="none"/>
        <c:tickLblPos val="nextTo"/>
        <c:txPr>
          <a:bodyPr rot="-5400000" vert="horz"/>
          <a:lstStyle/>
          <a:p>
            <a:pPr>
              <a:defRPr/>
            </a:pPr>
            <a:endParaRPr lang="es-CO"/>
          </a:p>
        </c:txPr>
        <c:crossAx val="1"/>
        <c:crosses val="autoZero"/>
        <c:auto val="1"/>
        <c:lblAlgn val="ctr"/>
        <c:lblOffset val="100"/>
        <c:noMultiLvlLbl val="0"/>
      </c:catAx>
      <c:valAx>
        <c:axId val="1"/>
        <c:scaling>
          <c:orientation val="minMax"/>
          <c:min val="0"/>
        </c:scaling>
        <c:delete val="0"/>
        <c:axPos val="l"/>
        <c:majorGridlines/>
        <c:minorGridlines/>
        <c:numFmt formatCode="General" sourceLinked="1"/>
        <c:majorTickMark val="out"/>
        <c:minorTickMark val="none"/>
        <c:tickLblPos val="nextTo"/>
        <c:crossAx val="1078881272"/>
        <c:crosses val="autoZero"/>
        <c:crossBetween val="between"/>
      </c:valAx>
      <c:spPr>
        <a:gradFill>
          <a:gsLst>
            <a:gs pos="0">
              <a:srgbClr val="FFEFD1"/>
            </a:gs>
            <a:gs pos="64999">
              <a:srgbClr val="F0EBD5"/>
            </a:gs>
            <a:gs pos="100000">
              <a:srgbClr val="D1C39F"/>
            </a:gs>
          </a:gsLst>
          <a:lin ang="5400000" scaled="0"/>
        </a:gradFill>
        <a:scene3d>
          <a:camera prst="orthographicFront"/>
          <a:lightRig rig="threePt" dir="t"/>
        </a:scene3d>
        <a:sp3d>
          <a:bevelT/>
        </a:sp3d>
      </c:spPr>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FCL Vs ROA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FCL!$A$28</c:f>
              <c:strCache>
                <c:ptCount val="1"/>
                <c:pt idx="0">
                  <c:v>Flujo de Caja Libre</c:v>
                </c:pt>
              </c:strCache>
            </c:strRef>
          </c:tx>
          <c:spPr>
            <a:solidFill>
              <a:schemeClr val="accent1"/>
            </a:solidFill>
            <a:ln>
              <a:noFill/>
            </a:ln>
            <a:effectLst/>
          </c:spPr>
          <c:invertIfNegative val="0"/>
          <c:dPt>
            <c:idx val="45"/>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C-014C-4DA0-B9F2-5AF4A620CBC3}"/>
              </c:ext>
            </c:extLst>
          </c:dPt>
          <c:dPt>
            <c:idx val="46"/>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18-014C-4DA0-B9F2-5AF4A620CBC3}"/>
              </c:ext>
            </c:extLst>
          </c:dPt>
          <c:dPt>
            <c:idx val="47"/>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E-014C-4DA0-B9F2-5AF4A620CBC3}"/>
              </c:ext>
            </c:extLst>
          </c:dPt>
          <c:dPt>
            <c:idx val="48"/>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D-014C-4DA0-B9F2-5AF4A620CBC3}"/>
              </c:ext>
            </c:extLst>
          </c:dPt>
          <c:dPt>
            <c:idx val="49"/>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F-014C-4DA0-B9F2-5AF4A620CBC3}"/>
              </c:ext>
            </c:extLst>
          </c:dPt>
          <c:dLbls>
            <c:dLbl>
              <c:idx val="43"/>
              <c:layout>
                <c:manualLayout>
                  <c:x val="0"/>
                  <c:y val="-9.2369648788048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4C-4DA0-B9F2-5AF4A620CBC3}"/>
                </c:ext>
              </c:extLst>
            </c:dLbl>
            <c:dLbl>
              <c:idx val="45"/>
              <c:layout>
                <c:manualLayout>
                  <c:x val="0"/>
                  <c:y val="-0.101606613666853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4C-4DA0-B9F2-5AF4A620CBC3}"/>
                </c:ext>
              </c:extLst>
            </c:dLbl>
            <c:dLbl>
              <c:idx val="47"/>
              <c:layout>
                <c:manualLayout>
                  <c:x val="-8.8607666467199933E-17"/>
                  <c:y val="-0.120080543424462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4C-4DA0-B9F2-5AF4A620CBC3}"/>
                </c:ext>
              </c:extLst>
            </c:dLbl>
            <c:dLbl>
              <c:idx val="49"/>
              <c:layout>
                <c:manualLayout>
                  <c:x val="0"/>
                  <c:y val="-7.389571903043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4C-4DA0-B9F2-5AF4A620CB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FCL!$B$3:$M$3</c15:sqref>
                  </c15:fullRef>
                </c:ext>
              </c:extLst>
              <c:f>FCL!$C$3:$M$3</c:f>
              <c:strCache>
                <c:ptCount val="7"/>
                <c:pt idx="1">
                  <c:v>2018</c:v>
                </c:pt>
                <c:pt idx="2">
                  <c:v>2019P</c:v>
                </c:pt>
                <c:pt idx="3">
                  <c:v>2020P</c:v>
                </c:pt>
                <c:pt idx="4">
                  <c:v>2021P</c:v>
                </c:pt>
                <c:pt idx="5">
                  <c:v>2022P</c:v>
                </c:pt>
                <c:pt idx="6">
                  <c:v>2023P</c:v>
                </c:pt>
              </c:strCache>
            </c:strRef>
          </c:cat>
          <c:val>
            <c:numRef>
              <c:extLst>
                <c:ext xmlns:c15="http://schemas.microsoft.com/office/drawing/2012/chart" uri="{02D57815-91ED-43cb-92C2-25804820EDAC}">
                  <c15:fullRef>
                    <c15:sqref>FCL!$B$28:$M$28</c15:sqref>
                  </c15:fullRef>
                </c:ext>
              </c:extLst>
              <c:f>FCL!$C$28:$M$28</c:f>
              <c:numCache>
                <c:formatCode>_("$"* #,##0.00_);_("$"* \(#,##0.00\);_("$"* "-"??_);_(@_)</c:formatCode>
                <c:ptCount val="7"/>
                <c:pt idx="1">
                  <c:v>202177.44157659865</c:v>
                </c:pt>
                <c:pt idx="2">
                  <c:v>131463.31860488164</c:v>
                </c:pt>
                <c:pt idx="3">
                  <c:v>152604.36763363599</c:v>
                </c:pt>
                <c:pt idx="4">
                  <c:v>167018.93463874809</c:v>
                </c:pt>
                <c:pt idx="5">
                  <c:v>175394.74428932249</c:v>
                </c:pt>
                <c:pt idx="6">
                  <c:v>184499.5016957015</c:v>
                </c:pt>
              </c:numCache>
            </c:numRef>
          </c:val>
          <c:extLst>
            <c:ext xmlns:c16="http://schemas.microsoft.com/office/drawing/2014/chart" uri="{C3380CC4-5D6E-409C-BE32-E72D297353CC}">
              <c16:uniqueId val="{00000000-014C-4DA0-B9F2-5AF4A620CBC3}"/>
            </c:ext>
          </c:extLst>
        </c:ser>
        <c:dLbls>
          <c:showLegendKey val="0"/>
          <c:showVal val="0"/>
          <c:showCatName val="0"/>
          <c:showSerName val="0"/>
          <c:showPercent val="0"/>
          <c:showBubbleSize val="0"/>
        </c:dLbls>
        <c:gapWidth val="219"/>
        <c:overlap val="-27"/>
        <c:axId val="532941952"/>
        <c:axId val="532932384"/>
      </c:barChart>
      <c:lineChart>
        <c:grouping val="standard"/>
        <c:varyColors val="0"/>
        <c:ser>
          <c:idx val="1"/>
          <c:order val="1"/>
          <c:tx>
            <c:strRef>
              <c:f>FCL!$A$43</c:f>
              <c:strCache>
                <c:ptCount val="1"/>
                <c:pt idx="0">
                  <c:v>ROA</c:v>
                </c:pt>
              </c:strCache>
            </c:strRef>
          </c:tx>
          <c:spPr>
            <a:ln w="28575" cap="rnd">
              <a:solidFill>
                <a:schemeClr val="accent2"/>
              </a:solidFill>
              <a:round/>
            </a:ln>
            <a:effectLst/>
          </c:spPr>
          <c:marker>
            <c:symbol val="none"/>
          </c:marker>
          <c:dPt>
            <c:idx val="46"/>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1-014C-4DA0-B9F2-5AF4A620CBC3}"/>
              </c:ext>
            </c:extLst>
          </c:dPt>
          <c:dPt>
            <c:idx val="4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9-014C-4DA0-B9F2-5AF4A620CBC3}"/>
              </c:ext>
            </c:extLst>
          </c:dPt>
          <c:dPt>
            <c:idx val="4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6-014C-4DA0-B9F2-5AF4A620CBC3}"/>
              </c:ext>
            </c:extLst>
          </c:dPt>
          <c:dPt>
            <c:idx val="4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2-014C-4DA0-B9F2-5AF4A620CBC3}"/>
              </c:ext>
            </c:extLst>
          </c:dPt>
          <c:dLbls>
            <c:dLbl>
              <c:idx val="4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4C-4DA0-B9F2-5AF4A620CBC3}"/>
                </c:ext>
              </c:extLst>
            </c:dLbl>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14C-4DA0-B9F2-5AF4A620CBC3}"/>
                </c:ext>
              </c:extLst>
            </c:dLbl>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4C-4DA0-B9F2-5AF4A620CBC3}"/>
                </c:ext>
              </c:extLst>
            </c:dLbl>
            <c:dLbl>
              <c:idx val="4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4C-4DA0-B9F2-5AF4A620CBC3}"/>
                </c:ext>
              </c:extLst>
            </c:dLbl>
            <c:dLbl>
              <c:idx val="4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4C-4DA0-B9F2-5AF4A620CBC3}"/>
                </c:ext>
              </c:extLst>
            </c:dLbl>
            <c:dLbl>
              <c:idx val="4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4C-4DA0-B9F2-5AF4A620CBC3}"/>
                </c:ext>
              </c:extLst>
            </c:dLbl>
            <c:dLbl>
              <c:idx val="49"/>
              <c:layout>
                <c:manualLayout>
                  <c:x val="-9.27185461001904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4C-4DA0-B9F2-5AF4A620CB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1</c:v>
              </c:pt>
              <c:pt idx="1">
                <c:v>2</c:v>
              </c:pt>
              <c:pt idx="2">
                <c:v>3</c:v>
              </c:pt>
              <c:pt idx="3">
                <c:v>4</c:v>
              </c:pt>
              <c:pt idx="4">
                <c:v>5</c:v>
              </c:pt>
              <c:pt idx="5">
                <c:v>6</c:v>
              </c:pt>
              <c:pt idx="6">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FCL!$B$43:$M$43</c15:sqref>
                  </c15:fullRef>
                </c:ext>
              </c:extLst>
              <c:f>FCL!$C$43:$M$43</c:f>
              <c:numCache>
                <c:formatCode>0.0%</c:formatCode>
                <c:ptCount val="7"/>
                <c:pt idx="1">
                  <c:v>2.0590718296360531E-2</c:v>
                </c:pt>
                <c:pt idx="2">
                  <c:v>2.0834967612740962E-2</c:v>
                </c:pt>
                <c:pt idx="3">
                  <c:v>2.7908228650404793E-2</c:v>
                </c:pt>
                <c:pt idx="4">
                  <c:v>3.3991590364784351E-2</c:v>
                </c:pt>
                <c:pt idx="5">
                  <c:v>3.8718943724376731E-2</c:v>
                </c:pt>
                <c:pt idx="6">
                  <c:v>4.1052724654920332E-2</c:v>
                </c:pt>
              </c:numCache>
            </c:numRef>
          </c:val>
          <c:smooth val="0"/>
          <c:extLst>
            <c:ext xmlns:c16="http://schemas.microsoft.com/office/drawing/2014/chart" uri="{C3380CC4-5D6E-409C-BE32-E72D297353CC}">
              <c16:uniqueId val="{00000001-014C-4DA0-B9F2-5AF4A620CBC3}"/>
            </c:ext>
          </c:extLst>
        </c:ser>
        <c:dLbls>
          <c:showLegendKey val="0"/>
          <c:showVal val="0"/>
          <c:showCatName val="0"/>
          <c:showSerName val="0"/>
          <c:showPercent val="0"/>
          <c:showBubbleSize val="0"/>
        </c:dLbls>
        <c:marker val="1"/>
        <c:smooth val="0"/>
        <c:axId val="532933216"/>
        <c:axId val="532940704"/>
      </c:lineChart>
      <c:catAx>
        <c:axId val="53294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932384"/>
        <c:crosses val="autoZero"/>
        <c:auto val="1"/>
        <c:lblAlgn val="ctr"/>
        <c:lblOffset val="100"/>
        <c:noMultiLvlLbl val="0"/>
      </c:catAx>
      <c:valAx>
        <c:axId val="532932384"/>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941952"/>
        <c:crosses val="autoZero"/>
        <c:crossBetween val="between"/>
      </c:valAx>
      <c:valAx>
        <c:axId val="532940704"/>
        <c:scaling>
          <c:orientation val="minMax"/>
        </c:scaling>
        <c:delete val="0"/>
        <c:axPos val="r"/>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933216"/>
        <c:crosses val="max"/>
        <c:crossBetween val="between"/>
      </c:valAx>
      <c:catAx>
        <c:axId val="532933216"/>
        <c:scaling>
          <c:orientation val="minMax"/>
        </c:scaling>
        <c:delete val="1"/>
        <c:axPos val="b"/>
        <c:numFmt formatCode="General" sourceLinked="1"/>
        <c:majorTickMark val="out"/>
        <c:minorTickMark val="none"/>
        <c:tickLblPos val="nextTo"/>
        <c:crossAx val="5329407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200" b="1" i="0" u="none" strike="noStrike" baseline="0">
                <a:solidFill>
                  <a:srgbClr val="000000"/>
                </a:solidFill>
                <a:latin typeface="Calibri"/>
                <a:ea typeface="Calibri"/>
                <a:cs typeface="Calibri"/>
              </a:defRPr>
            </a:pPr>
            <a:r>
              <a:rPr lang="es-CO"/>
              <a:t>PDF</a:t>
            </a:r>
          </a:p>
        </c:rich>
      </c:tx>
      <c:layout>
        <c:manualLayout>
          <c:xMode val="edge"/>
          <c:yMode val="edge"/>
          <c:x val="0.47902092643824928"/>
          <c:y val="2.4615741214166414E-2"/>
        </c:manualLayout>
      </c:layout>
      <c:overlay val="0"/>
    </c:title>
    <c:autoTitleDeleted val="0"/>
    <c:plotArea>
      <c:layout>
        <c:manualLayout>
          <c:layoutTarget val="inner"/>
          <c:xMode val="edge"/>
          <c:yMode val="edge"/>
          <c:x val="7.7526975794692324E-2"/>
          <c:y val="0.12405574303212098"/>
          <c:w val="0.88780005336212409"/>
          <c:h val="0.66834895638045244"/>
        </c:manualLayout>
      </c:layout>
      <c:barChart>
        <c:barDir val="col"/>
        <c:grouping val="clustered"/>
        <c:varyColors val="0"/>
        <c:ser>
          <c:idx val="1"/>
          <c:order val="0"/>
          <c:tx>
            <c:strRef>
              <c:f>'Resultado Simulación'!$B$3</c:f>
              <c:strCache>
                <c:ptCount val="1"/>
                <c:pt idx="0">
                  <c:v>Y</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'Resultado Simulación'!$A$4:$A$27</c:f>
              <c:numCache>
                <c:formatCode>0.00</c:formatCode>
                <c:ptCount val="24"/>
                <c:pt idx="0">
                  <c:v>7964.7386280024639</c:v>
                </c:pt>
                <c:pt idx="1">
                  <c:v>8221.6016955280356</c:v>
                </c:pt>
                <c:pt idx="2">
                  <c:v>8478.4647630536092</c:v>
                </c:pt>
                <c:pt idx="3">
                  <c:v>8735.327830579181</c:v>
                </c:pt>
                <c:pt idx="4">
                  <c:v>8992.1908981047545</c:v>
                </c:pt>
                <c:pt idx="5">
                  <c:v>9249.0539656303263</c:v>
                </c:pt>
                <c:pt idx="6">
                  <c:v>9505.9170331558998</c:v>
                </c:pt>
                <c:pt idx="7">
                  <c:v>9762.7801006814716</c:v>
                </c:pt>
                <c:pt idx="8">
                  <c:v>10019.643168207043</c:v>
                </c:pt>
                <c:pt idx="9">
                  <c:v>10276.506235732617</c:v>
                </c:pt>
                <c:pt idx="10">
                  <c:v>10533.369303258189</c:v>
                </c:pt>
                <c:pt idx="11">
                  <c:v>10790.232370783762</c:v>
                </c:pt>
                <c:pt idx="12">
                  <c:v>11047.095438309334</c:v>
                </c:pt>
                <c:pt idx="13">
                  <c:v>11303.958505834908</c:v>
                </c:pt>
                <c:pt idx="14">
                  <c:v>11560.821573360479</c:v>
                </c:pt>
                <c:pt idx="15">
                  <c:v>11817.684640886051</c:v>
                </c:pt>
                <c:pt idx="16">
                  <c:v>12074.547708411625</c:v>
                </c:pt>
                <c:pt idx="17">
                  <c:v>12331.410775937196</c:v>
                </c:pt>
                <c:pt idx="18">
                  <c:v>12588.27384346277</c:v>
                </c:pt>
                <c:pt idx="19">
                  <c:v>12845.136910988342</c:v>
                </c:pt>
                <c:pt idx="20">
                  <c:v>13101.999978513915</c:v>
                </c:pt>
                <c:pt idx="21">
                  <c:v>13358.863046039487</c:v>
                </c:pt>
                <c:pt idx="22">
                  <c:v>13615.726113565061</c:v>
                </c:pt>
                <c:pt idx="23">
                  <c:v>13872.589181090632</c:v>
                </c:pt>
              </c:numCache>
            </c:numRef>
          </c:cat>
          <c:val>
            <c:numRef>
              <c:f>'Resultado Simulación'!$B$4:$B$27</c:f>
              <c:numCache>
                <c:formatCode>General</c:formatCode>
                <c:ptCount val="24"/>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val>
          <c:extLst>
            <c:ext xmlns:c16="http://schemas.microsoft.com/office/drawing/2014/chart" uri="{C3380CC4-5D6E-409C-BE32-E72D297353CC}">
              <c16:uniqueId val="{00000000-A87E-4B86-9750-8A26C3E0C19F}"/>
            </c:ext>
          </c:extLst>
        </c:ser>
        <c:dLbls>
          <c:showLegendKey val="0"/>
          <c:showVal val="0"/>
          <c:showCatName val="0"/>
          <c:showSerName val="0"/>
          <c:showPercent val="0"/>
          <c:showBubbleSize val="0"/>
        </c:dLbls>
        <c:gapWidth val="73"/>
        <c:axId val="864652456"/>
        <c:axId val="1"/>
      </c:barChart>
      <c:catAx>
        <c:axId val="864652456"/>
        <c:scaling>
          <c:orientation val="minMax"/>
        </c:scaling>
        <c:delete val="0"/>
        <c:axPos val="b"/>
        <c:majorGridlines>
          <c:spPr>
            <a:ln>
              <a:prstDash val="dash"/>
            </a:ln>
          </c:spPr>
        </c:majorGridlines>
        <c:title>
          <c:tx>
            <c:rich>
              <a:bodyPr/>
              <a:lstStyle/>
              <a:p>
                <a:pPr>
                  <a:defRPr sz="1000" b="1" i="0" u="none" strike="noStrike" baseline="0">
                    <a:solidFill>
                      <a:srgbClr val="000000"/>
                    </a:solidFill>
                    <a:latin typeface="Calibri"/>
                    <a:ea typeface="Calibri"/>
                    <a:cs typeface="Calibri"/>
                  </a:defRPr>
                </a:pPr>
                <a:r>
                  <a:rPr lang="es-CO"/>
                  <a:t>X</a:t>
                </a:r>
              </a:p>
            </c:rich>
          </c:tx>
          <c:layout>
            <c:manualLayout>
              <c:xMode val="edge"/>
              <c:yMode val="edge"/>
              <c:x val="0.49463148187557637"/>
              <c:y val="0.91889559259637998"/>
            </c:manualLayout>
          </c:layout>
          <c:overlay val="0"/>
        </c:title>
        <c:numFmt formatCode="0.00"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majorGridlines>
          <c:spPr>
            <a:ln>
              <a:prstDash val="dash"/>
            </a:ln>
          </c:spPr>
        </c:majorGridlines>
        <c:title>
          <c:tx>
            <c:rich>
              <a:bodyPr/>
              <a:lstStyle/>
              <a:p>
                <a:pPr>
                  <a:defRPr sz="1000" b="1" i="0" u="none" strike="noStrike" baseline="0">
                    <a:solidFill>
                      <a:srgbClr val="000000"/>
                    </a:solidFill>
                    <a:latin typeface="Calibri"/>
                    <a:ea typeface="Calibri"/>
                    <a:cs typeface="Calibri"/>
                  </a:defRPr>
                </a:pPr>
                <a:r>
                  <a:rPr lang="es-CO"/>
                  <a:t>F(x)</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86465245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scene3d>
          <a:camera prst="orthographicFront"/>
          <a:lightRig rig="threePt" dir="t"/>
        </a:scene3d>
        <a:sp3d>
          <a:bevelT/>
        </a:sp3d>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200" b="1" i="0" u="none" strike="noStrike" baseline="0">
                <a:solidFill>
                  <a:srgbClr val="000000"/>
                </a:solidFill>
                <a:latin typeface="Calibri"/>
                <a:ea typeface="Calibri"/>
                <a:cs typeface="Calibri"/>
              </a:defRPr>
            </a:pPr>
            <a:r>
              <a:rPr lang="es-CO"/>
              <a:t>PDF</a:t>
            </a:r>
          </a:p>
        </c:rich>
      </c:tx>
      <c:layout>
        <c:manualLayout>
          <c:xMode val="edge"/>
          <c:yMode val="edge"/>
          <c:x val="0.4772191246364475"/>
          <c:y val="3.1745898072901318E-2"/>
        </c:manualLayout>
      </c:layout>
      <c:overlay val="0"/>
    </c:title>
    <c:autoTitleDeleted val="0"/>
    <c:plotArea>
      <c:layout>
        <c:manualLayout>
          <c:layoutTarget val="inner"/>
          <c:xMode val="edge"/>
          <c:yMode val="edge"/>
          <c:x val="7.7526975794692324E-2"/>
          <c:y val="0.12405574303212098"/>
          <c:w val="0.88780005336212409"/>
          <c:h val="0.66834895638045244"/>
        </c:manualLayout>
      </c:layout>
      <c:barChart>
        <c:barDir val="col"/>
        <c:grouping val="clustered"/>
        <c:varyColors val="0"/>
        <c:ser>
          <c:idx val="1"/>
          <c:order val="0"/>
          <c:tx>
            <c:strRef>
              <c:f>'Resultado Simulación'!$B$3</c:f>
              <c:strCache>
                <c:ptCount val="1"/>
                <c:pt idx="0">
                  <c:v>Y</c:v>
                </c:pt>
              </c:strCache>
            </c:strRef>
          </c:tx>
          <c:invertIfNegative val="0"/>
          <c:cat>
            <c:numRef>
              <c:f>'Resultado Simulación'!$A$4:$A$27</c:f>
              <c:numCache>
                <c:formatCode>0.00</c:formatCode>
                <c:ptCount val="24"/>
                <c:pt idx="0">
                  <c:v>7964.7386280024639</c:v>
                </c:pt>
                <c:pt idx="1">
                  <c:v>8221.6016955280356</c:v>
                </c:pt>
                <c:pt idx="2">
                  <c:v>8478.4647630536092</c:v>
                </c:pt>
                <c:pt idx="3">
                  <c:v>8735.327830579181</c:v>
                </c:pt>
                <c:pt idx="4">
                  <c:v>8992.1908981047545</c:v>
                </c:pt>
                <c:pt idx="5">
                  <c:v>9249.0539656303263</c:v>
                </c:pt>
                <c:pt idx="6">
                  <c:v>9505.9170331558998</c:v>
                </c:pt>
                <c:pt idx="7">
                  <c:v>9762.7801006814716</c:v>
                </c:pt>
                <c:pt idx="8">
                  <c:v>10019.643168207043</c:v>
                </c:pt>
                <c:pt idx="9">
                  <c:v>10276.506235732617</c:v>
                </c:pt>
                <c:pt idx="10">
                  <c:v>10533.369303258189</c:v>
                </c:pt>
                <c:pt idx="11">
                  <c:v>10790.232370783762</c:v>
                </c:pt>
                <c:pt idx="12">
                  <c:v>11047.095438309334</c:v>
                </c:pt>
                <c:pt idx="13">
                  <c:v>11303.958505834908</c:v>
                </c:pt>
                <c:pt idx="14">
                  <c:v>11560.821573360479</c:v>
                </c:pt>
                <c:pt idx="15">
                  <c:v>11817.684640886051</c:v>
                </c:pt>
                <c:pt idx="16">
                  <c:v>12074.547708411625</c:v>
                </c:pt>
                <c:pt idx="17">
                  <c:v>12331.410775937196</c:v>
                </c:pt>
                <c:pt idx="18">
                  <c:v>12588.27384346277</c:v>
                </c:pt>
                <c:pt idx="19">
                  <c:v>12845.136910988342</c:v>
                </c:pt>
                <c:pt idx="20">
                  <c:v>13101.999978513915</c:v>
                </c:pt>
                <c:pt idx="21">
                  <c:v>13358.863046039487</c:v>
                </c:pt>
                <c:pt idx="22">
                  <c:v>13615.726113565061</c:v>
                </c:pt>
                <c:pt idx="23">
                  <c:v>13872.589181090632</c:v>
                </c:pt>
              </c:numCache>
            </c:numRef>
          </c:cat>
          <c:val>
            <c:numRef>
              <c:f>'Resultado Simulación'!$B$4:$B$27</c:f>
              <c:numCache>
                <c:formatCode>General</c:formatCode>
                <c:ptCount val="24"/>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val>
          <c:extLst>
            <c:ext xmlns:c16="http://schemas.microsoft.com/office/drawing/2014/chart" uri="{C3380CC4-5D6E-409C-BE32-E72D297353CC}">
              <c16:uniqueId val="{00000000-3432-4F46-A51F-600069B7F9BF}"/>
            </c:ext>
          </c:extLst>
        </c:ser>
        <c:dLbls>
          <c:showLegendKey val="0"/>
          <c:showVal val="0"/>
          <c:showCatName val="0"/>
          <c:showSerName val="0"/>
          <c:showPercent val="0"/>
          <c:showBubbleSize val="0"/>
        </c:dLbls>
        <c:gapWidth val="73"/>
        <c:axId val="864654096"/>
        <c:axId val="1"/>
      </c:barChart>
      <c:lineChart>
        <c:grouping val="standard"/>
        <c:varyColors val="0"/>
        <c:ser>
          <c:idx val="2"/>
          <c:order val="1"/>
          <c:spPr>
            <a:ln w="44450">
              <a:solidFill>
                <a:srgbClr val="7030A0"/>
              </a:solidFill>
              <a:prstDash val="sysDot"/>
            </a:ln>
          </c:spPr>
          <c:marker>
            <c:symbol val="none"/>
          </c:marker>
          <c:cat>
            <c:numRef>
              <c:f>'Resultado Simulación'!$A$4:$A$28</c:f>
              <c:numCache>
                <c:formatCode>0.00</c:formatCode>
                <c:ptCount val="25"/>
                <c:pt idx="0">
                  <c:v>7964.7386280024639</c:v>
                </c:pt>
                <c:pt idx="1">
                  <c:v>8221.6016955280356</c:v>
                </c:pt>
                <c:pt idx="2">
                  <c:v>8478.4647630536092</c:v>
                </c:pt>
                <c:pt idx="3">
                  <c:v>8735.327830579181</c:v>
                </c:pt>
                <c:pt idx="4">
                  <c:v>8992.1908981047545</c:v>
                </c:pt>
                <c:pt idx="5">
                  <c:v>9249.0539656303263</c:v>
                </c:pt>
                <c:pt idx="6">
                  <c:v>9505.9170331558998</c:v>
                </c:pt>
                <c:pt idx="7">
                  <c:v>9762.7801006814716</c:v>
                </c:pt>
                <c:pt idx="8">
                  <c:v>10019.643168207043</c:v>
                </c:pt>
                <c:pt idx="9">
                  <c:v>10276.506235732617</c:v>
                </c:pt>
                <c:pt idx="10">
                  <c:v>10533.369303258189</c:v>
                </c:pt>
                <c:pt idx="11">
                  <c:v>10790.232370783762</c:v>
                </c:pt>
                <c:pt idx="12">
                  <c:v>11047.095438309334</c:v>
                </c:pt>
                <c:pt idx="13">
                  <c:v>11303.958505834908</c:v>
                </c:pt>
                <c:pt idx="14">
                  <c:v>11560.821573360479</c:v>
                </c:pt>
                <c:pt idx="15">
                  <c:v>11817.684640886051</c:v>
                </c:pt>
                <c:pt idx="16">
                  <c:v>12074.547708411625</c:v>
                </c:pt>
                <c:pt idx="17">
                  <c:v>12331.410775937196</c:v>
                </c:pt>
                <c:pt idx="18">
                  <c:v>12588.27384346277</c:v>
                </c:pt>
                <c:pt idx="19">
                  <c:v>12845.136910988342</c:v>
                </c:pt>
                <c:pt idx="20">
                  <c:v>13101.999978513915</c:v>
                </c:pt>
                <c:pt idx="21">
                  <c:v>13358.863046039487</c:v>
                </c:pt>
                <c:pt idx="22">
                  <c:v>13615.726113565061</c:v>
                </c:pt>
                <c:pt idx="23">
                  <c:v>13872.589181090632</c:v>
                </c:pt>
              </c:numCache>
            </c:numRef>
          </c:cat>
          <c:val>
            <c:numRef>
              <c:f>'Resultado Simulación'!$B$4:$B$27</c:f>
              <c:numCache>
                <c:formatCode>General</c:formatCode>
                <c:ptCount val="24"/>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val>
          <c:smooth val="0"/>
          <c:extLst>
            <c:ext xmlns:c16="http://schemas.microsoft.com/office/drawing/2014/chart" uri="{C3380CC4-5D6E-409C-BE32-E72D297353CC}">
              <c16:uniqueId val="{00000001-3432-4F46-A51F-600069B7F9BF}"/>
            </c:ext>
          </c:extLst>
        </c:ser>
        <c:dLbls>
          <c:showLegendKey val="0"/>
          <c:showVal val="0"/>
          <c:showCatName val="0"/>
          <c:showSerName val="0"/>
          <c:showPercent val="0"/>
          <c:showBubbleSize val="0"/>
        </c:dLbls>
        <c:marker val="1"/>
        <c:smooth val="0"/>
        <c:axId val="864654096"/>
        <c:axId val="1"/>
      </c:lineChart>
      <c:catAx>
        <c:axId val="864654096"/>
        <c:scaling>
          <c:orientation val="minMax"/>
        </c:scaling>
        <c:delete val="0"/>
        <c:axPos val="b"/>
        <c:majorGridlines>
          <c:spPr>
            <a:ln>
              <a:prstDash val="dash"/>
            </a:ln>
          </c:spPr>
        </c:majorGridlines>
        <c:title>
          <c:tx>
            <c:rich>
              <a:bodyPr/>
              <a:lstStyle/>
              <a:p>
                <a:pPr>
                  <a:defRPr sz="1000" b="1" i="0" u="none" strike="noStrike" baseline="0">
                    <a:solidFill>
                      <a:srgbClr val="000000"/>
                    </a:solidFill>
                    <a:latin typeface="Calibri"/>
                    <a:ea typeface="Calibri"/>
                    <a:cs typeface="Calibri"/>
                  </a:defRPr>
                </a:pPr>
                <a:r>
                  <a:rPr lang="es-CO"/>
                  <a:t>X</a:t>
                </a:r>
              </a:p>
            </c:rich>
          </c:tx>
          <c:layout>
            <c:manualLayout>
              <c:xMode val="edge"/>
              <c:yMode val="edge"/>
              <c:x val="0.50183868908278362"/>
              <c:y val="0.9188956728002583"/>
            </c:manualLayout>
          </c:layout>
          <c:overlay val="0"/>
        </c:title>
        <c:numFmt formatCode="0.00"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majorGridlines>
          <c:spPr>
            <a:ln>
              <a:prstDash val="dash"/>
            </a:ln>
          </c:spPr>
        </c:majorGridlines>
        <c:title>
          <c:tx>
            <c:rich>
              <a:bodyPr/>
              <a:lstStyle/>
              <a:p>
                <a:pPr>
                  <a:defRPr sz="1000" b="1" i="0" u="none" strike="noStrike" baseline="0">
                    <a:solidFill>
                      <a:srgbClr val="000000"/>
                    </a:solidFill>
                    <a:latin typeface="Calibri"/>
                    <a:ea typeface="Calibri"/>
                    <a:cs typeface="Calibri"/>
                  </a:defRPr>
                </a:pPr>
                <a:r>
                  <a:rPr lang="es-CO"/>
                  <a:t>F(X)</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864654096"/>
        <c:crosses val="autoZero"/>
        <c:crossBetween val="between"/>
      </c:valAx>
      <c:spPr>
        <a:solidFill>
          <a:schemeClr val="accent3">
            <a:lumMod val="40000"/>
            <a:lumOff val="60000"/>
            <a:alpha val="74000"/>
          </a:schemeClr>
        </a:solidFill>
        <a:scene3d>
          <a:camera prst="orthographicFront"/>
          <a:lightRig rig="threePt" dir="t"/>
        </a:scene3d>
        <a:sp3d>
          <a:bevelT/>
        </a:sp3d>
      </c:spPr>
    </c:plotArea>
    <c:plotVisOnly val="0"/>
    <c:dispBlanksAs val="gap"/>
    <c:showDLblsOverMax val="0"/>
  </c:chart>
  <c:spPr>
    <a:ln>
      <a:noFill/>
    </a:ln>
    <a:scene3d>
      <a:camera prst="orthographicFront"/>
      <a:lightRig rig="threePt" dir="t"/>
    </a:scene3d>
    <a:sp3d/>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O" sz="1200" b="1" i="0" u="none" strike="noStrike" baseline="0">
                <a:solidFill>
                  <a:srgbClr val="000000"/>
                </a:solidFill>
                <a:latin typeface="Calibri"/>
                <a:cs typeface="Calibri"/>
              </a:rPr>
              <a:t>CDF (S</a:t>
            </a:r>
            <a:r>
              <a:rPr lang="es-CO" sz="1400" b="1" i="0" u="none" strike="noStrike" baseline="0">
                <a:solidFill>
                  <a:srgbClr val="000000"/>
                </a:solidFill>
                <a:latin typeface="Calibri"/>
                <a:cs typeface="Calibri"/>
              </a:rPr>
              <a:t>)</a:t>
            </a:r>
          </a:p>
        </c:rich>
      </c:tx>
      <c:layout>
        <c:manualLayout>
          <c:xMode val="edge"/>
          <c:yMode val="edge"/>
          <c:x val="0.46580063148398743"/>
          <c:y val="9.5465393794749408E-3"/>
        </c:manualLayout>
      </c:layout>
      <c:overlay val="1"/>
    </c:title>
    <c:autoTitleDeleted val="0"/>
    <c:plotArea>
      <c:layout>
        <c:manualLayout>
          <c:layoutTarget val="inner"/>
          <c:xMode val="edge"/>
          <c:yMode val="edge"/>
          <c:x val="0.10706516218625581"/>
          <c:y val="8.3062931504940901E-2"/>
          <c:w val="0.83531195948273718"/>
          <c:h val="0.7824686404872595"/>
        </c:manualLayout>
      </c:layout>
      <c:scatterChart>
        <c:scatterStyle val="smoothMarker"/>
        <c:varyColors val="0"/>
        <c:ser>
          <c:idx val="0"/>
          <c:order val="0"/>
          <c:spPr>
            <a:ln w="38100" cap="flat" cmpd="sng" algn="ctr">
              <a:solidFill>
                <a:schemeClr val="lt1"/>
              </a:solidFill>
              <a:prstDash val="solid"/>
            </a:ln>
            <a:effectLst>
              <a:outerShdw blurRad="40000" dist="20000" dir="5400000" rotWithShape="0">
                <a:srgbClr val="000000">
                  <a:alpha val="38000"/>
                </a:srgbClr>
              </a:outerShdw>
            </a:effectLst>
          </c:spPr>
          <c:marker>
            <c:symbol val="none"/>
          </c:marker>
          <c:xVal>
            <c:numRef>
              <c:f>'Resultado Simulación'!$P$20:$P$33</c:f>
              <c:numCache>
                <c:formatCode>0.0000</c:formatCode>
                <c:ptCount val="14"/>
                <c:pt idx="0">
                  <c:v>7707.8755604768912</c:v>
                </c:pt>
                <c:pt idx="1">
                  <c:v>8682.3131354698926</c:v>
                </c:pt>
                <c:pt idx="2">
                  <c:v>8947.8784626661109</c:v>
                </c:pt>
                <c:pt idx="3">
                  <c:v>9309.2970078246308</c:v>
                </c:pt>
                <c:pt idx="4">
                  <c:v>9597.5442844670742</c:v>
                </c:pt>
                <c:pt idx="5">
                  <c:v>9872.9352569246712</c:v>
                </c:pt>
                <c:pt idx="6">
                  <c:v>10154.379686124446</c:v>
                </c:pt>
                <c:pt idx="7">
                  <c:v>10455.410209212327</c:v>
                </c:pt>
                <c:pt idx="8">
                  <c:v>10779.288755762233</c:v>
                </c:pt>
                <c:pt idx="9">
                  <c:v>11191.80162912601</c:v>
                </c:pt>
                <c:pt idx="10">
                  <c:v>11736.076408317776</c:v>
                </c:pt>
                <c:pt idx="11">
                  <c:v>12153.906755726797</c:v>
                </c:pt>
                <c:pt idx="12">
                  <c:v>12882.362715753059</c:v>
                </c:pt>
                <c:pt idx="13">
                  <c:v>13872.589181090632</c:v>
                </c:pt>
              </c:numCache>
            </c:numRef>
          </c:xVal>
          <c:yVal>
            <c:numRef>
              <c:f>'Resultado Simulación'!$O$20:$O$33</c:f>
              <c:numCache>
                <c:formatCode>0%</c:formatCode>
                <c:ptCount val="14"/>
                <c:pt idx="0">
                  <c:v>0</c:v>
                </c:pt>
                <c:pt idx="1">
                  <c:v>0.05</c:v>
                </c:pt>
                <c:pt idx="2">
                  <c:v>0.1</c:v>
                </c:pt>
                <c:pt idx="3">
                  <c:v>0.2</c:v>
                </c:pt>
                <c:pt idx="4">
                  <c:v>0.3</c:v>
                </c:pt>
                <c:pt idx="5">
                  <c:v>0.4</c:v>
                </c:pt>
                <c:pt idx="6">
                  <c:v>0.5</c:v>
                </c:pt>
                <c:pt idx="7">
                  <c:v>0.6</c:v>
                </c:pt>
                <c:pt idx="8">
                  <c:v>0.7</c:v>
                </c:pt>
                <c:pt idx="9">
                  <c:v>0.8</c:v>
                </c:pt>
                <c:pt idx="10">
                  <c:v>0.9</c:v>
                </c:pt>
                <c:pt idx="11">
                  <c:v>0.95</c:v>
                </c:pt>
                <c:pt idx="12">
                  <c:v>0.99</c:v>
                </c:pt>
                <c:pt idx="13">
                  <c:v>1</c:v>
                </c:pt>
              </c:numCache>
            </c:numRef>
          </c:yVal>
          <c:smooth val="1"/>
          <c:extLst>
            <c:ext xmlns:c16="http://schemas.microsoft.com/office/drawing/2014/chart" uri="{C3380CC4-5D6E-409C-BE32-E72D297353CC}">
              <c16:uniqueId val="{00000000-B8A9-441E-885B-CF88491FE53A}"/>
            </c:ext>
          </c:extLst>
        </c:ser>
        <c:dLbls>
          <c:showLegendKey val="0"/>
          <c:showVal val="0"/>
          <c:showCatName val="0"/>
          <c:showSerName val="0"/>
          <c:showPercent val="0"/>
          <c:showBubbleSize val="0"/>
        </c:dLbls>
        <c:axId val="864666560"/>
        <c:axId val="1"/>
      </c:scatterChart>
      <c:valAx>
        <c:axId val="864666560"/>
        <c:scaling>
          <c:orientation val="minMax"/>
          <c:max val="13872.589181090632"/>
          <c:min val="7707.8755604768912"/>
        </c:scaling>
        <c:delete val="0"/>
        <c:axPos val="b"/>
        <c:minorGridlines>
          <c:spPr>
            <a:ln>
              <a:prstDash val="dash"/>
            </a:ln>
          </c:spPr>
        </c:minorGridlines>
        <c:title>
          <c:tx>
            <c:rich>
              <a:bodyPr/>
              <a:lstStyle/>
              <a:p>
                <a:pPr>
                  <a:defRPr sz="1000" b="1" i="0" u="none" strike="noStrike" baseline="0">
                    <a:solidFill>
                      <a:srgbClr val="000000"/>
                    </a:solidFill>
                    <a:latin typeface="Calibri"/>
                    <a:ea typeface="Calibri"/>
                    <a:cs typeface="Calibri"/>
                  </a:defRPr>
                </a:pPr>
                <a:r>
                  <a:rPr lang="es-CO"/>
                  <a:t>X</a:t>
                </a:r>
              </a:p>
            </c:rich>
          </c:tx>
          <c:overlay val="0"/>
        </c:title>
        <c:numFmt formatCode="0.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crossBetween val="midCat"/>
      </c:valAx>
      <c:valAx>
        <c:axId val="1"/>
        <c:scaling>
          <c:orientation val="minMax"/>
          <c:max val="1"/>
          <c:min val="0"/>
        </c:scaling>
        <c:delete val="0"/>
        <c:axPos val="l"/>
        <c:majorGridlines>
          <c:spPr>
            <a:ln>
              <a:prstDash val="dash"/>
            </a:ln>
          </c:spPr>
        </c:majorGridlines>
        <c:title>
          <c:tx>
            <c:rich>
              <a:bodyPr/>
              <a:lstStyle/>
              <a:p>
                <a:pPr>
                  <a:defRPr sz="1000" b="1" i="0" u="none" strike="noStrike" baseline="0">
                    <a:solidFill>
                      <a:srgbClr val="000000"/>
                    </a:solidFill>
                    <a:latin typeface="Calibri"/>
                    <a:ea typeface="Calibri"/>
                    <a:cs typeface="Calibri"/>
                  </a:defRPr>
                </a:pPr>
                <a:r>
                  <a:rPr lang="es-CO"/>
                  <a:t>P(X)</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864666560"/>
        <c:crosses val="autoZero"/>
        <c:crossBetween val="midCat"/>
      </c:valAx>
      <c:spPr>
        <a:gradFill>
          <a:gsLst>
            <a:gs pos="0">
              <a:srgbClr val="FFEFD1"/>
            </a:gs>
            <a:gs pos="64999">
              <a:srgbClr val="F0EBD5"/>
            </a:gs>
            <a:gs pos="100000">
              <a:srgbClr val="D1C39F"/>
            </a:gs>
          </a:gsLst>
          <a:lin ang="5400000" scaled="0"/>
        </a:gradFill>
        <a:scene3d>
          <a:camera prst="orthographicFront"/>
          <a:lightRig rig="threePt" dir="t"/>
        </a:scene3d>
        <a:sp3d>
          <a:bevelT/>
        </a:sp3d>
      </c:spPr>
    </c:plotArea>
    <c:plotVisOnly val="1"/>
    <c:dispBlanksAs val="gap"/>
    <c:showDLblsOverMax val="0"/>
  </c:chart>
  <c:spPr>
    <a:ln>
      <a:noFill/>
      <a:prstDash val="dash"/>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5.8404558404558403E-2"/>
          <c:y val="4.142011834319527E-2"/>
          <c:w val="0.92022792022792022"/>
          <c:h val="0.79289940828402372"/>
        </c:manualLayout>
      </c:layout>
      <c:barChart>
        <c:barDir val="col"/>
        <c:grouping val="clustered"/>
        <c:varyColors val="0"/>
        <c:ser>
          <c:idx val="0"/>
          <c:order val="0"/>
          <c:tx>
            <c:strRef>
              <c:f>'Resultado Simulación'!$A$3</c:f>
              <c:strCache>
                <c:ptCount val="1"/>
                <c:pt idx="0">
                  <c:v>X</c:v>
                </c:pt>
              </c:strCache>
            </c:strRef>
          </c:tx>
          <c:spPr>
            <a:gradFill>
              <a:gsLst>
                <a:gs pos="0">
                  <a:srgbClr val="DDEBCF"/>
                </a:gs>
                <a:gs pos="50000">
                  <a:srgbClr val="9CB86E"/>
                </a:gs>
                <a:gs pos="100000">
                  <a:srgbClr val="156B13"/>
                </a:gs>
              </a:gsLst>
              <a:lin ang="5400000" scaled="0"/>
            </a:gradFill>
            <a:scene3d>
              <a:camera prst="orthographicFront"/>
              <a:lightRig rig="threePt" dir="t"/>
            </a:scene3d>
            <a:sp3d>
              <a:bevelT/>
            </a:sp3d>
          </c:spPr>
          <c:invertIfNegative val="0"/>
          <c:cat>
            <c:numRef>
              <c:f>'Resultado Simulación'!$A$4:$A$27</c:f>
              <c:numCache>
                <c:formatCode>0.00</c:formatCode>
                <c:ptCount val="24"/>
                <c:pt idx="0">
                  <c:v>7964.7386280024639</c:v>
                </c:pt>
                <c:pt idx="1">
                  <c:v>8221.6016955280356</c:v>
                </c:pt>
                <c:pt idx="2">
                  <c:v>8478.4647630536092</c:v>
                </c:pt>
                <c:pt idx="3">
                  <c:v>8735.327830579181</c:v>
                </c:pt>
                <c:pt idx="4">
                  <c:v>8992.1908981047545</c:v>
                </c:pt>
                <c:pt idx="5">
                  <c:v>9249.0539656303263</c:v>
                </c:pt>
                <c:pt idx="6">
                  <c:v>9505.9170331558998</c:v>
                </c:pt>
                <c:pt idx="7">
                  <c:v>9762.7801006814716</c:v>
                </c:pt>
                <c:pt idx="8">
                  <c:v>10019.643168207043</c:v>
                </c:pt>
                <c:pt idx="9">
                  <c:v>10276.506235732617</c:v>
                </c:pt>
                <c:pt idx="10">
                  <c:v>10533.369303258189</c:v>
                </c:pt>
                <c:pt idx="11">
                  <c:v>10790.232370783762</c:v>
                </c:pt>
                <c:pt idx="12">
                  <c:v>11047.095438309334</c:v>
                </c:pt>
                <c:pt idx="13">
                  <c:v>11303.958505834908</c:v>
                </c:pt>
                <c:pt idx="14">
                  <c:v>11560.821573360479</c:v>
                </c:pt>
                <c:pt idx="15">
                  <c:v>11817.684640886051</c:v>
                </c:pt>
                <c:pt idx="16">
                  <c:v>12074.547708411625</c:v>
                </c:pt>
                <c:pt idx="17">
                  <c:v>12331.410775937196</c:v>
                </c:pt>
                <c:pt idx="18">
                  <c:v>12588.27384346277</c:v>
                </c:pt>
                <c:pt idx="19">
                  <c:v>12845.136910988342</c:v>
                </c:pt>
                <c:pt idx="20">
                  <c:v>13101.999978513915</c:v>
                </c:pt>
                <c:pt idx="21">
                  <c:v>13358.863046039487</c:v>
                </c:pt>
                <c:pt idx="22">
                  <c:v>13615.726113565061</c:v>
                </c:pt>
                <c:pt idx="23">
                  <c:v>13872.589181090632</c:v>
                </c:pt>
              </c:numCache>
            </c:numRef>
          </c:cat>
          <c:val>
            <c:numRef>
              <c:f>'Resultado Simulación'!$B$4:$B$27</c:f>
              <c:numCache>
                <c:formatCode>General</c:formatCode>
                <c:ptCount val="24"/>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val>
          <c:extLst>
            <c:ext xmlns:c16="http://schemas.microsoft.com/office/drawing/2014/chart" uri="{C3380CC4-5D6E-409C-BE32-E72D297353CC}">
              <c16:uniqueId val="{00000000-D43F-45E0-9A62-E58D1F65F91B}"/>
            </c:ext>
          </c:extLst>
        </c:ser>
        <c:dLbls>
          <c:showLegendKey val="0"/>
          <c:showVal val="0"/>
          <c:showCatName val="0"/>
          <c:showSerName val="0"/>
          <c:showPercent val="0"/>
          <c:showBubbleSize val="0"/>
        </c:dLbls>
        <c:gapWidth val="150"/>
        <c:axId val="864660656"/>
        <c:axId val="1"/>
      </c:barChart>
      <c:scatterChart>
        <c:scatterStyle val="smoothMarker"/>
        <c:varyColors val="0"/>
        <c:ser>
          <c:idx val="1"/>
          <c:order val="1"/>
          <c:spPr>
            <a:ln w="38100">
              <a:solidFill>
                <a:srgbClr val="002060"/>
              </a:solidFill>
            </a:ln>
          </c:spPr>
          <c:marker>
            <c:symbol val="none"/>
          </c:marker>
          <c:xVal>
            <c:numRef>
              <c:f>'Resultado Simulación'!$O$66:$O$90</c:f>
              <c:numCache>
                <c:formatCode>General</c:formatCode>
                <c:ptCount val="20"/>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pt idx="16">
                  <c:v>11</c:v>
                </c:pt>
                <c:pt idx="17">
                  <c:v>11</c:v>
                </c:pt>
                <c:pt idx="18">
                  <c:v>11</c:v>
                </c:pt>
                <c:pt idx="19">
                  <c:v>11</c:v>
                </c:pt>
              </c:numCache>
            </c:numRef>
          </c:xVal>
          <c:yVal>
            <c:numRef>
              <c:f>'Resultado Simulación'!$B$4:$B$28</c:f>
              <c:numCache>
                <c:formatCode>General</c:formatCode>
                <c:ptCount val="25"/>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yVal>
          <c:smooth val="1"/>
          <c:extLst>
            <c:ext xmlns:c16="http://schemas.microsoft.com/office/drawing/2014/chart" uri="{C3380CC4-5D6E-409C-BE32-E72D297353CC}">
              <c16:uniqueId val="{00000001-D43F-45E0-9A62-E58D1F65F91B}"/>
            </c:ext>
          </c:extLst>
        </c:ser>
        <c:ser>
          <c:idx val="2"/>
          <c:order val="2"/>
          <c:spPr>
            <a:ln w="38100" cmpd="sng">
              <a:solidFill>
                <a:srgbClr val="C00000"/>
              </a:solidFill>
            </a:ln>
          </c:spPr>
          <c:marker>
            <c:symbol val="none"/>
          </c:marker>
          <c:xVal>
            <c:numRef>
              <c:f>'Resultado Simulación'!$P$66:$P$90</c:f>
              <c:numCache>
                <c:formatCode>General</c:formatCode>
                <c:ptCount val="20"/>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numCache>
            </c:numRef>
          </c:xVal>
          <c:yVal>
            <c:numRef>
              <c:f>'Resultado Simulación'!$B$4:$B$28</c:f>
              <c:numCache>
                <c:formatCode>General</c:formatCode>
                <c:ptCount val="25"/>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yVal>
          <c:smooth val="1"/>
          <c:extLst>
            <c:ext xmlns:c16="http://schemas.microsoft.com/office/drawing/2014/chart" uri="{C3380CC4-5D6E-409C-BE32-E72D297353CC}">
              <c16:uniqueId val="{00000002-D43F-45E0-9A62-E58D1F65F91B}"/>
            </c:ext>
          </c:extLst>
        </c:ser>
        <c:ser>
          <c:idx val="3"/>
          <c:order val="3"/>
          <c:marker>
            <c:symbol val="none"/>
          </c:marker>
          <c:yVal>
            <c:numRef>
              <c:f>'Resultado Simulación'!$B$4:$B$28</c:f>
              <c:numCache>
                <c:formatCode>General</c:formatCode>
                <c:ptCount val="25"/>
                <c:pt idx="0">
                  <c:v>23</c:v>
                </c:pt>
                <c:pt idx="1">
                  <c:v>73</c:v>
                </c:pt>
                <c:pt idx="2">
                  <c:v>167</c:v>
                </c:pt>
                <c:pt idx="3">
                  <c:v>316</c:v>
                </c:pt>
                <c:pt idx="4">
                  <c:v>526</c:v>
                </c:pt>
                <c:pt idx="5">
                  <c:v>692</c:v>
                </c:pt>
                <c:pt idx="6">
                  <c:v>871</c:v>
                </c:pt>
                <c:pt idx="7">
                  <c:v>946</c:v>
                </c:pt>
                <c:pt idx="8">
                  <c:v>916</c:v>
                </c:pt>
                <c:pt idx="9">
                  <c:v>864</c:v>
                </c:pt>
                <c:pt idx="10">
                  <c:v>848</c:v>
                </c:pt>
                <c:pt idx="11">
                  <c:v>786</c:v>
                </c:pt>
                <c:pt idx="12">
                  <c:v>653</c:v>
                </c:pt>
                <c:pt idx="13">
                  <c:v>580</c:v>
                </c:pt>
                <c:pt idx="14">
                  <c:v>463</c:v>
                </c:pt>
                <c:pt idx="15">
                  <c:v>384</c:v>
                </c:pt>
                <c:pt idx="16">
                  <c:v>306</c:v>
                </c:pt>
                <c:pt idx="17">
                  <c:v>224</c:v>
                </c:pt>
                <c:pt idx="18">
                  <c:v>162</c:v>
                </c:pt>
                <c:pt idx="19">
                  <c:v>84</c:v>
                </c:pt>
                <c:pt idx="20">
                  <c:v>58</c:v>
                </c:pt>
                <c:pt idx="21">
                  <c:v>40</c:v>
                </c:pt>
                <c:pt idx="22">
                  <c:v>12</c:v>
                </c:pt>
                <c:pt idx="23">
                  <c:v>6</c:v>
                </c:pt>
              </c:numCache>
            </c:numRef>
          </c:yVal>
          <c:smooth val="1"/>
          <c:extLst>
            <c:ext xmlns:c16="http://schemas.microsoft.com/office/drawing/2014/chart" uri="{C3380CC4-5D6E-409C-BE32-E72D297353CC}">
              <c16:uniqueId val="{00000003-D43F-45E0-9A62-E58D1F65F91B}"/>
            </c:ext>
          </c:extLst>
        </c:ser>
        <c:dLbls>
          <c:showLegendKey val="0"/>
          <c:showVal val="0"/>
          <c:showCatName val="0"/>
          <c:showSerName val="0"/>
          <c:showPercent val="0"/>
          <c:showBubbleSize val="0"/>
        </c:dLbls>
        <c:axId val="864660656"/>
        <c:axId val="1"/>
      </c:scatterChart>
      <c:catAx>
        <c:axId val="864660656"/>
        <c:scaling>
          <c:orientation val="minMax"/>
        </c:scaling>
        <c:delete val="0"/>
        <c:axPos val="b"/>
        <c:minorGridlines/>
        <c:numFmt formatCode="#,##0.00"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min val="0"/>
        </c:scaling>
        <c:delete val="0"/>
        <c:axPos val="l"/>
        <c:majorGridlines/>
        <c:min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864660656"/>
        <c:crosses val="autoZero"/>
        <c:crossBetween val="between"/>
      </c:valAx>
      <c:spPr>
        <a:gradFill>
          <a:gsLst>
            <a:gs pos="0">
              <a:srgbClr val="FFEFD1"/>
            </a:gs>
            <a:gs pos="64999">
              <a:srgbClr val="F0EBD5"/>
            </a:gs>
            <a:gs pos="100000">
              <a:srgbClr val="D1C39F"/>
            </a:gs>
          </a:gsLst>
          <a:lin ang="5400000" scaled="0"/>
        </a:gradFill>
        <a:scene3d>
          <a:camera prst="orthographicFront"/>
          <a:lightRig rig="threePt" dir="t"/>
        </a:scene3d>
        <a:sp3d>
          <a:bevelT/>
        </a:sp3d>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Comportamiento Simulación Valor Acción</a:t>
            </a:r>
          </a:p>
        </c:rich>
      </c:tx>
      <c:layout>
        <c:manualLayout>
          <c:xMode val="edge"/>
          <c:yMode val="edge"/>
          <c:x val="0.26725218131517348"/>
          <c:y val="2.46157412141664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7.7526975794692324E-2"/>
          <c:y val="0.12405574303212098"/>
          <c:w val="0.88780005336212409"/>
          <c:h val="0.66834895638045244"/>
        </c:manualLayout>
      </c:layout>
      <c:barChart>
        <c:barDir val="col"/>
        <c:grouping val="clustered"/>
        <c:varyColors val="0"/>
        <c:ser>
          <c:idx val="1"/>
          <c:order val="0"/>
          <c:tx>
            <c:strRef>
              <c:f>'Report Simulación'!$B$1</c:f>
              <c:strCache>
                <c:ptCount val="1"/>
                <c:pt idx="0">
                  <c:v>Y</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'Report Simulación'!$A$2:$A$26</c:f>
              <c:numCache>
                <c:formatCode>0.00</c:formatCode>
                <c:ptCount val="25"/>
                <c:pt idx="0">
                  <c:v>11591.323350501307</c:v>
                </c:pt>
                <c:pt idx="1">
                  <c:v>11724.892170653093</c:v>
                </c:pt>
                <c:pt idx="2">
                  <c:v>11858.460990804881</c:v>
                </c:pt>
                <c:pt idx="3">
                  <c:v>11992.029810956668</c:v>
                </c:pt>
                <c:pt idx="4">
                  <c:v>12125.598631108456</c:v>
                </c:pt>
                <c:pt idx="5">
                  <c:v>12259.167451260242</c:v>
                </c:pt>
                <c:pt idx="6">
                  <c:v>12392.73627141203</c:v>
                </c:pt>
                <c:pt idx="7">
                  <c:v>12526.305091563818</c:v>
                </c:pt>
                <c:pt idx="8">
                  <c:v>12659.873911715604</c:v>
                </c:pt>
                <c:pt idx="9">
                  <c:v>12793.442731867392</c:v>
                </c:pt>
                <c:pt idx="10">
                  <c:v>12927.011552019179</c:v>
                </c:pt>
                <c:pt idx="11">
                  <c:v>13060.580372170967</c:v>
                </c:pt>
                <c:pt idx="12">
                  <c:v>13194.149192322753</c:v>
                </c:pt>
                <c:pt idx="13">
                  <c:v>13327.718012474541</c:v>
                </c:pt>
                <c:pt idx="14">
                  <c:v>13461.286832626329</c:v>
                </c:pt>
                <c:pt idx="15">
                  <c:v>13594.855652778117</c:v>
                </c:pt>
                <c:pt idx="16">
                  <c:v>13728.424472929903</c:v>
                </c:pt>
                <c:pt idx="17">
                  <c:v>13861.99329308169</c:v>
                </c:pt>
                <c:pt idx="18">
                  <c:v>13995.562113233478</c:v>
                </c:pt>
                <c:pt idx="19">
                  <c:v>14129.130933385264</c:v>
                </c:pt>
                <c:pt idx="20">
                  <c:v>14262.699753537052</c:v>
                </c:pt>
                <c:pt idx="21">
                  <c:v>14396.26857368884</c:v>
                </c:pt>
                <c:pt idx="22">
                  <c:v>14529.837393840628</c:v>
                </c:pt>
                <c:pt idx="23">
                  <c:v>14663.406213992414</c:v>
                </c:pt>
                <c:pt idx="24">
                  <c:v>14796.975034144201</c:v>
                </c:pt>
              </c:numCache>
            </c:numRef>
          </c:cat>
          <c: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val>
          <c:extLst>
            <c:ext xmlns:c16="http://schemas.microsoft.com/office/drawing/2014/chart" uri="{C3380CC4-5D6E-409C-BE32-E72D297353CC}">
              <c16:uniqueId val="{00000000-13EA-4C72-A5DB-D73FA1C2A8C7}"/>
            </c:ext>
          </c:extLst>
        </c:ser>
        <c:dLbls>
          <c:dLblPos val="inEnd"/>
          <c:showLegendKey val="0"/>
          <c:showVal val="1"/>
          <c:showCatName val="0"/>
          <c:showSerName val="0"/>
          <c:showPercent val="0"/>
          <c:showBubbleSize val="0"/>
        </c:dLbls>
        <c:gapWidth val="100"/>
        <c:overlap val="-24"/>
        <c:axId val="839073368"/>
        <c:axId val="1"/>
      </c:barChart>
      <c:catAx>
        <c:axId val="839073368"/>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X</a:t>
                </a:r>
              </a:p>
            </c:rich>
          </c:tx>
          <c:layout>
            <c:manualLayout>
              <c:xMode val="edge"/>
              <c:yMode val="edge"/>
              <c:x val="0.49463148187557637"/>
              <c:y val="0.91889559259637998"/>
            </c:manualLayout>
          </c:layout>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0.00" sourceLinked="0"/>
        <c:majorTickMark val="none"/>
        <c:minorTickMark val="none"/>
        <c:tickLblPos val="nextTo"/>
        <c:spPr>
          <a:noFill/>
          <a:ln w="12700" cap="flat" cmpd="sng" algn="ctr">
            <a:solidFill>
              <a:schemeClr val="lt1">
                <a:lumMod val="95000"/>
                <a:alpha val="54000"/>
              </a:schemeClr>
            </a:solidFill>
            <a:round/>
          </a:ln>
          <a:effectLst/>
        </c:spPr>
        <c:txPr>
          <a:bodyPr rot="-540000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F(x)</a:t>
                </a:r>
              </a:p>
            </c:rich>
          </c:tx>
          <c:layout/>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839073368"/>
        <c:crosses val="autoZero"/>
        <c:crossBetween val="between"/>
      </c:valAx>
      <c:spPr>
        <a:noFill/>
        <a:ln>
          <a:noFill/>
        </a:ln>
        <a:effectLst/>
      </c:spPr>
    </c:plotArea>
    <c:plotVisOnly val="0"/>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200"/>
            </a:pPr>
            <a:r>
              <a:rPr lang="en-US" sz="1200"/>
              <a:t>PDF</a:t>
            </a:r>
          </a:p>
        </c:rich>
      </c:tx>
      <c:layout>
        <c:manualLayout>
          <c:xMode val="edge"/>
          <c:yMode val="edge"/>
          <c:x val="0.4772191246364475"/>
          <c:y val="3.1745898072901318E-2"/>
        </c:manualLayout>
      </c:layout>
      <c:overlay val="0"/>
    </c:title>
    <c:autoTitleDeleted val="0"/>
    <c:plotArea>
      <c:layout>
        <c:manualLayout>
          <c:layoutTarget val="inner"/>
          <c:xMode val="edge"/>
          <c:yMode val="edge"/>
          <c:x val="7.7526975794692324E-2"/>
          <c:y val="0.12405574303212098"/>
          <c:w val="0.88780005336212409"/>
          <c:h val="0.66834895638045244"/>
        </c:manualLayout>
      </c:layout>
      <c:barChart>
        <c:barDir val="col"/>
        <c:grouping val="clustered"/>
        <c:varyColors val="0"/>
        <c:ser>
          <c:idx val="1"/>
          <c:order val="0"/>
          <c:tx>
            <c:strRef>
              <c:f>'Report Simulación'!$B$1</c:f>
              <c:strCache>
                <c:ptCount val="1"/>
                <c:pt idx="0">
                  <c:v>Y</c:v>
                </c:pt>
              </c:strCache>
            </c:strRef>
          </c:tx>
          <c:invertIfNegative val="0"/>
          <c:cat>
            <c:numRef>
              <c:f>'Report Simulación'!$A$2:$A$26</c:f>
              <c:numCache>
                <c:formatCode>0.00</c:formatCode>
                <c:ptCount val="25"/>
                <c:pt idx="0">
                  <c:v>11591.323350501307</c:v>
                </c:pt>
                <c:pt idx="1">
                  <c:v>11724.892170653093</c:v>
                </c:pt>
                <c:pt idx="2">
                  <c:v>11858.460990804881</c:v>
                </c:pt>
                <c:pt idx="3">
                  <c:v>11992.029810956668</c:v>
                </c:pt>
                <c:pt idx="4">
                  <c:v>12125.598631108456</c:v>
                </c:pt>
                <c:pt idx="5">
                  <c:v>12259.167451260242</c:v>
                </c:pt>
                <c:pt idx="6">
                  <c:v>12392.73627141203</c:v>
                </c:pt>
                <c:pt idx="7">
                  <c:v>12526.305091563818</c:v>
                </c:pt>
                <c:pt idx="8">
                  <c:v>12659.873911715604</c:v>
                </c:pt>
                <c:pt idx="9">
                  <c:v>12793.442731867392</c:v>
                </c:pt>
                <c:pt idx="10">
                  <c:v>12927.011552019179</c:v>
                </c:pt>
                <c:pt idx="11">
                  <c:v>13060.580372170967</c:v>
                </c:pt>
                <c:pt idx="12">
                  <c:v>13194.149192322753</c:v>
                </c:pt>
                <c:pt idx="13">
                  <c:v>13327.718012474541</c:v>
                </c:pt>
                <c:pt idx="14">
                  <c:v>13461.286832626329</c:v>
                </c:pt>
                <c:pt idx="15">
                  <c:v>13594.855652778117</c:v>
                </c:pt>
                <c:pt idx="16">
                  <c:v>13728.424472929903</c:v>
                </c:pt>
                <c:pt idx="17">
                  <c:v>13861.99329308169</c:v>
                </c:pt>
                <c:pt idx="18">
                  <c:v>13995.562113233478</c:v>
                </c:pt>
                <c:pt idx="19">
                  <c:v>14129.130933385264</c:v>
                </c:pt>
                <c:pt idx="20">
                  <c:v>14262.699753537052</c:v>
                </c:pt>
                <c:pt idx="21">
                  <c:v>14396.26857368884</c:v>
                </c:pt>
                <c:pt idx="22">
                  <c:v>14529.837393840628</c:v>
                </c:pt>
                <c:pt idx="23">
                  <c:v>14663.406213992414</c:v>
                </c:pt>
                <c:pt idx="24">
                  <c:v>14796.975034144201</c:v>
                </c:pt>
              </c:numCache>
            </c:numRef>
          </c:cat>
          <c: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val>
          <c:extLst>
            <c:ext xmlns:c16="http://schemas.microsoft.com/office/drawing/2014/chart" uri="{C3380CC4-5D6E-409C-BE32-E72D297353CC}">
              <c16:uniqueId val="{00000000-3703-4854-94ED-862347AD6A49}"/>
            </c:ext>
          </c:extLst>
        </c:ser>
        <c:dLbls>
          <c:showLegendKey val="0"/>
          <c:showVal val="0"/>
          <c:showCatName val="0"/>
          <c:showSerName val="0"/>
          <c:showPercent val="0"/>
          <c:showBubbleSize val="0"/>
        </c:dLbls>
        <c:gapWidth val="73"/>
        <c:axId val="839073040"/>
        <c:axId val="1"/>
      </c:barChart>
      <c:lineChart>
        <c:grouping val="standard"/>
        <c:varyColors val="0"/>
        <c:ser>
          <c:idx val="2"/>
          <c:order val="1"/>
          <c:spPr>
            <a:ln w="44450">
              <a:solidFill>
                <a:srgbClr val="7030A0"/>
              </a:solidFill>
              <a:prstDash val="sysDot"/>
            </a:ln>
          </c:spPr>
          <c:marker>
            <c:symbol val="none"/>
          </c:marker>
          <c:cat>
            <c:numRef>
              <c:f>'Report Simulación'!$A$2:$A$26</c:f>
              <c:numCache>
                <c:formatCode>0.00</c:formatCode>
                <c:ptCount val="25"/>
                <c:pt idx="0">
                  <c:v>11591.323350501307</c:v>
                </c:pt>
                <c:pt idx="1">
                  <c:v>11724.892170653093</c:v>
                </c:pt>
                <c:pt idx="2">
                  <c:v>11858.460990804881</c:v>
                </c:pt>
                <c:pt idx="3">
                  <c:v>11992.029810956668</c:v>
                </c:pt>
                <c:pt idx="4">
                  <c:v>12125.598631108456</c:v>
                </c:pt>
                <c:pt idx="5">
                  <c:v>12259.167451260242</c:v>
                </c:pt>
                <c:pt idx="6">
                  <c:v>12392.73627141203</c:v>
                </c:pt>
                <c:pt idx="7">
                  <c:v>12526.305091563818</c:v>
                </c:pt>
                <c:pt idx="8">
                  <c:v>12659.873911715604</c:v>
                </c:pt>
                <c:pt idx="9">
                  <c:v>12793.442731867392</c:v>
                </c:pt>
                <c:pt idx="10">
                  <c:v>12927.011552019179</c:v>
                </c:pt>
                <c:pt idx="11">
                  <c:v>13060.580372170967</c:v>
                </c:pt>
                <c:pt idx="12">
                  <c:v>13194.149192322753</c:v>
                </c:pt>
                <c:pt idx="13">
                  <c:v>13327.718012474541</c:v>
                </c:pt>
                <c:pt idx="14">
                  <c:v>13461.286832626329</c:v>
                </c:pt>
                <c:pt idx="15">
                  <c:v>13594.855652778117</c:v>
                </c:pt>
                <c:pt idx="16">
                  <c:v>13728.424472929903</c:v>
                </c:pt>
                <c:pt idx="17">
                  <c:v>13861.99329308169</c:v>
                </c:pt>
                <c:pt idx="18">
                  <c:v>13995.562113233478</c:v>
                </c:pt>
                <c:pt idx="19">
                  <c:v>14129.130933385264</c:v>
                </c:pt>
                <c:pt idx="20">
                  <c:v>14262.699753537052</c:v>
                </c:pt>
                <c:pt idx="21">
                  <c:v>14396.26857368884</c:v>
                </c:pt>
                <c:pt idx="22">
                  <c:v>14529.837393840628</c:v>
                </c:pt>
                <c:pt idx="23">
                  <c:v>14663.406213992414</c:v>
                </c:pt>
                <c:pt idx="24">
                  <c:v>14796.975034144201</c:v>
                </c:pt>
              </c:numCache>
            </c:numRef>
          </c:cat>
          <c: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val>
          <c:smooth val="0"/>
          <c:extLst>
            <c:ext xmlns:c16="http://schemas.microsoft.com/office/drawing/2014/chart" uri="{C3380CC4-5D6E-409C-BE32-E72D297353CC}">
              <c16:uniqueId val="{00000001-3703-4854-94ED-862347AD6A49}"/>
            </c:ext>
          </c:extLst>
        </c:ser>
        <c:dLbls>
          <c:showLegendKey val="0"/>
          <c:showVal val="0"/>
          <c:showCatName val="0"/>
          <c:showSerName val="0"/>
          <c:showPercent val="0"/>
          <c:showBubbleSize val="0"/>
        </c:dLbls>
        <c:marker val="1"/>
        <c:smooth val="0"/>
        <c:axId val="839073040"/>
        <c:axId val="1"/>
      </c:lineChart>
      <c:catAx>
        <c:axId val="839073040"/>
        <c:scaling>
          <c:orientation val="minMax"/>
        </c:scaling>
        <c:delete val="0"/>
        <c:axPos val="b"/>
        <c:majorGridlines>
          <c:spPr>
            <a:ln>
              <a:prstDash val="dash"/>
            </a:ln>
          </c:spPr>
        </c:majorGridlines>
        <c:title>
          <c:tx>
            <c:rich>
              <a:bodyPr/>
              <a:lstStyle/>
              <a:p>
                <a:pPr>
                  <a:defRPr/>
                </a:pPr>
                <a:r>
                  <a:rPr lang="en-US"/>
                  <a:t>X</a:t>
                </a:r>
              </a:p>
            </c:rich>
          </c:tx>
          <c:layout>
            <c:manualLayout>
              <c:xMode val="edge"/>
              <c:yMode val="edge"/>
              <c:x val="0.50183868908278362"/>
              <c:y val="0.9188956728002583"/>
            </c:manualLayout>
          </c:layout>
          <c:overlay val="0"/>
        </c:title>
        <c:numFmt formatCode="0.00" sourceLinked="0"/>
        <c:majorTickMark val="out"/>
        <c:minorTickMark val="none"/>
        <c:tickLblPos val="nextTo"/>
        <c:txPr>
          <a:bodyPr rot="-5400000" vert="horz"/>
          <a:lstStyle/>
          <a:p>
            <a:pPr>
              <a:defRPr/>
            </a:pPr>
            <a:endParaRPr lang="es-CO"/>
          </a:p>
        </c:txPr>
        <c:crossAx val="1"/>
        <c:crosses val="autoZero"/>
        <c:auto val="1"/>
        <c:lblAlgn val="ctr"/>
        <c:lblOffset val="100"/>
        <c:noMultiLvlLbl val="0"/>
      </c:catAx>
      <c:valAx>
        <c:axId val="1"/>
        <c:scaling>
          <c:orientation val="minMax"/>
        </c:scaling>
        <c:delete val="0"/>
        <c:axPos val="l"/>
        <c:majorGridlines>
          <c:spPr>
            <a:ln>
              <a:prstDash val="dash"/>
            </a:ln>
          </c:spPr>
        </c:majorGridlines>
        <c:title>
          <c:tx>
            <c:rich>
              <a:bodyPr/>
              <a:lstStyle/>
              <a:p>
                <a:pPr>
                  <a:defRPr/>
                </a:pPr>
                <a:r>
                  <a:rPr lang="en-US"/>
                  <a:t>F(X)</a:t>
                </a:r>
              </a:p>
            </c:rich>
          </c:tx>
          <c:layout/>
          <c:overlay val="0"/>
        </c:title>
        <c:numFmt formatCode="General" sourceLinked="1"/>
        <c:majorTickMark val="out"/>
        <c:minorTickMark val="none"/>
        <c:tickLblPos val="nextTo"/>
        <c:crossAx val="839073040"/>
        <c:crosses val="autoZero"/>
        <c:crossBetween val="between"/>
      </c:valAx>
      <c:spPr>
        <a:solidFill>
          <a:schemeClr val="accent3">
            <a:lumMod val="40000"/>
            <a:lumOff val="60000"/>
            <a:alpha val="74000"/>
          </a:schemeClr>
        </a:solidFill>
        <a:scene3d>
          <a:camera prst="orthographicFront"/>
          <a:lightRig rig="threePt" dir="t"/>
        </a:scene3d>
        <a:sp3d>
          <a:bevelT/>
        </a:sp3d>
      </c:spPr>
    </c:plotArea>
    <c:plotVisOnly val="0"/>
    <c:dispBlanksAs val="gap"/>
    <c:showDLblsOverMax val="0"/>
  </c:chart>
  <c:spPr>
    <a:ln>
      <a:noFill/>
    </a:ln>
    <a:scene3d>
      <a:camera prst="orthographicFront"/>
      <a:lightRig rig="threePt" dir="t"/>
    </a:scene3d>
    <a:sp3d/>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Ventas Vs Costos de Ventas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areaChart>
        <c:grouping val="standard"/>
        <c:varyColors val="0"/>
        <c:ser>
          <c:idx val="0"/>
          <c:order val="0"/>
          <c:tx>
            <c:strRef>
              <c:f>'Estados de Resultados Consolida'!$B$3</c:f>
              <c:strCache>
                <c:ptCount val="1"/>
                <c:pt idx="0">
                  <c:v>Ingresos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cat>
            <c:strRef>
              <c:extLst>
                <c:ext xmlns:c15="http://schemas.microsoft.com/office/drawing/2012/chart" uri="{02D57815-91ED-43cb-92C2-25804820EDAC}">
                  <c15:fullRef>
                    <c15:sqref>'Estados de Resultados Consolida'!$C$2:$H$2</c15:sqref>
                  </c15:fullRef>
                </c:ext>
              </c:extLst>
              <c:f>'Estados de Resultados Consolida'!$D$2:$H$2</c:f>
              <c:strCache>
                <c:ptCount val="5"/>
                <c:pt idx="0">
                  <c:v>2014</c:v>
                </c:pt>
                <c:pt idx="1">
                  <c:v>2015</c:v>
                </c:pt>
                <c:pt idx="2">
                  <c:v>2016</c:v>
                </c:pt>
                <c:pt idx="3">
                  <c:v>2017</c:v>
                </c:pt>
                <c:pt idx="4">
                  <c:v>2018</c:v>
                </c:pt>
              </c:strCache>
            </c:strRef>
          </c:cat>
          <c:val>
            <c:numRef>
              <c:extLst>
                <c:ext xmlns:c15="http://schemas.microsoft.com/office/drawing/2012/chart" uri="{02D57815-91ED-43cb-92C2-25804820EDAC}">
                  <c15:fullRef>
                    <c15:sqref>'Estados de Resultados Consolida'!$C$3:$H$3</c15:sqref>
                  </c15:fullRef>
                </c:ext>
              </c:extLst>
              <c:f>'Estados de Resultados Consolida'!$D$3:$H$3</c:f>
              <c:numCache>
                <c:formatCode>_-"$"* #,##0_-;\-"$"* #,##0_-;_-"$"* "-"_-;_-@_-</c:formatCode>
                <c:ptCount val="5"/>
                <c:pt idx="0">
                  <c:v>1724710</c:v>
                </c:pt>
                <c:pt idx="1">
                  <c:v>1427058</c:v>
                </c:pt>
                <c:pt idx="2">
                  <c:v>1315326</c:v>
                </c:pt>
                <c:pt idx="3">
                  <c:v>1206453</c:v>
                </c:pt>
                <c:pt idx="4">
                  <c:v>1108329</c:v>
                </c:pt>
              </c:numCache>
            </c:numRef>
          </c:val>
          <c:extLst>
            <c:ext xmlns:c16="http://schemas.microsoft.com/office/drawing/2014/chart" uri="{C3380CC4-5D6E-409C-BE32-E72D297353CC}">
              <c16:uniqueId val="{00000000-A912-45FD-9E5F-DC36EEA21F14}"/>
            </c:ext>
          </c:extLst>
        </c:ser>
        <c:ser>
          <c:idx val="1"/>
          <c:order val="1"/>
          <c:tx>
            <c:strRef>
              <c:f>'Estados de Resultados Consolida'!$B$4</c:f>
              <c:strCache>
                <c:ptCount val="1"/>
                <c:pt idx="0">
                  <c:v>Costo de ventas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cat>
            <c:strRef>
              <c:extLst>
                <c:ext xmlns:c15="http://schemas.microsoft.com/office/drawing/2012/chart" uri="{02D57815-91ED-43cb-92C2-25804820EDAC}">
                  <c15:fullRef>
                    <c15:sqref>'Estados de Resultados Consolida'!$C$2:$H$2</c15:sqref>
                  </c15:fullRef>
                </c:ext>
              </c:extLst>
              <c:f>'Estados de Resultados Consolida'!$D$2:$H$2</c:f>
              <c:strCache>
                <c:ptCount val="5"/>
                <c:pt idx="0">
                  <c:v>2014</c:v>
                </c:pt>
                <c:pt idx="1">
                  <c:v>2015</c:v>
                </c:pt>
                <c:pt idx="2">
                  <c:v>2016</c:v>
                </c:pt>
                <c:pt idx="3">
                  <c:v>2017</c:v>
                </c:pt>
                <c:pt idx="4">
                  <c:v>2018</c:v>
                </c:pt>
              </c:strCache>
            </c:strRef>
          </c:cat>
          <c:val>
            <c:numRef>
              <c:extLst>
                <c:ext xmlns:c15="http://schemas.microsoft.com/office/drawing/2012/chart" uri="{02D57815-91ED-43cb-92C2-25804820EDAC}">
                  <c15:fullRef>
                    <c15:sqref>'Estados de Resultados Consolida'!$C$4:$H$4</c15:sqref>
                  </c15:fullRef>
                </c:ext>
              </c:extLst>
              <c:f>'Estados de Resultados Consolida'!$D$4:$H$4</c:f>
              <c:numCache>
                <c:formatCode>_-"$"* #,##0_-;\-"$"* #,##0_-;_-"$"* "-"_-;_-@_-</c:formatCode>
                <c:ptCount val="5"/>
                <c:pt idx="0">
                  <c:v>-869388</c:v>
                </c:pt>
                <c:pt idx="1">
                  <c:v>-749646</c:v>
                </c:pt>
                <c:pt idx="2">
                  <c:v>-676860</c:v>
                </c:pt>
                <c:pt idx="3">
                  <c:v>-670188</c:v>
                </c:pt>
                <c:pt idx="4">
                  <c:v>-649670</c:v>
                </c:pt>
              </c:numCache>
            </c:numRef>
          </c:val>
          <c:extLst>
            <c:ext xmlns:c16="http://schemas.microsoft.com/office/drawing/2014/chart" uri="{C3380CC4-5D6E-409C-BE32-E72D297353CC}">
              <c16:uniqueId val="{00000001-A912-45FD-9E5F-DC36EEA21F14}"/>
            </c:ext>
          </c:extLst>
        </c:ser>
        <c:ser>
          <c:idx val="2"/>
          <c:order val="2"/>
          <c:tx>
            <c:strRef>
              <c:f>'Estados de Resultados Consolida'!$B$5</c:f>
              <c:strCache>
                <c:ptCount val="1"/>
                <c:pt idx="0">
                  <c:v>Utilidad Bruta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cat>
            <c:strRef>
              <c:extLst>
                <c:ext xmlns:c15="http://schemas.microsoft.com/office/drawing/2012/chart" uri="{02D57815-91ED-43cb-92C2-25804820EDAC}">
                  <c15:fullRef>
                    <c15:sqref>'Estados de Resultados Consolida'!$C$2:$H$2</c15:sqref>
                  </c15:fullRef>
                </c:ext>
              </c:extLst>
              <c:f>'Estados de Resultados Consolida'!$D$2:$H$2</c:f>
              <c:strCache>
                <c:ptCount val="5"/>
                <c:pt idx="0">
                  <c:v>2014</c:v>
                </c:pt>
                <c:pt idx="1">
                  <c:v>2015</c:v>
                </c:pt>
                <c:pt idx="2">
                  <c:v>2016</c:v>
                </c:pt>
                <c:pt idx="3">
                  <c:v>2017</c:v>
                </c:pt>
                <c:pt idx="4">
                  <c:v>2018</c:v>
                </c:pt>
              </c:strCache>
            </c:strRef>
          </c:cat>
          <c:val>
            <c:numRef>
              <c:extLst>
                <c:ext xmlns:c15="http://schemas.microsoft.com/office/drawing/2012/chart" uri="{02D57815-91ED-43cb-92C2-25804820EDAC}">
                  <c15:fullRef>
                    <c15:sqref>'Estados de Resultados Consolida'!$C$5:$H$5</c15:sqref>
                  </c15:fullRef>
                </c:ext>
              </c:extLst>
              <c:f>'Estados de Resultados Consolida'!$D$5:$H$5</c:f>
              <c:numCache>
                <c:formatCode>_-"$"* #,##0_-;\-"$"* #,##0_-;_-"$"* "-"_-;_-@_-</c:formatCode>
                <c:ptCount val="5"/>
                <c:pt idx="0" formatCode="#,##0">
                  <c:v>855322</c:v>
                </c:pt>
                <c:pt idx="1">
                  <c:v>677412</c:v>
                </c:pt>
                <c:pt idx="2">
                  <c:v>638466</c:v>
                </c:pt>
                <c:pt idx="3">
                  <c:v>536265</c:v>
                </c:pt>
                <c:pt idx="4">
                  <c:v>458659</c:v>
                </c:pt>
              </c:numCache>
            </c:numRef>
          </c:val>
          <c:extLst>
            <c:ext xmlns:c16="http://schemas.microsoft.com/office/drawing/2014/chart" uri="{C3380CC4-5D6E-409C-BE32-E72D297353CC}">
              <c16:uniqueId val="{00000002-A912-45FD-9E5F-DC36EEA21F14}"/>
            </c:ext>
          </c:extLst>
        </c:ser>
        <c:dLbls>
          <c:showLegendKey val="0"/>
          <c:showVal val="0"/>
          <c:showCatName val="0"/>
          <c:showSerName val="0"/>
          <c:showPercent val="0"/>
          <c:showBubbleSize val="0"/>
        </c:dLbls>
        <c:axId val="2131019520"/>
        <c:axId val="2131026736"/>
      </c:areaChart>
      <c:lineChart>
        <c:grouping val="stacked"/>
        <c:varyColors val="0"/>
        <c:ser>
          <c:idx val="3"/>
          <c:order val="3"/>
          <c:tx>
            <c:v>Variación Utilidad</c:v>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9525">
                <a:solidFill>
                  <a:schemeClr val="accent2">
                    <a:lumMod val="60000"/>
                  </a:schemeClr>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Lit>
              <c:ptCount val="5"/>
              <c:pt idx="0">
                <c:v>2</c:v>
              </c:pt>
              <c:pt idx="1">
                <c:v>3</c:v>
              </c:pt>
              <c:pt idx="2">
                <c:v>4</c:v>
              </c:pt>
              <c:pt idx="3">
                <c:v>5</c:v>
              </c:pt>
              <c:pt idx="4">
                <c:v>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('Estados de Resultados Consolida'!$A$1,'Estados de Resultados Consolida'!$O$5:$S$5)</c15:sqref>
                  </c15:fullRef>
                </c:ext>
              </c:extLst>
              <c:f>'Estados de Resultados Consolida'!$O$5:$S$5</c:f>
              <c:numCache>
                <c:formatCode>0.0%</c:formatCode>
                <c:ptCount val="5"/>
                <c:pt idx="0">
                  <c:v>-4.9844386090852337E-2</c:v>
                </c:pt>
                <c:pt idx="1">
                  <c:v>-0.26263189905109446</c:v>
                </c:pt>
                <c:pt idx="2">
                  <c:v>-6.0999332775746866E-2</c:v>
                </c:pt>
                <c:pt idx="3">
                  <c:v>-0.1905792844955386</c:v>
                </c:pt>
                <c:pt idx="4">
                  <c:v>-0.16920195613734823</c:v>
                </c:pt>
              </c:numCache>
            </c:numRef>
          </c:val>
          <c:smooth val="0"/>
          <c:extLst>
            <c:ext xmlns:c15="http://schemas.microsoft.com/office/drawing/2012/chart" uri="{02D57815-91ED-43cb-92C2-25804820EDAC}">
              <c15:categoryFilterExceptions>
                <c15:categoryFilterException>
                  <c15:sqref>'Estados de Resultados Consolida'!$A$1</c15:sqref>
                  <c15:spPr xmlns:c15="http://schemas.microsoft.com/office/drawing/2012/chart">
                    <a:ln w="34925" cap="rnd">
                      <a:solidFill>
                        <a:schemeClr val="accent1">
                          <a:alpha val="0"/>
                        </a:schemeClr>
                      </a:solidFill>
                      <a:round/>
                    </a:ln>
                    <a:effectLst>
                      <a:outerShdw blurRad="57150" dist="19050" dir="5400000" algn="ctr" rotWithShape="0">
                        <a:srgbClr val="000000">
                          <a:alpha val="63000"/>
                        </a:srgbClr>
                      </a:outerShdw>
                    </a:effectLst>
                  </c15:spPr>
                </c15:categoryFilterException>
              </c15:categoryFilterExceptions>
            </c:ext>
            <c:ext xmlns:c16="http://schemas.microsoft.com/office/drawing/2014/chart" uri="{C3380CC4-5D6E-409C-BE32-E72D297353CC}">
              <c16:uniqueId val="{00000003-A912-45FD-9E5F-DC36EEA21F14}"/>
            </c:ext>
          </c:extLst>
        </c:ser>
        <c:ser>
          <c:idx val="4"/>
          <c:order val="4"/>
          <c:tx>
            <c:v>Variación Ingresos</c:v>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9525">
                <a:solidFill>
                  <a:schemeClr val="accent4">
                    <a:lumMod val="60000"/>
                  </a:schemeClr>
                </a:solidFill>
                <a:round/>
              </a:ln>
              <a:effectLst>
                <a:outerShdw blurRad="57150" dist="19050" dir="5400000" algn="ctr" rotWithShape="0">
                  <a:srgbClr val="000000">
                    <a:alpha val="63000"/>
                  </a:srgbClr>
                </a:outerShdw>
              </a:effectLst>
            </c:spPr>
          </c:marker>
          <c:dLbls>
            <c:dLbl>
              <c:idx val="0"/>
              <c:layout>
                <c:manualLayout>
                  <c:x val="-2.5042873241692718E-2"/>
                  <c:y val="-4.4689824243583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3A7-1948-9EA7-D0EEF832115F}"/>
                </c:ext>
              </c:extLst>
            </c:dLbl>
            <c:dLbl>
              <c:idx val="1"/>
              <c:layout>
                <c:manualLayout>
                  <c:x val="-2.7292418831239743E-2"/>
                  <c:y val="-5.40684951517583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2B9-4E5D-99B4-CDB5AF08A3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Lit>
              <c:ptCount val="5"/>
              <c:pt idx="0">
                <c:v>2</c:v>
              </c:pt>
              <c:pt idx="1">
                <c:v>3</c:v>
              </c:pt>
              <c:pt idx="2">
                <c:v>4</c:v>
              </c:pt>
              <c:pt idx="3">
                <c:v>5</c:v>
              </c:pt>
              <c:pt idx="4">
                <c:v>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('Estados de Resultados Consolida'!$A$1,'Estados de Resultados Consolida'!$O$3:$S$3)</c15:sqref>
                  </c15:fullRef>
                </c:ext>
              </c:extLst>
              <c:f>'Estados de Resultados Consolida'!$O$3:$S$3</c:f>
              <c:numCache>
                <c:formatCode>0.0%</c:formatCode>
                <c:ptCount val="5"/>
                <c:pt idx="0">
                  <c:v>-1.4730592389445182E-2</c:v>
                </c:pt>
                <c:pt idx="1">
                  <c:v>-0.20857736686245409</c:v>
                </c:pt>
                <c:pt idx="2">
                  <c:v>-8.4946241464093311E-2</c:v>
                </c:pt>
                <c:pt idx="3">
                  <c:v>-9.0242222448781675E-2</c:v>
                </c:pt>
                <c:pt idx="4">
                  <c:v>-8.8533278475976002E-2</c:v>
                </c:pt>
              </c:numCache>
            </c:numRef>
          </c:val>
          <c:smooth val="0"/>
          <c:extLst>
            <c:ext xmlns:c15="http://schemas.microsoft.com/office/drawing/2012/chart" uri="{02D57815-91ED-43cb-92C2-25804820EDAC}">
              <c15:categoryFilterExceptions>
                <c15:categoryFilterException>
                  <c15:sqref>'Estados de Resultados Consolida'!$A$1</c15:sqref>
                  <c15:spPr xmlns:c15="http://schemas.microsoft.com/office/drawing/2012/chart">
                    <a:ln w="34925" cap="rnd">
                      <a:solidFill>
                        <a:schemeClr val="accent1">
                          <a:alpha val="0"/>
                        </a:schemeClr>
                      </a:solidFill>
                      <a:round/>
                    </a:ln>
                    <a:effectLst>
                      <a:outerShdw blurRad="57150" dist="19050" dir="5400000" algn="ctr" rotWithShape="0">
                        <a:srgbClr val="000000">
                          <a:alpha val="63000"/>
                        </a:srgbClr>
                      </a:outerShdw>
                    </a:effectLst>
                  </c15:spPr>
                </c15:categoryFilterException>
              </c15:categoryFilterExceptions>
            </c:ext>
            <c:ext xmlns:c16="http://schemas.microsoft.com/office/drawing/2014/chart" uri="{C3380CC4-5D6E-409C-BE32-E72D297353CC}">
              <c16:uniqueId val="{00000000-13A7-1948-9EA7-D0EEF832115F}"/>
            </c:ext>
          </c:extLst>
        </c:ser>
        <c:dLbls>
          <c:showLegendKey val="0"/>
          <c:showVal val="0"/>
          <c:showCatName val="0"/>
          <c:showSerName val="0"/>
          <c:showPercent val="0"/>
          <c:showBubbleSize val="0"/>
        </c:dLbls>
        <c:marker val="1"/>
        <c:smooth val="0"/>
        <c:axId val="2082124224"/>
        <c:axId val="2082115696"/>
      </c:lineChart>
      <c:catAx>
        <c:axId val="21310195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026736"/>
        <c:crosses val="autoZero"/>
        <c:auto val="1"/>
        <c:lblAlgn val="ctr"/>
        <c:lblOffset val="100"/>
        <c:noMultiLvlLbl val="0"/>
      </c:catAx>
      <c:valAx>
        <c:axId val="2131026736"/>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31019520"/>
        <c:crosses val="autoZero"/>
        <c:crossBetween val="between"/>
      </c:valAx>
      <c:valAx>
        <c:axId val="208211569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082124224"/>
        <c:crosses val="max"/>
        <c:crossBetween val="between"/>
      </c:valAx>
      <c:catAx>
        <c:axId val="2082124224"/>
        <c:scaling>
          <c:orientation val="minMax"/>
        </c:scaling>
        <c:delete val="1"/>
        <c:axPos val="b"/>
        <c:majorTickMark val="none"/>
        <c:minorTickMark val="none"/>
        <c:tickLblPos val="nextTo"/>
        <c:crossAx val="2082115696"/>
        <c:crosses val="autoZero"/>
        <c:auto val="1"/>
        <c:lblAlgn val="ctr"/>
        <c:lblOffset val="100"/>
        <c:noMultiLvlLbl val="0"/>
      </c:cat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dTable>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CDF (S</a:t>
            </a:r>
            <a:r>
              <a:rPr lang="en-US" sz="1400"/>
              <a:t>)</a:t>
            </a:r>
          </a:p>
        </c:rich>
      </c:tx>
      <c:layout>
        <c:manualLayout>
          <c:xMode val="edge"/>
          <c:yMode val="edge"/>
          <c:x val="0.46580063148398743"/>
          <c:y val="9.5465393794749408E-3"/>
        </c:manualLayout>
      </c:layout>
      <c:overlay val="1"/>
    </c:title>
    <c:autoTitleDeleted val="0"/>
    <c:plotArea>
      <c:layout>
        <c:manualLayout>
          <c:layoutTarget val="inner"/>
          <c:xMode val="edge"/>
          <c:yMode val="edge"/>
          <c:x val="0.10706516218625581"/>
          <c:y val="8.3062931504940901E-2"/>
          <c:w val="0.83531195948273718"/>
          <c:h val="0.7824686404872595"/>
        </c:manualLayout>
      </c:layout>
      <c:scatterChart>
        <c:scatterStyle val="smoothMarker"/>
        <c:varyColors val="0"/>
        <c:ser>
          <c:idx val="0"/>
          <c:order val="0"/>
          <c:spPr>
            <a:ln w="38100" cap="flat" cmpd="sng" algn="ctr">
              <a:solidFill>
                <a:schemeClr val="lt1"/>
              </a:solidFill>
              <a:prstDash val="solid"/>
            </a:ln>
            <a:effectLst>
              <a:outerShdw blurRad="40000" dist="20000" dir="5400000" rotWithShape="0">
                <a:srgbClr val="000000">
                  <a:alpha val="38000"/>
                </a:srgbClr>
              </a:outerShdw>
            </a:effectLst>
          </c:spPr>
          <c:marker>
            <c:symbol val="none"/>
          </c:marker>
          <c:xVal>
            <c:numRef>
              <c:f>'Report Simulación'!$P$18:$P$31</c:f>
              <c:numCache>
                <c:formatCode>0.0000</c:formatCode>
                <c:ptCount val="14"/>
                <c:pt idx="0">
                  <c:v>11457.754530349519</c:v>
                </c:pt>
                <c:pt idx="1">
                  <c:v>12307.801250169312</c:v>
                </c:pt>
                <c:pt idx="2">
                  <c:v>12469.181229086371</c:v>
                </c:pt>
                <c:pt idx="3">
                  <c:v>12680.812863697378</c:v>
                </c:pt>
                <c:pt idx="4">
                  <c:v>12820.000703733307</c:v>
                </c:pt>
                <c:pt idx="5">
                  <c:v>12942.619453820929</c:v>
                </c:pt>
                <c:pt idx="6">
                  <c:v>13056.435570885496</c:v>
                </c:pt>
                <c:pt idx="7">
                  <c:v>13170.811502738517</c:v>
                </c:pt>
                <c:pt idx="8">
                  <c:v>13301.446381338465</c:v>
                </c:pt>
                <c:pt idx="9">
                  <c:v>13446.503633311129</c:v>
                </c:pt>
                <c:pt idx="10">
                  <c:v>13652.439361153583</c:v>
                </c:pt>
                <c:pt idx="11">
                  <c:v>13832.383050249828</c:v>
                </c:pt>
                <c:pt idx="12">
                  <c:v>14142.703192685736</c:v>
                </c:pt>
                <c:pt idx="13">
                  <c:v>14796.975034144201</c:v>
                </c:pt>
              </c:numCache>
            </c:numRef>
          </c:xVal>
          <c:yVal>
            <c:numRef>
              <c:f>'Report Simulación'!$O$18:$O$31</c:f>
              <c:numCache>
                <c:formatCode>0%</c:formatCode>
                <c:ptCount val="14"/>
                <c:pt idx="0">
                  <c:v>0</c:v>
                </c:pt>
                <c:pt idx="1">
                  <c:v>0.05</c:v>
                </c:pt>
                <c:pt idx="2">
                  <c:v>0.1</c:v>
                </c:pt>
                <c:pt idx="3">
                  <c:v>0.2</c:v>
                </c:pt>
                <c:pt idx="4">
                  <c:v>0.3</c:v>
                </c:pt>
                <c:pt idx="5">
                  <c:v>0.4</c:v>
                </c:pt>
                <c:pt idx="6">
                  <c:v>0.5</c:v>
                </c:pt>
                <c:pt idx="7">
                  <c:v>0.6</c:v>
                </c:pt>
                <c:pt idx="8">
                  <c:v>0.7</c:v>
                </c:pt>
                <c:pt idx="9">
                  <c:v>0.8</c:v>
                </c:pt>
                <c:pt idx="10">
                  <c:v>0.9</c:v>
                </c:pt>
                <c:pt idx="11">
                  <c:v>0.95</c:v>
                </c:pt>
                <c:pt idx="12">
                  <c:v>0.99</c:v>
                </c:pt>
                <c:pt idx="13">
                  <c:v>1</c:v>
                </c:pt>
              </c:numCache>
            </c:numRef>
          </c:yVal>
          <c:smooth val="1"/>
          <c:extLst>
            <c:ext xmlns:c16="http://schemas.microsoft.com/office/drawing/2014/chart" uri="{C3380CC4-5D6E-409C-BE32-E72D297353CC}">
              <c16:uniqueId val="{00000000-C944-4735-B06A-57D9050F7C25}"/>
            </c:ext>
          </c:extLst>
        </c:ser>
        <c:dLbls>
          <c:showLegendKey val="0"/>
          <c:showVal val="0"/>
          <c:showCatName val="0"/>
          <c:showSerName val="0"/>
          <c:showPercent val="0"/>
          <c:showBubbleSize val="0"/>
        </c:dLbls>
        <c:axId val="839081568"/>
        <c:axId val="1"/>
      </c:scatterChart>
      <c:valAx>
        <c:axId val="839081568"/>
        <c:scaling>
          <c:orientation val="minMax"/>
          <c:max val="14796.975034144201"/>
          <c:min val="11457.754530349519"/>
        </c:scaling>
        <c:delete val="0"/>
        <c:axPos val="b"/>
        <c:minorGridlines>
          <c:spPr>
            <a:ln>
              <a:prstDash val="dash"/>
            </a:ln>
          </c:spPr>
        </c:minorGridlines>
        <c:title>
          <c:tx>
            <c:rich>
              <a:bodyPr/>
              <a:lstStyle/>
              <a:p>
                <a:pPr>
                  <a:defRPr/>
                </a:pPr>
                <a:r>
                  <a:rPr lang="en-US"/>
                  <a:t>X</a:t>
                </a:r>
              </a:p>
            </c:rich>
          </c:tx>
          <c:overlay val="0"/>
        </c:title>
        <c:numFmt formatCode="0.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crossBetween val="midCat"/>
      </c:valAx>
      <c:valAx>
        <c:axId val="1"/>
        <c:scaling>
          <c:orientation val="minMax"/>
          <c:max val="1"/>
          <c:min val="0"/>
        </c:scaling>
        <c:delete val="0"/>
        <c:axPos val="l"/>
        <c:majorGridlines>
          <c:spPr>
            <a:ln>
              <a:prstDash val="dash"/>
            </a:ln>
          </c:spPr>
        </c:majorGridlines>
        <c:title>
          <c:tx>
            <c:rich>
              <a:bodyPr rot="-5400000" vert="horz"/>
              <a:lstStyle/>
              <a:p>
                <a:pPr>
                  <a:defRPr/>
                </a:pPr>
                <a:r>
                  <a:rPr lang="en-US"/>
                  <a:t>P(X)</a:t>
                </a:r>
              </a:p>
            </c:rich>
          </c:tx>
          <c:overlay val="0"/>
        </c:title>
        <c:numFmt formatCode="0%" sourceLinked="1"/>
        <c:majorTickMark val="out"/>
        <c:minorTickMark val="none"/>
        <c:tickLblPos val="nextTo"/>
        <c:crossAx val="839081568"/>
        <c:crosses val="autoZero"/>
        <c:crossBetween val="midCat"/>
      </c:valAx>
      <c:spPr>
        <a:gradFill>
          <a:gsLst>
            <a:gs pos="0">
              <a:srgbClr val="FFEFD1"/>
            </a:gs>
            <a:gs pos="64999">
              <a:srgbClr val="F0EBD5"/>
            </a:gs>
            <a:gs pos="100000">
              <a:srgbClr val="D1C39F"/>
            </a:gs>
          </a:gsLst>
          <a:lin ang="5400000" scaled="0"/>
        </a:gradFill>
        <a:scene3d>
          <a:camera prst="orthographicFront"/>
          <a:lightRig rig="threePt" dir="t"/>
        </a:scene3d>
        <a:sp3d>
          <a:bevelT/>
        </a:sp3d>
      </c:spPr>
    </c:plotArea>
    <c:plotVisOnly val="1"/>
    <c:dispBlanksAs val="gap"/>
    <c:showDLblsOverMax val="0"/>
  </c:chart>
  <c:spPr>
    <a:ln>
      <a:noFill/>
      <a:prstDash val="dash"/>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5.8404558404558403E-2"/>
          <c:y val="4.142011834319527E-2"/>
          <c:w val="0.92022792022792022"/>
          <c:h val="0.79289940828402372"/>
        </c:manualLayout>
      </c:layout>
      <c:barChart>
        <c:barDir val="col"/>
        <c:grouping val="clustered"/>
        <c:varyColors val="0"/>
        <c:ser>
          <c:idx val="0"/>
          <c:order val="0"/>
          <c:tx>
            <c:strRef>
              <c:f>'Report Simulación'!$A$1</c:f>
              <c:strCache>
                <c:ptCount val="1"/>
                <c:pt idx="0">
                  <c:v>X</c:v>
                </c:pt>
              </c:strCache>
            </c:strRef>
          </c:tx>
          <c:spPr>
            <a:gradFill>
              <a:gsLst>
                <a:gs pos="0">
                  <a:srgbClr val="DDEBCF"/>
                </a:gs>
                <a:gs pos="50000">
                  <a:srgbClr val="9CB86E"/>
                </a:gs>
                <a:gs pos="100000">
                  <a:srgbClr val="156B13"/>
                </a:gs>
              </a:gsLst>
              <a:lin ang="5400000" scaled="0"/>
            </a:gradFill>
            <a:scene3d>
              <a:camera prst="orthographicFront"/>
              <a:lightRig rig="threePt" dir="t"/>
            </a:scene3d>
            <a:sp3d>
              <a:bevelT/>
            </a:sp3d>
          </c:spPr>
          <c:invertIfNegative val="0"/>
          <c:cat>
            <c:numRef>
              <c:f>'Report Simulación'!$A$2:$A$26</c:f>
              <c:numCache>
                <c:formatCode>0.00</c:formatCode>
                <c:ptCount val="25"/>
                <c:pt idx="0">
                  <c:v>11591.323350501307</c:v>
                </c:pt>
                <c:pt idx="1">
                  <c:v>11724.892170653093</c:v>
                </c:pt>
                <c:pt idx="2">
                  <c:v>11858.460990804881</c:v>
                </c:pt>
                <c:pt idx="3">
                  <c:v>11992.029810956668</c:v>
                </c:pt>
                <c:pt idx="4">
                  <c:v>12125.598631108456</c:v>
                </c:pt>
                <c:pt idx="5">
                  <c:v>12259.167451260242</c:v>
                </c:pt>
                <c:pt idx="6">
                  <c:v>12392.73627141203</c:v>
                </c:pt>
                <c:pt idx="7">
                  <c:v>12526.305091563818</c:v>
                </c:pt>
                <c:pt idx="8">
                  <c:v>12659.873911715604</c:v>
                </c:pt>
                <c:pt idx="9">
                  <c:v>12793.442731867392</c:v>
                </c:pt>
                <c:pt idx="10">
                  <c:v>12927.011552019179</c:v>
                </c:pt>
                <c:pt idx="11">
                  <c:v>13060.580372170967</c:v>
                </c:pt>
                <c:pt idx="12">
                  <c:v>13194.149192322753</c:v>
                </c:pt>
                <c:pt idx="13">
                  <c:v>13327.718012474541</c:v>
                </c:pt>
                <c:pt idx="14">
                  <c:v>13461.286832626329</c:v>
                </c:pt>
                <c:pt idx="15">
                  <c:v>13594.855652778117</c:v>
                </c:pt>
                <c:pt idx="16">
                  <c:v>13728.424472929903</c:v>
                </c:pt>
                <c:pt idx="17">
                  <c:v>13861.99329308169</c:v>
                </c:pt>
                <c:pt idx="18">
                  <c:v>13995.562113233478</c:v>
                </c:pt>
                <c:pt idx="19">
                  <c:v>14129.130933385264</c:v>
                </c:pt>
                <c:pt idx="20">
                  <c:v>14262.699753537052</c:v>
                </c:pt>
                <c:pt idx="21">
                  <c:v>14396.26857368884</c:v>
                </c:pt>
                <c:pt idx="22">
                  <c:v>14529.837393840628</c:v>
                </c:pt>
                <c:pt idx="23">
                  <c:v>14663.406213992414</c:v>
                </c:pt>
                <c:pt idx="24">
                  <c:v>14796.975034144201</c:v>
                </c:pt>
              </c:numCache>
            </c:numRef>
          </c:cat>
          <c: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val>
          <c:extLst>
            <c:ext xmlns:c16="http://schemas.microsoft.com/office/drawing/2014/chart" uri="{C3380CC4-5D6E-409C-BE32-E72D297353CC}">
              <c16:uniqueId val="{00000000-8667-482F-B3D8-DD420F2EDB4E}"/>
            </c:ext>
          </c:extLst>
        </c:ser>
        <c:dLbls>
          <c:showLegendKey val="0"/>
          <c:showVal val="0"/>
          <c:showCatName val="0"/>
          <c:showSerName val="0"/>
          <c:showPercent val="0"/>
          <c:showBubbleSize val="0"/>
        </c:dLbls>
        <c:gapWidth val="150"/>
        <c:axId val="839080912"/>
        <c:axId val="1"/>
      </c:barChart>
      <c:scatterChart>
        <c:scatterStyle val="smoothMarker"/>
        <c:varyColors val="0"/>
        <c:ser>
          <c:idx val="1"/>
          <c:order val="1"/>
          <c:spPr>
            <a:ln w="38100">
              <a:solidFill>
                <a:srgbClr val="002060"/>
              </a:solidFill>
            </a:ln>
          </c:spPr>
          <c:marker>
            <c:symbol val="none"/>
          </c:marker>
          <c:xVal>
            <c:numRef>
              <c:f>'Report Simulación'!$O$64:$O$88</c:f>
              <c:numCache>
                <c:formatCode>General</c:formatCode>
                <c:ptCount val="20"/>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pt idx="16">
                  <c:v>11</c:v>
                </c:pt>
                <c:pt idx="17">
                  <c:v>11</c:v>
                </c:pt>
                <c:pt idx="18">
                  <c:v>11</c:v>
                </c:pt>
                <c:pt idx="19">
                  <c:v>11</c:v>
                </c:pt>
              </c:numCache>
            </c:numRef>
          </c:xVal>
          <c:y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yVal>
          <c:smooth val="1"/>
          <c:extLst>
            <c:ext xmlns:c16="http://schemas.microsoft.com/office/drawing/2014/chart" uri="{C3380CC4-5D6E-409C-BE32-E72D297353CC}">
              <c16:uniqueId val="{00000001-8667-482F-B3D8-DD420F2EDB4E}"/>
            </c:ext>
          </c:extLst>
        </c:ser>
        <c:ser>
          <c:idx val="2"/>
          <c:order val="2"/>
          <c:spPr>
            <a:ln w="38100" cmpd="sng">
              <a:solidFill>
                <a:srgbClr val="C00000"/>
              </a:solidFill>
            </a:ln>
          </c:spPr>
          <c:marker>
            <c:symbol val="none"/>
          </c:marker>
          <c:xVal>
            <c:numRef>
              <c:f>'Report Simulación'!$P$64:$P$88</c:f>
              <c:numCache>
                <c:formatCode>General</c:formatCode>
                <c:ptCount val="20"/>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numCache>
            </c:numRef>
          </c:xVal>
          <c:y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yVal>
          <c:smooth val="1"/>
          <c:extLst>
            <c:ext xmlns:c16="http://schemas.microsoft.com/office/drawing/2014/chart" uri="{C3380CC4-5D6E-409C-BE32-E72D297353CC}">
              <c16:uniqueId val="{00000002-8667-482F-B3D8-DD420F2EDB4E}"/>
            </c:ext>
          </c:extLst>
        </c:ser>
        <c:ser>
          <c:idx val="3"/>
          <c:order val="3"/>
          <c:marker>
            <c:symbol val="none"/>
          </c:marker>
          <c:yVal>
            <c:numRef>
              <c:f>'Report Simulación'!$B$2:$B$26</c:f>
              <c:numCache>
                <c:formatCode>General</c:formatCode>
                <c:ptCount val="25"/>
                <c:pt idx="0">
                  <c:v>2</c:v>
                </c:pt>
                <c:pt idx="1">
                  <c:v>13</c:v>
                </c:pt>
                <c:pt idx="2">
                  <c:v>16</c:v>
                </c:pt>
                <c:pt idx="3">
                  <c:v>68</c:v>
                </c:pt>
                <c:pt idx="4">
                  <c:v>103</c:v>
                </c:pt>
                <c:pt idx="5">
                  <c:v>206</c:v>
                </c:pt>
                <c:pt idx="6">
                  <c:v>332</c:v>
                </c:pt>
                <c:pt idx="7">
                  <c:v>483</c:v>
                </c:pt>
                <c:pt idx="8">
                  <c:v>657</c:v>
                </c:pt>
                <c:pt idx="9">
                  <c:v>909</c:v>
                </c:pt>
                <c:pt idx="10">
                  <c:v>1088</c:v>
                </c:pt>
                <c:pt idx="11">
                  <c:v>1160</c:v>
                </c:pt>
                <c:pt idx="12">
                  <c:v>1155</c:v>
                </c:pt>
                <c:pt idx="13">
                  <c:v>995</c:v>
                </c:pt>
                <c:pt idx="14">
                  <c:v>899</c:v>
                </c:pt>
                <c:pt idx="15">
                  <c:v>652</c:v>
                </c:pt>
                <c:pt idx="16">
                  <c:v>508</c:v>
                </c:pt>
                <c:pt idx="17">
                  <c:v>312</c:v>
                </c:pt>
                <c:pt idx="18">
                  <c:v>217</c:v>
                </c:pt>
                <c:pt idx="19">
                  <c:v>120</c:v>
                </c:pt>
                <c:pt idx="20">
                  <c:v>57</c:v>
                </c:pt>
                <c:pt idx="21">
                  <c:v>30</c:v>
                </c:pt>
                <c:pt idx="22">
                  <c:v>12</c:v>
                </c:pt>
                <c:pt idx="23">
                  <c:v>3</c:v>
                </c:pt>
                <c:pt idx="24">
                  <c:v>3</c:v>
                </c:pt>
              </c:numCache>
            </c:numRef>
          </c:yVal>
          <c:smooth val="1"/>
          <c:extLst>
            <c:ext xmlns:c16="http://schemas.microsoft.com/office/drawing/2014/chart" uri="{C3380CC4-5D6E-409C-BE32-E72D297353CC}">
              <c16:uniqueId val="{00000003-8667-482F-B3D8-DD420F2EDB4E}"/>
            </c:ext>
          </c:extLst>
        </c:ser>
        <c:dLbls>
          <c:showLegendKey val="0"/>
          <c:showVal val="0"/>
          <c:showCatName val="0"/>
          <c:showSerName val="0"/>
          <c:showPercent val="0"/>
          <c:showBubbleSize val="0"/>
        </c:dLbls>
        <c:axId val="839080912"/>
        <c:axId val="1"/>
      </c:scatterChart>
      <c:catAx>
        <c:axId val="839080912"/>
        <c:scaling>
          <c:orientation val="minMax"/>
        </c:scaling>
        <c:delete val="0"/>
        <c:axPos val="b"/>
        <c:minorGridlines/>
        <c:numFmt formatCode="#,##0.00" sourceLinked="0"/>
        <c:majorTickMark val="out"/>
        <c:minorTickMark val="none"/>
        <c:tickLblPos val="nextTo"/>
        <c:txPr>
          <a:bodyPr rot="-5400000" vert="horz"/>
          <a:lstStyle/>
          <a:p>
            <a:pPr>
              <a:defRPr/>
            </a:pPr>
            <a:endParaRPr lang="es-CO"/>
          </a:p>
        </c:txPr>
        <c:crossAx val="1"/>
        <c:crosses val="autoZero"/>
        <c:auto val="1"/>
        <c:lblAlgn val="ctr"/>
        <c:lblOffset val="100"/>
        <c:noMultiLvlLbl val="0"/>
      </c:catAx>
      <c:valAx>
        <c:axId val="1"/>
        <c:scaling>
          <c:orientation val="minMax"/>
          <c:min val="0"/>
        </c:scaling>
        <c:delete val="0"/>
        <c:axPos val="l"/>
        <c:majorGridlines/>
        <c:minorGridlines/>
        <c:numFmt formatCode="General" sourceLinked="1"/>
        <c:majorTickMark val="out"/>
        <c:minorTickMark val="none"/>
        <c:tickLblPos val="nextTo"/>
        <c:crossAx val="839080912"/>
        <c:crosses val="autoZero"/>
        <c:crossBetween val="between"/>
      </c:valAx>
      <c:spPr>
        <a:gradFill>
          <a:gsLst>
            <a:gs pos="0">
              <a:srgbClr val="FFEFD1"/>
            </a:gs>
            <a:gs pos="64999">
              <a:srgbClr val="F0EBD5"/>
            </a:gs>
            <a:gs pos="100000">
              <a:srgbClr val="D1C39F"/>
            </a:gs>
          </a:gsLst>
          <a:lin ang="5400000" scaled="0"/>
        </a:gradFill>
        <a:scene3d>
          <a:camera prst="orthographicFront"/>
          <a:lightRig rig="threePt" dir="t"/>
        </a:scene3d>
        <a:sp3d>
          <a:bevelT/>
        </a:sp3d>
      </c:spPr>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3"/>
          <c:tx>
            <c:strRef>
              <c:f>'Analisis Produccion Vs Ventas'!$A$94</c:f>
              <c:strCache>
                <c:ptCount val="1"/>
                <c:pt idx="0">
                  <c:v>Argos Toneladas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'Analisis Produccion Vs Ventas'!$C$94:$H$94</c:f>
            </c:numRef>
          </c:val>
          <c:extLst>
            <c:ext xmlns:c15="http://schemas.microsoft.com/office/drawing/2012/chart" uri="{02D57815-91ED-43cb-92C2-25804820EDAC}">
              <c15:filteredCategoryTitle>
                <c15:cat>
                  <c:multiLvlStrRef>
                    <c:extLst>
                      <c:ext uri="{02D57815-91ED-43cb-92C2-25804820EDAC}">
                        <c15:formulaRef>
                          <c15:sqref>'Analisis Produccion Vs Ventas'!$C$89:$H$89</c15:sqref>
                        </c15:formulaRef>
                      </c:ext>
                    </c:extLst>
                  </c:multiLvlStrRef>
                </c15:cat>
              </c15:filteredCategoryTitle>
            </c:ext>
            <c:ext xmlns:c16="http://schemas.microsoft.com/office/drawing/2014/chart" uri="{C3380CC4-5D6E-409C-BE32-E72D297353CC}">
              <c16:uniqueId val="{00000005-FB7F-4264-B14F-906BA6B5D9BC}"/>
            </c:ext>
          </c:extLst>
        </c:ser>
        <c:ser>
          <c:idx val="4"/>
          <c:order val="4"/>
          <c:tx>
            <c:strRef>
              <c:f>'Analisis Produccion Vs Ventas'!$A$96</c:f>
              <c:strCache>
                <c:ptCount val="1"/>
                <c:pt idx="0">
                  <c:v>Cemex Toneladas</c:v>
                </c:pt>
              </c:strCache>
            </c:strRef>
          </c:tx>
          <c:spPr>
            <a:solidFill>
              <a:schemeClr val="accent5"/>
            </a:solidFill>
            <a:ln>
              <a:noFill/>
            </a:ln>
            <a:effectLst/>
          </c:spPr>
          <c:invertIfNegative val="0"/>
          <c:dLbls>
            <c:dLbl>
              <c:idx val="2"/>
              <c:layout>
                <c:manualLayout>
                  <c:x val="1.8477577580849541E-2"/>
                  <c:y val="2.2670232021791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7F-4264-B14F-906BA6B5D9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'Analisis Produccion Vs Ventas'!$C$96:$H$96</c:f>
            </c:numRef>
          </c:val>
          <c:extLst>
            <c:ext xmlns:c15="http://schemas.microsoft.com/office/drawing/2012/chart" uri="{02D57815-91ED-43cb-92C2-25804820EDAC}">
              <c15:filteredCategoryTitle>
                <c15:cat>
                  <c:multiLvlStrRef>
                    <c:extLst>
                      <c:ext uri="{02D57815-91ED-43cb-92C2-25804820EDAC}">
                        <c15:formulaRef>
                          <c15:sqref>'Analisis Produccion Vs Ventas'!$C$89:$H$89</c15:sqref>
                        </c15:formulaRef>
                      </c:ext>
                    </c:extLst>
                  </c:multiLvlStrRef>
                </c15:cat>
              </c15:filteredCategoryTitle>
            </c:ext>
            <c:ext xmlns:c16="http://schemas.microsoft.com/office/drawing/2014/chart" uri="{C3380CC4-5D6E-409C-BE32-E72D297353CC}">
              <c16:uniqueId val="{00000006-FB7F-4264-B14F-906BA6B5D9BC}"/>
            </c:ext>
          </c:extLst>
        </c:ser>
        <c:ser>
          <c:idx val="5"/>
          <c:order val="5"/>
          <c:tx>
            <c:strRef>
              <c:f>'Analisis Produccion Vs Ventas'!$A$104</c:f>
              <c:strCache>
                <c:ptCount val="1"/>
                <c:pt idx="0">
                  <c:v>Argos Toneladas CCA+COL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'Analisis Produccion Vs Ventas'!$C$104:$H$104</c:f>
            </c:numRef>
          </c:val>
          <c:extLst>
            <c:ext xmlns:c15="http://schemas.microsoft.com/office/drawing/2012/chart" uri="{02D57815-91ED-43cb-92C2-25804820EDAC}">
              <c15:filteredCategoryTitle>
                <c15:cat>
                  <c:multiLvlStrRef>
                    <c:extLst>
                      <c:ext uri="{02D57815-91ED-43cb-92C2-25804820EDAC}">
                        <c15:formulaRef>
                          <c15:sqref>'Analisis Produccion Vs Ventas'!$C$89:$H$89</c15:sqref>
                        </c15:formulaRef>
                      </c:ext>
                    </c:extLst>
                  </c:multiLvlStrRef>
                </c15:cat>
              </c15:filteredCategoryTitle>
            </c:ext>
            <c:ext xmlns:c16="http://schemas.microsoft.com/office/drawing/2014/chart" uri="{C3380CC4-5D6E-409C-BE32-E72D297353CC}">
              <c16:uniqueId val="{00000007-FB7F-4264-B14F-906BA6B5D9BC}"/>
            </c:ext>
          </c:extLst>
        </c:ser>
        <c:ser>
          <c:idx val="6"/>
          <c:order val="6"/>
          <c:tx>
            <c:strRef>
              <c:f>'Analisis Produccion Vs Ventas'!$A$100</c:f>
              <c:strCache>
                <c:ptCount val="1"/>
                <c:pt idx="0">
                  <c:v>Argos Toneladas Colombia</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'Analisis Produccion Vs Ventas'!$C$100:$H$100</c:f>
            </c:numRef>
          </c:val>
          <c:extLst>
            <c:ext xmlns:c16="http://schemas.microsoft.com/office/drawing/2014/chart" uri="{C3380CC4-5D6E-409C-BE32-E72D297353CC}">
              <c16:uniqueId val="{00000008-FB7F-4264-B14F-906BA6B5D9BC}"/>
            </c:ext>
          </c:extLst>
        </c:ser>
        <c:dLbls>
          <c:showLegendKey val="0"/>
          <c:showVal val="0"/>
          <c:showCatName val="0"/>
          <c:showSerName val="0"/>
          <c:showPercent val="0"/>
          <c:showBubbleSize val="0"/>
        </c:dLbls>
        <c:gapWidth val="150"/>
        <c:axId val="70042128"/>
        <c:axId val="70051696"/>
      </c:barChart>
      <c:lineChart>
        <c:grouping val="standard"/>
        <c:varyColors val="0"/>
        <c:ser>
          <c:idx val="0"/>
          <c:order val="0"/>
          <c:tx>
            <c:strRef>
              <c:f>'Analisis Produccion Vs Ventas'!$A$90</c:f>
              <c:strCache>
                <c:ptCount val="1"/>
                <c:pt idx="0">
                  <c:v>PIB</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'Analisis Produccion Vs Ventas'!$C$90:$H$90</c:f>
            </c:numRef>
          </c:val>
          <c:smooth val="0"/>
          <c:extLst>
            <c:ext xmlns:c15="http://schemas.microsoft.com/office/drawing/2012/chart" uri="{02D57815-91ED-43cb-92C2-25804820EDAC}">
              <c15:filteredCategoryTitle>
                <c15:cat>
                  <c:multiLvlStrRef>
                    <c:extLst>
                      <c:ext uri="{02D57815-91ED-43cb-92C2-25804820EDAC}">
                        <c15:formulaRef>
                          <c15:sqref>'Analisis Produccion Vs Ventas'!$C$89:$H$89</c15:sqref>
                        </c15:formulaRef>
                      </c:ext>
                    </c:extLst>
                  </c:multiLvlStrRef>
                </c15:cat>
              </c15:filteredCategoryTitle>
            </c:ext>
            <c:ext xmlns:c16="http://schemas.microsoft.com/office/drawing/2014/chart" uri="{C3380CC4-5D6E-409C-BE32-E72D297353CC}">
              <c16:uniqueId val="{00000000-FB7F-4264-B14F-906BA6B5D9BC}"/>
            </c:ext>
          </c:extLst>
        </c:ser>
        <c:ser>
          <c:idx val="1"/>
          <c:order val="1"/>
          <c:tx>
            <c:strRef>
              <c:f>'Analisis Produccion Vs Ventas'!$A$91</c:f>
              <c:strCache>
                <c:ptCount val="1"/>
                <c:pt idx="0">
                  <c:v>Argos Ingresos %</c:v>
                </c:pt>
              </c:strCache>
            </c:strRef>
          </c:tx>
          <c:spPr>
            <a:ln w="28575" cap="rnd">
              <a:solidFill>
                <a:schemeClr val="accent2"/>
              </a:solidFill>
              <a:round/>
            </a:ln>
            <a:effectLst/>
          </c:spPr>
          <c:marker>
            <c:symbol val="none"/>
          </c:marker>
          <c:val>
            <c:numRef>
              <c:f>'Analisis Produccion Vs Ventas'!$C$91:$H$91</c:f>
            </c:numRef>
          </c:val>
          <c:smooth val="0"/>
          <c:extLst>
            <c:ext xmlns:c15="http://schemas.microsoft.com/office/drawing/2012/chart" uri="{02D57815-91ED-43cb-92C2-25804820EDAC}">
              <c15:filteredCategoryTitle>
                <c15:cat>
                  <c:multiLvlStrRef>
                    <c:extLst>
                      <c:ext uri="{02D57815-91ED-43cb-92C2-25804820EDAC}">
                        <c15:formulaRef>
                          <c15:sqref>'Analisis Produccion Vs Ventas'!$C$89:$H$89</c15:sqref>
                        </c15:formulaRef>
                      </c:ext>
                    </c:extLst>
                  </c:multiLvlStrRef>
                </c15:cat>
              </c15:filteredCategoryTitle>
            </c:ext>
            <c:ext xmlns:c16="http://schemas.microsoft.com/office/drawing/2014/chart" uri="{C3380CC4-5D6E-409C-BE32-E72D297353CC}">
              <c16:uniqueId val="{00000002-FB7F-4264-B14F-906BA6B5D9BC}"/>
            </c:ext>
          </c:extLst>
        </c:ser>
        <c:ser>
          <c:idx val="2"/>
          <c:order val="2"/>
          <c:tx>
            <c:strRef>
              <c:f>'Analisis Produccion Vs Ventas'!$A$92</c:f>
              <c:strCache>
                <c:ptCount val="1"/>
                <c:pt idx="0">
                  <c:v>Argos Volumen %</c:v>
                </c:pt>
              </c:strCache>
            </c:strRef>
          </c:tx>
          <c:spPr>
            <a:ln w="28575" cap="rnd">
              <a:solidFill>
                <a:schemeClr val="accent3"/>
              </a:solidFill>
              <a:round/>
            </a:ln>
            <a:effectLst/>
          </c:spPr>
          <c:marker>
            <c:symbol val="none"/>
          </c:marker>
          <c:val>
            <c:numRef>
              <c:f>'Analisis Produccion Vs Ventas'!$C$92:$H$92</c:f>
            </c:numRef>
          </c:val>
          <c:smooth val="0"/>
          <c:extLst>
            <c:ext xmlns:c15="http://schemas.microsoft.com/office/drawing/2012/chart" uri="{02D57815-91ED-43cb-92C2-25804820EDAC}">
              <c15:filteredCategoryTitle>
                <c15:cat>
                  <c:multiLvlStrRef>
                    <c:extLst>
                      <c:ext uri="{02D57815-91ED-43cb-92C2-25804820EDAC}">
                        <c15:formulaRef>
                          <c15:sqref>'Analisis Produccion Vs Ventas'!$C$89:$H$89</c15:sqref>
                        </c15:formulaRef>
                      </c:ext>
                    </c:extLst>
                  </c:multiLvlStrRef>
                </c15:cat>
              </c15:filteredCategoryTitle>
            </c:ext>
            <c:ext xmlns:c16="http://schemas.microsoft.com/office/drawing/2014/chart" uri="{C3380CC4-5D6E-409C-BE32-E72D297353CC}">
              <c16:uniqueId val="{00000003-FB7F-4264-B14F-906BA6B5D9BC}"/>
            </c:ext>
          </c:extLst>
        </c:ser>
        <c:dLbls>
          <c:showLegendKey val="0"/>
          <c:showVal val="0"/>
          <c:showCatName val="0"/>
          <c:showSerName val="0"/>
          <c:showPercent val="0"/>
          <c:showBubbleSize val="0"/>
        </c:dLbls>
        <c:marker val="1"/>
        <c:smooth val="0"/>
        <c:axId val="1166458096"/>
        <c:axId val="1166461424"/>
      </c:lineChart>
      <c:catAx>
        <c:axId val="116645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6461424"/>
        <c:crosses val="autoZero"/>
        <c:auto val="1"/>
        <c:lblAlgn val="ctr"/>
        <c:lblOffset val="100"/>
        <c:noMultiLvlLbl val="0"/>
      </c:catAx>
      <c:valAx>
        <c:axId val="1166461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6458096"/>
        <c:crosses val="autoZero"/>
        <c:crossBetween val="between"/>
      </c:valAx>
      <c:valAx>
        <c:axId val="700516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42128"/>
        <c:crosses val="max"/>
        <c:crossBetween val="between"/>
      </c:valAx>
      <c:catAx>
        <c:axId val="70042128"/>
        <c:scaling>
          <c:orientation val="minMax"/>
        </c:scaling>
        <c:delete val="1"/>
        <c:axPos val="b"/>
        <c:numFmt formatCode="General" sourceLinked="1"/>
        <c:majorTickMark val="out"/>
        <c:minorTickMark val="none"/>
        <c:tickLblPos val="nextTo"/>
        <c:crossAx val="700516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Comportamiento PIB</a:t>
            </a:r>
            <a:r>
              <a:rPr lang="es-CO" baseline="0"/>
              <a:t> Sector 2014-2018</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v>Colombia</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'Analisis Produccion Vs Ventas'!$C$46:$H$46</c15:sqref>
                  </c15:fullRef>
                </c:ext>
              </c:extLst>
              <c:f>'Analisis Produccion Vs Ventas'!$D$46:$H$46</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'Analisis Produccion Vs Ventas'!$C$48:$H$48</c15:sqref>
                  </c15:fullRef>
                </c:ext>
              </c:extLst>
              <c:f>'Analisis Produccion Vs Ventas'!$D$48:$H$48</c:f>
              <c:numCache>
                <c:formatCode>0.0%</c:formatCode>
                <c:ptCount val="5"/>
                <c:pt idx="0">
                  <c:v>0.13600000000000001</c:v>
                </c:pt>
                <c:pt idx="1">
                  <c:v>7.0000000000000007E-2</c:v>
                </c:pt>
                <c:pt idx="2">
                  <c:v>-1.2999999999999999E-2</c:v>
                </c:pt>
                <c:pt idx="3">
                  <c:v>4.0000000000000001E-3</c:v>
                </c:pt>
                <c:pt idx="4">
                  <c:v>4.2000000000000003E-2</c:v>
                </c:pt>
              </c:numCache>
            </c:numRef>
          </c:val>
          <c:extLst>
            <c:ext xmlns:c16="http://schemas.microsoft.com/office/drawing/2014/chart" uri="{C3380CC4-5D6E-409C-BE32-E72D297353CC}">
              <c16:uniqueId val="{00000001-28A2-4282-BA42-58C13A976F3B}"/>
            </c:ext>
          </c:extLst>
        </c:ser>
        <c:ser>
          <c:idx val="2"/>
          <c:order val="1"/>
          <c:tx>
            <c:v>Costa Rica</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'Analisis Produccion Vs Ventas'!$C$46:$H$46</c15:sqref>
                  </c15:fullRef>
                </c:ext>
              </c:extLst>
              <c:f>'Analisis Produccion Vs Ventas'!$D$46:$H$46</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'Analisis Produccion Vs Ventas'!$C$53:$H$53</c15:sqref>
                  </c15:fullRef>
                </c:ext>
              </c:extLst>
              <c:f>'Analisis Produccion Vs Ventas'!$D$53:$H$53</c:f>
              <c:numCache>
                <c:formatCode>0.0%</c:formatCode>
                <c:ptCount val="5"/>
                <c:pt idx="0">
                  <c:v>2.1000000000000001E-2</c:v>
                </c:pt>
                <c:pt idx="1">
                  <c:v>9.4E-2</c:v>
                </c:pt>
                <c:pt idx="2">
                  <c:v>-3.4000000000000002E-2</c:v>
                </c:pt>
                <c:pt idx="3">
                  <c:v>-2.1000000000000001E-2</c:v>
                </c:pt>
                <c:pt idx="4">
                  <c:v>6.6000000000000003E-2</c:v>
                </c:pt>
              </c:numCache>
            </c:numRef>
          </c:val>
          <c:extLst>
            <c:ext xmlns:c16="http://schemas.microsoft.com/office/drawing/2014/chart" uri="{C3380CC4-5D6E-409C-BE32-E72D297353CC}">
              <c16:uniqueId val="{00000002-28A2-4282-BA42-58C13A976F3B}"/>
            </c:ext>
          </c:extLst>
        </c:ser>
        <c:ser>
          <c:idx val="3"/>
          <c:order val="2"/>
          <c:tx>
            <c:v>Panamá</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'Analisis Produccion Vs Ventas'!$C$46:$H$46</c15:sqref>
                  </c15:fullRef>
                </c:ext>
              </c:extLst>
              <c:f>'Analisis Produccion Vs Ventas'!$D$46:$H$46</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'Analisis Produccion Vs Ventas'!$C$66:$H$66</c15:sqref>
                  </c15:fullRef>
                </c:ext>
              </c:extLst>
              <c:f>'Analisis Produccion Vs Ventas'!$D$66:$H$66</c:f>
              <c:numCache>
                <c:formatCode>0.0%</c:formatCode>
                <c:ptCount val="5"/>
                <c:pt idx="0">
                  <c:v>0.21199999999999999</c:v>
                </c:pt>
                <c:pt idx="1">
                  <c:v>0.122</c:v>
                </c:pt>
                <c:pt idx="2">
                  <c:v>8.4000000000000005E-2</c:v>
                </c:pt>
                <c:pt idx="3">
                  <c:v>0.06</c:v>
                </c:pt>
                <c:pt idx="4">
                  <c:v>2.1000000000000001E-2</c:v>
                </c:pt>
              </c:numCache>
            </c:numRef>
          </c:val>
          <c:extLst>
            <c:ext xmlns:c16="http://schemas.microsoft.com/office/drawing/2014/chart" uri="{C3380CC4-5D6E-409C-BE32-E72D297353CC}">
              <c16:uniqueId val="{00000003-28A2-4282-BA42-58C13A976F3B}"/>
            </c:ext>
          </c:extLst>
        </c:ser>
        <c:dLbls>
          <c:showLegendKey val="0"/>
          <c:showVal val="0"/>
          <c:showCatName val="0"/>
          <c:showSerName val="0"/>
          <c:showPercent val="0"/>
          <c:showBubbleSize val="0"/>
        </c:dLbls>
        <c:gapWidth val="219"/>
        <c:overlap val="-27"/>
        <c:axId val="78367743"/>
        <c:axId val="78366079"/>
      </c:barChart>
      <c:catAx>
        <c:axId val="783677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0" i="0" u="none" strike="noStrike" kern="1200" baseline="0">
                <a:solidFill>
                  <a:schemeClr val="tx1">
                    <a:lumMod val="65000"/>
                    <a:lumOff val="35000"/>
                  </a:schemeClr>
                </a:solidFill>
                <a:latin typeface="+mn-lt"/>
                <a:ea typeface="+mn-ea"/>
                <a:cs typeface="+mn-cs"/>
              </a:defRPr>
            </a:pPr>
            <a:endParaRPr lang="es-CO"/>
          </a:p>
        </c:txPr>
        <c:crossAx val="78366079"/>
        <c:crosses val="autoZero"/>
        <c:auto val="1"/>
        <c:lblAlgn val="ctr"/>
        <c:lblOffset val="100"/>
        <c:noMultiLvlLbl val="0"/>
      </c:catAx>
      <c:valAx>
        <c:axId val="78366079"/>
        <c:scaling>
          <c:orientation val="minMax"/>
          <c:max val="0.24000000000000002"/>
          <c:min val="-5.000000000000001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367743"/>
        <c:crosses val="autoZero"/>
        <c:crossBetween val="between"/>
        <c:majorUnit val="8.0000000000000016E-2"/>
        <c:minorUnit val="3.0000000000000006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Tendencia Relacion</a:t>
            </a:r>
            <a:r>
              <a:rPr lang="es-CO" baseline="0"/>
              <a:t> Variacion Tasa de Cambio vs Efectos Conversion Moneda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3392322834645671"/>
                  <c:y val="-5.2418343540390787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accent6"/>
                      </a:solidFill>
                      <a:latin typeface="+mn-lt"/>
                      <a:ea typeface="+mn-ea"/>
                      <a:cs typeface="+mn-cs"/>
                    </a:defRPr>
                  </a:pPr>
                  <a:endParaRPr lang="es-CO"/>
                </a:p>
              </c:txPr>
            </c:trendlineLbl>
          </c:trendline>
          <c:xVal>
            <c:numRef>
              <c:f>'Proyeccion Efec Conv. Moneda'!$B$3:$F$3</c:f>
              <c:numCache>
                <c:formatCode>0.0%</c:formatCode>
                <c:ptCount val="5"/>
                <c:pt idx="0" formatCode="0.00%">
                  <c:v>-0.24165598418127199</c:v>
                </c:pt>
                <c:pt idx="1">
                  <c:v>-0.31641490348845902</c:v>
                </c:pt>
                <c:pt idx="2">
                  <c:v>4.7233344022962503E-2</c:v>
                </c:pt>
                <c:pt idx="3" formatCode="0.00%">
                  <c:v>5.5686820785747502E-3</c:v>
                </c:pt>
                <c:pt idx="4" formatCode="0.00%">
                  <c:v>-8.9800000000000005E-2</c:v>
                </c:pt>
              </c:numCache>
            </c:numRef>
          </c:xVal>
          <c:yVal>
            <c:numRef>
              <c:f>'Proyeccion Efec Conv. Moneda'!$B$4:$F$4</c:f>
              <c:numCache>
                <c:formatCode>_("$"* #,##0_);_("$"* \(#,##0\);_("$"* "-"_);_(@_)</c:formatCode>
                <c:ptCount val="5"/>
                <c:pt idx="0">
                  <c:v>-278423</c:v>
                </c:pt>
                <c:pt idx="1">
                  <c:v>-279449</c:v>
                </c:pt>
                <c:pt idx="2">
                  <c:v>45092</c:v>
                </c:pt>
                <c:pt idx="3">
                  <c:v>-10922</c:v>
                </c:pt>
                <c:pt idx="4">
                  <c:v>-152324</c:v>
                </c:pt>
              </c:numCache>
            </c:numRef>
          </c:yVal>
          <c:smooth val="0"/>
          <c:extLst>
            <c:ext xmlns:c16="http://schemas.microsoft.com/office/drawing/2014/chart" uri="{C3380CC4-5D6E-409C-BE32-E72D297353CC}">
              <c16:uniqueId val="{00000000-FC97-47BF-8449-18913FE949B0}"/>
            </c:ext>
          </c:extLst>
        </c:ser>
        <c:dLbls>
          <c:showLegendKey val="0"/>
          <c:showVal val="0"/>
          <c:showCatName val="0"/>
          <c:showSerName val="0"/>
          <c:showPercent val="0"/>
          <c:showBubbleSize val="0"/>
        </c:dLbls>
        <c:axId val="984031288"/>
        <c:axId val="984033848"/>
      </c:scatterChart>
      <c:valAx>
        <c:axId val="98403128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4033848"/>
        <c:crosses val="autoZero"/>
        <c:crossBetween val="midCat"/>
      </c:valAx>
      <c:valAx>
        <c:axId val="9840338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40312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_tradnl"/>
              <a:t>Desde</a:t>
            </a:r>
            <a:r>
              <a:rPr lang="es-ES_tradnl" baseline="0"/>
              <a:t> ell 2013</a:t>
            </a:r>
            <a:endParaRPr lang="es-ES_tradnl"/>
          </a:p>
        </c:rich>
      </c:tx>
      <c:overlay val="0"/>
    </c:title>
    <c:autoTitleDeleted val="0"/>
    <c:plotArea>
      <c:layout/>
      <c:barChart>
        <c:barDir val="col"/>
        <c:grouping val="clustered"/>
        <c:varyColors val="0"/>
        <c:ser>
          <c:idx val="0"/>
          <c:order val="0"/>
          <c:tx>
            <c:v>Frecuencia</c:v>
          </c:tx>
          <c:invertIfNegative val="0"/>
          <c:cat>
            <c:strRef>
              <c:f>Hoja2!$A$19:$A$54</c:f>
              <c:strCache>
                <c:ptCount val="36"/>
                <c:pt idx="0">
                  <c:v>5300</c:v>
                </c:pt>
                <c:pt idx="1">
                  <c:v>5714,857143</c:v>
                </c:pt>
                <c:pt idx="2">
                  <c:v>6129,714286</c:v>
                </c:pt>
                <c:pt idx="3">
                  <c:v>6544,571429</c:v>
                </c:pt>
                <c:pt idx="4">
                  <c:v>6959,428571</c:v>
                </c:pt>
                <c:pt idx="5">
                  <c:v>7374,285714</c:v>
                </c:pt>
                <c:pt idx="6">
                  <c:v>7789,142857</c:v>
                </c:pt>
                <c:pt idx="7">
                  <c:v>8204</c:v>
                </c:pt>
                <c:pt idx="8">
                  <c:v>8618,857143</c:v>
                </c:pt>
                <c:pt idx="9">
                  <c:v>9033,714286</c:v>
                </c:pt>
                <c:pt idx="10">
                  <c:v>9448,571429</c:v>
                </c:pt>
                <c:pt idx="11">
                  <c:v>9863,428571</c:v>
                </c:pt>
                <c:pt idx="12">
                  <c:v>10278,28571</c:v>
                </c:pt>
                <c:pt idx="13">
                  <c:v>10693,14286</c:v>
                </c:pt>
                <c:pt idx="14">
                  <c:v>11108</c:v>
                </c:pt>
                <c:pt idx="15">
                  <c:v>11522,85714</c:v>
                </c:pt>
                <c:pt idx="16">
                  <c:v>11937,71429</c:v>
                </c:pt>
                <c:pt idx="17">
                  <c:v>12352,57143</c:v>
                </c:pt>
                <c:pt idx="18">
                  <c:v>12767,42857</c:v>
                </c:pt>
                <c:pt idx="19">
                  <c:v>13182,28571</c:v>
                </c:pt>
                <c:pt idx="20">
                  <c:v>13597,14286</c:v>
                </c:pt>
                <c:pt idx="21">
                  <c:v>14012</c:v>
                </c:pt>
                <c:pt idx="22">
                  <c:v>14426,85714</c:v>
                </c:pt>
                <c:pt idx="23">
                  <c:v>14841,71429</c:v>
                </c:pt>
                <c:pt idx="24">
                  <c:v>15256,57143</c:v>
                </c:pt>
                <c:pt idx="25">
                  <c:v>15671,42857</c:v>
                </c:pt>
                <c:pt idx="26">
                  <c:v>16086,28571</c:v>
                </c:pt>
                <c:pt idx="27">
                  <c:v>16501,14286</c:v>
                </c:pt>
                <c:pt idx="28">
                  <c:v>16916</c:v>
                </c:pt>
                <c:pt idx="29">
                  <c:v>17330,85714</c:v>
                </c:pt>
                <c:pt idx="30">
                  <c:v>17745,71429</c:v>
                </c:pt>
                <c:pt idx="31">
                  <c:v>18160,57143</c:v>
                </c:pt>
                <c:pt idx="32">
                  <c:v>18575,42857</c:v>
                </c:pt>
                <c:pt idx="33">
                  <c:v>18990,28571</c:v>
                </c:pt>
                <c:pt idx="34">
                  <c:v>19405,14286</c:v>
                </c:pt>
                <c:pt idx="35">
                  <c:v>y mayor...</c:v>
                </c:pt>
              </c:strCache>
            </c:strRef>
          </c:cat>
          <c:val>
            <c:numRef>
              <c:f>Hoja2!$B$19:$B$54</c:f>
              <c:numCache>
                <c:formatCode>General</c:formatCode>
                <c:ptCount val="36"/>
                <c:pt idx="0">
                  <c:v>1</c:v>
                </c:pt>
                <c:pt idx="1">
                  <c:v>11</c:v>
                </c:pt>
                <c:pt idx="2">
                  <c:v>8</c:v>
                </c:pt>
                <c:pt idx="3">
                  <c:v>8</c:v>
                </c:pt>
                <c:pt idx="4">
                  <c:v>4</c:v>
                </c:pt>
                <c:pt idx="5">
                  <c:v>9</c:v>
                </c:pt>
                <c:pt idx="6">
                  <c:v>8</c:v>
                </c:pt>
                <c:pt idx="7">
                  <c:v>15</c:v>
                </c:pt>
                <c:pt idx="8">
                  <c:v>22</c:v>
                </c:pt>
                <c:pt idx="9">
                  <c:v>33</c:v>
                </c:pt>
                <c:pt idx="10">
                  <c:v>36</c:v>
                </c:pt>
                <c:pt idx="11">
                  <c:v>33</c:v>
                </c:pt>
                <c:pt idx="12">
                  <c:v>37</c:v>
                </c:pt>
                <c:pt idx="13">
                  <c:v>53</c:v>
                </c:pt>
                <c:pt idx="14">
                  <c:v>134</c:v>
                </c:pt>
                <c:pt idx="15">
                  <c:v>91</c:v>
                </c:pt>
                <c:pt idx="16">
                  <c:v>117</c:v>
                </c:pt>
                <c:pt idx="17">
                  <c:v>37</c:v>
                </c:pt>
                <c:pt idx="18">
                  <c:v>74</c:v>
                </c:pt>
                <c:pt idx="19">
                  <c:v>66</c:v>
                </c:pt>
                <c:pt idx="20">
                  <c:v>46</c:v>
                </c:pt>
                <c:pt idx="21">
                  <c:v>45</c:v>
                </c:pt>
                <c:pt idx="22">
                  <c:v>21</c:v>
                </c:pt>
                <c:pt idx="23">
                  <c:v>46</c:v>
                </c:pt>
                <c:pt idx="24">
                  <c:v>53</c:v>
                </c:pt>
                <c:pt idx="25">
                  <c:v>21</c:v>
                </c:pt>
                <c:pt idx="26">
                  <c:v>29</c:v>
                </c:pt>
                <c:pt idx="27">
                  <c:v>23</c:v>
                </c:pt>
                <c:pt idx="28">
                  <c:v>9</c:v>
                </c:pt>
                <c:pt idx="29">
                  <c:v>19</c:v>
                </c:pt>
                <c:pt idx="30">
                  <c:v>20</c:v>
                </c:pt>
                <c:pt idx="31">
                  <c:v>45</c:v>
                </c:pt>
                <c:pt idx="32">
                  <c:v>16</c:v>
                </c:pt>
                <c:pt idx="33">
                  <c:v>29</c:v>
                </c:pt>
                <c:pt idx="34">
                  <c:v>17</c:v>
                </c:pt>
                <c:pt idx="35">
                  <c:v>2</c:v>
                </c:pt>
              </c:numCache>
            </c:numRef>
          </c:val>
          <c:extLst>
            <c:ext xmlns:c16="http://schemas.microsoft.com/office/drawing/2014/chart" uri="{C3380CC4-5D6E-409C-BE32-E72D297353CC}">
              <c16:uniqueId val="{00000000-7B0C-2D4E-95B0-87714488E288}"/>
            </c:ext>
          </c:extLst>
        </c:ser>
        <c:dLbls>
          <c:showLegendKey val="0"/>
          <c:showVal val="0"/>
          <c:showCatName val="0"/>
          <c:showSerName val="0"/>
          <c:showPercent val="0"/>
          <c:showBubbleSize val="0"/>
        </c:dLbls>
        <c:gapWidth val="150"/>
        <c:axId val="1578444016"/>
        <c:axId val="1578445696"/>
      </c:barChart>
      <c:lineChart>
        <c:grouping val="standard"/>
        <c:varyColors val="0"/>
        <c:ser>
          <c:idx val="1"/>
          <c:order val="1"/>
          <c:tx>
            <c:v>% acumulado</c:v>
          </c:tx>
          <c:cat>
            <c:strRef>
              <c:f>Hoja2!$A$19:$A$54</c:f>
              <c:strCache>
                <c:ptCount val="36"/>
                <c:pt idx="0">
                  <c:v>5300</c:v>
                </c:pt>
                <c:pt idx="1">
                  <c:v>5714,857143</c:v>
                </c:pt>
                <c:pt idx="2">
                  <c:v>6129,714286</c:v>
                </c:pt>
                <c:pt idx="3">
                  <c:v>6544,571429</c:v>
                </c:pt>
                <c:pt idx="4">
                  <c:v>6959,428571</c:v>
                </c:pt>
                <c:pt idx="5">
                  <c:v>7374,285714</c:v>
                </c:pt>
                <c:pt idx="6">
                  <c:v>7789,142857</c:v>
                </c:pt>
                <c:pt idx="7">
                  <c:v>8204</c:v>
                </c:pt>
                <c:pt idx="8">
                  <c:v>8618,857143</c:v>
                </c:pt>
                <c:pt idx="9">
                  <c:v>9033,714286</c:v>
                </c:pt>
                <c:pt idx="10">
                  <c:v>9448,571429</c:v>
                </c:pt>
                <c:pt idx="11">
                  <c:v>9863,428571</c:v>
                </c:pt>
                <c:pt idx="12">
                  <c:v>10278,28571</c:v>
                </c:pt>
                <c:pt idx="13">
                  <c:v>10693,14286</c:v>
                </c:pt>
                <c:pt idx="14">
                  <c:v>11108</c:v>
                </c:pt>
                <c:pt idx="15">
                  <c:v>11522,85714</c:v>
                </c:pt>
                <c:pt idx="16">
                  <c:v>11937,71429</c:v>
                </c:pt>
                <c:pt idx="17">
                  <c:v>12352,57143</c:v>
                </c:pt>
                <c:pt idx="18">
                  <c:v>12767,42857</c:v>
                </c:pt>
                <c:pt idx="19">
                  <c:v>13182,28571</c:v>
                </c:pt>
                <c:pt idx="20">
                  <c:v>13597,14286</c:v>
                </c:pt>
                <c:pt idx="21">
                  <c:v>14012</c:v>
                </c:pt>
                <c:pt idx="22">
                  <c:v>14426,85714</c:v>
                </c:pt>
                <c:pt idx="23">
                  <c:v>14841,71429</c:v>
                </c:pt>
                <c:pt idx="24">
                  <c:v>15256,57143</c:v>
                </c:pt>
                <c:pt idx="25">
                  <c:v>15671,42857</c:v>
                </c:pt>
                <c:pt idx="26">
                  <c:v>16086,28571</c:v>
                </c:pt>
                <c:pt idx="27">
                  <c:v>16501,14286</c:v>
                </c:pt>
                <c:pt idx="28">
                  <c:v>16916</c:v>
                </c:pt>
                <c:pt idx="29">
                  <c:v>17330,85714</c:v>
                </c:pt>
                <c:pt idx="30">
                  <c:v>17745,71429</c:v>
                </c:pt>
                <c:pt idx="31">
                  <c:v>18160,57143</c:v>
                </c:pt>
                <c:pt idx="32">
                  <c:v>18575,42857</c:v>
                </c:pt>
                <c:pt idx="33">
                  <c:v>18990,28571</c:v>
                </c:pt>
                <c:pt idx="34">
                  <c:v>19405,14286</c:v>
                </c:pt>
                <c:pt idx="35">
                  <c:v>y mayor...</c:v>
                </c:pt>
              </c:strCache>
            </c:strRef>
          </c:cat>
          <c:val>
            <c:numRef>
              <c:f>Hoja2!$C$19:$C$54</c:f>
              <c:numCache>
                <c:formatCode>0.00%</c:formatCode>
                <c:ptCount val="36"/>
                <c:pt idx="0">
                  <c:v>8.0775444264943462E-4</c:v>
                </c:pt>
                <c:pt idx="1">
                  <c:v>9.6930533117932146E-3</c:v>
                </c:pt>
                <c:pt idx="2">
                  <c:v>1.6155088852988692E-2</c:v>
                </c:pt>
                <c:pt idx="3">
                  <c:v>2.2617124394184167E-2</c:v>
                </c:pt>
                <c:pt idx="4">
                  <c:v>2.5848142164781908E-2</c:v>
                </c:pt>
                <c:pt idx="5">
                  <c:v>3.3117932148626815E-2</c:v>
                </c:pt>
                <c:pt idx="6">
                  <c:v>3.9579967689822297E-2</c:v>
                </c:pt>
                <c:pt idx="7">
                  <c:v>5.1696284329563816E-2</c:v>
                </c:pt>
                <c:pt idx="8">
                  <c:v>6.9466882067851371E-2</c:v>
                </c:pt>
                <c:pt idx="9">
                  <c:v>9.6122778675282711E-2</c:v>
                </c:pt>
                <c:pt idx="10">
                  <c:v>0.12520193861066237</c:v>
                </c:pt>
                <c:pt idx="11">
                  <c:v>0.15185783521809371</c:v>
                </c:pt>
                <c:pt idx="12">
                  <c:v>0.18174474959612277</c:v>
                </c:pt>
                <c:pt idx="13">
                  <c:v>0.2245557350565428</c:v>
                </c:pt>
                <c:pt idx="14">
                  <c:v>0.33279483037156704</c:v>
                </c:pt>
                <c:pt idx="15">
                  <c:v>0.40630048465266561</c:v>
                </c:pt>
                <c:pt idx="16">
                  <c:v>0.50080775444264947</c:v>
                </c:pt>
                <c:pt idx="17">
                  <c:v>0.53069466882067851</c:v>
                </c:pt>
                <c:pt idx="18">
                  <c:v>0.5904684975767367</c:v>
                </c:pt>
                <c:pt idx="19">
                  <c:v>0.64378029079159937</c:v>
                </c:pt>
                <c:pt idx="20">
                  <c:v>0.68093699515347339</c:v>
                </c:pt>
                <c:pt idx="21">
                  <c:v>0.71728594507269794</c:v>
                </c:pt>
                <c:pt idx="22">
                  <c:v>0.73424878836833607</c:v>
                </c:pt>
                <c:pt idx="23">
                  <c:v>0.77140549273020997</c:v>
                </c:pt>
                <c:pt idx="24">
                  <c:v>0.81421647819063003</c:v>
                </c:pt>
                <c:pt idx="25">
                  <c:v>0.83117932148626816</c:v>
                </c:pt>
                <c:pt idx="26">
                  <c:v>0.8546042003231018</c:v>
                </c:pt>
                <c:pt idx="27">
                  <c:v>0.87318255250403876</c:v>
                </c:pt>
                <c:pt idx="28">
                  <c:v>0.88045234248788373</c:v>
                </c:pt>
                <c:pt idx="29">
                  <c:v>0.89579967689822293</c:v>
                </c:pt>
                <c:pt idx="30">
                  <c:v>0.91195476575121159</c:v>
                </c:pt>
                <c:pt idx="31">
                  <c:v>0.94830371567043614</c:v>
                </c:pt>
                <c:pt idx="32">
                  <c:v>0.96122778675282716</c:v>
                </c:pt>
                <c:pt idx="33">
                  <c:v>0.98465266558966069</c:v>
                </c:pt>
                <c:pt idx="34">
                  <c:v>0.99838449111470118</c:v>
                </c:pt>
                <c:pt idx="35">
                  <c:v>1</c:v>
                </c:pt>
              </c:numCache>
            </c:numRef>
          </c:val>
          <c:smooth val="0"/>
          <c:extLst>
            <c:ext xmlns:c16="http://schemas.microsoft.com/office/drawing/2014/chart" uri="{C3380CC4-5D6E-409C-BE32-E72D297353CC}">
              <c16:uniqueId val="{00000001-7B0C-2D4E-95B0-87714488E288}"/>
            </c:ext>
          </c:extLst>
        </c:ser>
        <c:dLbls>
          <c:showLegendKey val="0"/>
          <c:showVal val="0"/>
          <c:showCatName val="0"/>
          <c:showSerName val="0"/>
          <c:showPercent val="0"/>
          <c:showBubbleSize val="0"/>
        </c:dLbls>
        <c:marker val="1"/>
        <c:smooth val="0"/>
        <c:axId val="1895143312"/>
        <c:axId val="1578139088"/>
      </c:lineChart>
      <c:catAx>
        <c:axId val="1578444016"/>
        <c:scaling>
          <c:orientation val="minMax"/>
        </c:scaling>
        <c:delete val="0"/>
        <c:axPos val="b"/>
        <c:title>
          <c:tx>
            <c:rich>
              <a:bodyPr/>
              <a:lstStyle/>
              <a:p>
                <a:pPr>
                  <a:defRPr/>
                </a:pPr>
                <a:r>
                  <a:rPr lang="es-ES_tradnl"/>
                  <a:t>Clase</a:t>
                </a:r>
              </a:p>
            </c:rich>
          </c:tx>
          <c:overlay val="0"/>
        </c:title>
        <c:numFmt formatCode="General" sourceLinked="1"/>
        <c:majorTickMark val="out"/>
        <c:minorTickMark val="none"/>
        <c:tickLblPos val="nextTo"/>
        <c:crossAx val="1578445696"/>
        <c:crosses val="autoZero"/>
        <c:auto val="1"/>
        <c:lblAlgn val="ctr"/>
        <c:lblOffset val="100"/>
        <c:noMultiLvlLbl val="0"/>
      </c:catAx>
      <c:valAx>
        <c:axId val="1578445696"/>
        <c:scaling>
          <c:orientation val="minMax"/>
        </c:scaling>
        <c:delete val="0"/>
        <c:axPos val="l"/>
        <c:title>
          <c:tx>
            <c:rich>
              <a:bodyPr/>
              <a:lstStyle/>
              <a:p>
                <a:pPr>
                  <a:defRPr/>
                </a:pPr>
                <a:r>
                  <a:rPr lang="es-ES_tradnl"/>
                  <a:t>Frecuencia</a:t>
                </a:r>
              </a:p>
            </c:rich>
          </c:tx>
          <c:overlay val="0"/>
        </c:title>
        <c:numFmt formatCode="General" sourceLinked="1"/>
        <c:majorTickMark val="out"/>
        <c:minorTickMark val="none"/>
        <c:tickLblPos val="nextTo"/>
        <c:crossAx val="1578444016"/>
        <c:crosses val="autoZero"/>
        <c:crossBetween val="between"/>
      </c:valAx>
      <c:valAx>
        <c:axId val="1578139088"/>
        <c:scaling>
          <c:orientation val="minMax"/>
        </c:scaling>
        <c:delete val="0"/>
        <c:axPos val="r"/>
        <c:numFmt formatCode="0.00%" sourceLinked="1"/>
        <c:majorTickMark val="out"/>
        <c:minorTickMark val="none"/>
        <c:tickLblPos val="nextTo"/>
        <c:crossAx val="1895143312"/>
        <c:crosses val="max"/>
        <c:crossBetween val="between"/>
      </c:valAx>
      <c:catAx>
        <c:axId val="1895143312"/>
        <c:scaling>
          <c:orientation val="minMax"/>
        </c:scaling>
        <c:delete val="1"/>
        <c:axPos val="b"/>
        <c:numFmt formatCode="General" sourceLinked="1"/>
        <c:majorTickMark val="out"/>
        <c:minorTickMark val="none"/>
        <c:tickLblPos val="nextTo"/>
        <c:crossAx val="1578139088"/>
        <c:crosses val="autoZero"/>
        <c:auto val="1"/>
        <c:lblAlgn val="ctr"/>
        <c:lblOffset val="100"/>
        <c:noMultiLvlLbl val="0"/>
      </c:catAx>
    </c:plotArea>
    <c:legend>
      <c:legendPos val="r"/>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_tradnl"/>
              <a:t>Ultimo Año</a:t>
            </a:r>
          </a:p>
        </c:rich>
      </c:tx>
      <c:overlay val="0"/>
    </c:title>
    <c:autoTitleDeleted val="0"/>
    <c:plotArea>
      <c:layout/>
      <c:barChart>
        <c:barDir val="col"/>
        <c:grouping val="clustered"/>
        <c:varyColors val="0"/>
        <c:ser>
          <c:idx val="0"/>
          <c:order val="0"/>
          <c:tx>
            <c:v>Frecuencia</c:v>
          </c:tx>
          <c:invertIfNegative val="0"/>
          <c:cat>
            <c:strRef>
              <c:f>Hoja2!$E$19:$E$34</c:f>
              <c:strCache>
                <c:ptCount val="16"/>
                <c:pt idx="0">
                  <c:v>5300</c:v>
                </c:pt>
                <c:pt idx="1">
                  <c:v>5736</c:v>
                </c:pt>
                <c:pt idx="2">
                  <c:v>6172</c:v>
                </c:pt>
                <c:pt idx="3">
                  <c:v>6608</c:v>
                </c:pt>
                <c:pt idx="4">
                  <c:v>7044</c:v>
                </c:pt>
                <c:pt idx="5">
                  <c:v>7480</c:v>
                </c:pt>
                <c:pt idx="6">
                  <c:v>7916</c:v>
                </c:pt>
                <c:pt idx="7">
                  <c:v>8352</c:v>
                </c:pt>
                <c:pt idx="8">
                  <c:v>8788</c:v>
                </c:pt>
                <c:pt idx="9">
                  <c:v>9224</c:v>
                </c:pt>
                <c:pt idx="10">
                  <c:v>9660</c:v>
                </c:pt>
                <c:pt idx="11">
                  <c:v>10096</c:v>
                </c:pt>
                <c:pt idx="12">
                  <c:v>10532</c:v>
                </c:pt>
                <c:pt idx="13">
                  <c:v>10968</c:v>
                </c:pt>
                <c:pt idx="14">
                  <c:v>11404</c:v>
                </c:pt>
                <c:pt idx="15">
                  <c:v>y mayor...</c:v>
                </c:pt>
              </c:strCache>
            </c:strRef>
          </c:cat>
          <c:val>
            <c:numRef>
              <c:f>Hoja2!$F$19:$F$34</c:f>
              <c:numCache>
                <c:formatCode>General</c:formatCode>
                <c:ptCount val="16"/>
                <c:pt idx="0">
                  <c:v>1</c:v>
                </c:pt>
                <c:pt idx="1">
                  <c:v>11</c:v>
                </c:pt>
                <c:pt idx="2">
                  <c:v>8</c:v>
                </c:pt>
                <c:pt idx="3">
                  <c:v>8</c:v>
                </c:pt>
                <c:pt idx="4">
                  <c:v>4</c:v>
                </c:pt>
                <c:pt idx="5">
                  <c:v>11</c:v>
                </c:pt>
                <c:pt idx="6">
                  <c:v>8</c:v>
                </c:pt>
                <c:pt idx="7">
                  <c:v>22</c:v>
                </c:pt>
                <c:pt idx="8">
                  <c:v>26</c:v>
                </c:pt>
                <c:pt idx="9">
                  <c:v>21</c:v>
                </c:pt>
                <c:pt idx="10">
                  <c:v>21</c:v>
                </c:pt>
                <c:pt idx="11">
                  <c:v>10</c:v>
                </c:pt>
                <c:pt idx="12">
                  <c:v>6</c:v>
                </c:pt>
                <c:pt idx="13">
                  <c:v>41</c:v>
                </c:pt>
                <c:pt idx="14">
                  <c:v>29</c:v>
                </c:pt>
                <c:pt idx="15">
                  <c:v>15</c:v>
                </c:pt>
              </c:numCache>
            </c:numRef>
          </c:val>
          <c:extLst>
            <c:ext xmlns:c16="http://schemas.microsoft.com/office/drawing/2014/chart" uri="{C3380CC4-5D6E-409C-BE32-E72D297353CC}">
              <c16:uniqueId val="{00000000-93B6-0142-987D-ED3D168344DB}"/>
            </c:ext>
          </c:extLst>
        </c:ser>
        <c:dLbls>
          <c:showLegendKey val="0"/>
          <c:showVal val="0"/>
          <c:showCatName val="0"/>
          <c:showSerName val="0"/>
          <c:showPercent val="0"/>
          <c:showBubbleSize val="0"/>
        </c:dLbls>
        <c:gapWidth val="150"/>
        <c:axId val="1569168176"/>
        <c:axId val="1573996000"/>
      </c:barChart>
      <c:lineChart>
        <c:grouping val="standard"/>
        <c:varyColors val="0"/>
        <c:ser>
          <c:idx val="1"/>
          <c:order val="1"/>
          <c:tx>
            <c:v>% acumulado</c:v>
          </c:tx>
          <c:cat>
            <c:strRef>
              <c:f>Hoja2!$E$19:$E$34</c:f>
              <c:strCache>
                <c:ptCount val="16"/>
                <c:pt idx="0">
                  <c:v>5300</c:v>
                </c:pt>
                <c:pt idx="1">
                  <c:v>5736</c:v>
                </c:pt>
                <c:pt idx="2">
                  <c:v>6172</c:v>
                </c:pt>
                <c:pt idx="3">
                  <c:v>6608</c:v>
                </c:pt>
                <c:pt idx="4">
                  <c:v>7044</c:v>
                </c:pt>
                <c:pt idx="5">
                  <c:v>7480</c:v>
                </c:pt>
                <c:pt idx="6">
                  <c:v>7916</c:v>
                </c:pt>
                <c:pt idx="7">
                  <c:v>8352</c:v>
                </c:pt>
                <c:pt idx="8">
                  <c:v>8788</c:v>
                </c:pt>
                <c:pt idx="9">
                  <c:v>9224</c:v>
                </c:pt>
                <c:pt idx="10">
                  <c:v>9660</c:v>
                </c:pt>
                <c:pt idx="11">
                  <c:v>10096</c:v>
                </c:pt>
                <c:pt idx="12">
                  <c:v>10532</c:v>
                </c:pt>
                <c:pt idx="13">
                  <c:v>10968</c:v>
                </c:pt>
                <c:pt idx="14">
                  <c:v>11404</c:v>
                </c:pt>
                <c:pt idx="15">
                  <c:v>y mayor...</c:v>
                </c:pt>
              </c:strCache>
            </c:strRef>
          </c:cat>
          <c:val>
            <c:numRef>
              <c:f>Hoja2!$G$19:$G$34</c:f>
              <c:numCache>
                <c:formatCode>0.00%</c:formatCode>
                <c:ptCount val="16"/>
                <c:pt idx="0">
                  <c:v>4.1322314049586778E-3</c:v>
                </c:pt>
                <c:pt idx="1">
                  <c:v>4.9586776859504134E-2</c:v>
                </c:pt>
                <c:pt idx="2">
                  <c:v>8.2644628099173556E-2</c:v>
                </c:pt>
                <c:pt idx="3">
                  <c:v>0.11570247933884298</c:v>
                </c:pt>
                <c:pt idx="4">
                  <c:v>0.13223140495867769</c:v>
                </c:pt>
                <c:pt idx="5">
                  <c:v>0.17768595041322313</c:v>
                </c:pt>
                <c:pt idx="6">
                  <c:v>0.21074380165289255</c:v>
                </c:pt>
                <c:pt idx="7">
                  <c:v>0.30165289256198347</c:v>
                </c:pt>
                <c:pt idx="8">
                  <c:v>0.40909090909090912</c:v>
                </c:pt>
                <c:pt idx="9">
                  <c:v>0.49586776859504134</c:v>
                </c:pt>
                <c:pt idx="10">
                  <c:v>0.5826446280991735</c:v>
                </c:pt>
                <c:pt idx="11">
                  <c:v>0.62396694214876036</c:v>
                </c:pt>
                <c:pt idx="12">
                  <c:v>0.64876033057851235</c:v>
                </c:pt>
                <c:pt idx="13">
                  <c:v>0.81818181818181823</c:v>
                </c:pt>
                <c:pt idx="14">
                  <c:v>0.93801652892561982</c:v>
                </c:pt>
                <c:pt idx="15">
                  <c:v>1</c:v>
                </c:pt>
              </c:numCache>
            </c:numRef>
          </c:val>
          <c:smooth val="0"/>
          <c:extLst>
            <c:ext xmlns:c16="http://schemas.microsoft.com/office/drawing/2014/chart" uri="{C3380CC4-5D6E-409C-BE32-E72D297353CC}">
              <c16:uniqueId val="{00000001-93B6-0142-987D-ED3D168344DB}"/>
            </c:ext>
          </c:extLst>
        </c:ser>
        <c:dLbls>
          <c:showLegendKey val="0"/>
          <c:showVal val="0"/>
          <c:showCatName val="0"/>
          <c:showSerName val="0"/>
          <c:showPercent val="0"/>
          <c:showBubbleSize val="0"/>
        </c:dLbls>
        <c:marker val="1"/>
        <c:smooth val="0"/>
        <c:axId val="1574342016"/>
        <c:axId val="1574344288"/>
      </c:lineChart>
      <c:catAx>
        <c:axId val="1569168176"/>
        <c:scaling>
          <c:orientation val="minMax"/>
        </c:scaling>
        <c:delete val="0"/>
        <c:axPos val="b"/>
        <c:title>
          <c:tx>
            <c:rich>
              <a:bodyPr/>
              <a:lstStyle/>
              <a:p>
                <a:pPr>
                  <a:defRPr/>
                </a:pPr>
                <a:r>
                  <a:rPr lang="es-ES_tradnl"/>
                  <a:t>Clase</a:t>
                </a:r>
              </a:p>
            </c:rich>
          </c:tx>
          <c:overlay val="0"/>
        </c:title>
        <c:numFmt formatCode="General" sourceLinked="1"/>
        <c:majorTickMark val="out"/>
        <c:minorTickMark val="none"/>
        <c:tickLblPos val="nextTo"/>
        <c:crossAx val="1573996000"/>
        <c:crosses val="autoZero"/>
        <c:auto val="1"/>
        <c:lblAlgn val="ctr"/>
        <c:lblOffset val="100"/>
        <c:noMultiLvlLbl val="0"/>
      </c:catAx>
      <c:valAx>
        <c:axId val="1573996000"/>
        <c:scaling>
          <c:orientation val="minMax"/>
        </c:scaling>
        <c:delete val="0"/>
        <c:axPos val="l"/>
        <c:title>
          <c:tx>
            <c:rich>
              <a:bodyPr/>
              <a:lstStyle/>
              <a:p>
                <a:pPr>
                  <a:defRPr/>
                </a:pPr>
                <a:r>
                  <a:rPr lang="es-ES_tradnl"/>
                  <a:t>Frecuencia</a:t>
                </a:r>
              </a:p>
            </c:rich>
          </c:tx>
          <c:overlay val="0"/>
        </c:title>
        <c:numFmt formatCode="General" sourceLinked="1"/>
        <c:majorTickMark val="out"/>
        <c:minorTickMark val="none"/>
        <c:tickLblPos val="nextTo"/>
        <c:crossAx val="1569168176"/>
        <c:crosses val="autoZero"/>
        <c:crossBetween val="between"/>
      </c:valAx>
      <c:valAx>
        <c:axId val="1574344288"/>
        <c:scaling>
          <c:orientation val="minMax"/>
        </c:scaling>
        <c:delete val="0"/>
        <c:axPos val="r"/>
        <c:numFmt formatCode="0.00%" sourceLinked="1"/>
        <c:majorTickMark val="out"/>
        <c:minorTickMark val="none"/>
        <c:tickLblPos val="nextTo"/>
        <c:crossAx val="1574342016"/>
        <c:crosses val="max"/>
        <c:crossBetween val="between"/>
      </c:valAx>
      <c:catAx>
        <c:axId val="1574342016"/>
        <c:scaling>
          <c:orientation val="minMax"/>
        </c:scaling>
        <c:delete val="1"/>
        <c:axPos val="b"/>
        <c:numFmt formatCode="General" sourceLinked="1"/>
        <c:majorTickMark val="out"/>
        <c:minorTickMark val="none"/>
        <c:tickLblPos val="nextTo"/>
        <c:crossAx val="1574344288"/>
        <c:crosses val="autoZero"/>
        <c:auto val="1"/>
        <c:lblAlgn val="ctr"/>
        <c:lblOffset val="100"/>
        <c:noMultiLvlLbl val="0"/>
      </c:catAx>
    </c:plotArea>
    <c:legend>
      <c:legendPos val="r"/>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Distribución Participación Accionaria</a:t>
            </a:r>
          </a:p>
        </c:rich>
      </c:tx>
      <c:layout>
        <c:manualLayout>
          <c:xMode val="edge"/>
          <c:yMode val="edge"/>
          <c:x val="0.19454669393319698"/>
          <c:y val="4.166666666666666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73-42CF-BE06-A04C439A3366}"/>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73-42CF-BE06-A04C439A3366}"/>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73-42CF-BE06-A04C439A33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Accionistas!$F$10:$F$12</c:f>
              <c:strCache>
                <c:ptCount val="3"/>
                <c:pt idx="0">
                  <c:v>CEMEX ESPAÑA S.A.</c:v>
                </c:pt>
                <c:pt idx="1">
                  <c:v>Fondo Pensiones Y Cesantias Colombianas</c:v>
                </c:pt>
                <c:pt idx="2">
                  <c:v>Fondos Internacionales</c:v>
                </c:pt>
              </c:strCache>
            </c:strRef>
          </c:cat>
          <c:val>
            <c:numRef>
              <c:f>Accionistas!$G$10:$G$12</c:f>
              <c:numCache>
                <c:formatCode>0%</c:formatCode>
                <c:ptCount val="3"/>
                <c:pt idx="0">
                  <c:v>0.73219999999999996</c:v>
                </c:pt>
                <c:pt idx="1">
                  <c:v>0.10429999999999999</c:v>
                </c:pt>
                <c:pt idx="2">
                  <c:v>0.1638</c:v>
                </c:pt>
              </c:numCache>
            </c:numRef>
          </c:val>
          <c:extLst>
            <c:ext xmlns:c16="http://schemas.microsoft.com/office/drawing/2014/chart" uri="{C3380CC4-5D6E-409C-BE32-E72D297353CC}">
              <c16:uniqueId val="{00000000-2568-41A4-B554-0653BF52D1B9}"/>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Consolidada20190929.xlsx]Sheet3!PivotTable1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pivotFmt>
    </c:pivotFmts>
    <c:plotArea>
      <c:layout/>
      <c:lineChart>
        <c:grouping val="standard"/>
        <c:varyColors val="0"/>
        <c:ser>
          <c:idx val="0"/>
          <c:order val="0"/>
          <c:tx>
            <c:strRef>
              <c:f>Sheet3!$B$1:$B$2</c:f>
              <c:strCache>
                <c:ptCount val="1"/>
                <c:pt idx="0">
                  <c:v>Colombia</c:v>
                </c:pt>
              </c:strCache>
            </c:strRef>
          </c:tx>
          <c:spPr>
            <a:ln w="28575" cap="rnd">
              <a:solidFill>
                <a:schemeClr val="accent1"/>
              </a:solidFill>
              <a:round/>
            </a:ln>
            <a:effectLst/>
          </c:spPr>
          <c:marker>
            <c:symbol val="none"/>
          </c:marker>
          <c:cat>
            <c:strRef>
              <c:f>Sheet3!$A$3:$A$7</c:f>
              <c:strCache>
                <c:ptCount val="4"/>
                <c:pt idx="0">
                  <c:v>2014</c:v>
                </c:pt>
                <c:pt idx="1">
                  <c:v>2015</c:v>
                </c:pt>
                <c:pt idx="2">
                  <c:v>2016</c:v>
                </c:pt>
                <c:pt idx="3">
                  <c:v>2017</c:v>
                </c:pt>
              </c:strCache>
            </c:strRef>
          </c:cat>
          <c:val>
            <c:numRef>
              <c:f>Sheet3!$B$3:$B$7</c:f>
              <c:numCache>
                <c:formatCode>General</c:formatCode>
                <c:ptCount val="4"/>
                <c:pt idx="0">
                  <c:v>993686.36499999999</c:v>
                </c:pt>
                <c:pt idx="1">
                  <c:v>724957.34199999995</c:v>
                </c:pt>
                <c:pt idx="2">
                  <c:v>665286.321</c:v>
                </c:pt>
                <c:pt idx="3">
                  <c:v>565758.19900000002</c:v>
                </c:pt>
              </c:numCache>
            </c:numRef>
          </c:val>
          <c:smooth val="0"/>
          <c:extLst>
            <c:ext xmlns:c16="http://schemas.microsoft.com/office/drawing/2014/chart" uri="{C3380CC4-5D6E-409C-BE32-E72D297353CC}">
              <c16:uniqueId val="{00000000-FDD6-4E24-969E-C1D63C4F0EDE}"/>
            </c:ext>
          </c:extLst>
        </c:ser>
        <c:ser>
          <c:idx val="1"/>
          <c:order val="1"/>
          <c:tx>
            <c:strRef>
              <c:f>Sheet3!$C$1:$C$2</c:f>
              <c:strCache>
                <c:ptCount val="1"/>
                <c:pt idx="0">
                  <c:v>Costa Rica</c:v>
                </c:pt>
              </c:strCache>
            </c:strRef>
          </c:tx>
          <c:spPr>
            <a:ln w="28575" cap="rnd">
              <a:solidFill>
                <a:schemeClr val="accent2"/>
              </a:solidFill>
              <a:round/>
            </a:ln>
            <a:effectLst/>
          </c:spPr>
          <c:marker>
            <c:symbol val="none"/>
          </c:marker>
          <c:cat>
            <c:strRef>
              <c:f>Sheet3!$A$3:$A$7</c:f>
              <c:strCache>
                <c:ptCount val="4"/>
                <c:pt idx="0">
                  <c:v>2014</c:v>
                </c:pt>
                <c:pt idx="1">
                  <c:v>2015</c:v>
                </c:pt>
                <c:pt idx="2">
                  <c:v>2016</c:v>
                </c:pt>
                <c:pt idx="3">
                  <c:v>2017</c:v>
                </c:pt>
              </c:strCache>
            </c:strRef>
          </c:cat>
          <c:val>
            <c:numRef>
              <c:f>Sheet3!$C$3:$C$7</c:f>
              <c:numCache>
                <c:formatCode>General</c:formatCode>
                <c:ptCount val="4"/>
                <c:pt idx="0">
                  <c:v>152572.454</c:v>
                </c:pt>
                <c:pt idx="1">
                  <c:v>167000.413</c:v>
                </c:pt>
                <c:pt idx="2">
                  <c:v>132589.40100000001</c:v>
                </c:pt>
                <c:pt idx="3">
                  <c:v>128847.357</c:v>
                </c:pt>
              </c:numCache>
            </c:numRef>
          </c:val>
          <c:smooth val="0"/>
          <c:extLst>
            <c:ext xmlns:c16="http://schemas.microsoft.com/office/drawing/2014/chart" uri="{C3380CC4-5D6E-409C-BE32-E72D297353CC}">
              <c16:uniqueId val="{00000001-FDD6-4E24-969E-C1D63C4F0EDE}"/>
            </c:ext>
          </c:extLst>
        </c:ser>
        <c:ser>
          <c:idx val="2"/>
          <c:order val="2"/>
          <c:tx>
            <c:strRef>
              <c:f>Sheet3!$D$1:$D$2</c:f>
              <c:strCache>
                <c:ptCount val="1"/>
                <c:pt idx="0">
                  <c:v>Panama</c:v>
                </c:pt>
              </c:strCache>
            </c:strRef>
          </c:tx>
          <c:spPr>
            <a:ln w="28575" cap="rnd">
              <a:solidFill>
                <a:schemeClr val="accent3"/>
              </a:solidFill>
              <a:round/>
            </a:ln>
            <a:effectLst/>
          </c:spPr>
          <c:marker>
            <c:symbol val="none"/>
          </c:marker>
          <c:cat>
            <c:strRef>
              <c:f>Sheet3!$A$3:$A$7</c:f>
              <c:strCache>
                <c:ptCount val="4"/>
                <c:pt idx="0">
                  <c:v>2014</c:v>
                </c:pt>
                <c:pt idx="1">
                  <c:v>2015</c:v>
                </c:pt>
                <c:pt idx="2">
                  <c:v>2016</c:v>
                </c:pt>
                <c:pt idx="3">
                  <c:v>2017</c:v>
                </c:pt>
              </c:strCache>
            </c:strRef>
          </c:cat>
          <c:val>
            <c:numRef>
              <c:f>Sheet3!$D$3:$D$7</c:f>
              <c:numCache>
                <c:formatCode>General</c:formatCode>
                <c:ptCount val="4"/>
                <c:pt idx="0">
                  <c:v>315384.44300000003</c:v>
                </c:pt>
                <c:pt idx="1">
                  <c:v>284644.41200000001</c:v>
                </c:pt>
                <c:pt idx="2">
                  <c:v>256417.45300000001</c:v>
                </c:pt>
                <c:pt idx="3">
                  <c:v>266189.40700000001</c:v>
                </c:pt>
              </c:numCache>
            </c:numRef>
          </c:val>
          <c:smooth val="0"/>
          <c:extLst>
            <c:ext xmlns:c16="http://schemas.microsoft.com/office/drawing/2014/chart" uri="{C3380CC4-5D6E-409C-BE32-E72D297353CC}">
              <c16:uniqueId val="{00000002-FDD6-4E24-969E-C1D63C4F0EDE}"/>
            </c:ext>
          </c:extLst>
        </c:ser>
        <c:ser>
          <c:idx val="3"/>
          <c:order val="3"/>
          <c:tx>
            <c:strRef>
              <c:f>Sheet3!$E$1:$E$2</c:f>
              <c:strCache>
                <c:ptCount val="1"/>
                <c:pt idx="0">
                  <c:v>Resto CLH</c:v>
                </c:pt>
              </c:strCache>
            </c:strRef>
          </c:tx>
          <c:spPr>
            <a:ln w="28575" cap="rnd">
              <a:solidFill>
                <a:schemeClr val="accent4"/>
              </a:solidFill>
              <a:round/>
            </a:ln>
            <a:effectLst/>
          </c:spPr>
          <c:marker>
            <c:symbol val="none"/>
          </c:marker>
          <c:cat>
            <c:strRef>
              <c:f>Sheet3!$A$3:$A$7</c:f>
              <c:strCache>
                <c:ptCount val="4"/>
                <c:pt idx="0">
                  <c:v>2014</c:v>
                </c:pt>
                <c:pt idx="1">
                  <c:v>2015</c:v>
                </c:pt>
                <c:pt idx="2">
                  <c:v>2016</c:v>
                </c:pt>
                <c:pt idx="3">
                  <c:v>2017</c:v>
                </c:pt>
              </c:strCache>
            </c:strRef>
          </c:cat>
          <c:val>
            <c:numRef>
              <c:f>Sheet3!$E$3:$E$7</c:f>
              <c:numCache>
                <c:formatCode>General</c:formatCode>
                <c:ptCount val="4"/>
                <c:pt idx="0">
                  <c:v>263718.283</c:v>
                </c:pt>
                <c:pt idx="1">
                  <c:v>250964.27100000001</c:v>
                </c:pt>
                <c:pt idx="2">
                  <c:v>261509.32</c:v>
                </c:pt>
                <c:pt idx="3">
                  <c:v>282462.29700000002</c:v>
                </c:pt>
              </c:numCache>
            </c:numRef>
          </c:val>
          <c:smooth val="0"/>
          <c:extLst>
            <c:ext xmlns:c16="http://schemas.microsoft.com/office/drawing/2014/chart" uri="{C3380CC4-5D6E-409C-BE32-E72D297353CC}">
              <c16:uniqueId val="{00000003-FDD6-4E24-969E-C1D63C4F0EDE}"/>
            </c:ext>
          </c:extLst>
        </c:ser>
        <c:dLbls>
          <c:showLegendKey val="0"/>
          <c:showVal val="0"/>
          <c:showCatName val="0"/>
          <c:showSerName val="0"/>
          <c:showPercent val="0"/>
          <c:showBubbleSize val="0"/>
        </c:dLbls>
        <c:smooth val="0"/>
        <c:axId val="972109088"/>
        <c:axId val="972108104"/>
      </c:lineChart>
      <c:catAx>
        <c:axId val="97210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108104"/>
        <c:crosses val="autoZero"/>
        <c:auto val="1"/>
        <c:lblAlgn val="ctr"/>
        <c:lblOffset val="100"/>
        <c:noMultiLvlLbl val="0"/>
      </c:catAx>
      <c:valAx>
        <c:axId val="97210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10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Utilidad NETA</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'Estados de Resultados Consolida'!$B$22</c:f>
              <c:strCache>
                <c:ptCount val="1"/>
                <c:pt idx="0">
                  <c:v>Utilidad Neta De La Participación Controladora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'Estados de Resultados Consolida'!$C$2:$H$2</c:f>
              <c:strCache>
                <c:ptCount val="5"/>
                <c:pt idx="0">
                  <c:v>2014</c:v>
                </c:pt>
                <c:pt idx="1">
                  <c:v>2015</c:v>
                </c:pt>
                <c:pt idx="2">
                  <c:v>2016</c:v>
                </c:pt>
                <c:pt idx="3">
                  <c:v>2017</c:v>
                </c:pt>
                <c:pt idx="4">
                  <c:v>2018</c:v>
                </c:pt>
              </c:strCache>
            </c:strRef>
          </c:cat>
          <c:val>
            <c:numRef>
              <c:f>'Estados de Resultados Consolida'!$C$22:$H$22</c:f>
              <c:numCache>
                <c:formatCode>#,##0</c:formatCode>
                <c:ptCount val="5"/>
                <c:pt idx="0">
                  <c:v>273398</c:v>
                </c:pt>
                <c:pt idx="1">
                  <c:v>95491</c:v>
                </c:pt>
                <c:pt idx="2">
                  <c:v>139769</c:v>
                </c:pt>
                <c:pt idx="3">
                  <c:v>46095</c:v>
                </c:pt>
                <c:pt idx="4">
                  <c:v>62756</c:v>
                </c:pt>
              </c:numCache>
            </c:numRef>
          </c:val>
          <c:extLst>
            <c:ext xmlns:c16="http://schemas.microsoft.com/office/drawing/2014/chart" uri="{C3380CC4-5D6E-409C-BE32-E72D297353CC}">
              <c16:uniqueId val="{00000004-9D15-4024-8D65-691A4AFDD9D1}"/>
            </c:ext>
          </c:extLst>
        </c:ser>
        <c:dLbls>
          <c:showLegendKey val="0"/>
          <c:showVal val="0"/>
          <c:showCatName val="0"/>
          <c:showSerName val="0"/>
          <c:showPercent val="0"/>
          <c:showBubbleSize val="0"/>
        </c:dLbls>
        <c:gapWidth val="150"/>
        <c:axId val="1439901696"/>
        <c:axId val="1439903664"/>
      </c:barChart>
      <c:lineChart>
        <c:grouping val="standard"/>
        <c:varyColors val="0"/>
        <c:ser>
          <c:idx val="1"/>
          <c:order val="1"/>
          <c:tx>
            <c:v>Variación Utilidad</c:v>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Pt>
            <c:idx val="0"/>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bubble3D val="0"/>
            <c:spPr>
              <a:ln w="34925" cap="rnd">
                <a:no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B193-4F2A-8328-FC400EC7AD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('Estados de Resultados Consolida'!$A$1,'Estados de Resultados Consolida'!$O$22:$S$22)</c:f>
              <c:numCache>
                <c:formatCode>0.0%</c:formatCode>
                <c:ptCount val="6"/>
                <c:pt idx="1">
                  <c:v>3.3998054118903574E-2</c:v>
                </c:pt>
                <c:pt idx="2">
                  <c:v>-1.8630761014126986</c:v>
                </c:pt>
                <c:pt idx="3">
                  <c:v>0.31679413890061459</c:v>
                </c:pt>
                <c:pt idx="4">
                  <c:v>-2.0321943811693242</c:v>
                </c:pt>
                <c:pt idx="5">
                  <c:v>0.26548855886289757</c:v>
                </c:pt>
              </c:numCache>
            </c:numRef>
          </c:val>
          <c:smooth val="0"/>
          <c:extLst>
            <c:ext xmlns:c16="http://schemas.microsoft.com/office/drawing/2014/chart" uri="{C3380CC4-5D6E-409C-BE32-E72D297353CC}">
              <c16:uniqueId val="{00000005-9D15-4024-8D65-691A4AFDD9D1}"/>
            </c:ext>
          </c:extLst>
        </c:ser>
        <c:dLbls>
          <c:showLegendKey val="0"/>
          <c:showVal val="0"/>
          <c:showCatName val="0"/>
          <c:showSerName val="0"/>
          <c:showPercent val="0"/>
          <c:showBubbleSize val="0"/>
        </c:dLbls>
        <c:marker val="1"/>
        <c:smooth val="0"/>
        <c:axId val="1796677167"/>
        <c:axId val="1796666351"/>
      </c:lineChart>
      <c:valAx>
        <c:axId val="143990366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439901696"/>
        <c:crosses val="autoZero"/>
        <c:crossBetween val="between"/>
      </c:valAx>
      <c:catAx>
        <c:axId val="1439901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439903664"/>
        <c:crosses val="autoZero"/>
        <c:auto val="1"/>
        <c:lblAlgn val="ctr"/>
        <c:lblOffset val="100"/>
        <c:noMultiLvlLbl val="0"/>
      </c:catAx>
      <c:valAx>
        <c:axId val="1796666351"/>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796677167"/>
        <c:crosses val="max"/>
        <c:crossBetween val="between"/>
      </c:valAx>
      <c:catAx>
        <c:axId val="1796677167"/>
        <c:scaling>
          <c:orientation val="minMax"/>
        </c:scaling>
        <c:delete val="1"/>
        <c:axPos val="b"/>
        <c:majorTickMark val="out"/>
        <c:minorTickMark val="none"/>
        <c:tickLblPos val="nextTo"/>
        <c:crossAx val="1796666351"/>
        <c:crosses val="autoZero"/>
        <c:auto val="1"/>
        <c:lblAlgn val="ctr"/>
        <c:lblOffset val="100"/>
        <c:noMultiLvlLbl val="0"/>
      </c:catAx>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Consolidada20190929.xlsx]TRM!TablaDinámica1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TRM COP</a:t>
            </a:r>
            <a:r>
              <a:rPr lang="es-ES_tradnl" baseline="0"/>
              <a:t> VS USD</a:t>
            </a:r>
            <a:endParaRPr lang="es-ES_trad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1"/>
            </a:solidFill>
            <a:round/>
          </a:ln>
          <a:effectLst/>
        </c:spPr>
        <c:marker>
          <c:symbol val="none"/>
        </c:marker>
      </c:pivotFmt>
    </c:pivotFmts>
    <c:plotArea>
      <c:layout/>
      <c:lineChart>
        <c:grouping val="standard"/>
        <c:varyColors val="0"/>
        <c:ser>
          <c:idx val="0"/>
          <c:order val="0"/>
          <c:tx>
            <c:strRef>
              <c:f>TRM!$I$3</c:f>
              <c:strCache>
                <c:ptCount val="1"/>
                <c:pt idx="0">
                  <c:v>Total</c:v>
                </c:pt>
              </c:strCache>
            </c:strRef>
          </c:tx>
          <c:spPr>
            <a:ln w="28575" cap="rnd">
              <a:solidFill>
                <a:schemeClr val="accent1"/>
              </a:solidFill>
              <a:round/>
            </a:ln>
            <a:effectLst/>
          </c:spPr>
          <c:marker>
            <c:symbol val="none"/>
          </c:marker>
          <c:cat>
            <c:strRef>
              <c:f>TRM!$H$4:$H$2561</c:f>
              <c:strCache>
                <c:ptCount val="2557"/>
                <c:pt idx="0">
                  <c:v>1/01/2012</c:v>
                </c:pt>
                <c:pt idx="1">
                  <c:v>2/01/2012</c:v>
                </c:pt>
                <c:pt idx="2">
                  <c:v>3/01/2012</c:v>
                </c:pt>
                <c:pt idx="3">
                  <c:v>4/01/2012</c:v>
                </c:pt>
                <c:pt idx="4">
                  <c:v>5/01/2012</c:v>
                </c:pt>
                <c:pt idx="5">
                  <c:v>6/01/2012</c:v>
                </c:pt>
                <c:pt idx="6">
                  <c:v>7/01/2012</c:v>
                </c:pt>
                <c:pt idx="7">
                  <c:v>8/01/2012</c:v>
                </c:pt>
                <c:pt idx="8">
                  <c:v>9/01/2012</c:v>
                </c:pt>
                <c:pt idx="9">
                  <c:v>10/01/2012</c:v>
                </c:pt>
                <c:pt idx="10">
                  <c:v>11/01/2012</c:v>
                </c:pt>
                <c:pt idx="11">
                  <c:v>12/01/2012</c:v>
                </c:pt>
                <c:pt idx="12">
                  <c:v>13/01/2012</c:v>
                </c:pt>
                <c:pt idx="13">
                  <c:v>14/01/2012</c:v>
                </c:pt>
                <c:pt idx="14">
                  <c:v>15/01/2012</c:v>
                </c:pt>
                <c:pt idx="15">
                  <c:v>16/01/2012</c:v>
                </c:pt>
                <c:pt idx="16">
                  <c:v>17/01/2012</c:v>
                </c:pt>
                <c:pt idx="17">
                  <c:v>18/01/2012</c:v>
                </c:pt>
                <c:pt idx="18">
                  <c:v>19/01/2012</c:v>
                </c:pt>
                <c:pt idx="19">
                  <c:v>20/01/2012</c:v>
                </c:pt>
                <c:pt idx="20">
                  <c:v>21/01/2012</c:v>
                </c:pt>
                <c:pt idx="21">
                  <c:v>22/01/2012</c:v>
                </c:pt>
                <c:pt idx="22">
                  <c:v>23/01/2012</c:v>
                </c:pt>
                <c:pt idx="23">
                  <c:v>24/01/2012</c:v>
                </c:pt>
                <c:pt idx="24">
                  <c:v>25/01/2012</c:v>
                </c:pt>
                <c:pt idx="25">
                  <c:v>26/01/2012</c:v>
                </c:pt>
                <c:pt idx="26">
                  <c:v>27/01/2012</c:v>
                </c:pt>
                <c:pt idx="27">
                  <c:v>28/01/2012</c:v>
                </c:pt>
                <c:pt idx="28">
                  <c:v>29/01/2012</c:v>
                </c:pt>
                <c:pt idx="29">
                  <c:v>30/01/2012</c:v>
                </c:pt>
                <c:pt idx="30">
                  <c:v>31/01/2012</c:v>
                </c:pt>
                <c:pt idx="31">
                  <c:v>1/02/2012</c:v>
                </c:pt>
                <c:pt idx="32">
                  <c:v>2/02/2012</c:v>
                </c:pt>
                <c:pt idx="33">
                  <c:v>3/02/2012</c:v>
                </c:pt>
                <c:pt idx="34">
                  <c:v>4/02/2012</c:v>
                </c:pt>
                <c:pt idx="35">
                  <c:v>5/02/2012</c:v>
                </c:pt>
                <c:pt idx="36">
                  <c:v>6/02/2012</c:v>
                </c:pt>
                <c:pt idx="37">
                  <c:v>7/02/2012</c:v>
                </c:pt>
                <c:pt idx="38">
                  <c:v>8/02/2012</c:v>
                </c:pt>
                <c:pt idx="39">
                  <c:v>9/02/2012</c:v>
                </c:pt>
                <c:pt idx="40">
                  <c:v>10/02/2012</c:v>
                </c:pt>
                <c:pt idx="41">
                  <c:v>11/02/2012</c:v>
                </c:pt>
                <c:pt idx="42">
                  <c:v>12/02/2012</c:v>
                </c:pt>
                <c:pt idx="43">
                  <c:v>13/02/2012</c:v>
                </c:pt>
                <c:pt idx="44">
                  <c:v>14/02/2012</c:v>
                </c:pt>
                <c:pt idx="45">
                  <c:v>15/02/2012</c:v>
                </c:pt>
                <c:pt idx="46">
                  <c:v>16/02/2012</c:v>
                </c:pt>
                <c:pt idx="47">
                  <c:v>17/02/2012</c:v>
                </c:pt>
                <c:pt idx="48">
                  <c:v>18/02/2012</c:v>
                </c:pt>
                <c:pt idx="49">
                  <c:v>19/02/2012</c:v>
                </c:pt>
                <c:pt idx="50">
                  <c:v>20/02/2012</c:v>
                </c:pt>
                <c:pt idx="51">
                  <c:v>21/02/2012</c:v>
                </c:pt>
                <c:pt idx="52">
                  <c:v>22/02/2012</c:v>
                </c:pt>
                <c:pt idx="53">
                  <c:v>23/02/2012</c:v>
                </c:pt>
                <c:pt idx="54">
                  <c:v>24/02/2012</c:v>
                </c:pt>
                <c:pt idx="55">
                  <c:v>25/02/2012</c:v>
                </c:pt>
                <c:pt idx="56">
                  <c:v>26/02/2012</c:v>
                </c:pt>
                <c:pt idx="57">
                  <c:v>27/02/2012</c:v>
                </c:pt>
                <c:pt idx="58">
                  <c:v>28/02/2012</c:v>
                </c:pt>
                <c:pt idx="59">
                  <c:v>29/02/2012</c:v>
                </c:pt>
                <c:pt idx="60">
                  <c:v>1/03/2012</c:v>
                </c:pt>
                <c:pt idx="61">
                  <c:v>2/03/2012</c:v>
                </c:pt>
                <c:pt idx="62">
                  <c:v>3/03/2012</c:v>
                </c:pt>
                <c:pt idx="63">
                  <c:v>4/03/2012</c:v>
                </c:pt>
                <c:pt idx="64">
                  <c:v>5/03/2012</c:v>
                </c:pt>
                <c:pt idx="65">
                  <c:v>6/03/2012</c:v>
                </c:pt>
                <c:pt idx="66">
                  <c:v>7/03/2012</c:v>
                </c:pt>
                <c:pt idx="67">
                  <c:v>8/03/2012</c:v>
                </c:pt>
                <c:pt idx="68">
                  <c:v>9/03/2012</c:v>
                </c:pt>
                <c:pt idx="69">
                  <c:v>10/03/2012</c:v>
                </c:pt>
                <c:pt idx="70">
                  <c:v>11/03/2012</c:v>
                </c:pt>
                <c:pt idx="71">
                  <c:v>12/03/2012</c:v>
                </c:pt>
                <c:pt idx="72">
                  <c:v>13/03/2012</c:v>
                </c:pt>
                <c:pt idx="73">
                  <c:v>14/03/2012</c:v>
                </c:pt>
                <c:pt idx="74">
                  <c:v>15/03/2012</c:v>
                </c:pt>
                <c:pt idx="75">
                  <c:v>16/03/2012</c:v>
                </c:pt>
                <c:pt idx="76">
                  <c:v>17/03/2012</c:v>
                </c:pt>
                <c:pt idx="77">
                  <c:v>18/03/2012</c:v>
                </c:pt>
                <c:pt idx="78">
                  <c:v>19/03/2012</c:v>
                </c:pt>
                <c:pt idx="79">
                  <c:v>20/03/2012</c:v>
                </c:pt>
                <c:pt idx="80">
                  <c:v>21/03/2012</c:v>
                </c:pt>
                <c:pt idx="81">
                  <c:v>22/03/2012</c:v>
                </c:pt>
                <c:pt idx="82">
                  <c:v>23/03/2012</c:v>
                </c:pt>
                <c:pt idx="83">
                  <c:v>24/03/2012</c:v>
                </c:pt>
                <c:pt idx="84">
                  <c:v>25/03/2012</c:v>
                </c:pt>
                <c:pt idx="85">
                  <c:v>26/03/2012</c:v>
                </c:pt>
                <c:pt idx="86">
                  <c:v>27/03/2012</c:v>
                </c:pt>
                <c:pt idx="87">
                  <c:v>28/03/2012</c:v>
                </c:pt>
                <c:pt idx="88">
                  <c:v>29/03/2012</c:v>
                </c:pt>
                <c:pt idx="89">
                  <c:v>30/03/2012</c:v>
                </c:pt>
                <c:pt idx="90">
                  <c:v>31/03/2012</c:v>
                </c:pt>
                <c:pt idx="91">
                  <c:v>1/04/2012</c:v>
                </c:pt>
                <c:pt idx="92">
                  <c:v>2/04/2012</c:v>
                </c:pt>
                <c:pt idx="93">
                  <c:v>3/04/2012</c:v>
                </c:pt>
                <c:pt idx="94">
                  <c:v>4/04/2012</c:v>
                </c:pt>
                <c:pt idx="95">
                  <c:v>5/04/2012</c:v>
                </c:pt>
                <c:pt idx="96">
                  <c:v>6/04/2012</c:v>
                </c:pt>
                <c:pt idx="97">
                  <c:v>7/04/2012</c:v>
                </c:pt>
                <c:pt idx="98">
                  <c:v>8/04/2012</c:v>
                </c:pt>
                <c:pt idx="99">
                  <c:v>9/04/2012</c:v>
                </c:pt>
                <c:pt idx="100">
                  <c:v>10/04/2012</c:v>
                </c:pt>
                <c:pt idx="101">
                  <c:v>11/04/2012</c:v>
                </c:pt>
                <c:pt idx="102">
                  <c:v>12/04/2012</c:v>
                </c:pt>
                <c:pt idx="103">
                  <c:v>13/04/2012</c:v>
                </c:pt>
                <c:pt idx="104">
                  <c:v>14/04/2012</c:v>
                </c:pt>
                <c:pt idx="105">
                  <c:v>15/04/2012</c:v>
                </c:pt>
                <c:pt idx="106">
                  <c:v>16/04/2012</c:v>
                </c:pt>
                <c:pt idx="107">
                  <c:v>17/04/2012</c:v>
                </c:pt>
                <c:pt idx="108">
                  <c:v>18/04/2012</c:v>
                </c:pt>
                <c:pt idx="109">
                  <c:v>19/04/2012</c:v>
                </c:pt>
                <c:pt idx="110">
                  <c:v>20/04/2012</c:v>
                </c:pt>
                <c:pt idx="111">
                  <c:v>21/04/2012</c:v>
                </c:pt>
                <c:pt idx="112">
                  <c:v>22/04/2012</c:v>
                </c:pt>
                <c:pt idx="113">
                  <c:v>23/04/2012</c:v>
                </c:pt>
                <c:pt idx="114">
                  <c:v>24/04/2012</c:v>
                </c:pt>
                <c:pt idx="115">
                  <c:v>25/04/2012</c:v>
                </c:pt>
                <c:pt idx="116">
                  <c:v>26/04/2012</c:v>
                </c:pt>
                <c:pt idx="117">
                  <c:v>27/04/2012</c:v>
                </c:pt>
                <c:pt idx="118">
                  <c:v>28/04/2012</c:v>
                </c:pt>
                <c:pt idx="119">
                  <c:v>29/04/2012</c:v>
                </c:pt>
                <c:pt idx="120">
                  <c:v>30/04/2012</c:v>
                </c:pt>
                <c:pt idx="121">
                  <c:v>1/05/2012</c:v>
                </c:pt>
                <c:pt idx="122">
                  <c:v>2/05/2012</c:v>
                </c:pt>
                <c:pt idx="123">
                  <c:v>3/05/2012</c:v>
                </c:pt>
                <c:pt idx="124">
                  <c:v>4/05/2012</c:v>
                </c:pt>
                <c:pt idx="125">
                  <c:v>5/05/2012</c:v>
                </c:pt>
                <c:pt idx="126">
                  <c:v>6/05/2012</c:v>
                </c:pt>
                <c:pt idx="127">
                  <c:v>7/05/2012</c:v>
                </c:pt>
                <c:pt idx="128">
                  <c:v>8/05/2012</c:v>
                </c:pt>
                <c:pt idx="129">
                  <c:v>9/05/2012</c:v>
                </c:pt>
                <c:pt idx="130">
                  <c:v>10/05/2012</c:v>
                </c:pt>
                <c:pt idx="131">
                  <c:v>11/05/2012</c:v>
                </c:pt>
                <c:pt idx="132">
                  <c:v>12/05/2012</c:v>
                </c:pt>
                <c:pt idx="133">
                  <c:v>13/05/2012</c:v>
                </c:pt>
                <c:pt idx="134">
                  <c:v>14/05/2012</c:v>
                </c:pt>
                <c:pt idx="135">
                  <c:v>15/05/2012</c:v>
                </c:pt>
                <c:pt idx="136">
                  <c:v>16/05/2012</c:v>
                </c:pt>
                <c:pt idx="137">
                  <c:v>17/05/2012</c:v>
                </c:pt>
                <c:pt idx="138">
                  <c:v>18/05/2012</c:v>
                </c:pt>
                <c:pt idx="139">
                  <c:v>19/05/2012</c:v>
                </c:pt>
                <c:pt idx="140">
                  <c:v>20/05/2012</c:v>
                </c:pt>
                <c:pt idx="141">
                  <c:v>21/05/2012</c:v>
                </c:pt>
                <c:pt idx="142">
                  <c:v>22/05/2012</c:v>
                </c:pt>
                <c:pt idx="143">
                  <c:v>23/05/2012</c:v>
                </c:pt>
                <c:pt idx="144">
                  <c:v>24/05/2012</c:v>
                </c:pt>
                <c:pt idx="145">
                  <c:v>25/05/2012</c:v>
                </c:pt>
                <c:pt idx="146">
                  <c:v>26/05/2012</c:v>
                </c:pt>
                <c:pt idx="147">
                  <c:v>27/05/2012</c:v>
                </c:pt>
                <c:pt idx="148">
                  <c:v>28/05/2012</c:v>
                </c:pt>
                <c:pt idx="149">
                  <c:v>29/05/2012</c:v>
                </c:pt>
                <c:pt idx="150">
                  <c:v>30/05/2012</c:v>
                </c:pt>
                <c:pt idx="151">
                  <c:v>31/05/2012</c:v>
                </c:pt>
                <c:pt idx="152">
                  <c:v>1/06/2012</c:v>
                </c:pt>
                <c:pt idx="153">
                  <c:v>2/06/2012</c:v>
                </c:pt>
                <c:pt idx="154">
                  <c:v>3/06/2012</c:v>
                </c:pt>
                <c:pt idx="155">
                  <c:v>4/06/2012</c:v>
                </c:pt>
                <c:pt idx="156">
                  <c:v>5/06/2012</c:v>
                </c:pt>
                <c:pt idx="157">
                  <c:v>6/06/2012</c:v>
                </c:pt>
                <c:pt idx="158">
                  <c:v>7/06/2012</c:v>
                </c:pt>
                <c:pt idx="159">
                  <c:v>8/06/2012</c:v>
                </c:pt>
                <c:pt idx="160">
                  <c:v>9/06/2012</c:v>
                </c:pt>
                <c:pt idx="161">
                  <c:v>10/06/2012</c:v>
                </c:pt>
                <c:pt idx="162">
                  <c:v>11/06/2012</c:v>
                </c:pt>
                <c:pt idx="163">
                  <c:v>12/06/2012</c:v>
                </c:pt>
                <c:pt idx="164">
                  <c:v>13/06/2012</c:v>
                </c:pt>
                <c:pt idx="165">
                  <c:v>14/06/2012</c:v>
                </c:pt>
                <c:pt idx="166">
                  <c:v>15/06/2012</c:v>
                </c:pt>
                <c:pt idx="167">
                  <c:v>16/06/2012</c:v>
                </c:pt>
                <c:pt idx="168">
                  <c:v>17/06/2012</c:v>
                </c:pt>
                <c:pt idx="169">
                  <c:v>18/06/2012</c:v>
                </c:pt>
                <c:pt idx="170">
                  <c:v>19/06/2012</c:v>
                </c:pt>
                <c:pt idx="171">
                  <c:v>20/06/2012</c:v>
                </c:pt>
                <c:pt idx="172">
                  <c:v>21/06/2012</c:v>
                </c:pt>
                <c:pt idx="173">
                  <c:v>22/06/2012</c:v>
                </c:pt>
                <c:pt idx="174">
                  <c:v>23/06/2012</c:v>
                </c:pt>
                <c:pt idx="175">
                  <c:v>24/06/2012</c:v>
                </c:pt>
                <c:pt idx="176">
                  <c:v>25/06/2012</c:v>
                </c:pt>
                <c:pt idx="177">
                  <c:v>26/06/2012</c:v>
                </c:pt>
                <c:pt idx="178">
                  <c:v>27/06/2012</c:v>
                </c:pt>
                <c:pt idx="179">
                  <c:v>28/06/2012</c:v>
                </c:pt>
                <c:pt idx="180">
                  <c:v>29/06/2012</c:v>
                </c:pt>
                <c:pt idx="181">
                  <c:v>30/06/2012</c:v>
                </c:pt>
                <c:pt idx="182">
                  <c:v>1/07/2012</c:v>
                </c:pt>
                <c:pt idx="183">
                  <c:v>2/07/2012</c:v>
                </c:pt>
                <c:pt idx="184">
                  <c:v>3/07/2012</c:v>
                </c:pt>
                <c:pt idx="185">
                  <c:v>4/07/2012</c:v>
                </c:pt>
                <c:pt idx="186">
                  <c:v>5/07/2012</c:v>
                </c:pt>
                <c:pt idx="187">
                  <c:v>6/07/2012</c:v>
                </c:pt>
                <c:pt idx="188">
                  <c:v>7/07/2012</c:v>
                </c:pt>
                <c:pt idx="189">
                  <c:v>8/07/2012</c:v>
                </c:pt>
                <c:pt idx="190">
                  <c:v>9/07/2012</c:v>
                </c:pt>
                <c:pt idx="191">
                  <c:v>10/07/2012</c:v>
                </c:pt>
                <c:pt idx="192">
                  <c:v>11/07/2012</c:v>
                </c:pt>
                <c:pt idx="193">
                  <c:v>12/07/2012</c:v>
                </c:pt>
                <c:pt idx="194">
                  <c:v>13/07/2012</c:v>
                </c:pt>
                <c:pt idx="195">
                  <c:v>14/07/2012</c:v>
                </c:pt>
                <c:pt idx="196">
                  <c:v>15/07/2012</c:v>
                </c:pt>
                <c:pt idx="197">
                  <c:v>16/07/2012</c:v>
                </c:pt>
                <c:pt idx="198">
                  <c:v>17/07/2012</c:v>
                </c:pt>
                <c:pt idx="199">
                  <c:v>18/07/2012</c:v>
                </c:pt>
                <c:pt idx="200">
                  <c:v>19/07/2012</c:v>
                </c:pt>
                <c:pt idx="201">
                  <c:v>20/07/2012</c:v>
                </c:pt>
                <c:pt idx="202">
                  <c:v>21/07/2012</c:v>
                </c:pt>
                <c:pt idx="203">
                  <c:v>22/07/2012</c:v>
                </c:pt>
                <c:pt idx="204">
                  <c:v>23/07/2012</c:v>
                </c:pt>
                <c:pt idx="205">
                  <c:v>24/07/2012</c:v>
                </c:pt>
                <c:pt idx="206">
                  <c:v>25/07/2012</c:v>
                </c:pt>
                <c:pt idx="207">
                  <c:v>26/07/2012</c:v>
                </c:pt>
                <c:pt idx="208">
                  <c:v>27/07/2012</c:v>
                </c:pt>
                <c:pt idx="209">
                  <c:v>28/07/2012</c:v>
                </c:pt>
                <c:pt idx="210">
                  <c:v>29/07/2012</c:v>
                </c:pt>
                <c:pt idx="211">
                  <c:v>30/07/2012</c:v>
                </c:pt>
                <c:pt idx="212">
                  <c:v>31/07/2012</c:v>
                </c:pt>
                <c:pt idx="213">
                  <c:v>1/08/2012</c:v>
                </c:pt>
                <c:pt idx="214">
                  <c:v>2/08/2012</c:v>
                </c:pt>
                <c:pt idx="215">
                  <c:v>3/08/2012</c:v>
                </c:pt>
                <c:pt idx="216">
                  <c:v>4/08/2012</c:v>
                </c:pt>
                <c:pt idx="217">
                  <c:v>5/08/2012</c:v>
                </c:pt>
                <c:pt idx="218">
                  <c:v>6/08/2012</c:v>
                </c:pt>
                <c:pt idx="219">
                  <c:v>7/08/2012</c:v>
                </c:pt>
                <c:pt idx="220">
                  <c:v>8/08/2012</c:v>
                </c:pt>
                <c:pt idx="221">
                  <c:v>9/08/2012</c:v>
                </c:pt>
                <c:pt idx="222">
                  <c:v>10/08/2012</c:v>
                </c:pt>
                <c:pt idx="223">
                  <c:v>11/08/2012</c:v>
                </c:pt>
                <c:pt idx="224">
                  <c:v>12/08/2012</c:v>
                </c:pt>
                <c:pt idx="225">
                  <c:v>13/08/2012</c:v>
                </c:pt>
                <c:pt idx="226">
                  <c:v>14/08/2012</c:v>
                </c:pt>
                <c:pt idx="227">
                  <c:v>15/08/2012</c:v>
                </c:pt>
                <c:pt idx="228">
                  <c:v>16/08/2012</c:v>
                </c:pt>
                <c:pt idx="229">
                  <c:v>17/08/2012</c:v>
                </c:pt>
                <c:pt idx="230">
                  <c:v>18/08/2012</c:v>
                </c:pt>
                <c:pt idx="231">
                  <c:v>19/08/2012</c:v>
                </c:pt>
                <c:pt idx="232">
                  <c:v>20/08/2012</c:v>
                </c:pt>
                <c:pt idx="233">
                  <c:v>21/08/2012</c:v>
                </c:pt>
                <c:pt idx="234">
                  <c:v>22/08/2012</c:v>
                </c:pt>
                <c:pt idx="235">
                  <c:v>23/08/2012</c:v>
                </c:pt>
                <c:pt idx="236">
                  <c:v>24/08/2012</c:v>
                </c:pt>
                <c:pt idx="237">
                  <c:v>25/08/2012</c:v>
                </c:pt>
                <c:pt idx="238">
                  <c:v>26/08/2012</c:v>
                </c:pt>
                <c:pt idx="239">
                  <c:v>27/08/2012</c:v>
                </c:pt>
                <c:pt idx="240">
                  <c:v>28/08/2012</c:v>
                </c:pt>
                <c:pt idx="241">
                  <c:v>29/08/2012</c:v>
                </c:pt>
                <c:pt idx="242">
                  <c:v>30/08/2012</c:v>
                </c:pt>
                <c:pt idx="243">
                  <c:v>31/08/2012</c:v>
                </c:pt>
                <c:pt idx="244">
                  <c:v>1/09/2012</c:v>
                </c:pt>
                <c:pt idx="245">
                  <c:v>2/09/2012</c:v>
                </c:pt>
                <c:pt idx="246">
                  <c:v>3/09/2012</c:v>
                </c:pt>
                <c:pt idx="247">
                  <c:v>4/09/2012</c:v>
                </c:pt>
                <c:pt idx="248">
                  <c:v>5/09/2012</c:v>
                </c:pt>
                <c:pt idx="249">
                  <c:v>6/09/2012</c:v>
                </c:pt>
                <c:pt idx="250">
                  <c:v>7/09/2012</c:v>
                </c:pt>
                <c:pt idx="251">
                  <c:v>8/09/2012</c:v>
                </c:pt>
                <c:pt idx="252">
                  <c:v>9/09/2012</c:v>
                </c:pt>
                <c:pt idx="253">
                  <c:v>10/09/2012</c:v>
                </c:pt>
                <c:pt idx="254">
                  <c:v>11/09/2012</c:v>
                </c:pt>
                <c:pt idx="255">
                  <c:v>12/09/2012</c:v>
                </c:pt>
                <c:pt idx="256">
                  <c:v>13/09/2012</c:v>
                </c:pt>
                <c:pt idx="257">
                  <c:v>14/09/2012</c:v>
                </c:pt>
                <c:pt idx="258">
                  <c:v>15/09/2012</c:v>
                </c:pt>
                <c:pt idx="259">
                  <c:v>16/09/2012</c:v>
                </c:pt>
                <c:pt idx="260">
                  <c:v>17/09/2012</c:v>
                </c:pt>
                <c:pt idx="261">
                  <c:v>18/09/2012</c:v>
                </c:pt>
                <c:pt idx="262">
                  <c:v>19/09/2012</c:v>
                </c:pt>
                <c:pt idx="263">
                  <c:v>20/09/2012</c:v>
                </c:pt>
                <c:pt idx="264">
                  <c:v>21/09/2012</c:v>
                </c:pt>
                <c:pt idx="265">
                  <c:v>22/09/2012</c:v>
                </c:pt>
                <c:pt idx="266">
                  <c:v>23/09/2012</c:v>
                </c:pt>
                <c:pt idx="267">
                  <c:v>24/09/2012</c:v>
                </c:pt>
                <c:pt idx="268">
                  <c:v>25/09/2012</c:v>
                </c:pt>
                <c:pt idx="269">
                  <c:v>26/09/2012</c:v>
                </c:pt>
                <c:pt idx="270">
                  <c:v>27/09/2012</c:v>
                </c:pt>
                <c:pt idx="271">
                  <c:v>28/09/2012</c:v>
                </c:pt>
                <c:pt idx="272">
                  <c:v>29/09/2012</c:v>
                </c:pt>
                <c:pt idx="273">
                  <c:v>30/09/2012</c:v>
                </c:pt>
                <c:pt idx="274">
                  <c:v>1/10/2012</c:v>
                </c:pt>
                <c:pt idx="275">
                  <c:v>2/10/2012</c:v>
                </c:pt>
                <c:pt idx="276">
                  <c:v>3/10/2012</c:v>
                </c:pt>
                <c:pt idx="277">
                  <c:v>4/10/2012</c:v>
                </c:pt>
                <c:pt idx="278">
                  <c:v>5/10/2012</c:v>
                </c:pt>
                <c:pt idx="279">
                  <c:v>6/10/2012</c:v>
                </c:pt>
                <c:pt idx="280">
                  <c:v>7/10/2012</c:v>
                </c:pt>
                <c:pt idx="281">
                  <c:v>8/10/2012</c:v>
                </c:pt>
                <c:pt idx="282">
                  <c:v>9/10/2012</c:v>
                </c:pt>
                <c:pt idx="283">
                  <c:v>10/10/2012</c:v>
                </c:pt>
                <c:pt idx="284">
                  <c:v>11/10/2012</c:v>
                </c:pt>
                <c:pt idx="285">
                  <c:v>12/10/2012</c:v>
                </c:pt>
                <c:pt idx="286">
                  <c:v>13/10/2012</c:v>
                </c:pt>
                <c:pt idx="287">
                  <c:v>14/10/2012</c:v>
                </c:pt>
                <c:pt idx="288">
                  <c:v>15/10/2012</c:v>
                </c:pt>
                <c:pt idx="289">
                  <c:v>16/10/2012</c:v>
                </c:pt>
                <c:pt idx="290">
                  <c:v>17/10/2012</c:v>
                </c:pt>
                <c:pt idx="291">
                  <c:v>18/10/2012</c:v>
                </c:pt>
                <c:pt idx="292">
                  <c:v>19/10/2012</c:v>
                </c:pt>
                <c:pt idx="293">
                  <c:v>20/10/2012</c:v>
                </c:pt>
                <c:pt idx="294">
                  <c:v>21/10/2012</c:v>
                </c:pt>
                <c:pt idx="295">
                  <c:v>22/10/2012</c:v>
                </c:pt>
                <c:pt idx="296">
                  <c:v>23/10/2012</c:v>
                </c:pt>
                <c:pt idx="297">
                  <c:v>24/10/2012</c:v>
                </c:pt>
                <c:pt idx="298">
                  <c:v>25/10/2012</c:v>
                </c:pt>
                <c:pt idx="299">
                  <c:v>26/10/2012</c:v>
                </c:pt>
                <c:pt idx="300">
                  <c:v>27/10/2012</c:v>
                </c:pt>
                <c:pt idx="301">
                  <c:v>28/10/2012</c:v>
                </c:pt>
                <c:pt idx="302">
                  <c:v>29/10/2012</c:v>
                </c:pt>
                <c:pt idx="303">
                  <c:v>30/10/2012</c:v>
                </c:pt>
                <c:pt idx="304">
                  <c:v>31/10/2012</c:v>
                </c:pt>
                <c:pt idx="305">
                  <c:v>1/11/2012</c:v>
                </c:pt>
                <c:pt idx="306">
                  <c:v>2/11/2012</c:v>
                </c:pt>
                <c:pt idx="307">
                  <c:v>3/11/2012</c:v>
                </c:pt>
                <c:pt idx="308">
                  <c:v>4/11/2012</c:v>
                </c:pt>
                <c:pt idx="309">
                  <c:v>5/11/2012</c:v>
                </c:pt>
                <c:pt idx="310">
                  <c:v>6/11/2012</c:v>
                </c:pt>
                <c:pt idx="311">
                  <c:v>7/11/2012</c:v>
                </c:pt>
                <c:pt idx="312">
                  <c:v>8/11/2012</c:v>
                </c:pt>
                <c:pt idx="313">
                  <c:v>9/11/2012</c:v>
                </c:pt>
                <c:pt idx="314">
                  <c:v>10/11/2012</c:v>
                </c:pt>
                <c:pt idx="315">
                  <c:v>11/11/2012</c:v>
                </c:pt>
                <c:pt idx="316">
                  <c:v>12/11/2012</c:v>
                </c:pt>
                <c:pt idx="317">
                  <c:v>13/11/2012</c:v>
                </c:pt>
                <c:pt idx="318">
                  <c:v>14/11/2012</c:v>
                </c:pt>
                <c:pt idx="319">
                  <c:v>15/11/2012</c:v>
                </c:pt>
                <c:pt idx="320">
                  <c:v>16/11/2012</c:v>
                </c:pt>
                <c:pt idx="321">
                  <c:v>17/11/2012</c:v>
                </c:pt>
                <c:pt idx="322">
                  <c:v>18/11/2012</c:v>
                </c:pt>
                <c:pt idx="323">
                  <c:v>19/11/2012</c:v>
                </c:pt>
                <c:pt idx="324">
                  <c:v>20/11/2012</c:v>
                </c:pt>
                <c:pt idx="325">
                  <c:v>21/11/2012</c:v>
                </c:pt>
                <c:pt idx="326">
                  <c:v>22/11/2012</c:v>
                </c:pt>
                <c:pt idx="327">
                  <c:v>23/11/2012</c:v>
                </c:pt>
                <c:pt idx="328">
                  <c:v>24/11/2012</c:v>
                </c:pt>
                <c:pt idx="329">
                  <c:v>25/11/2012</c:v>
                </c:pt>
                <c:pt idx="330">
                  <c:v>26/11/2012</c:v>
                </c:pt>
                <c:pt idx="331">
                  <c:v>27/11/2012</c:v>
                </c:pt>
                <c:pt idx="332">
                  <c:v>28/11/2012</c:v>
                </c:pt>
                <c:pt idx="333">
                  <c:v>29/11/2012</c:v>
                </c:pt>
                <c:pt idx="334">
                  <c:v>30/11/2012</c:v>
                </c:pt>
                <c:pt idx="335">
                  <c:v>1/12/2012</c:v>
                </c:pt>
                <c:pt idx="336">
                  <c:v>2/12/2012</c:v>
                </c:pt>
                <c:pt idx="337">
                  <c:v>3/12/2012</c:v>
                </c:pt>
                <c:pt idx="338">
                  <c:v>4/12/2012</c:v>
                </c:pt>
                <c:pt idx="339">
                  <c:v>5/12/2012</c:v>
                </c:pt>
                <c:pt idx="340">
                  <c:v>6/12/2012</c:v>
                </c:pt>
                <c:pt idx="341">
                  <c:v>7/12/2012</c:v>
                </c:pt>
                <c:pt idx="342">
                  <c:v>8/12/2012</c:v>
                </c:pt>
                <c:pt idx="343">
                  <c:v>9/12/2012</c:v>
                </c:pt>
                <c:pt idx="344">
                  <c:v>10/12/2012</c:v>
                </c:pt>
                <c:pt idx="345">
                  <c:v>11/12/2012</c:v>
                </c:pt>
                <c:pt idx="346">
                  <c:v>12/12/2012</c:v>
                </c:pt>
                <c:pt idx="347">
                  <c:v>13/12/2012</c:v>
                </c:pt>
                <c:pt idx="348">
                  <c:v>14/12/2012</c:v>
                </c:pt>
                <c:pt idx="349">
                  <c:v>15/12/2012</c:v>
                </c:pt>
                <c:pt idx="350">
                  <c:v>16/12/2012</c:v>
                </c:pt>
                <c:pt idx="351">
                  <c:v>17/12/2012</c:v>
                </c:pt>
                <c:pt idx="352">
                  <c:v>18/12/2012</c:v>
                </c:pt>
                <c:pt idx="353">
                  <c:v>19/12/2012</c:v>
                </c:pt>
                <c:pt idx="354">
                  <c:v>20/12/2012</c:v>
                </c:pt>
                <c:pt idx="355">
                  <c:v>21/12/2012</c:v>
                </c:pt>
                <c:pt idx="356">
                  <c:v>22/12/2012</c:v>
                </c:pt>
                <c:pt idx="357">
                  <c:v>23/12/2012</c:v>
                </c:pt>
                <c:pt idx="358">
                  <c:v>24/12/2012</c:v>
                </c:pt>
                <c:pt idx="359">
                  <c:v>25/12/2012</c:v>
                </c:pt>
                <c:pt idx="360">
                  <c:v>26/12/2012</c:v>
                </c:pt>
                <c:pt idx="361">
                  <c:v>27/12/2012</c:v>
                </c:pt>
                <c:pt idx="362">
                  <c:v>28/12/2012</c:v>
                </c:pt>
                <c:pt idx="363">
                  <c:v>29/12/2012</c:v>
                </c:pt>
                <c:pt idx="364">
                  <c:v>30/12/2012</c:v>
                </c:pt>
                <c:pt idx="365">
                  <c:v>31/12/2012</c:v>
                </c:pt>
                <c:pt idx="366">
                  <c:v>1/01/2013</c:v>
                </c:pt>
                <c:pt idx="367">
                  <c:v>2/01/2013</c:v>
                </c:pt>
                <c:pt idx="368">
                  <c:v>3/01/2013</c:v>
                </c:pt>
                <c:pt idx="369">
                  <c:v>4/01/2013</c:v>
                </c:pt>
                <c:pt idx="370">
                  <c:v>5/01/2013</c:v>
                </c:pt>
                <c:pt idx="371">
                  <c:v>6/01/2013</c:v>
                </c:pt>
                <c:pt idx="372">
                  <c:v>7/01/2013</c:v>
                </c:pt>
                <c:pt idx="373">
                  <c:v>8/01/2013</c:v>
                </c:pt>
                <c:pt idx="374">
                  <c:v>9/01/2013</c:v>
                </c:pt>
                <c:pt idx="375">
                  <c:v>10/01/2013</c:v>
                </c:pt>
                <c:pt idx="376">
                  <c:v>11/01/2013</c:v>
                </c:pt>
                <c:pt idx="377">
                  <c:v>12/01/2013</c:v>
                </c:pt>
                <c:pt idx="378">
                  <c:v>13/01/2013</c:v>
                </c:pt>
                <c:pt idx="379">
                  <c:v>14/01/2013</c:v>
                </c:pt>
                <c:pt idx="380">
                  <c:v>15/01/2013</c:v>
                </c:pt>
                <c:pt idx="381">
                  <c:v>16/01/2013</c:v>
                </c:pt>
                <c:pt idx="382">
                  <c:v>17/01/2013</c:v>
                </c:pt>
                <c:pt idx="383">
                  <c:v>18/01/2013</c:v>
                </c:pt>
                <c:pt idx="384">
                  <c:v>19/01/2013</c:v>
                </c:pt>
                <c:pt idx="385">
                  <c:v>20/01/2013</c:v>
                </c:pt>
                <c:pt idx="386">
                  <c:v>21/01/2013</c:v>
                </c:pt>
                <c:pt idx="387">
                  <c:v>22/01/2013</c:v>
                </c:pt>
                <c:pt idx="388">
                  <c:v>23/01/2013</c:v>
                </c:pt>
                <c:pt idx="389">
                  <c:v>24/01/2013</c:v>
                </c:pt>
                <c:pt idx="390">
                  <c:v>25/01/2013</c:v>
                </c:pt>
                <c:pt idx="391">
                  <c:v>26/01/2013</c:v>
                </c:pt>
                <c:pt idx="392">
                  <c:v>27/01/2013</c:v>
                </c:pt>
                <c:pt idx="393">
                  <c:v>28/01/2013</c:v>
                </c:pt>
                <c:pt idx="394">
                  <c:v>29/01/2013</c:v>
                </c:pt>
                <c:pt idx="395">
                  <c:v>30/01/2013</c:v>
                </c:pt>
                <c:pt idx="396">
                  <c:v>31/01/2013</c:v>
                </c:pt>
                <c:pt idx="397">
                  <c:v>1/02/2013</c:v>
                </c:pt>
                <c:pt idx="398">
                  <c:v>2/02/2013</c:v>
                </c:pt>
                <c:pt idx="399">
                  <c:v>3/02/2013</c:v>
                </c:pt>
                <c:pt idx="400">
                  <c:v>4/02/2013</c:v>
                </c:pt>
                <c:pt idx="401">
                  <c:v>5/02/2013</c:v>
                </c:pt>
                <c:pt idx="402">
                  <c:v>6/02/2013</c:v>
                </c:pt>
                <c:pt idx="403">
                  <c:v>7/02/2013</c:v>
                </c:pt>
                <c:pt idx="404">
                  <c:v>8/02/2013</c:v>
                </c:pt>
                <c:pt idx="405">
                  <c:v>9/02/2013</c:v>
                </c:pt>
                <c:pt idx="406">
                  <c:v>10/02/2013</c:v>
                </c:pt>
                <c:pt idx="407">
                  <c:v>11/02/2013</c:v>
                </c:pt>
                <c:pt idx="408">
                  <c:v>12/02/2013</c:v>
                </c:pt>
                <c:pt idx="409">
                  <c:v>13/02/2013</c:v>
                </c:pt>
                <c:pt idx="410">
                  <c:v>14/02/2013</c:v>
                </c:pt>
                <c:pt idx="411">
                  <c:v>15/02/2013</c:v>
                </c:pt>
                <c:pt idx="412">
                  <c:v>16/02/2013</c:v>
                </c:pt>
                <c:pt idx="413">
                  <c:v>17/02/2013</c:v>
                </c:pt>
                <c:pt idx="414">
                  <c:v>18/02/2013</c:v>
                </c:pt>
                <c:pt idx="415">
                  <c:v>19/02/2013</c:v>
                </c:pt>
                <c:pt idx="416">
                  <c:v>20/02/2013</c:v>
                </c:pt>
                <c:pt idx="417">
                  <c:v>21/02/2013</c:v>
                </c:pt>
                <c:pt idx="418">
                  <c:v>22/02/2013</c:v>
                </c:pt>
                <c:pt idx="419">
                  <c:v>23/02/2013</c:v>
                </c:pt>
                <c:pt idx="420">
                  <c:v>24/02/2013</c:v>
                </c:pt>
                <c:pt idx="421">
                  <c:v>25/02/2013</c:v>
                </c:pt>
                <c:pt idx="422">
                  <c:v>26/02/2013</c:v>
                </c:pt>
                <c:pt idx="423">
                  <c:v>27/02/2013</c:v>
                </c:pt>
                <c:pt idx="424">
                  <c:v>28/02/2013</c:v>
                </c:pt>
                <c:pt idx="425">
                  <c:v>1/03/2013</c:v>
                </c:pt>
                <c:pt idx="426">
                  <c:v>2/03/2013</c:v>
                </c:pt>
                <c:pt idx="427">
                  <c:v>3/03/2013</c:v>
                </c:pt>
                <c:pt idx="428">
                  <c:v>4/03/2013</c:v>
                </c:pt>
                <c:pt idx="429">
                  <c:v>5/03/2013</c:v>
                </c:pt>
                <c:pt idx="430">
                  <c:v>6/03/2013</c:v>
                </c:pt>
                <c:pt idx="431">
                  <c:v>7/03/2013</c:v>
                </c:pt>
                <c:pt idx="432">
                  <c:v>8/03/2013</c:v>
                </c:pt>
                <c:pt idx="433">
                  <c:v>9/03/2013</c:v>
                </c:pt>
                <c:pt idx="434">
                  <c:v>10/03/2013</c:v>
                </c:pt>
                <c:pt idx="435">
                  <c:v>11/03/2013</c:v>
                </c:pt>
                <c:pt idx="436">
                  <c:v>12/03/2013</c:v>
                </c:pt>
                <c:pt idx="437">
                  <c:v>13/03/2013</c:v>
                </c:pt>
                <c:pt idx="438">
                  <c:v>14/03/2013</c:v>
                </c:pt>
                <c:pt idx="439">
                  <c:v>15/03/2013</c:v>
                </c:pt>
                <c:pt idx="440">
                  <c:v>16/03/2013</c:v>
                </c:pt>
                <c:pt idx="441">
                  <c:v>17/03/2013</c:v>
                </c:pt>
                <c:pt idx="442">
                  <c:v>18/03/2013</c:v>
                </c:pt>
                <c:pt idx="443">
                  <c:v>19/03/2013</c:v>
                </c:pt>
                <c:pt idx="444">
                  <c:v>20/03/2013</c:v>
                </c:pt>
                <c:pt idx="445">
                  <c:v>21/03/2013</c:v>
                </c:pt>
                <c:pt idx="446">
                  <c:v>22/03/2013</c:v>
                </c:pt>
                <c:pt idx="447">
                  <c:v>23/03/2013</c:v>
                </c:pt>
                <c:pt idx="448">
                  <c:v>24/03/2013</c:v>
                </c:pt>
                <c:pt idx="449">
                  <c:v>25/03/2013</c:v>
                </c:pt>
                <c:pt idx="450">
                  <c:v>26/03/2013</c:v>
                </c:pt>
                <c:pt idx="451">
                  <c:v>27/03/2013</c:v>
                </c:pt>
                <c:pt idx="452">
                  <c:v>28/03/2013</c:v>
                </c:pt>
                <c:pt idx="453">
                  <c:v>29/03/2013</c:v>
                </c:pt>
                <c:pt idx="454">
                  <c:v>30/03/2013</c:v>
                </c:pt>
                <c:pt idx="455">
                  <c:v>31/03/2013</c:v>
                </c:pt>
                <c:pt idx="456">
                  <c:v>1/04/2013</c:v>
                </c:pt>
                <c:pt idx="457">
                  <c:v>2/04/2013</c:v>
                </c:pt>
                <c:pt idx="458">
                  <c:v>3/04/2013</c:v>
                </c:pt>
                <c:pt idx="459">
                  <c:v>4/04/2013</c:v>
                </c:pt>
                <c:pt idx="460">
                  <c:v>5/04/2013</c:v>
                </c:pt>
                <c:pt idx="461">
                  <c:v>6/04/2013</c:v>
                </c:pt>
                <c:pt idx="462">
                  <c:v>7/04/2013</c:v>
                </c:pt>
                <c:pt idx="463">
                  <c:v>8/04/2013</c:v>
                </c:pt>
                <c:pt idx="464">
                  <c:v>9/04/2013</c:v>
                </c:pt>
                <c:pt idx="465">
                  <c:v>10/04/2013</c:v>
                </c:pt>
                <c:pt idx="466">
                  <c:v>11/04/2013</c:v>
                </c:pt>
                <c:pt idx="467">
                  <c:v>12/04/2013</c:v>
                </c:pt>
                <c:pt idx="468">
                  <c:v>13/04/2013</c:v>
                </c:pt>
                <c:pt idx="469">
                  <c:v>14/04/2013</c:v>
                </c:pt>
                <c:pt idx="470">
                  <c:v>15/04/2013</c:v>
                </c:pt>
                <c:pt idx="471">
                  <c:v>16/04/2013</c:v>
                </c:pt>
                <c:pt idx="472">
                  <c:v>17/04/2013</c:v>
                </c:pt>
                <c:pt idx="473">
                  <c:v>18/04/2013</c:v>
                </c:pt>
                <c:pt idx="474">
                  <c:v>19/04/2013</c:v>
                </c:pt>
                <c:pt idx="475">
                  <c:v>20/04/2013</c:v>
                </c:pt>
                <c:pt idx="476">
                  <c:v>21/04/2013</c:v>
                </c:pt>
                <c:pt idx="477">
                  <c:v>22/04/2013</c:v>
                </c:pt>
                <c:pt idx="478">
                  <c:v>23/04/2013</c:v>
                </c:pt>
                <c:pt idx="479">
                  <c:v>24/04/2013</c:v>
                </c:pt>
                <c:pt idx="480">
                  <c:v>25/04/2013</c:v>
                </c:pt>
                <c:pt idx="481">
                  <c:v>26/04/2013</c:v>
                </c:pt>
                <c:pt idx="482">
                  <c:v>27/04/2013</c:v>
                </c:pt>
                <c:pt idx="483">
                  <c:v>28/04/2013</c:v>
                </c:pt>
                <c:pt idx="484">
                  <c:v>29/04/2013</c:v>
                </c:pt>
                <c:pt idx="485">
                  <c:v>30/04/2013</c:v>
                </c:pt>
                <c:pt idx="486">
                  <c:v>1/05/2013</c:v>
                </c:pt>
                <c:pt idx="487">
                  <c:v>2/05/2013</c:v>
                </c:pt>
                <c:pt idx="488">
                  <c:v>3/05/2013</c:v>
                </c:pt>
                <c:pt idx="489">
                  <c:v>4/05/2013</c:v>
                </c:pt>
                <c:pt idx="490">
                  <c:v>5/05/2013</c:v>
                </c:pt>
                <c:pt idx="491">
                  <c:v>6/05/2013</c:v>
                </c:pt>
                <c:pt idx="492">
                  <c:v>7/05/2013</c:v>
                </c:pt>
                <c:pt idx="493">
                  <c:v>8/05/2013</c:v>
                </c:pt>
                <c:pt idx="494">
                  <c:v>9/05/2013</c:v>
                </c:pt>
                <c:pt idx="495">
                  <c:v>10/05/2013</c:v>
                </c:pt>
                <c:pt idx="496">
                  <c:v>11/05/2013</c:v>
                </c:pt>
                <c:pt idx="497">
                  <c:v>12/05/2013</c:v>
                </c:pt>
                <c:pt idx="498">
                  <c:v>13/05/2013</c:v>
                </c:pt>
                <c:pt idx="499">
                  <c:v>14/05/2013</c:v>
                </c:pt>
                <c:pt idx="500">
                  <c:v>15/05/2013</c:v>
                </c:pt>
                <c:pt idx="501">
                  <c:v>16/05/2013</c:v>
                </c:pt>
                <c:pt idx="502">
                  <c:v>17/05/2013</c:v>
                </c:pt>
                <c:pt idx="503">
                  <c:v>18/05/2013</c:v>
                </c:pt>
                <c:pt idx="504">
                  <c:v>19/05/2013</c:v>
                </c:pt>
                <c:pt idx="505">
                  <c:v>20/05/2013</c:v>
                </c:pt>
                <c:pt idx="506">
                  <c:v>21/05/2013</c:v>
                </c:pt>
                <c:pt idx="507">
                  <c:v>22/05/2013</c:v>
                </c:pt>
                <c:pt idx="508">
                  <c:v>23/05/2013</c:v>
                </c:pt>
                <c:pt idx="509">
                  <c:v>24/05/2013</c:v>
                </c:pt>
                <c:pt idx="510">
                  <c:v>25/05/2013</c:v>
                </c:pt>
                <c:pt idx="511">
                  <c:v>26/05/2013</c:v>
                </c:pt>
                <c:pt idx="512">
                  <c:v>27/05/2013</c:v>
                </c:pt>
                <c:pt idx="513">
                  <c:v>28/05/2013</c:v>
                </c:pt>
                <c:pt idx="514">
                  <c:v>29/05/2013</c:v>
                </c:pt>
                <c:pt idx="515">
                  <c:v>30/05/2013</c:v>
                </c:pt>
                <c:pt idx="516">
                  <c:v>31/05/2013</c:v>
                </c:pt>
                <c:pt idx="517">
                  <c:v>1/06/2013</c:v>
                </c:pt>
                <c:pt idx="518">
                  <c:v>2/06/2013</c:v>
                </c:pt>
                <c:pt idx="519">
                  <c:v>3/06/2013</c:v>
                </c:pt>
                <c:pt idx="520">
                  <c:v>4/06/2013</c:v>
                </c:pt>
                <c:pt idx="521">
                  <c:v>5/06/2013</c:v>
                </c:pt>
                <c:pt idx="522">
                  <c:v>6/06/2013</c:v>
                </c:pt>
                <c:pt idx="523">
                  <c:v>7/06/2013</c:v>
                </c:pt>
                <c:pt idx="524">
                  <c:v>8/06/2013</c:v>
                </c:pt>
                <c:pt idx="525">
                  <c:v>9/06/2013</c:v>
                </c:pt>
                <c:pt idx="526">
                  <c:v>10/06/2013</c:v>
                </c:pt>
                <c:pt idx="527">
                  <c:v>11/06/2013</c:v>
                </c:pt>
                <c:pt idx="528">
                  <c:v>12/06/2013</c:v>
                </c:pt>
                <c:pt idx="529">
                  <c:v>13/06/2013</c:v>
                </c:pt>
                <c:pt idx="530">
                  <c:v>14/06/2013</c:v>
                </c:pt>
                <c:pt idx="531">
                  <c:v>15/06/2013</c:v>
                </c:pt>
                <c:pt idx="532">
                  <c:v>16/06/2013</c:v>
                </c:pt>
                <c:pt idx="533">
                  <c:v>17/06/2013</c:v>
                </c:pt>
                <c:pt idx="534">
                  <c:v>18/06/2013</c:v>
                </c:pt>
                <c:pt idx="535">
                  <c:v>19/06/2013</c:v>
                </c:pt>
                <c:pt idx="536">
                  <c:v>20/06/2013</c:v>
                </c:pt>
                <c:pt idx="537">
                  <c:v>21/06/2013</c:v>
                </c:pt>
                <c:pt idx="538">
                  <c:v>22/06/2013</c:v>
                </c:pt>
                <c:pt idx="539">
                  <c:v>23/06/2013</c:v>
                </c:pt>
                <c:pt idx="540">
                  <c:v>24/06/2013</c:v>
                </c:pt>
                <c:pt idx="541">
                  <c:v>25/06/2013</c:v>
                </c:pt>
                <c:pt idx="542">
                  <c:v>26/06/2013</c:v>
                </c:pt>
                <c:pt idx="543">
                  <c:v>27/06/2013</c:v>
                </c:pt>
                <c:pt idx="544">
                  <c:v>28/06/2013</c:v>
                </c:pt>
                <c:pt idx="545">
                  <c:v>29/06/2013</c:v>
                </c:pt>
                <c:pt idx="546">
                  <c:v>30/06/2013</c:v>
                </c:pt>
                <c:pt idx="547">
                  <c:v>1/07/2013</c:v>
                </c:pt>
                <c:pt idx="548">
                  <c:v>2/07/2013</c:v>
                </c:pt>
                <c:pt idx="549">
                  <c:v>3/07/2013</c:v>
                </c:pt>
                <c:pt idx="550">
                  <c:v>4/07/2013</c:v>
                </c:pt>
                <c:pt idx="551">
                  <c:v>5/07/2013</c:v>
                </c:pt>
                <c:pt idx="552">
                  <c:v>6/07/2013</c:v>
                </c:pt>
                <c:pt idx="553">
                  <c:v>7/07/2013</c:v>
                </c:pt>
                <c:pt idx="554">
                  <c:v>8/07/2013</c:v>
                </c:pt>
                <c:pt idx="555">
                  <c:v>9/07/2013</c:v>
                </c:pt>
                <c:pt idx="556">
                  <c:v>10/07/2013</c:v>
                </c:pt>
                <c:pt idx="557">
                  <c:v>11/07/2013</c:v>
                </c:pt>
                <c:pt idx="558">
                  <c:v>12/07/2013</c:v>
                </c:pt>
                <c:pt idx="559">
                  <c:v>13/07/2013</c:v>
                </c:pt>
                <c:pt idx="560">
                  <c:v>14/07/2013</c:v>
                </c:pt>
                <c:pt idx="561">
                  <c:v>15/07/2013</c:v>
                </c:pt>
                <c:pt idx="562">
                  <c:v>16/07/2013</c:v>
                </c:pt>
                <c:pt idx="563">
                  <c:v>17/07/2013</c:v>
                </c:pt>
                <c:pt idx="564">
                  <c:v>18/07/2013</c:v>
                </c:pt>
                <c:pt idx="565">
                  <c:v>19/07/2013</c:v>
                </c:pt>
                <c:pt idx="566">
                  <c:v>20/07/2013</c:v>
                </c:pt>
                <c:pt idx="567">
                  <c:v>21/07/2013</c:v>
                </c:pt>
                <c:pt idx="568">
                  <c:v>22/07/2013</c:v>
                </c:pt>
                <c:pt idx="569">
                  <c:v>23/07/2013</c:v>
                </c:pt>
                <c:pt idx="570">
                  <c:v>24/07/2013</c:v>
                </c:pt>
                <c:pt idx="571">
                  <c:v>25/07/2013</c:v>
                </c:pt>
                <c:pt idx="572">
                  <c:v>26/07/2013</c:v>
                </c:pt>
                <c:pt idx="573">
                  <c:v>27/07/2013</c:v>
                </c:pt>
                <c:pt idx="574">
                  <c:v>28/07/2013</c:v>
                </c:pt>
                <c:pt idx="575">
                  <c:v>29/07/2013</c:v>
                </c:pt>
                <c:pt idx="576">
                  <c:v>30/07/2013</c:v>
                </c:pt>
                <c:pt idx="577">
                  <c:v>31/07/2013</c:v>
                </c:pt>
                <c:pt idx="578">
                  <c:v>1/08/2013</c:v>
                </c:pt>
                <c:pt idx="579">
                  <c:v>2/08/2013</c:v>
                </c:pt>
                <c:pt idx="580">
                  <c:v>3/08/2013</c:v>
                </c:pt>
                <c:pt idx="581">
                  <c:v>4/08/2013</c:v>
                </c:pt>
                <c:pt idx="582">
                  <c:v>5/08/2013</c:v>
                </c:pt>
                <c:pt idx="583">
                  <c:v>6/08/2013</c:v>
                </c:pt>
                <c:pt idx="584">
                  <c:v>7/08/2013</c:v>
                </c:pt>
                <c:pt idx="585">
                  <c:v>8/08/2013</c:v>
                </c:pt>
                <c:pt idx="586">
                  <c:v>9/08/2013</c:v>
                </c:pt>
                <c:pt idx="587">
                  <c:v>10/08/2013</c:v>
                </c:pt>
                <c:pt idx="588">
                  <c:v>11/08/2013</c:v>
                </c:pt>
                <c:pt idx="589">
                  <c:v>12/08/2013</c:v>
                </c:pt>
                <c:pt idx="590">
                  <c:v>13/08/2013</c:v>
                </c:pt>
                <c:pt idx="591">
                  <c:v>14/08/2013</c:v>
                </c:pt>
                <c:pt idx="592">
                  <c:v>15/08/2013</c:v>
                </c:pt>
                <c:pt idx="593">
                  <c:v>16/08/2013</c:v>
                </c:pt>
                <c:pt idx="594">
                  <c:v>17/08/2013</c:v>
                </c:pt>
                <c:pt idx="595">
                  <c:v>18/08/2013</c:v>
                </c:pt>
                <c:pt idx="596">
                  <c:v>19/08/2013</c:v>
                </c:pt>
                <c:pt idx="597">
                  <c:v>20/08/2013</c:v>
                </c:pt>
                <c:pt idx="598">
                  <c:v>21/08/2013</c:v>
                </c:pt>
                <c:pt idx="599">
                  <c:v>22/08/2013</c:v>
                </c:pt>
                <c:pt idx="600">
                  <c:v>23/08/2013</c:v>
                </c:pt>
                <c:pt idx="601">
                  <c:v>24/08/2013</c:v>
                </c:pt>
                <c:pt idx="602">
                  <c:v>25/08/2013</c:v>
                </c:pt>
                <c:pt idx="603">
                  <c:v>26/08/2013</c:v>
                </c:pt>
                <c:pt idx="604">
                  <c:v>27/08/2013</c:v>
                </c:pt>
                <c:pt idx="605">
                  <c:v>28/08/2013</c:v>
                </c:pt>
                <c:pt idx="606">
                  <c:v>29/08/2013</c:v>
                </c:pt>
                <c:pt idx="607">
                  <c:v>30/08/2013</c:v>
                </c:pt>
                <c:pt idx="608">
                  <c:v>31/08/2013</c:v>
                </c:pt>
                <c:pt idx="609">
                  <c:v>1/09/2013</c:v>
                </c:pt>
                <c:pt idx="610">
                  <c:v>2/09/2013</c:v>
                </c:pt>
                <c:pt idx="611">
                  <c:v>3/09/2013</c:v>
                </c:pt>
                <c:pt idx="612">
                  <c:v>4/09/2013</c:v>
                </c:pt>
                <c:pt idx="613">
                  <c:v>5/09/2013</c:v>
                </c:pt>
                <c:pt idx="614">
                  <c:v>6/09/2013</c:v>
                </c:pt>
                <c:pt idx="615">
                  <c:v>7/09/2013</c:v>
                </c:pt>
                <c:pt idx="616">
                  <c:v>8/09/2013</c:v>
                </c:pt>
                <c:pt idx="617">
                  <c:v>9/09/2013</c:v>
                </c:pt>
                <c:pt idx="618">
                  <c:v>10/09/2013</c:v>
                </c:pt>
                <c:pt idx="619">
                  <c:v>11/09/2013</c:v>
                </c:pt>
                <c:pt idx="620">
                  <c:v>12/09/2013</c:v>
                </c:pt>
                <c:pt idx="621">
                  <c:v>13/09/2013</c:v>
                </c:pt>
                <c:pt idx="622">
                  <c:v>14/09/2013</c:v>
                </c:pt>
                <c:pt idx="623">
                  <c:v>15/09/2013</c:v>
                </c:pt>
                <c:pt idx="624">
                  <c:v>16/09/2013</c:v>
                </c:pt>
                <c:pt idx="625">
                  <c:v>17/09/2013</c:v>
                </c:pt>
                <c:pt idx="626">
                  <c:v>18/09/2013</c:v>
                </c:pt>
                <c:pt idx="627">
                  <c:v>19/09/2013</c:v>
                </c:pt>
                <c:pt idx="628">
                  <c:v>20/09/2013</c:v>
                </c:pt>
                <c:pt idx="629">
                  <c:v>21/09/2013</c:v>
                </c:pt>
                <c:pt idx="630">
                  <c:v>22/09/2013</c:v>
                </c:pt>
                <c:pt idx="631">
                  <c:v>23/09/2013</c:v>
                </c:pt>
                <c:pt idx="632">
                  <c:v>24/09/2013</c:v>
                </c:pt>
                <c:pt idx="633">
                  <c:v>25/09/2013</c:v>
                </c:pt>
                <c:pt idx="634">
                  <c:v>26/09/2013</c:v>
                </c:pt>
                <c:pt idx="635">
                  <c:v>27/09/2013</c:v>
                </c:pt>
                <c:pt idx="636">
                  <c:v>28/09/2013</c:v>
                </c:pt>
                <c:pt idx="637">
                  <c:v>29/09/2013</c:v>
                </c:pt>
                <c:pt idx="638">
                  <c:v>30/09/2013</c:v>
                </c:pt>
                <c:pt idx="639">
                  <c:v>1/10/2013</c:v>
                </c:pt>
                <c:pt idx="640">
                  <c:v>2/10/2013</c:v>
                </c:pt>
                <c:pt idx="641">
                  <c:v>3/10/2013</c:v>
                </c:pt>
                <c:pt idx="642">
                  <c:v>4/10/2013</c:v>
                </c:pt>
                <c:pt idx="643">
                  <c:v>5/10/2013</c:v>
                </c:pt>
                <c:pt idx="644">
                  <c:v>6/10/2013</c:v>
                </c:pt>
                <c:pt idx="645">
                  <c:v>7/10/2013</c:v>
                </c:pt>
                <c:pt idx="646">
                  <c:v>8/10/2013</c:v>
                </c:pt>
                <c:pt idx="647">
                  <c:v>9/10/2013</c:v>
                </c:pt>
                <c:pt idx="648">
                  <c:v>10/10/2013</c:v>
                </c:pt>
                <c:pt idx="649">
                  <c:v>11/10/2013</c:v>
                </c:pt>
                <c:pt idx="650">
                  <c:v>12/10/2013</c:v>
                </c:pt>
                <c:pt idx="651">
                  <c:v>13/10/2013</c:v>
                </c:pt>
                <c:pt idx="652">
                  <c:v>14/10/2013</c:v>
                </c:pt>
                <c:pt idx="653">
                  <c:v>15/10/2013</c:v>
                </c:pt>
                <c:pt idx="654">
                  <c:v>16/10/2013</c:v>
                </c:pt>
                <c:pt idx="655">
                  <c:v>17/10/2013</c:v>
                </c:pt>
                <c:pt idx="656">
                  <c:v>18/10/2013</c:v>
                </c:pt>
                <c:pt idx="657">
                  <c:v>19/10/2013</c:v>
                </c:pt>
                <c:pt idx="658">
                  <c:v>20/10/2013</c:v>
                </c:pt>
                <c:pt idx="659">
                  <c:v>21/10/2013</c:v>
                </c:pt>
                <c:pt idx="660">
                  <c:v>22/10/2013</c:v>
                </c:pt>
                <c:pt idx="661">
                  <c:v>23/10/2013</c:v>
                </c:pt>
                <c:pt idx="662">
                  <c:v>24/10/2013</c:v>
                </c:pt>
                <c:pt idx="663">
                  <c:v>25/10/2013</c:v>
                </c:pt>
                <c:pt idx="664">
                  <c:v>26/10/2013</c:v>
                </c:pt>
                <c:pt idx="665">
                  <c:v>27/10/2013</c:v>
                </c:pt>
                <c:pt idx="666">
                  <c:v>28/10/2013</c:v>
                </c:pt>
                <c:pt idx="667">
                  <c:v>29/10/2013</c:v>
                </c:pt>
                <c:pt idx="668">
                  <c:v>30/10/2013</c:v>
                </c:pt>
                <c:pt idx="669">
                  <c:v>31/10/2013</c:v>
                </c:pt>
                <c:pt idx="670">
                  <c:v>1/11/2013</c:v>
                </c:pt>
                <c:pt idx="671">
                  <c:v>2/11/2013</c:v>
                </c:pt>
                <c:pt idx="672">
                  <c:v>3/11/2013</c:v>
                </c:pt>
                <c:pt idx="673">
                  <c:v>4/11/2013</c:v>
                </c:pt>
                <c:pt idx="674">
                  <c:v>5/11/2013</c:v>
                </c:pt>
                <c:pt idx="675">
                  <c:v>6/11/2013</c:v>
                </c:pt>
                <c:pt idx="676">
                  <c:v>7/11/2013</c:v>
                </c:pt>
                <c:pt idx="677">
                  <c:v>8/11/2013</c:v>
                </c:pt>
                <c:pt idx="678">
                  <c:v>9/11/2013</c:v>
                </c:pt>
                <c:pt idx="679">
                  <c:v>10/11/2013</c:v>
                </c:pt>
                <c:pt idx="680">
                  <c:v>11/11/2013</c:v>
                </c:pt>
                <c:pt idx="681">
                  <c:v>12/11/2013</c:v>
                </c:pt>
                <c:pt idx="682">
                  <c:v>13/11/2013</c:v>
                </c:pt>
                <c:pt idx="683">
                  <c:v>14/11/2013</c:v>
                </c:pt>
                <c:pt idx="684">
                  <c:v>15/11/2013</c:v>
                </c:pt>
                <c:pt idx="685">
                  <c:v>16/11/2013</c:v>
                </c:pt>
                <c:pt idx="686">
                  <c:v>17/11/2013</c:v>
                </c:pt>
                <c:pt idx="687">
                  <c:v>18/11/2013</c:v>
                </c:pt>
                <c:pt idx="688">
                  <c:v>19/11/2013</c:v>
                </c:pt>
                <c:pt idx="689">
                  <c:v>20/11/2013</c:v>
                </c:pt>
                <c:pt idx="690">
                  <c:v>21/11/2013</c:v>
                </c:pt>
                <c:pt idx="691">
                  <c:v>22/11/2013</c:v>
                </c:pt>
                <c:pt idx="692">
                  <c:v>23/11/2013</c:v>
                </c:pt>
                <c:pt idx="693">
                  <c:v>24/11/2013</c:v>
                </c:pt>
                <c:pt idx="694">
                  <c:v>25/11/2013</c:v>
                </c:pt>
                <c:pt idx="695">
                  <c:v>26/11/2013</c:v>
                </c:pt>
                <c:pt idx="696">
                  <c:v>27/11/2013</c:v>
                </c:pt>
                <c:pt idx="697">
                  <c:v>28/11/2013</c:v>
                </c:pt>
                <c:pt idx="698">
                  <c:v>29/11/2013</c:v>
                </c:pt>
                <c:pt idx="699">
                  <c:v>30/11/2013</c:v>
                </c:pt>
                <c:pt idx="700">
                  <c:v>1/12/2013</c:v>
                </c:pt>
                <c:pt idx="701">
                  <c:v>2/12/2013</c:v>
                </c:pt>
                <c:pt idx="702">
                  <c:v>3/12/2013</c:v>
                </c:pt>
                <c:pt idx="703">
                  <c:v>4/12/2013</c:v>
                </c:pt>
                <c:pt idx="704">
                  <c:v>5/12/2013</c:v>
                </c:pt>
                <c:pt idx="705">
                  <c:v>6/12/2013</c:v>
                </c:pt>
                <c:pt idx="706">
                  <c:v>7/12/2013</c:v>
                </c:pt>
                <c:pt idx="707">
                  <c:v>8/12/2013</c:v>
                </c:pt>
                <c:pt idx="708">
                  <c:v>9/12/2013</c:v>
                </c:pt>
                <c:pt idx="709">
                  <c:v>10/12/2013</c:v>
                </c:pt>
                <c:pt idx="710">
                  <c:v>11/12/2013</c:v>
                </c:pt>
                <c:pt idx="711">
                  <c:v>12/12/2013</c:v>
                </c:pt>
                <c:pt idx="712">
                  <c:v>13/12/2013</c:v>
                </c:pt>
                <c:pt idx="713">
                  <c:v>14/12/2013</c:v>
                </c:pt>
                <c:pt idx="714">
                  <c:v>15/12/2013</c:v>
                </c:pt>
                <c:pt idx="715">
                  <c:v>16/12/2013</c:v>
                </c:pt>
                <c:pt idx="716">
                  <c:v>17/12/2013</c:v>
                </c:pt>
                <c:pt idx="717">
                  <c:v>18/12/2013</c:v>
                </c:pt>
                <c:pt idx="718">
                  <c:v>19/12/2013</c:v>
                </c:pt>
                <c:pt idx="719">
                  <c:v>20/12/2013</c:v>
                </c:pt>
                <c:pt idx="720">
                  <c:v>21/12/2013</c:v>
                </c:pt>
                <c:pt idx="721">
                  <c:v>22/12/2013</c:v>
                </c:pt>
                <c:pt idx="722">
                  <c:v>23/12/2013</c:v>
                </c:pt>
                <c:pt idx="723">
                  <c:v>24/12/2013</c:v>
                </c:pt>
                <c:pt idx="724">
                  <c:v>25/12/2013</c:v>
                </c:pt>
                <c:pt idx="725">
                  <c:v>26/12/2013</c:v>
                </c:pt>
                <c:pt idx="726">
                  <c:v>27/12/2013</c:v>
                </c:pt>
                <c:pt idx="727">
                  <c:v>28/12/2013</c:v>
                </c:pt>
                <c:pt idx="728">
                  <c:v>29/12/2013</c:v>
                </c:pt>
                <c:pt idx="729">
                  <c:v>30/12/2013</c:v>
                </c:pt>
                <c:pt idx="730">
                  <c:v>31/12/2013</c:v>
                </c:pt>
                <c:pt idx="731">
                  <c:v>1/01/2014</c:v>
                </c:pt>
                <c:pt idx="732">
                  <c:v>2/01/2014</c:v>
                </c:pt>
                <c:pt idx="733">
                  <c:v>3/01/2014</c:v>
                </c:pt>
                <c:pt idx="734">
                  <c:v>4/01/2014</c:v>
                </c:pt>
                <c:pt idx="735">
                  <c:v>5/01/2014</c:v>
                </c:pt>
                <c:pt idx="736">
                  <c:v>6/01/2014</c:v>
                </c:pt>
                <c:pt idx="737">
                  <c:v>7/01/2014</c:v>
                </c:pt>
                <c:pt idx="738">
                  <c:v>8/01/2014</c:v>
                </c:pt>
                <c:pt idx="739">
                  <c:v>9/01/2014</c:v>
                </c:pt>
                <c:pt idx="740">
                  <c:v>10/01/2014</c:v>
                </c:pt>
                <c:pt idx="741">
                  <c:v>11/01/2014</c:v>
                </c:pt>
                <c:pt idx="742">
                  <c:v>12/01/2014</c:v>
                </c:pt>
                <c:pt idx="743">
                  <c:v>13/01/2014</c:v>
                </c:pt>
                <c:pt idx="744">
                  <c:v>14/01/2014</c:v>
                </c:pt>
                <c:pt idx="745">
                  <c:v>15/01/2014</c:v>
                </c:pt>
                <c:pt idx="746">
                  <c:v>16/01/2014</c:v>
                </c:pt>
                <c:pt idx="747">
                  <c:v>17/01/2014</c:v>
                </c:pt>
                <c:pt idx="748">
                  <c:v>18/01/2014</c:v>
                </c:pt>
                <c:pt idx="749">
                  <c:v>19/01/2014</c:v>
                </c:pt>
                <c:pt idx="750">
                  <c:v>20/01/2014</c:v>
                </c:pt>
                <c:pt idx="751">
                  <c:v>21/01/2014</c:v>
                </c:pt>
                <c:pt idx="752">
                  <c:v>22/01/2014</c:v>
                </c:pt>
                <c:pt idx="753">
                  <c:v>23/01/2014</c:v>
                </c:pt>
                <c:pt idx="754">
                  <c:v>24/01/2014</c:v>
                </c:pt>
                <c:pt idx="755">
                  <c:v>25/01/2014</c:v>
                </c:pt>
                <c:pt idx="756">
                  <c:v>26/01/2014</c:v>
                </c:pt>
                <c:pt idx="757">
                  <c:v>27/01/2014</c:v>
                </c:pt>
                <c:pt idx="758">
                  <c:v>28/01/2014</c:v>
                </c:pt>
                <c:pt idx="759">
                  <c:v>29/01/2014</c:v>
                </c:pt>
                <c:pt idx="760">
                  <c:v>30/01/2014</c:v>
                </c:pt>
                <c:pt idx="761">
                  <c:v>31/01/2014</c:v>
                </c:pt>
                <c:pt idx="762">
                  <c:v>1/02/2014</c:v>
                </c:pt>
                <c:pt idx="763">
                  <c:v>2/02/2014</c:v>
                </c:pt>
                <c:pt idx="764">
                  <c:v>3/02/2014</c:v>
                </c:pt>
                <c:pt idx="765">
                  <c:v>4/02/2014</c:v>
                </c:pt>
                <c:pt idx="766">
                  <c:v>5/02/2014</c:v>
                </c:pt>
                <c:pt idx="767">
                  <c:v>6/02/2014</c:v>
                </c:pt>
                <c:pt idx="768">
                  <c:v>7/02/2014</c:v>
                </c:pt>
                <c:pt idx="769">
                  <c:v>8/02/2014</c:v>
                </c:pt>
                <c:pt idx="770">
                  <c:v>9/02/2014</c:v>
                </c:pt>
                <c:pt idx="771">
                  <c:v>10/02/2014</c:v>
                </c:pt>
                <c:pt idx="772">
                  <c:v>11/02/2014</c:v>
                </c:pt>
                <c:pt idx="773">
                  <c:v>12/02/2014</c:v>
                </c:pt>
                <c:pt idx="774">
                  <c:v>13/02/2014</c:v>
                </c:pt>
                <c:pt idx="775">
                  <c:v>14/02/2014</c:v>
                </c:pt>
                <c:pt idx="776">
                  <c:v>15/02/2014</c:v>
                </c:pt>
                <c:pt idx="777">
                  <c:v>16/02/2014</c:v>
                </c:pt>
                <c:pt idx="778">
                  <c:v>17/02/2014</c:v>
                </c:pt>
                <c:pt idx="779">
                  <c:v>18/02/2014</c:v>
                </c:pt>
                <c:pt idx="780">
                  <c:v>19/02/2014</c:v>
                </c:pt>
                <c:pt idx="781">
                  <c:v>20/02/2014</c:v>
                </c:pt>
                <c:pt idx="782">
                  <c:v>21/02/2014</c:v>
                </c:pt>
                <c:pt idx="783">
                  <c:v>22/02/2014</c:v>
                </c:pt>
                <c:pt idx="784">
                  <c:v>23/02/2014</c:v>
                </c:pt>
                <c:pt idx="785">
                  <c:v>24/02/2014</c:v>
                </c:pt>
                <c:pt idx="786">
                  <c:v>25/02/2014</c:v>
                </c:pt>
                <c:pt idx="787">
                  <c:v>26/02/2014</c:v>
                </c:pt>
                <c:pt idx="788">
                  <c:v>27/02/2014</c:v>
                </c:pt>
                <c:pt idx="789">
                  <c:v>28/02/2014</c:v>
                </c:pt>
                <c:pt idx="790">
                  <c:v>1/03/2014</c:v>
                </c:pt>
                <c:pt idx="791">
                  <c:v>2/03/2014</c:v>
                </c:pt>
                <c:pt idx="792">
                  <c:v>3/03/2014</c:v>
                </c:pt>
                <c:pt idx="793">
                  <c:v>4/03/2014</c:v>
                </c:pt>
                <c:pt idx="794">
                  <c:v>5/03/2014</c:v>
                </c:pt>
                <c:pt idx="795">
                  <c:v>6/03/2014</c:v>
                </c:pt>
                <c:pt idx="796">
                  <c:v>7/03/2014</c:v>
                </c:pt>
                <c:pt idx="797">
                  <c:v>8/03/2014</c:v>
                </c:pt>
                <c:pt idx="798">
                  <c:v>9/03/2014</c:v>
                </c:pt>
                <c:pt idx="799">
                  <c:v>10/03/2014</c:v>
                </c:pt>
                <c:pt idx="800">
                  <c:v>11/03/2014</c:v>
                </c:pt>
                <c:pt idx="801">
                  <c:v>12/03/2014</c:v>
                </c:pt>
                <c:pt idx="802">
                  <c:v>13/03/2014</c:v>
                </c:pt>
                <c:pt idx="803">
                  <c:v>14/03/2014</c:v>
                </c:pt>
                <c:pt idx="804">
                  <c:v>15/03/2014</c:v>
                </c:pt>
                <c:pt idx="805">
                  <c:v>16/03/2014</c:v>
                </c:pt>
                <c:pt idx="806">
                  <c:v>17/03/2014</c:v>
                </c:pt>
                <c:pt idx="807">
                  <c:v>18/03/2014</c:v>
                </c:pt>
                <c:pt idx="808">
                  <c:v>19/03/2014</c:v>
                </c:pt>
                <c:pt idx="809">
                  <c:v>20/03/2014</c:v>
                </c:pt>
                <c:pt idx="810">
                  <c:v>21/03/2014</c:v>
                </c:pt>
                <c:pt idx="811">
                  <c:v>22/03/2014</c:v>
                </c:pt>
                <c:pt idx="812">
                  <c:v>23/03/2014</c:v>
                </c:pt>
                <c:pt idx="813">
                  <c:v>24/03/2014</c:v>
                </c:pt>
                <c:pt idx="814">
                  <c:v>25/03/2014</c:v>
                </c:pt>
                <c:pt idx="815">
                  <c:v>26/03/2014</c:v>
                </c:pt>
                <c:pt idx="816">
                  <c:v>27/03/2014</c:v>
                </c:pt>
                <c:pt idx="817">
                  <c:v>28/03/2014</c:v>
                </c:pt>
                <c:pt idx="818">
                  <c:v>29/03/2014</c:v>
                </c:pt>
                <c:pt idx="819">
                  <c:v>30/03/2014</c:v>
                </c:pt>
                <c:pt idx="820">
                  <c:v>31/03/2014</c:v>
                </c:pt>
                <c:pt idx="821">
                  <c:v>1/04/2014</c:v>
                </c:pt>
                <c:pt idx="822">
                  <c:v>2/04/2014</c:v>
                </c:pt>
                <c:pt idx="823">
                  <c:v>3/04/2014</c:v>
                </c:pt>
                <c:pt idx="824">
                  <c:v>4/04/2014</c:v>
                </c:pt>
                <c:pt idx="825">
                  <c:v>5/04/2014</c:v>
                </c:pt>
                <c:pt idx="826">
                  <c:v>6/04/2014</c:v>
                </c:pt>
                <c:pt idx="827">
                  <c:v>7/04/2014</c:v>
                </c:pt>
                <c:pt idx="828">
                  <c:v>8/04/2014</c:v>
                </c:pt>
                <c:pt idx="829">
                  <c:v>9/04/2014</c:v>
                </c:pt>
                <c:pt idx="830">
                  <c:v>10/04/2014</c:v>
                </c:pt>
                <c:pt idx="831">
                  <c:v>11/04/2014</c:v>
                </c:pt>
                <c:pt idx="832">
                  <c:v>12/04/2014</c:v>
                </c:pt>
                <c:pt idx="833">
                  <c:v>13/04/2014</c:v>
                </c:pt>
                <c:pt idx="834">
                  <c:v>14/04/2014</c:v>
                </c:pt>
                <c:pt idx="835">
                  <c:v>15/04/2014</c:v>
                </c:pt>
                <c:pt idx="836">
                  <c:v>16/04/2014</c:v>
                </c:pt>
                <c:pt idx="837">
                  <c:v>17/04/2014</c:v>
                </c:pt>
                <c:pt idx="838">
                  <c:v>18/04/2014</c:v>
                </c:pt>
                <c:pt idx="839">
                  <c:v>19/04/2014</c:v>
                </c:pt>
                <c:pt idx="840">
                  <c:v>20/04/2014</c:v>
                </c:pt>
                <c:pt idx="841">
                  <c:v>21/04/2014</c:v>
                </c:pt>
                <c:pt idx="842">
                  <c:v>22/04/2014</c:v>
                </c:pt>
                <c:pt idx="843">
                  <c:v>23/04/2014</c:v>
                </c:pt>
                <c:pt idx="844">
                  <c:v>24/04/2014</c:v>
                </c:pt>
                <c:pt idx="845">
                  <c:v>25/04/2014</c:v>
                </c:pt>
                <c:pt idx="846">
                  <c:v>26/04/2014</c:v>
                </c:pt>
                <c:pt idx="847">
                  <c:v>27/04/2014</c:v>
                </c:pt>
                <c:pt idx="848">
                  <c:v>28/04/2014</c:v>
                </c:pt>
                <c:pt idx="849">
                  <c:v>29/04/2014</c:v>
                </c:pt>
                <c:pt idx="850">
                  <c:v>30/04/2014</c:v>
                </c:pt>
                <c:pt idx="851">
                  <c:v>1/05/2014</c:v>
                </c:pt>
                <c:pt idx="852">
                  <c:v>2/05/2014</c:v>
                </c:pt>
                <c:pt idx="853">
                  <c:v>3/05/2014</c:v>
                </c:pt>
                <c:pt idx="854">
                  <c:v>4/05/2014</c:v>
                </c:pt>
                <c:pt idx="855">
                  <c:v>5/05/2014</c:v>
                </c:pt>
                <c:pt idx="856">
                  <c:v>6/05/2014</c:v>
                </c:pt>
                <c:pt idx="857">
                  <c:v>7/05/2014</c:v>
                </c:pt>
                <c:pt idx="858">
                  <c:v>8/05/2014</c:v>
                </c:pt>
                <c:pt idx="859">
                  <c:v>9/05/2014</c:v>
                </c:pt>
                <c:pt idx="860">
                  <c:v>10/05/2014</c:v>
                </c:pt>
                <c:pt idx="861">
                  <c:v>11/05/2014</c:v>
                </c:pt>
                <c:pt idx="862">
                  <c:v>12/05/2014</c:v>
                </c:pt>
                <c:pt idx="863">
                  <c:v>13/05/2014</c:v>
                </c:pt>
                <c:pt idx="864">
                  <c:v>14/05/2014</c:v>
                </c:pt>
                <c:pt idx="865">
                  <c:v>15/05/2014</c:v>
                </c:pt>
                <c:pt idx="866">
                  <c:v>16/05/2014</c:v>
                </c:pt>
                <c:pt idx="867">
                  <c:v>17/05/2014</c:v>
                </c:pt>
                <c:pt idx="868">
                  <c:v>18/05/2014</c:v>
                </c:pt>
                <c:pt idx="869">
                  <c:v>19/05/2014</c:v>
                </c:pt>
                <c:pt idx="870">
                  <c:v>20/05/2014</c:v>
                </c:pt>
                <c:pt idx="871">
                  <c:v>21/05/2014</c:v>
                </c:pt>
                <c:pt idx="872">
                  <c:v>22/05/2014</c:v>
                </c:pt>
                <c:pt idx="873">
                  <c:v>23/05/2014</c:v>
                </c:pt>
                <c:pt idx="874">
                  <c:v>24/05/2014</c:v>
                </c:pt>
                <c:pt idx="875">
                  <c:v>25/05/2014</c:v>
                </c:pt>
                <c:pt idx="876">
                  <c:v>26/05/2014</c:v>
                </c:pt>
                <c:pt idx="877">
                  <c:v>27/05/2014</c:v>
                </c:pt>
                <c:pt idx="878">
                  <c:v>28/05/2014</c:v>
                </c:pt>
                <c:pt idx="879">
                  <c:v>29/05/2014</c:v>
                </c:pt>
                <c:pt idx="880">
                  <c:v>30/05/2014</c:v>
                </c:pt>
                <c:pt idx="881">
                  <c:v>31/05/2014</c:v>
                </c:pt>
                <c:pt idx="882">
                  <c:v>1/06/2014</c:v>
                </c:pt>
                <c:pt idx="883">
                  <c:v>2/06/2014</c:v>
                </c:pt>
                <c:pt idx="884">
                  <c:v>3/06/2014</c:v>
                </c:pt>
                <c:pt idx="885">
                  <c:v>4/06/2014</c:v>
                </c:pt>
                <c:pt idx="886">
                  <c:v>5/06/2014</c:v>
                </c:pt>
                <c:pt idx="887">
                  <c:v>6/06/2014</c:v>
                </c:pt>
                <c:pt idx="888">
                  <c:v>7/06/2014</c:v>
                </c:pt>
                <c:pt idx="889">
                  <c:v>8/06/2014</c:v>
                </c:pt>
                <c:pt idx="890">
                  <c:v>9/06/2014</c:v>
                </c:pt>
                <c:pt idx="891">
                  <c:v>10/06/2014</c:v>
                </c:pt>
                <c:pt idx="892">
                  <c:v>11/06/2014</c:v>
                </c:pt>
                <c:pt idx="893">
                  <c:v>12/06/2014</c:v>
                </c:pt>
                <c:pt idx="894">
                  <c:v>13/06/2014</c:v>
                </c:pt>
                <c:pt idx="895">
                  <c:v>14/06/2014</c:v>
                </c:pt>
                <c:pt idx="896">
                  <c:v>15/06/2014</c:v>
                </c:pt>
                <c:pt idx="897">
                  <c:v>16/06/2014</c:v>
                </c:pt>
                <c:pt idx="898">
                  <c:v>17/06/2014</c:v>
                </c:pt>
                <c:pt idx="899">
                  <c:v>18/06/2014</c:v>
                </c:pt>
                <c:pt idx="900">
                  <c:v>19/06/2014</c:v>
                </c:pt>
                <c:pt idx="901">
                  <c:v>20/06/2014</c:v>
                </c:pt>
                <c:pt idx="902">
                  <c:v>21/06/2014</c:v>
                </c:pt>
                <c:pt idx="903">
                  <c:v>22/06/2014</c:v>
                </c:pt>
                <c:pt idx="904">
                  <c:v>23/06/2014</c:v>
                </c:pt>
                <c:pt idx="905">
                  <c:v>24/06/2014</c:v>
                </c:pt>
                <c:pt idx="906">
                  <c:v>25/06/2014</c:v>
                </c:pt>
                <c:pt idx="907">
                  <c:v>26/06/2014</c:v>
                </c:pt>
                <c:pt idx="908">
                  <c:v>27/06/2014</c:v>
                </c:pt>
                <c:pt idx="909">
                  <c:v>28/06/2014</c:v>
                </c:pt>
                <c:pt idx="910">
                  <c:v>29/06/2014</c:v>
                </c:pt>
                <c:pt idx="911">
                  <c:v>30/06/2014</c:v>
                </c:pt>
                <c:pt idx="912">
                  <c:v>1/07/2014</c:v>
                </c:pt>
                <c:pt idx="913">
                  <c:v>2/07/2014</c:v>
                </c:pt>
                <c:pt idx="914">
                  <c:v>3/07/2014</c:v>
                </c:pt>
                <c:pt idx="915">
                  <c:v>4/07/2014</c:v>
                </c:pt>
                <c:pt idx="916">
                  <c:v>5/07/2014</c:v>
                </c:pt>
                <c:pt idx="917">
                  <c:v>6/07/2014</c:v>
                </c:pt>
                <c:pt idx="918">
                  <c:v>7/07/2014</c:v>
                </c:pt>
                <c:pt idx="919">
                  <c:v>8/07/2014</c:v>
                </c:pt>
                <c:pt idx="920">
                  <c:v>9/07/2014</c:v>
                </c:pt>
                <c:pt idx="921">
                  <c:v>10/07/2014</c:v>
                </c:pt>
                <c:pt idx="922">
                  <c:v>11/07/2014</c:v>
                </c:pt>
                <c:pt idx="923">
                  <c:v>12/07/2014</c:v>
                </c:pt>
                <c:pt idx="924">
                  <c:v>13/07/2014</c:v>
                </c:pt>
                <c:pt idx="925">
                  <c:v>14/07/2014</c:v>
                </c:pt>
                <c:pt idx="926">
                  <c:v>15/07/2014</c:v>
                </c:pt>
                <c:pt idx="927">
                  <c:v>16/07/2014</c:v>
                </c:pt>
                <c:pt idx="928">
                  <c:v>17/07/2014</c:v>
                </c:pt>
                <c:pt idx="929">
                  <c:v>18/07/2014</c:v>
                </c:pt>
                <c:pt idx="930">
                  <c:v>19/07/2014</c:v>
                </c:pt>
                <c:pt idx="931">
                  <c:v>20/07/2014</c:v>
                </c:pt>
                <c:pt idx="932">
                  <c:v>21/07/2014</c:v>
                </c:pt>
                <c:pt idx="933">
                  <c:v>22/07/2014</c:v>
                </c:pt>
                <c:pt idx="934">
                  <c:v>23/07/2014</c:v>
                </c:pt>
                <c:pt idx="935">
                  <c:v>24/07/2014</c:v>
                </c:pt>
                <c:pt idx="936">
                  <c:v>25/07/2014</c:v>
                </c:pt>
                <c:pt idx="937">
                  <c:v>26/07/2014</c:v>
                </c:pt>
                <c:pt idx="938">
                  <c:v>27/07/2014</c:v>
                </c:pt>
                <c:pt idx="939">
                  <c:v>28/07/2014</c:v>
                </c:pt>
                <c:pt idx="940">
                  <c:v>29/07/2014</c:v>
                </c:pt>
                <c:pt idx="941">
                  <c:v>30/07/2014</c:v>
                </c:pt>
                <c:pt idx="942">
                  <c:v>31/07/2014</c:v>
                </c:pt>
                <c:pt idx="943">
                  <c:v>1/08/2014</c:v>
                </c:pt>
                <c:pt idx="944">
                  <c:v>2/08/2014</c:v>
                </c:pt>
                <c:pt idx="945">
                  <c:v>3/08/2014</c:v>
                </c:pt>
                <c:pt idx="946">
                  <c:v>4/08/2014</c:v>
                </c:pt>
                <c:pt idx="947">
                  <c:v>5/08/2014</c:v>
                </c:pt>
                <c:pt idx="948">
                  <c:v>6/08/2014</c:v>
                </c:pt>
                <c:pt idx="949">
                  <c:v>7/08/2014</c:v>
                </c:pt>
                <c:pt idx="950">
                  <c:v>8/08/2014</c:v>
                </c:pt>
                <c:pt idx="951">
                  <c:v>9/08/2014</c:v>
                </c:pt>
                <c:pt idx="952">
                  <c:v>10/08/2014</c:v>
                </c:pt>
                <c:pt idx="953">
                  <c:v>11/08/2014</c:v>
                </c:pt>
                <c:pt idx="954">
                  <c:v>12/08/2014</c:v>
                </c:pt>
                <c:pt idx="955">
                  <c:v>13/08/2014</c:v>
                </c:pt>
                <c:pt idx="956">
                  <c:v>14/08/2014</c:v>
                </c:pt>
                <c:pt idx="957">
                  <c:v>15/08/2014</c:v>
                </c:pt>
                <c:pt idx="958">
                  <c:v>16/08/2014</c:v>
                </c:pt>
                <c:pt idx="959">
                  <c:v>17/08/2014</c:v>
                </c:pt>
                <c:pt idx="960">
                  <c:v>18/08/2014</c:v>
                </c:pt>
                <c:pt idx="961">
                  <c:v>19/08/2014</c:v>
                </c:pt>
                <c:pt idx="962">
                  <c:v>20/08/2014</c:v>
                </c:pt>
                <c:pt idx="963">
                  <c:v>21/08/2014</c:v>
                </c:pt>
                <c:pt idx="964">
                  <c:v>22/08/2014</c:v>
                </c:pt>
                <c:pt idx="965">
                  <c:v>23/08/2014</c:v>
                </c:pt>
                <c:pt idx="966">
                  <c:v>24/08/2014</c:v>
                </c:pt>
                <c:pt idx="967">
                  <c:v>25/08/2014</c:v>
                </c:pt>
                <c:pt idx="968">
                  <c:v>26/08/2014</c:v>
                </c:pt>
                <c:pt idx="969">
                  <c:v>27/08/2014</c:v>
                </c:pt>
                <c:pt idx="970">
                  <c:v>28/08/2014</c:v>
                </c:pt>
                <c:pt idx="971">
                  <c:v>29/08/2014</c:v>
                </c:pt>
                <c:pt idx="972">
                  <c:v>30/08/2014</c:v>
                </c:pt>
                <c:pt idx="973">
                  <c:v>31/08/2014</c:v>
                </c:pt>
                <c:pt idx="974">
                  <c:v>1/09/2014</c:v>
                </c:pt>
                <c:pt idx="975">
                  <c:v>2/09/2014</c:v>
                </c:pt>
                <c:pt idx="976">
                  <c:v>3/09/2014</c:v>
                </c:pt>
                <c:pt idx="977">
                  <c:v>4/09/2014</c:v>
                </c:pt>
                <c:pt idx="978">
                  <c:v>5/09/2014</c:v>
                </c:pt>
                <c:pt idx="979">
                  <c:v>6/09/2014</c:v>
                </c:pt>
                <c:pt idx="980">
                  <c:v>7/09/2014</c:v>
                </c:pt>
                <c:pt idx="981">
                  <c:v>8/09/2014</c:v>
                </c:pt>
                <c:pt idx="982">
                  <c:v>9/09/2014</c:v>
                </c:pt>
                <c:pt idx="983">
                  <c:v>10/09/2014</c:v>
                </c:pt>
                <c:pt idx="984">
                  <c:v>11/09/2014</c:v>
                </c:pt>
                <c:pt idx="985">
                  <c:v>12/09/2014</c:v>
                </c:pt>
                <c:pt idx="986">
                  <c:v>13/09/2014</c:v>
                </c:pt>
                <c:pt idx="987">
                  <c:v>14/09/2014</c:v>
                </c:pt>
                <c:pt idx="988">
                  <c:v>15/09/2014</c:v>
                </c:pt>
                <c:pt idx="989">
                  <c:v>16/09/2014</c:v>
                </c:pt>
                <c:pt idx="990">
                  <c:v>17/09/2014</c:v>
                </c:pt>
                <c:pt idx="991">
                  <c:v>18/09/2014</c:v>
                </c:pt>
                <c:pt idx="992">
                  <c:v>19/09/2014</c:v>
                </c:pt>
                <c:pt idx="993">
                  <c:v>20/09/2014</c:v>
                </c:pt>
                <c:pt idx="994">
                  <c:v>21/09/2014</c:v>
                </c:pt>
                <c:pt idx="995">
                  <c:v>22/09/2014</c:v>
                </c:pt>
                <c:pt idx="996">
                  <c:v>23/09/2014</c:v>
                </c:pt>
                <c:pt idx="997">
                  <c:v>24/09/2014</c:v>
                </c:pt>
                <c:pt idx="998">
                  <c:v>25/09/2014</c:v>
                </c:pt>
                <c:pt idx="999">
                  <c:v>26/09/2014</c:v>
                </c:pt>
                <c:pt idx="1000">
                  <c:v>27/09/2014</c:v>
                </c:pt>
                <c:pt idx="1001">
                  <c:v>28/09/2014</c:v>
                </c:pt>
                <c:pt idx="1002">
                  <c:v>29/09/2014</c:v>
                </c:pt>
                <c:pt idx="1003">
                  <c:v>30/09/2014</c:v>
                </c:pt>
                <c:pt idx="1004">
                  <c:v>1/10/2014</c:v>
                </c:pt>
                <c:pt idx="1005">
                  <c:v>2/10/2014</c:v>
                </c:pt>
                <c:pt idx="1006">
                  <c:v>3/10/2014</c:v>
                </c:pt>
                <c:pt idx="1007">
                  <c:v>4/10/2014</c:v>
                </c:pt>
                <c:pt idx="1008">
                  <c:v>5/10/2014</c:v>
                </c:pt>
                <c:pt idx="1009">
                  <c:v>6/10/2014</c:v>
                </c:pt>
                <c:pt idx="1010">
                  <c:v>7/10/2014</c:v>
                </c:pt>
                <c:pt idx="1011">
                  <c:v>8/10/2014</c:v>
                </c:pt>
                <c:pt idx="1012">
                  <c:v>9/10/2014</c:v>
                </c:pt>
                <c:pt idx="1013">
                  <c:v>10/10/2014</c:v>
                </c:pt>
                <c:pt idx="1014">
                  <c:v>11/10/2014</c:v>
                </c:pt>
                <c:pt idx="1015">
                  <c:v>12/10/2014</c:v>
                </c:pt>
                <c:pt idx="1016">
                  <c:v>13/10/2014</c:v>
                </c:pt>
                <c:pt idx="1017">
                  <c:v>14/10/2014</c:v>
                </c:pt>
                <c:pt idx="1018">
                  <c:v>15/10/2014</c:v>
                </c:pt>
                <c:pt idx="1019">
                  <c:v>16/10/2014</c:v>
                </c:pt>
                <c:pt idx="1020">
                  <c:v>17/10/2014</c:v>
                </c:pt>
                <c:pt idx="1021">
                  <c:v>18/10/2014</c:v>
                </c:pt>
                <c:pt idx="1022">
                  <c:v>19/10/2014</c:v>
                </c:pt>
                <c:pt idx="1023">
                  <c:v>20/10/2014</c:v>
                </c:pt>
                <c:pt idx="1024">
                  <c:v>21/10/2014</c:v>
                </c:pt>
                <c:pt idx="1025">
                  <c:v>22/10/2014</c:v>
                </c:pt>
                <c:pt idx="1026">
                  <c:v>23/10/2014</c:v>
                </c:pt>
                <c:pt idx="1027">
                  <c:v>24/10/2014</c:v>
                </c:pt>
                <c:pt idx="1028">
                  <c:v>25/10/2014</c:v>
                </c:pt>
                <c:pt idx="1029">
                  <c:v>26/10/2014</c:v>
                </c:pt>
                <c:pt idx="1030">
                  <c:v>27/10/2014</c:v>
                </c:pt>
                <c:pt idx="1031">
                  <c:v>28/10/2014</c:v>
                </c:pt>
                <c:pt idx="1032">
                  <c:v>29/10/2014</c:v>
                </c:pt>
                <c:pt idx="1033">
                  <c:v>30/10/2014</c:v>
                </c:pt>
                <c:pt idx="1034">
                  <c:v>31/10/2014</c:v>
                </c:pt>
                <c:pt idx="1035">
                  <c:v>1/11/2014</c:v>
                </c:pt>
                <c:pt idx="1036">
                  <c:v>2/11/2014</c:v>
                </c:pt>
                <c:pt idx="1037">
                  <c:v>3/11/2014</c:v>
                </c:pt>
                <c:pt idx="1038">
                  <c:v>4/11/2014</c:v>
                </c:pt>
                <c:pt idx="1039">
                  <c:v>5/11/2014</c:v>
                </c:pt>
                <c:pt idx="1040">
                  <c:v>6/11/2014</c:v>
                </c:pt>
                <c:pt idx="1041">
                  <c:v>7/11/2014</c:v>
                </c:pt>
                <c:pt idx="1042">
                  <c:v>8/11/2014</c:v>
                </c:pt>
                <c:pt idx="1043">
                  <c:v>9/11/2014</c:v>
                </c:pt>
                <c:pt idx="1044">
                  <c:v>10/11/2014</c:v>
                </c:pt>
                <c:pt idx="1045">
                  <c:v>11/11/2014</c:v>
                </c:pt>
                <c:pt idx="1046">
                  <c:v>12/11/2014</c:v>
                </c:pt>
                <c:pt idx="1047">
                  <c:v>13/11/2014</c:v>
                </c:pt>
                <c:pt idx="1048">
                  <c:v>14/11/2014</c:v>
                </c:pt>
                <c:pt idx="1049">
                  <c:v>15/11/2014</c:v>
                </c:pt>
                <c:pt idx="1050">
                  <c:v>16/11/2014</c:v>
                </c:pt>
                <c:pt idx="1051">
                  <c:v>17/11/2014</c:v>
                </c:pt>
                <c:pt idx="1052">
                  <c:v>18/11/2014</c:v>
                </c:pt>
                <c:pt idx="1053">
                  <c:v>19/11/2014</c:v>
                </c:pt>
                <c:pt idx="1054">
                  <c:v>20/11/2014</c:v>
                </c:pt>
                <c:pt idx="1055">
                  <c:v>21/11/2014</c:v>
                </c:pt>
                <c:pt idx="1056">
                  <c:v>22/11/2014</c:v>
                </c:pt>
                <c:pt idx="1057">
                  <c:v>23/11/2014</c:v>
                </c:pt>
                <c:pt idx="1058">
                  <c:v>24/11/2014</c:v>
                </c:pt>
                <c:pt idx="1059">
                  <c:v>25/11/2014</c:v>
                </c:pt>
                <c:pt idx="1060">
                  <c:v>26/11/2014</c:v>
                </c:pt>
                <c:pt idx="1061">
                  <c:v>27/11/2014</c:v>
                </c:pt>
                <c:pt idx="1062">
                  <c:v>28/11/2014</c:v>
                </c:pt>
                <c:pt idx="1063">
                  <c:v>29/11/2014</c:v>
                </c:pt>
                <c:pt idx="1064">
                  <c:v>30/11/2014</c:v>
                </c:pt>
                <c:pt idx="1065">
                  <c:v>1/12/2014</c:v>
                </c:pt>
                <c:pt idx="1066">
                  <c:v>2/12/2014</c:v>
                </c:pt>
                <c:pt idx="1067">
                  <c:v>3/12/2014</c:v>
                </c:pt>
                <c:pt idx="1068">
                  <c:v>4/12/2014</c:v>
                </c:pt>
                <c:pt idx="1069">
                  <c:v>5/12/2014</c:v>
                </c:pt>
                <c:pt idx="1070">
                  <c:v>6/12/2014</c:v>
                </c:pt>
                <c:pt idx="1071">
                  <c:v>7/12/2014</c:v>
                </c:pt>
                <c:pt idx="1072">
                  <c:v>8/12/2014</c:v>
                </c:pt>
                <c:pt idx="1073">
                  <c:v>9/12/2014</c:v>
                </c:pt>
                <c:pt idx="1074">
                  <c:v>10/12/2014</c:v>
                </c:pt>
                <c:pt idx="1075">
                  <c:v>11/12/2014</c:v>
                </c:pt>
                <c:pt idx="1076">
                  <c:v>12/12/2014</c:v>
                </c:pt>
                <c:pt idx="1077">
                  <c:v>13/12/2014</c:v>
                </c:pt>
                <c:pt idx="1078">
                  <c:v>14/12/2014</c:v>
                </c:pt>
                <c:pt idx="1079">
                  <c:v>15/12/2014</c:v>
                </c:pt>
                <c:pt idx="1080">
                  <c:v>16/12/2014</c:v>
                </c:pt>
                <c:pt idx="1081">
                  <c:v>17/12/2014</c:v>
                </c:pt>
                <c:pt idx="1082">
                  <c:v>18/12/2014</c:v>
                </c:pt>
                <c:pt idx="1083">
                  <c:v>19/12/2014</c:v>
                </c:pt>
                <c:pt idx="1084">
                  <c:v>20/12/2014</c:v>
                </c:pt>
                <c:pt idx="1085">
                  <c:v>21/12/2014</c:v>
                </c:pt>
                <c:pt idx="1086">
                  <c:v>22/12/2014</c:v>
                </c:pt>
                <c:pt idx="1087">
                  <c:v>23/12/2014</c:v>
                </c:pt>
                <c:pt idx="1088">
                  <c:v>24/12/2014</c:v>
                </c:pt>
                <c:pt idx="1089">
                  <c:v>25/12/2014</c:v>
                </c:pt>
                <c:pt idx="1090">
                  <c:v>26/12/2014</c:v>
                </c:pt>
                <c:pt idx="1091">
                  <c:v>27/12/2014</c:v>
                </c:pt>
                <c:pt idx="1092">
                  <c:v>28/12/2014</c:v>
                </c:pt>
                <c:pt idx="1093">
                  <c:v>29/12/2014</c:v>
                </c:pt>
                <c:pt idx="1094">
                  <c:v>30/12/2014</c:v>
                </c:pt>
                <c:pt idx="1095">
                  <c:v>31/12/2014</c:v>
                </c:pt>
                <c:pt idx="1096">
                  <c:v>1/01/2015</c:v>
                </c:pt>
                <c:pt idx="1097">
                  <c:v>2/01/2015</c:v>
                </c:pt>
                <c:pt idx="1098">
                  <c:v>3/01/2015</c:v>
                </c:pt>
                <c:pt idx="1099">
                  <c:v>4/01/2015</c:v>
                </c:pt>
                <c:pt idx="1100">
                  <c:v>5/01/2015</c:v>
                </c:pt>
                <c:pt idx="1101">
                  <c:v>6/01/2015</c:v>
                </c:pt>
                <c:pt idx="1102">
                  <c:v>7/01/2015</c:v>
                </c:pt>
                <c:pt idx="1103">
                  <c:v>8/01/2015</c:v>
                </c:pt>
                <c:pt idx="1104">
                  <c:v>9/01/2015</c:v>
                </c:pt>
                <c:pt idx="1105">
                  <c:v>10/01/2015</c:v>
                </c:pt>
                <c:pt idx="1106">
                  <c:v>11/01/2015</c:v>
                </c:pt>
                <c:pt idx="1107">
                  <c:v>12/01/2015</c:v>
                </c:pt>
                <c:pt idx="1108">
                  <c:v>13/01/2015</c:v>
                </c:pt>
                <c:pt idx="1109">
                  <c:v>14/01/2015</c:v>
                </c:pt>
                <c:pt idx="1110">
                  <c:v>15/01/2015</c:v>
                </c:pt>
                <c:pt idx="1111">
                  <c:v>16/01/2015</c:v>
                </c:pt>
                <c:pt idx="1112">
                  <c:v>17/01/2015</c:v>
                </c:pt>
                <c:pt idx="1113">
                  <c:v>18/01/2015</c:v>
                </c:pt>
                <c:pt idx="1114">
                  <c:v>19/01/2015</c:v>
                </c:pt>
                <c:pt idx="1115">
                  <c:v>20/01/2015</c:v>
                </c:pt>
                <c:pt idx="1116">
                  <c:v>21/01/2015</c:v>
                </c:pt>
                <c:pt idx="1117">
                  <c:v>22/01/2015</c:v>
                </c:pt>
                <c:pt idx="1118">
                  <c:v>23/01/2015</c:v>
                </c:pt>
                <c:pt idx="1119">
                  <c:v>24/01/2015</c:v>
                </c:pt>
                <c:pt idx="1120">
                  <c:v>25/01/2015</c:v>
                </c:pt>
                <c:pt idx="1121">
                  <c:v>26/01/2015</c:v>
                </c:pt>
                <c:pt idx="1122">
                  <c:v>27/01/2015</c:v>
                </c:pt>
                <c:pt idx="1123">
                  <c:v>28/01/2015</c:v>
                </c:pt>
                <c:pt idx="1124">
                  <c:v>29/01/2015</c:v>
                </c:pt>
                <c:pt idx="1125">
                  <c:v>30/01/2015</c:v>
                </c:pt>
                <c:pt idx="1126">
                  <c:v>31/01/2015</c:v>
                </c:pt>
                <c:pt idx="1127">
                  <c:v>1/02/2015</c:v>
                </c:pt>
                <c:pt idx="1128">
                  <c:v>2/02/2015</c:v>
                </c:pt>
                <c:pt idx="1129">
                  <c:v>3/02/2015</c:v>
                </c:pt>
                <c:pt idx="1130">
                  <c:v>4/02/2015</c:v>
                </c:pt>
                <c:pt idx="1131">
                  <c:v>5/02/2015</c:v>
                </c:pt>
                <c:pt idx="1132">
                  <c:v>6/02/2015</c:v>
                </c:pt>
                <c:pt idx="1133">
                  <c:v>7/02/2015</c:v>
                </c:pt>
                <c:pt idx="1134">
                  <c:v>8/02/2015</c:v>
                </c:pt>
                <c:pt idx="1135">
                  <c:v>9/02/2015</c:v>
                </c:pt>
                <c:pt idx="1136">
                  <c:v>10/02/2015</c:v>
                </c:pt>
                <c:pt idx="1137">
                  <c:v>11/02/2015</c:v>
                </c:pt>
                <c:pt idx="1138">
                  <c:v>12/02/2015</c:v>
                </c:pt>
                <c:pt idx="1139">
                  <c:v>13/02/2015</c:v>
                </c:pt>
                <c:pt idx="1140">
                  <c:v>14/02/2015</c:v>
                </c:pt>
                <c:pt idx="1141">
                  <c:v>15/02/2015</c:v>
                </c:pt>
                <c:pt idx="1142">
                  <c:v>16/02/2015</c:v>
                </c:pt>
                <c:pt idx="1143">
                  <c:v>17/02/2015</c:v>
                </c:pt>
                <c:pt idx="1144">
                  <c:v>18/02/2015</c:v>
                </c:pt>
                <c:pt idx="1145">
                  <c:v>19/02/2015</c:v>
                </c:pt>
                <c:pt idx="1146">
                  <c:v>20/02/2015</c:v>
                </c:pt>
                <c:pt idx="1147">
                  <c:v>21/02/2015</c:v>
                </c:pt>
                <c:pt idx="1148">
                  <c:v>22/02/2015</c:v>
                </c:pt>
                <c:pt idx="1149">
                  <c:v>23/02/2015</c:v>
                </c:pt>
                <c:pt idx="1150">
                  <c:v>24/02/2015</c:v>
                </c:pt>
                <c:pt idx="1151">
                  <c:v>25/02/2015</c:v>
                </c:pt>
                <c:pt idx="1152">
                  <c:v>26/02/2015</c:v>
                </c:pt>
                <c:pt idx="1153">
                  <c:v>27/02/2015</c:v>
                </c:pt>
                <c:pt idx="1154">
                  <c:v>28/02/2015</c:v>
                </c:pt>
                <c:pt idx="1155">
                  <c:v>1/03/2015</c:v>
                </c:pt>
                <c:pt idx="1156">
                  <c:v>2/03/2015</c:v>
                </c:pt>
                <c:pt idx="1157">
                  <c:v>3/03/2015</c:v>
                </c:pt>
                <c:pt idx="1158">
                  <c:v>4/03/2015</c:v>
                </c:pt>
                <c:pt idx="1159">
                  <c:v>5/03/2015</c:v>
                </c:pt>
                <c:pt idx="1160">
                  <c:v>6/03/2015</c:v>
                </c:pt>
                <c:pt idx="1161">
                  <c:v>7/03/2015</c:v>
                </c:pt>
                <c:pt idx="1162">
                  <c:v>8/03/2015</c:v>
                </c:pt>
                <c:pt idx="1163">
                  <c:v>9/03/2015</c:v>
                </c:pt>
                <c:pt idx="1164">
                  <c:v>10/03/2015</c:v>
                </c:pt>
                <c:pt idx="1165">
                  <c:v>11/03/2015</c:v>
                </c:pt>
                <c:pt idx="1166">
                  <c:v>12/03/2015</c:v>
                </c:pt>
                <c:pt idx="1167">
                  <c:v>13/03/2015</c:v>
                </c:pt>
                <c:pt idx="1168">
                  <c:v>14/03/2015</c:v>
                </c:pt>
                <c:pt idx="1169">
                  <c:v>15/03/2015</c:v>
                </c:pt>
                <c:pt idx="1170">
                  <c:v>16/03/2015</c:v>
                </c:pt>
                <c:pt idx="1171">
                  <c:v>17/03/2015</c:v>
                </c:pt>
                <c:pt idx="1172">
                  <c:v>18/03/2015</c:v>
                </c:pt>
                <c:pt idx="1173">
                  <c:v>19/03/2015</c:v>
                </c:pt>
                <c:pt idx="1174">
                  <c:v>20/03/2015</c:v>
                </c:pt>
                <c:pt idx="1175">
                  <c:v>21/03/2015</c:v>
                </c:pt>
                <c:pt idx="1176">
                  <c:v>22/03/2015</c:v>
                </c:pt>
                <c:pt idx="1177">
                  <c:v>23/03/2015</c:v>
                </c:pt>
                <c:pt idx="1178">
                  <c:v>24/03/2015</c:v>
                </c:pt>
                <c:pt idx="1179">
                  <c:v>25/03/2015</c:v>
                </c:pt>
                <c:pt idx="1180">
                  <c:v>26/03/2015</c:v>
                </c:pt>
                <c:pt idx="1181">
                  <c:v>27/03/2015</c:v>
                </c:pt>
                <c:pt idx="1182">
                  <c:v>28/03/2015</c:v>
                </c:pt>
                <c:pt idx="1183">
                  <c:v>29/03/2015</c:v>
                </c:pt>
                <c:pt idx="1184">
                  <c:v>30/03/2015</c:v>
                </c:pt>
                <c:pt idx="1185">
                  <c:v>31/03/2015</c:v>
                </c:pt>
                <c:pt idx="1186">
                  <c:v>1/04/2015</c:v>
                </c:pt>
                <c:pt idx="1187">
                  <c:v>2/04/2015</c:v>
                </c:pt>
                <c:pt idx="1188">
                  <c:v>3/04/2015</c:v>
                </c:pt>
                <c:pt idx="1189">
                  <c:v>4/04/2015</c:v>
                </c:pt>
                <c:pt idx="1190">
                  <c:v>5/04/2015</c:v>
                </c:pt>
                <c:pt idx="1191">
                  <c:v>6/04/2015</c:v>
                </c:pt>
                <c:pt idx="1192">
                  <c:v>7/04/2015</c:v>
                </c:pt>
                <c:pt idx="1193">
                  <c:v>8/04/2015</c:v>
                </c:pt>
                <c:pt idx="1194">
                  <c:v>9/04/2015</c:v>
                </c:pt>
                <c:pt idx="1195">
                  <c:v>10/04/2015</c:v>
                </c:pt>
                <c:pt idx="1196">
                  <c:v>11/04/2015</c:v>
                </c:pt>
                <c:pt idx="1197">
                  <c:v>12/04/2015</c:v>
                </c:pt>
                <c:pt idx="1198">
                  <c:v>13/04/2015</c:v>
                </c:pt>
                <c:pt idx="1199">
                  <c:v>14/04/2015</c:v>
                </c:pt>
                <c:pt idx="1200">
                  <c:v>15/04/2015</c:v>
                </c:pt>
                <c:pt idx="1201">
                  <c:v>16/04/2015</c:v>
                </c:pt>
                <c:pt idx="1202">
                  <c:v>17/04/2015</c:v>
                </c:pt>
                <c:pt idx="1203">
                  <c:v>18/04/2015</c:v>
                </c:pt>
                <c:pt idx="1204">
                  <c:v>19/04/2015</c:v>
                </c:pt>
                <c:pt idx="1205">
                  <c:v>20/04/2015</c:v>
                </c:pt>
                <c:pt idx="1206">
                  <c:v>21/04/2015</c:v>
                </c:pt>
                <c:pt idx="1207">
                  <c:v>22/04/2015</c:v>
                </c:pt>
                <c:pt idx="1208">
                  <c:v>23/04/2015</c:v>
                </c:pt>
                <c:pt idx="1209">
                  <c:v>24/04/2015</c:v>
                </c:pt>
                <c:pt idx="1210">
                  <c:v>25/04/2015</c:v>
                </c:pt>
                <c:pt idx="1211">
                  <c:v>26/04/2015</c:v>
                </c:pt>
                <c:pt idx="1212">
                  <c:v>27/04/2015</c:v>
                </c:pt>
                <c:pt idx="1213">
                  <c:v>28/04/2015</c:v>
                </c:pt>
                <c:pt idx="1214">
                  <c:v>29/04/2015</c:v>
                </c:pt>
                <c:pt idx="1215">
                  <c:v>30/04/2015</c:v>
                </c:pt>
                <c:pt idx="1216">
                  <c:v>1/05/2015</c:v>
                </c:pt>
                <c:pt idx="1217">
                  <c:v>2/05/2015</c:v>
                </c:pt>
                <c:pt idx="1218">
                  <c:v>3/05/2015</c:v>
                </c:pt>
                <c:pt idx="1219">
                  <c:v>4/05/2015</c:v>
                </c:pt>
                <c:pt idx="1220">
                  <c:v>5/05/2015</c:v>
                </c:pt>
                <c:pt idx="1221">
                  <c:v>6/05/2015</c:v>
                </c:pt>
                <c:pt idx="1222">
                  <c:v>7/05/2015</c:v>
                </c:pt>
                <c:pt idx="1223">
                  <c:v>8/05/2015</c:v>
                </c:pt>
                <c:pt idx="1224">
                  <c:v>9/05/2015</c:v>
                </c:pt>
                <c:pt idx="1225">
                  <c:v>10/05/2015</c:v>
                </c:pt>
                <c:pt idx="1226">
                  <c:v>11/05/2015</c:v>
                </c:pt>
                <c:pt idx="1227">
                  <c:v>12/05/2015</c:v>
                </c:pt>
                <c:pt idx="1228">
                  <c:v>13/05/2015</c:v>
                </c:pt>
                <c:pt idx="1229">
                  <c:v>14/05/2015</c:v>
                </c:pt>
                <c:pt idx="1230">
                  <c:v>15/05/2015</c:v>
                </c:pt>
                <c:pt idx="1231">
                  <c:v>16/05/2015</c:v>
                </c:pt>
                <c:pt idx="1232">
                  <c:v>17/05/2015</c:v>
                </c:pt>
                <c:pt idx="1233">
                  <c:v>18/05/2015</c:v>
                </c:pt>
                <c:pt idx="1234">
                  <c:v>19/05/2015</c:v>
                </c:pt>
                <c:pt idx="1235">
                  <c:v>20/05/2015</c:v>
                </c:pt>
                <c:pt idx="1236">
                  <c:v>21/05/2015</c:v>
                </c:pt>
                <c:pt idx="1237">
                  <c:v>22/05/2015</c:v>
                </c:pt>
                <c:pt idx="1238">
                  <c:v>23/05/2015</c:v>
                </c:pt>
                <c:pt idx="1239">
                  <c:v>24/05/2015</c:v>
                </c:pt>
                <c:pt idx="1240">
                  <c:v>25/05/2015</c:v>
                </c:pt>
                <c:pt idx="1241">
                  <c:v>26/05/2015</c:v>
                </c:pt>
                <c:pt idx="1242">
                  <c:v>27/05/2015</c:v>
                </c:pt>
                <c:pt idx="1243">
                  <c:v>28/05/2015</c:v>
                </c:pt>
                <c:pt idx="1244">
                  <c:v>29/05/2015</c:v>
                </c:pt>
                <c:pt idx="1245">
                  <c:v>30/05/2015</c:v>
                </c:pt>
                <c:pt idx="1246">
                  <c:v>31/05/2015</c:v>
                </c:pt>
                <c:pt idx="1247">
                  <c:v>1/06/2015</c:v>
                </c:pt>
                <c:pt idx="1248">
                  <c:v>2/06/2015</c:v>
                </c:pt>
                <c:pt idx="1249">
                  <c:v>3/06/2015</c:v>
                </c:pt>
                <c:pt idx="1250">
                  <c:v>4/06/2015</c:v>
                </c:pt>
                <c:pt idx="1251">
                  <c:v>5/06/2015</c:v>
                </c:pt>
                <c:pt idx="1252">
                  <c:v>6/06/2015</c:v>
                </c:pt>
                <c:pt idx="1253">
                  <c:v>7/06/2015</c:v>
                </c:pt>
                <c:pt idx="1254">
                  <c:v>8/06/2015</c:v>
                </c:pt>
                <c:pt idx="1255">
                  <c:v>9/06/2015</c:v>
                </c:pt>
                <c:pt idx="1256">
                  <c:v>10/06/2015</c:v>
                </c:pt>
                <c:pt idx="1257">
                  <c:v>11/06/2015</c:v>
                </c:pt>
                <c:pt idx="1258">
                  <c:v>12/06/2015</c:v>
                </c:pt>
                <c:pt idx="1259">
                  <c:v>13/06/2015</c:v>
                </c:pt>
                <c:pt idx="1260">
                  <c:v>14/06/2015</c:v>
                </c:pt>
                <c:pt idx="1261">
                  <c:v>15/06/2015</c:v>
                </c:pt>
                <c:pt idx="1262">
                  <c:v>16/06/2015</c:v>
                </c:pt>
                <c:pt idx="1263">
                  <c:v>17/06/2015</c:v>
                </c:pt>
                <c:pt idx="1264">
                  <c:v>18/06/2015</c:v>
                </c:pt>
                <c:pt idx="1265">
                  <c:v>19/06/2015</c:v>
                </c:pt>
                <c:pt idx="1266">
                  <c:v>20/06/2015</c:v>
                </c:pt>
                <c:pt idx="1267">
                  <c:v>21/06/2015</c:v>
                </c:pt>
                <c:pt idx="1268">
                  <c:v>22/06/2015</c:v>
                </c:pt>
                <c:pt idx="1269">
                  <c:v>23/06/2015</c:v>
                </c:pt>
                <c:pt idx="1270">
                  <c:v>24/06/2015</c:v>
                </c:pt>
                <c:pt idx="1271">
                  <c:v>25/06/2015</c:v>
                </c:pt>
                <c:pt idx="1272">
                  <c:v>26/06/2015</c:v>
                </c:pt>
                <c:pt idx="1273">
                  <c:v>27/06/2015</c:v>
                </c:pt>
                <c:pt idx="1274">
                  <c:v>28/06/2015</c:v>
                </c:pt>
                <c:pt idx="1275">
                  <c:v>29/06/2015</c:v>
                </c:pt>
                <c:pt idx="1276">
                  <c:v>30/06/2015</c:v>
                </c:pt>
                <c:pt idx="1277">
                  <c:v>1/07/2015</c:v>
                </c:pt>
                <c:pt idx="1278">
                  <c:v>2/07/2015</c:v>
                </c:pt>
                <c:pt idx="1279">
                  <c:v>3/07/2015</c:v>
                </c:pt>
                <c:pt idx="1280">
                  <c:v>4/07/2015</c:v>
                </c:pt>
                <c:pt idx="1281">
                  <c:v>5/07/2015</c:v>
                </c:pt>
                <c:pt idx="1282">
                  <c:v>6/07/2015</c:v>
                </c:pt>
                <c:pt idx="1283">
                  <c:v>7/07/2015</c:v>
                </c:pt>
                <c:pt idx="1284">
                  <c:v>8/07/2015</c:v>
                </c:pt>
                <c:pt idx="1285">
                  <c:v>9/07/2015</c:v>
                </c:pt>
                <c:pt idx="1286">
                  <c:v>10/07/2015</c:v>
                </c:pt>
                <c:pt idx="1287">
                  <c:v>11/07/2015</c:v>
                </c:pt>
                <c:pt idx="1288">
                  <c:v>12/07/2015</c:v>
                </c:pt>
                <c:pt idx="1289">
                  <c:v>13/07/2015</c:v>
                </c:pt>
                <c:pt idx="1290">
                  <c:v>14/07/2015</c:v>
                </c:pt>
                <c:pt idx="1291">
                  <c:v>15/07/2015</c:v>
                </c:pt>
                <c:pt idx="1292">
                  <c:v>16/07/2015</c:v>
                </c:pt>
                <c:pt idx="1293">
                  <c:v>17/07/2015</c:v>
                </c:pt>
                <c:pt idx="1294">
                  <c:v>18/07/2015</c:v>
                </c:pt>
                <c:pt idx="1295">
                  <c:v>19/07/2015</c:v>
                </c:pt>
                <c:pt idx="1296">
                  <c:v>20/07/2015</c:v>
                </c:pt>
                <c:pt idx="1297">
                  <c:v>21/07/2015</c:v>
                </c:pt>
                <c:pt idx="1298">
                  <c:v>22/07/2015</c:v>
                </c:pt>
                <c:pt idx="1299">
                  <c:v>23/07/2015</c:v>
                </c:pt>
                <c:pt idx="1300">
                  <c:v>24/07/2015</c:v>
                </c:pt>
                <c:pt idx="1301">
                  <c:v>25/07/2015</c:v>
                </c:pt>
                <c:pt idx="1302">
                  <c:v>26/07/2015</c:v>
                </c:pt>
                <c:pt idx="1303">
                  <c:v>27/07/2015</c:v>
                </c:pt>
                <c:pt idx="1304">
                  <c:v>28/07/2015</c:v>
                </c:pt>
                <c:pt idx="1305">
                  <c:v>29/07/2015</c:v>
                </c:pt>
                <c:pt idx="1306">
                  <c:v>30/07/2015</c:v>
                </c:pt>
                <c:pt idx="1307">
                  <c:v>31/07/2015</c:v>
                </c:pt>
                <c:pt idx="1308">
                  <c:v>1/08/2015</c:v>
                </c:pt>
                <c:pt idx="1309">
                  <c:v>2/08/2015</c:v>
                </c:pt>
                <c:pt idx="1310">
                  <c:v>3/08/2015</c:v>
                </c:pt>
                <c:pt idx="1311">
                  <c:v>4/08/2015</c:v>
                </c:pt>
                <c:pt idx="1312">
                  <c:v>5/08/2015</c:v>
                </c:pt>
                <c:pt idx="1313">
                  <c:v>6/08/2015</c:v>
                </c:pt>
                <c:pt idx="1314">
                  <c:v>7/08/2015</c:v>
                </c:pt>
                <c:pt idx="1315">
                  <c:v>8/08/2015</c:v>
                </c:pt>
                <c:pt idx="1316">
                  <c:v>9/08/2015</c:v>
                </c:pt>
                <c:pt idx="1317">
                  <c:v>10/08/2015</c:v>
                </c:pt>
                <c:pt idx="1318">
                  <c:v>11/08/2015</c:v>
                </c:pt>
                <c:pt idx="1319">
                  <c:v>12/08/2015</c:v>
                </c:pt>
                <c:pt idx="1320">
                  <c:v>13/08/2015</c:v>
                </c:pt>
                <c:pt idx="1321">
                  <c:v>14/08/2015</c:v>
                </c:pt>
                <c:pt idx="1322">
                  <c:v>15/08/2015</c:v>
                </c:pt>
                <c:pt idx="1323">
                  <c:v>16/08/2015</c:v>
                </c:pt>
                <c:pt idx="1324">
                  <c:v>17/08/2015</c:v>
                </c:pt>
                <c:pt idx="1325">
                  <c:v>18/08/2015</c:v>
                </c:pt>
                <c:pt idx="1326">
                  <c:v>19/08/2015</c:v>
                </c:pt>
                <c:pt idx="1327">
                  <c:v>20/08/2015</c:v>
                </c:pt>
                <c:pt idx="1328">
                  <c:v>21/08/2015</c:v>
                </c:pt>
                <c:pt idx="1329">
                  <c:v>22/08/2015</c:v>
                </c:pt>
                <c:pt idx="1330">
                  <c:v>23/08/2015</c:v>
                </c:pt>
                <c:pt idx="1331">
                  <c:v>24/08/2015</c:v>
                </c:pt>
                <c:pt idx="1332">
                  <c:v>25/08/2015</c:v>
                </c:pt>
                <c:pt idx="1333">
                  <c:v>26/08/2015</c:v>
                </c:pt>
                <c:pt idx="1334">
                  <c:v>27/08/2015</c:v>
                </c:pt>
                <c:pt idx="1335">
                  <c:v>28/08/2015</c:v>
                </c:pt>
                <c:pt idx="1336">
                  <c:v>29/08/2015</c:v>
                </c:pt>
                <c:pt idx="1337">
                  <c:v>30/08/2015</c:v>
                </c:pt>
                <c:pt idx="1338">
                  <c:v>31/08/2015</c:v>
                </c:pt>
                <c:pt idx="1339">
                  <c:v>1/09/2015</c:v>
                </c:pt>
                <c:pt idx="1340">
                  <c:v>2/09/2015</c:v>
                </c:pt>
                <c:pt idx="1341">
                  <c:v>3/09/2015</c:v>
                </c:pt>
                <c:pt idx="1342">
                  <c:v>4/09/2015</c:v>
                </c:pt>
                <c:pt idx="1343">
                  <c:v>5/09/2015</c:v>
                </c:pt>
                <c:pt idx="1344">
                  <c:v>6/09/2015</c:v>
                </c:pt>
                <c:pt idx="1345">
                  <c:v>7/09/2015</c:v>
                </c:pt>
                <c:pt idx="1346">
                  <c:v>8/09/2015</c:v>
                </c:pt>
                <c:pt idx="1347">
                  <c:v>9/09/2015</c:v>
                </c:pt>
                <c:pt idx="1348">
                  <c:v>10/09/2015</c:v>
                </c:pt>
                <c:pt idx="1349">
                  <c:v>11/09/2015</c:v>
                </c:pt>
                <c:pt idx="1350">
                  <c:v>12/09/2015</c:v>
                </c:pt>
                <c:pt idx="1351">
                  <c:v>13/09/2015</c:v>
                </c:pt>
                <c:pt idx="1352">
                  <c:v>14/09/2015</c:v>
                </c:pt>
                <c:pt idx="1353">
                  <c:v>15/09/2015</c:v>
                </c:pt>
                <c:pt idx="1354">
                  <c:v>16/09/2015</c:v>
                </c:pt>
                <c:pt idx="1355">
                  <c:v>17/09/2015</c:v>
                </c:pt>
                <c:pt idx="1356">
                  <c:v>18/09/2015</c:v>
                </c:pt>
                <c:pt idx="1357">
                  <c:v>19/09/2015</c:v>
                </c:pt>
                <c:pt idx="1358">
                  <c:v>20/09/2015</c:v>
                </c:pt>
                <c:pt idx="1359">
                  <c:v>21/09/2015</c:v>
                </c:pt>
                <c:pt idx="1360">
                  <c:v>22/09/2015</c:v>
                </c:pt>
                <c:pt idx="1361">
                  <c:v>23/09/2015</c:v>
                </c:pt>
                <c:pt idx="1362">
                  <c:v>24/09/2015</c:v>
                </c:pt>
                <c:pt idx="1363">
                  <c:v>25/09/2015</c:v>
                </c:pt>
                <c:pt idx="1364">
                  <c:v>26/09/2015</c:v>
                </c:pt>
                <c:pt idx="1365">
                  <c:v>27/09/2015</c:v>
                </c:pt>
                <c:pt idx="1366">
                  <c:v>28/09/2015</c:v>
                </c:pt>
                <c:pt idx="1367">
                  <c:v>29/09/2015</c:v>
                </c:pt>
                <c:pt idx="1368">
                  <c:v>30/09/2015</c:v>
                </c:pt>
                <c:pt idx="1369">
                  <c:v>1/10/2015</c:v>
                </c:pt>
                <c:pt idx="1370">
                  <c:v>2/10/2015</c:v>
                </c:pt>
                <c:pt idx="1371">
                  <c:v>3/10/2015</c:v>
                </c:pt>
                <c:pt idx="1372">
                  <c:v>4/10/2015</c:v>
                </c:pt>
                <c:pt idx="1373">
                  <c:v>5/10/2015</c:v>
                </c:pt>
                <c:pt idx="1374">
                  <c:v>6/10/2015</c:v>
                </c:pt>
                <c:pt idx="1375">
                  <c:v>7/10/2015</c:v>
                </c:pt>
                <c:pt idx="1376">
                  <c:v>8/10/2015</c:v>
                </c:pt>
                <c:pt idx="1377">
                  <c:v>9/10/2015</c:v>
                </c:pt>
                <c:pt idx="1378">
                  <c:v>10/10/2015</c:v>
                </c:pt>
                <c:pt idx="1379">
                  <c:v>11/10/2015</c:v>
                </c:pt>
                <c:pt idx="1380">
                  <c:v>12/10/2015</c:v>
                </c:pt>
                <c:pt idx="1381">
                  <c:v>13/10/2015</c:v>
                </c:pt>
                <c:pt idx="1382">
                  <c:v>14/10/2015</c:v>
                </c:pt>
                <c:pt idx="1383">
                  <c:v>15/10/2015</c:v>
                </c:pt>
                <c:pt idx="1384">
                  <c:v>16/10/2015</c:v>
                </c:pt>
                <c:pt idx="1385">
                  <c:v>17/10/2015</c:v>
                </c:pt>
                <c:pt idx="1386">
                  <c:v>18/10/2015</c:v>
                </c:pt>
                <c:pt idx="1387">
                  <c:v>19/10/2015</c:v>
                </c:pt>
                <c:pt idx="1388">
                  <c:v>20/10/2015</c:v>
                </c:pt>
                <c:pt idx="1389">
                  <c:v>21/10/2015</c:v>
                </c:pt>
                <c:pt idx="1390">
                  <c:v>22/10/2015</c:v>
                </c:pt>
                <c:pt idx="1391">
                  <c:v>23/10/2015</c:v>
                </c:pt>
                <c:pt idx="1392">
                  <c:v>24/10/2015</c:v>
                </c:pt>
                <c:pt idx="1393">
                  <c:v>25/10/2015</c:v>
                </c:pt>
                <c:pt idx="1394">
                  <c:v>26/10/2015</c:v>
                </c:pt>
                <c:pt idx="1395">
                  <c:v>27/10/2015</c:v>
                </c:pt>
                <c:pt idx="1396">
                  <c:v>28/10/2015</c:v>
                </c:pt>
                <c:pt idx="1397">
                  <c:v>29/10/2015</c:v>
                </c:pt>
                <c:pt idx="1398">
                  <c:v>30/10/2015</c:v>
                </c:pt>
                <c:pt idx="1399">
                  <c:v>31/10/2015</c:v>
                </c:pt>
                <c:pt idx="1400">
                  <c:v>1/11/2015</c:v>
                </c:pt>
                <c:pt idx="1401">
                  <c:v>2/11/2015</c:v>
                </c:pt>
                <c:pt idx="1402">
                  <c:v>3/11/2015</c:v>
                </c:pt>
                <c:pt idx="1403">
                  <c:v>4/11/2015</c:v>
                </c:pt>
                <c:pt idx="1404">
                  <c:v>5/11/2015</c:v>
                </c:pt>
                <c:pt idx="1405">
                  <c:v>6/11/2015</c:v>
                </c:pt>
                <c:pt idx="1406">
                  <c:v>7/11/2015</c:v>
                </c:pt>
                <c:pt idx="1407">
                  <c:v>8/11/2015</c:v>
                </c:pt>
                <c:pt idx="1408">
                  <c:v>9/11/2015</c:v>
                </c:pt>
                <c:pt idx="1409">
                  <c:v>10/11/2015</c:v>
                </c:pt>
                <c:pt idx="1410">
                  <c:v>11/11/2015</c:v>
                </c:pt>
                <c:pt idx="1411">
                  <c:v>12/11/2015</c:v>
                </c:pt>
                <c:pt idx="1412">
                  <c:v>13/11/2015</c:v>
                </c:pt>
                <c:pt idx="1413">
                  <c:v>14/11/2015</c:v>
                </c:pt>
                <c:pt idx="1414">
                  <c:v>15/11/2015</c:v>
                </c:pt>
                <c:pt idx="1415">
                  <c:v>16/11/2015</c:v>
                </c:pt>
                <c:pt idx="1416">
                  <c:v>17/11/2015</c:v>
                </c:pt>
                <c:pt idx="1417">
                  <c:v>18/11/2015</c:v>
                </c:pt>
                <c:pt idx="1418">
                  <c:v>19/11/2015</c:v>
                </c:pt>
                <c:pt idx="1419">
                  <c:v>20/11/2015</c:v>
                </c:pt>
                <c:pt idx="1420">
                  <c:v>21/11/2015</c:v>
                </c:pt>
                <c:pt idx="1421">
                  <c:v>22/11/2015</c:v>
                </c:pt>
                <c:pt idx="1422">
                  <c:v>23/11/2015</c:v>
                </c:pt>
                <c:pt idx="1423">
                  <c:v>24/11/2015</c:v>
                </c:pt>
                <c:pt idx="1424">
                  <c:v>25/11/2015</c:v>
                </c:pt>
                <c:pt idx="1425">
                  <c:v>26/11/2015</c:v>
                </c:pt>
                <c:pt idx="1426">
                  <c:v>27/11/2015</c:v>
                </c:pt>
                <c:pt idx="1427">
                  <c:v>28/11/2015</c:v>
                </c:pt>
                <c:pt idx="1428">
                  <c:v>29/11/2015</c:v>
                </c:pt>
                <c:pt idx="1429">
                  <c:v>30/11/2015</c:v>
                </c:pt>
                <c:pt idx="1430">
                  <c:v>1/12/2015</c:v>
                </c:pt>
                <c:pt idx="1431">
                  <c:v>2/12/2015</c:v>
                </c:pt>
                <c:pt idx="1432">
                  <c:v>3/12/2015</c:v>
                </c:pt>
                <c:pt idx="1433">
                  <c:v>4/12/2015</c:v>
                </c:pt>
                <c:pt idx="1434">
                  <c:v>5/12/2015</c:v>
                </c:pt>
                <c:pt idx="1435">
                  <c:v>6/12/2015</c:v>
                </c:pt>
                <c:pt idx="1436">
                  <c:v>7/12/2015</c:v>
                </c:pt>
                <c:pt idx="1437">
                  <c:v>8/12/2015</c:v>
                </c:pt>
                <c:pt idx="1438">
                  <c:v>9/12/2015</c:v>
                </c:pt>
                <c:pt idx="1439">
                  <c:v>10/12/2015</c:v>
                </c:pt>
                <c:pt idx="1440">
                  <c:v>11/12/2015</c:v>
                </c:pt>
                <c:pt idx="1441">
                  <c:v>12/12/2015</c:v>
                </c:pt>
                <c:pt idx="1442">
                  <c:v>13/12/2015</c:v>
                </c:pt>
                <c:pt idx="1443">
                  <c:v>14/12/2015</c:v>
                </c:pt>
                <c:pt idx="1444">
                  <c:v>15/12/2015</c:v>
                </c:pt>
                <c:pt idx="1445">
                  <c:v>16/12/2015</c:v>
                </c:pt>
                <c:pt idx="1446">
                  <c:v>17/12/2015</c:v>
                </c:pt>
                <c:pt idx="1447">
                  <c:v>18/12/2015</c:v>
                </c:pt>
                <c:pt idx="1448">
                  <c:v>19/12/2015</c:v>
                </c:pt>
                <c:pt idx="1449">
                  <c:v>20/12/2015</c:v>
                </c:pt>
                <c:pt idx="1450">
                  <c:v>21/12/2015</c:v>
                </c:pt>
                <c:pt idx="1451">
                  <c:v>22/12/2015</c:v>
                </c:pt>
                <c:pt idx="1452">
                  <c:v>23/12/2015</c:v>
                </c:pt>
                <c:pt idx="1453">
                  <c:v>24/12/2015</c:v>
                </c:pt>
                <c:pt idx="1454">
                  <c:v>25/12/2015</c:v>
                </c:pt>
                <c:pt idx="1455">
                  <c:v>26/12/2015</c:v>
                </c:pt>
                <c:pt idx="1456">
                  <c:v>27/12/2015</c:v>
                </c:pt>
                <c:pt idx="1457">
                  <c:v>28/12/2015</c:v>
                </c:pt>
                <c:pt idx="1458">
                  <c:v>29/12/2015</c:v>
                </c:pt>
                <c:pt idx="1459">
                  <c:v>30/12/2015</c:v>
                </c:pt>
                <c:pt idx="1460">
                  <c:v>31/12/2015</c:v>
                </c:pt>
                <c:pt idx="1461">
                  <c:v>1/01/2016</c:v>
                </c:pt>
                <c:pt idx="1462">
                  <c:v>2/01/2016</c:v>
                </c:pt>
                <c:pt idx="1463">
                  <c:v>3/01/2016</c:v>
                </c:pt>
                <c:pt idx="1464">
                  <c:v>4/01/2016</c:v>
                </c:pt>
                <c:pt idx="1465">
                  <c:v>5/01/2016</c:v>
                </c:pt>
                <c:pt idx="1466">
                  <c:v>6/01/2016</c:v>
                </c:pt>
                <c:pt idx="1467">
                  <c:v>7/01/2016</c:v>
                </c:pt>
                <c:pt idx="1468">
                  <c:v>8/01/2016</c:v>
                </c:pt>
                <c:pt idx="1469">
                  <c:v>9/01/2016</c:v>
                </c:pt>
                <c:pt idx="1470">
                  <c:v>10/01/2016</c:v>
                </c:pt>
                <c:pt idx="1471">
                  <c:v>11/01/2016</c:v>
                </c:pt>
                <c:pt idx="1472">
                  <c:v>12/01/2016</c:v>
                </c:pt>
                <c:pt idx="1473">
                  <c:v>13/01/2016</c:v>
                </c:pt>
                <c:pt idx="1474">
                  <c:v>14/01/2016</c:v>
                </c:pt>
                <c:pt idx="1475">
                  <c:v>15/01/2016</c:v>
                </c:pt>
                <c:pt idx="1476">
                  <c:v>16/01/2016</c:v>
                </c:pt>
                <c:pt idx="1477">
                  <c:v>17/01/2016</c:v>
                </c:pt>
                <c:pt idx="1478">
                  <c:v>18/01/2016</c:v>
                </c:pt>
                <c:pt idx="1479">
                  <c:v>19/01/2016</c:v>
                </c:pt>
                <c:pt idx="1480">
                  <c:v>20/01/2016</c:v>
                </c:pt>
                <c:pt idx="1481">
                  <c:v>21/01/2016</c:v>
                </c:pt>
                <c:pt idx="1482">
                  <c:v>22/01/2016</c:v>
                </c:pt>
                <c:pt idx="1483">
                  <c:v>23/01/2016</c:v>
                </c:pt>
                <c:pt idx="1484">
                  <c:v>24/01/2016</c:v>
                </c:pt>
                <c:pt idx="1485">
                  <c:v>25/01/2016</c:v>
                </c:pt>
                <c:pt idx="1486">
                  <c:v>26/01/2016</c:v>
                </c:pt>
                <c:pt idx="1487">
                  <c:v>27/01/2016</c:v>
                </c:pt>
                <c:pt idx="1488">
                  <c:v>28/01/2016</c:v>
                </c:pt>
                <c:pt idx="1489">
                  <c:v>29/01/2016</c:v>
                </c:pt>
                <c:pt idx="1490">
                  <c:v>30/01/2016</c:v>
                </c:pt>
                <c:pt idx="1491">
                  <c:v>31/01/2016</c:v>
                </c:pt>
                <c:pt idx="1492">
                  <c:v>1/02/2016</c:v>
                </c:pt>
                <c:pt idx="1493">
                  <c:v>2/02/2016</c:v>
                </c:pt>
                <c:pt idx="1494">
                  <c:v>3/02/2016</c:v>
                </c:pt>
                <c:pt idx="1495">
                  <c:v>4/02/2016</c:v>
                </c:pt>
                <c:pt idx="1496">
                  <c:v>5/02/2016</c:v>
                </c:pt>
                <c:pt idx="1497">
                  <c:v>6/02/2016</c:v>
                </c:pt>
                <c:pt idx="1498">
                  <c:v>7/02/2016</c:v>
                </c:pt>
                <c:pt idx="1499">
                  <c:v>8/02/2016</c:v>
                </c:pt>
                <c:pt idx="1500">
                  <c:v>9/02/2016</c:v>
                </c:pt>
                <c:pt idx="1501">
                  <c:v>10/02/2016</c:v>
                </c:pt>
                <c:pt idx="1502">
                  <c:v>11/02/2016</c:v>
                </c:pt>
                <c:pt idx="1503">
                  <c:v>12/02/2016</c:v>
                </c:pt>
                <c:pt idx="1504">
                  <c:v>13/02/2016</c:v>
                </c:pt>
                <c:pt idx="1505">
                  <c:v>14/02/2016</c:v>
                </c:pt>
                <c:pt idx="1506">
                  <c:v>15/02/2016</c:v>
                </c:pt>
                <c:pt idx="1507">
                  <c:v>16/02/2016</c:v>
                </c:pt>
                <c:pt idx="1508">
                  <c:v>17/02/2016</c:v>
                </c:pt>
                <c:pt idx="1509">
                  <c:v>18/02/2016</c:v>
                </c:pt>
                <c:pt idx="1510">
                  <c:v>19/02/2016</c:v>
                </c:pt>
                <c:pt idx="1511">
                  <c:v>20/02/2016</c:v>
                </c:pt>
                <c:pt idx="1512">
                  <c:v>21/02/2016</c:v>
                </c:pt>
                <c:pt idx="1513">
                  <c:v>22/02/2016</c:v>
                </c:pt>
                <c:pt idx="1514">
                  <c:v>23/02/2016</c:v>
                </c:pt>
                <c:pt idx="1515">
                  <c:v>24/02/2016</c:v>
                </c:pt>
                <c:pt idx="1516">
                  <c:v>25/02/2016</c:v>
                </c:pt>
                <c:pt idx="1517">
                  <c:v>26/02/2016</c:v>
                </c:pt>
                <c:pt idx="1518">
                  <c:v>27/02/2016</c:v>
                </c:pt>
                <c:pt idx="1519">
                  <c:v>28/02/2016</c:v>
                </c:pt>
                <c:pt idx="1520">
                  <c:v>29/02/2016</c:v>
                </c:pt>
                <c:pt idx="1521">
                  <c:v>1/03/2016</c:v>
                </c:pt>
                <c:pt idx="1522">
                  <c:v>2/03/2016</c:v>
                </c:pt>
                <c:pt idx="1523">
                  <c:v>3/03/2016</c:v>
                </c:pt>
                <c:pt idx="1524">
                  <c:v>4/03/2016</c:v>
                </c:pt>
                <c:pt idx="1525">
                  <c:v>5/03/2016</c:v>
                </c:pt>
                <c:pt idx="1526">
                  <c:v>6/03/2016</c:v>
                </c:pt>
                <c:pt idx="1527">
                  <c:v>7/03/2016</c:v>
                </c:pt>
                <c:pt idx="1528">
                  <c:v>8/03/2016</c:v>
                </c:pt>
                <c:pt idx="1529">
                  <c:v>9/03/2016</c:v>
                </c:pt>
                <c:pt idx="1530">
                  <c:v>10/03/2016</c:v>
                </c:pt>
                <c:pt idx="1531">
                  <c:v>11/03/2016</c:v>
                </c:pt>
                <c:pt idx="1532">
                  <c:v>12/03/2016</c:v>
                </c:pt>
                <c:pt idx="1533">
                  <c:v>13/03/2016</c:v>
                </c:pt>
                <c:pt idx="1534">
                  <c:v>14/03/2016</c:v>
                </c:pt>
                <c:pt idx="1535">
                  <c:v>15/03/2016</c:v>
                </c:pt>
                <c:pt idx="1536">
                  <c:v>16/03/2016</c:v>
                </c:pt>
                <c:pt idx="1537">
                  <c:v>17/03/2016</c:v>
                </c:pt>
                <c:pt idx="1538">
                  <c:v>18/03/2016</c:v>
                </c:pt>
                <c:pt idx="1539">
                  <c:v>19/03/2016</c:v>
                </c:pt>
                <c:pt idx="1540">
                  <c:v>20/03/2016</c:v>
                </c:pt>
                <c:pt idx="1541">
                  <c:v>21/03/2016</c:v>
                </c:pt>
                <c:pt idx="1542">
                  <c:v>22/03/2016</c:v>
                </c:pt>
                <c:pt idx="1543">
                  <c:v>23/03/2016</c:v>
                </c:pt>
                <c:pt idx="1544">
                  <c:v>24/03/2016</c:v>
                </c:pt>
                <c:pt idx="1545">
                  <c:v>25/03/2016</c:v>
                </c:pt>
                <c:pt idx="1546">
                  <c:v>26/03/2016</c:v>
                </c:pt>
                <c:pt idx="1547">
                  <c:v>27/03/2016</c:v>
                </c:pt>
                <c:pt idx="1548">
                  <c:v>28/03/2016</c:v>
                </c:pt>
                <c:pt idx="1549">
                  <c:v>29/03/2016</c:v>
                </c:pt>
                <c:pt idx="1550">
                  <c:v>30/03/2016</c:v>
                </c:pt>
                <c:pt idx="1551">
                  <c:v>31/03/2016</c:v>
                </c:pt>
                <c:pt idx="1552">
                  <c:v>1/04/2016</c:v>
                </c:pt>
                <c:pt idx="1553">
                  <c:v>2/04/2016</c:v>
                </c:pt>
                <c:pt idx="1554">
                  <c:v>3/04/2016</c:v>
                </c:pt>
                <c:pt idx="1555">
                  <c:v>4/04/2016</c:v>
                </c:pt>
                <c:pt idx="1556">
                  <c:v>5/04/2016</c:v>
                </c:pt>
                <c:pt idx="1557">
                  <c:v>6/04/2016</c:v>
                </c:pt>
                <c:pt idx="1558">
                  <c:v>7/04/2016</c:v>
                </c:pt>
                <c:pt idx="1559">
                  <c:v>8/04/2016</c:v>
                </c:pt>
                <c:pt idx="1560">
                  <c:v>9/04/2016</c:v>
                </c:pt>
                <c:pt idx="1561">
                  <c:v>10/04/2016</c:v>
                </c:pt>
                <c:pt idx="1562">
                  <c:v>11/04/2016</c:v>
                </c:pt>
                <c:pt idx="1563">
                  <c:v>12/04/2016</c:v>
                </c:pt>
                <c:pt idx="1564">
                  <c:v>13/04/2016</c:v>
                </c:pt>
                <c:pt idx="1565">
                  <c:v>14/04/2016</c:v>
                </c:pt>
                <c:pt idx="1566">
                  <c:v>15/04/2016</c:v>
                </c:pt>
                <c:pt idx="1567">
                  <c:v>16/04/2016</c:v>
                </c:pt>
                <c:pt idx="1568">
                  <c:v>17/04/2016</c:v>
                </c:pt>
                <c:pt idx="1569">
                  <c:v>18/04/2016</c:v>
                </c:pt>
                <c:pt idx="1570">
                  <c:v>19/04/2016</c:v>
                </c:pt>
                <c:pt idx="1571">
                  <c:v>20/04/2016</c:v>
                </c:pt>
                <c:pt idx="1572">
                  <c:v>21/04/2016</c:v>
                </c:pt>
                <c:pt idx="1573">
                  <c:v>22/04/2016</c:v>
                </c:pt>
                <c:pt idx="1574">
                  <c:v>23/04/2016</c:v>
                </c:pt>
                <c:pt idx="1575">
                  <c:v>24/04/2016</c:v>
                </c:pt>
                <c:pt idx="1576">
                  <c:v>25/04/2016</c:v>
                </c:pt>
                <c:pt idx="1577">
                  <c:v>26/04/2016</c:v>
                </c:pt>
                <c:pt idx="1578">
                  <c:v>27/04/2016</c:v>
                </c:pt>
                <c:pt idx="1579">
                  <c:v>28/04/2016</c:v>
                </c:pt>
                <c:pt idx="1580">
                  <c:v>29/04/2016</c:v>
                </c:pt>
                <c:pt idx="1581">
                  <c:v>30/04/2016</c:v>
                </c:pt>
                <c:pt idx="1582">
                  <c:v>1/05/2016</c:v>
                </c:pt>
                <c:pt idx="1583">
                  <c:v>2/05/2016</c:v>
                </c:pt>
                <c:pt idx="1584">
                  <c:v>3/05/2016</c:v>
                </c:pt>
                <c:pt idx="1585">
                  <c:v>4/05/2016</c:v>
                </c:pt>
                <c:pt idx="1586">
                  <c:v>5/05/2016</c:v>
                </c:pt>
                <c:pt idx="1587">
                  <c:v>6/05/2016</c:v>
                </c:pt>
                <c:pt idx="1588">
                  <c:v>7/05/2016</c:v>
                </c:pt>
                <c:pt idx="1589">
                  <c:v>8/05/2016</c:v>
                </c:pt>
                <c:pt idx="1590">
                  <c:v>9/05/2016</c:v>
                </c:pt>
                <c:pt idx="1591">
                  <c:v>10/05/2016</c:v>
                </c:pt>
                <c:pt idx="1592">
                  <c:v>11/05/2016</c:v>
                </c:pt>
                <c:pt idx="1593">
                  <c:v>12/05/2016</c:v>
                </c:pt>
                <c:pt idx="1594">
                  <c:v>13/05/2016</c:v>
                </c:pt>
                <c:pt idx="1595">
                  <c:v>14/05/2016</c:v>
                </c:pt>
                <c:pt idx="1596">
                  <c:v>15/05/2016</c:v>
                </c:pt>
                <c:pt idx="1597">
                  <c:v>16/05/2016</c:v>
                </c:pt>
                <c:pt idx="1598">
                  <c:v>17/05/2016</c:v>
                </c:pt>
                <c:pt idx="1599">
                  <c:v>18/05/2016</c:v>
                </c:pt>
                <c:pt idx="1600">
                  <c:v>19/05/2016</c:v>
                </c:pt>
                <c:pt idx="1601">
                  <c:v>20/05/2016</c:v>
                </c:pt>
                <c:pt idx="1602">
                  <c:v>21/05/2016</c:v>
                </c:pt>
                <c:pt idx="1603">
                  <c:v>22/05/2016</c:v>
                </c:pt>
                <c:pt idx="1604">
                  <c:v>23/05/2016</c:v>
                </c:pt>
                <c:pt idx="1605">
                  <c:v>24/05/2016</c:v>
                </c:pt>
                <c:pt idx="1606">
                  <c:v>25/05/2016</c:v>
                </c:pt>
                <c:pt idx="1607">
                  <c:v>26/05/2016</c:v>
                </c:pt>
                <c:pt idx="1608">
                  <c:v>27/05/2016</c:v>
                </c:pt>
                <c:pt idx="1609">
                  <c:v>28/05/2016</c:v>
                </c:pt>
                <c:pt idx="1610">
                  <c:v>29/05/2016</c:v>
                </c:pt>
                <c:pt idx="1611">
                  <c:v>30/05/2016</c:v>
                </c:pt>
                <c:pt idx="1612">
                  <c:v>31/05/2016</c:v>
                </c:pt>
                <c:pt idx="1613">
                  <c:v>1/06/2016</c:v>
                </c:pt>
                <c:pt idx="1614">
                  <c:v>2/06/2016</c:v>
                </c:pt>
                <c:pt idx="1615">
                  <c:v>3/06/2016</c:v>
                </c:pt>
                <c:pt idx="1616">
                  <c:v>4/06/2016</c:v>
                </c:pt>
                <c:pt idx="1617">
                  <c:v>5/06/2016</c:v>
                </c:pt>
                <c:pt idx="1618">
                  <c:v>6/06/2016</c:v>
                </c:pt>
                <c:pt idx="1619">
                  <c:v>7/06/2016</c:v>
                </c:pt>
                <c:pt idx="1620">
                  <c:v>8/06/2016</c:v>
                </c:pt>
                <c:pt idx="1621">
                  <c:v>9/06/2016</c:v>
                </c:pt>
                <c:pt idx="1622">
                  <c:v>10/06/2016</c:v>
                </c:pt>
                <c:pt idx="1623">
                  <c:v>11/06/2016</c:v>
                </c:pt>
                <c:pt idx="1624">
                  <c:v>12/06/2016</c:v>
                </c:pt>
                <c:pt idx="1625">
                  <c:v>13/06/2016</c:v>
                </c:pt>
                <c:pt idx="1626">
                  <c:v>14/06/2016</c:v>
                </c:pt>
                <c:pt idx="1627">
                  <c:v>15/06/2016</c:v>
                </c:pt>
                <c:pt idx="1628">
                  <c:v>16/06/2016</c:v>
                </c:pt>
                <c:pt idx="1629">
                  <c:v>17/06/2016</c:v>
                </c:pt>
                <c:pt idx="1630">
                  <c:v>18/06/2016</c:v>
                </c:pt>
                <c:pt idx="1631">
                  <c:v>19/06/2016</c:v>
                </c:pt>
                <c:pt idx="1632">
                  <c:v>20/06/2016</c:v>
                </c:pt>
                <c:pt idx="1633">
                  <c:v>21/06/2016</c:v>
                </c:pt>
                <c:pt idx="1634">
                  <c:v>22/06/2016</c:v>
                </c:pt>
                <c:pt idx="1635">
                  <c:v>23/06/2016</c:v>
                </c:pt>
                <c:pt idx="1636">
                  <c:v>24/06/2016</c:v>
                </c:pt>
                <c:pt idx="1637">
                  <c:v>25/06/2016</c:v>
                </c:pt>
                <c:pt idx="1638">
                  <c:v>26/06/2016</c:v>
                </c:pt>
                <c:pt idx="1639">
                  <c:v>27/06/2016</c:v>
                </c:pt>
                <c:pt idx="1640">
                  <c:v>28/06/2016</c:v>
                </c:pt>
                <c:pt idx="1641">
                  <c:v>29/06/2016</c:v>
                </c:pt>
                <c:pt idx="1642">
                  <c:v>30/06/2016</c:v>
                </c:pt>
                <c:pt idx="1643">
                  <c:v>1/07/2016</c:v>
                </c:pt>
                <c:pt idx="1644">
                  <c:v>2/07/2016</c:v>
                </c:pt>
                <c:pt idx="1645">
                  <c:v>3/07/2016</c:v>
                </c:pt>
                <c:pt idx="1646">
                  <c:v>4/07/2016</c:v>
                </c:pt>
                <c:pt idx="1647">
                  <c:v>5/07/2016</c:v>
                </c:pt>
                <c:pt idx="1648">
                  <c:v>6/07/2016</c:v>
                </c:pt>
                <c:pt idx="1649">
                  <c:v>7/07/2016</c:v>
                </c:pt>
                <c:pt idx="1650">
                  <c:v>8/07/2016</c:v>
                </c:pt>
                <c:pt idx="1651">
                  <c:v>9/07/2016</c:v>
                </c:pt>
                <c:pt idx="1652">
                  <c:v>10/07/2016</c:v>
                </c:pt>
                <c:pt idx="1653">
                  <c:v>11/07/2016</c:v>
                </c:pt>
                <c:pt idx="1654">
                  <c:v>12/07/2016</c:v>
                </c:pt>
                <c:pt idx="1655">
                  <c:v>13/07/2016</c:v>
                </c:pt>
                <c:pt idx="1656">
                  <c:v>14/07/2016</c:v>
                </c:pt>
                <c:pt idx="1657">
                  <c:v>15/07/2016</c:v>
                </c:pt>
                <c:pt idx="1658">
                  <c:v>16/07/2016</c:v>
                </c:pt>
                <c:pt idx="1659">
                  <c:v>17/07/2016</c:v>
                </c:pt>
                <c:pt idx="1660">
                  <c:v>18/07/2016</c:v>
                </c:pt>
                <c:pt idx="1661">
                  <c:v>19/07/2016</c:v>
                </c:pt>
                <c:pt idx="1662">
                  <c:v>20/07/2016</c:v>
                </c:pt>
                <c:pt idx="1663">
                  <c:v>21/07/2016</c:v>
                </c:pt>
                <c:pt idx="1664">
                  <c:v>22/07/2016</c:v>
                </c:pt>
                <c:pt idx="1665">
                  <c:v>23/07/2016</c:v>
                </c:pt>
                <c:pt idx="1666">
                  <c:v>24/07/2016</c:v>
                </c:pt>
                <c:pt idx="1667">
                  <c:v>25/07/2016</c:v>
                </c:pt>
                <c:pt idx="1668">
                  <c:v>26/07/2016</c:v>
                </c:pt>
                <c:pt idx="1669">
                  <c:v>27/07/2016</c:v>
                </c:pt>
                <c:pt idx="1670">
                  <c:v>28/07/2016</c:v>
                </c:pt>
                <c:pt idx="1671">
                  <c:v>29/07/2016</c:v>
                </c:pt>
                <c:pt idx="1672">
                  <c:v>30/07/2016</c:v>
                </c:pt>
                <c:pt idx="1673">
                  <c:v>31/07/2016</c:v>
                </c:pt>
                <c:pt idx="1674">
                  <c:v>1/08/2016</c:v>
                </c:pt>
                <c:pt idx="1675">
                  <c:v>2/08/2016</c:v>
                </c:pt>
                <c:pt idx="1676">
                  <c:v>3/08/2016</c:v>
                </c:pt>
                <c:pt idx="1677">
                  <c:v>4/08/2016</c:v>
                </c:pt>
                <c:pt idx="1678">
                  <c:v>5/08/2016</c:v>
                </c:pt>
                <c:pt idx="1679">
                  <c:v>6/08/2016</c:v>
                </c:pt>
                <c:pt idx="1680">
                  <c:v>7/08/2016</c:v>
                </c:pt>
                <c:pt idx="1681">
                  <c:v>8/08/2016</c:v>
                </c:pt>
                <c:pt idx="1682">
                  <c:v>9/08/2016</c:v>
                </c:pt>
                <c:pt idx="1683">
                  <c:v>10/08/2016</c:v>
                </c:pt>
                <c:pt idx="1684">
                  <c:v>11/08/2016</c:v>
                </c:pt>
                <c:pt idx="1685">
                  <c:v>12/08/2016</c:v>
                </c:pt>
                <c:pt idx="1686">
                  <c:v>13/08/2016</c:v>
                </c:pt>
                <c:pt idx="1687">
                  <c:v>14/08/2016</c:v>
                </c:pt>
                <c:pt idx="1688">
                  <c:v>15/08/2016</c:v>
                </c:pt>
                <c:pt idx="1689">
                  <c:v>16/08/2016</c:v>
                </c:pt>
                <c:pt idx="1690">
                  <c:v>17/08/2016</c:v>
                </c:pt>
                <c:pt idx="1691">
                  <c:v>18/08/2016</c:v>
                </c:pt>
                <c:pt idx="1692">
                  <c:v>19/08/2016</c:v>
                </c:pt>
                <c:pt idx="1693">
                  <c:v>20/08/2016</c:v>
                </c:pt>
                <c:pt idx="1694">
                  <c:v>21/08/2016</c:v>
                </c:pt>
                <c:pt idx="1695">
                  <c:v>22/08/2016</c:v>
                </c:pt>
                <c:pt idx="1696">
                  <c:v>23/08/2016</c:v>
                </c:pt>
                <c:pt idx="1697">
                  <c:v>24/08/2016</c:v>
                </c:pt>
                <c:pt idx="1698">
                  <c:v>25/08/2016</c:v>
                </c:pt>
                <c:pt idx="1699">
                  <c:v>26/08/2016</c:v>
                </c:pt>
                <c:pt idx="1700">
                  <c:v>27/08/2016</c:v>
                </c:pt>
                <c:pt idx="1701">
                  <c:v>28/08/2016</c:v>
                </c:pt>
                <c:pt idx="1702">
                  <c:v>29/08/2016</c:v>
                </c:pt>
                <c:pt idx="1703">
                  <c:v>30/08/2016</c:v>
                </c:pt>
                <c:pt idx="1704">
                  <c:v>31/08/2016</c:v>
                </c:pt>
                <c:pt idx="1705">
                  <c:v>1/09/2016</c:v>
                </c:pt>
                <c:pt idx="1706">
                  <c:v>2/09/2016</c:v>
                </c:pt>
                <c:pt idx="1707">
                  <c:v>3/09/2016</c:v>
                </c:pt>
                <c:pt idx="1708">
                  <c:v>4/09/2016</c:v>
                </c:pt>
                <c:pt idx="1709">
                  <c:v>5/09/2016</c:v>
                </c:pt>
                <c:pt idx="1710">
                  <c:v>6/09/2016</c:v>
                </c:pt>
                <c:pt idx="1711">
                  <c:v>7/09/2016</c:v>
                </c:pt>
                <c:pt idx="1712">
                  <c:v>8/09/2016</c:v>
                </c:pt>
                <c:pt idx="1713">
                  <c:v>9/09/2016</c:v>
                </c:pt>
                <c:pt idx="1714">
                  <c:v>10/09/2016</c:v>
                </c:pt>
                <c:pt idx="1715">
                  <c:v>11/09/2016</c:v>
                </c:pt>
                <c:pt idx="1716">
                  <c:v>12/09/2016</c:v>
                </c:pt>
                <c:pt idx="1717">
                  <c:v>13/09/2016</c:v>
                </c:pt>
                <c:pt idx="1718">
                  <c:v>14/09/2016</c:v>
                </c:pt>
                <c:pt idx="1719">
                  <c:v>15/09/2016</c:v>
                </c:pt>
                <c:pt idx="1720">
                  <c:v>16/09/2016</c:v>
                </c:pt>
                <c:pt idx="1721">
                  <c:v>17/09/2016</c:v>
                </c:pt>
                <c:pt idx="1722">
                  <c:v>18/09/2016</c:v>
                </c:pt>
                <c:pt idx="1723">
                  <c:v>19/09/2016</c:v>
                </c:pt>
                <c:pt idx="1724">
                  <c:v>20/09/2016</c:v>
                </c:pt>
                <c:pt idx="1725">
                  <c:v>21/09/2016</c:v>
                </c:pt>
                <c:pt idx="1726">
                  <c:v>22/09/2016</c:v>
                </c:pt>
                <c:pt idx="1727">
                  <c:v>23/09/2016</c:v>
                </c:pt>
                <c:pt idx="1728">
                  <c:v>24/09/2016</c:v>
                </c:pt>
                <c:pt idx="1729">
                  <c:v>25/09/2016</c:v>
                </c:pt>
                <c:pt idx="1730">
                  <c:v>26/09/2016</c:v>
                </c:pt>
                <c:pt idx="1731">
                  <c:v>27/09/2016</c:v>
                </c:pt>
                <c:pt idx="1732">
                  <c:v>28/09/2016</c:v>
                </c:pt>
                <c:pt idx="1733">
                  <c:v>29/09/2016</c:v>
                </c:pt>
                <c:pt idx="1734">
                  <c:v>30/09/2016</c:v>
                </c:pt>
                <c:pt idx="1735">
                  <c:v>1/10/2016</c:v>
                </c:pt>
                <c:pt idx="1736">
                  <c:v>2/10/2016</c:v>
                </c:pt>
                <c:pt idx="1737">
                  <c:v>3/10/2016</c:v>
                </c:pt>
                <c:pt idx="1738">
                  <c:v>4/10/2016</c:v>
                </c:pt>
                <c:pt idx="1739">
                  <c:v>5/10/2016</c:v>
                </c:pt>
                <c:pt idx="1740">
                  <c:v>6/10/2016</c:v>
                </c:pt>
                <c:pt idx="1741">
                  <c:v>7/10/2016</c:v>
                </c:pt>
                <c:pt idx="1742">
                  <c:v>8/10/2016</c:v>
                </c:pt>
                <c:pt idx="1743">
                  <c:v>9/10/2016</c:v>
                </c:pt>
                <c:pt idx="1744">
                  <c:v>10/10/2016</c:v>
                </c:pt>
                <c:pt idx="1745">
                  <c:v>11/10/2016</c:v>
                </c:pt>
                <c:pt idx="1746">
                  <c:v>12/10/2016</c:v>
                </c:pt>
                <c:pt idx="1747">
                  <c:v>13/10/2016</c:v>
                </c:pt>
                <c:pt idx="1748">
                  <c:v>14/10/2016</c:v>
                </c:pt>
                <c:pt idx="1749">
                  <c:v>15/10/2016</c:v>
                </c:pt>
                <c:pt idx="1750">
                  <c:v>16/10/2016</c:v>
                </c:pt>
                <c:pt idx="1751">
                  <c:v>17/10/2016</c:v>
                </c:pt>
                <c:pt idx="1752">
                  <c:v>18/10/2016</c:v>
                </c:pt>
                <c:pt idx="1753">
                  <c:v>19/10/2016</c:v>
                </c:pt>
                <c:pt idx="1754">
                  <c:v>20/10/2016</c:v>
                </c:pt>
                <c:pt idx="1755">
                  <c:v>21/10/2016</c:v>
                </c:pt>
                <c:pt idx="1756">
                  <c:v>22/10/2016</c:v>
                </c:pt>
                <c:pt idx="1757">
                  <c:v>23/10/2016</c:v>
                </c:pt>
                <c:pt idx="1758">
                  <c:v>24/10/2016</c:v>
                </c:pt>
                <c:pt idx="1759">
                  <c:v>25/10/2016</c:v>
                </c:pt>
                <c:pt idx="1760">
                  <c:v>26/10/2016</c:v>
                </c:pt>
                <c:pt idx="1761">
                  <c:v>27/10/2016</c:v>
                </c:pt>
                <c:pt idx="1762">
                  <c:v>28/10/2016</c:v>
                </c:pt>
                <c:pt idx="1763">
                  <c:v>29/10/2016</c:v>
                </c:pt>
                <c:pt idx="1764">
                  <c:v>30/10/2016</c:v>
                </c:pt>
                <c:pt idx="1765">
                  <c:v>31/10/2016</c:v>
                </c:pt>
                <c:pt idx="1766">
                  <c:v>1/11/2016</c:v>
                </c:pt>
                <c:pt idx="1767">
                  <c:v>2/11/2016</c:v>
                </c:pt>
                <c:pt idx="1768">
                  <c:v>3/11/2016</c:v>
                </c:pt>
                <c:pt idx="1769">
                  <c:v>4/11/2016</c:v>
                </c:pt>
                <c:pt idx="1770">
                  <c:v>5/11/2016</c:v>
                </c:pt>
                <c:pt idx="1771">
                  <c:v>6/11/2016</c:v>
                </c:pt>
                <c:pt idx="1772">
                  <c:v>7/11/2016</c:v>
                </c:pt>
                <c:pt idx="1773">
                  <c:v>8/11/2016</c:v>
                </c:pt>
                <c:pt idx="1774">
                  <c:v>9/11/2016</c:v>
                </c:pt>
                <c:pt idx="1775">
                  <c:v>10/11/2016</c:v>
                </c:pt>
                <c:pt idx="1776">
                  <c:v>11/11/2016</c:v>
                </c:pt>
                <c:pt idx="1777">
                  <c:v>12/11/2016</c:v>
                </c:pt>
                <c:pt idx="1778">
                  <c:v>13/11/2016</c:v>
                </c:pt>
                <c:pt idx="1779">
                  <c:v>14/11/2016</c:v>
                </c:pt>
                <c:pt idx="1780">
                  <c:v>15/11/2016</c:v>
                </c:pt>
                <c:pt idx="1781">
                  <c:v>16/11/2016</c:v>
                </c:pt>
                <c:pt idx="1782">
                  <c:v>17/11/2016</c:v>
                </c:pt>
                <c:pt idx="1783">
                  <c:v>18/11/2016</c:v>
                </c:pt>
                <c:pt idx="1784">
                  <c:v>19/11/2016</c:v>
                </c:pt>
                <c:pt idx="1785">
                  <c:v>20/11/2016</c:v>
                </c:pt>
                <c:pt idx="1786">
                  <c:v>21/11/2016</c:v>
                </c:pt>
                <c:pt idx="1787">
                  <c:v>22/11/2016</c:v>
                </c:pt>
                <c:pt idx="1788">
                  <c:v>23/11/2016</c:v>
                </c:pt>
                <c:pt idx="1789">
                  <c:v>24/11/2016</c:v>
                </c:pt>
                <c:pt idx="1790">
                  <c:v>25/11/2016</c:v>
                </c:pt>
                <c:pt idx="1791">
                  <c:v>26/11/2016</c:v>
                </c:pt>
                <c:pt idx="1792">
                  <c:v>27/11/2016</c:v>
                </c:pt>
                <c:pt idx="1793">
                  <c:v>28/11/2016</c:v>
                </c:pt>
                <c:pt idx="1794">
                  <c:v>29/11/2016</c:v>
                </c:pt>
                <c:pt idx="1795">
                  <c:v>30/11/2016</c:v>
                </c:pt>
                <c:pt idx="1796">
                  <c:v>1/12/2016</c:v>
                </c:pt>
                <c:pt idx="1797">
                  <c:v>2/12/2016</c:v>
                </c:pt>
                <c:pt idx="1798">
                  <c:v>3/12/2016</c:v>
                </c:pt>
                <c:pt idx="1799">
                  <c:v>4/12/2016</c:v>
                </c:pt>
                <c:pt idx="1800">
                  <c:v>5/12/2016</c:v>
                </c:pt>
                <c:pt idx="1801">
                  <c:v>6/12/2016</c:v>
                </c:pt>
                <c:pt idx="1802">
                  <c:v>7/12/2016</c:v>
                </c:pt>
                <c:pt idx="1803">
                  <c:v>8/12/2016</c:v>
                </c:pt>
                <c:pt idx="1804">
                  <c:v>9/12/2016</c:v>
                </c:pt>
                <c:pt idx="1805">
                  <c:v>10/12/2016</c:v>
                </c:pt>
                <c:pt idx="1806">
                  <c:v>11/12/2016</c:v>
                </c:pt>
                <c:pt idx="1807">
                  <c:v>12/12/2016</c:v>
                </c:pt>
                <c:pt idx="1808">
                  <c:v>13/12/2016</c:v>
                </c:pt>
                <c:pt idx="1809">
                  <c:v>14/12/2016</c:v>
                </c:pt>
                <c:pt idx="1810">
                  <c:v>15/12/2016</c:v>
                </c:pt>
                <c:pt idx="1811">
                  <c:v>16/12/2016</c:v>
                </c:pt>
                <c:pt idx="1812">
                  <c:v>17/12/2016</c:v>
                </c:pt>
                <c:pt idx="1813">
                  <c:v>18/12/2016</c:v>
                </c:pt>
                <c:pt idx="1814">
                  <c:v>19/12/2016</c:v>
                </c:pt>
                <c:pt idx="1815">
                  <c:v>20/12/2016</c:v>
                </c:pt>
                <c:pt idx="1816">
                  <c:v>21/12/2016</c:v>
                </c:pt>
                <c:pt idx="1817">
                  <c:v>22/12/2016</c:v>
                </c:pt>
                <c:pt idx="1818">
                  <c:v>23/12/2016</c:v>
                </c:pt>
                <c:pt idx="1819">
                  <c:v>24/12/2016</c:v>
                </c:pt>
                <c:pt idx="1820">
                  <c:v>25/12/2016</c:v>
                </c:pt>
                <c:pt idx="1821">
                  <c:v>26/12/2016</c:v>
                </c:pt>
                <c:pt idx="1822">
                  <c:v>27/12/2016</c:v>
                </c:pt>
                <c:pt idx="1823">
                  <c:v>28/12/2016</c:v>
                </c:pt>
                <c:pt idx="1824">
                  <c:v>29/12/2016</c:v>
                </c:pt>
                <c:pt idx="1825">
                  <c:v>30/12/2016</c:v>
                </c:pt>
                <c:pt idx="1826">
                  <c:v>31/12/2016</c:v>
                </c:pt>
                <c:pt idx="1827">
                  <c:v>1/01/2017</c:v>
                </c:pt>
                <c:pt idx="1828">
                  <c:v>2/01/2017</c:v>
                </c:pt>
                <c:pt idx="1829">
                  <c:v>3/01/2017</c:v>
                </c:pt>
                <c:pt idx="1830">
                  <c:v>4/01/2017</c:v>
                </c:pt>
                <c:pt idx="1831">
                  <c:v>5/01/2017</c:v>
                </c:pt>
                <c:pt idx="1832">
                  <c:v>6/01/2017</c:v>
                </c:pt>
                <c:pt idx="1833">
                  <c:v>7/01/2017</c:v>
                </c:pt>
                <c:pt idx="1834">
                  <c:v>8/01/2017</c:v>
                </c:pt>
                <c:pt idx="1835">
                  <c:v>9/01/2017</c:v>
                </c:pt>
                <c:pt idx="1836">
                  <c:v>10/01/2017</c:v>
                </c:pt>
                <c:pt idx="1837">
                  <c:v>11/01/2017</c:v>
                </c:pt>
                <c:pt idx="1838">
                  <c:v>12/01/2017</c:v>
                </c:pt>
                <c:pt idx="1839">
                  <c:v>13/01/2017</c:v>
                </c:pt>
                <c:pt idx="1840">
                  <c:v>14/01/2017</c:v>
                </c:pt>
                <c:pt idx="1841">
                  <c:v>15/01/2017</c:v>
                </c:pt>
                <c:pt idx="1842">
                  <c:v>16/01/2017</c:v>
                </c:pt>
                <c:pt idx="1843">
                  <c:v>17/01/2017</c:v>
                </c:pt>
                <c:pt idx="1844">
                  <c:v>18/01/2017</c:v>
                </c:pt>
                <c:pt idx="1845">
                  <c:v>19/01/2017</c:v>
                </c:pt>
                <c:pt idx="1846">
                  <c:v>20/01/2017</c:v>
                </c:pt>
                <c:pt idx="1847">
                  <c:v>21/01/2017</c:v>
                </c:pt>
                <c:pt idx="1848">
                  <c:v>22/01/2017</c:v>
                </c:pt>
                <c:pt idx="1849">
                  <c:v>23/01/2017</c:v>
                </c:pt>
                <c:pt idx="1850">
                  <c:v>24/01/2017</c:v>
                </c:pt>
                <c:pt idx="1851">
                  <c:v>25/01/2017</c:v>
                </c:pt>
                <c:pt idx="1852">
                  <c:v>26/01/2017</c:v>
                </c:pt>
                <c:pt idx="1853">
                  <c:v>27/01/2017</c:v>
                </c:pt>
                <c:pt idx="1854">
                  <c:v>28/01/2017</c:v>
                </c:pt>
                <c:pt idx="1855">
                  <c:v>29/01/2017</c:v>
                </c:pt>
                <c:pt idx="1856">
                  <c:v>30/01/2017</c:v>
                </c:pt>
                <c:pt idx="1857">
                  <c:v>31/01/2017</c:v>
                </c:pt>
                <c:pt idx="1858">
                  <c:v>1/02/2017</c:v>
                </c:pt>
                <c:pt idx="1859">
                  <c:v>2/02/2017</c:v>
                </c:pt>
                <c:pt idx="1860">
                  <c:v>3/02/2017</c:v>
                </c:pt>
                <c:pt idx="1861">
                  <c:v>4/02/2017</c:v>
                </c:pt>
                <c:pt idx="1862">
                  <c:v>5/02/2017</c:v>
                </c:pt>
                <c:pt idx="1863">
                  <c:v>6/02/2017</c:v>
                </c:pt>
                <c:pt idx="1864">
                  <c:v>7/02/2017</c:v>
                </c:pt>
                <c:pt idx="1865">
                  <c:v>8/02/2017</c:v>
                </c:pt>
                <c:pt idx="1866">
                  <c:v>9/02/2017</c:v>
                </c:pt>
                <c:pt idx="1867">
                  <c:v>10/02/2017</c:v>
                </c:pt>
                <c:pt idx="1868">
                  <c:v>11/02/2017</c:v>
                </c:pt>
                <c:pt idx="1869">
                  <c:v>12/02/2017</c:v>
                </c:pt>
                <c:pt idx="1870">
                  <c:v>13/02/2017</c:v>
                </c:pt>
                <c:pt idx="1871">
                  <c:v>14/02/2017</c:v>
                </c:pt>
                <c:pt idx="1872">
                  <c:v>15/02/2017</c:v>
                </c:pt>
                <c:pt idx="1873">
                  <c:v>16/02/2017</c:v>
                </c:pt>
                <c:pt idx="1874">
                  <c:v>17/02/2017</c:v>
                </c:pt>
                <c:pt idx="1875">
                  <c:v>18/02/2017</c:v>
                </c:pt>
                <c:pt idx="1876">
                  <c:v>19/02/2017</c:v>
                </c:pt>
                <c:pt idx="1877">
                  <c:v>20/02/2017</c:v>
                </c:pt>
                <c:pt idx="1878">
                  <c:v>21/02/2017</c:v>
                </c:pt>
                <c:pt idx="1879">
                  <c:v>22/02/2017</c:v>
                </c:pt>
                <c:pt idx="1880">
                  <c:v>23/02/2017</c:v>
                </c:pt>
                <c:pt idx="1881">
                  <c:v>24/02/2017</c:v>
                </c:pt>
                <c:pt idx="1882">
                  <c:v>25/02/2017</c:v>
                </c:pt>
                <c:pt idx="1883">
                  <c:v>26/02/2017</c:v>
                </c:pt>
                <c:pt idx="1884">
                  <c:v>27/02/2017</c:v>
                </c:pt>
                <c:pt idx="1885">
                  <c:v>28/02/2017</c:v>
                </c:pt>
                <c:pt idx="1886">
                  <c:v>1/03/2017</c:v>
                </c:pt>
                <c:pt idx="1887">
                  <c:v>2/03/2017</c:v>
                </c:pt>
                <c:pt idx="1888">
                  <c:v>3/03/2017</c:v>
                </c:pt>
                <c:pt idx="1889">
                  <c:v>4/03/2017</c:v>
                </c:pt>
                <c:pt idx="1890">
                  <c:v>5/03/2017</c:v>
                </c:pt>
                <c:pt idx="1891">
                  <c:v>6/03/2017</c:v>
                </c:pt>
                <c:pt idx="1892">
                  <c:v>7/03/2017</c:v>
                </c:pt>
                <c:pt idx="1893">
                  <c:v>8/03/2017</c:v>
                </c:pt>
                <c:pt idx="1894">
                  <c:v>9/03/2017</c:v>
                </c:pt>
                <c:pt idx="1895">
                  <c:v>10/03/2017</c:v>
                </c:pt>
                <c:pt idx="1896">
                  <c:v>11/03/2017</c:v>
                </c:pt>
                <c:pt idx="1897">
                  <c:v>12/03/2017</c:v>
                </c:pt>
                <c:pt idx="1898">
                  <c:v>13/03/2017</c:v>
                </c:pt>
                <c:pt idx="1899">
                  <c:v>14/03/2017</c:v>
                </c:pt>
                <c:pt idx="1900">
                  <c:v>15/03/2017</c:v>
                </c:pt>
                <c:pt idx="1901">
                  <c:v>16/03/2017</c:v>
                </c:pt>
                <c:pt idx="1902">
                  <c:v>17/03/2017</c:v>
                </c:pt>
                <c:pt idx="1903">
                  <c:v>18/03/2017</c:v>
                </c:pt>
                <c:pt idx="1904">
                  <c:v>19/03/2017</c:v>
                </c:pt>
                <c:pt idx="1905">
                  <c:v>20/03/2017</c:v>
                </c:pt>
                <c:pt idx="1906">
                  <c:v>21/03/2017</c:v>
                </c:pt>
                <c:pt idx="1907">
                  <c:v>22/03/2017</c:v>
                </c:pt>
                <c:pt idx="1908">
                  <c:v>23/03/2017</c:v>
                </c:pt>
                <c:pt idx="1909">
                  <c:v>24/03/2017</c:v>
                </c:pt>
                <c:pt idx="1910">
                  <c:v>25/03/2017</c:v>
                </c:pt>
                <c:pt idx="1911">
                  <c:v>26/03/2017</c:v>
                </c:pt>
                <c:pt idx="1912">
                  <c:v>27/03/2017</c:v>
                </c:pt>
                <c:pt idx="1913">
                  <c:v>28/03/2017</c:v>
                </c:pt>
                <c:pt idx="1914">
                  <c:v>29/03/2017</c:v>
                </c:pt>
                <c:pt idx="1915">
                  <c:v>30/03/2017</c:v>
                </c:pt>
                <c:pt idx="1916">
                  <c:v>31/03/2017</c:v>
                </c:pt>
                <c:pt idx="1917">
                  <c:v>1/04/2017</c:v>
                </c:pt>
                <c:pt idx="1918">
                  <c:v>2/04/2017</c:v>
                </c:pt>
                <c:pt idx="1919">
                  <c:v>3/04/2017</c:v>
                </c:pt>
                <c:pt idx="1920">
                  <c:v>4/04/2017</c:v>
                </c:pt>
                <c:pt idx="1921">
                  <c:v>5/04/2017</c:v>
                </c:pt>
                <c:pt idx="1922">
                  <c:v>6/04/2017</c:v>
                </c:pt>
                <c:pt idx="1923">
                  <c:v>7/04/2017</c:v>
                </c:pt>
                <c:pt idx="1924">
                  <c:v>8/04/2017</c:v>
                </c:pt>
                <c:pt idx="1925">
                  <c:v>9/04/2017</c:v>
                </c:pt>
                <c:pt idx="1926">
                  <c:v>10/04/2017</c:v>
                </c:pt>
                <c:pt idx="1927">
                  <c:v>11/04/2017</c:v>
                </c:pt>
                <c:pt idx="1928">
                  <c:v>12/04/2017</c:v>
                </c:pt>
                <c:pt idx="1929">
                  <c:v>13/04/2017</c:v>
                </c:pt>
                <c:pt idx="1930">
                  <c:v>14/04/2017</c:v>
                </c:pt>
                <c:pt idx="1931">
                  <c:v>15/04/2017</c:v>
                </c:pt>
                <c:pt idx="1932">
                  <c:v>16/04/2017</c:v>
                </c:pt>
                <c:pt idx="1933">
                  <c:v>17/04/2017</c:v>
                </c:pt>
                <c:pt idx="1934">
                  <c:v>18/04/2017</c:v>
                </c:pt>
                <c:pt idx="1935">
                  <c:v>19/04/2017</c:v>
                </c:pt>
                <c:pt idx="1936">
                  <c:v>20/04/2017</c:v>
                </c:pt>
                <c:pt idx="1937">
                  <c:v>21/04/2017</c:v>
                </c:pt>
                <c:pt idx="1938">
                  <c:v>22/04/2017</c:v>
                </c:pt>
                <c:pt idx="1939">
                  <c:v>23/04/2017</c:v>
                </c:pt>
                <c:pt idx="1940">
                  <c:v>24/04/2017</c:v>
                </c:pt>
                <c:pt idx="1941">
                  <c:v>25/04/2017</c:v>
                </c:pt>
                <c:pt idx="1942">
                  <c:v>26/04/2017</c:v>
                </c:pt>
                <c:pt idx="1943">
                  <c:v>27/04/2017</c:v>
                </c:pt>
                <c:pt idx="1944">
                  <c:v>28/04/2017</c:v>
                </c:pt>
                <c:pt idx="1945">
                  <c:v>29/04/2017</c:v>
                </c:pt>
                <c:pt idx="1946">
                  <c:v>30/04/2017</c:v>
                </c:pt>
                <c:pt idx="1947">
                  <c:v>1/05/2017</c:v>
                </c:pt>
                <c:pt idx="1948">
                  <c:v>2/05/2017</c:v>
                </c:pt>
                <c:pt idx="1949">
                  <c:v>3/05/2017</c:v>
                </c:pt>
                <c:pt idx="1950">
                  <c:v>4/05/2017</c:v>
                </c:pt>
                <c:pt idx="1951">
                  <c:v>5/05/2017</c:v>
                </c:pt>
                <c:pt idx="1952">
                  <c:v>6/05/2017</c:v>
                </c:pt>
                <c:pt idx="1953">
                  <c:v>7/05/2017</c:v>
                </c:pt>
                <c:pt idx="1954">
                  <c:v>8/05/2017</c:v>
                </c:pt>
                <c:pt idx="1955">
                  <c:v>9/05/2017</c:v>
                </c:pt>
                <c:pt idx="1956">
                  <c:v>10/05/2017</c:v>
                </c:pt>
                <c:pt idx="1957">
                  <c:v>11/05/2017</c:v>
                </c:pt>
                <c:pt idx="1958">
                  <c:v>12/05/2017</c:v>
                </c:pt>
                <c:pt idx="1959">
                  <c:v>13/05/2017</c:v>
                </c:pt>
                <c:pt idx="1960">
                  <c:v>14/05/2017</c:v>
                </c:pt>
                <c:pt idx="1961">
                  <c:v>15/05/2017</c:v>
                </c:pt>
                <c:pt idx="1962">
                  <c:v>16/05/2017</c:v>
                </c:pt>
                <c:pt idx="1963">
                  <c:v>17/05/2017</c:v>
                </c:pt>
                <c:pt idx="1964">
                  <c:v>18/05/2017</c:v>
                </c:pt>
                <c:pt idx="1965">
                  <c:v>19/05/2017</c:v>
                </c:pt>
                <c:pt idx="1966">
                  <c:v>20/05/2017</c:v>
                </c:pt>
                <c:pt idx="1967">
                  <c:v>21/05/2017</c:v>
                </c:pt>
                <c:pt idx="1968">
                  <c:v>22/05/2017</c:v>
                </c:pt>
                <c:pt idx="1969">
                  <c:v>23/05/2017</c:v>
                </c:pt>
                <c:pt idx="1970">
                  <c:v>24/05/2017</c:v>
                </c:pt>
                <c:pt idx="1971">
                  <c:v>25/05/2017</c:v>
                </c:pt>
                <c:pt idx="1972">
                  <c:v>26/05/2017</c:v>
                </c:pt>
                <c:pt idx="1973">
                  <c:v>27/05/2017</c:v>
                </c:pt>
                <c:pt idx="1974">
                  <c:v>28/05/2017</c:v>
                </c:pt>
                <c:pt idx="1975">
                  <c:v>29/05/2017</c:v>
                </c:pt>
                <c:pt idx="1976">
                  <c:v>30/05/2017</c:v>
                </c:pt>
                <c:pt idx="1977">
                  <c:v>31/05/2017</c:v>
                </c:pt>
                <c:pt idx="1978">
                  <c:v>1/06/2017</c:v>
                </c:pt>
                <c:pt idx="1979">
                  <c:v>2/06/2017</c:v>
                </c:pt>
                <c:pt idx="1980">
                  <c:v>3/06/2017</c:v>
                </c:pt>
                <c:pt idx="1981">
                  <c:v>4/06/2017</c:v>
                </c:pt>
                <c:pt idx="1982">
                  <c:v>5/06/2017</c:v>
                </c:pt>
                <c:pt idx="1983">
                  <c:v>6/06/2017</c:v>
                </c:pt>
                <c:pt idx="1984">
                  <c:v>7/06/2017</c:v>
                </c:pt>
                <c:pt idx="1985">
                  <c:v>8/06/2017</c:v>
                </c:pt>
                <c:pt idx="1986">
                  <c:v>9/06/2017</c:v>
                </c:pt>
                <c:pt idx="1987">
                  <c:v>10/06/2017</c:v>
                </c:pt>
                <c:pt idx="1988">
                  <c:v>11/06/2017</c:v>
                </c:pt>
                <c:pt idx="1989">
                  <c:v>12/06/2017</c:v>
                </c:pt>
                <c:pt idx="1990">
                  <c:v>13/06/2017</c:v>
                </c:pt>
                <c:pt idx="1991">
                  <c:v>14/06/2017</c:v>
                </c:pt>
                <c:pt idx="1992">
                  <c:v>15/06/2017</c:v>
                </c:pt>
                <c:pt idx="1993">
                  <c:v>16/06/2017</c:v>
                </c:pt>
                <c:pt idx="1994">
                  <c:v>17/06/2017</c:v>
                </c:pt>
                <c:pt idx="1995">
                  <c:v>18/06/2017</c:v>
                </c:pt>
                <c:pt idx="1996">
                  <c:v>19/06/2017</c:v>
                </c:pt>
                <c:pt idx="1997">
                  <c:v>20/06/2017</c:v>
                </c:pt>
                <c:pt idx="1998">
                  <c:v>21/06/2017</c:v>
                </c:pt>
                <c:pt idx="1999">
                  <c:v>22/06/2017</c:v>
                </c:pt>
                <c:pt idx="2000">
                  <c:v>23/06/2017</c:v>
                </c:pt>
                <c:pt idx="2001">
                  <c:v>24/06/2017</c:v>
                </c:pt>
                <c:pt idx="2002">
                  <c:v>25/06/2017</c:v>
                </c:pt>
                <c:pt idx="2003">
                  <c:v>26/06/2017</c:v>
                </c:pt>
                <c:pt idx="2004">
                  <c:v>27/06/2017</c:v>
                </c:pt>
                <c:pt idx="2005">
                  <c:v>28/06/2017</c:v>
                </c:pt>
                <c:pt idx="2006">
                  <c:v>29/06/2017</c:v>
                </c:pt>
                <c:pt idx="2007">
                  <c:v>30/06/2017</c:v>
                </c:pt>
                <c:pt idx="2008">
                  <c:v>1/07/2017</c:v>
                </c:pt>
                <c:pt idx="2009">
                  <c:v>2/07/2017</c:v>
                </c:pt>
                <c:pt idx="2010">
                  <c:v>3/07/2017</c:v>
                </c:pt>
                <c:pt idx="2011">
                  <c:v>4/07/2017</c:v>
                </c:pt>
                <c:pt idx="2012">
                  <c:v>5/07/2017</c:v>
                </c:pt>
                <c:pt idx="2013">
                  <c:v>6/07/2017</c:v>
                </c:pt>
                <c:pt idx="2014">
                  <c:v>7/07/2017</c:v>
                </c:pt>
                <c:pt idx="2015">
                  <c:v>8/07/2017</c:v>
                </c:pt>
                <c:pt idx="2016">
                  <c:v>9/07/2017</c:v>
                </c:pt>
                <c:pt idx="2017">
                  <c:v>10/07/2017</c:v>
                </c:pt>
                <c:pt idx="2018">
                  <c:v>11/07/2017</c:v>
                </c:pt>
                <c:pt idx="2019">
                  <c:v>12/07/2017</c:v>
                </c:pt>
                <c:pt idx="2020">
                  <c:v>13/07/2017</c:v>
                </c:pt>
                <c:pt idx="2021">
                  <c:v>14/07/2017</c:v>
                </c:pt>
                <c:pt idx="2022">
                  <c:v>15/07/2017</c:v>
                </c:pt>
                <c:pt idx="2023">
                  <c:v>16/07/2017</c:v>
                </c:pt>
                <c:pt idx="2024">
                  <c:v>17/07/2017</c:v>
                </c:pt>
                <c:pt idx="2025">
                  <c:v>18/07/2017</c:v>
                </c:pt>
                <c:pt idx="2026">
                  <c:v>19/07/2017</c:v>
                </c:pt>
                <c:pt idx="2027">
                  <c:v>20/07/2017</c:v>
                </c:pt>
                <c:pt idx="2028">
                  <c:v>21/07/2017</c:v>
                </c:pt>
                <c:pt idx="2029">
                  <c:v>22/07/2017</c:v>
                </c:pt>
                <c:pt idx="2030">
                  <c:v>23/07/2017</c:v>
                </c:pt>
                <c:pt idx="2031">
                  <c:v>24/07/2017</c:v>
                </c:pt>
                <c:pt idx="2032">
                  <c:v>25/07/2017</c:v>
                </c:pt>
                <c:pt idx="2033">
                  <c:v>26/07/2017</c:v>
                </c:pt>
                <c:pt idx="2034">
                  <c:v>27/07/2017</c:v>
                </c:pt>
                <c:pt idx="2035">
                  <c:v>28/07/2017</c:v>
                </c:pt>
                <c:pt idx="2036">
                  <c:v>29/07/2017</c:v>
                </c:pt>
                <c:pt idx="2037">
                  <c:v>30/07/2017</c:v>
                </c:pt>
                <c:pt idx="2038">
                  <c:v>31/07/2017</c:v>
                </c:pt>
                <c:pt idx="2039">
                  <c:v>1/08/2017</c:v>
                </c:pt>
                <c:pt idx="2040">
                  <c:v>2/08/2017</c:v>
                </c:pt>
                <c:pt idx="2041">
                  <c:v>3/08/2017</c:v>
                </c:pt>
                <c:pt idx="2042">
                  <c:v>4/08/2017</c:v>
                </c:pt>
                <c:pt idx="2043">
                  <c:v>5/08/2017</c:v>
                </c:pt>
                <c:pt idx="2044">
                  <c:v>6/08/2017</c:v>
                </c:pt>
                <c:pt idx="2045">
                  <c:v>7/08/2017</c:v>
                </c:pt>
                <c:pt idx="2046">
                  <c:v>8/08/2017</c:v>
                </c:pt>
                <c:pt idx="2047">
                  <c:v>9/08/2017</c:v>
                </c:pt>
                <c:pt idx="2048">
                  <c:v>10/08/2017</c:v>
                </c:pt>
                <c:pt idx="2049">
                  <c:v>11/08/2017</c:v>
                </c:pt>
                <c:pt idx="2050">
                  <c:v>12/08/2017</c:v>
                </c:pt>
                <c:pt idx="2051">
                  <c:v>13/08/2017</c:v>
                </c:pt>
                <c:pt idx="2052">
                  <c:v>14/08/2017</c:v>
                </c:pt>
                <c:pt idx="2053">
                  <c:v>15/08/2017</c:v>
                </c:pt>
                <c:pt idx="2054">
                  <c:v>16/08/2017</c:v>
                </c:pt>
                <c:pt idx="2055">
                  <c:v>17/08/2017</c:v>
                </c:pt>
                <c:pt idx="2056">
                  <c:v>18/08/2017</c:v>
                </c:pt>
                <c:pt idx="2057">
                  <c:v>19/08/2017</c:v>
                </c:pt>
                <c:pt idx="2058">
                  <c:v>20/08/2017</c:v>
                </c:pt>
                <c:pt idx="2059">
                  <c:v>21/08/2017</c:v>
                </c:pt>
                <c:pt idx="2060">
                  <c:v>22/08/2017</c:v>
                </c:pt>
                <c:pt idx="2061">
                  <c:v>23/08/2017</c:v>
                </c:pt>
                <c:pt idx="2062">
                  <c:v>24/08/2017</c:v>
                </c:pt>
                <c:pt idx="2063">
                  <c:v>25/08/2017</c:v>
                </c:pt>
                <c:pt idx="2064">
                  <c:v>26/08/2017</c:v>
                </c:pt>
                <c:pt idx="2065">
                  <c:v>27/08/2017</c:v>
                </c:pt>
                <c:pt idx="2066">
                  <c:v>28/08/2017</c:v>
                </c:pt>
                <c:pt idx="2067">
                  <c:v>29/08/2017</c:v>
                </c:pt>
                <c:pt idx="2068">
                  <c:v>30/08/2017</c:v>
                </c:pt>
                <c:pt idx="2069">
                  <c:v>31/08/2017</c:v>
                </c:pt>
                <c:pt idx="2070">
                  <c:v>1/09/2017</c:v>
                </c:pt>
                <c:pt idx="2071">
                  <c:v>2/09/2017</c:v>
                </c:pt>
                <c:pt idx="2072">
                  <c:v>3/09/2017</c:v>
                </c:pt>
                <c:pt idx="2073">
                  <c:v>4/09/2017</c:v>
                </c:pt>
                <c:pt idx="2074">
                  <c:v>5/09/2017</c:v>
                </c:pt>
                <c:pt idx="2075">
                  <c:v>6/09/2017</c:v>
                </c:pt>
                <c:pt idx="2076">
                  <c:v>7/09/2017</c:v>
                </c:pt>
                <c:pt idx="2077">
                  <c:v>8/09/2017</c:v>
                </c:pt>
                <c:pt idx="2078">
                  <c:v>9/09/2017</c:v>
                </c:pt>
                <c:pt idx="2079">
                  <c:v>10/09/2017</c:v>
                </c:pt>
                <c:pt idx="2080">
                  <c:v>11/09/2017</c:v>
                </c:pt>
                <c:pt idx="2081">
                  <c:v>12/09/2017</c:v>
                </c:pt>
                <c:pt idx="2082">
                  <c:v>13/09/2017</c:v>
                </c:pt>
                <c:pt idx="2083">
                  <c:v>14/09/2017</c:v>
                </c:pt>
                <c:pt idx="2084">
                  <c:v>15/09/2017</c:v>
                </c:pt>
                <c:pt idx="2085">
                  <c:v>16/09/2017</c:v>
                </c:pt>
                <c:pt idx="2086">
                  <c:v>17/09/2017</c:v>
                </c:pt>
                <c:pt idx="2087">
                  <c:v>18/09/2017</c:v>
                </c:pt>
                <c:pt idx="2088">
                  <c:v>19/09/2017</c:v>
                </c:pt>
                <c:pt idx="2089">
                  <c:v>20/09/2017</c:v>
                </c:pt>
                <c:pt idx="2090">
                  <c:v>21/09/2017</c:v>
                </c:pt>
                <c:pt idx="2091">
                  <c:v>22/09/2017</c:v>
                </c:pt>
                <c:pt idx="2092">
                  <c:v>23/09/2017</c:v>
                </c:pt>
                <c:pt idx="2093">
                  <c:v>24/09/2017</c:v>
                </c:pt>
                <c:pt idx="2094">
                  <c:v>25/09/2017</c:v>
                </c:pt>
                <c:pt idx="2095">
                  <c:v>26/09/2017</c:v>
                </c:pt>
                <c:pt idx="2096">
                  <c:v>27/09/2017</c:v>
                </c:pt>
                <c:pt idx="2097">
                  <c:v>28/09/2017</c:v>
                </c:pt>
                <c:pt idx="2098">
                  <c:v>29/09/2017</c:v>
                </c:pt>
                <c:pt idx="2099">
                  <c:v>30/09/2017</c:v>
                </c:pt>
                <c:pt idx="2100">
                  <c:v>1/10/2017</c:v>
                </c:pt>
                <c:pt idx="2101">
                  <c:v>2/10/2017</c:v>
                </c:pt>
                <c:pt idx="2102">
                  <c:v>3/10/2017</c:v>
                </c:pt>
                <c:pt idx="2103">
                  <c:v>4/10/2017</c:v>
                </c:pt>
                <c:pt idx="2104">
                  <c:v>5/10/2017</c:v>
                </c:pt>
                <c:pt idx="2105">
                  <c:v>6/10/2017</c:v>
                </c:pt>
                <c:pt idx="2106">
                  <c:v>7/10/2017</c:v>
                </c:pt>
                <c:pt idx="2107">
                  <c:v>8/10/2017</c:v>
                </c:pt>
                <c:pt idx="2108">
                  <c:v>9/10/2017</c:v>
                </c:pt>
                <c:pt idx="2109">
                  <c:v>10/10/2017</c:v>
                </c:pt>
                <c:pt idx="2110">
                  <c:v>11/10/2017</c:v>
                </c:pt>
                <c:pt idx="2111">
                  <c:v>12/10/2017</c:v>
                </c:pt>
                <c:pt idx="2112">
                  <c:v>13/10/2017</c:v>
                </c:pt>
                <c:pt idx="2113">
                  <c:v>14/10/2017</c:v>
                </c:pt>
                <c:pt idx="2114">
                  <c:v>15/10/2017</c:v>
                </c:pt>
                <c:pt idx="2115">
                  <c:v>16/10/2017</c:v>
                </c:pt>
                <c:pt idx="2116">
                  <c:v>17/10/2017</c:v>
                </c:pt>
                <c:pt idx="2117">
                  <c:v>18/10/2017</c:v>
                </c:pt>
                <c:pt idx="2118">
                  <c:v>19/10/2017</c:v>
                </c:pt>
                <c:pt idx="2119">
                  <c:v>20/10/2017</c:v>
                </c:pt>
                <c:pt idx="2120">
                  <c:v>21/10/2017</c:v>
                </c:pt>
                <c:pt idx="2121">
                  <c:v>22/10/2017</c:v>
                </c:pt>
                <c:pt idx="2122">
                  <c:v>23/10/2017</c:v>
                </c:pt>
                <c:pt idx="2123">
                  <c:v>24/10/2017</c:v>
                </c:pt>
                <c:pt idx="2124">
                  <c:v>25/10/2017</c:v>
                </c:pt>
                <c:pt idx="2125">
                  <c:v>26/10/2017</c:v>
                </c:pt>
                <c:pt idx="2126">
                  <c:v>27/10/2017</c:v>
                </c:pt>
                <c:pt idx="2127">
                  <c:v>28/10/2017</c:v>
                </c:pt>
                <c:pt idx="2128">
                  <c:v>29/10/2017</c:v>
                </c:pt>
                <c:pt idx="2129">
                  <c:v>30/10/2017</c:v>
                </c:pt>
                <c:pt idx="2130">
                  <c:v>31/10/2017</c:v>
                </c:pt>
                <c:pt idx="2131">
                  <c:v>1/11/2017</c:v>
                </c:pt>
                <c:pt idx="2132">
                  <c:v>2/11/2017</c:v>
                </c:pt>
                <c:pt idx="2133">
                  <c:v>3/11/2017</c:v>
                </c:pt>
                <c:pt idx="2134">
                  <c:v>4/11/2017</c:v>
                </c:pt>
                <c:pt idx="2135">
                  <c:v>5/11/2017</c:v>
                </c:pt>
                <c:pt idx="2136">
                  <c:v>6/11/2017</c:v>
                </c:pt>
                <c:pt idx="2137">
                  <c:v>7/11/2017</c:v>
                </c:pt>
                <c:pt idx="2138">
                  <c:v>8/11/2017</c:v>
                </c:pt>
                <c:pt idx="2139">
                  <c:v>9/11/2017</c:v>
                </c:pt>
                <c:pt idx="2140">
                  <c:v>10/11/2017</c:v>
                </c:pt>
                <c:pt idx="2141">
                  <c:v>11/11/2017</c:v>
                </c:pt>
                <c:pt idx="2142">
                  <c:v>12/11/2017</c:v>
                </c:pt>
                <c:pt idx="2143">
                  <c:v>13/11/2017</c:v>
                </c:pt>
                <c:pt idx="2144">
                  <c:v>14/11/2017</c:v>
                </c:pt>
                <c:pt idx="2145">
                  <c:v>15/11/2017</c:v>
                </c:pt>
                <c:pt idx="2146">
                  <c:v>16/11/2017</c:v>
                </c:pt>
                <c:pt idx="2147">
                  <c:v>17/11/2017</c:v>
                </c:pt>
                <c:pt idx="2148">
                  <c:v>18/11/2017</c:v>
                </c:pt>
                <c:pt idx="2149">
                  <c:v>19/11/2017</c:v>
                </c:pt>
                <c:pt idx="2150">
                  <c:v>20/11/2017</c:v>
                </c:pt>
                <c:pt idx="2151">
                  <c:v>21/11/2017</c:v>
                </c:pt>
                <c:pt idx="2152">
                  <c:v>22/11/2017</c:v>
                </c:pt>
                <c:pt idx="2153">
                  <c:v>23/11/2017</c:v>
                </c:pt>
                <c:pt idx="2154">
                  <c:v>24/11/2017</c:v>
                </c:pt>
                <c:pt idx="2155">
                  <c:v>25/11/2017</c:v>
                </c:pt>
                <c:pt idx="2156">
                  <c:v>26/11/2017</c:v>
                </c:pt>
                <c:pt idx="2157">
                  <c:v>27/11/2017</c:v>
                </c:pt>
                <c:pt idx="2158">
                  <c:v>28/11/2017</c:v>
                </c:pt>
                <c:pt idx="2159">
                  <c:v>29/11/2017</c:v>
                </c:pt>
                <c:pt idx="2160">
                  <c:v>30/11/2017</c:v>
                </c:pt>
                <c:pt idx="2161">
                  <c:v>1/12/2017</c:v>
                </c:pt>
                <c:pt idx="2162">
                  <c:v>2/12/2017</c:v>
                </c:pt>
                <c:pt idx="2163">
                  <c:v>3/12/2017</c:v>
                </c:pt>
                <c:pt idx="2164">
                  <c:v>4/12/2017</c:v>
                </c:pt>
                <c:pt idx="2165">
                  <c:v>5/12/2017</c:v>
                </c:pt>
                <c:pt idx="2166">
                  <c:v>6/12/2017</c:v>
                </c:pt>
                <c:pt idx="2167">
                  <c:v>7/12/2017</c:v>
                </c:pt>
                <c:pt idx="2168">
                  <c:v>8/12/2017</c:v>
                </c:pt>
                <c:pt idx="2169">
                  <c:v>9/12/2017</c:v>
                </c:pt>
                <c:pt idx="2170">
                  <c:v>10/12/2017</c:v>
                </c:pt>
                <c:pt idx="2171">
                  <c:v>11/12/2017</c:v>
                </c:pt>
                <c:pt idx="2172">
                  <c:v>12/12/2017</c:v>
                </c:pt>
                <c:pt idx="2173">
                  <c:v>13/12/2017</c:v>
                </c:pt>
                <c:pt idx="2174">
                  <c:v>14/12/2017</c:v>
                </c:pt>
                <c:pt idx="2175">
                  <c:v>15/12/2017</c:v>
                </c:pt>
                <c:pt idx="2176">
                  <c:v>16/12/2017</c:v>
                </c:pt>
                <c:pt idx="2177">
                  <c:v>17/12/2017</c:v>
                </c:pt>
                <c:pt idx="2178">
                  <c:v>18/12/2017</c:v>
                </c:pt>
                <c:pt idx="2179">
                  <c:v>19/12/2017</c:v>
                </c:pt>
                <c:pt idx="2180">
                  <c:v>20/12/2017</c:v>
                </c:pt>
                <c:pt idx="2181">
                  <c:v>21/12/2017</c:v>
                </c:pt>
                <c:pt idx="2182">
                  <c:v>22/12/2017</c:v>
                </c:pt>
                <c:pt idx="2183">
                  <c:v>23/12/2017</c:v>
                </c:pt>
                <c:pt idx="2184">
                  <c:v>24/12/2017</c:v>
                </c:pt>
                <c:pt idx="2185">
                  <c:v>25/12/2017</c:v>
                </c:pt>
                <c:pt idx="2186">
                  <c:v>26/12/2017</c:v>
                </c:pt>
                <c:pt idx="2187">
                  <c:v>27/12/2017</c:v>
                </c:pt>
                <c:pt idx="2188">
                  <c:v>28/12/2017</c:v>
                </c:pt>
                <c:pt idx="2189">
                  <c:v>29/12/2017</c:v>
                </c:pt>
                <c:pt idx="2190">
                  <c:v>30/12/2017</c:v>
                </c:pt>
                <c:pt idx="2191">
                  <c:v>31/12/2017</c:v>
                </c:pt>
                <c:pt idx="2192">
                  <c:v>1/01/2018</c:v>
                </c:pt>
                <c:pt idx="2193">
                  <c:v>2/01/2018</c:v>
                </c:pt>
                <c:pt idx="2194">
                  <c:v>3/01/2018</c:v>
                </c:pt>
                <c:pt idx="2195">
                  <c:v>4/01/2018</c:v>
                </c:pt>
                <c:pt idx="2196">
                  <c:v>5/01/2018</c:v>
                </c:pt>
                <c:pt idx="2197">
                  <c:v>6/01/2018</c:v>
                </c:pt>
                <c:pt idx="2198">
                  <c:v>7/01/2018</c:v>
                </c:pt>
                <c:pt idx="2199">
                  <c:v>8/01/2018</c:v>
                </c:pt>
                <c:pt idx="2200">
                  <c:v>9/01/2018</c:v>
                </c:pt>
                <c:pt idx="2201">
                  <c:v>10/01/2018</c:v>
                </c:pt>
                <c:pt idx="2202">
                  <c:v>11/01/2018</c:v>
                </c:pt>
                <c:pt idx="2203">
                  <c:v>12/01/2018</c:v>
                </c:pt>
                <c:pt idx="2204">
                  <c:v>13/01/2018</c:v>
                </c:pt>
                <c:pt idx="2205">
                  <c:v>14/01/2018</c:v>
                </c:pt>
                <c:pt idx="2206">
                  <c:v>15/01/2018</c:v>
                </c:pt>
                <c:pt idx="2207">
                  <c:v>16/01/2018</c:v>
                </c:pt>
                <c:pt idx="2208">
                  <c:v>17/01/2018</c:v>
                </c:pt>
                <c:pt idx="2209">
                  <c:v>18/01/2018</c:v>
                </c:pt>
                <c:pt idx="2210">
                  <c:v>19/01/2018</c:v>
                </c:pt>
                <c:pt idx="2211">
                  <c:v>20/01/2018</c:v>
                </c:pt>
                <c:pt idx="2212">
                  <c:v>21/01/2018</c:v>
                </c:pt>
                <c:pt idx="2213">
                  <c:v>22/01/2018</c:v>
                </c:pt>
                <c:pt idx="2214">
                  <c:v>23/01/2018</c:v>
                </c:pt>
                <c:pt idx="2215">
                  <c:v>24/01/2018</c:v>
                </c:pt>
                <c:pt idx="2216">
                  <c:v>25/01/2018</c:v>
                </c:pt>
                <c:pt idx="2217">
                  <c:v>26/01/2018</c:v>
                </c:pt>
                <c:pt idx="2218">
                  <c:v>27/01/2018</c:v>
                </c:pt>
                <c:pt idx="2219">
                  <c:v>28/01/2018</c:v>
                </c:pt>
                <c:pt idx="2220">
                  <c:v>29/01/2018</c:v>
                </c:pt>
                <c:pt idx="2221">
                  <c:v>30/01/2018</c:v>
                </c:pt>
                <c:pt idx="2222">
                  <c:v>31/01/2018</c:v>
                </c:pt>
                <c:pt idx="2223">
                  <c:v>1/02/2018</c:v>
                </c:pt>
                <c:pt idx="2224">
                  <c:v>2/02/2018</c:v>
                </c:pt>
                <c:pt idx="2225">
                  <c:v>3/02/2018</c:v>
                </c:pt>
                <c:pt idx="2226">
                  <c:v>4/02/2018</c:v>
                </c:pt>
                <c:pt idx="2227">
                  <c:v>5/02/2018</c:v>
                </c:pt>
                <c:pt idx="2228">
                  <c:v>6/02/2018</c:v>
                </c:pt>
                <c:pt idx="2229">
                  <c:v>7/02/2018</c:v>
                </c:pt>
                <c:pt idx="2230">
                  <c:v>8/02/2018</c:v>
                </c:pt>
                <c:pt idx="2231">
                  <c:v>9/02/2018</c:v>
                </c:pt>
                <c:pt idx="2232">
                  <c:v>10/02/2018</c:v>
                </c:pt>
                <c:pt idx="2233">
                  <c:v>11/02/2018</c:v>
                </c:pt>
                <c:pt idx="2234">
                  <c:v>12/02/2018</c:v>
                </c:pt>
                <c:pt idx="2235">
                  <c:v>13/02/2018</c:v>
                </c:pt>
                <c:pt idx="2236">
                  <c:v>14/02/2018</c:v>
                </c:pt>
                <c:pt idx="2237">
                  <c:v>15/02/2018</c:v>
                </c:pt>
                <c:pt idx="2238">
                  <c:v>16/02/2018</c:v>
                </c:pt>
                <c:pt idx="2239">
                  <c:v>17/02/2018</c:v>
                </c:pt>
                <c:pt idx="2240">
                  <c:v>18/02/2018</c:v>
                </c:pt>
                <c:pt idx="2241">
                  <c:v>19/02/2018</c:v>
                </c:pt>
                <c:pt idx="2242">
                  <c:v>20/02/2018</c:v>
                </c:pt>
                <c:pt idx="2243">
                  <c:v>21/02/2018</c:v>
                </c:pt>
                <c:pt idx="2244">
                  <c:v>22/02/2018</c:v>
                </c:pt>
                <c:pt idx="2245">
                  <c:v>23/02/2018</c:v>
                </c:pt>
                <c:pt idx="2246">
                  <c:v>24/02/2018</c:v>
                </c:pt>
                <c:pt idx="2247">
                  <c:v>25/02/2018</c:v>
                </c:pt>
                <c:pt idx="2248">
                  <c:v>26/02/2018</c:v>
                </c:pt>
                <c:pt idx="2249">
                  <c:v>27/02/2018</c:v>
                </c:pt>
                <c:pt idx="2250">
                  <c:v>28/02/2018</c:v>
                </c:pt>
                <c:pt idx="2251">
                  <c:v>1/03/2018</c:v>
                </c:pt>
                <c:pt idx="2252">
                  <c:v>2/03/2018</c:v>
                </c:pt>
                <c:pt idx="2253">
                  <c:v>3/03/2018</c:v>
                </c:pt>
                <c:pt idx="2254">
                  <c:v>4/03/2018</c:v>
                </c:pt>
                <c:pt idx="2255">
                  <c:v>5/03/2018</c:v>
                </c:pt>
                <c:pt idx="2256">
                  <c:v>6/03/2018</c:v>
                </c:pt>
                <c:pt idx="2257">
                  <c:v>7/03/2018</c:v>
                </c:pt>
                <c:pt idx="2258">
                  <c:v>8/03/2018</c:v>
                </c:pt>
                <c:pt idx="2259">
                  <c:v>9/03/2018</c:v>
                </c:pt>
                <c:pt idx="2260">
                  <c:v>10/03/2018</c:v>
                </c:pt>
                <c:pt idx="2261">
                  <c:v>11/03/2018</c:v>
                </c:pt>
                <c:pt idx="2262">
                  <c:v>12/03/2018</c:v>
                </c:pt>
                <c:pt idx="2263">
                  <c:v>13/03/2018</c:v>
                </c:pt>
                <c:pt idx="2264">
                  <c:v>14/03/2018</c:v>
                </c:pt>
                <c:pt idx="2265">
                  <c:v>15/03/2018</c:v>
                </c:pt>
                <c:pt idx="2266">
                  <c:v>16/03/2018</c:v>
                </c:pt>
                <c:pt idx="2267">
                  <c:v>17/03/2018</c:v>
                </c:pt>
                <c:pt idx="2268">
                  <c:v>18/03/2018</c:v>
                </c:pt>
                <c:pt idx="2269">
                  <c:v>19/03/2018</c:v>
                </c:pt>
                <c:pt idx="2270">
                  <c:v>20/03/2018</c:v>
                </c:pt>
                <c:pt idx="2271">
                  <c:v>21/03/2018</c:v>
                </c:pt>
                <c:pt idx="2272">
                  <c:v>22/03/2018</c:v>
                </c:pt>
                <c:pt idx="2273">
                  <c:v>23/03/2018</c:v>
                </c:pt>
                <c:pt idx="2274">
                  <c:v>24/03/2018</c:v>
                </c:pt>
                <c:pt idx="2275">
                  <c:v>25/03/2018</c:v>
                </c:pt>
                <c:pt idx="2276">
                  <c:v>26/03/2018</c:v>
                </c:pt>
                <c:pt idx="2277">
                  <c:v>27/03/2018</c:v>
                </c:pt>
                <c:pt idx="2278">
                  <c:v>28/03/2018</c:v>
                </c:pt>
                <c:pt idx="2279">
                  <c:v>29/03/2018</c:v>
                </c:pt>
                <c:pt idx="2280">
                  <c:v>30/03/2018</c:v>
                </c:pt>
                <c:pt idx="2281">
                  <c:v>31/03/2018</c:v>
                </c:pt>
                <c:pt idx="2282">
                  <c:v>1/04/2018</c:v>
                </c:pt>
                <c:pt idx="2283">
                  <c:v>2/04/2018</c:v>
                </c:pt>
                <c:pt idx="2284">
                  <c:v>3/04/2018</c:v>
                </c:pt>
                <c:pt idx="2285">
                  <c:v>4/04/2018</c:v>
                </c:pt>
                <c:pt idx="2286">
                  <c:v>5/04/2018</c:v>
                </c:pt>
                <c:pt idx="2287">
                  <c:v>6/04/2018</c:v>
                </c:pt>
                <c:pt idx="2288">
                  <c:v>7/04/2018</c:v>
                </c:pt>
                <c:pt idx="2289">
                  <c:v>8/04/2018</c:v>
                </c:pt>
                <c:pt idx="2290">
                  <c:v>9/04/2018</c:v>
                </c:pt>
                <c:pt idx="2291">
                  <c:v>10/04/2018</c:v>
                </c:pt>
                <c:pt idx="2292">
                  <c:v>11/04/2018</c:v>
                </c:pt>
                <c:pt idx="2293">
                  <c:v>12/04/2018</c:v>
                </c:pt>
                <c:pt idx="2294">
                  <c:v>13/04/2018</c:v>
                </c:pt>
                <c:pt idx="2295">
                  <c:v>14/04/2018</c:v>
                </c:pt>
                <c:pt idx="2296">
                  <c:v>15/04/2018</c:v>
                </c:pt>
                <c:pt idx="2297">
                  <c:v>16/04/2018</c:v>
                </c:pt>
                <c:pt idx="2298">
                  <c:v>17/04/2018</c:v>
                </c:pt>
                <c:pt idx="2299">
                  <c:v>18/04/2018</c:v>
                </c:pt>
                <c:pt idx="2300">
                  <c:v>19/04/2018</c:v>
                </c:pt>
                <c:pt idx="2301">
                  <c:v>20/04/2018</c:v>
                </c:pt>
                <c:pt idx="2302">
                  <c:v>21/04/2018</c:v>
                </c:pt>
                <c:pt idx="2303">
                  <c:v>22/04/2018</c:v>
                </c:pt>
                <c:pt idx="2304">
                  <c:v>23/04/2018</c:v>
                </c:pt>
                <c:pt idx="2305">
                  <c:v>24/04/2018</c:v>
                </c:pt>
                <c:pt idx="2306">
                  <c:v>25/04/2018</c:v>
                </c:pt>
                <c:pt idx="2307">
                  <c:v>26/04/2018</c:v>
                </c:pt>
                <c:pt idx="2308">
                  <c:v>27/04/2018</c:v>
                </c:pt>
                <c:pt idx="2309">
                  <c:v>28/04/2018</c:v>
                </c:pt>
                <c:pt idx="2310">
                  <c:v>29/04/2018</c:v>
                </c:pt>
                <c:pt idx="2311">
                  <c:v>30/04/2018</c:v>
                </c:pt>
                <c:pt idx="2312">
                  <c:v>1/05/2018</c:v>
                </c:pt>
                <c:pt idx="2313">
                  <c:v>2/05/2018</c:v>
                </c:pt>
                <c:pt idx="2314">
                  <c:v>3/05/2018</c:v>
                </c:pt>
                <c:pt idx="2315">
                  <c:v>4/05/2018</c:v>
                </c:pt>
                <c:pt idx="2316">
                  <c:v>5/05/2018</c:v>
                </c:pt>
                <c:pt idx="2317">
                  <c:v>6/05/2018</c:v>
                </c:pt>
                <c:pt idx="2318">
                  <c:v>7/05/2018</c:v>
                </c:pt>
                <c:pt idx="2319">
                  <c:v>8/05/2018</c:v>
                </c:pt>
                <c:pt idx="2320">
                  <c:v>9/05/2018</c:v>
                </c:pt>
                <c:pt idx="2321">
                  <c:v>10/05/2018</c:v>
                </c:pt>
                <c:pt idx="2322">
                  <c:v>11/05/2018</c:v>
                </c:pt>
                <c:pt idx="2323">
                  <c:v>12/05/2018</c:v>
                </c:pt>
                <c:pt idx="2324">
                  <c:v>13/05/2018</c:v>
                </c:pt>
                <c:pt idx="2325">
                  <c:v>14/05/2018</c:v>
                </c:pt>
                <c:pt idx="2326">
                  <c:v>15/05/2018</c:v>
                </c:pt>
                <c:pt idx="2327">
                  <c:v>16/05/2018</c:v>
                </c:pt>
                <c:pt idx="2328">
                  <c:v>17/05/2018</c:v>
                </c:pt>
                <c:pt idx="2329">
                  <c:v>18/05/2018</c:v>
                </c:pt>
                <c:pt idx="2330">
                  <c:v>19/05/2018</c:v>
                </c:pt>
                <c:pt idx="2331">
                  <c:v>20/05/2018</c:v>
                </c:pt>
                <c:pt idx="2332">
                  <c:v>21/05/2018</c:v>
                </c:pt>
                <c:pt idx="2333">
                  <c:v>22/05/2018</c:v>
                </c:pt>
                <c:pt idx="2334">
                  <c:v>23/05/2018</c:v>
                </c:pt>
                <c:pt idx="2335">
                  <c:v>24/05/2018</c:v>
                </c:pt>
                <c:pt idx="2336">
                  <c:v>25/05/2018</c:v>
                </c:pt>
                <c:pt idx="2337">
                  <c:v>26/05/2018</c:v>
                </c:pt>
                <c:pt idx="2338">
                  <c:v>27/05/2018</c:v>
                </c:pt>
                <c:pt idx="2339">
                  <c:v>28/05/2018</c:v>
                </c:pt>
                <c:pt idx="2340">
                  <c:v>29/05/2018</c:v>
                </c:pt>
                <c:pt idx="2341">
                  <c:v>30/05/2018</c:v>
                </c:pt>
                <c:pt idx="2342">
                  <c:v>31/05/2018</c:v>
                </c:pt>
                <c:pt idx="2343">
                  <c:v>1/06/2018</c:v>
                </c:pt>
                <c:pt idx="2344">
                  <c:v>2/06/2018</c:v>
                </c:pt>
                <c:pt idx="2345">
                  <c:v>3/06/2018</c:v>
                </c:pt>
                <c:pt idx="2346">
                  <c:v>4/06/2018</c:v>
                </c:pt>
                <c:pt idx="2347">
                  <c:v>5/06/2018</c:v>
                </c:pt>
                <c:pt idx="2348">
                  <c:v>6/06/2018</c:v>
                </c:pt>
                <c:pt idx="2349">
                  <c:v>7/06/2018</c:v>
                </c:pt>
                <c:pt idx="2350">
                  <c:v>8/06/2018</c:v>
                </c:pt>
                <c:pt idx="2351">
                  <c:v>9/06/2018</c:v>
                </c:pt>
                <c:pt idx="2352">
                  <c:v>10/06/2018</c:v>
                </c:pt>
                <c:pt idx="2353">
                  <c:v>11/06/2018</c:v>
                </c:pt>
                <c:pt idx="2354">
                  <c:v>12/06/2018</c:v>
                </c:pt>
                <c:pt idx="2355">
                  <c:v>13/06/2018</c:v>
                </c:pt>
                <c:pt idx="2356">
                  <c:v>14/06/2018</c:v>
                </c:pt>
                <c:pt idx="2357">
                  <c:v>15/06/2018</c:v>
                </c:pt>
                <c:pt idx="2358">
                  <c:v>16/06/2018</c:v>
                </c:pt>
                <c:pt idx="2359">
                  <c:v>17/06/2018</c:v>
                </c:pt>
                <c:pt idx="2360">
                  <c:v>18/06/2018</c:v>
                </c:pt>
                <c:pt idx="2361">
                  <c:v>19/06/2018</c:v>
                </c:pt>
                <c:pt idx="2362">
                  <c:v>20/06/2018</c:v>
                </c:pt>
                <c:pt idx="2363">
                  <c:v>21/06/2018</c:v>
                </c:pt>
                <c:pt idx="2364">
                  <c:v>22/06/2018</c:v>
                </c:pt>
                <c:pt idx="2365">
                  <c:v>23/06/2018</c:v>
                </c:pt>
                <c:pt idx="2366">
                  <c:v>24/06/2018</c:v>
                </c:pt>
                <c:pt idx="2367">
                  <c:v>25/06/2018</c:v>
                </c:pt>
                <c:pt idx="2368">
                  <c:v>26/06/2018</c:v>
                </c:pt>
                <c:pt idx="2369">
                  <c:v>27/06/2018</c:v>
                </c:pt>
                <c:pt idx="2370">
                  <c:v>28/06/2018</c:v>
                </c:pt>
                <c:pt idx="2371">
                  <c:v>29/06/2018</c:v>
                </c:pt>
                <c:pt idx="2372">
                  <c:v>30/06/2018</c:v>
                </c:pt>
                <c:pt idx="2373">
                  <c:v>1/07/2018</c:v>
                </c:pt>
                <c:pt idx="2374">
                  <c:v>2/07/2018</c:v>
                </c:pt>
                <c:pt idx="2375">
                  <c:v>3/07/2018</c:v>
                </c:pt>
                <c:pt idx="2376">
                  <c:v>4/07/2018</c:v>
                </c:pt>
                <c:pt idx="2377">
                  <c:v>5/07/2018</c:v>
                </c:pt>
                <c:pt idx="2378">
                  <c:v>6/07/2018</c:v>
                </c:pt>
                <c:pt idx="2379">
                  <c:v>7/07/2018</c:v>
                </c:pt>
                <c:pt idx="2380">
                  <c:v>8/07/2018</c:v>
                </c:pt>
                <c:pt idx="2381">
                  <c:v>9/07/2018</c:v>
                </c:pt>
                <c:pt idx="2382">
                  <c:v>10/07/2018</c:v>
                </c:pt>
                <c:pt idx="2383">
                  <c:v>11/07/2018</c:v>
                </c:pt>
                <c:pt idx="2384">
                  <c:v>12/07/2018</c:v>
                </c:pt>
                <c:pt idx="2385">
                  <c:v>13/07/2018</c:v>
                </c:pt>
                <c:pt idx="2386">
                  <c:v>14/07/2018</c:v>
                </c:pt>
                <c:pt idx="2387">
                  <c:v>15/07/2018</c:v>
                </c:pt>
                <c:pt idx="2388">
                  <c:v>16/07/2018</c:v>
                </c:pt>
                <c:pt idx="2389">
                  <c:v>17/07/2018</c:v>
                </c:pt>
                <c:pt idx="2390">
                  <c:v>18/07/2018</c:v>
                </c:pt>
                <c:pt idx="2391">
                  <c:v>19/07/2018</c:v>
                </c:pt>
                <c:pt idx="2392">
                  <c:v>20/07/2018</c:v>
                </c:pt>
                <c:pt idx="2393">
                  <c:v>21/07/2018</c:v>
                </c:pt>
                <c:pt idx="2394">
                  <c:v>22/07/2018</c:v>
                </c:pt>
                <c:pt idx="2395">
                  <c:v>23/07/2018</c:v>
                </c:pt>
                <c:pt idx="2396">
                  <c:v>24/07/2018</c:v>
                </c:pt>
                <c:pt idx="2397">
                  <c:v>25/07/2018</c:v>
                </c:pt>
                <c:pt idx="2398">
                  <c:v>26/07/2018</c:v>
                </c:pt>
                <c:pt idx="2399">
                  <c:v>27/07/2018</c:v>
                </c:pt>
                <c:pt idx="2400">
                  <c:v>28/07/2018</c:v>
                </c:pt>
                <c:pt idx="2401">
                  <c:v>29/07/2018</c:v>
                </c:pt>
                <c:pt idx="2402">
                  <c:v>30/07/2018</c:v>
                </c:pt>
                <c:pt idx="2403">
                  <c:v>31/07/2018</c:v>
                </c:pt>
                <c:pt idx="2404">
                  <c:v>1/08/2018</c:v>
                </c:pt>
                <c:pt idx="2405">
                  <c:v>2/08/2018</c:v>
                </c:pt>
                <c:pt idx="2406">
                  <c:v>3/08/2018</c:v>
                </c:pt>
                <c:pt idx="2407">
                  <c:v>4/08/2018</c:v>
                </c:pt>
                <c:pt idx="2408">
                  <c:v>5/08/2018</c:v>
                </c:pt>
                <c:pt idx="2409">
                  <c:v>6/08/2018</c:v>
                </c:pt>
                <c:pt idx="2410">
                  <c:v>7/08/2018</c:v>
                </c:pt>
                <c:pt idx="2411">
                  <c:v>8/08/2018</c:v>
                </c:pt>
                <c:pt idx="2412">
                  <c:v>9/08/2018</c:v>
                </c:pt>
                <c:pt idx="2413">
                  <c:v>10/08/2018</c:v>
                </c:pt>
                <c:pt idx="2414">
                  <c:v>11/08/2018</c:v>
                </c:pt>
                <c:pt idx="2415">
                  <c:v>12/08/2018</c:v>
                </c:pt>
                <c:pt idx="2416">
                  <c:v>13/08/2018</c:v>
                </c:pt>
                <c:pt idx="2417">
                  <c:v>14/08/2018</c:v>
                </c:pt>
                <c:pt idx="2418">
                  <c:v>15/08/2018</c:v>
                </c:pt>
                <c:pt idx="2419">
                  <c:v>16/08/2018</c:v>
                </c:pt>
                <c:pt idx="2420">
                  <c:v>17/08/2018</c:v>
                </c:pt>
                <c:pt idx="2421">
                  <c:v>18/08/2018</c:v>
                </c:pt>
                <c:pt idx="2422">
                  <c:v>19/08/2018</c:v>
                </c:pt>
                <c:pt idx="2423">
                  <c:v>20/08/2018</c:v>
                </c:pt>
                <c:pt idx="2424">
                  <c:v>21/08/2018</c:v>
                </c:pt>
                <c:pt idx="2425">
                  <c:v>22/08/2018</c:v>
                </c:pt>
                <c:pt idx="2426">
                  <c:v>23/08/2018</c:v>
                </c:pt>
                <c:pt idx="2427">
                  <c:v>24/08/2018</c:v>
                </c:pt>
                <c:pt idx="2428">
                  <c:v>25/08/2018</c:v>
                </c:pt>
                <c:pt idx="2429">
                  <c:v>26/08/2018</c:v>
                </c:pt>
                <c:pt idx="2430">
                  <c:v>27/08/2018</c:v>
                </c:pt>
                <c:pt idx="2431">
                  <c:v>28/08/2018</c:v>
                </c:pt>
                <c:pt idx="2432">
                  <c:v>29/08/2018</c:v>
                </c:pt>
                <c:pt idx="2433">
                  <c:v>30/08/2018</c:v>
                </c:pt>
                <c:pt idx="2434">
                  <c:v>31/08/2018</c:v>
                </c:pt>
                <c:pt idx="2435">
                  <c:v>1/09/2018</c:v>
                </c:pt>
                <c:pt idx="2436">
                  <c:v>2/09/2018</c:v>
                </c:pt>
                <c:pt idx="2437">
                  <c:v>3/09/2018</c:v>
                </c:pt>
                <c:pt idx="2438">
                  <c:v>4/09/2018</c:v>
                </c:pt>
                <c:pt idx="2439">
                  <c:v>5/09/2018</c:v>
                </c:pt>
                <c:pt idx="2440">
                  <c:v>6/09/2018</c:v>
                </c:pt>
                <c:pt idx="2441">
                  <c:v>7/09/2018</c:v>
                </c:pt>
                <c:pt idx="2442">
                  <c:v>8/09/2018</c:v>
                </c:pt>
                <c:pt idx="2443">
                  <c:v>9/09/2018</c:v>
                </c:pt>
                <c:pt idx="2444">
                  <c:v>10/09/2018</c:v>
                </c:pt>
                <c:pt idx="2445">
                  <c:v>11/09/2018</c:v>
                </c:pt>
                <c:pt idx="2446">
                  <c:v>12/09/2018</c:v>
                </c:pt>
                <c:pt idx="2447">
                  <c:v>13/09/2018</c:v>
                </c:pt>
                <c:pt idx="2448">
                  <c:v>14/09/2018</c:v>
                </c:pt>
                <c:pt idx="2449">
                  <c:v>15/09/2018</c:v>
                </c:pt>
                <c:pt idx="2450">
                  <c:v>16/09/2018</c:v>
                </c:pt>
                <c:pt idx="2451">
                  <c:v>17/09/2018</c:v>
                </c:pt>
                <c:pt idx="2452">
                  <c:v>18/09/2018</c:v>
                </c:pt>
                <c:pt idx="2453">
                  <c:v>19/09/2018</c:v>
                </c:pt>
                <c:pt idx="2454">
                  <c:v>20/09/2018</c:v>
                </c:pt>
                <c:pt idx="2455">
                  <c:v>21/09/2018</c:v>
                </c:pt>
                <c:pt idx="2456">
                  <c:v>22/09/2018</c:v>
                </c:pt>
                <c:pt idx="2457">
                  <c:v>23/09/2018</c:v>
                </c:pt>
                <c:pt idx="2458">
                  <c:v>24/09/2018</c:v>
                </c:pt>
                <c:pt idx="2459">
                  <c:v>25/09/2018</c:v>
                </c:pt>
                <c:pt idx="2460">
                  <c:v>26/09/2018</c:v>
                </c:pt>
                <c:pt idx="2461">
                  <c:v>27/09/2018</c:v>
                </c:pt>
                <c:pt idx="2462">
                  <c:v>28/09/2018</c:v>
                </c:pt>
                <c:pt idx="2463">
                  <c:v>29/09/2018</c:v>
                </c:pt>
                <c:pt idx="2464">
                  <c:v>30/09/2018</c:v>
                </c:pt>
                <c:pt idx="2465">
                  <c:v>1/10/2018</c:v>
                </c:pt>
                <c:pt idx="2466">
                  <c:v>2/10/2018</c:v>
                </c:pt>
                <c:pt idx="2467">
                  <c:v>3/10/2018</c:v>
                </c:pt>
                <c:pt idx="2468">
                  <c:v>4/10/2018</c:v>
                </c:pt>
                <c:pt idx="2469">
                  <c:v>5/10/2018</c:v>
                </c:pt>
                <c:pt idx="2470">
                  <c:v>6/10/2018</c:v>
                </c:pt>
                <c:pt idx="2471">
                  <c:v>7/10/2018</c:v>
                </c:pt>
                <c:pt idx="2472">
                  <c:v>8/10/2018</c:v>
                </c:pt>
                <c:pt idx="2473">
                  <c:v>9/10/2018</c:v>
                </c:pt>
                <c:pt idx="2474">
                  <c:v>10/10/2018</c:v>
                </c:pt>
                <c:pt idx="2475">
                  <c:v>11/10/2018</c:v>
                </c:pt>
                <c:pt idx="2476">
                  <c:v>12/10/2018</c:v>
                </c:pt>
                <c:pt idx="2477">
                  <c:v>13/10/2018</c:v>
                </c:pt>
                <c:pt idx="2478">
                  <c:v>14/10/2018</c:v>
                </c:pt>
                <c:pt idx="2479">
                  <c:v>15/10/2018</c:v>
                </c:pt>
                <c:pt idx="2480">
                  <c:v>16/10/2018</c:v>
                </c:pt>
                <c:pt idx="2481">
                  <c:v>17/10/2018</c:v>
                </c:pt>
                <c:pt idx="2482">
                  <c:v>18/10/2018</c:v>
                </c:pt>
                <c:pt idx="2483">
                  <c:v>19/10/2018</c:v>
                </c:pt>
                <c:pt idx="2484">
                  <c:v>20/10/2018</c:v>
                </c:pt>
                <c:pt idx="2485">
                  <c:v>21/10/2018</c:v>
                </c:pt>
                <c:pt idx="2486">
                  <c:v>22/10/2018</c:v>
                </c:pt>
                <c:pt idx="2487">
                  <c:v>23/10/2018</c:v>
                </c:pt>
                <c:pt idx="2488">
                  <c:v>24/10/2018</c:v>
                </c:pt>
                <c:pt idx="2489">
                  <c:v>25/10/2018</c:v>
                </c:pt>
                <c:pt idx="2490">
                  <c:v>26/10/2018</c:v>
                </c:pt>
                <c:pt idx="2491">
                  <c:v>27/10/2018</c:v>
                </c:pt>
                <c:pt idx="2492">
                  <c:v>28/10/2018</c:v>
                </c:pt>
                <c:pt idx="2493">
                  <c:v>29/10/2018</c:v>
                </c:pt>
                <c:pt idx="2494">
                  <c:v>30/10/2018</c:v>
                </c:pt>
                <c:pt idx="2495">
                  <c:v>31/10/2018</c:v>
                </c:pt>
                <c:pt idx="2496">
                  <c:v>1/11/2018</c:v>
                </c:pt>
                <c:pt idx="2497">
                  <c:v>2/11/2018</c:v>
                </c:pt>
                <c:pt idx="2498">
                  <c:v>3/11/2018</c:v>
                </c:pt>
                <c:pt idx="2499">
                  <c:v>4/11/2018</c:v>
                </c:pt>
                <c:pt idx="2500">
                  <c:v>5/11/2018</c:v>
                </c:pt>
                <c:pt idx="2501">
                  <c:v>6/11/2018</c:v>
                </c:pt>
                <c:pt idx="2502">
                  <c:v>7/11/2018</c:v>
                </c:pt>
                <c:pt idx="2503">
                  <c:v>8/11/2018</c:v>
                </c:pt>
                <c:pt idx="2504">
                  <c:v>9/11/2018</c:v>
                </c:pt>
                <c:pt idx="2505">
                  <c:v>10/11/2018</c:v>
                </c:pt>
                <c:pt idx="2506">
                  <c:v>11/11/2018</c:v>
                </c:pt>
                <c:pt idx="2507">
                  <c:v>12/11/2018</c:v>
                </c:pt>
                <c:pt idx="2508">
                  <c:v>13/11/2018</c:v>
                </c:pt>
                <c:pt idx="2509">
                  <c:v>14/11/2018</c:v>
                </c:pt>
                <c:pt idx="2510">
                  <c:v>15/11/2018</c:v>
                </c:pt>
                <c:pt idx="2511">
                  <c:v>16/11/2018</c:v>
                </c:pt>
                <c:pt idx="2512">
                  <c:v>17/11/2018</c:v>
                </c:pt>
                <c:pt idx="2513">
                  <c:v>18/11/2018</c:v>
                </c:pt>
                <c:pt idx="2514">
                  <c:v>19/11/2018</c:v>
                </c:pt>
                <c:pt idx="2515">
                  <c:v>20/11/2018</c:v>
                </c:pt>
                <c:pt idx="2516">
                  <c:v>21/11/2018</c:v>
                </c:pt>
                <c:pt idx="2517">
                  <c:v>22/11/2018</c:v>
                </c:pt>
                <c:pt idx="2518">
                  <c:v>23/11/2018</c:v>
                </c:pt>
                <c:pt idx="2519">
                  <c:v>24/11/2018</c:v>
                </c:pt>
                <c:pt idx="2520">
                  <c:v>25/11/2018</c:v>
                </c:pt>
                <c:pt idx="2521">
                  <c:v>26/11/2018</c:v>
                </c:pt>
                <c:pt idx="2522">
                  <c:v>27/11/2018</c:v>
                </c:pt>
                <c:pt idx="2523">
                  <c:v>28/11/2018</c:v>
                </c:pt>
                <c:pt idx="2524">
                  <c:v>29/11/2018</c:v>
                </c:pt>
                <c:pt idx="2525">
                  <c:v>30/11/2018</c:v>
                </c:pt>
                <c:pt idx="2526">
                  <c:v>1/12/2018</c:v>
                </c:pt>
                <c:pt idx="2527">
                  <c:v>2/12/2018</c:v>
                </c:pt>
                <c:pt idx="2528">
                  <c:v>3/12/2018</c:v>
                </c:pt>
                <c:pt idx="2529">
                  <c:v>4/12/2018</c:v>
                </c:pt>
                <c:pt idx="2530">
                  <c:v>5/12/2018</c:v>
                </c:pt>
                <c:pt idx="2531">
                  <c:v>6/12/2018</c:v>
                </c:pt>
                <c:pt idx="2532">
                  <c:v>7/12/2018</c:v>
                </c:pt>
                <c:pt idx="2533">
                  <c:v>8/12/2018</c:v>
                </c:pt>
                <c:pt idx="2534">
                  <c:v>9/12/2018</c:v>
                </c:pt>
                <c:pt idx="2535">
                  <c:v>10/12/2018</c:v>
                </c:pt>
                <c:pt idx="2536">
                  <c:v>11/12/2018</c:v>
                </c:pt>
                <c:pt idx="2537">
                  <c:v>12/12/2018</c:v>
                </c:pt>
                <c:pt idx="2538">
                  <c:v>13/12/2018</c:v>
                </c:pt>
                <c:pt idx="2539">
                  <c:v>14/12/2018</c:v>
                </c:pt>
                <c:pt idx="2540">
                  <c:v>15/12/2018</c:v>
                </c:pt>
                <c:pt idx="2541">
                  <c:v>16/12/2018</c:v>
                </c:pt>
                <c:pt idx="2542">
                  <c:v>17/12/2018</c:v>
                </c:pt>
                <c:pt idx="2543">
                  <c:v>18/12/2018</c:v>
                </c:pt>
                <c:pt idx="2544">
                  <c:v>19/12/2018</c:v>
                </c:pt>
                <c:pt idx="2545">
                  <c:v>20/12/2018</c:v>
                </c:pt>
                <c:pt idx="2546">
                  <c:v>21/12/2018</c:v>
                </c:pt>
                <c:pt idx="2547">
                  <c:v>22/12/2018</c:v>
                </c:pt>
                <c:pt idx="2548">
                  <c:v>23/12/2018</c:v>
                </c:pt>
                <c:pt idx="2549">
                  <c:v>24/12/2018</c:v>
                </c:pt>
                <c:pt idx="2550">
                  <c:v>25/12/2018</c:v>
                </c:pt>
                <c:pt idx="2551">
                  <c:v>26/12/2018</c:v>
                </c:pt>
                <c:pt idx="2552">
                  <c:v>27/12/2018</c:v>
                </c:pt>
                <c:pt idx="2553">
                  <c:v>28/12/2018</c:v>
                </c:pt>
                <c:pt idx="2554">
                  <c:v>29/12/2018</c:v>
                </c:pt>
                <c:pt idx="2555">
                  <c:v>30/12/2018</c:v>
                </c:pt>
                <c:pt idx="2556">
                  <c:v>31/12/2018</c:v>
                </c:pt>
              </c:strCache>
            </c:strRef>
          </c:cat>
          <c:val>
            <c:numRef>
              <c:f>TRM!$I$4:$I$2561</c:f>
              <c:numCache>
                <c:formatCode>General</c:formatCode>
                <c:ptCount val="2557"/>
                <c:pt idx="0">
                  <c:v>1942.7</c:v>
                </c:pt>
                <c:pt idx="1">
                  <c:v>1942.7</c:v>
                </c:pt>
                <c:pt idx="2">
                  <c:v>1942.7</c:v>
                </c:pt>
                <c:pt idx="3">
                  <c:v>1915.02</c:v>
                </c:pt>
                <c:pt idx="4">
                  <c:v>1898.24</c:v>
                </c:pt>
                <c:pt idx="5">
                  <c:v>1884.44</c:v>
                </c:pt>
                <c:pt idx="6">
                  <c:v>1884.47</c:v>
                </c:pt>
                <c:pt idx="7">
                  <c:v>1884.47</c:v>
                </c:pt>
                <c:pt idx="8">
                  <c:v>1884.47</c:v>
                </c:pt>
                <c:pt idx="9">
                  <c:v>1884.47</c:v>
                </c:pt>
                <c:pt idx="10">
                  <c:v>1865.07</c:v>
                </c:pt>
                <c:pt idx="11">
                  <c:v>1854.17</c:v>
                </c:pt>
                <c:pt idx="12">
                  <c:v>1842.47</c:v>
                </c:pt>
                <c:pt idx="13">
                  <c:v>1841.31</c:v>
                </c:pt>
                <c:pt idx="14">
                  <c:v>1841.31</c:v>
                </c:pt>
                <c:pt idx="15">
                  <c:v>1841.31</c:v>
                </c:pt>
                <c:pt idx="16">
                  <c:v>1841.31</c:v>
                </c:pt>
                <c:pt idx="17">
                  <c:v>1836.34</c:v>
                </c:pt>
                <c:pt idx="18">
                  <c:v>1827.24</c:v>
                </c:pt>
                <c:pt idx="19">
                  <c:v>1821.86</c:v>
                </c:pt>
                <c:pt idx="20">
                  <c:v>1828.75</c:v>
                </c:pt>
                <c:pt idx="21">
                  <c:v>1828.75</c:v>
                </c:pt>
                <c:pt idx="22">
                  <c:v>1828.75</c:v>
                </c:pt>
                <c:pt idx="23">
                  <c:v>1811.55</c:v>
                </c:pt>
                <c:pt idx="24">
                  <c:v>1814.58</c:v>
                </c:pt>
                <c:pt idx="25">
                  <c:v>1814.69</c:v>
                </c:pt>
                <c:pt idx="26">
                  <c:v>1801.88</c:v>
                </c:pt>
                <c:pt idx="27">
                  <c:v>1810.55</c:v>
                </c:pt>
                <c:pt idx="28">
                  <c:v>1810.55</c:v>
                </c:pt>
                <c:pt idx="29">
                  <c:v>1810.55</c:v>
                </c:pt>
                <c:pt idx="30">
                  <c:v>1815.08</c:v>
                </c:pt>
                <c:pt idx="31">
                  <c:v>1805.98</c:v>
                </c:pt>
                <c:pt idx="32">
                  <c:v>1797.68</c:v>
                </c:pt>
                <c:pt idx="33">
                  <c:v>1795.55</c:v>
                </c:pt>
                <c:pt idx="34">
                  <c:v>1784.77</c:v>
                </c:pt>
                <c:pt idx="35">
                  <c:v>1784.77</c:v>
                </c:pt>
                <c:pt idx="36">
                  <c:v>1784.77</c:v>
                </c:pt>
                <c:pt idx="37">
                  <c:v>1787.96</c:v>
                </c:pt>
                <c:pt idx="38">
                  <c:v>1783.34</c:v>
                </c:pt>
                <c:pt idx="39">
                  <c:v>1778.9</c:v>
                </c:pt>
                <c:pt idx="40">
                  <c:v>1774.96</c:v>
                </c:pt>
                <c:pt idx="41">
                  <c:v>1785.59</c:v>
                </c:pt>
                <c:pt idx="42">
                  <c:v>1785.59</c:v>
                </c:pt>
                <c:pt idx="43">
                  <c:v>1785.59</c:v>
                </c:pt>
                <c:pt idx="44">
                  <c:v>1778.12</c:v>
                </c:pt>
                <c:pt idx="45">
                  <c:v>1785.24</c:v>
                </c:pt>
                <c:pt idx="46">
                  <c:v>1791.29</c:v>
                </c:pt>
                <c:pt idx="47">
                  <c:v>1792.92</c:v>
                </c:pt>
                <c:pt idx="48">
                  <c:v>1779.81</c:v>
                </c:pt>
                <c:pt idx="49">
                  <c:v>1779.81</c:v>
                </c:pt>
                <c:pt idx="50">
                  <c:v>1779.81</c:v>
                </c:pt>
                <c:pt idx="51">
                  <c:v>1779.81</c:v>
                </c:pt>
                <c:pt idx="52">
                  <c:v>1777.59</c:v>
                </c:pt>
                <c:pt idx="53">
                  <c:v>1781.57</c:v>
                </c:pt>
                <c:pt idx="54">
                  <c:v>1776.11</c:v>
                </c:pt>
                <c:pt idx="55">
                  <c:v>1772.42</c:v>
                </c:pt>
                <c:pt idx="56">
                  <c:v>1772.42</c:v>
                </c:pt>
                <c:pt idx="57">
                  <c:v>1772.42</c:v>
                </c:pt>
                <c:pt idx="58">
                  <c:v>1777.27</c:v>
                </c:pt>
                <c:pt idx="59">
                  <c:v>1767.83</c:v>
                </c:pt>
                <c:pt idx="60">
                  <c:v>1766.85</c:v>
                </c:pt>
                <c:pt idx="61">
                  <c:v>1770.7</c:v>
                </c:pt>
                <c:pt idx="62">
                  <c:v>1775.69</c:v>
                </c:pt>
                <c:pt idx="63">
                  <c:v>1775.69</c:v>
                </c:pt>
                <c:pt idx="64">
                  <c:v>1775.69</c:v>
                </c:pt>
                <c:pt idx="65">
                  <c:v>1774.03</c:v>
                </c:pt>
                <c:pt idx="66">
                  <c:v>1779.32</c:v>
                </c:pt>
                <c:pt idx="67">
                  <c:v>1773.88</c:v>
                </c:pt>
                <c:pt idx="68">
                  <c:v>1765.06</c:v>
                </c:pt>
                <c:pt idx="69">
                  <c:v>1762.08</c:v>
                </c:pt>
                <c:pt idx="70">
                  <c:v>1762.08</c:v>
                </c:pt>
                <c:pt idx="71">
                  <c:v>1762.08</c:v>
                </c:pt>
                <c:pt idx="72">
                  <c:v>1766.1</c:v>
                </c:pt>
                <c:pt idx="73">
                  <c:v>1760.77</c:v>
                </c:pt>
                <c:pt idx="74">
                  <c:v>1761.04</c:v>
                </c:pt>
                <c:pt idx="75">
                  <c:v>1761.02</c:v>
                </c:pt>
                <c:pt idx="76">
                  <c:v>1758.38</c:v>
                </c:pt>
                <c:pt idx="77">
                  <c:v>1758.38</c:v>
                </c:pt>
                <c:pt idx="78">
                  <c:v>1758.38</c:v>
                </c:pt>
                <c:pt idx="79">
                  <c:v>1758.38</c:v>
                </c:pt>
                <c:pt idx="80">
                  <c:v>1759.78</c:v>
                </c:pt>
                <c:pt idx="81">
                  <c:v>1758.03</c:v>
                </c:pt>
                <c:pt idx="82">
                  <c:v>1761.87</c:v>
                </c:pt>
                <c:pt idx="83">
                  <c:v>1760.17</c:v>
                </c:pt>
                <c:pt idx="84">
                  <c:v>1760.17</c:v>
                </c:pt>
                <c:pt idx="85">
                  <c:v>1760.17</c:v>
                </c:pt>
                <c:pt idx="86">
                  <c:v>1759.58</c:v>
                </c:pt>
                <c:pt idx="87">
                  <c:v>1762.93</c:v>
                </c:pt>
                <c:pt idx="88">
                  <c:v>1771.25</c:v>
                </c:pt>
                <c:pt idx="89">
                  <c:v>1784.66</c:v>
                </c:pt>
                <c:pt idx="90">
                  <c:v>1792.07</c:v>
                </c:pt>
                <c:pt idx="91">
                  <c:v>1792.07</c:v>
                </c:pt>
                <c:pt idx="92">
                  <c:v>1792.07</c:v>
                </c:pt>
                <c:pt idx="93">
                  <c:v>1779.13</c:v>
                </c:pt>
                <c:pt idx="94">
                  <c:v>1767.84</c:v>
                </c:pt>
                <c:pt idx="95">
                  <c:v>1772.58</c:v>
                </c:pt>
                <c:pt idx="96">
                  <c:v>1772.58</c:v>
                </c:pt>
                <c:pt idx="97">
                  <c:v>1772.58</c:v>
                </c:pt>
                <c:pt idx="98">
                  <c:v>1772.58</c:v>
                </c:pt>
                <c:pt idx="99">
                  <c:v>1772.58</c:v>
                </c:pt>
                <c:pt idx="100">
                  <c:v>1779.53</c:v>
                </c:pt>
                <c:pt idx="101">
                  <c:v>1793.3</c:v>
                </c:pt>
                <c:pt idx="102">
                  <c:v>1787.66</c:v>
                </c:pt>
                <c:pt idx="103">
                  <c:v>1778.78</c:v>
                </c:pt>
                <c:pt idx="104">
                  <c:v>1777.12</c:v>
                </c:pt>
                <c:pt idx="105">
                  <c:v>1777.12</c:v>
                </c:pt>
                <c:pt idx="106">
                  <c:v>1777.12</c:v>
                </c:pt>
                <c:pt idx="107">
                  <c:v>1775.67</c:v>
                </c:pt>
                <c:pt idx="108">
                  <c:v>1769.07</c:v>
                </c:pt>
                <c:pt idx="109">
                  <c:v>1774.21</c:v>
                </c:pt>
                <c:pt idx="110">
                  <c:v>1776.06</c:v>
                </c:pt>
                <c:pt idx="111">
                  <c:v>1771.13</c:v>
                </c:pt>
                <c:pt idx="112">
                  <c:v>1771.13</c:v>
                </c:pt>
                <c:pt idx="113">
                  <c:v>1771.13</c:v>
                </c:pt>
                <c:pt idx="114">
                  <c:v>1774.44</c:v>
                </c:pt>
                <c:pt idx="115">
                  <c:v>1767.91</c:v>
                </c:pt>
                <c:pt idx="116">
                  <c:v>1763.85</c:v>
                </c:pt>
                <c:pt idx="117">
                  <c:v>1764.63</c:v>
                </c:pt>
                <c:pt idx="118">
                  <c:v>1761.2</c:v>
                </c:pt>
                <c:pt idx="119">
                  <c:v>1761.2</c:v>
                </c:pt>
                <c:pt idx="120">
                  <c:v>1761.2</c:v>
                </c:pt>
                <c:pt idx="121">
                  <c:v>1764</c:v>
                </c:pt>
                <c:pt idx="122">
                  <c:v>1764</c:v>
                </c:pt>
                <c:pt idx="123">
                  <c:v>1760.12</c:v>
                </c:pt>
                <c:pt idx="124">
                  <c:v>1754.89</c:v>
                </c:pt>
                <c:pt idx="125">
                  <c:v>1757.24</c:v>
                </c:pt>
                <c:pt idx="126">
                  <c:v>1757.24</c:v>
                </c:pt>
                <c:pt idx="127">
                  <c:v>1757.24</c:v>
                </c:pt>
                <c:pt idx="128">
                  <c:v>1759.12</c:v>
                </c:pt>
                <c:pt idx="129">
                  <c:v>1760.6</c:v>
                </c:pt>
                <c:pt idx="130">
                  <c:v>1775.96</c:v>
                </c:pt>
                <c:pt idx="131">
                  <c:v>1765</c:v>
                </c:pt>
                <c:pt idx="132">
                  <c:v>1764.69</c:v>
                </c:pt>
                <c:pt idx="133">
                  <c:v>1764.69</c:v>
                </c:pt>
                <c:pt idx="134">
                  <c:v>1764.69</c:v>
                </c:pt>
                <c:pt idx="135">
                  <c:v>1771.6</c:v>
                </c:pt>
                <c:pt idx="136">
                  <c:v>1778.37</c:v>
                </c:pt>
                <c:pt idx="137">
                  <c:v>1793.61</c:v>
                </c:pt>
                <c:pt idx="138">
                  <c:v>1804.92</c:v>
                </c:pt>
                <c:pt idx="139">
                  <c:v>1814.46</c:v>
                </c:pt>
                <c:pt idx="140">
                  <c:v>1814.46</c:v>
                </c:pt>
                <c:pt idx="141">
                  <c:v>1814.46</c:v>
                </c:pt>
                <c:pt idx="142">
                  <c:v>1814.46</c:v>
                </c:pt>
                <c:pt idx="143">
                  <c:v>1824.73</c:v>
                </c:pt>
                <c:pt idx="144">
                  <c:v>1845.17</c:v>
                </c:pt>
                <c:pt idx="145">
                  <c:v>1836.45</c:v>
                </c:pt>
                <c:pt idx="146">
                  <c:v>1840.69</c:v>
                </c:pt>
                <c:pt idx="147">
                  <c:v>1840.69</c:v>
                </c:pt>
                <c:pt idx="148">
                  <c:v>1840.69</c:v>
                </c:pt>
                <c:pt idx="149">
                  <c:v>1840.69</c:v>
                </c:pt>
                <c:pt idx="150">
                  <c:v>1818.82</c:v>
                </c:pt>
                <c:pt idx="151">
                  <c:v>1827.83</c:v>
                </c:pt>
                <c:pt idx="152">
                  <c:v>1833.8</c:v>
                </c:pt>
                <c:pt idx="153">
                  <c:v>1834.71</c:v>
                </c:pt>
                <c:pt idx="154">
                  <c:v>1834.71</c:v>
                </c:pt>
                <c:pt idx="155">
                  <c:v>1834.71</c:v>
                </c:pt>
                <c:pt idx="156">
                  <c:v>1815.54</c:v>
                </c:pt>
                <c:pt idx="157">
                  <c:v>1798.85</c:v>
                </c:pt>
                <c:pt idx="158">
                  <c:v>1782.89</c:v>
                </c:pt>
                <c:pt idx="159">
                  <c:v>1766.91</c:v>
                </c:pt>
                <c:pt idx="160">
                  <c:v>1776.26</c:v>
                </c:pt>
                <c:pt idx="161">
                  <c:v>1776.26</c:v>
                </c:pt>
                <c:pt idx="162">
                  <c:v>1776.26</c:v>
                </c:pt>
                <c:pt idx="163">
                  <c:v>1776.26</c:v>
                </c:pt>
                <c:pt idx="164">
                  <c:v>1776.47</c:v>
                </c:pt>
                <c:pt idx="165">
                  <c:v>1783.45</c:v>
                </c:pt>
                <c:pt idx="166">
                  <c:v>1787.63</c:v>
                </c:pt>
                <c:pt idx="167">
                  <c:v>1786.21</c:v>
                </c:pt>
                <c:pt idx="168">
                  <c:v>1786.21</c:v>
                </c:pt>
                <c:pt idx="169">
                  <c:v>1786.21</c:v>
                </c:pt>
                <c:pt idx="170">
                  <c:v>1786.21</c:v>
                </c:pt>
                <c:pt idx="171">
                  <c:v>1773.18</c:v>
                </c:pt>
                <c:pt idx="172">
                  <c:v>1770.38</c:v>
                </c:pt>
                <c:pt idx="173">
                  <c:v>1775.99</c:v>
                </c:pt>
                <c:pt idx="174">
                  <c:v>1787.47</c:v>
                </c:pt>
                <c:pt idx="175">
                  <c:v>1787.47</c:v>
                </c:pt>
                <c:pt idx="176">
                  <c:v>1787.47</c:v>
                </c:pt>
                <c:pt idx="177">
                  <c:v>1803.37</c:v>
                </c:pt>
                <c:pt idx="178">
                  <c:v>1805.14</c:v>
                </c:pt>
                <c:pt idx="179">
                  <c:v>1796.18</c:v>
                </c:pt>
                <c:pt idx="180">
                  <c:v>1805.6</c:v>
                </c:pt>
                <c:pt idx="181">
                  <c:v>1784.6</c:v>
                </c:pt>
                <c:pt idx="182">
                  <c:v>1784.6</c:v>
                </c:pt>
                <c:pt idx="183">
                  <c:v>1784.6</c:v>
                </c:pt>
                <c:pt idx="184">
                  <c:v>1784.6</c:v>
                </c:pt>
                <c:pt idx="185">
                  <c:v>1771.53</c:v>
                </c:pt>
                <c:pt idx="186">
                  <c:v>1771.53</c:v>
                </c:pt>
                <c:pt idx="187">
                  <c:v>1774.37</c:v>
                </c:pt>
                <c:pt idx="188">
                  <c:v>1785.25</c:v>
                </c:pt>
                <c:pt idx="189">
                  <c:v>1785.25</c:v>
                </c:pt>
                <c:pt idx="190">
                  <c:v>1785.25</c:v>
                </c:pt>
                <c:pt idx="191">
                  <c:v>1790.25</c:v>
                </c:pt>
                <c:pt idx="192">
                  <c:v>1785.06</c:v>
                </c:pt>
                <c:pt idx="193">
                  <c:v>1787.72</c:v>
                </c:pt>
                <c:pt idx="194">
                  <c:v>1790.12</c:v>
                </c:pt>
                <c:pt idx="195">
                  <c:v>1780.21</c:v>
                </c:pt>
                <c:pt idx="196">
                  <c:v>1780.21</c:v>
                </c:pt>
                <c:pt idx="197">
                  <c:v>1780.21</c:v>
                </c:pt>
                <c:pt idx="198">
                  <c:v>1778.42</c:v>
                </c:pt>
                <c:pt idx="199">
                  <c:v>1778.97</c:v>
                </c:pt>
                <c:pt idx="200">
                  <c:v>1778.28</c:v>
                </c:pt>
                <c:pt idx="201">
                  <c:v>1775.8</c:v>
                </c:pt>
                <c:pt idx="202">
                  <c:v>1775.8</c:v>
                </c:pt>
                <c:pt idx="203">
                  <c:v>1775.8</c:v>
                </c:pt>
                <c:pt idx="204">
                  <c:v>1775.8</c:v>
                </c:pt>
                <c:pt idx="205">
                  <c:v>1790.39</c:v>
                </c:pt>
                <c:pt idx="206">
                  <c:v>1797.33</c:v>
                </c:pt>
                <c:pt idx="207">
                  <c:v>1799.48</c:v>
                </c:pt>
                <c:pt idx="208">
                  <c:v>1789.22</c:v>
                </c:pt>
                <c:pt idx="209">
                  <c:v>1791.12</c:v>
                </c:pt>
                <c:pt idx="210">
                  <c:v>1791.12</c:v>
                </c:pt>
                <c:pt idx="211">
                  <c:v>1791.12</c:v>
                </c:pt>
                <c:pt idx="212">
                  <c:v>1789.02</c:v>
                </c:pt>
                <c:pt idx="213">
                  <c:v>1790.74</c:v>
                </c:pt>
                <c:pt idx="214">
                  <c:v>1787.51</c:v>
                </c:pt>
                <c:pt idx="215">
                  <c:v>1790.97</c:v>
                </c:pt>
                <c:pt idx="216">
                  <c:v>1786.06</c:v>
                </c:pt>
                <c:pt idx="217">
                  <c:v>1786.06</c:v>
                </c:pt>
                <c:pt idx="218">
                  <c:v>1786.06</c:v>
                </c:pt>
                <c:pt idx="219">
                  <c:v>1785.29</c:v>
                </c:pt>
                <c:pt idx="220">
                  <c:v>1785.29</c:v>
                </c:pt>
                <c:pt idx="221">
                  <c:v>1788.03</c:v>
                </c:pt>
                <c:pt idx="222">
                  <c:v>1788.08</c:v>
                </c:pt>
                <c:pt idx="223">
                  <c:v>1791.61</c:v>
                </c:pt>
                <c:pt idx="224">
                  <c:v>1791.61</c:v>
                </c:pt>
                <c:pt idx="225">
                  <c:v>1791.61</c:v>
                </c:pt>
                <c:pt idx="226">
                  <c:v>1792.86</c:v>
                </c:pt>
                <c:pt idx="227">
                  <c:v>1800.81</c:v>
                </c:pt>
                <c:pt idx="228">
                  <c:v>1817.18</c:v>
                </c:pt>
                <c:pt idx="229">
                  <c:v>1825.52</c:v>
                </c:pt>
                <c:pt idx="230">
                  <c:v>1822.59</c:v>
                </c:pt>
                <c:pt idx="231">
                  <c:v>1822.59</c:v>
                </c:pt>
                <c:pt idx="232">
                  <c:v>1822.59</c:v>
                </c:pt>
                <c:pt idx="233">
                  <c:v>1822.59</c:v>
                </c:pt>
                <c:pt idx="234">
                  <c:v>1815.8</c:v>
                </c:pt>
                <c:pt idx="235">
                  <c:v>1812.88</c:v>
                </c:pt>
                <c:pt idx="236">
                  <c:v>1808.33</c:v>
                </c:pt>
                <c:pt idx="237">
                  <c:v>1814.83</c:v>
                </c:pt>
                <c:pt idx="238">
                  <c:v>1814.83</c:v>
                </c:pt>
                <c:pt idx="239">
                  <c:v>1814.83</c:v>
                </c:pt>
                <c:pt idx="240">
                  <c:v>1821.44</c:v>
                </c:pt>
                <c:pt idx="241">
                  <c:v>1828.99</c:v>
                </c:pt>
                <c:pt idx="242">
                  <c:v>1833.14</c:v>
                </c:pt>
                <c:pt idx="243">
                  <c:v>1830.5</c:v>
                </c:pt>
                <c:pt idx="244">
                  <c:v>1825.21</c:v>
                </c:pt>
                <c:pt idx="245">
                  <c:v>1825.21</c:v>
                </c:pt>
                <c:pt idx="246">
                  <c:v>1825.21</c:v>
                </c:pt>
                <c:pt idx="247">
                  <c:v>1825.21</c:v>
                </c:pt>
                <c:pt idx="248">
                  <c:v>1824.81</c:v>
                </c:pt>
                <c:pt idx="249">
                  <c:v>1814.06</c:v>
                </c:pt>
                <c:pt idx="250">
                  <c:v>1804.09</c:v>
                </c:pt>
                <c:pt idx="251">
                  <c:v>1797.35</c:v>
                </c:pt>
                <c:pt idx="252">
                  <c:v>1797.35</c:v>
                </c:pt>
                <c:pt idx="253">
                  <c:v>1797.35</c:v>
                </c:pt>
                <c:pt idx="254">
                  <c:v>1802.23</c:v>
                </c:pt>
                <c:pt idx="255">
                  <c:v>1795.4</c:v>
                </c:pt>
                <c:pt idx="256">
                  <c:v>1802.22</c:v>
                </c:pt>
                <c:pt idx="257">
                  <c:v>1799.57</c:v>
                </c:pt>
                <c:pt idx="258">
                  <c:v>1789.54</c:v>
                </c:pt>
                <c:pt idx="259">
                  <c:v>1789.54</c:v>
                </c:pt>
                <c:pt idx="260">
                  <c:v>1789.54</c:v>
                </c:pt>
                <c:pt idx="261">
                  <c:v>1799.77</c:v>
                </c:pt>
                <c:pt idx="262">
                  <c:v>1800.19</c:v>
                </c:pt>
                <c:pt idx="263">
                  <c:v>1795.66</c:v>
                </c:pt>
                <c:pt idx="264">
                  <c:v>1798.98</c:v>
                </c:pt>
                <c:pt idx="265">
                  <c:v>1796.75</c:v>
                </c:pt>
                <c:pt idx="266">
                  <c:v>1796.75</c:v>
                </c:pt>
                <c:pt idx="267">
                  <c:v>1796.75</c:v>
                </c:pt>
                <c:pt idx="268">
                  <c:v>1799.29</c:v>
                </c:pt>
                <c:pt idx="269">
                  <c:v>1795.69</c:v>
                </c:pt>
                <c:pt idx="270">
                  <c:v>1799.55</c:v>
                </c:pt>
                <c:pt idx="271">
                  <c:v>1798.08</c:v>
                </c:pt>
                <c:pt idx="272">
                  <c:v>1800.52</c:v>
                </c:pt>
                <c:pt idx="273">
                  <c:v>1800.52</c:v>
                </c:pt>
                <c:pt idx="274">
                  <c:v>1800.52</c:v>
                </c:pt>
                <c:pt idx="275">
                  <c:v>1797.97</c:v>
                </c:pt>
                <c:pt idx="276">
                  <c:v>1798.86</c:v>
                </c:pt>
                <c:pt idx="277">
                  <c:v>1800.43</c:v>
                </c:pt>
                <c:pt idx="278">
                  <c:v>1797.68</c:v>
                </c:pt>
                <c:pt idx="279">
                  <c:v>1795.4</c:v>
                </c:pt>
                <c:pt idx="280">
                  <c:v>1795.4</c:v>
                </c:pt>
                <c:pt idx="281">
                  <c:v>1795.4</c:v>
                </c:pt>
                <c:pt idx="282">
                  <c:v>1795.4</c:v>
                </c:pt>
                <c:pt idx="283">
                  <c:v>1798.32</c:v>
                </c:pt>
                <c:pt idx="284">
                  <c:v>1799.78</c:v>
                </c:pt>
                <c:pt idx="285">
                  <c:v>1797.68</c:v>
                </c:pt>
                <c:pt idx="286">
                  <c:v>1797.68</c:v>
                </c:pt>
                <c:pt idx="287">
                  <c:v>1797.68</c:v>
                </c:pt>
                <c:pt idx="288">
                  <c:v>1797.68</c:v>
                </c:pt>
                <c:pt idx="289">
                  <c:v>1797.68</c:v>
                </c:pt>
                <c:pt idx="290">
                  <c:v>1797.81</c:v>
                </c:pt>
                <c:pt idx="291">
                  <c:v>1798.53</c:v>
                </c:pt>
                <c:pt idx="292">
                  <c:v>1797.66</c:v>
                </c:pt>
                <c:pt idx="293">
                  <c:v>1798.42</c:v>
                </c:pt>
                <c:pt idx="294">
                  <c:v>1798.42</c:v>
                </c:pt>
                <c:pt idx="295">
                  <c:v>1798.42</c:v>
                </c:pt>
                <c:pt idx="296">
                  <c:v>1802.91</c:v>
                </c:pt>
                <c:pt idx="297">
                  <c:v>1816.6</c:v>
                </c:pt>
                <c:pt idx="298">
                  <c:v>1817.25</c:v>
                </c:pt>
                <c:pt idx="299">
                  <c:v>1816.97</c:v>
                </c:pt>
                <c:pt idx="300">
                  <c:v>1823.18</c:v>
                </c:pt>
                <c:pt idx="301">
                  <c:v>1823.18</c:v>
                </c:pt>
                <c:pt idx="302">
                  <c:v>1823.18</c:v>
                </c:pt>
                <c:pt idx="303">
                  <c:v>1830.45</c:v>
                </c:pt>
                <c:pt idx="304">
                  <c:v>1829.89</c:v>
                </c:pt>
                <c:pt idx="305">
                  <c:v>1831.25</c:v>
                </c:pt>
                <c:pt idx="306">
                  <c:v>1825.5</c:v>
                </c:pt>
                <c:pt idx="307">
                  <c:v>1828.8</c:v>
                </c:pt>
                <c:pt idx="308">
                  <c:v>1828.8</c:v>
                </c:pt>
                <c:pt idx="309">
                  <c:v>1828.8</c:v>
                </c:pt>
                <c:pt idx="310">
                  <c:v>1828.8</c:v>
                </c:pt>
                <c:pt idx="311">
                  <c:v>1814.99</c:v>
                </c:pt>
                <c:pt idx="312">
                  <c:v>1814.83</c:v>
                </c:pt>
                <c:pt idx="313">
                  <c:v>1814.21</c:v>
                </c:pt>
                <c:pt idx="314">
                  <c:v>1816.99</c:v>
                </c:pt>
                <c:pt idx="315">
                  <c:v>1816.99</c:v>
                </c:pt>
                <c:pt idx="316">
                  <c:v>1816.99</c:v>
                </c:pt>
                <c:pt idx="317">
                  <c:v>1816.99</c:v>
                </c:pt>
                <c:pt idx="318">
                  <c:v>1819.3</c:v>
                </c:pt>
                <c:pt idx="319">
                  <c:v>1818.2</c:v>
                </c:pt>
                <c:pt idx="320">
                  <c:v>1822.61</c:v>
                </c:pt>
                <c:pt idx="321">
                  <c:v>1823.46</c:v>
                </c:pt>
                <c:pt idx="322">
                  <c:v>1823.46</c:v>
                </c:pt>
                <c:pt idx="323">
                  <c:v>1823.46</c:v>
                </c:pt>
                <c:pt idx="324">
                  <c:v>1817.67</c:v>
                </c:pt>
                <c:pt idx="325">
                  <c:v>1815.58</c:v>
                </c:pt>
                <c:pt idx="326">
                  <c:v>1815.76</c:v>
                </c:pt>
                <c:pt idx="327">
                  <c:v>1815.76</c:v>
                </c:pt>
                <c:pt idx="328">
                  <c:v>1820.18</c:v>
                </c:pt>
                <c:pt idx="329">
                  <c:v>1820.18</c:v>
                </c:pt>
                <c:pt idx="330">
                  <c:v>1820.18</c:v>
                </c:pt>
                <c:pt idx="331">
                  <c:v>1824.12</c:v>
                </c:pt>
                <c:pt idx="332">
                  <c:v>1823.54</c:v>
                </c:pt>
                <c:pt idx="333">
                  <c:v>1825.08</c:v>
                </c:pt>
                <c:pt idx="334">
                  <c:v>1817.93</c:v>
                </c:pt>
                <c:pt idx="335">
                  <c:v>1813.72</c:v>
                </c:pt>
                <c:pt idx="336">
                  <c:v>1813.72</c:v>
                </c:pt>
                <c:pt idx="337">
                  <c:v>1813.72</c:v>
                </c:pt>
                <c:pt idx="338">
                  <c:v>1813.73</c:v>
                </c:pt>
                <c:pt idx="339">
                  <c:v>1813.57</c:v>
                </c:pt>
                <c:pt idx="340">
                  <c:v>1811.05</c:v>
                </c:pt>
                <c:pt idx="341">
                  <c:v>1803.69</c:v>
                </c:pt>
                <c:pt idx="342">
                  <c:v>1797.45</c:v>
                </c:pt>
                <c:pt idx="343">
                  <c:v>1797.45</c:v>
                </c:pt>
                <c:pt idx="344">
                  <c:v>1797.45</c:v>
                </c:pt>
                <c:pt idx="345">
                  <c:v>1799.4</c:v>
                </c:pt>
                <c:pt idx="346">
                  <c:v>1801.5</c:v>
                </c:pt>
                <c:pt idx="347">
                  <c:v>1796.31</c:v>
                </c:pt>
                <c:pt idx="348">
                  <c:v>1795.05</c:v>
                </c:pt>
                <c:pt idx="349">
                  <c:v>1798.37</c:v>
                </c:pt>
                <c:pt idx="350">
                  <c:v>1798.37</c:v>
                </c:pt>
                <c:pt idx="351">
                  <c:v>1798.37</c:v>
                </c:pt>
                <c:pt idx="352">
                  <c:v>1796.98</c:v>
                </c:pt>
                <c:pt idx="353">
                  <c:v>1794.14</c:v>
                </c:pt>
                <c:pt idx="354">
                  <c:v>1790.46</c:v>
                </c:pt>
                <c:pt idx="355">
                  <c:v>1788.87</c:v>
                </c:pt>
                <c:pt idx="356">
                  <c:v>1779.79</c:v>
                </c:pt>
                <c:pt idx="357">
                  <c:v>1779.79</c:v>
                </c:pt>
                <c:pt idx="358">
                  <c:v>1779.79</c:v>
                </c:pt>
                <c:pt idx="359">
                  <c:v>1773.44</c:v>
                </c:pt>
                <c:pt idx="360">
                  <c:v>1773.44</c:v>
                </c:pt>
                <c:pt idx="361">
                  <c:v>1771.49</c:v>
                </c:pt>
                <c:pt idx="362">
                  <c:v>1771.54</c:v>
                </c:pt>
                <c:pt idx="363">
                  <c:v>1768.23</c:v>
                </c:pt>
                <c:pt idx="364">
                  <c:v>1768.23</c:v>
                </c:pt>
                <c:pt idx="365">
                  <c:v>1768.23</c:v>
                </c:pt>
                <c:pt idx="366">
                  <c:v>1768.23</c:v>
                </c:pt>
                <c:pt idx="367">
                  <c:v>1768.23</c:v>
                </c:pt>
                <c:pt idx="368">
                  <c:v>1759.97</c:v>
                </c:pt>
                <c:pt idx="369">
                  <c:v>1760.83</c:v>
                </c:pt>
                <c:pt idx="370">
                  <c:v>1767.54</c:v>
                </c:pt>
                <c:pt idx="371">
                  <c:v>1767.54</c:v>
                </c:pt>
                <c:pt idx="372">
                  <c:v>1767.54</c:v>
                </c:pt>
                <c:pt idx="373">
                  <c:v>1767.54</c:v>
                </c:pt>
                <c:pt idx="374">
                  <c:v>1771.31</c:v>
                </c:pt>
                <c:pt idx="375">
                  <c:v>1767.96</c:v>
                </c:pt>
                <c:pt idx="376">
                  <c:v>1761.5</c:v>
                </c:pt>
                <c:pt idx="377">
                  <c:v>1762.38</c:v>
                </c:pt>
                <c:pt idx="378">
                  <c:v>1762.38</c:v>
                </c:pt>
                <c:pt idx="379">
                  <c:v>1762.38</c:v>
                </c:pt>
                <c:pt idx="380">
                  <c:v>1758.45</c:v>
                </c:pt>
                <c:pt idx="381">
                  <c:v>1769.88</c:v>
                </c:pt>
                <c:pt idx="382">
                  <c:v>1775.15</c:v>
                </c:pt>
                <c:pt idx="383">
                  <c:v>1767.78</c:v>
                </c:pt>
                <c:pt idx="384">
                  <c:v>1767.74</c:v>
                </c:pt>
                <c:pt idx="385">
                  <c:v>1767.74</c:v>
                </c:pt>
                <c:pt idx="386">
                  <c:v>1767.74</c:v>
                </c:pt>
                <c:pt idx="387">
                  <c:v>1767.74</c:v>
                </c:pt>
                <c:pt idx="388">
                  <c:v>1776.96</c:v>
                </c:pt>
                <c:pt idx="389">
                  <c:v>1778.69</c:v>
                </c:pt>
                <c:pt idx="390">
                  <c:v>1779.73</c:v>
                </c:pt>
                <c:pt idx="391">
                  <c:v>1779.25</c:v>
                </c:pt>
                <c:pt idx="392">
                  <c:v>1779.25</c:v>
                </c:pt>
                <c:pt idx="393">
                  <c:v>1779.25</c:v>
                </c:pt>
                <c:pt idx="394">
                  <c:v>1779.84</c:v>
                </c:pt>
                <c:pt idx="395">
                  <c:v>1776.09</c:v>
                </c:pt>
                <c:pt idx="396">
                  <c:v>1773.24</c:v>
                </c:pt>
                <c:pt idx="397">
                  <c:v>1775.65</c:v>
                </c:pt>
                <c:pt idx="398">
                  <c:v>1776.2</c:v>
                </c:pt>
                <c:pt idx="399">
                  <c:v>1776.2</c:v>
                </c:pt>
                <c:pt idx="400">
                  <c:v>1776.2</c:v>
                </c:pt>
                <c:pt idx="401">
                  <c:v>1785.92</c:v>
                </c:pt>
                <c:pt idx="402">
                  <c:v>1789.09</c:v>
                </c:pt>
                <c:pt idx="403">
                  <c:v>1791.24</c:v>
                </c:pt>
                <c:pt idx="404">
                  <c:v>1795.21</c:v>
                </c:pt>
                <c:pt idx="405">
                  <c:v>1790.61</c:v>
                </c:pt>
                <c:pt idx="406">
                  <c:v>1790.61</c:v>
                </c:pt>
                <c:pt idx="407">
                  <c:v>1790.61</c:v>
                </c:pt>
                <c:pt idx="408">
                  <c:v>1784.71</c:v>
                </c:pt>
                <c:pt idx="409">
                  <c:v>1783.2</c:v>
                </c:pt>
                <c:pt idx="410">
                  <c:v>1777.72</c:v>
                </c:pt>
                <c:pt idx="411">
                  <c:v>1783.19</c:v>
                </c:pt>
                <c:pt idx="412">
                  <c:v>1785.41</c:v>
                </c:pt>
                <c:pt idx="413">
                  <c:v>1785.41</c:v>
                </c:pt>
                <c:pt idx="414">
                  <c:v>1785.41</c:v>
                </c:pt>
                <c:pt idx="415">
                  <c:v>1785.41</c:v>
                </c:pt>
                <c:pt idx="416">
                  <c:v>1794.63</c:v>
                </c:pt>
                <c:pt idx="417">
                  <c:v>1791.33</c:v>
                </c:pt>
                <c:pt idx="418">
                  <c:v>1798.21</c:v>
                </c:pt>
                <c:pt idx="419">
                  <c:v>1800.7</c:v>
                </c:pt>
                <c:pt idx="420">
                  <c:v>1800.7</c:v>
                </c:pt>
                <c:pt idx="421">
                  <c:v>1800.7</c:v>
                </c:pt>
                <c:pt idx="422">
                  <c:v>1806.11</c:v>
                </c:pt>
                <c:pt idx="423">
                  <c:v>1818.54</c:v>
                </c:pt>
                <c:pt idx="424">
                  <c:v>1816.42</c:v>
                </c:pt>
                <c:pt idx="425">
                  <c:v>1814.28</c:v>
                </c:pt>
                <c:pt idx="426">
                  <c:v>1816.48</c:v>
                </c:pt>
                <c:pt idx="427">
                  <c:v>1816.48</c:v>
                </c:pt>
                <c:pt idx="428">
                  <c:v>1816.48</c:v>
                </c:pt>
                <c:pt idx="429">
                  <c:v>1813.53</c:v>
                </c:pt>
                <c:pt idx="430">
                  <c:v>1809.65</c:v>
                </c:pt>
                <c:pt idx="431">
                  <c:v>1808</c:v>
                </c:pt>
                <c:pt idx="432">
                  <c:v>1803.65</c:v>
                </c:pt>
                <c:pt idx="433">
                  <c:v>1800.45</c:v>
                </c:pt>
                <c:pt idx="434">
                  <c:v>1800.45</c:v>
                </c:pt>
                <c:pt idx="435">
                  <c:v>1800.45</c:v>
                </c:pt>
                <c:pt idx="436">
                  <c:v>1801.2</c:v>
                </c:pt>
                <c:pt idx="437">
                  <c:v>1801.64</c:v>
                </c:pt>
                <c:pt idx="438">
                  <c:v>1798.56</c:v>
                </c:pt>
                <c:pt idx="439">
                  <c:v>1797.28</c:v>
                </c:pt>
                <c:pt idx="440">
                  <c:v>1804.06</c:v>
                </c:pt>
                <c:pt idx="441">
                  <c:v>1804.06</c:v>
                </c:pt>
                <c:pt idx="442">
                  <c:v>1804.06</c:v>
                </c:pt>
                <c:pt idx="443">
                  <c:v>1809.58</c:v>
                </c:pt>
                <c:pt idx="444">
                  <c:v>1809.83</c:v>
                </c:pt>
                <c:pt idx="445">
                  <c:v>1812.35</c:v>
                </c:pt>
                <c:pt idx="446">
                  <c:v>1822.78</c:v>
                </c:pt>
                <c:pt idx="447">
                  <c:v>1825.79</c:v>
                </c:pt>
                <c:pt idx="448">
                  <c:v>1825.79</c:v>
                </c:pt>
                <c:pt idx="449">
                  <c:v>1825.79</c:v>
                </c:pt>
                <c:pt idx="450">
                  <c:v>1825.79</c:v>
                </c:pt>
                <c:pt idx="451">
                  <c:v>1828.95</c:v>
                </c:pt>
                <c:pt idx="452">
                  <c:v>1832.2</c:v>
                </c:pt>
                <c:pt idx="453">
                  <c:v>1832.2</c:v>
                </c:pt>
                <c:pt idx="454">
                  <c:v>1832.2</c:v>
                </c:pt>
                <c:pt idx="455">
                  <c:v>1832.2</c:v>
                </c:pt>
                <c:pt idx="456">
                  <c:v>1832.2</c:v>
                </c:pt>
                <c:pt idx="457">
                  <c:v>1823.12</c:v>
                </c:pt>
                <c:pt idx="458">
                  <c:v>1817.14</c:v>
                </c:pt>
                <c:pt idx="459">
                  <c:v>1819.93</c:v>
                </c:pt>
                <c:pt idx="460">
                  <c:v>1829.01</c:v>
                </c:pt>
                <c:pt idx="461">
                  <c:v>1826.88</c:v>
                </c:pt>
                <c:pt idx="462">
                  <c:v>1826.88</c:v>
                </c:pt>
                <c:pt idx="463">
                  <c:v>1826.88</c:v>
                </c:pt>
                <c:pt idx="464">
                  <c:v>1817.66</c:v>
                </c:pt>
                <c:pt idx="465">
                  <c:v>1813.11</c:v>
                </c:pt>
                <c:pt idx="466">
                  <c:v>1821.2</c:v>
                </c:pt>
                <c:pt idx="467">
                  <c:v>1823.84</c:v>
                </c:pt>
                <c:pt idx="468">
                  <c:v>1827.79</c:v>
                </c:pt>
                <c:pt idx="469">
                  <c:v>1827.79</c:v>
                </c:pt>
                <c:pt idx="470">
                  <c:v>1827.79</c:v>
                </c:pt>
                <c:pt idx="471">
                  <c:v>1834.86</c:v>
                </c:pt>
                <c:pt idx="472">
                  <c:v>1833.98</c:v>
                </c:pt>
                <c:pt idx="473">
                  <c:v>1846.46</c:v>
                </c:pt>
                <c:pt idx="474">
                  <c:v>1847.02</c:v>
                </c:pt>
                <c:pt idx="475">
                  <c:v>1835.57</c:v>
                </c:pt>
                <c:pt idx="476">
                  <c:v>1835.57</c:v>
                </c:pt>
                <c:pt idx="477">
                  <c:v>1835.57</c:v>
                </c:pt>
                <c:pt idx="478">
                  <c:v>1841.14</c:v>
                </c:pt>
                <c:pt idx="479">
                  <c:v>1838.03</c:v>
                </c:pt>
                <c:pt idx="480">
                  <c:v>1836.79</c:v>
                </c:pt>
                <c:pt idx="481">
                  <c:v>1830.84</c:v>
                </c:pt>
                <c:pt idx="482">
                  <c:v>1833.7</c:v>
                </c:pt>
                <c:pt idx="483">
                  <c:v>1833.7</c:v>
                </c:pt>
                <c:pt idx="484">
                  <c:v>1833.7</c:v>
                </c:pt>
                <c:pt idx="485">
                  <c:v>1828.79</c:v>
                </c:pt>
                <c:pt idx="486">
                  <c:v>1825.83</c:v>
                </c:pt>
                <c:pt idx="487">
                  <c:v>1825.83</c:v>
                </c:pt>
                <c:pt idx="488">
                  <c:v>1836.34</c:v>
                </c:pt>
                <c:pt idx="489">
                  <c:v>1835.88</c:v>
                </c:pt>
                <c:pt idx="490">
                  <c:v>1835.88</c:v>
                </c:pt>
                <c:pt idx="491">
                  <c:v>1835.88</c:v>
                </c:pt>
                <c:pt idx="492">
                  <c:v>1831.42</c:v>
                </c:pt>
                <c:pt idx="493">
                  <c:v>1827.13</c:v>
                </c:pt>
                <c:pt idx="494">
                  <c:v>1830.7</c:v>
                </c:pt>
                <c:pt idx="495">
                  <c:v>1833.07</c:v>
                </c:pt>
                <c:pt idx="496">
                  <c:v>1834.83</c:v>
                </c:pt>
                <c:pt idx="497">
                  <c:v>1834.83</c:v>
                </c:pt>
                <c:pt idx="498">
                  <c:v>1834.83</c:v>
                </c:pt>
                <c:pt idx="499">
                  <c:v>1834.83</c:v>
                </c:pt>
                <c:pt idx="500">
                  <c:v>1838.63</c:v>
                </c:pt>
                <c:pt idx="501">
                  <c:v>1843.75</c:v>
                </c:pt>
                <c:pt idx="502">
                  <c:v>1838.82</c:v>
                </c:pt>
                <c:pt idx="503">
                  <c:v>1841.35</c:v>
                </c:pt>
                <c:pt idx="504">
                  <c:v>1841.35</c:v>
                </c:pt>
                <c:pt idx="505">
                  <c:v>1841.35</c:v>
                </c:pt>
                <c:pt idx="506">
                  <c:v>1842.59</c:v>
                </c:pt>
                <c:pt idx="507">
                  <c:v>1846.76</c:v>
                </c:pt>
                <c:pt idx="508">
                  <c:v>1850.55</c:v>
                </c:pt>
                <c:pt idx="509">
                  <c:v>1864.02</c:v>
                </c:pt>
                <c:pt idx="510">
                  <c:v>1874.1</c:v>
                </c:pt>
                <c:pt idx="511">
                  <c:v>1874.1</c:v>
                </c:pt>
                <c:pt idx="512">
                  <c:v>1874.1</c:v>
                </c:pt>
                <c:pt idx="513">
                  <c:v>1874.1</c:v>
                </c:pt>
                <c:pt idx="514">
                  <c:v>1897.1</c:v>
                </c:pt>
                <c:pt idx="515">
                  <c:v>1894.13</c:v>
                </c:pt>
                <c:pt idx="516">
                  <c:v>1891.48</c:v>
                </c:pt>
                <c:pt idx="517">
                  <c:v>1907.76</c:v>
                </c:pt>
                <c:pt idx="518">
                  <c:v>1907.76</c:v>
                </c:pt>
                <c:pt idx="519">
                  <c:v>1907.76</c:v>
                </c:pt>
                <c:pt idx="520">
                  <c:v>1907.76</c:v>
                </c:pt>
                <c:pt idx="521">
                  <c:v>1894.4</c:v>
                </c:pt>
                <c:pt idx="522">
                  <c:v>1899.08</c:v>
                </c:pt>
                <c:pt idx="523">
                  <c:v>1907.88</c:v>
                </c:pt>
                <c:pt idx="524">
                  <c:v>1898.8</c:v>
                </c:pt>
                <c:pt idx="525">
                  <c:v>1898.8</c:v>
                </c:pt>
                <c:pt idx="526">
                  <c:v>1898.8</c:v>
                </c:pt>
                <c:pt idx="527">
                  <c:v>1898.8</c:v>
                </c:pt>
                <c:pt idx="528">
                  <c:v>1907.12</c:v>
                </c:pt>
                <c:pt idx="529">
                  <c:v>1897.53</c:v>
                </c:pt>
                <c:pt idx="530">
                  <c:v>1895.01</c:v>
                </c:pt>
                <c:pt idx="531">
                  <c:v>1882.38</c:v>
                </c:pt>
                <c:pt idx="532">
                  <c:v>1882.38</c:v>
                </c:pt>
                <c:pt idx="533">
                  <c:v>1882.38</c:v>
                </c:pt>
                <c:pt idx="534">
                  <c:v>1883.57</c:v>
                </c:pt>
                <c:pt idx="535">
                  <c:v>1902.47</c:v>
                </c:pt>
                <c:pt idx="536">
                  <c:v>1900.87</c:v>
                </c:pt>
                <c:pt idx="537">
                  <c:v>1937.26</c:v>
                </c:pt>
                <c:pt idx="538">
                  <c:v>1941.06</c:v>
                </c:pt>
                <c:pt idx="539">
                  <c:v>1941.06</c:v>
                </c:pt>
                <c:pt idx="540">
                  <c:v>1941.06</c:v>
                </c:pt>
                <c:pt idx="541">
                  <c:v>1942.97</c:v>
                </c:pt>
                <c:pt idx="542">
                  <c:v>1928.27</c:v>
                </c:pt>
                <c:pt idx="543">
                  <c:v>1921.86</c:v>
                </c:pt>
                <c:pt idx="544">
                  <c:v>1922.63</c:v>
                </c:pt>
                <c:pt idx="545">
                  <c:v>1929</c:v>
                </c:pt>
                <c:pt idx="546">
                  <c:v>1929</c:v>
                </c:pt>
                <c:pt idx="547">
                  <c:v>1929</c:v>
                </c:pt>
                <c:pt idx="548">
                  <c:v>1929</c:v>
                </c:pt>
                <c:pt idx="549">
                  <c:v>1919.42</c:v>
                </c:pt>
                <c:pt idx="550">
                  <c:v>1915.45</c:v>
                </c:pt>
                <c:pt idx="551">
                  <c:v>1915.45</c:v>
                </c:pt>
                <c:pt idx="552">
                  <c:v>1927.4</c:v>
                </c:pt>
                <c:pt idx="553">
                  <c:v>1927.4</c:v>
                </c:pt>
                <c:pt idx="554">
                  <c:v>1927.4</c:v>
                </c:pt>
                <c:pt idx="555">
                  <c:v>1926.84</c:v>
                </c:pt>
                <c:pt idx="556">
                  <c:v>1920.12</c:v>
                </c:pt>
                <c:pt idx="557">
                  <c:v>1920.24</c:v>
                </c:pt>
                <c:pt idx="558">
                  <c:v>1910.79</c:v>
                </c:pt>
                <c:pt idx="559">
                  <c:v>1905.25</c:v>
                </c:pt>
                <c:pt idx="560">
                  <c:v>1905.25</c:v>
                </c:pt>
                <c:pt idx="561">
                  <c:v>1905.25</c:v>
                </c:pt>
                <c:pt idx="562">
                  <c:v>1893.16</c:v>
                </c:pt>
                <c:pt idx="563">
                  <c:v>1878.42</c:v>
                </c:pt>
                <c:pt idx="564">
                  <c:v>1873.25</c:v>
                </c:pt>
                <c:pt idx="565">
                  <c:v>1883.29</c:v>
                </c:pt>
                <c:pt idx="566">
                  <c:v>1884.01</c:v>
                </c:pt>
                <c:pt idx="567">
                  <c:v>1884.01</c:v>
                </c:pt>
                <c:pt idx="568">
                  <c:v>1884.01</c:v>
                </c:pt>
                <c:pt idx="569">
                  <c:v>1880.87</c:v>
                </c:pt>
                <c:pt idx="570">
                  <c:v>1886.06</c:v>
                </c:pt>
                <c:pt idx="571">
                  <c:v>1891.02</c:v>
                </c:pt>
                <c:pt idx="572">
                  <c:v>1887.4</c:v>
                </c:pt>
                <c:pt idx="573">
                  <c:v>1886.26</c:v>
                </c:pt>
                <c:pt idx="574">
                  <c:v>1886.26</c:v>
                </c:pt>
                <c:pt idx="575">
                  <c:v>1886.26</c:v>
                </c:pt>
                <c:pt idx="576">
                  <c:v>1888.95</c:v>
                </c:pt>
                <c:pt idx="577">
                  <c:v>1890.33</c:v>
                </c:pt>
                <c:pt idx="578">
                  <c:v>1896.15</c:v>
                </c:pt>
                <c:pt idx="579">
                  <c:v>1896.65</c:v>
                </c:pt>
                <c:pt idx="580">
                  <c:v>1891.67</c:v>
                </c:pt>
                <c:pt idx="581">
                  <c:v>1891.67</c:v>
                </c:pt>
                <c:pt idx="582">
                  <c:v>1891.67</c:v>
                </c:pt>
                <c:pt idx="583">
                  <c:v>1883.24</c:v>
                </c:pt>
                <c:pt idx="584">
                  <c:v>1882.01</c:v>
                </c:pt>
                <c:pt idx="585">
                  <c:v>1882.01</c:v>
                </c:pt>
                <c:pt idx="586">
                  <c:v>1877.23</c:v>
                </c:pt>
                <c:pt idx="587">
                  <c:v>1873.92</c:v>
                </c:pt>
                <c:pt idx="588">
                  <c:v>1873.92</c:v>
                </c:pt>
                <c:pt idx="589">
                  <c:v>1873.92</c:v>
                </c:pt>
                <c:pt idx="590">
                  <c:v>1868.9</c:v>
                </c:pt>
                <c:pt idx="591">
                  <c:v>1882.36</c:v>
                </c:pt>
                <c:pt idx="592">
                  <c:v>1883.15</c:v>
                </c:pt>
                <c:pt idx="593">
                  <c:v>1901.03</c:v>
                </c:pt>
                <c:pt idx="594">
                  <c:v>1907.06</c:v>
                </c:pt>
                <c:pt idx="595">
                  <c:v>1907.06</c:v>
                </c:pt>
                <c:pt idx="596">
                  <c:v>1907.06</c:v>
                </c:pt>
                <c:pt idx="597">
                  <c:v>1907.06</c:v>
                </c:pt>
                <c:pt idx="598">
                  <c:v>1922.73</c:v>
                </c:pt>
                <c:pt idx="599">
                  <c:v>1929.75</c:v>
                </c:pt>
                <c:pt idx="600">
                  <c:v>1921.99</c:v>
                </c:pt>
                <c:pt idx="601">
                  <c:v>1911.16</c:v>
                </c:pt>
                <c:pt idx="602">
                  <c:v>1911.16</c:v>
                </c:pt>
                <c:pt idx="603">
                  <c:v>1911.16</c:v>
                </c:pt>
                <c:pt idx="604">
                  <c:v>1922.96</c:v>
                </c:pt>
                <c:pt idx="605">
                  <c:v>1938.26</c:v>
                </c:pt>
                <c:pt idx="606">
                  <c:v>1939.85</c:v>
                </c:pt>
                <c:pt idx="607">
                  <c:v>1943.04</c:v>
                </c:pt>
                <c:pt idx="608">
                  <c:v>1935.43</c:v>
                </c:pt>
                <c:pt idx="609">
                  <c:v>1935.43</c:v>
                </c:pt>
                <c:pt idx="610">
                  <c:v>1935.43</c:v>
                </c:pt>
                <c:pt idx="611">
                  <c:v>1935.43</c:v>
                </c:pt>
                <c:pt idx="612">
                  <c:v>1946.28</c:v>
                </c:pt>
                <c:pt idx="613">
                  <c:v>1938.99</c:v>
                </c:pt>
                <c:pt idx="614">
                  <c:v>1952.11</c:v>
                </c:pt>
                <c:pt idx="615">
                  <c:v>1947.99</c:v>
                </c:pt>
                <c:pt idx="616">
                  <c:v>1947.99</c:v>
                </c:pt>
                <c:pt idx="617">
                  <c:v>1947.99</c:v>
                </c:pt>
                <c:pt idx="618">
                  <c:v>1946.06</c:v>
                </c:pt>
                <c:pt idx="619">
                  <c:v>1935.55</c:v>
                </c:pt>
                <c:pt idx="620">
                  <c:v>1923.64</c:v>
                </c:pt>
                <c:pt idx="621">
                  <c:v>1919.25</c:v>
                </c:pt>
                <c:pt idx="622">
                  <c:v>1919.54</c:v>
                </c:pt>
                <c:pt idx="623">
                  <c:v>1919.54</c:v>
                </c:pt>
                <c:pt idx="624">
                  <c:v>1919.54</c:v>
                </c:pt>
                <c:pt idx="625">
                  <c:v>1917.03</c:v>
                </c:pt>
                <c:pt idx="626">
                  <c:v>1914.12</c:v>
                </c:pt>
                <c:pt idx="627">
                  <c:v>1911.3</c:v>
                </c:pt>
                <c:pt idx="628">
                  <c:v>1887.3</c:v>
                </c:pt>
                <c:pt idx="629">
                  <c:v>1889.12</c:v>
                </c:pt>
                <c:pt idx="630">
                  <c:v>1889.12</c:v>
                </c:pt>
                <c:pt idx="631">
                  <c:v>1889.12</c:v>
                </c:pt>
                <c:pt idx="632">
                  <c:v>1892.89</c:v>
                </c:pt>
                <c:pt idx="633">
                  <c:v>1888.14</c:v>
                </c:pt>
                <c:pt idx="634">
                  <c:v>1893.42</c:v>
                </c:pt>
                <c:pt idx="635">
                  <c:v>1899.1</c:v>
                </c:pt>
                <c:pt idx="636">
                  <c:v>1914.65</c:v>
                </c:pt>
                <c:pt idx="637">
                  <c:v>1914.65</c:v>
                </c:pt>
                <c:pt idx="638">
                  <c:v>1914.65</c:v>
                </c:pt>
                <c:pt idx="639">
                  <c:v>1908.29</c:v>
                </c:pt>
                <c:pt idx="640">
                  <c:v>1893.77</c:v>
                </c:pt>
                <c:pt idx="641">
                  <c:v>1884.97</c:v>
                </c:pt>
                <c:pt idx="642">
                  <c:v>1889.95</c:v>
                </c:pt>
                <c:pt idx="643">
                  <c:v>1886.78</c:v>
                </c:pt>
                <c:pt idx="644">
                  <c:v>1886.78</c:v>
                </c:pt>
                <c:pt idx="645">
                  <c:v>1886.78</c:v>
                </c:pt>
                <c:pt idx="646">
                  <c:v>1885.19</c:v>
                </c:pt>
                <c:pt idx="647">
                  <c:v>1889.17</c:v>
                </c:pt>
                <c:pt idx="648">
                  <c:v>1894.06</c:v>
                </c:pt>
                <c:pt idx="649">
                  <c:v>1885.84</c:v>
                </c:pt>
                <c:pt idx="650">
                  <c:v>1883.65</c:v>
                </c:pt>
                <c:pt idx="651">
                  <c:v>1883.65</c:v>
                </c:pt>
                <c:pt idx="652">
                  <c:v>1883.65</c:v>
                </c:pt>
                <c:pt idx="653">
                  <c:v>1883.65</c:v>
                </c:pt>
                <c:pt idx="654">
                  <c:v>1883.7</c:v>
                </c:pt>
                <c:pt idx="655">
                  <c:v>1880.91</c:v>
                </c:pt>
                <c:pt idx="656">
                  <c:v>1879.48</c:v>
                </c:pt>
                <c:pt idx="657">
                  <c:v>1879.88</c:v>
                </c:pt>
                <c:pt idx="658">
                  <c:v>1879.88</c:v>
                </c:pt>
                <c:pt idx="659">
                  <c:v>1879.88</c:v>
                </c:pt>
                <c:pt idx="660">
                  <c:v>1885.52</c:v>
                </c:pt>
                <c:pt idx="661">
                  <c:v>1879.46</c:v>
                </c:pt>
                <c:pt idx="662">
                  <c:v>1883.14</c:v>
                </c:pt>
                <c:pt idx="663">
                  <c:v>1882.11</c:v>
                </c:pt>
                <c:pt idx="664">
                  <c:v>1882.34</c:v>
                </c:pt>
                <c:pt idx="665">
                  <c:v>1882.34</c:v>
                </c:pt>
                <c:pt idx="666">
                  <c:v>1882.34</c:v>
                </c:pt>
                <c:pt idx="667">
                  <c:v>1884.43</c:v>
                </c:pt>
                <c:pt idx="668">
                  <c:v>1883.42</c:v>
                </c:pt>
                <c:pt idx="669">
                  <c:v>1884.06</c:v>
                </c:pt>
                <c:pt idx="670">
                  <c:v>1889.16</c:v>
                </c:pt>
                <c:pt idx="671">
                  <c:v>1901.22</c:v>
                </c:pt>
                <c:pt idx="672">
                  <c:v>1901.22</c:v>
                </c:pt>
                <c:pt idx="673">
                  <c:v>1901.22</c:v>
                </c:pt>
                <c:pt idx="674">
                  <c:v>1901.22</c:v>
                </c:pt>
                <c:pt idx="675">
                  <c:v>1916.22</c:v>
                </c:pt>
                <c:pt idx="676">
                  <c:v>1916.8</c:v>
                </c:pt>
                <c:pt idx="677">
                  <c:v>1924.87</c:v>
                </c:pt>
                <c:pt idx="678">
                  <c:v>1932.77</c:v>
                </c:pt>
                <c:pt idx="679">
                  <c:v>1932.77</c:v>
                </c:pt>
                <c:pt idx="680">
                  <c:v>1932.77</c:v>
                </c:pt>
                <c:pt idx="681">
                  <c:v>1932.77</c:v>
                </c:pt>
                <c:pt idx="682">
                  <c:v>1928.96</c:v>
                </c:pt>
                <c:pt idx="683">
                  <c:v>1932.03</c:v>
                </c:pt>
                <c:pt idx="684">
                  <c:v>1929.24</c:v>
                </c:pt>
                <c:pt idx="685">
                  <c:v>1919.89</c:v>
                </c:pt>
                <c:pt idx="686">
                  <c:v>1919.89</c:v>
                </c:pt>
                <c:pt idx="687">
                  <c:v>1919.89</c:v>
                </c:pt>
                <c:pt idx="688">
                  <c:v>1915.37</c:v>
                </c:pt>
                <c:pt idx="689">
                  <c:v>1919.2</c:v>
                </c:pt>
                <c:pt idx="690">
                  <c:v>1923.19</c:v>
                </c:pt>
                <c:pt idx="691">
                  <c:v>1932.42</c:v>
                </c:pt>
                <c:pt idx="692">
                  <c:v>1929.13</c:v>
                </c:pt>
                <c:pt idx="693">
                  <c:v>1929.13</c:v>
                </c:pt>
                <c:pt idx="694">
                  <c:v>1929.13</c:v>
                </c:pt>
                <c:pt idx="695">
                  <c:v>1926.99</c:v>
                </c:pt>
                <c:pt idx="696">
                  <c:v>1926.74</c:v>
                </c:pt>
                <c:pt idx="697">
                  <c:v>1928.25</c:v>
                </c:pt>
                <c:pt idx="698">
                  <c:v>1928.25</c:v>
                </c:pt>
                <c:pt idx="699">
                  <c:v>1931.88</c:v>
                </c:pt>
                <c:pt idx="700">
                  <c:v>1931.88</c:v>
                </c:pt>
                <c:pt idx="701">
                  <c:v>1931.88</c:v>
                </c:pt>
                <c:pt idx="702">
                  <c:v>1934.16</c:v>
                </c:pt>
                <c:pt idx="703">
                  <c:v>1941.01</c:v>
                </c:pt>
                <c:pt idx="704">
                  <c:v>1948.48</c:v>
                </c:pt>
                <c:pt idx="705">
                  <c:v>1940.26</c:v>
                </c:pt>
                <c:pt idx="706">
                  <c:v>1936.33</c:v>
                </c:pt>
                <c:pt idx="707">
                  <c:v>1936.33</c:v>
                </c:pt>
                <c:pt idx="708">
                  <c:v>1936.33</c:v>
                </c:pt>
                <c:pt idx="709">
                  <c:v>1932.71</c:v>
                </c:pt>
                <c:pt idx="710">
                  <c:v>1933.52</c:v>
                </c:pt>
                <c:pt idx="711">
                  <c:v>1935.61</c:v>
                </c:pt>
                <c:pt idx="712">
                  <c:v>1935.89</c:v>
                </c:pt>
                <c:pt idx="713">
                  <c:v>1930.87</c:v>
                </c:pt>
                <c:pt idx="714">
                  <c:v>1930.87</c:v>
                </c:pt>
                <c:pt idx="715">
                  <c:v>1930.87</c:v>
                </c:pt>
                <c:pt idx="716">
                  <c:v>1934.95</c:v>
                </c:pt>
                <c:pt idx="717">
                  <c:v>1936.14</c:v>
                </c:pt>
                <c:pt idx="718">
                  <c:v>1945.6</c:v>
                </c:pt>
                <c:pt idx="719">
                  <c:v>1943.46</c:v>
                </c:pt>
                <c:pt idx="720">
                  <c:v>1935.93</c:v>
                </c:pt>
                <c:pt idx="721">
                  <c:v>1935.93</c:v>
                </c:pt>
                <c:pt idx="722">
                  <c:v>1935.93</c:v>
                </c:pt>
                <c:pt idx="723">
                  <c:v>1925.45</c:v>
                </c:pt>
                <c:pt idx="724">
                  <c:v>1922.76</c:v>
                </c:pt>
                <c:pt idx="725">
                  <c:v>1922.76</c:v>
                </c:pt>
                <c:pt idx="726">
                  <c:v>1921.22</c:v>
                </c:pt>
                <c:pt idx="727">
                  <c:v>1922.56</c:v>
                </c:pt>
                <c:pt idx="728">
                  <c:v>1922.56</c:v>
                </c:pt>
                <c:pt idx="729">
                  <c:v>1922.56</c:v>
                </c:pt>
                <c:pt idx="730">
                  <c:v>1926.83</c:v>
                </c:pt>
                <c:pt idx="731">
                  <c:v>1926.83</c:v>
                </c:pt>
                <c:pt idx="732">
                  <c:v>1926.83</c:v>
                </c:pt>
                <c:pt idx="733">
                  <c:v>1938.89</c:v>
                </c:pt>
                <c:pt idx="734">
                  <c:v>1936.92</c:v>
                </c:pt>
                <c:pt idx="735">
                  <c:v>1936.92</c:v>
                </c:pt>
                <c:pt idx="736">
                  <c:v>1936.92</c:v>
                </c:pt>
                <c:pt idx="737">
                  <c:v>1936.92</c:v>
                </c:pt>
                <c:pt idx="738">
                  <c:v>1930.45</c:v>
                </c:pt>
                <c:pt idx="739">
                  <c:v>1933.24</c:v>
                </c:pt>
                <c:pt idx="740">
                  <c:v>1934.88</c:v>
                </c:pt>
                <c:pt idx="741">
                  <c:v>1926.55</c:v>
                </c:pt>
                <c:pt idx="742">
                  <c:v>1926.55</c:v>
                </c:pt>
                <c:pt idx="743">
                  <c:v>1926.55</c:v>
                </c:pt>
                <c:pt idx="744">
                  <c:v>1924.79</c:v>
                </c:pt>
                <c:pt idx="745">
                  <c:v>1932.59</c:v>
                </c:pt>
                <c:pt idx="746">
                  <c:v>1941.45</c:v>
                </c:pt>
                <c:pt idx="747">
                  <c:v>1947.15</c:v>
                </c:pt>
                <c:pt idx="748">
                  <c:v>1957.86</c:v>
                </c:pt>
                <c:pt idx="749">
                  <c:v>1957.86</c:v>
                </c:pt>
                <c:pt idx="750">
                  <c:v>1957.86</c:v>
                </c:pt>
                <c:pt idx="751">
                  <c:v>1957.86</c:v>
                </c:pt>
                <c:pt idx="752">
                  <c:v>1981.98</c:v>
                </c:pt>
                <c:pt idx="753">
                  <c:v>1983.48</c:v>
                </c:pt>
                <c:pt idx="754">
                  <c:v>1993.23</c:v>
                </c:pt>
                <c:pt idx="755">
                  <c:v>2000.48</c:v>
                </c:pt>
                <c:pt idx="756">
                  <c:v>2000.48</c:v>
                </c:pt>
                <c:pt idx="757">
                  <c:v>2000.48</c:v>
                </c:pt>
                <c:pt idx="758">
                  <c:v>1997.91</c:v>
                </c:pt>
                <c:pt idx="759">
                  <c:v>2000.56</c:v>
                </c:pt>
                <c:pt idx="760">
                  <c:v>2013.17</c:v>
                </c:pt>
                <c:pt idx="761">
                  <c:v>2008.26</c:v>
                </c:pt>
                <c:pt idx="762">
                  <c:v>2021.1</c:v>
                </c:pt>
                <c:pt idx="763">
                  <c:v>2021.1</c:v>
                </c:pt>
                <c:pt idx="764">
                  <c:v>2021.1</c:v>
                </c:pt>
                <c:pt idx="765">
                  <c:v>2039.85</c:v>
                </c:pt>
                <c:pt idx="766">
                  <c:v>2041.34</c:v>
                </c:pt>
                <c:pt idx="767">
                  <c:v>2048.75</c:v>
                </c:pt>
                <c:pt idx="768">
                  <c:v>2049.52</c:v>
                </c:pt>
                <c:pt idx="769">
                  <c:v>2046.06</c:v>
                </c:pt>
                <c:pt idx="770">
                  <c:v>2046.06</c:v>
                </c:pt>
                <c:pt idx="771">
                  <c:v>2046.06</c:v>
                </c:pt>
                <c:pt idx="772">
                  <c:v>2048.5500000000002</c:v>
                </c:pt>
                <c:pt idx="773">
                  <c:v>2041.61</c:v>
                </c:pt>
                <c:pt idx="774">
                  <c:v>2031.75</c:v>
                </c:pt>
                <c:pt idx="775">
                  <c:v>2032.99</c:v>
                </c:pt>
                <c:pt idx="776">
                  <c:v>2022.68</c:v>
                </c:pt>
                <c:pt idx="777">
                  <c:v>2022.68</c:v>
                </c:pt>
                <c:pt idx="778">
                  <c:v>2022.68</c:v>
                </c:pt>
                <c:pt idx="779">
                  <c:v>2022.68</c:v>
                </c:pt>
                <c:pt idx="780">
                  <c:v>2028.54</c:v>
                </c:pt>
                <c:pt idx="781">
                  <c:v>2042.22</c:v>
                </c:pt>
                <c:pt idx="782">
                  <c:v>2052.46</c:v>
                </c:pt>
                <c:pt idx="783">
                  <c:v>2043.96</c:v>
                </c:pt>
                <c:pt idx="784">
                  <c:v>2043.96</c:v>
                </c:pt>
                <c:pt idx="785">
                  <c:v>2043.96</c:v>
                </c:pt>
                <c:pt idx="786">
                  <c:v>2042.67</c:v>
                </c:pt>
                <c:pt idx="787">
                  <c:v>2045.45</c:v>
                </c:pt>
                <c:pt idx="788">
                  <c:v>2053.11</c:v>
                </c:pt>
                <c:pt idx="789">
                  <c:v>2054.9</c:v>
                </c:pt>
                <c:pt idx="790">
                  <c:v>2046.75</c:v>
                </c:pt>
                <c:pt idx="791">
                  <c:v>2046.75</c:v>
                </c:pt>
                <c:pt idx="792">
                  <c:v>2046.75</c:v>
                </c:pt>
                <c:pt idx="793">
                  <c:v>2052.5100000000002</c:v>
                </c:pt>
                <c:pt idx="794">
                  <c:v>2047.75</c:v>
                </c:pt>
                <c:pt idx="795">
                  <c:v>2045.14</c:v>
                </c:pt>
                <c:pt idx="796">
                  <c:v>2030.02</c:v>
                </c:pt>
                <c:pt idx="797">
                  <c:v>2036.2</c:v>
                </c:pt>
                <c:pt idx="798">
                  <c:v>2036.2</c:v>
                </c:pt>
                <c:pt idx="799">
                  <c:v>2036.2</c:v>
                </c:pt>
                <c:pt idx="800">
                  <c:v>2042.78</c:v>
                </c:pt>
                <c:pt idx="801">
                  <c:v>2043.59</c:v>
                </c:pt>
                <c:pt idx="802">
                  <c:v>2047.59</c:v>
                </c:pt>
                <c:pt idx="803">
                  <c:v>2044.48</c:v>
                </c:pt>
                <c:pt idx="804">
                  <c:v>2044.58</c:v>
                </c:pt>
                <c:pt idx="805">
                  <c:v>2044.58</c:v>
                </c:pt>
                <c:pt idx="806">
                  <c:v>2044.58</c:v>
                </c:pt>
                <c:pt idx="807">
                  <c:v>2035.16</c:v>
                </c:pt>
                <c:pt idx="808">
                  <c:v>2034.86</c:v>
                </c:pt>
                <c:pt idx="809">
                  <c:v>2017.38</c:v>
                </c:pt>
                <c:pt idx="810">
                  <c:v>1998.6</c:v>
                </c:pt>
                <c:pt idx="811">
                  <c:v>1993.85</c:v>
                </c:pt>
                <c:pt idx="812">
                  <c:v>1993.85</c:v>
                </c:pt>
                <c:pt idx="813">
                  <c:v>1993.85</c:v>
                </c:pt>
                <c:pt idx="814">
                  <c:v>1993.85</c:v>
                </c:pt>
                <c:pt idx="815">
                  <c:v>1978.63</c:v>
                </c:pt>
                <c:pt idx="816">
                  <c:v>1973.03</c:v>
                </c:pt>
                <c:pt idx="817">
                  <c:v>1965.64</c:v>
                </c:pt>
                <c:pt idx="818">
                  <c:v>1965.32</c:v>
                </c:pt>
                <c:pt idx="819">
                  <c:v>1965.32</c:v>
                </c:pt>
                <c:pt idx="820">
                  <c:v>1965.32</c:v>
                </c:pt>
                <c:pt idx="821">
                  <c:v>1969.45</c:v>
                </c:pt>
                <c:pt idx="822">
                  <c:v>1966.02</c:v>
                </c:pt>
                <c:pt idx="823">
                  <c:v>1963.51</c:v>
                </c:pt>
                <c:pt idx="824">
                  <c:v>1966.4</c:v>
                </c:pt>
                <c:pt idx="825">
                  <c:v>1951.85</c:v>
                </c:pt>
                <c:pt idx="826">
                  <c:v>1951.85</c:v>
                </c:pt>
                <c:pt idx="827">
                  <c:v>1951.85</c:v>
                </c:pt>
                <c:pt idx="828">
                  <c:v>1937.59</c:v>
                </c:pt>
                <c:pt idx="829">
                  <c:v>1923.95</c:v>
                </c:pt>
                <c:pt idx="830">
                  <c:v>1931.09</c:v>
                </c:pt>
                <c:pt idx="831">
                  <c:v>1920.93</c:v>
                </c:pt>
                <c:pt idx="832">
                  <c:v>1927.28</c:v>
                </c:pt>
                <c:pt idx="833">
                  <c:v>1927.28</c:v>
                </c:pt>
                <c:pt idx="834">
                  <c:v>1927.28</c:v>
                </c:pt>
                <c:pt idx="835">
                  <c:v>1926.47</c:v>
                </c:pt>
                <c:pt idx="836">
                  <c:v>1932.42</c:v>
                </c:pt>
                <c:pt idx="837">
                  <c:v>1930.62</c:v>
                </c:pt>
                <c:pt idx="838">
                  <c:v>1930.62</c:v>
                </c:pt>
                <c:pt idx="839">
                  <c:v>1930.62</c:v>
                </c:pt>
                <c:pt idx="840">
                  <c:v>1930.62</c:v>
                </c:pt>
                <c:pt idx="841">
                  <c:v>1930.62</c:v>
                </c:pt>
                <c:pt idx="842">
                  <c:v>1921.75</c:v>
                </c:pt>
                <c:pt idx="843">
                  <c:v>1929.66</c:v>
                </c:pt>
                <c:pt idx="844">
                  <c:v>1936.63</c:v>
                </c:pt>
                <c:pt idx="845">
                  <c:v>1936.07</c:v>
                </c:pt>
                <c:pt idx="846">
                  <c:v>1942.37</c:v>
                </c:pt>
                <c:pt idx="847">
                  <c:v>1942.37</c:v>
                </c:pt>
                <c:pt idx="848">
                  <c:v>1942.37</c:v>
                </c:pt>
                <c:pt idx="849">
                  <c:v>1936.13</c:v>
                </c:pt>
                <c:pt idx="850">
                  <c:v>1935.14</c:v>
                </c:pt>
                <c:pt idx="851">
                  <c:v>1933.46</c:v>
                </c:pt>
                <c:pt idx="852">
                  <c:v>1933.46</c:v>
                </c:pt>
                <c:pt idx="853">
                  <c:v>1926.3</c:v>
                </c:pt>
                <c:pt idx="854">
                  <c:v>1926.3</c:v>
                </c:pt>
                <c:pt idx="855">
                  <c:v>1926.3</c:v>
                </c:pt>
                <c:pt idx="856">
                  <c:v>1923.07</c:v>
                </c:pt>
                <c:pt idx="857">
                  <c:v>1918.2</c:v>
                </c:pt>
                <c:pt idx="858">
                  <c:v>1912.97</c:v>
                </c:pt>
                <c:pt idx="859">
                  <c:v>1902.15</c:v>
                </c:pt>
                <c:pt idx="860">
                  <c:v>1901.51</c:v>
                </c:pt>
                <c:pt idx="861">
                  <c:v>1901.51</c:v>
                </c:pt>
                <c:pt idx="862">
                  <c:v>1901.51</c:v>
                </c:pt>
                <c:pt idx="863">
                  <c:v>1904.85</c:v>
                </c:pt>
                <c:pt idx="864">
                  <c:v>1919.7</c:v>
                </c:pt>
                <c:pt idx="865">
                  <c:v>1925.31</c:v>
                </c:pt>
                <c:pt idx="866">
                  <c:v>1927.8</c:v>
                </c:pt>
                <c:pt idx="867">
                  <c:v>1925.41</c:v>
                </c:pt>
                <c:pt idx="868">
                  <c:v>1925.41</c:v>
                </c:pt>
                <c:pt idx="869">
                  <c:v>1925.41</c:v>
                </c:pt>
                <c:pt idx="870">
                  <c:v>1921.16</c:v>
                </c:pt>
                <c:pt idx="871">
                  <c:v>1920.41</c:v>
                </c:pt>
                <c:pt idx="872">
                  <c:v>1911.33</c:v>
                </c:pt>
                <c:pt idx="873">
                  <c:v>1905.8</c:v>
                </c:pt>
                <c:pt idx="874">
                  <c:v>1905.53</c:v>
                </c:pt>
                <c:pt idx="875">
                  <c:v>1905.53</c:v>
                </c:pt>
                <c:pt idx="876">
                  <c:v>1905.53</c:v>
                </c:pt>
                <c:pt idx="877">
                  <c:v>1905.53</c:v>
                </c:pt>
                <c:pt idx="878">
                  <c:v>1917.34</c:v>
                </c:pt>
                <c:pt idx="879">
                  <c:v>1910.8</c:v>
                </c:pt>
                <c:pt idx="880">
                  <c:v>1905.96</c:v>
                </c:pt>
                <c:pt idx="881">
                  <c:v>1900.64</c:v>
                </c:pt>
                <c:pt idx="882">
                  <c:v>1900.64</c:v>
                </c:pt>
                <c:pt idx="883">
                  <c:v>1900.64</c:v>
                </c:pt>
                <c:pt idx="884">
                  <c:v>1900.64</c:v>
                </c:pt>
                <c:pt idx="885">
                  <c:v>1899.74</c:v>
                </c:pt>
                <c:pt idx="886">
                  <c:v>1897.7</c:v>
                </c:pt>
                <c:pt idx="887">
                  <c:v>1892.08</c:v>
                </c:pt>
                <c:pt idx="888">
                  <c:v>1886.09</c:v>
                </c:pt>
                <c:pt idx="889">
                  <c:v>1886.09</c:v>
                </c:pt>
                <c:pt idx="890">
                  <c:v>1886.09</c:v>
                </c:pt>
                <c:pt idx="891">
                  <c:v>1883.76</c:v>
                </c:pt>
                <c:pt idx="892">
                  <c:v>1884.97</c:v>
                </c:pt>
                <c:pt idx="893">
                  <c:v>1884.63</c:v>
                </c:pt>
                <c:pt idx="894">
                  <c:v>1877.18</c:v>
                </c:pt>
                <c:pt idx="895">
                  <c:v>1877.37</c:v>
                </c:pt>
                <c:pt idx="896">
                  <c:v>1877.37</c:v>
                </c:pt>
                <c:pt idx="897">
                  <c:v>1877.37</c:v>
                </c:pt>
                <c:pt idx="898">
                  <c:v>1886.62</c:v>
                </c:pt>
                <c:pt idx="899">
                  <c:v>1899.9</c:v>
                </c:pt>
                <c:pt idx="900">
                  <c:v>1895.92</c:v>
                </c:pt>
                <c:pt idx="901">
                  <c:v>1881.34</c:v>
                </c:pt>
                <c:pt idx="902">
                  <c:v>1884.56</c:v>
                </c:pt>
                <c:pt idx="903">
                  <c:v>1884.56</c:v>
                </c:pt>
                <c:pt idx="904">
                  <c:v>1884.56</c:v>
                </c:pt>
                <c:pt idx="905">
                  <c:v>1884.56</c:v>
                </c:pt>
                <c:pt idx="906">
                  <c:v>1886.85</c:v>
                </c:pt>
                <c:pt idx="907">
                  <c:v>1880.37</c:v>
                </c:pt>
                <c:pt idx="908">
                  <c:v>1886.01</c:v>
                </c:pt>
                <c:pt idx="909">
                  <c:v>1881.19</c:v>
                </c:pt>
                <c:pt idx="910">
                  <c:v>1881.19</c:v>
                </c:pt>
                <c:pt idx="911">
                  <c:v>1881.19</c:v>
                </c:pt>
                <c:pt idx="912">
                  <c:v>1881.19</c:v>
                </c:pt>
                <c:pt idx="913">
                  <c:v>1865.42</c:v>
                </c:pt>
                <c:pt idx="914">
                  <c:v>1856.73</c:v>
                </c:pt>
                <c:pt idx="915">
                  <c:v>1848.91</c:v>
                </c:pt>
                <c:pt idx="916">
                  <c:v>1848.91</c:v>
                </c:pt>
                <c:pt idx="917">
                  <c:v>1848.91</c:v>
                </c:pt>
                <c:pt idx="918">
                  <c:v>1848.91</c:v>
                </c:pt>
                <c:pt idx="919">
                  <c:v>1849.28</c:v>
                </c:pt>
                <c:pt idx="920">
                  <c:v>1854.24</c:v>
                </c:pt>
                <c:pt idx="921">
                  <c:v>1859.94</c:v>
                </c:pt>
                <c:pt idx="922">
                  <c:v>1858.47</c:v>
                </c:pt>
                <c:pt idx="923">
                  <c:v>1852.57</c:v>
                </c:pt>
                <c:pt idx="924">
                  <c:v>1852.57</c:v>
                </c:pt>
                <c:pt idx="925">
                  <c:v>1852.57</c:v>
                </c:pt>
                <c:pt idx="926">
                  <c:v>1857.93</c:v>
                </c:pt>
                <c:pt idx="927">
                  <c:v>1867.88</c:v>
                </c:pt>
                <c:pt idx="928">
                  <c:v>1868.41</c:v>
                </c:pt>
                <c:pt idx="929">
                  <c:v>1872.27</c:v>
                </c:pt>
                <c:pt idx="930">
                  <c:v>1871.87</c:v>
                </c:pt>
                <c:pt idx="931">
                  <c:v>1871.87</c:v>
                </c:pt>
                <c:pt idx="932">
                  <c:v>1871.87</c:v>
                </c:pt>
                <c:pt idx="933">
                  <c:v>1861.28</c:v>
                </c:pt>
                <c:pt idx="934">
                  <c:v>1848.98</c:v>
                </c:pt>
                <c:pt idx="935">
                  <c:v>1847.85</c:v>
                </c:pt>
                <c:pt idx="936">
                  <c:v>1846.12</c:v>
                </c:pt>
                <c:pt idx="937">
                  <c:v>1848.56</c:v>
                </c:pt>
                <c:pt idx="938">
                  <c:v>1848.56</c:v>
                </c:pt>
                <c:pt idx="939">
                  <c:v>1848.56</c:v>
                </c:pt>
                <c:pt idx="940">
                  <c:v>1850.61</c:v>
                </c:pt>
                <c:pt idx="941">
                  <c:v>1853.3</c:v>
                </c:pt>
                <c:pt idx="942">
                  <c:v>1872.43</c:v>
                </c:pt>
                <c:pt idx="943">
                  <c:v>1878.75</c:v>
                </c:pt>
                <c:pt idx="944">
                  <c:v>1873.65</c:v>
                </c:pt>
                <c:pt idx="945">
                  <c:v>1873.65</c:v>
                </c:pt>
                <c:pt idx="946">
                  <c:v>1873.65</c:v>
                </c:pt>
                <c:pt idx="947">
                  <c:v>1878.68</c:v>
                </c:pt>
                <c:pt idx="948">
                  <c:v>1892.35</c:v>
                </c:pt>
                <c:pt idx="949">
                  <c:v>1888.51</c:v>
                </c:pt>
                <c:pt idx="950">
                  <c:v>1888.51</c:v>
                </c:pt>
                <c:pt idx="951">
                  <c:v>1891.59</c:v>
                </c:pt>
                <c:pt idx="952">
                  <c:v>1891.59</c:v>
                </c:pt>
                <c:pt idx="953">
                  <c:v>1891.59</c:v>
                </c:pt>
                <c:pt idx="954">
                  <c:v>1881.62</c:v>
                </c:pt>
                <c:pt idx="955">
                  <c:v>1877.4</c:v>
                </c:pt>
                <c:pt idx="956">
                  <c:v>1883.33</c:v>
                </c:pt>
                <c:pt idx="957">
                  <c:v>1877.77</c:v>
                </c:pt>
                <c:pt idx="958">
                  <c:v>1884.81</c:v>
                </c:pt>
                <c:pt idx="959">
                  <c:v>1884.81</c:v>
                </c:pt>
                <c:pt idx="960">
                  <c:v>1884.81</c:v>
                </c:pt>
                <c:pt idx="961">
                  <c:v>1884.81</c:v>
                </c:pt>
                <c:pt idx="962">
                  <c:v>1894.27</c:v>
                </c:pt>
                <c:pt idx="963">
                  <c:v>1912.43</c:v>
                </c:pt>
                <c:pt idx="964">
                  <c:v>1919.84</c:v>
                </c:pt>
                <c:pt idx="965">
                  <c:v>1924.4</c:v>
                </c:pt>
                <c:pt idx="966">
                  <c:v>1924.4</c:v>
                </c:pt>
                <c:pt idx="967">
                  <c:v>1924.4</c:v>
                </c:pt>
                <c:pt idx="968">
                  <c:v>1932.39</c:v>
                </c:pt>
                <c:pt idx="969">
                  <c:v>1928.67</c:v>
                </c:pt>
                <c:pt idx="970">
                  <c:v>1926.92</c:v>
                </c:pt>
                <c:pt idx="971">
                  <c:v>1935.04</c:v>
                </c:pt>
                <c:pt idx="972">
                  <c:v>1918.62</c:v>
                </c:pt>
                <c:pt idx="973">
                  <c:v>1918.62</c:v>
                </c:pt>
                <c:pt idx="974">
                  <c:v>1918.62</c:v>
                </c:pt>
                <c:pt idx="975">
                  <c:v>1918.62</c:v>
                </c:pt>
                <c:pt idx="976">
                  <c:v>1931.49</c:v>
                </c:pt>
                <c:pt idx="977">
                  <c:v>1924.67</c:v>
                </c:pt>
                <c:pt idx="978">
                  <c:v>1931.45</c:v>
                </c:pt>
                <c:pt idx="979">
                  <c:v>1935.25</c:v>
                </c:pt>
                <c:pt idx="980">
                  <c:v>1935.25</c:v>
                </c:pt>
                <c:pt idx="981">
                  <c:v>1935.25</c:v>
                </c:pt>
                <c:pt idx="982">
                  <c:v>1942.03</c:v>
                </c:pt>
                <c:pt idx="983">
                  <c:v>1962.84</c:v>
                </c:pt>
                <c:pt idx="984">
                  <c:v>1975.82</c:v>
                </c:pt>
                <c:pt idx="985">
                  <c:v>1979.97</c:v>
                </c:pt>
                <c:pt idx="986">
                  <c:v>1994.97</c:v>
                </c:pt>
                <c:pt idx="987">
                  <c:v>1994.97</c:v>
                </c:pt>
                <c:pt idx="988">
                  <c:v>1994.97</c:v>
                </c:pt>
                <c:pt idx="989">
                  <c:v>1987.71</c:v>
                </c:pt>
                <c:pt idx="990">
                  <c:v>1978.08</c:v>
                </c:pt>
                <c:pt idx="991">
                  <c:v>1975.47</c:v>
                </c:pt>
                <c:pt idx="992">
                  <c:v>1975.42</c:v>
                </c:pt>
                <c:pt idx="993">
                  <c:v>1966.89</c:v>
                </c:pt>
                <c:pt idx="994">
                  <c:v>1966.89</c:v>
                </c:pt>
                <c:pt idx="995">
                  <c:v>1966.89</c:v>
                </c:pt>
                <c:pt idx="996">
                  <c:v>1992.68</c:v>
                </c:pt>
                <c:pt idx="997">
                  <c:v>1997.91</c:v>
                </c:pt>
                <c:pt idx="998">
                  <c:v>2007.48</c:v>
                </c:pt>
                <c:pt idx="999">
                  <c:v>2019.76</c:v>
                </c:pt>
                <c:pt idx="1000">
                  <c:v>2023.89</c:v>
                </c:pt>
                <c:pt idx="1001">
                  <c:v>2023.89</c:v>
                </c:pt>
                <c:pt idx="1002">
                  <c:v>2023.89</c:v>
                </c:pt>
                <c:pt idx="1003">
                  <c:v>2028.48</c:v>
                </c:pt>
                <c:pt idx="1004">
                  <c:v>2022</c:v>
                </c:pt>
                <c:pt idx="1005">
                  <c:v>2025.75</c:v>
                </c:pt>
                <c:pt idx="1006">
                  <c:v>2021.49</c:v>
                </c:pt>
                <c:pt idx="1007">
                  <c:v>2026.2</c:v>
                </c:pt>
                <c:pt idx="1008">
                  <c:v>2026.2</c:v>
                </c:pt>
                <c:pt idx="1009">
                  <c:v>2026.2</c:v>
                </c:pt>
                <c:pt idx="1010">
                  <c:v>2028.03</c:v>
                </c:pt>
                <c:pt idx="1011">
                  <c:v>2026.9</c:v>
                </c:pt>
                <c:pt idx="1012">
                  <c:v>2040.31</c:v>
                </c:pt>
                <c:pt idx="1013">
                  <c:v>2041.71</c:v>
                </c:pt>
                <c:pt idx="1014">
                  <c:v>2052.96</c:v>
                </c:pt>
                <c:pt idx="1015">
                  <c:v>2052.96</c:v>
                </c:pt>
                <c:pt idx="1016">
                  <c:v>2052.96</c:v>
                </c:pt>
                <c:pt idx="1017">
                  <c:v>2052.96</c:v>
                </c:pt>
                <c:pt idx="1018">
                  <c:v>2049.66</c:v>
                </c:pt>
                <c:pt idx="1019">
                  <c:v>2057.6999999999998</c:v>
                </c:pt>
                <c:pt idx="1020">
                  <c:v>2074.4</c:v>
                </c:pt>
                <c:pt idx="1021">
                  <c:v>2064.4299999999998</c:v>
                </c:pt>
                <c:pt idx="1022">
                  <c:v>2064.4299999999998</c:v>
                </c:pt>
                <c:pt idx="1023">
                  <c:v>2064.4299999999998</c:v>
                </c:pt>
                <c:pt idx="1024">
                  <c:v>2065.8200000000002</c:v>
                </c:pt>
                <c:pt idx="1025">
                  <c:v>2048.44</c:v>
                </c:pt>
                <c:pt idx="1026">
                  <c:v>2049.9</c:v>
                </c:pt>
                <c:pt idx="1027">
                  <c:v>2053.39</c:v>
                </c:pt>
                <c:pt idx="1028">
                  <c:v>2065.38</c:v>
                </c:pt>
                <c:pt idx="1029">
                  <c:v>2065.38</c:v>
                </c:pt>
                <c:pt idx="1030">
                  <c:v>2065.38</c:v>
                </c:pt>
                <c:pt idx="1031">
                  <c:v>2069.7199999999998</c:v>
                </c:pt>
                <c:pt idx="1032">
                  <c:v>2055.4299999999998</c:v>
                </c:pt>
                <c:pt idx="1033">
                  <c:v>2044.55</c:v>
                </c:pt>
                <c:pt idx="1034">
                  <c:v>2050.52</c:v>
                </c:pt>
                <c:pt idx="1035">
                  <c:v>2061.92</c:v>
                </c:pt>
                <c:pt idx="1036">
                  <c:v>2061.92</c:v>
                </c:pt>
                <c:pt idx="1037">
                  <c:v>2061.92</c:v>
                </c:pt>
                <c:pt idx="1038">
                  <c:v>2061.92</c:v>
                </c:pt>
                <c:pt idx="1039">
                  <c:v>2076.9899999999998</c:v>
                </c:pt>
                <c:pt idx="1040">
                  <c:v>2081.2399999999998</c:v>
                </c:pt>
                <c:pt idx="1041">
                  <c:v>2086.86</c:v>
                </c:pt>
                <c:pt idx="1042">
                  <c:v>2103.25</c:v>
                </c:pt>
                <c:pt idx="1043">
                  <c:v>2103.25</c:v>
                </c:pt>
                <c:pt idx="1044">
                  <c:v>2103.25</c:v>
                </c:pt>
                <c:pt idx="1045">
                  <c:v>2103.12</c:v>
                </c:pt>
                <c:pt idx="1046">
                  <c:v>2103.12</c:v>
                </c:pt>
                <c:pt idx="1047">
                  <c:v>2115.59</c:v>
                </c:pt>
                <c:pt idx="1048">
                  <c:v>2133.0300000000002</c:v>
                </c:pt>
                <c:pt idx="1049">
                  <c:v>2160.4699999999998</c:v>
                </c:pt>
                <c:pt idx="1050">
                  <c:v>2160.4699999999998</c:v>
                </c:pt>
                <c:pt idx="1051">
                  <c:v>2160.4699999999998</c:v>
                </c:pt>
                <c:pt idx="1052">
                  <c:v>2160.4699999999998</c:v>
                </c:pt>
                <c:pt idx="1053">
                  <c:v>2158.58</c:v>
                </c:pt>
                <c:pt idx="1054">
                  <c:v>2156.73</c:v>
                </c:pt>
                <c:pt idx="1055">
                  <c:v>2156.9299999999998</c:v>
                </c:pt>
                <c:pt idx="1056">
                  <c:v>2142.02</c:v>
                </c:pt>
                <c:pt idx="1057">
                  <c:v>2142.02</c:v>
                </c:pt>
                <c:pt idx="1058">
                  <c:v>2142.02</c:v>
                </c:pt>
                <c:pt idx="1059">
                  <c:v>2158.12</c:v>
                </c:pt>
                <c:pt idx="1060">
                  <c:v>2162.15</c:v>
                </c:pt>
                <c:pt idx="1061">
                  <c:v>2165.15</c:v>
                </c:pt>
                <c:pt idx="1062">
                  <c:v>2165.15</c:v>
                </c:pt>
                <c:pt idx="1063">
                  <c:v>2206.19</c:v>
                </c:pt>
                <c:pt idx="1064">
                  <c:v>2206.19</c:v>
                </c:pt>
                <c:pt idx="1065">
                  <c:v>2206.19</c:v>
                </c:pt>
                <c:pt idx="1066">
                  <c:v>2252.36</c:v>
                </c:pt>
                <c:pt idx="1067">
                  <c:v>2293.4699999999998</c:v>
                </c:pt>
                <c:pt idx="1068">
                  <c:v>2286.0300000000002</c:v>
                </c:pt>
                <c:pt idx="1069">
                  <c:v>2284.2399999999998</c:v>
                </c:pt>
                <c:pt idx="1070">
                  <c:v>2304.12</c:v>
                </c:pt>
                <c:pt idx="1071">
                  <c:v>2304.12</c:v>
                </c:pt>
                <c:pt idx="1072">
                  <c:v>2304.12</c:v>
                </c:pt>
                <c:pt idx="1073">
                  <c:v>2304.12</c:v>
                </c:pt>
                <c:pt idx="1074">
                  <c:v>2350.0100000000002</c:v>
                </c:pt>
                <c:pt idx="1075">
                  <c:v>2381.96</c:v>
                </c:pt>
                <c:pt idx="1076">
                  <c:v>2423.56</c:v>
                </c:pt>
                <c:pt idx="1077">
                  <c:v>2405.31</c:v>
                </c:pt>
                <c:pt idx="1078">
                  <c:v>2405.31</c:v>
                </c:pt>
                <c:pt idx="1079">
                  <c:v>2405.31</c:v>
                </c:pt>
                <c:pt idx="1080">
                  <c:v>2414.39</c:v>
                </c:pt>
                <c:pt idx="1081">
                  <c:v>2446.35</c:v>
                </c:pt>
                <c:pt idx="1082">
                  <c:v>2412.79</c:v>
                </c:pt>
                <c:pt idx="1083">
                  <c:v>2334.98</c:v>
                </c:pt>
                <c:pt idx="1084">
                  <c:v>2297.14</c:v>
                </c:pt>
                <c:pt idx="1085">
                  <c:v>2297.14</c:v>
                </c:pt>
                <c:pt idx="1086">
                  <c:v>2297.14</c:v>
                </c:pt>
                <c:pt idx="1087">
                  <c:v>2316.9299999999998</c:v>
                </c:pt>
                <c:pt idx="1088">
                  <c:v>2342.5700000000002</c:v>
                </c:pt>
                <c:pt idx="1089">
                  <c:v>2346.9</c:v>
                </c:pt>
                <c:pt idx="1090">
                  <c:v>2346.9</c:v>
                </c:pt>
                <c:pt idx="1091">
                  <c:v>2358.46</c:v>
                </c:pt>
                <c:pt idx="1092">
                  <c:v>2358.46</c:v>
                </c:pt>
                <c:pt idx="1093">
                  <c:v>2358.46</c:v>
                </c:pt>
                <c:pt idx="1094">
                  <c:v>2378.56</c:v>
                </c:pt>
                <c:pt idx="1095">
                  <c:v>2392.46</c:v>
                </c:pt>
                <c:pt idx="1096">
                  <c:v>2392.46</c:v>
                </c:pt>
                <c:pt idx="1097">
                  <c:v>2392.46</c:v>
                </c:pt>
                <c:pt idx="1098">
                  <c:v>2383.37</c:v>
                </c:pt>
                <c:pt idx="1099">
                  <c:v>2383.37</c:v>
                </c:pt>
                <c:pt idx="1100">
                  <c:v>2383.37</c:v>
                </c:pt>
                <c:pt idx="1101">
                  <c:v>2412.8200000000002</c:v>
                </c:pt>
                <c:pt idx="1102">
                  <c:v>2452.11</c:v>
                </c:pt>
                <c:pt idx="1103">
                  <c:v>2434.31</c:v>
                </c:pt>
                <c:pt idx="1104">
                  <c:v>2405.0300000000002</c:v>
                </c:pt>
                <c:pt idx="1105">
                  <c:v>2406.71</c:v>
                </c:pt>
                <c:pt idx="1106">
                  <c:v>2406.71</c:v>
                </c:pt>
                <c:pt idx="1107">
                  <c:v>2406.71</c:v>
                </c:pt>
                <c:pt idx="1108">
                  <c:v>2406.71</c:v>
                </c:pt>
                <c:pt idx="1109">
                  <c:v>2442.0300000000002</c:v>
                </c:pt>
                <c:pt idx="1110">
                  <c:v>2438.79</c:v>
                </c:pt>
                <c:pt idx="1111">
                  <c:v>2398.91</c:v>
                </c:pt>
                <c:pt idx="1112">
                  <c:v>2383.91</c:v>
                </c:pt>
                <c:pt idx="1113">
                  <c:v>2383.91</c:v>
                </c:pt>
                <c:pt idx="1114">
                  <c:v>2383.91</c:v>
                </c:pt>
                <c:pt idx="1115">
                  <c:v>2383.91</c:v>
                </c:pt>
                <c:pt idx="1116">
                  <c:v>2373.44</c:v>
                </c:pt>
                <c:pt idx="1117">
                  <c:v>2361.54</c:v>
                </c:pt>
                <c:pt idx="1118">
                  <c:v>2370.75</c:v>
                </c:pt>
                <c:pt idx="1119">
                  <c:v>2386.5</c:v>
                </c:pt>
                <c:pt idx="1120">
                  <c:v>2386.5</c:v>
                </c:pt>
                <c:pt idx="1121">
                  <c:v>2386.5</c:v>
                </c:pt>
                <c:pt idx="1122">
                  <c:v>2386.2800000000002</c:v>
                </c:pt>
                <c:pt idx="1123">
                  <c:v>2381.11</c:v>
                </c:pt>
                <c:pt idx="1124">
                  <c:v>2362.42</c:v>
                </c:pt>
                <c:pt idx="1125">
                  <c:v>2397.35</c:v>
                </c:pt>
                <c:pt idx="1126">
                  <c:v>2441.1</c:v>
                </c:pt>
                <c:pt idx="1127">
                  <c:v>2441.1</c:v>
                </c:pt>
                <c:pt idx="1128">
                  <c:v>2441.1</c:v>
                </c:pt>
                <c:pt idx="1129">
                  <c:v>2407.29</c:v>
                </c:pt>
                <c:pt idx="1130">
                  <c:v>2374.7199999999998</c:v>
                </c:pt>
                <c:pt idx="1131">
                  <c:v>2381.91</c:v>
                </c:pt>
                <c:pt idx="1132">
                  <c:v>2384.5300000000002</c:v>
                </c:pt>
                <c:pt idx="1133">
                  <c:v>2384.7600000000002</c:v>
                </c:pt>
                <c:pt idx="1134">
                  <c:v>2384.7600000000002</c:v>
                </c:pt>
                <c:pt idx="1135">
                  <c:v>2384.7600000000002</c:v>
                </c:pt>
                <c:pt idx="1136">
                  <c:v>2371.31</c:v>
                </c:pt>
                <c:pt idx="1137">
                  <c:v>2380.79</c:v>
                </c:pt>
                <c:pt idx="1138">
                  <c:v>2416.61</c:v>
                </c:pt>
                <c:pt idx="1139">
                  <c:v>2401.0300000000002</c:v>
                </c:pt>
                <c:pt idx="1140">
                  <c:v>2376.23</c:v>
                </c:pt>
                <c:pt idx="1141">
                  <c:v>2376.23</c:v>
                </c:pt>
                <c:pt idx="1142">
                  <c:v>2376.23</c:v>
                </c:pt>
                <c:pt idx="1143">
                  <c:v>2376.23</c:v>
                </c:pt>
                <c:pt idx="1144">
                  <c:v>2416.37</c:v>
                </c:pt>
                <c:pt idx="1145">
                  <c:v>2429.71</c:v>
                </c:pt>
                <c:pt idx="1146">
                  <c:v>2445.16</c:v>
                </c:pt>
                <c:pt idx="1147">
                  <c:v>2455.54</c:v>
                </c:pt>
                <c:pt idx="1148">
                  <c:v>2455.54</c:v>
                </c:pt>
                <c:pt idx="1149">
                  <c:v>2455.54</c:v>
                </c:pt>
                <c:pt idx="1150">
                  <c:v>2489.81</c:v>
                </c:pt>
                <c:pt idx="1151">
                  <c:v>2500.59</c:v>
                </c:pt>
                <c:pt idx="1152">
                  <c:v>2489.41</c:v>
                </c:pt>
                <c:pt idx="1153">
                  <c:v>2484.58</c:v>
                </c:pt>
                <c:pt idx="1154">
                  <c:v>2496.9899999999998</c:v>
                </c:pt>
                <c:pt idx="1155">
                  <c:v>2496.9899999999998</c:v>
                </c:pt>
                <c:pt idx="1156">
                  <c:v>2496.9899999999998</c:v>
                </c:pt>
                <c:pt idx="1157">
                  <c:v>2522.0300000000002</c:v>
                </c:pt>
                <c:pt idx="1158">
                  <c:v>2555.08</c:v>
                </c:pt>
                <c:pt idx="1159">
                  <c:v>2565.9</c:v>
                </c:pt>
                <c:pt idx="1160">
                  <c:v>2543.4699999999998</c:v>
                </c:pt>
                <c:pt idx="1161">
                  <c:v>2565.61</c:v>
                </c:pt>
                <c:pt idx="1162">
                  <c:v>2565.61</c:v>
                </c:pt>
                <c:pt idx="1163">
                  <c:v>2565.61</c:v>
                </c:pt>
                <c:pt idx="1164">
                  <c:v>2592.86</c:v>
                </c:pt>
                <c:pt idx="1165">
                  <c:v>2618.79</c:v>
                </c:pt>
                <c:pt idx="1166">
                  <c:v>2633.65</c:v>
                </c:pt>
                <c:pt idx="1167">
                  <c:v>2610.08</c:v>
                </c:pt>
                <c:pt idx="1168">
                  <c:v>2661.52</c:v>
                </c:pt>
                <c:pt idx="1169">
                  <c:v>2661.52</c:v>
                </c:pt>
                <c:pt idx="1170">
                  <c:v>2661.52</c:v>
                </c:pt>
                <c:pt idx="1171">
                  <c:v>2675.08</c:v>
                </c:pt>
                <c:pt idx="1172">
                  <c:v>2677.97</c:v>
                </c:pt>
                <c:pt idx="1173">
                  <c:v>2651.49</c:v>
                </c:pt>
                <c:pt idx="1174">
                  <c:v>2613.38</c:v>
                </c:pt>
                <c:pt idx="1175">
                  <c:v>2587.71</c:v>
                </c:pt>
                <c:pt idx="1176">
                  <c:v>2587.71</c:v>
                </c:pt>
                <c:pt idx="1177">
                  <c:v>2587.71</c:v>
                </c:pt>
                <c:pt idx="1178">
                  <c:v>2587.71</c:v>
                </c:pt>
                <c:pt idx="1179">
                  <c:v>2526.79</c:v>
                </c:pt>
                <c:pt idx="1180">
                  <c:v>2535.5500000000002</c:v>
                </c:pt>
                <c:pt idx="1181">
                  <c:v>2551.3000000000002</c:v>
                </c:pt>
                <c:pt idx="1182">
                  <c:v>2556.85</c:v>
                </c:pt>
                <c:pt idx="1183">
                  <c:v>2556.85</c:v>
                </c:pt>
                <c:pt idx="1184">
                  <c:v>2556.85</c:v>
                </c:pt>
                <c:pt idx="1185">
                  <c:v>2576.0500000000002</c:v>
                </c:pt>
                <c:pt idx="1186">
                  <c:v>2598.36</c:v>
                </c:pt>
                <c:pt idx="1187">
                  <c:v>2576.41</c:v>
                </c:pt>
                <c:pt idx="1188">
                  <c:v>2576.41</c:v>
                </c:pt>
                <c:pt idx="1189">
                  <c:v>2576.41</c:v>
                </c:pt>
                <c:pt idx="1190">
                  <c:v>2576.41</c:v>
                </c:pt>
                <c:pt idx="1191">
                  <c:v>2576.41</c:v>
                </c:pt>
                <c:pt idx="1192">
                  <c:v>2522.71</c:v>
                </c:pt>
                <c:pt idx="1193">
                  <c:v>2518.0500000000002</c:v>
                </c:pt>
                <c:pt idx="1194">
                  <c:v>2490.9</c:v>
                </c:pt>
                <c:pt idx="1195">
                  <c:v>2494.77</c:v>
                </c:pt>
                <c:pt idx="1196">
                  <c:v>2516.08</c:v>
                </c:pt>
                <c:pt idx="1197">
                  <c:v>2516.08</c:v>
                </c:pt>
                <c:pt idx="1198">
                  <c:v>2516.08</c:v>
                </c:pt>
                <c:pt idx="1199">
                  <c:v>2537.33</c:v>
                </c:pt>
                <c:pt idx="1200">
                  <c:v>2550.83</c:v>
                </c:pt>
                <c:pt idx="1201">
                  <c:v>2534.63</c:v>
                </c:pt>
                <c:pt idx="1202">
                  <c:v>2493.9299999999998</c:v>
                </c:pt>
                <c:pt idx="1203">
                  <c:v>2495.0100000000002</c:v>
                </c:pt>
                <c:pt idx="1204">
                  <c:v>2495.0100000000002</c:v>
                </c:pt>
                <c:pt idx="1205">
                  <c:v>2495.0100000000002</c:v>
                </c:pt>
                <c:pt idx="1206">
                  <c:v>2487.0700000000002</c:v>
                </c:pt>
                <c:pt idx="1207">
                  <c:v>2469.0300000000002</c:v>
                </c:pt>
                <c:pt idx="1208">
                  <c:v>2488.5</c:v>
                </c:pt>
                <c:pt idx="1209">
                  <c:v>2471.21</c:v>
                </c:pt>
                <c:pt idx="1210">
                  <c:v>2461.17</c:v>
                </c:pt>
                <c:pt idx="1211">
                  <c:v>2461.17</c:v>
                </c:pt>
                <c:pt idx="1212">
                  <c:v>2461.17</c:v>
                </c:pt>
                <c:pt idx="1213">
                  <c:v>2419.81</c:v>
                </c:pt>
                <c:pt idx="1214">
                  <c:v>2393.42</c:v>
                </c:pt>
                <c:pt idx="1215">
                  <c:v>2388.06</c:v>
                </c:pt>
                <c:pt idx="1216">
                  <c:v>2393.58</c:v>
                </c:pt>
                <c:pt idx="1217">
                  <c:v>2393.58</c:v>
                </c:pt>
                <c:pt idx="1218">
                  <c:v>2393.58</c:v>
                </c:pt>
                <c:pt idx="1219">
                  <c:v>2393.58</c:v>
                </c:pt>
                <c:pt idx="1220">
                  <c:v>2408.17</c:v>
                </c:pt>
                <c:pt idx="1221">
                  <c:v>2386.7199999999998</c:v>
                </c:pt>
                <c:pt idx="1222">
                  <c:v>2362.41</c:v>
                </c:pt>
                <c:pt idx="1223">
                  <c:v>2369.23</c:v>
                </c:pt>
                <c:pt idx="1224">
                  <c:v>2360.58</c:v>
                </c:pt>
                <c:pt idx="1225">
                  <c:v>2360.58</c:v>
                </c:pt>
                <c:pt idx="1226">
                  <c:v>2360.58</c:v>
                </c:pt>
                <c:pt idx="1227">
                  <c:v>2381.5300000000002</c:v>
                </c:pt>
                <c:pt idx="1228">
                  <c:v>2386.77</c:v>
                </c:pt>
                <c:pt idx="1229">
                  <c:v>2377.87</c:v>
                </c:pt>
                <c:pt idx="1230">
                  <c:v>2389.4899999999998</c:v>
                </c:pt>
                <c:pt idx="1231">
                  <c:v>2417.0100000000002</c:v>
                </c:pt>
                <c:pt idx="1232">
                  <c:v>2417.0100000000002</c:v>
                </c:pt>
                <c:pt idx="1233">
                  <c:v>2417.0100000000002</c:v>
                </c:pt>
                <c:pt idx="1234">
                  <c:v>2417.0100000000002</c:v>
                </c:pt>
                <c:pt idx="1235">
                  <c:v>2475.4499999999998</c:v>
                </c:pt>
                <c:pt idx="1236">
                  <c:v>2503.37</c:v>
                </c:pt>
                <c:pt idx="1237">
                  <c:v>2489.39</c:v>
                </c:pt>
                <c:pt idx="1238">
                  <c:v>2500.2199999999998</c:v>
                </c:pt>
                <c:pt idx="1239">
                  <c:v>2500.2199999999998</c:v>
                </c:pt>
                <c:pt idx="1240">
                  <c:v>2500.2199999999998</c:v>
                </c:pt>
                <c:pt idx="1241">
                  <c:v>2500.2199999999998</c:v>
                </c:pt>
                <c:pt idx="1242">
                  <c:v>2542.5300000000002</c:v>
                </c:pt>
                <c:pt idx="1243">
                  <c:v>2548.13</c:v>
                </c:pt>
                <c:pt idx="1244">
                  <c:v>2549.9699999999998</c:v>
                </c:pt>
                <c:pt idx="1245">
                  <c:v>2533.79</c:v>
                </c:pt>
                <c:pt idx="1246">
                  <c:v>2533.79</c:v>
                </c:pt>
                <c:pt idx="1247">
                  <c:v>2533.79</c:v>
                </c:pt>
                <c:pt idx="1248">
                  <c:v>2549.29</c:v>
                </c:pt>
                <c:pt idx="1249">
                  <c:v>2554.44</c:v>
                </c:pt>
                <c:pt idx="1250">
                  <c:v>2571.92</c:v>
                </c:pt>
                <c:pt idx="1251">
                  <c:v>2588.56</c:v>
                </c:pt>
                <c:pt idx="1252">
                  <c:v>2623.66</c:v>
                </c:pt>
                <c:pt idx="1253">
                  <c:v>2623.66</c:v>
                </c:pt>
                <c:pt idx="1254">
                  <c:v>2623.66</c:v>
                </c:pt>
                <c:pt idx="1255">
                  <c:v>2623.66</c:v>
                </c:pt>
                <c:pt idx="1256">
                  <c:v>2569.17</c:v>
                </c:pt>
                <c:pt idx="1257">
                  <c:v>2523</c:v>
                </c:pt>
                <c:pt idx="1258">
                  <c:v>2538.5500000000002</c:v>
                </c:pt>
                <c:pt idx="1259">
                  <c:v>2535.91</c:v>
                </c:pt>
                <c:pt idx="1260">
                  <c:v>2535.91</c:v>
                </c:pt>
                <c:pt idx="1261">
                  <c:v>2535.91</c:v>
                </c:pt>
                <c:pt idx="1262">
                  <c:v>2535.91</c:v>
                </c:pt>
                <c:pt idx="1263">
                  <c:v>2531.7199999999998</c:v>
                </c:pt>
                <c:pt idx="1264">
                  <c:v>2550.4299999999998</c:v>
                </c:pt>
                <c:pt idx="1265">
                  <c:v>2528.85</c:v>
                </c:pt>
                <c:pt idx="1266">
                  <c:v>2548.1999999999998</c:v>
                </c:pt>
                <c:pt idx="1267">
                  <c:v>2548.1999999999998</c:v>
                </c:pt>
                <c:pt idx="1268">
                  <c:v>2548.1999999999998</c:v>
                </c:pt>
                <c:pt idx="1269">
                  <c:v>2537.6799999999998</c:v>
                </c:pt>
                <c:pt idx="1270">
                  <c:v>2550.7399999999998</c:v>
                </c:pt>
                <c:pt idx="1271">
                  <c:v>2566.66</c:v>
                </c:pt>
                <c:pt idx="1272">
                  <c:v>2556.21</c:v>
                </c:pt>
                <c:pt idx="1273">
                  <c:v>2585.11</c:v>
                </c:pt>
                <c:pt idx="1274">
                  <c:v>2585.11</c:v>
                </c:pt>
                <c:pt idx="1275">
                  <c:v>2585.11</c:v>
                </c:pt>
                <c:pt idx="1276">
                  <c:v>2585.11</c:v>
                </c:pt>
                <c:pt idx="1277">
                  <c:v>2598.6799999999998</c:v>
                </c:pt>
                <c:pt idx="1278">
                  <c:v>2626.8</c:v>
                </c:pt>
                <c:pt idx="1279">
                  <c:v>2623.91</c:v>
                </c:pt>
                <c:pt idx="1280">
                  <c:v>2642.97</c:v>
                </c:pt>
                <c:pt idx="1281">
                  <c:v>2642.97</c:v>
                </c:pt>
                <c:pt idx="1282">
                  <c:v>2642.97</c:v>
                </c:pt>
                <c:pt idx="1283">
                  <c:v>2665.41</c:v>
                </c:pt>
                <c:pt idx="1284">
                  <c:v>2690.15</c:v>
                </c:pt>
                <c:pt idx="1285">
                  <c:v>2690.79</c:v>
                </c:pt>
                <c:pt idx="1286">
                  <c:v>2670.79</c:v>
                </c:pt>
                <c:pt idx="1287">
                  <c:v>2667.37</c:v>
                </c:pt>
                <c:pt idx="1288">
                  <c:v>2667.37</c:v>
                </c:pt>
                <c:pt idx="1289">
                  <c:v>2667.37</c:v>
                </c:pt>
                <c:pt idx="1290">
                  <c:v>2693.54</c:v>
                </c:pt>
                <c:pt idx="1291">
                  <c:v>2688.2</c:v>
                </c:pt>
                <c:pt idx="1292">
                  <c:v>2713.04</c:v>
                </c:pt>
                <c:pt idx="1293">
                  <c:v>2727.23</c:v>
                </c:pt>
                <c:pt idx="1294">
                  <c:v>2751.88</c:v>
                </c:pt>
                <c:pt idx="1295">
                  <c:v>2751.88</c:v>
                </c:pt>
                <c:pt idx="1296">
                  <c:v>2751.88</c:v>
                </c:pt>
                <c:pt idx="1297">
                  <c:v>2751.88</c:v>
                </c:pt>
                <c:pt idx="1298">
                  <c:v>2765.1</c:v>
                </c:pt>
                <c:pt idx="1299">
                  <c:v>2790.26</c:v>
                </c:pt>
                <c:pt idx="1300">
                  <c:v>2807.36</c:v>
                </c:pt>
                <c:pt idx="1301">
                  <c:v>2857.46</c:v>
                </c:pt>
                <c:pt idx="1302">
                  <c:v>2857.46</c:v>
                </c:pt>
                <c:pt idx="1303">
                  <c:v>2857.46</c:v>
                </c:pt>
                <c:pt idx="1304">
                  <c:v>2854.13</c:v>
                </c:pt>
                <c:pt idx="1305">
                  <c:v>2855.44</c:v>
                </c:pt>
                <c:pt idx="1306">
                  <c:v>2855.32</c:v>
                </c:pt>
                <c:pt idx="1307">
                  <c:v>2866.04</c:v>
                </c:pt>
                <c:pt idx="1308">
                  <c:v>2862.51</c:v>
                </c:pt>
                <c:pt idx="1309">
                  <c:v>2862.51</c:v>
                </c:pt>
                <c:pt idx="1310">
                  <c:v>2862.51</c:v>
                </c:pt>
                <c:pt idx="1311">
                  <c:v>2902.98</c:v>
                </c:pt>
                <c:pt idx="1312">
                  <c:v>2906.95</c:v>
                </c:pt>
                <c:pt idx="1313">
                  <c:v>2945.97</c:v>
                </c:pt>
                <c:pt idx="1314">
                  <c:v>2955.31</c:v>
                </c:pt>
                <c:pt idx="1315">
                  <c:v>2955.31</c:v>
                </c:pt>
                <c:pt idx="1316">
                  <c:v>2955.31</c:v>
                </c:pt>
                <c:pt idx="1317">
                  <c:v>2955.31</c:v>
                </c:pt>
                <c:pt idx="1318">
                  <c:v>2913.45</c:v>
                </c:pt>
                <c:pt idx="1319">
                  <c:v>2943.97</c:v>
                </c:pt>
                <c:pt idx="1320">
                  <c:v>2937.63</c:v>
                </c:pt>
                <c:pt idx="1321">
                  <c:v>2966.12</c:v>
                </c:pt>
                <c:pt idx="1322">
                  <c:v>2983.12</c:v>
                </c:pt>
                <c:pt idx="1323">
                  <c:v>2983.12</c:v>
                </c:pt>
                <c:pt idx="1324">
                  <c:v>2983.12</c:v>
                </c:pt>
                <c:pt idx="1325">
                  <c:v>2983.12</c:v>
                </c:pt>
                <c:pt idx="1326">
                  <c:v>3003.35</c:v>
                </c:pt>
                <c:pt idx="1327">
                  <c:v>3027.2</c:v>
                </c:pt>
                <c:pt idx="1328">
                  <c:v>3053.65</c:v>
                </c:pt>
                <c:pt idx="1329">
                  <c:v>3102.6</c:v>
                </c:pt>
                <c:pt idx="1330">
                  <c:v>3102.6</c:v>
                </c:pt>
                <c:pt idx="1331">
                  <c:v>3102.6</c:v>
                </c:pt>
                <c:pt idx="1332">
                  <c:v>3208.37</c:v>
                </c:pt>
                <c:pt idx="1333">
                  <c:v>3194.24</c:v>
                </c:pt>
                <c:pt idx="1334">
                  <c:v>3238.51</c:v>
                </c:pt>
                <c:pt idx="1335">
                  <c:v>3195.47</c:v>
                </c:pt>
                <c:pt idx="1336">
                  <c:v>3101.1</c:v>
                </c:pt>
                <c:pt idx="1337">
                  <c:v>3101.1</c:v>
                </c:pt>
                <c:pt idx="1338">
                  <c:v>3101.1</c:v>
                </c:pt>
                <c:pt idx="1339">
                  <c:v>3079.97</c:v>
                </c:pt>
                <c:pt idx="1340">
                  <c:v>3093.64</c:v>
                </c:pt>
                <c:pt idx="1341">
                  <c:v>3142.34</c:v>
                </c:pt>
                <c:pt idx="1342">
                  <c:v>3119.93</c:v>
                </c:pt>
                <c:pt idx="1343">
                  <c:v>3113.55</c:v>
                </c:pt>
                <c:pt idx="1344">
                  <c:v>3113.55</c:v>
                </c:pt>
                <c:pt idx="1345">
                  <c:v>3113.55</c:v>
                </c:pt>
                <c:pt idx="1346">
                  <c:v>3113.55</c:v>
                </c:pt>
                <c:pt idx="1347">
                  <c:v>3138.46</c:v>
                </c:pt>
                <c:pt idx="1348">
                  <c:v>3105.4</c:v>
                </c:pt>
                <c:pt idx="1349">
                  <c:v>3080.57</c:v>
                </c:pt>
                <c:pt idx="1350">
                  <c:v>3012.96</c:v>
                </c:pt>
                <c:pt idx="1351">
                  <c:v>3012.96</c:v>
                </c:pt>
                <c:pt idx="1352">
                  <c:v>3012.96</c:v>
                </c:pt>
                <c:pt idx="1353">
                  <c:v>3032.59</c:v>
                </c:pt>
                <c:pt idx="1354">
                  <c:v>3025.28</c:v>
                </c:pt>
                <c:pt idx="1355">
                  <c:v>2989.04</c:v>
                </c:pt>
                <c:pt idx="1356">
                  <c:v>2975.13</c:v>
                </c:pt>
                <c:pt idx="1357">
                  <c:v>2984.9</c:v>
                </c:pt>
                <c:pt idx="1358">
                  <c:v>2984.9</c:v>
                </c:pt>
                <c:pt idx="1359">
                  <c:v>2984.9</c:v>
                </c:pt>
                <c:pt idx="1360">
                  <c:v>3001.68</c:v>
                </c:pt>
                <c:pt idx="1361">
                  <c:v>3065.74</c:v>
                </c:pt>
                <c:pt idx="1362">
                  <c:v>3099.28</c:v>
                </c:pt>
                <c:pt idx="1363">
                  <c:v>3135.17</c:v>
                </c:pt>
                <c:pt idx="1364">
                  <c:v>3080.44</c:v>
                </c:pt>
                <c:pt idx="1365">
                  <c:v>3080.44</c:v>
                </c:pt>
                <c:pt idx="1366">
                  <c:v>3080.44</c:v>
                </c:pt>
                <c:pt idx="1367">
                  <c:v>3096.98</c:v>
                </c:pt>
                <c:pt idx="1368">
                  <c:v>3121.94</c:v>
                </c:pt>
                <c:pt idx="1369">
                  <c:v>3086.75</c:v>
                </c:pt>
                <c:pt idx="1370">
                  <c:v>3061.85</c:v>
                </c:pt>
                <c:pt idx="1371">
                  <c:v>3034.9</c:v>
                </c:pt>
                <c:pt idx="1372">
                  <c:v>3034.9</c:v>
                </c:pt>
                <c:pt idx="1373">
                  <c:v>3034.9</c:v>
                </c:pt>
                <c:pt idx="1374">
                  <c:v>2971.15</c:v>
                </c:pt>
                <c:pt idx="1375">
                  <c:v>2913.74</c:v>
                </c:pt>
                <c:pt idx="1376">
                  <c:v>2891.91</c:v>
                </c:pt>
                <c:pt idx="1377">
                  <c:v>2887.21</c:v>
                </c:pt>
                <c:pt idx="1378">
                  <c:v>2855.74</c:v>
                </c:pt>
                <c:pt idx="1379">
                  <c:v>2855.74</c:v>
                </c:pt>
                <c:pt idx="1380">
                  <c:v>2855.74</c:v>
                </c:pt>
                <c:pt idx="1381">
                  <c:v>2855.74</c:v>
                </c:pt>
                <c:pt idx="1382">
                  <c:v>2910.7</c:v>
                </c:pt>
                <c:pt idx="1383">
                  <c:v>2928.69</c:v>
                </c:pt>
                <c:pt idx="1384">
                  <c:v>2908.87</c:v>
                </c:pt>
                <c:pt idx="1385">
                  <c:v>2879.89</c:v>
                </c:pt>
                <c:pt idx="1386">
                  <c:v>2879.89</c:v>
                </c:pt>
                <c:pt idx="1387">
                  <c:v>2879.89</c:v>
                </c:pt>
                <c:pt idx="1388">
                  <c:v>2912.99</c:v>
                </c:pt>
                <c:pt idx="1389">
                  <c:v>2929.19</c:v>
                </c:pt>
                <c:pt idx="1390">
                  <c:v>2966.68</c:v>
                </c:pt>
                <c:pt idx="1391">
                  <c:v>2925.36</c:v>
                </c:pt>
                <c:pt idx="1392">
                  <c:v>2912.08</c:v>
                </c:pt>
                <c:pt idx="1393">
                  <c:v>2912.08</c:v>
                </c:pt>
                <c:pt idx="1394">
                  <c:v>2912.08</c:v>
                </c:pt>
                <c:pt idx="1395">
                  <c:v>2918.21</c:v>
                </c:pt>
                <c:pt idx="1396">
                  <c:v>2950.87</c:v>
                </c:pt>
                <c:pt idx="1397">
                  <c:v>2926.75</c:v>
                </c:pt>
                <c:pt idx="1398">
                  <c:v>2921.32</c:v>
                </c:pt>
                <c:pt idx="1399">
                  <c:v>2897.83</c:v>
                </c:pt>
                <c:pt idx="1400">
                  <c:v>2897.83</c:v>
                </c:pt>
                <c:pt idx="1401">
                  <c:v>2897.83</c:v>
                </c:pt>
                <c:pt idx="1402">
                  <c:v>2897.83</c:v>
                </c:pt>
                <c:pt idx="1403">
                  <c:v>2825.25</c:v>
                </c:pt>
                <c:pt idx="1404">
                  <c:v>2819.63</c:v>
                </c:pt>
                <c:pt idx="1405">
                  <c:v>2853.32</c:v>
                </c:pt>
                <c:pt idx="1406">
                  <c:v>2896.19</c:v>
                </c:pt>
                <c:pt idx="1407">
                  <c:v>2896.19</c:v>
                </c:pt>
                <c:pt idx="1408">
                  <c:v>2896.19</c:v>
                </c:pt>
                <c:pt idx="1409">
                  <c:v>2921.15</c:v>
                </c:pt>
                <c:pt idx="1410">
                  <c:v>2935.86</c:v>
                </c:pt>
                <c:pt idx="1411">
                  <c:v>2935.86</c:v>
                </c:pt>
                <c:pt idx="1412">
                  <c:v>3009.36</c:v>
                </c:pt>
                <c:pt idx="1413">
                  <c:v>3073.23</c:v>
                </c:pt>
                <c:pt idx="1414">
                  <c:v>3073.23</c:v>
                </c:pt>
                <c:pt idx="1415">
                  <c:v>3073.23</c:v>
                </c:pt>
                <c:pt idx="1416">
                  <c:v>3073.23</c:v>
                </c:pt>
                <c:pt idx="1417">
                  <c:v>3069.24</c:v>
                </c:pt>
                <c:pt idx="1418">
                  <c:v>3108.7</c:v>
                </c:pt>
                <c:pt idx="1419">
                  <c:v>3082.04</c:v>
                </c:pt>
                <c:pt idx="1420">
                  <c:v>3047.31</c:v>
                </c:pt>
                <c:pt idx="1421">
                  <c:v>3047.31</c:v>
                </c:pt>
                <c:pt idx="1422">
                  <c:v>3047.31</c:v>
                </c:pt>
                <c:pt idx="1423">
                  <c:v>3086.82</c:v>
                </c:pt>
                <c:pt idx="1424">
                  <c:v>3074.35</c:v>
                </c:pt>
                <c:pt idx="1425">
                  <c:v>3099.75</c:v>
                </c:pt>
                <c:pt idx="1426">
                  <c:v>3099.75</c:v>
                </c:pt>
                <c:pt idx="1427">
                  <c:v>3101.1</c:v>
                </c:pt>
                <c:pt idx="1428">
                  <c:v>3101.1</c:v>
                </c:pt>
                <c:pt idx="1429">
                  <c:v>3101.1</c:v>
                </c:pt>
                <c:pt idx="1430">
                  <c:v>3142.11</c:v>
                </c:pt>
                <c:pt idx="1431">
                  <c:v>3131.95</c:v>
                </c:pt>
                <c:pt idx="1432">
                  <c:v>3166.67</c:v>
                </c:pt>
                <c:pt idx="1433">
                  <c:v>3149.12</c:v>
                </c:pt>
                <c:pt idx="1434">
                  <c:v>3179.22</c:v>
                </c:pt>
                <c:pt idx="1435">
                  <c:v>3179.22</c:v>
                </c:pt>
                <c:pt idx="1436">
                  <c:v>3179.22</c:v>
                </c:pt>
                <c:pt idx="1437">
                  <c:v>3287.03</c:v>
                </c:pt>
                <c:pt idx="1438">
                  <c:v>3287.03</c:v>
                </c:pt>
                <c:pt idx="1439">
                  <c:v>3294.02</c:v>
                </c:pt>
                <c:pt idx="1440">
                  <c:v>3259.56</c:v>
                </c:pt>
                <c:pt idx="1441">
                  <c:v>3299.36</c:v>
                </c:pt>
                <c:pt idx="1442">
                  <c:v>3299.36</c:v>
                </c:pt>
                <c:pt idx="1443">
                  <c:v>3299.36</c:v>
                </c:pt>
                <c:pt idx="1444">
                  <c:v>3356</c:v>
                </c:pt>
                <c:pt idx="1445">
                  <c:v>3328.08</c:v>
                </c:pt>
                <c:pt idx="1446">
                  <c:v>3317.72</c:v>
                </c:pt>
                <c:pt idx="1447">
                  <c:v>3333.37</c:v>
                </c:pt>
                <c:pt idx="1448">
                  <c:v>3337.68</c:v>
                </c:pt>
                <c:pt idx="1449">
                  <c:v>3337.68</c:v>
                </c:pt>
                <c:pt idx="1450">
                  <c:v>3337.68</c:v>
                </c:pt>
                <c:pt idx="1451">
                  <c:v>3332.7</c:v>
                </c:pt>
                <c:pt idx="1452">
                  <c:v>3307.24</c:v>
                </c:pt>
                <c:pt idx="1453">
                  <c:v>3255.19</c:v>
                </c:pt>
                <c:pt idx="1454">
                  <c:v>3172.03</c:v>
                </c:pt>
                <c:pt idx="1455">
                  <c:v>3172.03</c:v>
                </c:pt>
                <c:pt idx="1456">
                  <c:v>3172.03</c:v>
                </c:pt>
                <c:pt idx="1457">
                  <c:v>3172.03</c:v>
                </c:pt>
                <c:pt idx="1458">
                  <c:v>3180.87</c:v>
                </c:pt>
                <c:pt idx="1459">
                  <c:v>3155.22</c:v>
                </c:pt>
                <c:pt idx="1460">
                  <c:v>3149.47</c:v>
                </c:pt>
                <c:pt idx="1461">
                  <c:v>3149.47</c:v>
                </c:pt>
                <c:pt idx="1462">
                  <c:v>3149.47</c:v>
                </c:pt>
                <c:pt idx="1463">
                  <c:v>3149.47</c:v>
                </c:pt>
                <c:pt idx="1464">
                  <c:v>3149.47</c:v>
                </c:pt>
                <c:pt idx="1465">
                  <c:v>3213.24</c:v>
                </c:pt>
                <c:pt idx="1466">
                  <c:v>3203.86</c:v>
                </c:pt>
                <c:pt idx="1467">
                  <c:v>3250.69</c:v>
                </c:pt>
                <c:pt idx="1468">
                  <c:v>3287.28</c:v>
                </c:pt>
                <c:pt idx="1469">
                  <c:v>3268.37</c:v>
                </c:pt>
                <c:pt idx="1470">
                  <c:v>3268.37</c:v>
                </c:pt>
                <c:pt idx="1471">
                  <c:v>3268.37</c:v>
                </c:pt>
                <c:pt idx="1472">
                  <c:v>3268.37</c:v>
                </c:pt>
                <c:pt idx="1473">
                  <c:v>3246.51</c:v>
                </c:pt>
                <c:pt idx="1474">
                  <c:v>3235.45</c:v>
                </c:pt>
                <c:pt idx="1475">
                  <c:v>3240.71</c:v>
                </c:pt>
                <c:pt idx="1476">
                  <c:v>3293.94</c:v>
                </c:pt>
                <c:pt idx="1477">
                  <c:v>3293.94</c:v>
                </c:pt>
                <c:pt idx="1478">
                  <c:v>3293.94</c:v>
                </c:pt>
                <c:pt idx="1479">
                  <c:v>3293.94</c:v>
                </c:pt>
                <c:pt idx="1480">
                  <c:v>3297.46</c:v>
                </c:pt>
                <c:pt idx="1481">
                  <c:v>3357.67</c:v>
                </c:pt>
                <c:pt idx="1482">
                  <c:v>3368.49</c:v>
                </c:pt>
                <c:pt idx="1483">
                  <c:v>3281.74</c:v>
                </c:pt>
                <c:pt idx="1484">
                  <c:v>3281.74</c:v>
                </c:pt>
                <c:pt idx="1485">
                  <c:v>3281.74</c:v>
                </c:pt>
                <c:pt idx="1486">
                  <c:v>3362.38</c:v>
                </c:pt>
                <c:pt idx="1487">
                  <c:v>3375.8</c:v>
                </c:pt>
                <c:pt idx="1488">
                  <c:v>3366.63</c:v>
                </c:pt>
                <c:pt idx="1489">
                  <c:v>3302.92</c:v>
                </c:pt>
                <c:pt idx="1490">
                  <c:v>3287.31</c:v>
                </c:pt>
                <c:pt idx="1491">
                  <c:v>3287.31</c:v>
                </c:pt>
                <c:pt idx="1492">
                  <c:v>3287.31</c:v>
                </c:pt>
                <c:pt idx="1493">
                  <c:v>3326.82</c:v>
                </c:pt>
                <c:pt idx="1494">
                  <c:v>3387.69</c:v>
                </c:pt>
                <c:pt idx="1495">
                  <c:v>3382.2</c:v>
                </c:pt>
                <c:pt idx="1496">
                  <c:v>3315.75</c:v>
                </c:pt>
                <c:pt idx="1497">
                  <c:v>3320.49</c:v>
                </c:pt>
                <c:pt idx="1498">
                  <c:v>3320.49</c:v>
                </c:pt>
                <c:pt idx="1499">
                  <c:v>3320.49</c:v>
                </c:pt>
                <c:pt idx="1500">
                  <c:v>3367.02</c:v>
                </c:pt>
                <c:pt idx="1501">
                  <c:v>3391.93</c:v>
                </c:pt>
                <c:pt idx="1502">
                  <c:v>3385.65</c:v>
                </c:pt>
                <c:pt idx="1503">
                  <c:v>3434.89</c:v>
                </c:pt>
                <c:pt idx="1504">
                  <c:v>3409.82</c:v>
                </c:pt>
                <c:pt idx="1505">
                  <c:v>3409.82</c:v>
                </c:pt>
                <c:pt idx="1506">
                  <c:v>3409.82</c:v>
                </c:pt>
                <c:pt idx="1507">
                  <c:v>3409.82</c:v>
                </c:pt>
                <c:pt idx="1508">
                  <c:v>3406.87</c:v>
                </c:pt>
                <c:pt idx="1509">
                  <c:v>3391.87</c:v>
                </c:pt>
                <c:pt idx="1510">
                  <c:v>3338.03</c:v>
                </c:pt>
                <c:pt idx="1511">
                  <c:v>3356.78</c:v>
                </c:pt>
                <c:pt idx="1512">
                  <c:v>3356.78</c:v>
                </c:pt>
                <c:pt idx="1513">
                  <c:v>3356.78</c:v>
                </c:pt>
                <c:pt idx="1514">
                  <c:v>3314.24</c:v>
                </c:pt>
                <c:pt idx="1515">
                  <c:v>3322.54</c:v>
                </c:pt>
                <c:pt idx="1516">
                  <c:v>3341.69</c:v>
                </c:pt>
                <c:pt idx="1517">
                  <c:v>3310.16</c:v>
                </c:pt>
                <c:pt idx="1518">
                  <c:v>3306</c:v>
                </c:pt>
                <c:pt idx="1519">
                  <c:v>3306</c:v>
                </c:pt>
                <c:pt idx="1520">
                  <c:v>3306</c:v>
                </c:pt>
                <c:pt idx="1521">
                  <c:v>3319.8</c:v>
                </c:pt>
                <c:pt idx="1522">
                  <c:v>3268.86</c:v>
                </c:pt>
                <c:pt idx="1523">
                  <c:v>3205.6</c:v>
                </c:pt>
                <c:pt idx="1524">
                  <c:v>3203.03</c:v>
                </c:pt>
                <c:pt idx="1525">
                  <c:v>3163.25</c:v>
                </c:pt>
                <c:pt idx="1526">
                  <c:v>3163.25</c:v>
                </c:pt>
                <c:pt idx="1527">
                  <c:v>3163.25</c:v>
                </c:pt>
                <c:pt idx="1528">
                  <c:v>3135.28</c:v>
                </c:pt>
                <c:pt idx="1529">
                  <c:v>3155.9</c:v>
                </c:pt>
                <c:pt idx="1530">
                  <c:v>3192.49</c:v>
                </c:pt>
                <c:pt idx="1531">
                  <c:v>3204.27</c:v>
                </c:pt>
                <c:pt idx="1532">
                  <c:v>3164.12</c:v>
                </c:pt>
                <c:pt idx="1533">
                  <c:v>3164.12</c:v>
                </c:pt>
                <c:pt idx="1534">
                  <c:v>3164.12</c:v>
                </c:pt>
                <c:pt idx="1535">
                  <c:v>3175.95</c:v>
                </c:pt>
                <c:pt idx="1536">
                  <c:v>3175.88</c:v>
                </c:pt>
                <c:pt idx="1537">
                  <c:v>3155.9</c:v>
                </c:pt>
                <c:pt idx="1538">
                  <c:v>3087.39</c:v>
                </c:pt>
                <c:pt idx="1539">
                  <c:v>3065.79</c:v>
                </c:pt>
                <c:pt idx="1540">
                  <c:v>3065.79</c:v>
                </c:pt>
                <c:pt idx="1541">
                  <c:v>3065.79</c:v>
                </c:pt>
                <c:pt idx="1542">
                  <c:v>3065.79</c:v>
                </c:pt>
                <c:pt idx="1543">
                  <c:v>3050.31</c:v>
                </c:pt>
                <c:pt idx="1544">
                  <c:v>3058.8</c:v>
                </c:pt>
                <c:pt idx="1545">
                  <c:v>3058.8</c:v>
                </c:pt>
                <c:pt idx="1546">
                  <c:v>3058.8</c:v>
                </c:pt>
                <c:pt idx="1547">
                  <c:v>3058.8</c:v>
                </c:pt>
                <c:pt idx="1548">
                  <c:v>3058.8</c:v>
                </c:pt>
                <c:pt idx="1549">
                  <c:v>3047.85</c:v>
                </c:pt>
                <c:pt idx="1550">
                  <c:v>3052.33</c:v>
                </c:pt>
                <c:pt idx="1551">
                  <c:v>3022.35</c:v>
                </c:pt>
                <c:pt idx="1552">
                  <c:v>3000.63</c:v>
                </c:pt>
                <c:pt idx="1553">
                  <c:v>3038.48</c:v>
                </c:pt>
                <c:pt idx="1554">
                  <c:v>3038.48</c:v>
                </c:pt>
                <c:pt idx="1555">
                  <c:v>3038.48</c:v>
                </c:pt>
                <c:pt idx="1556">
                  <c:v>3066.94</c:v>
                </c:pt>
                <c:pt idx="1557">
                  <c:v>3085.82</c:v>
                </c:pt>
                <c:pt idx="1558">
                  <c:v>3081.39</c:v>
                </c:pt>
                <c:pt idx="1559">
                  <c:v>3109.6</c:v>
                </c:pt>
                <c:pt idx="1560">
                  <c:v>3076.29</c:v>
                </c:pt>
                <c:pt idx="1561">
                  <c:v>3076.29</c:v>
                </c:pt>
                <c:pt idx="1562">
                  <c:v>3076.29</c:v>
                </c:pt>
                <c:pt idx="1563">
                  <c:v>3057.96</c:v>
                </c:pt>
                <c:pt idx="1564">
                  <c:v>3036.57</c:v>
                </c:pt>
                <c:pt idx="1565">
                  <c:v>3006.35</c:v>
                </c:pt>
                <c:pt idx="1566">
                  <c:v>3000.78</c:v>
                </c:pt>
                <c:pt idx="1567">
                  <c:v>2999.38</c:v>
                </c:pt>
                <c:pt idx="1568">
                  <c:v>2999.38</c:v>
                </c:pt>
                <c:pt idx="1569">
                  <c:v>2999.38</c:v>
                </c:pt>
                <c:pt idx="1570">
                  <c:v>2995.86</c:v>
                </c:pt>
                <c:pt idx="1571">
                  <c:v>2912.2</c:v>
                </c:pt>
                <c:pt idx="1572">
                  <c:v>2899.92</c:v>
                </c:pt>
                <c:pt idx="1573">
                  <c:v>2928.7</c:v>
                </c:pt>
                <c:pt idx="1574">
                  <c:v>2939.7</c:v>
                </c:pt>
                <c:pt idx="1575">
                  <c:v>2939.7</c:v>
                </c:pt>
                <c:pt idx="1576">
                  <c:v>2939.7</c:v>
                </c:pt>
                <c:pt idx="1577">
                  <c:v>2962.08</c:v>
                </c:pt>
                <c:pt idx="1578">
                  <c:v>2945.37</c:v>
                </c:pt>
                <c:pt idx="1579">
                  <c:v>2943.23</c:v>
                </c:pt>
                <c:pt idx="1580">
                  <c:v>2885.72</c:v>
                </c:pt>
                <c:pt idx="1581">
                  <c:v>2851.14</c:v>
                </c:pt>
                <c:pt idx="1582">
                  <c:v>2851.14</c:v>
                </c:pt>
                <c:pt idx="1583">
                  <c:v>2851.14</c:v>
                </c:pt>
                <c:pt idx="1584">
                  <c:v>2833.78</c:v>
                </c:pt>
                <c:pt idx="1585">
                  <c:v>2895.51</c:v>
                </c:pt>
                <c:pt idx="1586">
                  <c:v>2942.16</c:v>
                </c:pt>
                <c:pt idx="1587">
                  <c:v>2952.37</c:v>
                </c:pt>
                <c:pt idx="1588">
                  <c:v>2969.62</c:v>
                </c:pt>
                <c:pt idx="1589">
                  <c:v>2969.62</c:v>
                </c:pt>
                <c:pt idx="1590">
                  <c:v>2969.62</c:v>
                </c:pt>
                <c:pt idx="1591">
                  <c:v>2969.62</c:v>
                </c:pt>
                <c:pt idx="1592">
                  <c:v>2979.54</c:v>
                </c:pt>
                <c:pt idx="1593">
                  <c:v>2956.82</c:v>
                </c:pt>
                <c:pt idx="1594">
                  <c:v>2934.88</c:v>
                </c:pt>
                <c:pt idx="1595">
                  <c:v>2983.82</c:v>
                </c:pt>
                <c:pt idx="1596">
                  <c:v>2983.82</c:v>
                </c:pt>
                <c:pt idx="1597">
                  <c:v>2983.82</c:v>
                </c:pt>
                <c:pt idx="1598">
                  <c:v>3007.74</c:v>
                </c:pt>
                <c:pt idx="1599">
                  <c:v>3020.89</c:v>
                </c:pt>
                <c:pt idx="1600">
                  <c:v>3031.48</c:v>
                </c:pt>
                <c:pt idx="1601">
                  <c:v>3056.06</c:v>
                </c:pt>
                <c:pt idx="1602">
                  <c:v>3047.99</c:v>
                </c:pt>
                <c:pt idx="1603">
                  <c:v>3047.99</c:v>
                </c:pt>
                <c:pt idx="1604">
                  <c:v>3047.99</c:v>
                </c:pt>
                <c:pt idx="1605">
                  <c:v>3058.25</c:v>
                </c:pt>
                <c:pt idx="1606">
                  <c:v>3059.92</c:v>
                </c:pt>
                <c:pt idx="1607">
                  <c:v>3061.89</c:v>
                </c:pt>
                <c:pt idx="1608">
                  <c:v>3054.6</c:v>
                </c:pt>
                <c:pt idx="1609">
                  <c:v>3069.17</c:v>
                </c:pt>
                <c:pt idx="1610">
                  <c:v>3069.17</c:v>
                </c:pt>
                <c:pt idx="1611">
                  <c:v>3069.17</c:v>
                </c:pt>
                <c:pt idx="1612">
                  <c:v>3069.17</c:v>
                </c:pt>
                <c:pt idx="1613">
                  <c:v>3089.65</c:v>
                </c:pt>
                <c:pt idx="1614">
                  <c:v>3117.83</c:v>
                </c:pt>
                <c:pt idx="1615">
                  <c:v>3110.88</c:v>
                </c:pt>
                <c:pt idx="1616">
                  <c:v>3017.71</c:v>
                </c:pt>
                <c:pt idx="1617">
                  <c:v>3017.71</c:v>
                </c:pt>
                <c:pt idx="1618">
                  <c:v>3017.71</c:v>
                </c:pt>
                <c:pt idx="1619">
                  <c:v>3017.71</c:v>
                </c:pt>
                <c:pt idx="1620">
                  <c:v>2950.95</c:v>
                </c:pt>
                <c:pt idx="1621">
                  <c:v>2905.23</c:v>
                </c:pt>
                <c:pt idx="1622">
                  <c:v>2942.13</c:v>
                </c:pt>
                <c:pt idx="1623">
                  <c:v>2969.83</c:v>
                </c:pt>
                <c:pt idx="1624">
                  <c:v>2969.83</c:v>
                </c:pt>
                <c:pt idx="1625">
                  <c:v>2969.83</c:v>
                </c:pt>
                <c:pt idx="1626">
                  <c:v>2990.35</c:v>
                </c:pt>
                <c:pt idx="1627">
                  <c:v>3003.28</c:v>
                </c:pt>
                <c:pt idx="1628">
                  <c:v>2989.56</c:v>
                </c:pt>
                <c:pt idx="1629">
                  <c:v>3019.12</c:v>
                </c:pt>
                <c:pt idx="1630">
                  <c:v>3010.91</c:v>
                </c:pt>
                <c:pt idx="1631">
                  <c:v>3010.91</c:v>
                </c:pt>
                <c:pt idx="1632">
                  <c:v>3010.91</c:v>
                </c:pt>
                <c:pt idx="1633">
                  <c:v>2972.97</c:v>
                </c:pt>
                <c:pt idx="1634">
                  <c:v>2976.29</c:v>
                </c:pt>
                <c:pt idx="1635">
                  <c:v>2944.06</c:v>
                </c:pt>
                <c:pt idx="1636">
                  <c:v>2897.53</c:v>
                </c:pt>
                <c:pt idx="1637">
                  <c:v>2972.92</c:v>
                </c:pt>
                <c:pt idx="1638">
                  <c:v>2972.92</c:v>
                </c:pt>
                <c:pt idx="1639">
                  <c:v>2972.92</c:v>
                </c:pt>
                <c:pt idx="1640">
                  <c:v>3022.78</c:v>
                </c:pt>
                <c:pt idx="1641">
                  <c:v>3005.18</c:v>
                </c:pt>
                <c:pt idx="1642">
                  <c:v>2916.15</c:v>
                </c:pt>
                <c:pt idx="1643">
                  <c:v>2919.01</c:v>
                </c:pt>
                <c:pt idx="1644">
                  <c:v>2914.38</c:v>
                </c:pt>
                <c:pt idx="1645">
                  <c:v>2914.38</c:v>
                </c:pt>
                <c:pt idx="1646">
                  <c:v>2914.38</c:v>
                </c:pt>
                <c:pt idx="1647">
                  <c:v>2914.38</c:v>
                </c:pt>
                <c:pt idx="1648">
                  <c:v>2966.87</c:v>
                </c:pt>
                <c:pt idx="1649">
                  <c:v>3003.2</c:v>
                </c:pt>
                <c:pt idx="1650">
                  <c:v>2986.49</c:v>
                </c:pt>
                <c:pt idx="1651">
                  <c:v>2952.64</c:v>
                </c:pt>
                <c:pt idx="1652">
                  <c:v>2952.64</c:v>
                </c:pt>
                <c:pt idx="1653">
                  <c:v>2952.64</c:v>
                </c:pt>
                <c:pt idx="1654">
                  <c:v>2929.81</c:v>
                </c:pt>
                <c:pt idx="1655">
                  <c:v>2911.91</c:v>
                </c:pt>
                <c:pt idx="1656">
                  <c:v>2936.53</c:v>
                </c:pt>
                <c:pt idx="1657">
                  <c:v>2923.07</c:v>
                </c:pt>
                <c:pt idx="1658">
                  <c:v>2923.46</c:v>
                </c:pt>
                <c:pt idx="1659">
                  <c:v>2923.46</c:v>
                </c:pt>
                <c:pt idx="1660">
                  <c:v>2923.46</c:v>
                </c:pt>
                <c:pt idx="1661">
                  <c:v>2928.3</c:v>
                </c:pt>
                <c:pt idx="1662">
                  <c:v>2931.08</c:v>
                </c:pt>
                <c:pt idx="1663">
                  <c:v>2931.08</c:v>
                </c:pt>
                <c:pt idx="1664">
                  <c:v>2928.67</c:v>
                </c:pt>
                <c:pt idx="1665">
                  <c:v>2942.65</c:v>
                </c:pt>
                <c:pt idx="1666">
                  <c:v>2942.65</c:v>
                </c:pt>
                <c:pt idx="1667">
                  <c:v>2942.65</c:v>
                </c:pt>
                <c:pt idx="1668">
                  <c:v>2997.25</c:v>
                </c:pt>
                <c:pt idx="1669">
                  <c:v>3055.15</c:v>
                </c:pt>
                <c:pt idx="1670">
                  <c:v>3073.52</c:v>
                </c:pt>
                <c:pt idx="1671">
                  <c:v>3091.78</c:v>
                </c:pt>
                <c:pt idx="1672">
                  <c:v>3081.75</c:v>
                </c:pt>
                <c:pt idx="1673">
                  <c:v>3081.75</c:v>
                </c:pt>
                <c:pt idx="1674">
                  <c:v>3081.75</c:v>
                </c:pt>
                <c:pt idx="1675">
                  <c:v>3090.28</c:v>
                </c:pt>
                <c:pt idx="1676">
                  <c:v>3084.81</c:v>
                </c:pt>
                <c:pt idx="1677">
                  <c:v>3110.43</c:v>
                </c:pt>
                <c:pt idx="1678">
                  <c:v>3079.83</c:v>
                </c:pt>
                <c:pt idx="1679">
                  <c:v>3052.8</c:v>
                </c:pt>
                <c:pt idx="1680">
                  <c:v>3052.8</c:v>
                </c:pt>
                <c:pt idx="1681">
                  <c:v>3052.8</c:v>
                </c:pt>
                <c:pt idx="1682">
                  <c:v>2992.5</c:v>
                </c:pt>
                <c:pt idx="1683">
                  <c:v>2974.31</c:v>
                </c:pt>
                <c:pt idx="1684">
                  <c:v>2954.9</c:v>
                </c:pt>
                <c:pt idx="1685">
                  <c:v>2911.26</c:v>
                </c:pt>
                <c:pt idx="1686">
                  <c:v>2908.67</c:v>
                </c:pt>
                <c:pt idx="1687">
                  <c:v>2908.67</c:v>
                </c:pt>
                <c:pt idx="1688">
                  <c:v>2908.67</c:v>
                </c:pt>
                <c:pt idx="1689">
                  <c:v>2908.67</c:v>
                </c:pt>
                <c:pt idx="1690">
                  <c:v>2905.3</c:v>
                </c:pt>
                <c:pt idx="1691">
                  <c:v>2918.07</c:v>
                </c:pt>
                <c:pt idx="1692">
                  <c:v>2884.02</c:v>
                </c:pt>
                <c:pt idx="1693">
                  <c:v>2867.37</c:v>
                </c:pt>
                <c:pt idx="1694">
                  <c:v>2867.37</c:v>
                </c:pt>
                <c:pt idx="1695">
                  <c:v>2867.37</c:v>
                </c:pt>
                <c:pt idx="1696">
                  <c:v>2883.89</c:v>
                </c:pt>
                <c:pt idx="1697">
                  <c:v>2909.1</c:v>
                </c:pt>
                <c:pt idx="1698">
                  <c:v>2938.28</c:v>
                </c:pt>
                <c:pt idx="1699">
                  <c:v>2915.67</c:v>
                </c:pt>
                <c:pt idx="1700">
                  <c:v>2882.69</c:v>
                </c:pt>
                <c:pt idx="1701">
                  <c:v>2882.69</c:v>
                </c:pt>
                <c:pt idx="1702">
                  <c:v>2882.69</c:v>
                </c:pt>
                <c:pt idx="1703">
                  <c:v>2924.29</c:v>
                </c:pt>
                <c:pt idx="1704">
                  <c:v>2933.82</c:v>
                </c:pt>
                <c:pt idx="1705">
                  <c:v>2956.53</c:v>
                </c:pt>
                <c:pt idx="1706">
                  <c:v>2986.36</c:v>
                </c:pt>
                <c:pt idx="1707">
                  <c:v>2957.56</c:v>
                </c:pt>
                <c:pt idx="1708">
                  <c:v>2957.56</c:v>
                </c:pt>
                <c:pt idx="1709">
                  <c:v>2957.56</c:v>
                </c:pt>
                <c:pt idx="1710">
                  <c:v>2957.56</c:v>
                </c:pt>
                <c:pt idx="1711">
                  <c:v>2887.64</c:v>
                </c:pt>
                <c:pt idx="1712">
                  <c:v>2840.38</c:v>
                </c:pt>
                <c:pt idx="1713">
                  <c:v>2846.13</c:v>
                </c:pt>
                <c:pt idx="1714">
                  <c:v>2899.29</c:v>
                </c:pt>
                <c:pt idx="1715">
                  <c:v>2899.29</c:v>
                </c:pt>
                <c:pt idx="1716">
                  <c:v>2899.29</c:v>
                </c:pt>
                <c:pt idx="1717">
                  <c:v>2942.29</c:v>
                </c:pt>
                <c:pt idx="1718">
                  <c:v>2976.19</c:v>
                </c:pt>
                <c:pt idx="1719">
                  <c:v>2972.65</c:v>
                </c:pt>
                <c:pt idx="1720">
                  <c:v>2938.5</c:v>
                </c:pt>
                <c:pt idx="1721">
                  <c:v>2956.58</c:v>
                </c:pt>
                <c:pt idx="1722">
                  <c:v>2956.58</c:v>
                </c:pt>
                <c:pt idx="1723">
                  <c:v>2956.58</c:v>
                </c:pt>
                <c:pt idx="1724">
                  <c:v>2928.18</c:v>
                </c:pt>
                <c:pt idx="1725">
                  <c:v>2911.11</c:v>
                </c:pt>
                <c:pt idx="1726">
                  <c:v>2894.15</c:v>
                </c:pt>
                <c:pt idx="1727">
                  <c:v>2862.52</c:v>
                </c:pt>
                <c:pt idx="1728">
                  <c:v>2917.95</c:v>
                </c:pt>
                <c:pt idx="1729">
                  <c:v>2917.95</c:v>
                </c:pt>
                <c:pt idx="1730">
                  <c:v>2917.95</c:v>
                </c:pt>
                <c:pt idx="1731">
                  <c:v>2917.58</c:v>
                </c:pt>
                <c:pt idx="1732">
                  <c:v>2921.99</c:v>
                </c:pt>
                <c:pt idx="1733">
                  <c:v>2914.11</c:v>
                </c:pt>
                <c:pt idx="1734">
                  <c:v>2879.95</c:v>
                </c:pt>
                <c:pt idx="1735">
                  <c:v>2880.08</c:v>
                </c:pt>
                <c:pt idx="1736">
                  <c:v>2880.08</c:v>
                </c:pt>
                <c:pt idx="1737">
                  <c:v>2880.08</c:v>
                </c:pt>
                <c:pt idx="1738">
                  <c:v>2937.23</c:v>
                </c:pt>
                <c:pt idx="1739">
                  <c:v>2963.06</c:v>
                </c:pt>
                <c:pt idx="1740">
                  <c:v>2964.93</c:v>
                </c:pt>
                <c:pt idx="1741">
                  <c:v>2924.8</c:v>
                </c:pt>
                <c:pt idx="1742">
                  <c:v>2913.96</c:v>
                </c:pt>
                <c:pt idx="1743">
                  <c:v>2913.96</c:v>
                </c:pt>
                <c:pt idx="1744">
                  <c:v>2913.96</c:v>
                </c:pt>
                <c:pt idx="1745">
                  <c:v>2913.96</c:v>
                </c:pt>
                <c:pt idx="1746">
                  <c:v>2919.51</c:v>
                </c:pt>
                <c:pt idx="1747">
                  <c:v>2919.18</c:v>
                </c:pt>
                <c:pt idx="1748">
                  <c:v>2930.78</c:v>
                </c:pt>
                <c:pt idx="1749">
                  <c:v>2915.67</c:v>
                </c:pt>
                <c:pt idx="1750">
                  <c:v>2915.67</c:v>
                </c:pt>
                <c:pt idx="1751">
                  <c:v>2915.67</c:v>
                </c:pt>
                <c:pt idx="1752">
                  <c:v>2915.67</c:v>
                </c:pt>
                <c:pt idx="1753">
                  <c:v>2905.93</c:v>
                </c:pt>
                <c:pt idx="1754">
                  <c:v>2914.15</c:v>
                </c:pt>
                <c:pt idx="1755">
                  <c:v>2934.03</c:v>
                </c:pt>
                <c:pt idx="1756">
                  <c:v>2944.25</c:v>
                </c:pt>
                <c:pt idx="1757">
                  <c:v>2944.25</c:v>
                </c:pt>
                <c:pt idx="1758">
                  <c:v>2944.25</c:v>
                </c:pt>
                <c:pt idx="1759">
                  <c:v>2929.83</c:v>
                </c:pt>
                <c:pt idx="1760">
                  <c:v>2941.34</c:v>
                </c:pt>
                <c:pt idx="1761">
                  <c:v>2965.18</c:v>
                </c:pt>
                <c:pt idx="1762">
                  <c:v>2966.61</c:v>
                </c:pt>
                <c:pt idx="1763">
                  <c:v>2967.66</c:v>
                </c:pt>
                <c:pt idx="1764">
                  <c:v>2967.66</c:v>
                </c:pt>
                <c:pt idx="1765">
                  <c:v>2967.66</c:v>
                </c:pt>
                <c:pt idx="1766">
                  <c:v>2998.55</c:v>
                </c:pt>
                <c:pt idx="1767">
                  <c:v>3026.68</c:v>
                </c:pt>
                <c:pt idx="1768">
                  <c:v>3070.54</c:v>
                </c:pt>
                <c:pt idx="1769">
                  <c:v>3071.12</c:v>
                </c:pt>
                <c:pt idx="1770">
                  <c:v>3070.4</c:v>
                </c:pt>
                <c:pt idx="1771">
                  <c:v>3070.4</c:v>
                </c:pt>
                <c:pt idx="1772">
                  <c:v>3070.4</c:v>
                </c:pt>
                <c:pt idx="1773">
                  <c:v>3070.4</c:v>
                </c:pt>
                <c:pt idx="1774">
                  <c:v>2984.78</c:v>
                </c:pt>
                <c:pt idx="1775">
                  <c:v>3012.12</c:v>
                </c:pt>
                <c:pt idx="1776">
                  <c:v>3100.12</c:v>
                </c:pt>
                <c:pt idx="1777">
                  <c:v>3100.12</c:v>
                </c:pt>
                <c:pt idx="1778">
                  <c:v>3100.12</c:v>
                </c:pt>
                <c:pt idx="1779">
                  <c:v>3100.12</c:v>
                </c:pt>
                <c:pt idx="1780">
                  <c:v>3100.12</c:v>
                </c:pt>
                <c:pt idx="1781">
                  <c:v>3124.91</c:v>
                </c:pt>
                <c:pt idx="1782">
                  <c:v>3131.11</c:v>
                </c:pt>
                <c:pt idx="1783">
                  <c:v>3135.65</c:v>
                </c:pt>
                <c:pt idx="1784">
                  <c:v>3163.49</c:v>
                </c:pt>
                <c:pt idx="1785">
                  <c:v>3163.49</c:v>
                </c:pt>
                <c:pt idx="1786">
                  <c:v>3163.49</c:v>
                </c:pt>
                <c:pt idx="1787">
                  <c:v>3144.72</c:v>
                </c:pt>
                <c:pt idx="1788">
                  <c:v>3139.76</c:v>
                </c:pt>
                <c:pt idx="1789">
                  <c:v>3187.97</c:v>
                </c:pt>
                <c:pt idx="1790">
                  <c:v>3187.97</c:v>
                </c:pt>
                <c:pt idx="1791">
                  <c:v>3170.64</c:v>
                </c:pt>
                <c:pt idx="1792">
                  <c:v>3170.64</c:v>
                </c:pt>
                <c:pt idx="1793">
                  <c:v>3170.64</c:v>
                </c:pt>
                <c:pt idx="1794">
                  <c:v>3142.2</c:v>
                </c:pt>
                <c:pt idx="1795">
                  <c:v>3165.09</c:v>
                </c:pt>
                <c:pt idx="1796">
                  <c:v>3085.6</c:v>
                </c:pt>
                <c:pt idx="1797">
                  <c:v>3068.34</c:v>
                </c:pt>
                <c:pt idx="1798">
                  <c:v>3061.04</c:v>
                </c:pt>
                <c:pt idx="1799">
                  <c:v>3061.04</c:v>
                </c:pt>
                <c:pt idx="1800">
                  <c:v>3061.04</c:v>
                </c:pt>
                <c:pt idx="1801">
                  <c:v>3049.47</c:v>
                </c:pt>
                <c:pt idx="1802">
                  <c:v>3015.47</c:v>
                </c:pt>
                <c:pt idx="1803">
                  <c:v>2989.71</c:v>
                </c:pt>
                <c:pt idx="1804">
                  <c:v>2989.71</c:v>
                </c:pt>
                <c:pt idx="1805">
                  <c:v>3002.8</c:v>
                </c:pt>
                <c:pt idx="1806">
                  <c:v>3002.8</c:v>
                </c:pt>
                <c:pt idx="1807">
                  <c:v>3002.8</c:v>
                </c:pt>
                <c:pt idx="1808">
                  <c:v>2984.02</c:v>
                </c:pt>
                <c:pt idx="1809">
                  <c:v>2982.29</c:v>
                </c:pt>
                <c:pt idx="1810">
                  <c:v>2964.56</c:v>
                </c:pt>
                <c:pt idx="1811">
                  <c:v>3000.47</c:v>
                </c:pt>
                <c:pt idx="1812">
                  <c:v>2997.2</c:v>
                </c:pt>
                <c:pt idx="1813">
                  <c:v>2997.2</c:v>
                </c:pt>
                <c:pt idx="1814">
                  <c:v>2997.2</c:v>
                </c:pt>
                <c:pt idx="1815">
                  <c:v>3019.44</c:v>
                </c:pt>
                <c:pt idx="1816">
                  <c:v>2988.06</c:v>
                </c:pt>
                <c:pt idx="1817">
                  <c:v>2989.14</c:v>
                </c:pt>
                <c:pt idx="1818">
                  <c:v>2996.03</c:v>
                </c:pt>
                <c:pt idx="1819">
                  <c:v>2996.6</c:v>
                </c:pt>
                <c:pt idx="1820">
                  <c:v>2996.6</c:v>
                </c:pt>
                <c:pt idx="1821">
                  <c:v>2996.6</c:v>
                </c:pt>
                <c:pt idx="1822">
                  <c:v>2996.6</c:v>
                </c:pt>
                <c:pt idx="1823">
                  <c:v>2992.81</c:v>
                </c:pt>
                <c:pt idx="1824">
                  <c:v>3019.72</c:v>
                </c:pt>
                <c:pt idx="1825">
                  <c:v>3000.71</c:v>
                </c:pt>
                <c:pt idx="1826">
                  <c:v>3000.71</c:v>
                </c:pt>
                <c:pt idx="1827">
                  <c:v>3000.71</c:v>
                </c:pt>
                <c:pt idx="1828">
                  <c:v>3000.71</c:v>
                </c:pt>
                <c:pt idx="1829">
                  <c:v>3000.71</c:v>
                </c:pt>
                <c:pt idx="1830">
                  <c:v>2981.06</c:v>
                </c:pt>
                <c:pt idx="1831">
                  <c:v>2965.36</c:v>
                </c:pt>
                <c:pt idx="1832">
                  <c:v>2941.08</c:v>
                </c:pt>
                <c:pt idx="1833">
                  <c:v>2919.01</c:v>
                </c:pt>
                <c:pt idx="1834">
                  <c:v>2919.01</c:v>
                </c:pt>
                <c:pt idx="1835">
                  <c:v>2919.01</c:v>
                </c:pt>
                <c:pt idx="1836">
                  <c:v>2919.01</c:v>
                </c:pt>
                <c:pt idx="1837">
                  <c:v>2949.6</c:v>
                </c:pt>
                <c:pt idx="1838">
                  <c:v>2980.8</c:v>
                </c:pt>
                <c:pt idx="1839">
                  <c:v>2930.19</c:v>
                </c:pt>
                <c:pt idx="1840">
                  <c:v>2935.96</c:v>
                </c:pt>
                <c:pt idx="1841">
                  <c:v>2935.96</c:v>
                </c:pt>
                <c:pt idx="1842">
                  <c:v>2935.96</c:v>
                </c:pt>
                <c:pt idx="1843">
                  <c:v>2935.96</c:v>
                </c:pt>
                <c:pt idx="1844">
                  <c:v>2924.77</c:v>
                </c:pt>
                <c:pt idx="1845">
                  <c:v>2934.58</c:v>
                </c:pt>
                <c:pt idx="1846">
                  <c:v>2938.24</c:v>
                </c:pt>
                <c:pt idx="1847">
                  <c:v>2927.91</c:v>
                </c:pt>
                <c:pt idx="1848">
                  <c:v>2927.91</c:v>
                </c:pt>
                <c:pt idx="1849">
                  <c:v>2927.91</c:v>
                </c:pt>
                <c:pt idx="1850">
                  <c:v>2908.53</c:v>
                </c:pt>
                <c:pt idx="1851">
                  <c:v>2932.01</c:v>
                </c:pt>
                <c:pt idx="1852">
                  <c:v>2927.53</c:v>
                </c:pt>
                <c:pt idx="1853">
                  <c:v>2936.72</c:v>
                </c:pt>
                <c:pt idx="1854">
                  <c:v>2930.17</c:v>
                </c:pt>
                <c:pt idx="1855">
                  <c:v>2930.17</c:v>
                </c:pt>
                <c:pt idx="1856">
                  <c:v>2930.17</c:v>
                </c:pt>
                <c:pt idx="1857">
                  <c:v>2936.66</c:v>
                </c:pt>
                <c:pt idx="1858">
                  <c:v>2921.9</c:v>
                </c:pt>
                <c:pt idx="1859">
                  <c:v>2906.78</c:v>
                </c:pt>
                <c:pt idx="1860">
                  <c:v>2882.2</c:v>
                </c:pt>
                <c:pt idx="1861">
                  <c:v>2855.8</c:v>
                </c:pt>
                <c:pt idx="1862">
                  <c:v>2855.8</c:v>
                </c:pt>
                <c:pt idx="1863">
                  <c:v>2855.8</c:v>
                </c:pt>
                <c:pt idx="1864">
                  <c:v>2853.99</c:v>
                </c:pt>
                <c:pt idx="1865">
                  <c:v>2867.76</c:v>
                </c:pt>
                <c:pt idx="1866">
                  <c:v>2879.49</c:v>
                </c:pt>
                <c:pt idx="1867">
                  <c:v>2862.63</c:v>
                </c:pt>
                <c:pt idx="1868">
                  <c:v>2851.98</c:v>
                </c:pt>
                <c:pt idx="1869">
                  <c:v>2851.98</c:v>
                </c:pt>
                <c:pt idx="1870">
                  <c:v>2851.98</c:v>
                </c:pt>
                <c:pt idx="1871">
                  <c:v>2875.46</c:v>
                </c:pt>
                <c:pt idx="1872">
                  <c:v>2867.64</c:v>
                </c:pt>
                <c:pt idx="1873">
                  <c:v>2876.03</c:v>
                </c:pt>
                <c:pt idx="1874">
                  <c:v>2875.68</c:v>
                </c:pt>
                <c:pt idx="1875">
                  <c:v>2902.81</c:v>
                </c:pt>
                <c:pt idx="1876">
                  <c:v>2902.81</c:v>
                </c:pt>
                <c:pt idx="1877">
                  <c:v>2902.81</c:v>
                </c:pt>
                <c:pt idx="1878">
                  <c:v>2902.81</c:v>
                </c:pt>
                <c:pt idx="1879">
                  <c:v>2902.68</c:v>
                </c:pt>
                <c:pt idx="1880">
                  <c:v>2893.55</c:v>
                </c:pt>
                <c:pt idx="1881">
                  <c:v>2871.67</c:v>
                </c:pt>
                <c:pt idx="1882">
                  <c:v>2886.52</c:v>
                </c:pt>
                <c:pt idx="1883">
                  <c:v>2886.52</c:v>
                </c:pt>
                <c:pt idx="1884">
                  <c:v>2886.52</c:v>
                </c:pt>
                <c:pt idx="1885">
                  <c:v>2896.27</c:v>
                </c:pt>
                <c:pt idx="1886">
                  <c:v>2919.17</c:v>
                </c:pt>
                <c:pt idx="1887">
                  <c:v>2935.75</c:v>
                </c:pt>
                <c:pt idx="1888">
                  <c:v>2960.91</c:v>
                </c:pt>
                <c:pt idx="1889">
                  <c:v>2977.43</c:v>
                </c:pt>
                <c:pt idx="1890">
                  <c:v>2977.43</c:v>
                </c:pt>
                <c:pt idx="1891">
                  <c:v>2977.43</c:v>
                </c:pt>
                <c:pt idx="1892">
                  <c:v>2966.67</c:v>
                </c:pt>
                <c:pt idx="1893">
                  <c:v>2972.44</c:v>
                </c:pt>
                <c:pt idx="1894">
                  <c:v>2987.88</c:v>
                </c:pt>
                <c:pt idx="1895">
                  <c:v>3004.43</c:v>
                </c:pt>
                <c:pt idx="1896">
                  <c:v>2980.83</c:v>
                </c:pt>
                <c:pt idx="1897">
                  <c:v>2980.83</c:v>
                </c:pt>
                <c:pt idx="1898">
                  <c:v>2980.83</c:v>
                </c:pt>
                <c:pt idx="1899">
                  <c:v>2987.93</c:v>
                </c:pt>
                <c:pt idx="1900">
                  <c:v>2997.73</c:v>
                </c:pt>
                <c:pt idx="1901">
                  <c:v>2972.61</c:v>
                </c:pt>
                <c:pt idx="1902">
                  <c:v>2923.96</c:v>
                </c:pt>
                <c:pt idx="1903">
                  <c:v>2912.53</c:v>
                </c:pt>
                <c:pt idx="1904">
                  <c:v>2912.53</c:v>
                </c:pt>
                <c:pt idx="1905">
                  <c:v>2912.53</c:v>
                </c:pt>
                <c:pt idx="1906">
                  <c:v>2912.53</c:v>
                </c:pt>
                <c:pt idx="1907">
                  <c:v>2904.87</c:v>
                </c:pt>
                <c:pt idx="1908">
                  <c:v>2936.82</c:v>
                </c:pt>
                <c:pt idx="1909">
                  <c:v>2921.25</c:v>
                </c:pt>
                <c:pt idx="1910">
                  <c:v>2899.94</c:v>
                </c:pt>
                <c:pt idx="1911">
                  <c:v>2899.94</c:v>
                </c:pt>
                <c:pt idx="1912">
                  <c:v>2899.94</c:v>
                </c:pt>
                <c:pt idx="1913">
                  <c:v>2913.48</c:v>
                </c:pt>
                <c:pt idx="1914">
                  <c:v>2911.99</c:v>
                </c:pt>
                <c:pt idx="1915">
                  <c:v>2888.02</c:v>
                </c:pt>
                <c:pt idx="1916">
                  <c:v>2880.24</c:v>
                </c:pt>
                <c:pt idx="1917">
                  <c:v>2885.57</c:v>
                </c:pt>
                <c:pt idx="1918">
                  <c:v>2885.57</c:v>
                </c:pt>
                <c:pt idx="1919">
                  <c:v>2885.57</c:v>
                </c:pt>
                <c:pt idx="1920">
                  <c:v>2866.87</c:v>
                </c:pt>
                <c:pt idx="1921">
                  <c:v>2869.32</c:v>
                </c:pt>
                <c:pt idx="1922">
                  <c:v>2857.65</c:v>
                </c:pt>
                <c:pt idx="1923">
                  <c:v>2853.1</c:v>
                </c:pt>
                <c:pt idx="1924">
                  <c:v>2858</c:v>
                </c:pt>
                <c:pt idx="1925">
                  <c:v>2858</c:v>
                </c:pt>
                <c:pt idx="1926">
                  <c:v>2858</c:v>
                </c:pt>
                <c:pt idx="1927">
                  <c:v>2867.13</c:v>
                </c:pt>
                <c:pt idx="1928">
                  <c:v>2868.6</c:v>
                </c:pt>
                <c:pt idx="1929">
                  <c:v>2872.55</c:v>
                </c:pt>
                <c:pt idx="1930">
                  <c:v>2872.55</c:v>
                </c:pt>
                <c:pt idx="1931">
                  <c:v>2872.55</c:v>
                </c:pt>
                <c:pt idx="1932">
                  <c:v>2872.55</c:v>
                </c:pt>
                <c:pt idx="1933">
                  <c:v>2872.55</c:v>
                </c:pt>
                <c:pt idx="1934">
                  <c:v>2854.89</c:v>
                </c:pt>
                <c:pt idx="1935">
                  <c:v>2837.9</c:v>
                </c:pt>
                <c:pt idx="1936">
                  <c:v>2856.48</c:v>
                </c:pt>
                <c:pt idx="1937">
                  <c:v>2863.39</c:v>
                </c:pt>
                <c:pt idx="1938">
                  <c:v>2868.89</c:v>
                </c:pt>
                <c:pt idx="1939">
                  <c:v>2868.89</c:v>
                </c:pt>
                <c:pt idx="1940">
                  <c:v>2868.89</c:v>
                </c:pt>
                <c:pt idx="1941">
                  <c:v>2871.98</c:v>
                </c:pt>
                <c:pt idx="1942">
                  <c:v>2899.13</c:v>
                </c:pt>
                <c:pt idx="1943">
                  <c:v>2928.07</c:v>
                </c:pt>
                <c:pt idx="1944">
                  <c:v>2944.31</c:v>
                </c:pt>
                <c:pt idx="1945">
                  <c:v>2947.85</c:v>
                </c:pt>
                <c:pt idx="1946">
                  <c:v>2947.85</c:v>
                </c:pt>
                <c:pt idx="1947">
                  <c:v>2947.85</c:v>
                </c:pt>
                <c:pt idx="1948">
                  <c:v>2947.85</c:v>
                </c:pt>
                <c:pt idx="1949">
                  <c:v>2945.53</c:v>
                </c:pt>
                <c:pt idx="1950">
                  <c:v>2930.17</c:v>
                </c:pt>
                <c:pt idx="1951">
                  <c:v>2967.44</c:v>
                </c:pt>
                <c:pt idx="1952">
                  <c:v>2961.78</c:v>
                </c:pt>
                <c:pt idx="1953">
                  <c:v>2961.78</c:v>
                </c:pt>
                <c:pt idx="1954">
                  <c:v>2961.78</c:v>
                </c:pt>
                <c:pt idx="1955">
                  <c:v>2959.26</c:v>
                </c:pt>
                <c:pt idx="1956">
                  <c:v>2967.24</c:v>
                </c:pt>
                <c:pt idx="1957">
                  <c:v>2949.35</c:v>
                </c:pt>
                <c:pt idx="1958">
                  <c:v>2933.92</c:v>
                </c:pt>
                <c:pt idx="1959">
                  <c:v>2918.69</c:v>
                </c:pt>
                <c:pt idx="1960">
                  <c:v>2918.69</c:v>
                </c:pt>
                <c:pt idx="1961">
                  <c:v>2918.69</c:v>
                </c:pt>
                <c:pt idx="1962">
                  <c:v>2883.87</c:v>
                </c:pt>
                <c:pt idx="1963">
                  <c:v>2873.22</c:v>
                </c:pt>
                <c:pt idx="1964">
                  <c:v>2893.4</c:v>
                </c:pt>
                <c:pt idx="1965">
                  <c:v>2932.16</c:v>
                </c:pt>
                <c:pt idx="1966">
                  <c:v>2889.45</c:v>
                </c:pt>
                <c:pt idx="1967">
                  <c:v>2889.45</c:v>
                </c:pt>
                <c:pt idx="1968">
                  <c:v>2889.45</c:v>
                </c:pt>
                <c:pt idx="1969">
                  <c:v>2895.12</c:v>
                </c:pt>
                <c:pt idx="1970">
                  <c:v>2904.61</c:v>
                </c:pt>
                <c:pt idx="1971">
                  <c:v>2905.29</c:v>
                </c:pt>
                <c:pt idx="1972">
                  <c:v>2911.66</c:v>
                </c:pt>
                <c:pt idx="1973">
                  <c:v>2913.47</c:v>
                </c:pt>
                <c:pt idx="1974">
                  <c:v>2913.47</c:v>
                </c:pt>
                <c:pt idx="1975">
                  <c:v>2913.47</c:v>
                </c:pt>
                <c:pt idx="1976">
                  <c:v>2913.47</c:v>
                </c:pt>
                <c:pt idx="1977">
                  <c:v>2920.42</c:v>
                </c:pt>
                <c:pt idx="1978">
                  <c:v>2921</c:v>
                </c:pt>
                <c:pt idx="1979">
                  <c:v>2895.73</c:v>
                </c:pt>
                <c:pt idx="1980">
                  <c:v>2894.72</c:v>
                </c:pt>
                <c:pt idx="1981">
                  <c:v>2894.72</c:v>
                </c:pt>
                <c:pt idx="1982">
                  <c:v>2894.72</c:v>
                </c:pt>
                <c:pt idx="1983">
                  <c:v>2895.85</c:v>
                </c:pt>
                <c:pt idx="1984">
                  <c:v>2893.76</c:v>
                </c:pt>
                <c:pt idx="1985">
                  <c:v>2907.1</c:v>
                </c:pt>
                <c:pt idx="1986">
                  <c:v>2919.82</c:v>
                </c:pt>
                <c:pt idx="1987">
                  <c:v>2919.58</c:v>
                </c:pt>
                <c:pt idx="1988">
                  <c:v>2919.58</c:v>
                </c:pt>
                <c:pt idx="1989">
                  <c:v>2919.58</c:v>
                </c:pt>
                <c:pt idx="1990">
                  <c:v>2929.2</c:v>
                </c:pt>
                <c:pt idx="1991">
                  <c:v>2933.13</c:v>
                </c:pt>
                <c:pt idx="1992">
                  <c:v>2924.75</c:v>
                </c:pt>
                <c:pt idx="1993">
                  <c:v>2953.83</c:v>
                </c:pt>
                <c:pt idx="1994">
                  <c:v>2961.68</c:v>
                </c:pt>
                <c:pt idx="1995">
                  <c:v>2961.68</c:v>
                </c:pt>
                <c:pt idx="1996">
                  <c:v>2961.68</c:v>
                </c:pt>
                <c:pt idx="1997">
                  <c:v>2961.68</c:v>
                </c:pt>
                <c:pt idx="1998">
                  <c:v>3029.53</c:v>
                </c:pt>
                <c:pt idx="1999">
                  <c:v>3053.9</c:v>
                </c:pt>
                <c:pt idx="2000">
                  <c:v>3035.83</c:v>
                </c:pt>
                <c:pt idx="2001">
                  <c:v>3010.68</c:v>
                </c:pt>
                <c:pt idx="2002">
                  <c:v>3010.68</c:v>
                </c:pt>
                <c:pt idx="2003">
                  <c:v>3010.68</c:v>
                </c:pt>
                <c:pt idx="2004">
                  <c:v>3010.68</c:v>
                </c:pt>
                <c:pt idx="2005">
                  <c:v>3025.28</c:v>
                </c:pt>
                <c:pt idx="2006">
                  <c:v>3023.64</c:v>
                </c:pt>
                <c:pt idx="2007">
                  <c:v>3038.26</c:v>
                </c:pt>
                <c:pt idx="2008">
                  <c:v>3050.43</c:v>
                </c:pt>
                <c:pt idx="2009">
                  <c:v>3050.43</c:v>
                </c:pt>
                <c:pt idx="2010">
                  <c:v>3050.43</c:v>
                </c:pt>
                <c:pt idx="2011">
                  <c:v>3050.43</c:v>
                </c:pt>
                <c:pt idx="2012">
                  <c:v>3050.43</c:v>
                </c:pt>
                <c:pt idx="2013">
                  <c:v>3068.93</c:v>
                </c:pt>
                <c:pt idx="2014">
                  <c:v>3084.19</c:v>
                </c:pt>
                <c:pt idx="2015">
                  <c:v>3092.65</c:v>
                </c:pt>
                <c:pt idx="2016">
                  <c:v>3092.65</c:v>
                </c:pt>
                <c:pt idx="2017">
                  <c:v>3092.65</c:v>
                </c:pt>
                <c:pt idx="2018">
                  <c:v>3067.33</c:v>
                </c:pt>
                <c:pt idx="2019">
                  <c:v>3067.73</c:v>
                </c:pt>
                <c:pt idx="2020">
                  <c:v>3052.3</c:v>
                </c:pt>
                <c:pt idx="2021">
                  <c:v>3043.6</c:v>
                </c:pt>
                <c:pt idx="2022">
                  <c:v>3019.56</c:v>
                </c:pt>
                <c:pt idx="2023">
                  <c:v>3019.56</c:v>
                </c:pt>
                <c:pt idx="2024">
                  <c:v>3019.56</c:v>
                </c:pt>
                <c:pt idx="2025">
                  <c:v>3030.6</c:v>
                </c:pt>
                <c:pt idx="2026">
                  <c:v>3013.26</c:v>
                </c:pt>
                <c:pt idx="2027">
                  <c:v>3010</c:v>
                </c:pt>
                <c:pt idx="2028">
                  <c:v>3010</c:v>
                </c:pt>
                <c:pt idx="2029">
                  <c:v>3010.77</c:v>
                </c:pt>
                <c:pt idx="2030">
                  <c:v>3010.77</c:v>
                </c:pt>
                <c:pt idx="2031">
                  <c:v>3010.77</c:v>
                </c:pt>
                <c:pt idx="2032">
                  <c:v>3023.67</c:v>
                </c:pt>
                <c:pt idx="2033">
                  <c:v>3026.55</c:v>
                </c:pt>
                <c:pt idx="2034">
                  <c:v>3026.22</c:v>
                </c:pt>
                <c:pt idx="2035">
                  <c:v>3002.94</c:v>
                </c:pt>
                <c:pt idx="2036">
                  <c:v>2995.23</c:v>
                </c:pt>
                <c:pt idx="2037">
                  <c:v>2995.23</c:v>
                </c:pt>
                <c:pt idx="2038">
                  <c:v>2995.23</c:v>
                </c:pt>
                <c:pt idx="2039">
                  <c:v>2997.59</c:v>
                </c:pt>
                <c:pt idx="2040">
                  <c:v>2973.03</c:v>
                </c:pt>
                <c:pt idx="2041">
                  <c:v>2964.66</c:v>
                </c:pt>
                <c:pt idx="2042">
                  <c:v>2954.54</c:v>
                </c:pt>
                <c:pt idx="2043">
                  <c:v>2974.39</c:v>
                </c:pt>
                <c:pt idx="2044">
                  <c:v>2974.39</c:v>
                </c:pt>
                <c:pt idx="2045">
                  <c:v>2974.39</c:v>
                </c:pt>
                <c:pt idx="2046">
                  <c:v>2974.39</c:v>
                </c:pt>
                <c:pt idx="2047">
                  <c:v>2994.62</c:v>
                </c:pt>
                <c:pt idx="2048">
                  <c:v>3011.14</c:v>
                </c:pt>
                <c:pt idx="2049">
                  <c:v>2994.85</c:v>
                </c:pt>
                <c:pt idx="2050">
                  <c:v>2984.99</c:v>
                </c:pt>
                <c:pt idx="2051">
                  <c:v>2984.99</c:v>
                </c:pt>
                <c:pt idx="2052">
                  <c:v>2984.99</c:v>
                </c:pt>
                <c:pt idx="2053">
                  <c:v>2966.54</c:v>
                </c:pt>
                <c:pt idx="2054">
                  <c:v>2974.7</c:v>
                </c:pt>
                <c:pt idx="2055">
                  <c:v>2967.32</c:v>
                </c:pt>
                <c:pt idx="2056">
                  <c:v>2980.03</c:v>
                </c:pt>
                <c:pt idx="2057">
                  <c:v>2994.39</c:v>
                </c:pt>
                <c:pt idx="2058">
                  <c:v>2994.39</c:v>
                </c:pt>
                <c:pt idx="2059">
                  <c:v>2994.39</c:v>
                </c:pt>
                <c:pt idx="2060">
                  <c:v>2994.39</c:v>
                </c:pt>
                <c:pt idx="2061">
                  <c:v>2986.83</c:v>
                </c:pt>
                <c:pt idx="2062">
                  <c:v>2986.88</c:v>
                </c:pt>
                <c:pt idx="2063">
                  <c:v>2972.98</c:v>
                </c:pt>
                <c:pt idx="2064">
                  <c:v>2933.96</c:v>
                </c:pt>
                <c:pt idx="2065">
                  <c:v>2933.96</c:v>
                </c:pt>
                <c:pt idx="2066">
                  <c:v>2933.96</c:v>
                </c:pt>
                <c:pt idx="2067">
                  <c:v>2934.23</c:v>
                </c:pt>
                <c:pt idx="2068">
                  <c:v>2940.35</c:v>
                </c:pt>
                <c:pt idx="2069">
                  <c:v>2937.09</c:v>
                </c:pt>
                <c:pt idx="2070">
                  <c:v>2948.09</c:v>
                </c:pt>
                <c:pt idx="2071">
                  <c:v>2936.07</c:v>
                </c:pt>
                <c:pt idx="2072">
                  <c:v>2936.07</c:v>
                </c:pt>
                <c:pt idx="2073">
                  <c:v>2936.07</c:v>
                </c:pt>
                <c:pt idx="2074">
                  <c:v>2936.07</c:v>
                </c:pt>
                <c:pt idx="2075">
                  <c:v>2923.49</c:v>
                </c:pt>
                <c:pt idx="2076">
                  <c:v>2919.5</c:v>
                </c:pt>
                <c:pt idx="2077">
                  <c:v>2907.96</c:v>
                </c:pt>
                <c:pt idx="2078">
                  <c:v>2909.15</c:v>
                </c:pt>
                <c:pt idx="2079">
                  <c:v>2909.15</c:v>
                </c:pt>
                <c:pt idx="2080">
                  <c:v>2909.15</c:v>
                </c:pt>
                <c:pt idx="2081">
                  <c:v>2916.1</c:v>
                </c:pt>
                <c:pt idx="2082">
                  <c:v>2923.03</c:v>
                </c:pt>
                <c:pt idx="2083">
                  <c:v>2909.52</c:v>
                </c:pt>
                <c:pt idx="2084">
                  <c:v>2905.98</c:v>
                </c:pt>
                <c:pt idx="2085">
                  <c:v>2897.83</c:v>
                </c:pt>
                <c:pt idx="2086">
                  <c:v>2897.83</c:v>
                </c:pt>
                <c:pt idx="2087">
                  <c:v>2897.83</c:v>
                </c:pt>
                <c:pt idx="2088">
                  <c:v>2906.06</c:v>
                </c:pt>
                <c:pt idx="2089">
                  <c:v>2904.6</c:v>
                </c:pt>
                <c:pt idx="2090">
                  <c:v>2893.18</c:v>
                </c:pt>
                <c:pt idx="2091">
                  <c:v>2913.96</c:v>
                </c:pt>
                <c:pt idx="2092">
                  <c:v>2900.73</c:v>
                </c:pt>
                <c:pt idx="2093">
                  <c:v>2900.73</c:v>
                </c:pt>
                <c:pt idx="2094">
                  <c:v>2900.73</c:v>
                </c:pt>
                <c:pt idx="2095">
                  <c:v>2924.57</c:v>
                </c:pt>
                <c:pt idx="2096">
                  <c:v>2930.7</c:v>
                </c:pt>
                <c:pt idx="2097">
                  <c:v>2940.66</c:v>
                </c:pt>
                <c:pt idx="2098">
                  <c:v>2941.07</c:v>
                </c:pt>
                <c:pt idx="2099">
                  <c:v>2936.67</c:v>
                </c:pt>
                <c:pt idx="2100">
                  <c:v>2936.67</c:v>
                </c:pt>
                <c:pt idx="2101">
                  <c:v>2936.67</c:v>
                </c:pt>
                <c:pt idx="2102">
                  <c:v>2949.33</c:v>
                </c:pt>
                <c:pt idx="2103">
                  <c:v>2953.81</c:v>
                </c:pt>
                <c:pt idx="2104">
                  <c:v>2945.59</c:v>
                </c:pt>
                <c:pt idx="2105">
                  <c:v>2926.82</c:v>
                </c:pt>
                <c:pt idx="2106">
                  <c:v>2942.19</c:v>
                </c:pt>
                <c:pt idx="2107">
                  <c:v>2942.19</c:v>
                </c:pt>
                <c:pt idx="2108">
                  <c:v>2942.19</c:v>
                </c:pt>
                <c:pt idx="2109">
                  <c:v>2942.19</c:v>
                </c:pt>
                <c:pt idx="2110">
                  <c:v>2947.06</c:v>
                </c:pt>
                <c:pt idx="2111">
                  <c:v>2953.77</c:v>
                </c:pt>
                <c:pt idx="2112">
                  <c:v>2949.69</c:v>
                </c:pt>
                <c:pt idx="2113">
                  <c:v>2932.05</c:v>
                </c:pt>
                <c:pt idx="2114">
                  <c:v>2932.05</c:v>
                </c:pt>
                <c:pt idx="2115">
                  <c:v>2932.05</c:v>
                </c:pt>
                <c:pt idx="2116">
                  <c:v>2932.05</c:v>
                </c:pt>
                <c:pt idx="2117">
                  <c:v>2944.27</c:v>
                </c:pt>
                <c:pt idx="2118">
                  <c:v>2935.66</c:v>
                </c:pt>
                <c:pt idx="2119">
                  <c:v>2921.92</c:v>
                </c:pt>
                <c:pt idx="2120">
                  <c:v>2936.66</c:v>
                </c:pt>
                <c:pt idx="2121">
                  <c:v>2936.66</c:v>
                </c:pt>
                <c:pt idx="2122">
                  <c:v>2936.66</c:v>
                </c:pt>
                <c:pt idx="2123">
                  <c:v>2947.69</c:v>
                </c:pt>
                <c:pt idx="2124">
                  <c:v>2971.36</c:v>
                </c:pt>
                <c:pt idx="2125">
                  <c:v>2989.39</c:v>
                </c:pt>
                <c:pt idx="2126">
                  <c:v>3008.8</c:v>
                </c:pt>
                <c:pt idx="2127">
                  <c:v>3009.85</c:v>
                </c:pt>
                <c:pt idx="2128">
                  <c:v>3009.85</c:v>
                </c:pt>
                <c:pt idx="2129">
                  <c:v>3009.85</c:v>
                </c:pt>
                <c:pt idx="2130">
                  <c:v>3011.44</c:v>
                </c:pt>
                <c:pt idx="2131">
                  <c:v>3039.19</c:v>
                </c:pt>
                <c:pt idx="2132">
                  <c:v>3038.56</c:v>
                </c:pt>
                <c:pt idx="2133">
                  <c:v>3054.38</c:v>
                </c:pt>
                <c:pt idx="2134">
                  <c:v>3055.57</c:v>
                </c:pt>
                <c:pt idx="2135">
                  <c:v>3055.57</c:v>
                </c:pt>
                <c:pt idx="2136">
                  <c:v>3055.57</c:v>
                </c:pt>
                <c:pt idx="2137">
                  <c:v>3055.57</c:v>
                </c:pt>
                <c:pt idx="2138">
                  <c:v>3026.94</c:v>
                </c:pt>
                <c:pt idx="2139">
                  <c:v>3017.78</c:v>
                </c:pt>
                <c:pt idx="2140">
                  <c:v>3015.52</c:v>
                </c:pt>
                <c:pt idx="2141">
                  <c:v>3004.88</c:v>
                </c:pt>
                <c:pt idx="2142">
                  <c:v>3004.88</c:v>
                </c:pt>
                <c:pt idx="2143">
                  <c:v>3004.88</c:v>
                </c:pt>
                <c:pt idx="2144">
                  <c:v>3004.88</c:v>
                </c:pt>
                <c:pt idx="2145">
                  <c:v>3016.7</c:v>
                </c:pt>
                <c:pt idx="2146">
                  <c:v>3023.88</c:v>
                </c:pt>
                <c:pt idx="2147">
                  <c:v>3015.79</c:v>
                </c:pt>
                <c:pt idx="2148">
                  <c:v>3003.19</c:v>
                </c:pt>
                <c:pt idx="2149">
                  <c:v>3003.19</c:v>
                </c:pt>
                <c:pt idx="2150">
                  <c:v>3003.19</c:v>
                </c:pt>
                <c:pt idx="2151">
                  <c:v>3011.32</c:v>
                </c:pt>
                <c:pt idx="2152">
                  <c:v>3001.07</c:v>
                </c:pt>
                <c:pt idx="2153">
                  <c:v>2982.73</c:v>
                </c:pt>
                <c:pt idx="2154">
                  <c:v>2982.73</c:v>
                </c:pt>
                <c:pt idx="2155">
                  <c:v>2976.39</c:v>
                </c:pt>
                <c:pt idx="2156">
                  <c:v>2976.39</c:v>
                </c:pt>
                <c:pt idx="2157">
                  <c:v>2976.39</c:v>
                </c:pt>
                <c:pt idx="2158">
                  <c:v>2986.84</c:v>
                </c:pt>
                <c:pt idx="2159">
                  <c:v>3003.94</c:v>
                </c:pt>
                <c:pt idx="2160">
                  <c:v>3006.09</c:v>
                </c:pt>
                <c:pt idx="2161">
                  <c:v>3006.04</c:v>
                </c:pt>
                <c:pt idx="2162">
                  <c:v>3005.76</c:v>
                </c:pt>
                <c:pt idx="2163">
                  <c:v>3005.76</c:v>
                </c:pt>
                <c:pt idx="2164">
                  <c:v>3005.76</c:v>
                </c:pt>
                <c:pt idx="2165">
                  <c:v>2993.49</c:v>
                </c:pt>
                <c:pt idx="2166">
                  <c:v>2996.53</c:v>
                </c:pt>
                <c:pt idx="2167">
                  <c:v>3007.07</c:v>
                </c:pt>
                <c:pt idx="2168">
                  <c:v>3016.18</c:v>
                </c:pt>
                <c:pt idx="2169">
                  <c:v>3016.18</c:v>
                </c:pt>
                <c:pt idx="2170">
                  <c:v>3016.18</c:v>
                </c:pt>
                <c:pt idx="2171">
                  <c:v>3016.18</c:v>
                </c:pt>
                <c:pt idx="2172">
                  <c:v>3013.99</c:v>
                </c:pt>
                <c:pt idx="2173">
                  <c:v>3029.75</c:v>
                </c:pt>
                <c:pt idx="2174">
                  <c:v>3015.41</c:v>
                </c:pt>
                <c:pt idx="2175">
                  <c:v>2999.07</c:v>
                </c:pt>
                <c:pt idx="2176">
                  <c:v>2996.61</c:v>
                </c:pt>
                <c:pt idx="2177">
                  <c:v>2996.61</c:v>
                </c:pt>
                <c:pt idx="2178">
                  <c:v>2996.61</c:v>
                </c:pt>
                <c:pt idx="2179">
                  <c:v>2975.59</c:v>
                </c:pt>
                <c:pt idx="2180">
                  <c:v>2972.05</c:v>
                </c:pt>
                <c:pt idx="2181">
                  <c:v>2965.77</c:v>
                </c:pt>
                <c:pt idx="2182">
                  <c:v>2963.58</c:v>
                </c:pt>
                <c:pt idx="2183">
                  <c:v>2962.14</c:v>
                </c:pt>
                <c:pt idx="2184">
                  <c:v>2962.14</c:v>
                </c:pt>
                <c:pt idx="2185">
                  <c:v>2962.14</c:v>
                </c:pt>
                <c:pt idx="2186">
                  <c:v>2962.14</c:v>
                </c:pt>
                <c:pt idx="2187">
                  <c:v>2962.26</c:v>
                </c:pt>
                <c:pt idx="2188">
                  <c:v>2971.63</c:v>
                </c:pt>
                <c:pt idx="2189">
                  <c:v>2984</c:v>
                </c:pt>
                <c:pt idx="2190">
                  <c:v>2984</c:v>
                </c:pt>
                <c:pt idx="2191">
                  <c:v>2984</c:v>
                </c:pt>
                <c:pt idx="2192">
                  <c:v>2984</c:v>
                </c:pt>
                <c:pt idx="2193">
                  <c:v>2984</c:v>
                </c:pt>
                <c:pt idx="2194">
                  <c:v>2940.94</c:v>
                </c:pt>
                <c:pt idx="2195">
                  <c:v>2908.68</c:v>
                </c:pt>
                <c:pt idx="2196">
                  <c:v>2885.76</c:v>
                </c:pt>
                <c:pt idx="2197">
                  <c:v>2898.32</c:v>
                </c:pt>
                <c:pt idx="2198">
                  <c:v>2898.32</c:v>
                </c:pt>
                <c:pt idx="2199">
                  <c:v>2898.32</c:v>
                </c:pt>
                <c:pt idx="2200">
                  <c:v>2898.32</c:v>
                </c:pt>
                <c:pt idx="2201">
                  <c:v>2914.37</c:v>
                </c:pt>
                <c:pt idx="2202">
                  <c:v>2895.69</c:v>
                </c:pt>
                <c:pt idx="2203">
                  <c:v>2865.79</c:v>
                </c:pt>
                <c:pt idx="2204">
                  <c:v>2855.86</c:v>
                </c:pt>
                <c:pt idx="2205">
                  <c:v>2855.86</c:v>
                </c:pt>
                <c:pt idx="2206">
                  <c:v>2855.86</c:v>
                </c:pt>
                <c:pt idx="2207">
                  <c:v>2855.86</c:v>
                </c:pt>
                <c:pt idx="2208">
                  <c:v>2868.03</c:v>
                </c:pt>
                <c:pt idx="2209">
                  <c:v>2851.13</c:v>
                </c:pt>
                <c:pt idx="2210">
                  <c:v>2836.85</c:v>
                </c:pt>
                <c:pt idx="2211">
                  <c:v>2851.75</c:v>
                </c:pt>
                <c:pt idx="2212">
                  <c:v>2851.75</c:v>
                </c:pt>
                <c:pt idx="2213">
                  <c:v>2851.75</c:v>
                </c:pt>
                <c:pt idx="2214">
                  <c:v>2854.2</c:v>
                </c:pt>
                <c:pt idx="2215">
                  <c:v>2858.5</c:v>
                </c:pt>
                <c:pt idx="2216">
                  <c:v>2820.53</c:v>
                </c:pt>
                <c:pt idx="2217">
                  <c:v>2783.13</c:v>
                </c:pt>
                <c:pt idx="2218">
                  <c:v>2805.12</c:v>
                </c:pt>
                <c:pt idx="2219">
                  <c:v>2805.12</c:v>
                </c:pt>
                <c:pt idx="2220">
                  <c:v>2805.12</c:v>
                </c:pt>
                <c:pt idx="2221">
                  <c:v>2842.67</c:v>
                </c:pt>
                <c:pt idx="2222">
                  <c:v>2844.14</c:v>
                </c:pt>
                <c:pt idx="2223">
                  <c:v>2835.05</c:v>
                </c:pt>
                <c:pt idx="2224">
                  <c:v>2806.67</c:v>
                </c:pt>
                <c:pt idx="2225">
                  <c:v>2832.13</c:v>
                </c:pt>
                <c:pt idx="2226">
                  <c:v>2832.13</c:v>
                </c:pt>
                <c:pt idx="2227">
                  <c:v>2832.13</c:v>
                </c:pt>
                <c:pt idx="2228">
                  <c:v>2843.6</c:v>
                </c:pt>
                <c:pt idx="2229">
                  <c:v>2844.83</c:v>
                </c:pt>
                <c:pt idx="2230">
                  <c:v>2830.89</c:v>
                </c:pt>
                <c:pt idx="2231">
                  <c:v>2862.78</c:v>
                </c:pt>
                <c:pt idx="2232">
                  <c:v>2908.7</c:v>
                </c:pt>
                <c:pt idx="2233">
                  <c:v>2908.7</c:v>
                </c:pt>
                <c:pt idx="2234">
                  <c:v>2908.7</c:v>
                </c:pt>
                <c:pt idx="2235">
                  <c:v>2904.29</c:v>
                </c:pt>
                <c:pt idx="2236">
                  <c:v>2904.71</c:v>
                </c:pt>
                <c:pt idx="2237">
                  <c:v>2895.79</c:v>
                </c:pt>
                <c:pt idx="2238">
                  <c:v>2851.74</c:v>
                </c:pt>
                <c:pt idx="2239">
                  <c:v>2853.16</c:v>
                </c:pt>
                <c:pt idx="2240">
                  <c:v>2853.16</c:v>
                </c:pt>
                <c:pt idx="2241">
                  <c:v>2853.16</c:v>
                </c:pt>
                <c:pt idx="2242">
                  <c:v>2853.16</c:v>
                </c:pt>
                <c:pt idx="2243">
                  <c:v>2862.01</c:v>
                </c:pt>
                <c:pt idx="2244">
                  <c:v>2877.94</c:v>
                </c:pt>
                <c:pt idx="2245">
                  <c:v>2877.04</c:v>
                </c:pt>
                <c:pt idx="2246">
                  <c:v>2849.59</c:v>
                </c:pt>
                <c:pt idx="2247">
                  <c:v>2849.59</c:v>
                </c:pt>
                <c:pt idx="2248">
                  <c:v>2849.59</c:v>
                </c:pt>
                <c:pt idx="2249">
                  <c:v>2849.91</c:v>
                </c:pt>
                <c:pt idx="2250">
                  <c:v>2855.93</c:v>
                </c:pt>
                <c:pt idx="2251">
                  <c:v>2867.94</c:v>
                </c:pt>
                <c:pt idx="2252">
                  <c:v>2879.05</c:v>
                </c:pt>
                <c:pt idx="2253">
                  <c:v>2879.15</c:v>
                </c:pt>
                <c:pt idx="2254">
                  <c:v>2879.15</c:v>
                </c:pt>
                <c:pt idx="2255">
                  <c:v>2879.15</c:v>
                </c:pt>
                <c:pt idx="2256">
                  <c:v>2859.09</c:v>
                </c:pt>
                <c:pt idx="2257">
                  <c:v>2845.05</c:v>
                </c:pt>
                <c:pt idx="2258">
                  <c:v>2858.88</c:v>
                </c:pt>
                <c:pt idx="2259">
                  <c:v>2871.36</c:v>
                </c:pt>
                <c:pt idx="2260">
                  <c:v>2866.93</c:v>
                </c:pt>
                <c:pt idx="2261">
                  <c:v>2866.93</c:v>
                </c:pt>
                <c:pt idx="2262">
                  <c:v>2866.93</c:v>
                </c:pt>
                <c:pt idx="2263">
                  <c:v>2851.84</c:v>
                </c:pt>
                <c:pt idx="2264">
                  <c:v>2848.38</c:v>
                </c:pt>
                <c:pt idx="2265">
                  <c:v>2845.76</c:v>
                </c:pt>
                <c:pt idx="2266">
                  <c:v>2850.04</c:v>
                </c:pt>
                <c:pt idx="2267">
                  <c:v>2852.48</c:v>
                </c:pt>
                <c:pt idx="2268">
                  <c:v>2852.48</c:v>
                </c:pt>
                <c:pt idx="2269">
                  <c:v>2852.48</c:v>
                </c:pt>
                <c:pt idx="2270">
                  <c:v>2852.48</c:v>
                </c:pt>
                <c:pt idx="2271">
                  <c:v>2866.92</c:v>
                </c:pt>
                <c:pt idx="2272">
                  <c:v>2850.69</c:v>
                </c:pt>
                <c:pt idx="2273">
                  <c:v>2857.88</c:v>
                </c:pt>
                <c:pt idx="2274">
                  <c:v>2849.01</c:v>
                </c:pt>
                <c:pt idx="2275">
                  <c:v>2849.01</c:v>
                </c:pt>
                <c:pt idx="2276">
                  <c:v>2849.01</c:v>
                </c:pt>
                <c:pt idx="2277">
                  <c:v>2816.33</c:v>
                </c:pt>
                <c:pt idx="2278">
                  <c:v>2780.04</c:v>
                </c:pt>
                <c:pt idx="2279">
                  <c:v>2780.47</c:v>
                </c:pt>
                <c:pt idx="2280">
                  <c:v>2780.47</c:v>
                </c:pt>
                <c:pt idx="2281">
                  <c:v>2780.47</c:v>
                </c:pt>
                <c:pt idx="2282">
                  <c:v>2780.47</c:v>
                </c:pt>
                <c:pt idx="2283">
                  <c:v>2780.47</c:v>
                </c:pt>
                <c:pt idx="2284">
                  <c:v>2792.96</c:v>
                </c:pt>
                <c:pt idx="2285">
                  <c:v>2778.27</c:v>
                </c:pt>
                <c:pt idx="2286">
                  <c:v>2791.57</c:v>
                </c:pt>
                <c:pt idx="2287">
                  <c:v>2787.36</c:v>
                </c:pt>
                <c:pt idx="2288">
                  <c:v>2791.88</c:v>
                </c:pt>
                <c:pt idx="2289">
                  <c:v>2791.88</c:v>
                </c:pt>
                <c:pt idx="2290">
                  <c:v>2791.88</c:v>
                </c:pt>
                <c:pt idx="2291">
                  <c:v>2781.95</c:v>
                </c:pt>
                <c:pt idx="2292">
                  <c:v>2767.82</c:v>
                </c:pt>
                <c:pt idx="2293">
                  <c:v>2733.24</c:v>
                </c:pt>
                <c:pt idx="2294">
                  <c:v>2710.03</c:v>
                </c:pt>
                <c:pt idx="2295">
                  <c:v>2705.34</c:v>
                </c:pt>
                <c:pt idx="2296">
                  <c:v>2705.34</c:v>
                </c:pt>
                <c:pt idx="2297">
                  <c:v>2705.34</c:v>
                </c:pt>
                <c:pt idx="2298">
                  <c:v>2726.47</c:v>
                </c:pt>
                <c:pt idx="2299">
                  <c:v>2725.66</c:v>
                </c:pt>
                <c:pt idx="2300">
                  <c:v>2705.64</c:v>
                </c:pt>
                <c:pt idx="2301">
                  <c:v>2724.47</c:v>
                </c:pt>
                <c:pt idx="2302">
                  <c:v>2757.96</c:v>
                </c:pt>
                <c:pt idx="2303">
                  <c:v>2757.96</c:v>
                </c:pt>
                <c:pt idx="2304">
                  <c:v>2757.96</c:v>
                </c:pt>
                <c:pt idx="2305">
                  <c:v>2799.45</c:v>
                </c:pt>
                <c:pt idx="2306">
                  <c:v>2785.22</c:v>
                </c:pt>
                <c:pt idx="2307">
                  <c:v>2820.29</c:v>
                </c:pt>
                <c:pt idx="2308">
                  <c:v>2812.83</c:v>
                </c:pt>
                <c:pt idx="2309">
                  <c:v>2806.28</c:v>
                </c:pt>
                <c:pt idx="2310">
                  <c:v>2806.28</c:v>
                </c:pt>
                <c:pt idx="2311">
                  <c:v>2806.28</c:v>
                </c:pt>
                <c:pt idx="2312">
                  <c:v>2809.92</c:v>
                </c:pt>
                <c:pt idx="2313">
                  <c:v>2809.92</c:v>
                </c:pt>
                <c:pt idx="2314">
                  <c:v>2831.99</c:v>
                </c:pt>
                <c:pt idx="2315">
                  <c:v>2857.85</c:v>
                </c:pt>
                <c:pt idx="2316">
                  <c:v>2843.41</c:v>
                </c:pt>
                <c:pt idx="2317">
                  <c:v>2843.41</c:v>
                </c:pt>
                <c:pt idx="2318">
                  <c:v>2843.41</c:v>
                </c:pt>
                <c:pt idx="2319">
                  <c:v>2817.2</c:v>
                </c:pt>
                <c:pt idx="2320">
                  <c:v>2866</c:v>
                </c:pt>
                <c:pt idx="2321">
                  <c:v>2859.51</c:v>
                </c:pt>
                <c:pt idx="2322">
                  <c:v>2822.37</c:v>
                </c:pt>
                <c:pt idx="2323">
                  <c:v>2824.05</c:v>
                </c:pt>
                <c:pt idx="2324">
                  <c:v>2824.05</c:v>
                </c:pt>
                <c:pt idx="2325">
                  <c:v>2824.05</c:v>
                </c:pt>
                <c:pt idx="2326">
                  <c:v>2824.05</c:v>
                </c:pt>
                <c:pt idx="2327">
                  <c:v>2889.87</c:v>
                </c:pt>
                <c:pt idx="2328">
                  <c:v>2865.37</c:v>
                </c:pt>
                <c:pt idx="2329">
                  <c:v>2886.23</c:v>
                </c:pt>
                <c:pt idx="2330">
                  <c:v>2925.67</c:v>
                </c:pt>
                <c:pt idx="2331">
                  <c:v>2925.67</c:v>
                </c:pt>
                <c:pt idx="2332">
                  <c:v>2925.67</c:v>
                </c:pt>
                <c:pt idx="2333">
                  <c:v>2897.37</c:v>
                </c:pt>
                <c:pt idx="2334">
                  <c:v>2851.42</c:v>
                </c:pt>
                <c:pt idx="2335">
                  <c:v>2863.24</c:v>
                </c:pt>
                <c:pt idx="2336">
                  <c:v>2863.12</c:v>
                </c:pt>
                <c:pt idx="2337">
                  <c:v>2887.16</c:v>
                </c:pt>
                <c:pt idx="2338">
                  <c:v>2887.16</c:v>
                </c:pt>
                <c:pt idx="2339">
                  <c:v>2887.16</c:v>
                </c:pt>
                <c:pt idx="2340">
                  <c:v>2887.16</c:v>
                </c:pt>
                <c:pt idx="2341">
                  <c:v>2893.82</c:v>
                </c:pt>
                <c:pt idx="2342">
                  <c:v>2879.32</c:v>
                </c:pt>
                <c:pt idx="2343">
                  <c:v>2889.32</c:v>
                </c:pt>
                <c:pt idx="2344">
                  <c:v>2868.22</c:v>
                </c:pt>
                <c:pt idx="2345">
                  <c:v>2868.22</c:v>
                </c:pt>
                <c:pt idx="2346">
                  <c:v>2868.22</c:v>
                </c:pt>
                <c:pt idx="2347">
                  <c:v>2868.22</c:v>
                </c:pt>
                <c:pt idx="2348">
                  <c:v>2865.37</c:v>
                </c:pt>
                <c:pt idx="2349">
                  <c:v>2828.42</c:v>
                </c:pt>
                <c:pt idx="2350">
                  <c:v>2835.78</c:v>
                </c:pt>
                <c:pt idx="2351">
                  <c:v>2855.8</c:v>
                </c:pt>
                <c:pt idx="2352">
                  <c:v>2855.8</c:v>
                </c:pt>
                <c:pt idx="2353">
                  <c:v>2855.8</c:v>
                </c:pt>
                <c:pt idx="2354">
                  <c:v>2855.8</c:v>
                </c:pt>
                <c:pt idx="2355">
                  <c:v>2857.11</c:v>
                </c:pt>
                <c:pt idx="2356">
                  <c:v>2859.17</c:v>
                </c:pt>
                <c:pt idx="2357">
                  <c:v>2859.78</c:v>
                </c:pt>
                <c:pt idx="2358">
                  <c:v>2890.06</c:v>
                </c:pt>
                <c:pt idx="2359">
                  <c:v>2890.06</c:v>
                </c:pt>
                <c:pt idx="2360">
                  <c:v>2890.06</c:v>
                </c:pt>
                <c:pt idx="2361">
                  <c:v>2919.14</c:v>
                </c:pt>
                <c:pt idx="2362">
                  <c:v>2931.78</c:v>
                </c:pt>
                <c:pt idx="2363">
                  <c:v>2916.49</c:v>
                </c:pt>
                <c:pt idx="2364">
                  <c:v>2944.82</c:v>
                </c:pt>
                <c:pt idx="2365">
                  <c:v>2918.22</c:v>
                </c:pt>
                <c:pt idx="2366">
                  <c:v>2918.22</c:v>
                </c:pt>
                <c:pt idx="2367">
                  <c:v>2918.22</c:v>
                </c:pt>
                <c:pt idx="2368">
                  <c:v>2927.67</c:v>
                </c:pt>
                <c:pt idx="2369">
                  <c:v>2924.1</c:v>
                </c:pt>
                <c:pt idx="2370">
                  <c:v>2934.91</c:v>
                </c:pt>
                <c:pt idx="2371">
                  <c:v>2945.09</c:v>
                </c:pt>
                <c:pt idx="2372">
                  <c:v>2930.8</c:v>
                </c:pt>
                <c:pt idx="2373">
                  <c:v>2930.8</c:v>
                </c:pt>
                <c:pt idx="2374">
                  <c:v>2930.8</c:v>
                </c:pt>
                <c:pt idx="2375">
                  <c:v>2930.8</c:v>
                </c:pt>
                <c:pt idx="2376">
                  <c:v>2909.83</c:v>
                </c:pt>
                <c:pt idx="2377">
                  <c:v>2909.83</c:v>
                </c:pt>
                <c:pt idx="2378">
                  <c:v>2885.53</c:v>
                </c:pt>
                <c:pt idx="2379">
                  <c:v>2867.94</c:v>
                </c:pt>
                <c:pt idx="2380">
                  <c:v>2867.94</c:v>
                </c:pt>
                <c:pt idx="2381">
                  <c:v>2867.94</c:v>
                </c:pt>
                <c:pt idx="2382">
                  <c:v>2881.09</c:v>
                </c:pt>
                <c:pt idx="2383">
                  <c:v>2872.62</c:v>
                </c:pt>
                <c:pt idx="2384">
                  <c:v>2880.1</c:v>
                </c:pt>
                <c:pt idx="2385">
                  <c:v>2882.02</c:v>
                </c:pt>
                <c:pt idx="2386">
                  <c:v>2861.7</c:v>
                </c:pt>
                <c:pt idx="2387">
                  <c:v>2861.7</c:v>
                </c:pt>
                <c:pt idx="2388">
                  <c:v>2861.7</c:v>
                </c:pt>
                <c:pt idx="2389">
                  <c:v>2868.96</c:v>
                </c:pt>
                <c:pt idx="2390">
                  <c:v>2878.28</c:v>
                </c:pt>
                <c:pt idx="2391">
                  <c:v>2876.93</c:v>
                </c:pt>
                <c:pt idx="2392">
                  <c:v>2883.81</c:v>
                </c:pt>
                <c:pt idx="2393">
                  <c:v>2883.81</c:v>
                </c:pt>
                <c:pt idx="2394">
                  <c:v>2883.81</c:v>
                </c:pt>
                <c:pt idx="2395">
                  <c:v>2883.81</c:v>
                </c:pt>
                <c:pt idx="2396">
                  <c:v>2897.73</c:v>
                </c:pt>
                <c:pt idx="2397">
                  <c:v>2898.36</c:v>
                </c:pt>
                <c:pt idx="2398">
                  <c:v>2882.84</c:v>
                </c:pt>
                <c:pt idx="2399">
                  <c:v>2886.21</c:v>
                </c:pt>
                <c:pt idx="2400">
                  <c:v>2880.79</c:v>
                </c:pt>
                <c:pt idx="2401">
                  <c:v>2880.79</c:v>
                </c:pt>
                <c:pt idx="2402">
                  <c:v>2880.79</c:v>
                </c:pt>
                <c:pt idx="2403">
                  <c:v>2875.72</c:v>
                </c:pt>
                <c:pt idx="2404">
                  <c:v>2886.8</c:v>
                </c:pt>
                <c:pt idx="2405">
                  <c:v>2892.62</c:v>
                </c:pt>
                <c:pt idx="2406">
                  <c:v>2904.9</c:v>
                </c:pt>
                <c:pt idx="2407">
                  <c:v>2898.99</c:v>
                </c:pt>
                <c:pt idx="2408">
                  <c:v>2898.99</c:v>
                </c:pt>
                <c:pt idx="2409">
                  <c:v>2898.99</c:v>
                </c:pt>
                <c:pt idx="2410">
                  <c:v>2898.86</c:v>
                </c:pt>
                <c:pt idx="2411">
                  <c:v>2898.86</c:v>
                </c:pt>
                <c:pt idx="2412">
                  <c:v>2908.9</c:v>
                </c:pt>
                <c:pt idx="2413">
                  <c:v>2919.44</c:v>
                </c:pt>
                <c:pt idx="2414">
                  <c:v>2940.95</c:v>
                </c:pt>
                <c:pt idx="2415">
                  <c:v>2940.95</c:v>
                </c:pt>
                <c:pt idx="2416">
                  <c:v>2940.95</c:v>
                </c:pt>
                <c:pt idx="2417">
                  <c:v>2983.93</c:v>
                </c:pt>
                <c:pt idx="2418">
                  <c:v>3002.66</c:v>
                </c:pt>
                <c:pt idx="2419">
                  <c:v>3046.76</c:v>
                </c:pt>
                <c:pt idx="2420">
                  <c:v>3019.55</c:v>
                </c:pt>
                <c:pt idx="2421">
                  <c:v>3024.02</c:v>
                </c:pt>
                <c:pt idx="2422">
                  <c:v>3024.02</c:v>
                </c:pt>
                <c:pt idx="2423">
                  <c:v>3024.02</c:v>
                </c:pt>
                <c:pt idx="2424">
                  <c:v>3024.02</c:v>
                </c:pt>
                <c:pt idx="2425">
                  <c:v>2990.78</c:v>
                </c:pt>
                <c:pt idx="2426">
                  <c:v>2965.45</c:v>
                </c:pt>
                <c:pt idx="2427">
                  <c:v>2980.64</c:v>
                </c:pt>
                <c:pt idx="2428">
                  <c:v>2958.45</c:v>
                </c:pt>
                <c:pt idx="2429">
                  <c:v>2958.45</c:v>
                </c:pt>
                <c:pt idx="2430">
                  <c:v>2958.45</c:v>
                </c:pt>
                <c:pt idx="2431">
                  <c:v>2934.31</c:v>
                </c:pt>
                <c:pt idx="2432">
                  <c:v>2966</c:v>
                </c:pt>
                <c:pt idx="2433">
                  <c:v>2999.57</c:v>
                </c:pt>
                <c:pt idx="2434">
                  <c:v>3027.39</c:v>
                </c:pt>
                <c:pt idx="2435">
                  <c:v>3053.14</c:v>
                </c:pt>
                <c:pt idx="2436">
                  <c:v>3053.14</c:v>
                </c:pt>
                <c:pt idx="2437">
                  <c:v>3053.14</c:v>
                </c:pt>
                <c:pt idx="2438">
                  <c:v>3053.14</c:v>
                </c:pt>
                <c:pt idx="2439">
                  <c:v>3088.47</c:v>
                </c:pt>
                <c:pt idx="2440">
                  <c:v>3100.37</c:v>
                </c:pt>
                <c:pt idx="2441">
                  <c:v>3089.47</c:v>
                </c:pt>
                <c:pt idx="2442">
                  <c:v>3070.15</c:v>
                </c:pt>
                <c:pt idx="2443">
                  <c:v>3070.15</c:v>
                </c:pt>
                <c:pt idx="2444">
                  <c:v>3070.15</c:v>
                </c:pt>
                <c:pt idx="2445">
                  <c:v>3069.49</c:v>
                </c:pt>
                <c:pt idx="2446">
                  <c:v>3087.73</c:v>
                </c:pt>
                <c:pt idx="2447">
                  <c:v>3055.01</c:v>
                </c:pt>
                <c:pt idx="2448">
                  <c:v>3019.38</c:v>
                </c:pt>
                <c:pt idx="2449">
                  <c:v>3026.05</c:v>
                </c:pt>
                <c:pt idx="2450">
                  <c:v>3026.05</c:v>
                </c:pt>
                <c:pt idx="2451">
                  <c:v>3026.05</c:v>
                </c:pt>
                <c:pt idx="2452">
                  <c:v>3013.38</c:v>
                </c:pt>
                <c:pt idx="2453">
                  <c:v>3007.03</c:v>
                </c:pt>
                <c:pt idx="2454">
                  <c:v>3018.63</c:v>
                </c:pt>
                <c:pt idx="2455">
                  <c:v>3014.18</c:v>
                </c:pt>
                <c:pt idx="2456">
                  <c:v>3006.96</c:v>
                </c:pt>
                <c:pt idx="2457">
                  <c:v>3006.96</c:v>
                </c:pt>
                <c:pt idx="2458">
                  <c:v>3006.96</c:v>
                </c:pt>
                <c:pt idx="2459">
                  <c:v>2991.9</c:v>
                </c:pt>
                <c:pt idx="2460">
                  <c:v>3001.88</c:v>
                </c:pt>
                <c:pt idx="2461">
                  <c:v>3000.14</c:v>
                </c:pt>
                <c:pt idx="2462">
                  <c:v>2989.58</c:v>
                </c:pt>
                <c:pt idx="2463">
                  <c:v>2972.18</c:v>
                </c:pt>
                <c:pt idx="2464">
                  <c:v>2972.18</c:v>
                </c:pt>
                <c:pt idx="2465">
                  <c:v>2972.18</c:v>
                </c:pt>
                <c:pt idx="2466">
                  <c:v>2993.74</c:v>
                </c:pt>
                <c:pt idx="2467">
                  <c:v>3005.5</c:v>
                </c:pt>
                <c:pt idx="2468">
                  <c:v>3012.65</c:v>
                </c:pt>
                <c:pt idx="2469">
                  <c:v>3028.16</c:v>
                </c:pt>
                <c:pt idx="2470">
                  <c:v>3031.31</c:v>
                </c:pt>
                <c:pt idx="2471">
                  <c:v>3031.31</c:v>
                </c:pt>
                <c:pt idx="2472">
                  <c:v>3031.31</c:v>
                </c:pt>
                <c:pt idx="2473">
                  <c:v>3031.31</c:v>
                </c:pt>
                <c:pt idx="2474">
                  <c:v>3057.55</c:v>
                </c:pt>
                <c:pt idx="2475">
                  <c:v>3090.3</c:v>
                </c:pt>
                <c:pt idx="2476">
                  <c:v>3087.34</c:v>
                </c:pt>
                <c:pt idx="2477">
                  <c:v>3088.78</c:v>
                </c:pt>
                <c:pt idx="2478">
                  <c:v>3088.78</c:v>
                </c:pt>
                <c:pt idx="2479">
                  <c:v>3088.78</c:v>
                </c:pt>
                <c:pt idx="2480">
                  <c:v>3088.78</c:v>
                </c:pt>
                <c:pt idx="2481">
                  <c:v>3055.93</c:v>
                </c:pt>
                <c:pt idx="2482">
                  <c:v>3056.37</c:v>
                </c:pt>
                <c:pt idx="2483">
                  <c:v>3088.47</c:v>
                </c:pt>
                <c:pt idx="2484">
                  <c:v>3079.88</c:v>
                </c:pt>
                <c:pt idx="2485">
                  <c:v>3079.88</c:v>
                </c:pt>
                <c:pt idx="2486">
                  <c:v>3079.88</c:v>
                </c:pt>
                <c:pt idx="2487">
                  <c:v>3087.58</c:v>
                </c:pt>
                <c:pt idx="2488">
                  <c:v>3110.2</c:v>
                </c:pt>
                <c:pt idx="2489">
                  <c:v>3149.7</c:v>
                </c:pt>
                <c:pt idx="2490">
                  <c:v>3167.18</c:v>
                </c:pt>
                <c:pt idx="2491">
                  <c:v>3185.26</c:v>
                </c:pt>
                <c:pt idx="2492">
                  <c:v>3185.26</c:v>
                </c:pt>
                <c:pt idx="2493">
                  <c:v>3185.26</c:v>
                </c:pt>
                <c:pt idx="2494">
                  <c:v>3188.69</c:v>
                </c:pt>
                <c:pt idx="2495">
                  <c:v>3202.44</c:v>
                </c:pt>
                <c:pt idx="2496">
                  <c:v>3219.85</c:v>
                </c:pt>
                <c:pt idx="2497">
                  <c:v>3193.8</c:v>
                </c:pt>
                <c:pt idx="2498">
                  <c:v>3177.57</c:v>
                </c:pt>
                <c:pt idx="2499">
                  <c:v>3177.57</c:v>
                </c:pt>
                <c:pt idx="2500">
                  <c:v>3177.57</c:v>
                </c:pt>
                <c:pt idx="2501">
                  <c:v>3177.57</c:v>
                </c:pt>
                <c:pt idx="2502">
                  <c:v>3154.55</c:v>
                </c:pt>
                <c:pt idx="2503">
                  <c:v>3140.25</c:v>
                </c:pt>
                <c:pt idx="2504">
                  <c:v>3145.39</c:v>
                </c:pt>
                <c:pt idx="2505">
                  <c:v>3176.89</c:v>
                </c:pt>
                <c:pt idx="2506">
                  <c:v>3176.89</c:v>
                </c:pt>
                <c:pt idx="2507">
                  <c:v>3176.89</c:v>
                </c:pt>
                <c:pt idx="2508">
                  <c:v>3176.89</c:v>
                </c:pt>
                <c:pt idx="2509">
                  <c:v>3197.2</c:v>
                </c:pt>
                <c:pt idx="2510">
                  <c:v>3194.7</c:v>
                </c:pt>
                <c:pt idx="2511">
                  <c:v>3198.29</c:v>
                </c:pt>
                <c:pt idx="2512">
                  <c:v>3173.59</c:v>
                </c:pt>
                <c:pt idx="2513">
                  <c:v>3173.59</c:v>
                </c:pt>
                <c:pt idx="2514">
                  <c:v>3173.59</c:v>
                </c:pt>
                <c:pt idx="2515">
                  <c:v>3178.81</c:v>
                </c:pt>
                <c:pt idx="2516">
                  <c:v>3189.51</c:v>
                </c:pt>
                <c:pt idx="2517">
                  <c:v>3196.26</c:v>
                </c:pt>
                <c:pt idx="2518">
                  <c:v>3196.26</c:v>
                </c:pt>
                <c:pt idx="2519">
                  <c:v>3223.95</c:v>
                </c:pt>
                <c:pt idx="2520">
                  <c:v>3223.95</c:v>
                </c:pt>
                <c:pt idx="2521">
                  <c:v>3223.95</c:v>
                </c:pt>
                <c:pt idx="2522">
                  <c:v>3240.65</c:v>
                </c:pt>
                <c:pt idx="2523">
                  <c:v>3250.56</c:v>
                </c:pt>
                <c:pt idx="2524">
                  <c:v>3274.47</c:v>
                </c:pt>
                <c:pt idx="2525">
                  <c:v>3240.02</c:v>
                </c:pt>
                <c:pt idx="2526">
                  <c:v>3235.27</c:v>
                </c:pt>
                <c:pt idx="2527">
                  <c:v>3235.27</c:v>
                </c:pt>
                <c:pt idx="2528">
                  <c:v>3235.27</c:v>
                </c:pt>
                <c:pt idx="2529">
                  <c:v>3196.15</c:v>
                </c:pt>
                <c:pt idx="2530">
                  <c:v>3174.11</c:v>
                </c:pt>
                <c:pt idx="2531">
                  <c:v>3162.29</c:v>
                </c:pt>
                <c:pt idx="2532">
                  <c:v>3187.86</c:v>
                </c:pt>
                <c:pt idx="2533">
                  <c:v>3153.29</c:v>
                </c:pt>
                <c:pt idx="2534">
                  <c:v>3153.29</c:v>
                </c:pt>
                <c:pt idx="2535">
                  <c:v>3153.29</c:v>
                </c:pt>
                <c:pt idx="2536">
                  <c:v>3176.12</c:v>
                </c:pt>
                <c:pt idx="2537">
                  <c:v>3184.7</c:v>
                </c:pt>
                <c:pt idx="2538">
                  <c:v>3169.36</c:v>
                </c:pt>
                <c:pt idx="2539">
                  <c:v>3178.4</c:v>
                </c:pt>
                <c:pt idx="2540">
                  <c:v>3196.3</c:v>
                </c:pt>
                <c:pt idx="2541">
                  <c:v>3196.3</c:v>
                </c:pt>
                <c:pt idx="2542">
                  <c:v>3196.3</c:v>
                </c:pt>
                <c:pt idx="2543">
                  <c:v>3188.66</c:v>
                </c:pt>
                <c:pt idx="2544">
                  <c:v>3198.45</c:v>
                </c:pt>
                <c:pt idx="2545">
                  <c:v>3216.55</c:v>
                </c:pt>
                <c:pt idx="2546">
                  <c:v>3246.86</c:v>
                </c:pt>
                <c:pt idx="2547">
                  <c:v>3285.34</c:v>
                </c:pt>
                <c:pt idx="2548">
                  <c:v>3285.34</c:v>
                </c:pt>
                <c:pt idx="2549">
                  <c:v>3285.34</c:v>
                </c:pt>
                <c:pt idx="2550">
                  <c:v>3285.51</c:v>
                </c:pt>
                <c:pt idx="2551">
                  <c:v>3285.51</c:v>
                </c:pt>
                <c:pt idx="2552">
                  <c:v>3289.69</c:v>
                </c:pt>
                <c:pt idx="2553">
                  <c:v>3275.01</c:v>
                </c:pt>
                <c:pt idx="2554">
                  <c:v>3249.75</c:v>
                </c:pt>
                <c:pt idx="2555">
                  <c:v>3249.75</c:v>
                </c:pt>
                <c:pt idx="2556">
                  <c:v>3249.75</c:v>
                </c:pt>
              </c:numCache>
            </c:numRef>
          </c:val>
          <c:smooth val="0"/>
          <c:extLst>
            <c:ext xmlns:c16="http://schemas.microsoft.com/office/drawing/2014/chart" uri="{C3380CC4-5D6E-409C-BE32-E72D297353CC}">
              <c16:uniqueId val="{00000000-3F4D-1D47-87F6-EEE51108BCF4}"/>
            </c:ext>
          </c:extLst>
        </c:ser>
        <c:dLbls>
          <c:showLegendKey val="0"/>
          <c:showVal val="0"/>
          <c:showCatName val="0"/>
          <c:showSerName val="0"/>
          <c:showPercent val="0"/>
          <c:showBubbleSize val="0"/>
        </c:dLbls>
        <c:smooth val="0"/>
        <c:axId val="1615615744"/>
        <c:axId val="1615617424"/>
      </c:lineChart>
      <c:catAx>
        <c:axId val="16156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5617424"/>
        <c:crosses val="autoZero"/>
        <c:auto val="1"/>
        <c:lblAlgn val="ctr"/>
        <c:lblOffset val="100"/>
        <c:noMultiLvlLbl val="0"/>
      </c:catAx>
      <c:valAx>
        <c:axId val="1615617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56157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Consolidada20190929.xlsx]TRM!TablaDinámica2</c:name>
    <c:fmtId val="2"/>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sz="1400" b="0" i="0" baseline="0">
                <a:effectLst/>
              </a:rPr>
              <a:t>TRM CRC VS USD</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1"/>
            </a:solidFill>
            <a:round/>
          </a:ln>
          <a:effectLst/>
        </c:spPr>
        <c:marker>
          <c:symbol val="none"/>
        </c:marker>
      </c:pivotFmt>
    </c:pivotFmts>
    <c:plotArea>
      <c:layout/>
      <c:lineChart>
        <c:grouping val="standard"/>
        <c:varyColors val="0"/>
        <c:ser>
          <c:idx val="0"/>
          <c:order val="0"/>
          <c:tx>
            <c:strRef>
              <c:f>TRM!$X$3</c:f>
              <c:strCache>
                <c:ptCount val="1"/>
                <c:pt idx="0">
                  <c:v>Total</c:v>
                </c:pt>
              </c:strCache>
            </c:strRef>
          </c:tx>
          <c:spPr>
            <a:ln w="28575" cap="rnd">
              <a:solidFill>
                <a:schemeClr val="accent1"/>
              </a:solidFill>
              <a:round/>
            </a:ln>
            <a:effectLst/>
          </c:spPr>
          <c:marker>
            <c:symbol val="none"/>
          </c:marker>
          <c:cat>
            <c:strRef>
              <c:f>TRM!$W$4:$W$1874</c:f>
              <c:strCache>
                <c:ptCount val="1870"/>
                <c:pt idx="0">
                  <c:v>09/22/2011</c:v>
                </c:pt>
                <c:pt idx="1">
                  <c:v>09/23/2011</c:v>
                </c:pt>
                <c:pt idx="2">
                  <c:v>09/26/2011</c:v>
                </c:pt>
                <c:pt idx="3">
                  <c:v>09/27/2011</c:v>
                </c:pt>
                <c:pt idx="4">
                  <c:v>09/28/2011</c:v>
                </c:pt>
                <c:pt idx="5">
                  <c:v>09/29/2011</c:v>
                </c:pt>
                <c:pt idx="6">
                  <c:v>09/30/2011</c:v>
                </c:pt>
                <c:pt idx="7">
                  <c:v>10/03/2011</c:v>
                </c:pt>
                <c:pt idx="8">
                  <c:v>10/04/2011</c:v>
                </c:pt>
                <c:pt idx="9">
                  <c:v>10/05/2011</c:v>
                </c:pt>
                <c:pt idx="10">
                  <c:v>10/06/2011</c:v>
                </c:pt>
                <c:pt idx="11">
                  <c:v>10/07/2011</c:v>
                </c:pt>
                <c:pt idx="12">
                  <c:v>10/10/2011</c:v>
                </c:pt>
                <c:pt idx="13">
                  <c:v>10/11/2011</c:v>
                </c:pt>
                <c:pt idx="14">
                  <c:v>10/12/2011</c:v>
                </c:pt>
                <c:pt idx="15">
                  <c:v>10/13/2011</c:v>
                </c:pt>
                <c:pt idx="16">
                  <c:v>10/14/2011</c:v>
                </c:pt>
                <c:pt idx="17">
                  <c:v>10/17/2011</c:v>
                </c:pt>
                <c:pt idx="18">
                  <c:v>10/18/2011</c:v>
                </c:pt>
                <c:pt idx="19">
                  <c:v>10/19/2011</c:v>
                </c:pt>
                <c:pt idx="20">
                  <c:v>10/20/2011</c:v>
                </c:pt>
                <c:pt idx="21">
                  <c:v>10/21/2011</c:v>
                </c:pt>
                <c:pt idx="22">
                  <c:v>10/24/2011</c:v>
                </c:pt>
                <c:pt idx="23">
                  <c:v>10/25/2011</c:v>
                </c:pt>
                <c:pt idx="24">
                  <c:v>10/26/2011</c:v>
                </c:pt>
                <c:pt idx="25">
                  <c:v>10/27/2011</c:v>
                </c:pt>
                <c:pt idx="26">
                  <c:v>10/28/2011</c:v>
                </c:pt>
                <c:pt idx="27">
                  <c:v>10/31/2011</c:v>
                </c:pt>
                <c:pt idx="28">
                  <c:v>11/01/2011</c:v>
                </c:pt>
                <c:pt idx="29">
                  <c:v>11/02/2011</c:v>
                </c:pt>
                <c:pt idx="30">
                  <c:v>11/03/2011</c:v>
                </c:pt>
                <c:pt idx="31">
                  <c:v>11/04/2011</c:v>
                </c:pt>
                <c:pt idx="32">
                  <c:v>11/07/2011</c:v>
                </c:pt>
                <c:pt idx="33">
                  <c:v>11/08/2011</c:v>
                </c:pt>
                <c:pt idx="34">
                  <c:v>11/09/2011</c:v>
                </c:pt>
                <c:pt idx="35">
                  <c:v>11/10/2011</c:v>
                </c:pt>
                <c:pt idx="36">
                  <c:v>11/11/2011</c:v>
                </c:pt>
                <c:pt idx="37">
                  <c:v>11/14/2011</c:v>
                </c:pt>
                <c:pt idx="38">
                  <c:v>11/15/2011</c:v>
                </c:pt>
                <c:pt idx="39">
                  <c:v>11/16/2011</c:v>
                </c:pt>
                <c:pt idx="40">
                  <c:v>11/17/2011</c:v>
                </c:pt>
                <c:pt idx="41">
                  <c:v>11/18/2011</c:v>
                </c:pt>
                <c:pt idx="42">
                  <c:v>11/21/2011</c:v>
                </c:pt>
                <c:pt idx="43">
                  <c:v>11/22/2011</c:v>
                </c:pt>
                <c:pt idx="44">
                  <c:v>11/23/2011</c:v>
                </c:pt>
                <c:pt idx="45">
                  <c:v>11/24/2011</c:v>
                </c:pt>
                <c:pt idx="46">
                  <c:v>11/25/2011</c:v>
                </c:pt>
                <c:pt idx="47">
                  <c:v>11/28/2011</c:v>
                </c:pt>
                <c:pt idx="48">
                  <c:v>11/29/2011</c:v>
                </c:pt>
                <c:pt idx="49">
                  <c:v>11/30/2011</c:v>
                </c:pt>
                <c:pt idx="50">
                  <c:v>12/01/2011</c:v>
                </c:pt>
                <c:pt idx="51">
                  <c:v>12/02/2011</c:v>
                </c:pt>
                <c:pt idx="52">
                  <c:v>12/05/2011</c:v>
                </c:pt>
                <c:pt idx="53">
                  <c:v>12/06/2011</c:v>
                </c:pt>
                <c:pt idx="54">
                  <c:v>12/07/2011</c:v>
                </c:pt>
                <c:pt idx="55">
                  <c:v>12/08/2011</c:v>
                </c:pt>
                <c:pt idx="56">
                  <c:v>12/09/2011</c:v>
                </c:pt>
                <c:pt idx="57">
                  <c:v>12/12/2011</c:v>
                </c:pt>
                <c:pt idx="58">
                  <c:v>12/13/2011</c:v>
                </c:pt>
                <c:pt idx="59">
                  <c:v>12/14/2011</c:v>
                </c:pt>
                <c:pt idx="60">
                  <c:v>12/15/2011</c:v>
                </c:pt>
                <c:pt idx="61">
                  <c:v>12/16/2011</c:v>
                </c:pt>
                <c:pt idx="62">
                  <c:v>12/19/2011</c:v>
                </c:pt>
                <c:pt idx="63">
                  <c:v>12/20/2011</c:v>
                </c:pt>
                <c:pt idx="64">
                  <c:v>12/21/2011</c:v>
                </c:pt>
                <c:pt idx="65">
                  <c:v>12/22/2011</c:v>
                </c:pt>
                <c:pt idx="66">
                  <c:v>12/23/2011</c:v>
                </c:pt>
                <c:pt idx="67">
                  <c:v>12/26/2011</c:v>
                </c:pt>
                <c:pt idx="68">
                  <c:v>12/27/2011</c:v>
                </c:pt>
                <c:pt idx="69">
                  <c:v>12/28/2011</c:v>
                </c:pt>
                <c:pt idx="70">
                  <c:v>12/29/2011</c:v>
                </c:pt>
                <c:pt idx="71">
                  <c:v>12/30/2011</c:v>
                </c:pt>
                <c:pt idx="72">
                  <c:v>01/02/2012</c:v>
                </c:pt>
                <c:pt idx="73">
                  <c:v>01/03/2012</c:v>
                </c:pt>
                <c:pt idx="74">
                  <c:v>01/04/2012</c:v>
                </c:pt>
                <c:pt idx="75">
                  <c:v>01/05/2012</c:v>
                </c:pt>
                <c:pt idx="76">
                  <c:v>01/06/2012</c:v>
                </c:pt>
                <c:pt idx="77">
                  <c:v>01/09/2012</c:v>
                </c:pt>
                <c:pt idx="78">
                  <c:v>01/10/2012</c:v>
                </c:pt>
                <c:pt idx="79">
                  <c:v>01/11/2012</c:v>
                </c:pt>
                <c:pt idx="80">
                  <c:v>01/12/2012</c:v>
                </c:pt>
                <c:pt idx="81">
                  <c:v>01/13/2012</c:v>
                </c:pt>
                <c:pt idx="82">
                  <c:v>01/16/2012</c:v>
                </c:pt>
                <c:pt idx="83">
                  <c:v>01/17/2012</c:v>
                </c:pt>
                <c:pt idx="84">
                  <c:v>01/18/2012</c:v>
                </c:pt>
                <c:pt idx="85">
                  <c:v>01/19/2012</c:v>
                </c:pt>
                <c:pt idx="86">
                  <c:v>01/20/2012</c:v>
                </c:pt>
                <c:pt idx="87">
                  <c:v>01/23/2012</c:v>
                </c:pt>
                <c:pt idx="88">
                  <c:v>01/24/2012</c:v>
                </c:pt>
                <c:pt idx="89">
                  <c:v>01/25/2012</c:v>
                </c:pt>
                <c:pt idx="90">
                  <c:v>01/26/2012</c:v>
                </c:pt>
                <c:pt idx="91">
                  <c:v>01/27/2012</c:v>
                </c:pt>
                <c:pt idx="92">
                  <c:v>01/30/2012</c:v>
                </c:pt>
                <c:pt idx="93">
                  <c:v>01/31/2012</c:v>
                </c:pt>
                <c:pt idx="94">
                  <c:v>02/01/2012</c:v>
                </c:pt>
                <c:pt idx="95">
                  <c:v>02/02/2012</c:v>
                </c:pt>
                <c:pt idx="96">
                  <c:v>02/03/2012</c:v>
                </c:pt>
                <c:pt idx="97">
                  <c:v>02/06/2012</c:v>
                </c:pt>
                <c:pt idx="98">
                  <c:v>02/07/2012</c:v>
                </c:pt>
                <c:pt idx="99">
                  <c:v>02/08/2012</c:v>
                </c:pt>
                <c:pt idx="100">
                  <c:v>02/09/2012</c:v>
                </c:pt>
                <c:pt idx="101">
                  <c:v>02/10/2012</c:v>
                </c:pt>
                <c:pt idx="102">
                  <c:v>02/13/2012</c:v>
                </c:pt>
                <c:pt idx="103">
                  <c:v>02/14/2012</c:v>
                </c:pt>
                <c:pt idx="104">
                  <c:v>02/15/2012</c:v>
                </c:pt>
                <c:pt idx="105">
                  <c:v>02/16/2012</c:v>
                </c:pt>
                <c:pt idx="106">
                  <c:v>02/17/2012</c:v>
                </c:pt>
                <c:pt idx="107">
                  <c:v>02/20/2012</c:v>
                </c:pt>
                <c:pt idx="108">
                  <c:v>02/21/2012</c:v>
                </c:pt>
                <c:pt idx="109">
                  <c:v>02/22/2012</c:v>
                </c:pt>
                <c:pt idx="110">
                  <c:v>02/23/2012</c:v>
                </c:pt>
                <c:pt idx="111">
                  <c:v>02/24/2012</c:v>
                </c:pt>
                <c:pt idx="112">
                  <c:v>02/27/2012</c:v>
                </c:pt>
                <c:pt idx="113">
                  <c:v>02/28/2012</c:v>
                </c:pt>
                <c:pt idx="114">
                  <c:v>02/29/2012</c:v>
                </c:pt>
                <c:pt idx="115">
                  <c:v>03/01/2012</c:v>
                </c:pt>
                <c:pt idx="116">
                  <c:v>03/02/2012</c:v>
                </c:pt>
                <c:pt idx="117">
                  <c:v>03/05/2012</c:v>
                </c:pt>
                <c:pt idx="118">
                  <c:v>03/06/2012</c:v>
                </c:pt>
                <c:pt idx="119">
                  <c:v>03/07/2012</c:v>
                </c:pt>
                <c:pt idx="120">
                  <c:v>03/08/2012</c:v>
                </c:pt>
                <c:pt idx="121">
                  <c:v>03/09/2012</c:v>
                </c:pt>
                <c:pt idx="122">
                  <c:v>03/12/2012</c:v>
                </c:pt>
                <c:pt idx="123">
                  <c:v>03/13/2012</c:v>
                </c:pt>
                <c:pt idx="124">
                  <c:v>03/14/2012</c:v>
                </c:pt>
                <c:pt idx="125">
                  <c:v>03/15/2012</c:v>
                </c:pt>
                <c:pt idx="126">
                  <c:v>03/16/2012</c:v>
                </c:pt>
                <c:pt idx="127">
                  <c:v>03/19/2012</c:v>
                </c:pt>
                <c:pt idx="128">
                  <c:v>03/20/2012</c:v>
                </c:pt>
                <c:pt idx="129">
                  <c:v>03/21/2012</c:v>
                </c:pt>
                <c:pt idx="130">
                  <c:v>03/22/2012</c:v>
                </c:pt>
                <c:pt idx="131">
                  <c:v>03/23/2012</c:v>
                </c:pt>
                <c:pt idx="132">
                  <c:v>03/26/2012</c:v>
                </c:pt>
                <c:pt idx="133">
                  <c:v>03/27/2012</c:v>
                </c:pt>
                <c:pt idx="134">
                  <c:v>03/28/2012</c:v>
                </c:pt>
                <c:pt idx="135">
                  <c:v>03/29/2012</c:v>
                </c:pt>
                <c:pt idx="136">
                  <c:v>03/30/2012</c:v>
                </c:pt>
                <c:pt idx="137">
                  <c:v>04/02/2012</c:v>
                </c:pt>
                <c:pt idx="138">
                  <c:v>04/03/2012</c:v>
                </c:pt>
                <c:pt idx="139">
                  <c:v>04/04/2012</c:v>
                </c:pt>
                <c:pt idx="140">
                  <c:v>04/05/2012</c:v>
                </c:pt>
                <c:pt idx="141">
                  <c:v>04/06/2012</c:v>
                </c:pt>
                <c:pt idx="142">
                  <c:v>04/09/2012</c:v>
                </c:pt>
                <c:pt idx="143">
                  <c:v>04/10/2012</c:v>
                </c:pt>
                <c:pt idx="144">
                  <c:v>04/11/2012</c:v>
                </c:pt>
                <c:pt idx="145">
                  <c:v>04/12/2012</c:v>
                </c:pt>
                <c:pt idx="146">
                  <c:v>04/13/2012</c:v>
                </c:pt>
                <c:pt idx="147">
                  <c:v>04/16/2012</c:v>
                </c:pt>
                <c:pt idx="148">
                  <c:v>04/17/2012</c:v>
                </c:pt>
                <c:pt idx="149">
                  <c:v>04/18/2012</c:v>
                </c:pt>
                <c:pt idx="150">
                  <c:v>04/19/2012</c:v>
                </c:pt>
                <c:pt idx="151">
                  <c:v>04/20/2012</c:v>
                </c:pt>
                <c:pt idx="152">
                  <c:v>04/23/2012</c:v>
                </c:pt>
                <c:pt idx="153">
                  <c:v>04/24/2012</c:v>
                </c:pt>
                <c:pt idx="154">
                  <c:v>04/25/2012</c:v>
                </c:pt>
                <c:pt idx="155">
                  <c:v>04/26/2012</c:v>
                </c:pt>
                <c:pt idx="156">
                  <c:v>04/27/2012</c:v>
                </c:pt>
                <c:pt idx="157">
                  <c:v>04/30/2012</c:v>
                </c:pt>
                <c:pt idx="158">
                  <c:v>05/01/2012</c:v>
                </c:pt>
                <c:pt idx="159">
                  <c:v>05/02/2012</c:v>
                </c:pt>
                <c:pt idx="160">
                  <c:v>05/03/2012</c:v>
                </c:pt>
                <c:pt idx="161">
                  <c:v>05/04/2012</c:v>
                </c:pt>
                <c:pt idx="162">
                  <c:v>05/07/2012</c:v>
                </c:pt>
                <c:pt idx="163">
                  <c:v>05/08/2012</c:v>
                </c:pt>
                <c:pt idx="164">
                  <c:v>05/09/2012</c:v>
                </c:pt>
                <c:pt idx="165">
                  <c:v>05/10/2012</c:v>
                </c:pt>
                <c:pt idx="166">
                  <c:v>05/11/2012</c:v>
                </c:pt>
                <c:pt idx="167">
                  <c:v>05/14/2012</c:v>
                </c:pt>
                <c:pt idx="168">
                  <c:v>05/15/2012</c:v>
                </c:pt>
                <c:pt idx="169">
                  <c:v>05/16/2012</c:v>
                </c:pt>
                <c:pt idx="170">
                  <c:v>05/17/2012</c:v>
                </c:pt>
                <c:pt idx="171">
                  <c:v>05/18/2012</c:v>
                </c:pt>
                <c:pt idx="172">
                  <c:v>05/21/2012</c:v>
                </c:pt>
                <c:pt idx="173">
                  <c:v>05/22/2012</c:v>
                </c:pt>
                <c:pt idx="174">
                  <c:v>05/23/2012</c:v>
                </c:pt>
                <c:pt idx="175">
                  <c:v>05/24/2012</c:v>
                </c:pt>
                <c:pt idx="176">
                  <c:v>05/25/2012</c:v>
                </c:pt>
                <c:pt idx="177">
                  <c:v>05/28/2012</c:v>
                </c:pt>
                <c:pt idx="178">
                  <c:v>05/29/2012</c:v>
                </c:pt>
                <c:pt idx="179">
                  <c:v>05/30/2012</c:v>
                </c:pt>
                <c:pt idx="180">
                  <c:v>05/31/2012</c:v>
                </c:pt>
                <c:pt idx="181">
                  <c:v>06/01/2012</c:v>
                </c:pt>
                <c:pt idx="182">
                  <c:v>06/04/2012</c:v>
                </c:pt>
                <c:pt idx="183">
                  <c:v>06/05/2012</c:v>
                </c:pt>
                <c:pt idx="184">
                  <c:v>06/06/2012</c:v>
                </c:pt>
                <c:pt idx="185">
                  <c:v>06/07/2012</c:v>
                </c:pt>
                <c:pt idx="186">
                  <c:v>06/08/2012</c:v>
                </c:pt>
                <c:pt idx="187">
                  <c:v>06/11/2012</c:v>
                </c:pt>
                <c:pt idx="188">
                  <c:v>06/12/2012</c:v>
                </c:pt>
                <c:pt idx="189">
                  <c:v>06/13/2012</c:v>
                </c:pt>
                <c:pt idx="190">
                  <c:v>06/14/2012</c:v>
                </c:pt>
                <c:pt idx="191">
                  <c:v>06/15/2012</c:v>
                </c:pt>
                <c:pt idx="192">
                  <c:v>06/18/2012</c:v>
                </c:pt>
                <c:pt idx="193">
                  <c:v>06/19/2012</c:v>
                </c:pt>
                <c:pt idx="194">
                  <c:v>06/20/2012</c:v>
                </c:pt>
                <c:pt idx="195">
                  <c:v>06/21/2012</c:v>
                </c:pt>
                <c:pt idx="196">
                  <c:v>06/22/2012</c:v>
                </c:pt>
                <c:pt idx="197">
                  <c:v>06/25/2012</c:v>
                </c:pt>
                <c:pt idx="198">
                  <c:v>06/26/2012</c:v>
                </c:pt>
                <c:pt idx="199">
                  <c:v>06/27/2012</c:v>
                </c:pt>
                <c:pt idx="200">
                  <c:v>06/28/2012</c:v>
                </c:pt>
                <c:pt idx="201">
                  <c:v>06/29/2012</c:v>
                </c:pt>
                <c:pt idx="202">
                  <c:v>07/02/2012</c:v>
                </c:pt>
                <c:pt idx="203">
                  <c:v>07/03/2012</c:v>
                </c:pt>
                <c:pt idx="204">
                  <c:v>07/04/2012</c:v>
                </c:pt>
                <c:pt idx="205">
                  <c:v>07/05/2012</c:v>
                </c:pt>
                <c:pt idx="206">
                  <c:v>07/06/2012</c:v>
                </c:pt>
                <c:pt idx="207">
                  <c:v>07/09/2012</c:v>
                </c:pt>
                <c:pt idx="208">
                  <c:v>07/10/2012</c:v>
                </c:pt>
                <c:pt idx="209">
                  <c:v>07/11/2012</c:v>
                </c:pt>
                <c:pt idx="210">
                  <c:v>07/12/2012</c:v>
                </c:pt>
                <c:pt idx="211">
                  <c:v>07/13/2012</c:v>
                </c:pt>
                <c:pt idx="212">
                  <c:v>07/16/2012</c:v>
                </c:pt>
                <c:pt idx="213">
                  <c:v>07/17/2012</c:v>
                </c:pt>
                <c:pt idx="214">
                  <c:v>07/18/2012</c:v>
                </c:pt>
                <c:pt idx="215">
                  <c:v>07/19/2012</c:v>
                </c:pt>
                <c:pt idx="216">
                  <c:v>07/20/2012</c:v>
                </c:pt>
                <c:pt idx="217">
                  <c:v>07/23/2012</c:v>
                </c:pt>
                <c:pt idx="218">
                  <c:v>07/24/2012</c:v>
                </c:pt>
                <c:pt idx="219">
                  <c:v>07/25/2012</c:v>
                </c:pt>
                <c:pt idx="220">
                  <c:v>07/26/2012</c:v>
                </c:pt>
                <c:pt idx="221">
                  <c:v>07/27/2012</c:v>
                </c:pt>
                <c:pt idx="222">
                  <c:v>07/30/2012</c:v>
                </c:pt>
                <c:pt idx="223">
                  <c:v>07/31/2012</c:v>
                </c:pt>
                <c:pt idx="224">
                  <c:v>08/01/2012</c:v>
                </c:pt>
                <c:pt idx="225">
                  <c:v>08/02/2012</c:v>
                </c:pt>
                <c:pt idx="226">
                  <c:v>08/03/2012</c:v>
                </c:pt>
                <c:pt idx="227">
                  <c:v>08/06/2012</c:v>
                </c:pt>
                <c:pt idx="228">
                  <c:v>08/07/2012</c:v>
                </c:pt>
                <c:pt idx="229">
                  <c:v>08/08/2012</c:v>
                </c:pt>
                <c:pt idx="230">
                  <c:v>08/09/2012</c:v>
                </c:pt>
                <c:pt idx="231">
                  <c:v>08/10/2012</c:v>
                </c:pt>
                <c:pt idx="232">
                  <c:v>08/13/2012</c:v>
                </c:pt>
                <c:pt idx="233">
                  <c:v>08/14/2012</c:v>
                </c:pt>
                <c:pt idx="234">
                  <c:v>08/15/2012</c:v>
                </c:pt>
                <c:pt idx="235">
                  <c:v>08/16/2012</c:v>
                </c:pt>
                <c:pt idx="236">
                  <c:v>08/17/2012</c:v>
                </c:pt>
                <c:pt idx="237">
                  <c:v>08/20/2012</c:v>
                </c:pt>
                <c:pt idx="238">
                  <c:v>08/21/2012</c:v>
                </c:pt>
                <c:pt idx="239">
                  <c:v>08/22/2012</c:v>
                </c:pt>
                <c:pt idx="240">
                  <c:v>08/23/2012</c:v>
                </c:pt>
                <c:pt idx="241">
                  <c:v>08/24/2012</c:v>
                </c:pt>
                <c:pt idx="242">
                  <c:v>08/27/2012</c:v>
                </c:pt>
                <c:pt idx="243">
                  <c:v>08/28/2012</c:v>
                </c:pt>
                <c:pt idx="244">
                  <c:v>08/29/2012</c:v>
                </c:pt>
                <c:pt idx="245">
                  <c:v>08/30/2012</c:v>
                </c:pt>
                <c:pt idx="246">
                  <c:v>08/31/2012</c:v>
                </c:pt>
                <c:pt idx="247">
                  <c:v>09/03/2012</c:v>
                </c:pt>
                <c:pt idx="248">
                  <c:v>09/04/2012</c:v>
                </c:pt>
                <c:pt idx="249">
                  <c:v>09/05/2012</c:v>
                </c:pt>
                <c:pt idx="250">
                  <c:v>09/06/2012</c:v>
                </c:pt>
                <c:pt idx="251">
                  <c:v>09/07/2012</c:v>
                </c:pt>
                <c:pt idx="252">
                  <c:v>09/10/2012</c:v>
                </c:pt>
                <c:pt idx="253">
                  <c:v>09/11/2012</c:v>
                </c:pt>
                <c:pt idx="254">
                  <c:v>09/12/2012</c:v>
                </c:pt>
                <c:pt idx="255">
                  <c:v>09/13/2012</c:v>
                </c:pt>
                <c:pt idx="256">
                  <c:v>09/14/2012</c:v>
                </c:pt>
                <c:pt idx="257">
                  <c:v>09/17/2012</c:v>
                </c:pt>
                <c:pt idx="258">
                  <c:v>09/18/2012</c:v>
                </c:pt>
                <c:pt idx="259">
                  <c:v>09/19/2012</c:v>
                </c:pt>
                <c:pt idx="260">
                  <c:v>09/20/2012</c:v>
                </c:pt>
                <c:pt idx="261">
                  <c:v>09/21/2012</c:v>
                </c:pt>
                <c:pt idx="262">
                  <c:v>09/24/2012</c:v>
                </c:pt>
                <c:pt idx="263">
                  <c:v>09/25/2012</c:v>
                </c:pt>
                <c:pt idx="264">
                  <c:v>09/26/2012</c:v>
                </c:pt>
                <c:pt idx="265">
                  <c:v>09/27/2012</c:v>
                </c:pt>
                <c:pt idx="266">
                  <c:v>09/28/2012</c:v>
                </c:pt>
                <c:pt idx="267">
                  <c:v>10/01/2012</c:v>
                </c:pt>
                <c:pt idx="268">
                  <c:v>10/02/2012</c:v>
                </c:pt>
                <c:pt idx="269">
                  <c:v>10/03/2012</c:v>
                </c:pt>
                <c:pt idx="270">
                  <c:v>10/04/2012</c:v>
                </c:pt>
                <c:pt idx="271">
                  <c:v>10/05/2012</c:v>
                </c:pt>
                <c:pt idx="272">
                  <c:v>10/08/2012</c:v>
                </c:pt>
                <c:pt idx="273">
                  <c:v>10/09/2012</c:v>
                </c:pt>
                <c:pt idx="274">
                  <c:v>10/10/2012</c:v>
                </c:pt>
                <c:pt idx="275">
                  <c:v>10/11/2012</c:v>
                </c:pt>
                <c:pt idx="276">
                  <c:v>10/12/2012</c:v>
                </c:pt>
                <c:pt idx="277">
                  <c:v>10/15/2012</c:v>
                </c:pt>
                <c:pt idx="278">
                  <c:v>10/16/2012</c:v>
                </c:pt>
                <c:pt idx="279">
                  <c:v>10/17/2012</c:v>
                </c:pt>
                <c:pt idx="280">
                  <c:v>10/18/2012</c:v>
                </c:pt>
                <c:pt idx="281">
                  <c:v>10/19/2012</c:v>
                </c:pt>
                <c:pt idx="282">
                  <c:v>10/22/2012</c:v>
                </c:pt>
                <c:pt idx="283">
                  <c:v>10/23/2012</c:v>
                </c:pt>
                <c:pt idx="284">
                  <c:v>10/24/2012</c:v>
                </c:pt>
                <c:pt idx="285">
                  <c:v>10/25/2012</c:v>
                </c:pt>
                <c:pt idx="286">
                  <c:v>10/26/2012</c:v>
                </c:pt>
                <c:pt idx="287">
                  <c:v>10/29/2012</c:v>
                </c:pt>
                <c:pt idx="288">
                  <c:v>10/30/2012</c:v>
                </c:pt>
                <c:pt idx="289">
                  <c:v>10/31/2012</c:v>
                </c:pt>
                <c:pt idx="290">
                  <c:v>11/01/2012</c:v>
                </c:pt>
                <c:pt idx="291">
                  <c:v>11/02/2012</c:v>
                </c:pt>
                <c:pt idx="292">
                  <c:v>11/05/2012</c:v>
                </c:pt>
                <c:pt idx="293">
                  <c:v>11/06/2012</c:v>
                </c:pt>
                <c:pt idx="294">
                  <c:v>11/07/2012</c:v>
                </c:pt>
                <c:pt idx="295">
                  <c:v>11/08/2012</c:v>
                </c:pt>
                <c:pt idx="296">
                  <c:v>11/09/2012</c:v>
                </c:pt>
                <c:pt idx="297">
                  <c:v>11/12/2012</c:v>
                </c:pt>
                <c:pt idx="298">
                  <c:v>11/13/2012</c:v>
                </c:pt>
                <c:pt idx="299">
                  <c:v>11/14/2012</c:v>
                </c:pt>
                <c:pt idx="300">
                  <c:v>11/15/2012</c:v>
                </c:pt>
                <c:pt idx="301">
                  <c:v>11/16/2012</c:v>
                </c:pt>
                <c:pt idx="302">
                  <c:v>11/19/2012</c:v>
                </c:pt>
                <c:pt idx="303">
                  <c:v>11/20/2012</c:v>
                </c:pt>
                <c:pt idx="304">
                  <c:v>11/21/2012</c:v>
                </c:pt>
                <c:pt idx="305">
                  <c:v>11/22/2012</c:v>
                </c:pt>
                <c:pt idx="306">
                  <c:v>11/23/2012</c:v>
                </c:pt>
                <c:pt idx="307">
                  <c:v>11/26/2012</c:v>
                </c:pt>
                <c:pt idx="308">
                  <c:v>11/27/2012</c:v>
                </c:pt>
                <c:pt idx="309">
                  <c:v>11/28/2012</c:v>
                </c:pt>
                <c:pt idx="310">
                  <c:v>11/29/2012</c:v>
                </c:pt>
                <c:pt idx="311">
                  <c:v>11/30/2012</c:v>
                </c:pt>
                <c:pt idx="312">
                  <c:v>12/03/2012</c:v>
                </c:pt>
                <c:pt idx="313">
                  <c:v>12/04/2012</c:v>
                </c:pt>
                <c:pt idx="314">
                  <c:v>12/05/2012</c:v>
                </c:pt>
                <c:pt idx="315">
                  <c:v>12/06/2012</c:v>
                </c:pt>
                <c:pt idx="316">
                  <c:v>12/07/2012</c:v>
                </c:pt>
                <c:pt idx="317">
                  <c:v>12/10/2012</c:v>
                </c:pt>
                <c:pt idx="318">
                  <c:v>12/11/2012</c:v>
                </c:pt>
                <c:pt idx="319">
                  <c:v>12/12/2012</c:v>
                </c:pt>
                <c:pt idx="320">
                  <c:v>12/13/2012</c:v>
                </c:pt>
                <c:pt idx="321">
                  <c:v>12/14/2012</c:v>
                </c:pt>
                <c:pt idx="322">
                  <c:v>12/17/2012</c:v>
                </c:pt>
                <c:pt idx="323">
                  <c:v>12/18/2012</c:v>
                </c:pt>
                <c:pt idx="324">
                  <c:v>12/19/2012</c:v>
                </c:pt>
                <c:pt idx="325">
                  <c:v>12/20/2012</c:v>
                </c:pt>
                <c:pt idx="326">
                  <c:v>12/21/2012</c:v>
                </c:pt>
                <c:pt idx="327">
                  <c:v>12/24/2012</c:v>
                </c:pt>
                <c:pt idx="328">
                  <c:v>12/25/2012</c:v>
                </c:pt>
                <c:pt idx="329">
                  <c:v>12/26/2012</c:v>
                </c:pt>
                <c:pt idx="330">
                  <c:v>12/27/2012</c:v>
                </c:pt>
                <c:pt idx="331">
                  <c:v>12/28/2012</c:v>
                </c:pt>
                <c:pt idx="332">
                  <c:v>12/31/2012</c:v>
                </c:pt>
                <c:pt idx="333">
                  <c:v>01/01/2013</c:v>
                </c:pt>
                <c:pt idx="334">
                  <c:v>01/02/2013</c:v>
                </c:pt>
                <c:pt idx="335">
                  <c:v>01/03/2013</c:v>
                </c:pt>
                <c:pt idx="336">
                  <c:v>01/04/2013</c:v>
                </c:pt>
                <c:pt idx="337">
                  <c:v>01/07/2013</c:v>
                </c:pt>
                <c:pt idx="338">
                  <c:v>01/08/2013</c:v>
                </c:pt>
                <c:pt idx="339">
                  <c:v>01/09/2013</c:v>
                </c:pt>
                <c:pt idx="340">
                  <c:v>01/10/2013</c:v>
                </c:pt>
                <c:pt idx="341">
                  <c:v>01/11/2013</c:v>
                </c:pt>
                <c:pt idx="342">
                  <c:v>01/14/2013</c:v>
                </c:pt>
                <c:pt idx="343">
                  <c:v>01/15/2013</c:v>
                </c:pt>
                <c:pt idx="344">
                  <c:v>01/16/2013</c:v>
                </c:pt>
                <c:pt idx="345">
                  <c:v>01/17/2013</c:v>
                </c:pt>
                <c:pt idx="346">
                  <c:v>01/18/2013</c:v>
                </c:pt>
                <c:pt idx="347">
                  <c:v>01/21/2013</c:v>
                </c:pt>
                <c:pt idx="348">
                  <c:v>01/22/2013</c:v>
                </c:pt>
                <c:pt idx="349">
                  <c:v>01/23/2013</c:v>
                </c:pt>
                <c:pt idx="350">
                  <c:v>01/24/2013</c:v>
                </c:pt>
                <c:pt idx="351">
                  <c:v>01/25/2013</c:v>
                </c:pt>
                <c:pt idx="352">
                  <c:v>01/28/2013</c:v>
                </c:pt>
                <c:pt idx="353">
                  <c:v>01/29/2013</c:v>
                </c:pt>
                <c:pt idx="354">
                  <c:v>01/30/2013</c:v>
                </c:pt>
                <c:pt idx="355">
                  <c:v>01/31/2013</c:v>
                </c:pt>
                <c:pt idx="356">
                  <c:v>02/01/2013</c:v>
                </c:pt>
                <c:pt idx="357">
                  <c:v>02/04/2013</c:v>
                </c:pt>
                <c:pt idx="358">
                  <c:v>02/05/2013</c:v>
                </c:pt>
                <c:pt idx="359">
                  <c:v>02/06/2013</c:v>
                </c:pt>
                <c:pt idx="360">
                  <c:v>02/07/2013</c:v>
                </c:pt>
                <c:pt idx="361">
                  <c:v>02/08/2013</c:v>
                </c:pt>
                <c:pt idx="362">
                  <c:v>02/11/2013</c:v>
                </c:pt>
                <c:pt idx="363">
                  <c:v>02/12/2013</c:v>
                </c:pt>
                <c:pt idx="364">
                  <c:v>02/13/2013</c:v>
                </c:pt>
                <c:pt idx="365">
                  <c:v>02/14/2013</c:v>
                </c:pt>
                <c:pt idx="366">
                  <c:v>02/15/2013</c:v>
                </c:pt>
                <c:pt idx="367">
                  <c:v>02/18/2013</c:v>
                </c:pt>
                <c:pt idx="368">
                  <c:v>02/19/2013</c:v>
                </c:pt>
                <c:pt idx="369">
                  <c:v>02/20/2013</c:v>
                </c:pt>
                <c:pt idx="370">
                  <c:v>02/21/2013</c:v>
                </c:pt>
                <c:pt idx="371">
                  <c:v>02/22/2013</c:v>
                </c:pt>
                <c:pt idx="372">
                  <c:v>02/25/2013</c:v>
                </c:pt>
                <c:pt idx="373">
                  <c:v>02/26/2013</c:v>
                </c:pt>
                <c:pt idx="374">
                  <c:v>02/27/2013</c:v>
                </c:pt>
                <c:pt idx="375">
                  <c:v>02/28/2013</c:v>
                </c:pt>
                <c:pt idx="376">
                  <c:v>03/01/2013</c:v>
                </c:pt>
                <c:pt idx="377">
                  <c:v>03/04/2013</c:v>
                </c:pt>
                <c:pt idx="378">
                  <c:v>03/05/2013</c:v>
                </c:pt>
                <c:pt idx="379">
                  <c:v>03/06/2013</c:v>
                </c:pt>
                <c:pt idx="380">
                  <c:v>03/07/2013</c:v>
                </c:pt>
                <c:pt idx="381">
                  <c:v>03/08/2013</c:v>
                </c:pt>
                <c:pt idx="382">
                  <c:v>03/11/2013</c:v>
                </c:pt>
                <c:pt idx="383">
                  <c:v>03/12/2013</c:v>
                </c:pt>
                <c:pt idx="384">
                  <c:v>03/13/2013</c:v>
                </c:pt>
                <c:pt idx="385">
                  <c:v>03/14/2013</c:v>
                </c:pt>
                <c:pt idx="386">
                  <c:v>03/15/2013</c:v>
                </c:pt>
                <c:pt idx="387">
                  <c:v>03/18/2013</c:v>
                </c:pt>
                <c:pt idx="388">
                  <c:v>03/19/2013</c:v>
                </c:pt>
                <c:pt idx="389">
                  <c:v>03/20/2013</c:v>
                </c:pt>
                <c:pt idx="390">
                  <c:v>03/21/2013</c:v>
                </c:pt>
                <c:pt idx="391">
                  <c:v>03/22/2013</c:v>
                </c:pt>
                <c:pt idx="392">
                  <c:v>03/25/2013</c:v>
                </c:pt>
                <c:pt idx="393">
                  <c:v>03/26/2013</c:v>
                </c:pt>
                <c:pt idx="394">
                  <c:v>03/27/2013</c:v>
                </c:pt>
                <c:pt idx="395">
                  <c:v>03/28/2013</c:v>
                </c:pt>
                <c:pt idx="396">
                  <c:v>03/29/2013</c:v>
                </c:pt>
                <c:pt idx="397">
                  <c:v>04/01/2013</c:v>
                </c:pt>
                <c:pt idx="398">
                  <c:v>04/02/2013</c:v>
                </c:pt>
                <c:pt idx="399">
                  <c:v>04/03/2013</c:v>
                </c:pt>
                <c:pt idx="400">
                  <c:v>04/04/2013</c:v>
                </c:pt>
                <c:pt idx="401">
                  <c:v>04/05/2013</c:v>
                </c:pt>
                <c:pt idx="402">
                  <c:v>04/08/2013</c:v>
                </c:pt>
                <c:pt idx="403">
                  <c:v>04/09/2013</c:v>
                </c:pt>
                <c:pt idx="404">
                  <c:v>04/10/2013</c:v>
                </c:pt>
                <c:pt idx="405">
                  <c:v>04/11/2013</c:v>
                </c:pt>
                <c:pt idx="406">
                  <c:v>04/12/2013</c:v>
                </c:pt>
                <c:pt idx="407">
                  <c:v>04/15/2013</c:v>
                </c:pt>
                <c:pt idx="408">
                  <c:v>04/16/2013</c:v>
                </c:pt>
                <c:pt idx="409">
                  <c:v>04/17/2013</c:v>
                </c:pt>
                <c:pt idx="410">
                  <c:v>04/18/2013</c:v>
                </c:pt>
                <c:pt idx="411">
                  <c:v>04/19/2013</c:v>
                </c:pt>
                <c:pt idx="412">
                  <c:v>04/22/2013</c:v>
                </c:pt>
                <c:pt idx="413">
                  <c:v>04/23/2013</c:v>
                </c:pt>
                <c:pt idx="414">
                  <c:v>04/24/2013</c:v>
                </c:pt>
                <c:pt idx="415">
                  <c:v>04/25/2013</c:v>
                </c:pt>
                <c:pt idx="416">
                  <c:v>04/26/2013</c:v>
                </c:pt>
                <c:pt idx="417">
                  <c:v>04/29/2013</c:v>
                </c:pt>
                <c:pt idx="418">
                  <c:v>04/30/2013</c:v>
                </c:pt>
                <c:pt idx="419">
                  <c:v>05/01/2013</c:v>
                </c:pt>
                <c:pt idx="420">
                  <c:v>05/02/2013</c:v>
                </c:pt>
                <c:pt idx="421">
                  <c:v>05/03/2013</c:v>
                </c:pt>
                <c:pt idx="422">
                  <c:v>05/06/2013</c:v>
                </c:pt>
                <c:pt idx="423">
                  <c:v>05/07/2013</c:v>
                </c:pt>
                <c:pt idx="424">
                  <c:v>05/08/2013</c:v>
                </c:pt>
                <c:pt idx="425">
                  <c:v>05/09/2013</c:v>
                </c:pt>
                <c:pt idx="426">
                  <c:v>05/10/2013</c:v>
                </c:pt>
                <c:pt idx="427">
                  <c:v>05/13/2013</c:v>
                </c:pt>
                <c:pt idx="428">
                  <c:v>05/14/2013</c:v>
                </c:pt>
                <c:pt idx="429">
                  <c:v>05/15/2013</c:v>
                </c:pt>
                <c:pt idx="430">
                  <c:v>05/16/2013</c:v>
                </c:pt>
                <c:pt idx="431">
                  <c:v>05/17/2013</c:v>
                </c:pt>
                <c:pt idx="432">
                  <c:v>05/20/2013</c:v>
                </c:pt>
                <c:pt idx="433">
                  <c:v>05/21/2013</c:v>
                </c:pt>
                <c:pt idx="434">
                  <c:v>05/22/2013</c:v>
                </c:pt>
                <c:pt idx="435">
                  <c:v>05/23/2013</c:v>
                </c:pt>
                <c:pt idx="436">
                  <c:v>05/24/2013</c:v>
                </c:pt>
                <c:pt idx="437">
                  <c:v>05/27/2013</c:v>
                </c:pt>
                <c:pt idx="438">
                  <c:v>05/28/2013</c:v>
                </c:pt>
                <c:pt idx="439">
                  <c:v>05/29/2013</c:v>
                </c:pt>
                <c:pt idx="440">
                  <c:v>05/30/2013</c:v>
                </c:pt>
                <c:pt idx="441">
                  <c:v>05/31/2013</c:v>
                </c:pt>
                <c:pt idx="442">
                  <c:v>06/03/2013</c:v>
                </c:pt>
                <c:pt idx="443">
                  <c:v>06/04/2013</c:v>
                </c:pt>
                <c:pt idx="444">
                  <c:v>06/05/2013</c:v>
                </c:pt>
                <c:pt idx="445">
                  <c:v>06/06/2013</c:v>
                </c:pt>
                <c:pt idx="446">
                  <c:v>06/07/2013</c:v>
                </c:pt>
                <c:pt idx="447">
                  <c:v>06/10/2013</c:v>
                </c:pt>
                <c:pt idx="448">
                  <c:v>06/11/2013</c:v>
                </c:pt>
                <c:pt idx="449">
                  <c:v>06/12/2013</c:v>
                </c:pt>
                <c:pt idx="450">
                  <c:v>06/13/2013</c:v>
                </c:pt>
                <c:pt idx="451">
                  <c:v>06/14/2013</c:v>
                </c:pt>
                <c:pt idx="452">
                  <c:v>06/17/2013</c:v>
                </c:pt>
                <c:pt idx="453">
                  <c:v>06/18/2013</c:v>
                </c:pt>
                <c:pt idx="454">
                  <c:v>06/19/2013</c:v>
                </c:pt>
                <c:pt idx="455">
                  <c:v>06/20/2013</c:v>
                </c:pt>
                <c:pt idx="456">
                  <c:v>06/21/2013</c:v>
                </c:pt>
                <c:pt idx="457">
                  <c:v>06/24/2013</c:v>
                </c:pt>
                <c:pt idx="458">
                  <c:v>06/25/2013</c:v>
                </c:pt>
                <c:pt idx="459">
                  <c:v>06/26/2013</c:v>
                </c:pt>
                <c:pt idx="460">
                  <c:v>06/27/2013</c:v>
                </c:pt>
                <c:pt idx="461">
                  <c:v>06/28/2013</c:v>
                </c:pt>
                <c:pt idx="462">
                  <c:v>07/01/2013</c:v>
                </c:pt>
                <c:pt idx="463">
                  <c:v>07/02/2013</c:v>
                </c:pt>
                <c:pt idx="464">
                  <c:v>07/03/2013</c:v>
                </c:pt>
                <c:pt idx="465">
                  <c:v>07/04/2013</c:v>
                </c:pt>
                <c:pt idx="466">
                  <c:v>07/05/2013</c:v>
                </c:pt>
                <c:pt idx="467">
                  <c:v>07/08/2013</c:v>
                </c:pt>
                <c:pt idx="468">
                  <c:v>07/09/2013</c:v>
                </c:pt>
                <c:pt idx="469">
                  <c:v>07/10/2013</c:v>
                </c:pt>
                <c:pt idx="470">
                  <c:v>07/11/2013</c:v>
                </c:pt>
                <c:pt idx="471">
                  <c:v>07/12/2013</c:v>
                </c:pt>
                <c:pt idx="472">
                  <c:v>07/15/2013</c:v>
                </c:pt>
                <c:pt idx="473">
                  <c:v>07/16/2013</c:v>
                </c:pt>
                <c:pt idx="474">
                  <c:v>07/17/2013</c:v>
                </c:pt>
                <c:pt idx="475">
                  <c:v>07/18/2013</c:v>
                </c:pt>
                <c:pt idx="476">
                  <c:v>07/19/2013</c:v>
                </c:pt>
                <c:pt idx="477">
                  <c:v>07/22/2013</c:v>
                </c:pt>
                <c:pt idx="478">
                  <c:v>07/23/2013</c:v>
                </c:pt>
                <c:pt idx="479">
                  <c:v>07/24/2013</c:v>
                </c:pt>
                <c:pt idx="480">
                  <c:v>07/25/2013</c:v>
                </c:pt>
                <c:pt idx="481">
                  <c:v>07/26/2013</c:v>
                </c:pt>
                <c:pt idx="482">
                  <c:v>07/29/2013</c:v>
                </c:pt>
                <c:pt idx="483">
                  <c:v>07/30/2013</c:v>
                </c:pt>
                <c:pt idx="484">
                  <c:v>07/31/2013</c:v>
                </c:pt>
                <c:pt idx="485">
                  <c:v>08/01/2013</c:v>
                </c:pt>
                <c:pt idx="486">
                  <c:v>08/02/2013</c:v>
                </c:pt>
                <c:pt idx="487">
                  <c:v>08/05/2013</c:v>
                </c:pt>
                <c:pt idx="488">
                  <c:v>08/06/2013</c:v>
                </c:pt>
                <c:pt idx="489">
                  <c:v>08/07/2013</c:v>
                </c:pt>
                <c:pt idx="490">
                  <c:v>08/08/2013</c:v>
                </c:pt>
                <c:pt idx="491">
                  <c:v>08/09/2013</c:v>
                </c:pt>
                <c:pt idx="492">
                  <c:v>08/12/2013</c:v>
                </c:pt>
                <c:pt idx="493">
                  <c:v>08/13/2013</c:v>
                </c:pt>
                <c:pt idx="494">
                  <c:v>08/14/2013</c:v>
                </c:pt>
                <c:pt idx="495">
                  <c:v>08/15/2013</c:v>
                </c:pt>
                <c:pt idx="496">
                  <c:v>08/16/2013</c:v>
                </c:pt>
                <c:pt idx="497">
                  <c:v>08/19/2013</c:v>
                </c:pt>
                <c:pt idx="498">
                  <c:v>08/20/2013</c:v>
                </c:pt>
                <c:pt idx="499">
                  <c:v>08/21/2013</c:v>
                </c:pt>
                <c:pt idx="500">
                  <c:v>08/22/2013</c:v>
                </c:pt>
                <c:pt idx="501">
                  <c:v>08/23/2013</c:v>
                </c:pt>
                <c:pt idx="502">
                  <c:v>08/26/2013</c:v>
                </c:pt>
                <c:pt idx="503">
                  <c:v>08/27/2013</c:v>
                </c:pt>
                <c:pt idx="504">
                  <c:v>08/28/2013</c:v>
                </c:pt>
                <c:pt idx="505">
                  <c:v>08/29/2013</c:v>
                </c:pt>
                <c:pt idx="506">
                  <c:v>08/30/2013</c:v>
                </c:pt>
                <c:pt idx="507">
                  <c:v>09/02/2013</c:v>
                </c:pt>
                <c:pt idx="508">
                  <c:v>09/03/2013</c:v>
                </c:pt>
                <c:pt idx="509">
                  <c:v>09/04/2013</c:v>
                </c:pt>
                <c:pt idx="510">
                  <c:v>09/05/2013</c:v>
                </c:pt>
                <c:pt idx="511">
                  <c:v>09/06/2013</c:v>
                </c:pt>
                <c:pt idx="512">
                  <c:v>09/09/2013</c:v>
                </c:pt>
                <c:pt idx="513">
                  <c:v>09/10/2013</c:v>
                </c:pt>
                <c:pt idx="514">
                  <c:v>09/11/2013</c:v>
                </c:pt>
                <c:pt idx="515">
                  <c:v>09/12/2013</c:v>
                </c:pt>
                <c:pt idx="516">
                  <c:v>09/13/2013</c:v>
                </c:pt>
                <c:pt idx="517">
                  <c:v>09/16/2013</c:v>
                </c:pt>
                <c:pt idx="518">
                  <c:v>09/17/2013</c:v>
                </c:pt>
                <c:pt idx="519">
                  <c:v>09/18/2013</c:v>
                </c:pt>
                <c:pt idx="520">
                  <c:v>09/19/2013</c:v>
                </c:pt>
                <c:pt idx="521">
                  <c:v>09/20/2013</c:v>
                </c:pt>
                <c:pt idx="522">
                  <c:v>09/23/2013</c:v>
                </c:pt>
                <c:pt idx="523">
                  <c:v>09/24/2013</c:v>
                </c:pt>
                <c:pt idx="524">
                  <c:v>09/25/2013</c:v>
                </c:pt>
                <c:pt idx="525">
                  <c:v>09/26/2013</c:v>
                </c:pt>
                <c:pt idx="526">
                  <c:v>09/27/2013</c:v>
                </c:pt>
                <c:pt idx="527">
                  <c:v>09/30/2013</c:v>
                </c:pt>
                <c:pt idx="528">
                  <c:v>10/01/2013</c:v>
                </c:pt>
                <c:pt idx="529">
                  <c:v>10/02/2013</c:v>
                </c:pt>
                <c:pt idx="530">
                  <c:v>10/03/2013</c:v>
                </c:pt>
                <c:pt idx="531">
                  <c:v>10/04/2013</c:v>
                </c:pt>
                <c:pt idx="532">
                  <c:v>10/07/2013</c:v>
                </c:pt>
                <c:pt idx="533">
                  <c:v>10/08/2013</c:v>
                </c:pt>
                <c:pt idx="534">
                  <c:v>10/09/2013</c:v>
                </c:pt>
                <c:pt idx="535">
                  <c:v>10/10/2013</c:v>
                </c:pt>
                <c:pt idx="536">
                  <c:v>10/11/2013</c:v>
                </c:pt>
                <c:pt idx="537">
                  <c:v>10/14/2013</c:v>
                </c:pt>
                <c:pt idx="538">
                  <c:v>10/15/2013</c:v>
                </c:pt>
                <c:pt idx="539">
                  <c:v>10/16/2013</c:v>
                </c:pt>
                <c:pt idx="540">
                  <c:v>10/17/2013</c:v>
                </c:pt>
                <c:pt idx="541">
                  <c:v>10/18/2013</c:v>
                </c:pt>
                <c:pt idx="542">
                  <c:v>10/21/2013</c:v>
                </c:pt>
                <c:pt idx="543">
                  <c:v>10/22/2013</c:v>
                </c:pt>
                <c:pt idx="544">
                  <c:v>10/23/2013</c:v>
                </c:pt>
                <c:pt idx="545">
                  <c:v>10/24/2013</c:v>
                </c:pt>
                <c:pt idx="546">
                  <c:v>10/25/2013</c:v>
                </c:pt>
                <c:pt idx="547">
                  <c:v>10/28/2013</c:v>
                </c:pt>
                <c:pt idx="548">
                  <c:v>10/29/2013</c:v>
                </c:pt>
                <c:pt idx="549">
                  <c:v>10/30/2013</c:v>
                </c:pt>
                <c:pt idx="550">
                  <c:v>10/31/2013</c:v>
                </c:pt>
                <c:pt idx="551">
                  <c:v>11/01/2013</c:v>
                </c:pt>
                <c:pt idx="552">
                  <c:v>11/04/2013</c:v>
                </c:pt>
                <c:pt idx="553">
                  <c:v>11/05/2013</c:v>
                </c:pt>
                <c:pt idx="554">
                  <c:v>11/06/2013</c:v>
                </c:pt>
                <c:pt idx="555">
                  <c:v>11/07/2013</c:v>
                </c:pt>
                <c:pt idx="556">
                  <c:v>11/08/2013</c:v>
                </c:pt>
                <c:pt idx="557">
                  <c:v>11/11/2013</c:v>
                </c:pt>
                <c:pt idx="558">
                  <c:v>11/12/2013</c:v>
                </c:pt>
                <c:pt idx="559">
                  <c:v>11/13/2013</c:v>
                </c:pt>
                <c:pt idx="560">
                  <c:v>11/14/2013</c:v>
                </c:pt>
                <c:pt idx="561">
                  <c:v>11/15/2013</c:v>
                </c:pt>
                <c:pt idx="562">
                  <c:v>11/18/2013</c:v>
                </c:pt>
                <c:pt idx="563">
                  <c:v>11/19/2013</c:v>
                </c:pt>
                <c:pt idx="564">
                  <c:v>11/20/2013</c:v>
                </c:pt>
                <c:pt idx="565">
                  <c:v>11/21/2013</c:v>
                </c:pt>
                <c:pt idx="566">
                  <c:v>11/22/2013</c:v>
                </c:pt>
                <c:pt idx="567">
                  <c:v>11/25/2013</c:v>
                </c:pt>
                <c:pt idx="568">
                  <c:v>11/26/2013</c:v>
                </c:pt>
                <c:pt idx="569">
                  <c:v>11/27/2013</c:v>
                </c:pt>
                <c:pt idx="570">
                  <c:v>11/28/2013</c:v>
                </c:pt>
                <c:pt idx="571">
                  <c:v>11/29/2013</c:v>
                </c:pt>
                <c:pt idx="572">
                  <c:v>12/02/2013</c:v>
                </c:pt>
                <c:pt idx="573">
                  <c:v>12/03/2013</c:v>
                </c:pt>
                <c:pt idx="574">
                  <c:v>12/04/2013</c:v>
                </c:pt>
                <c:pt idx="575">
                  <c:v>12/05/2013</c:v>
                </c:pt>
                <c:pt idx="576">
                  <c:v>12/06/2013</c:v>
                </c:pt>
                <c:pt idx="577">
                  <c:v>12/09/2013</c:v>
                </c:pt>
                <c:pt idx="578">
                  <c:v>12/10/2013</c:v>
                </c:pt>
                <c:pt idx="579">
                  <c:v>12/11/2013</c:v>
                </c:pt>
                <c:pt idx="580">
                  <c:v>12/12/2013</c:v>
                </c:pt>
                <c:pt idx="581">
                  <c:v>12/13/2013</c:v>
                </c:pt>
                <c:pt idx="582">
                  <c:v>12/16/2013</c:v>
                </c:pt>
                <c:pt idx="583">
                  <c:v>12/17/2013</c:v>
                </c:pt>
                <c:pt idx="584">
                  <c:v>12/18/2013</c:v>
                </c:pt>
                <c:pt idx="585">
                  <c:v>12/19/2013</c:v>
                </c:pt>
                <c:pt idx="586">
                  <c:v>12/20/2013</c:v>
                </c:pt>
                <c:pt idx="587">
                  <c:v>12/23/2013</c:v>
                </c:pt>
                <c:pt idx="588">
                  <c:v>12/24/2013</c:v>
                </c:pt>
                <c:pt idx="589">
                  <c:v>12/25/2013</c:v>
                </c:pt>
                <c:pt idx="590">
                  <c:v>12/26/2013</c:v>
                </c:pt>
                <c:pt idx="591">
                  <c:v>12/27/2013</c:v>
                </c:pt>
                <c:pt idx="592">
                  <c:v>12/30/2013</c:v>
                </c:pt>
                <c:pt idx="593">
                  <c:v>12/31/2013</c:v>
                </c:pt>
                <c:pt idx="594">
                  <c:v>01/01/2014</c:v>
                </c:pt>
                <c:pt idx="595">
                  <c:v>01/02/2014</c:v>
                </c:pt>
                <c:pt idx="596">
                  <c:v>01/03/2014</c:v>
                </c:pt>
                <c:pt idx="597">
                  <c:v>01/06/2014</c:v>
                </c:pt>
                <c:pt idx="598">
                  <c:v>01/07/2014</c:v>
                </c:pt>
                <c:pt idx="599">
                  <c:v>01/08/2014</c:v>
                </c:pt>
                <c:pt idx="600">
                  <c:v>01/09/2014</c:v>
                </c:pt>
                <c:pt idx="601">
                  <c:v>01/10/2014</c:v>
                </c:pt>
                <c:pt idx="602">
                  <c:v>01/13/2014</c:v>
                </c:pt>
                <c:pt idx="603">
                  <c:v>01/14/2014</c:v>
                </c:pt>
                <c:pt idx="604">
                  <c:v>01/15/2014</c:v>
                </c:pt>
                <c:pt idx="605">
                  <c:v>01/16/2014</c:v>
                </c:pt>
                <c:pt idx="606">
                  <c:v>01/17/2014</c:v>
                </c:pt>
                <c:pt idx="607">
                  <c:v>01/20/2014</c:v>
                </c:pt>
                <c:pt idx="608">
                  <c:v>01/21/2014</c:v>
                </c:pt>
                <c:pt idx="609">
                  <c:v>01/22/2014</c:v>
                </c:pt>
                <c:pt idx="610">
                  <c:v>01/23/2014</c:v>
                </c:pt>
                <c:pt idx="611">
                  <c:v>01/24/2014</c:v>
                </c:pt>
                <c:pt idx="612">
                  <c:v>01/27/2014</c:v>
                </c:pt>
                <c:pt idx="613">
                  <c:v>01/28/2014</c:v>
                </c:pt>
                <c:pt idx="614">
                  <c:v>01/29/2014</c:v>
                </c:pt>
                <c:pt idx="615">
                  <c:v>01/30/2014</c:v>
                </c:pt>
                <c:pt idx="616">
                  <c:v>01/31/2014</c:v>
                </c:pt>
                <c:pt idx="617">
                  <c:v>02/03/2014</c:v>
                </c:pt>
                <c:pt idx="618">
                  <c:v>02/04/2014</c:v>
                </c:pt>
                <c:pt idx="619">
                  <c:v>02/05/2014</c:v>
                </c:pt>
                <c:pt idx="620">
                  <c:v>02/06/2014</c:v>
                </c:pt>
                <c:pt idx="621">
                  <c:v>02/07/2014</c:v>
                </c:pt>
                <c:pt idx="622">
                  <c:v>02/10/2014</c:v>
                </c:pt>
                <c:pt idx="623">
                  <c:v>02/11/2014</c:v>
                </c:pt>
                <c:pt idx="624">
                  <c:v>02/12/2014</c:v>
                </c:pt>
                <c:pt idx="625">
                  <c:v>02/13/2014</c:v>
                </c:pt>
                <c:pt idx="626">
                  <c:v>02/14/2014</c:v>
                </c:pt>
                <c:pt idx="627">
                  <c:v>02/17/2014</c:v>
                </c:pt>
                <c:pt idx="628">
                  <c:v>02/18/2014</c:v>
                </c:pt>
                <c:pt idx="629">
                  <c:v>02/19/2014</c:v>
                </c:pt>
                <c:pt idx="630">
                  <c:v>02/20/2014</c:v>
                </c:pt>
                <c:pt idx="631">
                  <c:v>02/21/2014</c:v>
                </c:pt>
                <c:pt idx="632">
                  <c:v>02/24/2014</c:v>
                </c:pt>
                <c:pt idx="633">
                  <c:v>02/25/2014</c:v>
                </c:pt>
                <c:pt idx="634">
                  <c:v>02/26/2014</c:v>
                </c:pt>
                <c:pt idx="635">
                  <c:v>02/27/2014</c:v>
                </c:pt>
                <c:pt idx="636">
                  <c:v>02/28/2014</c:v>
                </c:pt>
                <c:pt idx="637">
                  <c:v>03/03/2014</c:v>
                </c:pt>
                <c:pt idx="638">
                  <c:v>03/04/2014</c:v>
                </c:pt>
                <c:pt idx="639">
                  <c:v>03/05/2014</c:v>
                </c:pt>
                <c:pt idx="640">
                  <c:v>03/06/2014</c:v>
                </c:pt>
                <c:pt idx="641">
                  <c:v>03/07/2014</c:v>
                </c:pt>
                <c:pt idx="642">
                  <c:v>03/10/2014</c:v>
                </c:pt>
                <c:pt idx="643">
                  <c:v>03/11/2014</c:v>
                </c:pt>
                <c:pt idx="644">
                  <c:v>03/12/2014</c:v>
                </c:pt>
                <c:pt idx="645">
                  <c:v>03/13/2014</c:v>
                </c:pt>
                <c:pt idx="646">
                  <c:v>03/14/2014</c:v>
                </c:pt>
                <c:pt idx="647">
                  <c:v>03/17/2014</c:v>
                </c:pt>
                <c:pt idx="648">
                  <c:v>03/18/2014</c:v>
                </c:pt>
                <c:pt idx="649">
                  <c:v>03/19/2014</c:v>
                </c:pt>
                <c:pt idx="650">
                  <c:v>03/20/2014</c:v>
                </c:pt>
                <c:pt idx="651">
                  <c:v>03/21/2014</c:v>
                </c:pt>
                <c:pt idx="652">
                  <c:v>03/24/2014</c:v>
                </c:pt>
                <c:pt idx="653">
                  <c:v>03/25/2014</c:v>
                </c:pt>
                <c:pt idx="654">
                  <c:v>03/26/2014</c:v>
                </c:pt>
                <c:pt idx="655">
                  <c:v>03/27/2014</c:v>
                </c:pt>
                <c:pt idx="656">
                  <c:v>03/28/2014</c:v>
                </c:pt>
                <c:pt idx="657">
                  <c:v>03/31/2014</c:v>
                </c:pt>
                <c:pt idx="658">
                  <c:v>04/01/2014</c:v>
                </c:pt>
                <c:pt idx="659">
                  <c:v>04/02/2014</c:v>
                </c:pt>
                <c:pt idx="660">
                  <c:v>04/03/2014</c:v>
                </c:pt>
                <c:pt idx="661">
                  <c:v>04/04/2014</c:v>
                </c:pt>
                <c:pt idx="662">
                  <c:v>04/07/2014</c:v>
                </c:pt>
                <c:pt idx="663">
                  <c:v>04/08/2014</c:v>
                </c:pt>
                <c:pt idx="664">
                  <c:v>04/09/2014</c:v>
                </c:pt>
                <c:pt idx="665">
                  <c:v>04/10/2014</c:v>
                </c:pt>
                <c:pt idx="666">
                  <c:v>04/11/2014</c:v>
                </c:pt>
                <c:pt idx="667">
                  <c:v>04/14/2014</c:v>
                </c:pt>
                <c:pt idx="668">
                  <c:v>04/15/2014</c:v>
                </c:pt>
                <c:pt idx="669">
                  <c:v>04/16/2014</c:v>
                </c:pt>
                <c:pt idx="670">
                  <c:v>04/17/2014</c:v>
                </c:pt>
                <c:pt idx="671">
                  <c:v>04/18/2014</c:v>
                </c:pt>
                <c:pt idx="672">
                  <c:v>04/21/2014</c:v>
                </c:pt>
                <c:pt idx="673">
                  <c:v>04/22/2014</c:v>
                </c:pt>
                <c:pt idx="674">
                  <c:v>04/23/2014</c:v>
                </c:pt>
                <c:pt idx="675">
                  <c:v>04/24/2014</c:v>
                </c:pt>
                <c:pt idx="676">
                  <c:v>04/25/2014</c:v>
                </c:pt>
                <c:pt idx="677">
                  <c:v>04/28/2014</c:v>
                </c:pt>
                <c:pt idx="678">
                  <c:v>04/29/2014</c:v>
                </c:pt>
                <c:pt idx="679">
                  <c:v>04/30/2014</c:v>
                </c:pt>
                <c:pt idx="680">
                  <c:v>05/01/2014</c:v>
                </c:pt>
                <c:pt idx="681">
                  <c:v>05/02/2014</c:v>
                </c:pt>
                <c:pt idx="682">
                  <c:v>05/05/2014</c:v>
                </c:pt>
                <c:pt idx="683">
                  <c:v>05/06/2014</c:v>
                </c:pt>
                <c:pt idx="684">
                  <c:v>05/07/2014</c:v>
                </c:pt>
                <c:pt idx="685">
                  <c:v>05/08/2014</c:v>
                </c:pt>
                <c:pt idx="686">
                  <c:v>05/09/2014</c:v>
                </c:pt>
                <c:pt idx="687">
                  <c:v>05/12/2014</c:v>
                </c:pt>
                <c:pt idx="688">
                  <c:v>05/13/2014</c:v>
                </c:pt>
                <c:pt idx="689">
                  <c:v>05/14/2014</c:v>
                </c:pt>
                <c:pt idx="690">
                  <c:v>05/15/2014</c:v>
                </c:pt>
                <c:pt idx="691">
                  <c:v>05/16/2014</c:v>
                </c:pt>
                <c:pt idx="692">
                  <c:v>05/19/2014</c:v>
                </c:pt>
                <c:pt idx="693">
                  <c:v>05/20/2014</c:v>
                </c:pt>
                <c:pt idx="694">
                  <c:v>05/21/2014</c:v>
                </c:pt>
                <c:pt idx="695">
                  <c:v>05/22/2014</c:v>
                </c:pt>
                <c:pt idx="696">
                  <c:v>05/23/2014</c:v>
                </c:pt>
                <c:pt idx="697">
                  <c:v>05/26/2014</c:v>
                </c:pt>
                <c:pt idx="698">
                  <c:v>05/27/2014</c:v>
                </c:pt>
                <c:pt idx="699">
                  <c:v>05/28/2014</c:v>
                </c:pt>
                <c:pt idx="700">
                  <c:v>05/29/2014</c:v>
                </c:pt>
                <c:pt idx="701">
                  <c:v>05/30/2014</c:v>
                </c:pt>
                <c:pt idx="702">
                  <c:v>06/02/2014</c:v>
                </c:pt>
                <c:pt idx="703">
                  <c:v>06/03/2014</c:v>
                </c:pt>
                <c:pt idx="704">
                  <c:v>06/04/2014</c:v>
                </c:pt>
                <c:pt idx="705">
                  <c:v>06/05/2014</c:v>
                </c:pt>
                <c:pt idx="706">
                  <c:v>06/06/2014</c:v>
                </c:pt>
                <c:pt idx="707">
                  <c:v>06/09/2014</c:v>
                </c:pt>
                <c:pt idx="708">
                  <c:v>06/10/2014</c:v>
                </c:pt>
                <c:pt idx="709">
                  <c:v>06/11/2014</c:v>
                </c:pt>
                <c:pt idx="710">
                  <c:v>06/12/2014</c:v>
                </c:pt>
                <c:pt idx="711">
                  <c:v>06/13/2014</c:v>
                </c:pt>
                <c:pt idx="712">
                  <c:v>06/16/2014</c:v>
                </c:pt>
                <c:pt idx="713">
                  <c:v>06/17/2014</c:v>
                </c:pt>
                <c:pt idx="714">
                  <c:v>06/18/2014</c:v>
                </c:pt>
                <c:pt idx="715">
                  <c:v>06/19/2014</c:v>
                </c:pt>
                <c:pt idx="716">
                  <c:v>06/20/2014</c:v>
                </c:pt>
                <c:pt idx="717">
                  <c:v>06/23/2014</c:v>
                </c:pt>
                <c:pt idx="718">
                  <c:v>06/24/2014</c:v>
                </c:pt>
                <c:pt idx="719">
                  <c:v>06/25/2014</c:v>
                </c:pt>
                <c:pt idx="720">
                  <c:v>06/26/2014</c:v>
                </c:pt>
                <c:pt idx="721">
                  <c:v>06/27/2014</c:v>
                </c:pt>
                <c:pt idx="722">
                  <c:v>06/30/2014</c:v>
                </c:pt>
                <c:pt idx="723">
                  <c:v>07/01/2014</c:v>
                </c:pt>
                <c:pt idx="724">
                  <c:v>07/02/2014</c:v>
                </c:pt>
                <c:pt idx="725">
                  <c:v>07/03/2014</c:v>
                </c:pt>
                <c:pt idx="726">
                  <c:v>07/04/2014</c:v>
                </c:pt>
                <c:pt idx="727">
                  <c:v>07/07/2014</c:v>
                </c:pt>
                <c:pt idx="728">
                  <c:v>07/08/2014</c:v>
                </c:pt>
                <c:pt idx="729">
                  <c:v>07/09/2014</c:v>
                </c:pt>
                <c:pt idx="730">
                  <c:v>07/10/2014</c:v>
                </c:pt>
                <c:pt idx="731">
                  <c:v>07/11/2014</c:v>
                </c:pt>
                <c:pt idx="732">
                  <c:v>07/14/2014</c:v>
                </c:pt>
                <c:pt idx="733">
                  <c:v>07/15/2014</c:v>
                </c:pt>
                <c:pt idx="734">
                  <c:v>07/16/2014</c:v>
                </c:pt>
                <c:pt idx="735">
                  <c:v>07/17/2014</c:v>
                </c:pt>
                <c:pt idx="736">
                  <c:v>07/18/2014</c:v>
                </c:pt>
                <c:pt idx="737">
                  <c:v>07/21/2014</c:v>
                </c:pt>
                <c:pt idx="738">
                  <c:v>07/22/2014</c:v>
                </c:pt>
                <c:pt idx="739">
                  <c:v>07/23/2014</c:v>
                </c:pt>
                <c:pt idx="740">
                  <c:v>07/24/2014</c:v>
                </c:pt>
                <c:pt idx="741">
                  <c:v>07/25/2014</c:v>
                </c:pt>
                <c:pt idx="742">
                  <c:v>07/28/2014</c:v>
                </c:pt>
                <c:pt idx="743">
                  <c:v>07/29/2014</c:v>
                </c:pt>
                <c:pt idx="744">
                  <c:v>07/30/2014</c:v>
                </c:pt>
                <c:pt idx="745">
                  <c:v>07/31/2014</c:v>
                </c:pt>
                <c:pt idx="746">
                  <c:v>08/01/2014</c:v>
                </c:pt>
                <c:pt idx="747">
                  <c:v>08/04/2014</c:v>
                </c:pt>
                <c:pt idx="748">
                  <c:v>08/05/2014</c:v>
                </c:pt>
                <c:pt idx="749">
                  <c:v>08/06/2014</c:v>
                </c:pt>
                <c:pt idx="750">
                  <c:v>08/07/2014</c:v>
                </c:pt>
                <c:pt idx="751">
                  <c:v>08/08/2014</c:v>
                </c:pt>
                <c:pt idx="752">
                  <c:v>08/11/2014</c:v>
                </c:pt>
                <c:pt idx="753">
                  <c:v>08/12/2014</c:v>
                </c:pt>
                <c:pt idx="754">
                  <c:v>08/13/2014</c:v>
                </c:pt>
                <c:pt idx="755">
                  <c:v>08/14/2014</c:v>
                </c:pt>
                <c:pt idx="756">
                  <c:v>08/15/2014</c:v>
                </c:pt>
                <c:pt idx="757">
                  <c:v>08/18/2014</c:v>
                </c:pt>
                <c:pt idx="758">
                  <c:v>08/19/2014</c:v>
                </c:pt>
                <c:pt idx="759">
                  <c:v>08/20/2014</c:v>
                </c:pt>
                <c:pt idx="760">
                  <c:v>08/21/2014</c:v>
                </c:pt>
                <c:pt idx="761">
                  <c:v>08/22/2014</c:v>
                </c:pt>
                <c:pt idx="762">
                  <c:v>08/25/2014</c:v>
                </c:pt>
                <c:pt idx="763">
                  <c:v>08/26/2014</c:v>
                </c:pt>
                <c:pt idx="764">
                  <c:v>08/27/2014</c:v>
                </c:pt>
                <c:pt idx="765">
                  <c:v>08/28/2014</c:v>
                </c:pt>
                <c:pt idx="766">
                  <c:v>08/29/2014</c:v>
                </c:pt>
                <c:pt idx="767">
                  <c:v>09/01/2014</c:v>
                </c:pt>
                <c:pt idx="768">
                  <c:v>09/02/2014</c:v>
                </c:pt>
                <c:pt idx="769">
                  <c:v>09/03/2014</c:v>
                </c:pt>
                <c:pt idx="770">
                  <c:v>09/04/2014</c:v>
                </c:pt>
                <c:pt idx="771">
                  <c:v>09/05/2014</c:v>
                </c:pt>
                <c:pt idx="772">
                  <c:v>09/08/2014</c:v>
                </c:pt>
                <c:pt idx="773">
                  <c:v>09/09/2014</c:v>
                </c:pt>
                <c:pt idx="774">
                  <c:v>09/10/2014</c:v>
                </c:pt>
                <c:pt idx="775">
                  <c:v>09/11/2014</c:v>
                </c:pt>
                <c:pt idx="776">
                  <c:v>09/12/2014</c:v>
                </c:pt>
                <c:pt idx="777">
                  <c:v>09/15/2014</c:v>
                </c:pt>
                <c:pt idx="778">
                  <c:v>09/16/2014</c:v>
                </c:pt>
                <c:pt idx="779">
                  <c:v>09/17/2014</c:v>
                </c:pt>
                <c:pt idx="780">
                  <c:v>09/18/2014</c:v>
                </c:pt>
                <c:pt idx="781">
                  <c:v>09/19/2014</c:v>
                </c:pt>
                <c:pt idx="782">
                  <c:v>09/22/2014</c:v>
                </c:pt>
                <c:pt idx="783">
                  <c:v>09/23/2014</c:v>
                </c:pt>
                <c:pt idx="784">
                  <c:v>09/24/2014</c:v>
                </c:pt>
                <c:pt idx="785">
                  <c:v>09/25/2014</c:v>
                </c:pt>
                <c:pt idx="786">
                  <c:v>09/26/2014</c:v>
                </c:pt>
                <c:pt idx="787">
                  <c:v>09/29/2014</c:v>
                </c:pt>
                <c:pt idx="788">
                  <c:v>09/30/2014</c:v>
                </c:pt>
                <c:pt idx="789">
                  <c:v>10/01/2014</c:v>
                </c:pt>
                <c:pt idx="790">
                  <c:v>10/02/2014</c:v>
                </c:pt>
                <c:pt idx="791">
                  <c:v>10/03/2014</c:v>
                </c:pt>
                <c:pt idx="792">
                  <c:v>10/06/2014</c:v>
                </c:pt>
                <c:pt idx="793">
                  <c:v>10/07/2014</c:v>
                </c:pt>
                <c:pt idx="794">
                  <c:v>10/08/2014</c:v>
                </c:pt>
                <c:pt idx="795">
                  <c:v>10/09/2014</c:v>
                </c:pt>
                <c:pt idx="796">
                  <c:v>10/10/2014</c:v>
                </c:pt>
                <c:pt idx="797">
                  <c:v>10/13/2014</c:v>
                </c:pt>
                <c:pt idx="798">
                  <c:v>10/14/2014</c:v>
                </c:pt>
                <c:pt idx="799">
                  <c:v>10/15/2014</c:v>
                </c:pt>
                <c:pt idx="800">
                  <c:v>10/16/2014</c:v>
                </c:pt>
                <c:pt idx="801">
                  <c:v>10/17/2014</c:v>
                </c:pt>
                <c:pt idx="802">
                  <c:v>10/20/2014</c:v>
                </c:pt>
                <c:pt idx="803">
                  <c:v>10/21/2014</c:v>
                </c:pt>
                <c:pt idx="804">
                  <c:v>10/22/2014</c:v>
                </c:pt>
                <c:pt idx="805">
                  <c:v>10/23/2014</c:v>
                </c:pt>
                <c:pt idx="806">
                  <c:v>10/24/2014</c:v>
                </c:pt>
                <c:pt idx="807">
                  <c:v>10/27/2014</c:v>
                </c:pt>
                <c:pt idx="808">
                  <c:v>10/28/2014</c:v>
                </c:pt>
                <c:pt idx="809">
                  <c:v>10/29/2014</c:v>
                </c:pt>
                <c:pt idx="810">
                  <c:v>10/30/2014</c:v>
                </c:pt>
                <c:pt idx="811">
                  <c:v>10/31/2014</c:v>
                </c:pt>
                <c:pt idx="812">
                  <c:v>11/03/2014</c:v>
                </c:pt>
                <c:pt idx="813">
                  <c:v>11/04/2014</c:v>
                </c:pt>
                <c:pt idx="814">
                  <c:v>11/05/2014</c:v>
                </c:pt>
                <c:pt idx="815">
                  <c:v>11/06/2014</c:v>
                </c:pt>
                <c:pt idx="816">
                  <c:v>11/07/2014</c:v>
                </c:pt>
                <c:pt idx="817">
                  <c:v>11/10/2014</c:v>
                </c:pt>
                <c:pt idx="818">
                  <c:v>11/11/2014</c:v>
                </c:pt>
                <c:pt idx="819">
                  <c:v>11/12/2014</c:v>
                </c:pt>
                <c:pt idx="820">
                  <c:v>11/13/2014</c:v>
                </c:pt>
                <c:pt idx="821">
                  <c:v>11/14/2014</c:v>
                </c:pt>
                <c:pt idx="822">
                  <c:v>11/17/2014</c:v>
                </c:pt>
                <c:pt idx="823">
                  <c:v>11/18/2014</c:v>
                </c:pt>
                <c:pt idx="824">
                  <c:v>11/19/2014</c:v>
                </c:pt>
                <c:pt idx="825">
                  <c:v>11/20/2014</c:v>
                </c:pt>
                <c:pt idx="826">
                  <c:v>11/21/2014</c:v>
                </c:pt>
                <c:pt idx="827">
                  <c:v>11/24/2014</c:v>
                </c:pt>
                <c:pt idx="828">
                  <c:v>11/25/2014</c:v>
                </c:pt>
                <c:pt idx="829">
                  <c:v>11/26/2014</c:v>
                </c:pt>
                <c:pt idx="830">
                  <c:v>11/27/2014</c:v>
                </c:pt>
                <c:pt idx="831">
                  <c:v>11/28/2014</c:v>
                </c:pt>
                <c:pt idx="832">
                  <c:v>12/01/2014</c:v>
                </c:pt>
                <c:pt idx="833">
                  <c:v>12/02/2014</c:v>
                </c:pt>
                <c:pt idx="834">
                  <c:v>12/03/2014</c:v>
                </c:pt>
                <c:pt idx="835">
                  <c:v>12/04/2014</c:v>
                </c:pt>
                <c:pt idx="836">
                  <c:v>12/05/2014</c:v>
                </c:pt>
                <c:pt idx="837">
                  <c:v>12/08/2014</c:v>
                </c:pt>
                <c:pt idx="838">
                  <c:v>12/09/2014</c:v>
                </c:pt>
                <c:pt idx="839">
                  <c:v>12/10/2014</c:v>
                </c:pt>
                <c:pt idx="840">
                  <c:v>12/11/2014</c:v>
                </c:pt>
                <c:pt idx="841">
                  <c:v>12/12/2014</c:v>
                </c:pt>
                <c:pt idx="842">
                  <c:v>12/15/2014</c:v>
                </c:pt>
                <c:pt idx="843">
                  <c:v>12/16/2014</c:v>
                </c:pt>
                <c:pt idx="844">
                  <c:v>12/17/2014</c:v>
                </c:pt>
                <c:pt idx="845">
                  <c:v>12/18/2014</c:v>
                </c:pt>
                <c:pt idx="846">
                  <c:v>12/19/2014</c:v>
                </c:pt>
                <c:pt idx="847">
                  <c:v>12/22/2014</c:v>
                </c:pt>
                <c:pt idx="848">
                  <c:v>12/23/2014</c:v>
                </c:pt>
                <c:pt idx="849">
                  <c:v>12/24/2014</c:v>
                </c:pt>
                <c:pt idx="850">
                  <c:v>12/25/2014</c:v>
                </c:pt>
                <c:pt idx="851">
                  <c:v>12/26/2014</c:v>
                </c:pt>
                <c:pt idx="852">
                  <c:v>12/29/2014</c:v>
                </c:pt>
                <c:pt idx="853">
                  <c:v>12/30/2014</c:v>
                </c:pt>
                <c:pt idx="854">
                  <c:v>12/31/2014</c:v>
                </c:pt>
                <c:pt idx="855">
                  <c:v>01/01/2015</c:v>
                </c:pt>
                <c:pt idx="856">
                  <c:v>01/02/2015</c:v>
                </c:pt>
                <c:pt idx="857">
                  <c:v>01/05/2015</c:v>
                </c:pt>
                <c:pt idx="858">
                  <c:v>01/06/2015</c:v>
                </c:pt>
                <c:pt idx="859">
                  <c:v>01/07/2015</c:v>
                </c:pt>
                <c:pt idx="860">
                  <c:v>01/08/2015</c:v>
                </c:pt>
                <c:pt idx="861">
                  <c:v>01/09/2015</c:v>
                </c:pt>
                <c:pt idx="862">
                  <c:v>01/12/2015</c:v>
                </c:pt>
                <c:pt idx="863">
                  <c:v>01/13/2015</c:v>
                </c:pt>
                <c:pt idx="864">
                  <c:v>01/14/2015</c:v>
                </c:pt>
                <c:pt idx="865">
                  <c:v>01/15/2015</c:v>
                </c:pt>
                <c:pt idx="866">
                  <c:v>01/16/2015</c:v>
                </c:pt>
                <c:pt idx="867">
                  <c:v>01/19/2015</c:v>
                </c:pt>
                <c:pt idx="868">
                  <c:v>01/20/2015</c:v>
                </c:pt>
                <c:pt idx="869">
                  <c:v>01/21/2015</c:v>
                </c:pt>
                <c:pt idx="870">
                  <c:v>01/22/2015</c:v>
                </c:pt>
                <c:pt idx="871">
                  <c:v>01/23/2015</c:v>
                </c:pt>
                <c:pt idx="872">
                  <c:v>01/26/2015</c:v>
                </c:pt>
                <c:pt idx="873">
                  <c:v>01/27/2015</c:v>
                </c:pt>
                <c:pt idx="874">
                  <c:v>01/28/2015</c:v>
                </c:pt>
                <c:pt idx="875">
                  <c:v>01/29/2015</c:v>
                </c:pt>
                <c:pt idx="876">
                  <c:v>01/30/2015</c:v>
                </c:pt>
                <c:pt idx="877">
                  <c:v>02/02/2015</c:v>
                </c:pt>
                <c:pt idx="878">
                  <c:v>02/03/2015</c:v>
                </c:pt>
                <c:pt idx="879">
                  <c:v>02/04/2015</c:v>
                </c:pt>
                <c:pt idx="880">
                  <c:v>02/05/2015</c:v>
                </c:pt>
                <c:pt idx="881">
                  <c:v>02/06/2015</c:v>
                </c:pt>
                <c:pt idx="882">
                  <c:v>02/09/2015</c:v>
                </c:pt>
                <c:pt idx="883">
                  <c:v>02/10/2015</c:v>
                </c:pt>
                <c:pt idx="884">
                  <c:v>02/11/2015</c:v>
                </c:pt>
                <c:pt idx="885">
                  <c:v>02/12/2015</c:v>
                </c:pt>
                <c:pt idx="886">
                  <c:v>02/13/2015</c:v>
                </c:pt>
                <c:pt idx="887">
                  <c:v>02/16/2015</c:v>
                </c:pt>
                <c:pt idx="888">
                  <c:v>02/17/2015</c:v>
                </c:pt>
                <c:pt idx="889">
                  <c:v>02/18/2015</c:v>
                </c:pt>
                <c:pt idx="890">
                  <c:v>02/19/2015</c:v>
                </c:pt>
                <c:pt idx="891">
                  <c:v>02/20/2015</c:v>
                </c:pt>
                <c:pt idx="892">
                  <c:v>02/23/2015</c:v>
                </c:pt>
                <c:pt idx="893">
                  <c:v>02/24/2015</c:v>
                </c:pt>
                <c:pt idx="894">
                  <c:v>02/25/2015</c:v>
                </c:pt>
                <c:pt idx="895">
                  <c:v>02/26/2015</c:v>
                </c:pt>
                <c:pt idx="896">
                  <c:v>02/27/2015</c:v>
                </c:pt>
                <c:pt idx="897">
                  <c:v>03/02/2015</c:v>
                </c:pt>
                <c:pt idx="898">
                  <c:v>03/03/2015</c:v>
                </c:pt>
                <c:pt idx="899">
                  <c:v>03/04/2015</c:v>
                </c:pt>
                <c:pt idx="900">
                  <c:v>03/05/2015</c:v>
                </c:pt>
                <c:pt idx="901">
                  <c:v>03/06/2015</c:v>
                </c:pt>
                <c:pt idx="902">
                  <c:v>03/09/2015</c:v>
                </c:pt>
                <c:pt idx="903">
                  <c:v>03/10/2015</c:v>
                </c:pt>
                <c:pt idx="904">
                  <c:v>03/11/2015</c:v>
                </c:pt>
                <c:pt idx="905">
                  <c:v>03/12/2015</c:v>
                </c:pt>
                <c:pt idx="906">
                  <c:v>03/13/2015</c:v>
                </c:pt>
                <c:pt idx="907">
                  <c:v>03/16/2015</c:v>
                </c:pt>
                <c:pt idx="908">
                  <c:v>03/17/2015</c:v>
                </c:pt>
                <c:pt idx="909">
                  <c:v>03/18/2015</c:v>
                </c:pt>
                <c:pt idx="910">
                  <c:v>03/19/2015</c:v>
                </c:pt>
                <c:pt idx="911">
                  <c:v>03/20/2015</c:v>
                </c:pt>
                <c:pt idx="912">
                  <c:v>03/23/2015</c:v>
                </c:pt>
                <c:pt idx="913">
                  <c:v>03/24/2015</c:v>
                </c:pt>
                <c:pt idx="914">
                  <c:v>03/25/2015</c:v>
                </c:pt>
                <c:pt idx="915">
                  <c:v>03/26/2015</c:v>
                </c:pt>
                <c:pt idx="916">
                  <c:v>03/27/2015</c:v>
                </c:pt>
                <c:pt idx="917">
                  <c:v>03/30/2015</c:v>
                </c:pt>
                <c:pt idx="918">
                  <c:v>03/31/2015</c:v>
                </c:pt>
                <c:pt idx="919">
                  <c:v>04/01/2015</c:v>
                </c:pt>
                <c:pt idx="920">
                  <c:v>04/02/2015</c:v>
                </c:pt>
                <c:pt idx="921">
                  <c:v>04/03/2015</c:v>
                </c:pt>
                <c:pt idx="922">
                  <c:v>04/06/2015</c:v>
                </c:pt>
                <c:pt idx="923">
                  <c:v>04/07/2015</c:v>
                </c:pt>
                <c:pt idx="924">
                  <c:v>04/08/2015</c:v>
                </c:pt>
                <c:pt idx="925">
                  <c:v>04/09/2015</c:v>
                </c:pt>
                <c:pt idx="926">
                  <c:v>04/10/2015</c:v>
                </c:pt>
                <c:pt idx="927">
                  <c:v>04/13/2015</c:v>
                </c:pt>
                <c:pt idx="928">
                  <c:v>04/14/2015</c:v>
                </c:pt>
                <c:pt idx="929">
                  <c:v>04/15/2015</c:v>
                </c:pt>
                <c:pt idx="930">
                  <c:v>04/16/2015</c:v>
                </c:pt>
                <c:pt idx="931">
                  <c:v>04/17/2015</c:v>
                </c:pt>
                <c:pt idx="932">
                  <c:v>04/20/2015</c:v>
                </c:pt>
                <c:pt idx="933">
                  <c:v>04/21/2015</c:v>
                </c:pt>
                <c:pt idx="934">
                  <c:v>04/22/2015</c:v>
                </c:pt>
                <c:pt idx="935">
                  <c:v>04/23/2015</c:v>
                </c:pt>
                <c:pt idx="936">
                  <c:v>04/24/2015</c:v>
                </c:pt>
                <c:pt idx="937">
                  <c:v>04/27/2015</c:v>
                </c:pt>
                <c:pt idx="938">
                  <c:v>04/28/2015</c:v>
                </c:pt>
                <c:pt idx="939">
                  <c:v>04/29/2015</c:v>
                </c:pt>
                <c:pt idx="940">
                  <c:v>04/30/2015</c:v>
                </c:pt>
                <c:pt idx="941">
                  <c:v>05/01/2015</c:v>
                </c:pt>
                <c:pt idx="942">
                  <c:v>05/04/2015</c:v>
                </c:pt>
                <c:pt idx="943">
                  <c:v>05/05/2015</c:v>
                </c:pt>
                <c:pt idx="944">
                  <c:v>05/06/2015</c:v>
                </c:pt>
                <c:pt idx="945">
                  <c:v>05/07/2015</c:v>
                </c:pt>
                <c:pt idx="946">
                  <c:v>05/08/2015</c:v>
                </c:pt>
                <c:pt idx="947">
                  <c:v>05/11/2015</c:v>
                </c:pt>
                <c:pt idx="948">
                  <c:v>05/12/2015</c:v>
                </c:pt>
                <c:pt idx="949">
                  <c:v>05/13/2015</c:v>
                </c:pt>
                <c:pt idx="950">
                  <c:v>05/14/2015</c:v>
                </c:pt>
                <c:pt idx="951">
                  <c:v>05/15/2015</c:v>
                </c:pt>
                <c:pt idx="952">
                  <c:v>05/18/2015</c:v>
                </c:pt>
                <c:pt idx="953">
                  <c:v>05/19/2015</c:v>
                </c:pt>
                <c:pt idx="954">
                  <c:v>05/20/2015</c:v>
                </c:pt>
                <c:pt idx="955">
                  <c:v>05/21/2015</c:v>
                </c:pt>
                <c:pt idx="956">
                  <c:v>05/22/2015</c:v>
                </c:pt>
                <c:pt idx="957">
                  <c:v>05/25/2015</c:v>
                </c:pt>
                <c:pt idx="958">
                  <c:v>05/26/2015</c:v>
                </c:pt>
                <c:pt idx="959">
                  <c:v>05/27/2015</c:v>
                </c:pt>
                <c:pt idx="960">
                  <c:v>05/28/2015</c:v>
                </c:pt>
                <c:pt idx="961">
                  <c:v>05/29/2015</c:v>
                </c:pt>
                <c:pt idx="962">
                  <c:v>06/01/2015</c:v>
                </c:pt>
                <c:pt idx="963">
                  <c:v>06/02/2015</c:v>
                </c:pt>
                <c:pt idx="964">
                  <c:v>06/03/2015</c:v>
                </c:pt>
                <c:pt idx="965">
                  <c:v>06/04/2015</c:v>
                </c:pt>
                <c:pt idx="966">
                  <c:v>06/05/2015</c:v>
                </c:pt>
                <c:pt idx="967">
                  <c:v>06/08/2015</c:v>
                </c:pt>
                <c:pt idx="968">
                  <c:v>06/09/2015</c:v>
                </c:pt>
                <c:pt idx="969">
                  <c:v>06/10/2015</c:v>
                </c:pt>
                <c:pt idx="970">
                  <c:v>06/11/2015</c:v>
                </c:pt>
                <c:pt idx="971">
                  <c:v>06/12/2015</c:v>
                </c:pt>
                <c:pt idx="972">
                  <c:v>06/15/2015</c:v>
                </c:pt>
                <c:pt idx="973">
                  <c:v>06/16/2015</c:v>
                </c:pt>
                <c:pt idx="974">
                  <c:v>06/17/2015</c:v>
                </c:pt>
                <c:pt idx="975">
                  <c:v>06/18/2015</c:v>
                </c:pt>
                <c:pt idx="976">
                  <c:v>06/19/2015</c:v>
                </c:pt>
                <c:pt idx="977">
                  <c:v>06/22/2015</c:v>
                </c:pt>
                <c:pt idx="978">
                  <c:v>06/23/2015</c:v>
                </c:pt>
                <c:pt idx="979">
                  <c:v>06/24/2015</c:v>
                </c:pt>
                <c:pt idx="980">
                  <c:v>06/25/2015</c:v>
                </c:pt>
                <c:pt idx="981">
                  <c:v>06/26/2015</c:v>
                </c:pt>
                <c:pt idx="982">
                  <c:v>06/29/2015</c:v>
                </c:pt>
                <c:pt idx="983">
                  <c:v>06/30/2015</c:v>
                </c:pt>
                <c:pt idx="984">
                  <c:v>07/01/2015</c:v>
                </c:pt>
                <c:pt idx="985">
                  <c:v>07/02/2015</c:v>
                </c:pt>
                <c:pt idx="986">
                  <c:v>07/03/2015</c:v>
                </c:pt>
                <c:pt idx="987">
                  <c:v>07/06/2015</c:v>
                </c:pt>
                <c:pt idx="988">
                  <c:v>07/07/2015</c:v>
                </c:pt>
                <c:pt idx="989">
                  <c:v>07/08/2015</c:v>
                </c:pt>
                <c:pt idx="990">
                  <c:v>07/09/2015</c:v>
                </c:pt>
                <c:pt idx="991">
                  <c:v>07/10/2015</c:v>
                </c:pt>
                <c:pt idx="992">
                  <c:v>07/13/2015</c:v>
                </c:pt>
                <c:pt idx="993">
                  <c:v>07/14/2015</c:v>
                </c:pt>
                <c:pt idx="994">
                  <c:v>07/15/2015</c:v>
                </c:pt>
                <c:pt idx="995">
                  <c:v>07/16/2015</c:v>
                </c:pt>
                <c:pt idx="996">
                  <c:v>07/17/2015</c:v>
                </c:pt>
                <c:pt idx="997">
                  <c:v>07/20/2015</c:v>
                </c:pt>
                <c:pt idx="998">
                  <c:v>07/21/2015</c:v>
                </c:pt>
                <c:pt idx="999">
                  <c:v>07/22/2015</c:v>
                </c:pt>
                <c:pt idx="1000">
                  <c:v>07/23/2015</c:v>
                </c:pt>
                <c:pt idx="1001">
                  <c:v>07/24/2015</c:v>
                </c:pt>
                <c:pt idx="1002">
                  <c:v>07/27/2015</c:v>
                </c:pt>
                <c:pt idx="1003">
                  <c:v>07/28/2015</c:v>
                </c:pt>
                <c:pt idx="1004">
                  <c:v>07/29/2015</c:v>
                </c:pt>
                <c:pt idx="1005">
                  <c:v>07/30/2015</c:v>
                </c:pt>
                <c:pt idx="1006">
                  <c:v>07/31/2015</c:v>
                </c:pt>
                <c:pt idx="1007">
                  <c:v>08/03/2015</c:v>
                </c:pt>
                <c:pt idx="1008">
                  <c:v>08/04/2015</c:v>
                </c:pt>
                <c:pt idx="1009">
                  <c:v>08/05/2015</c:v>
                </c:pt>
                <c:pt idx="1010">
                  <c:v>08/06/2015</c:v>
                </c:pt>
                <c:pt idx="1011">
                  <c:v>08/07/2015</c:v>
                </c:pt>
                <c:pt idx="1012">
                  <c:v>08/10/2015</c:v>
                </c:pt>
                <c:pt idx="1013">
                  <c:v>08/11/2015</c:v>
                </c:pt>
                <c:pt idx="1014">
                  <c:v>08/12/2015</c:v>
                </c:pt>
                <c:pt idx="1015">
                  <c:v>08/13/2015</c:v>
                </c:pt>
                <c:pt idx="1016">
                  <c:v>08/14/2015</c:v>
                </c:pt>
                <c:pt idx="1017">
                  <c:v>08/17/2015</c:v>
                </c:pt>
                <c:pt idx="1018">
                  <c:v>08/18/2015</c:v>
                </c:pt>
                <c:pt idx="1019">
                  <c:v>08/19/2015</c:v>
                </c:pt>
                <c:pt idx="1020">
                  <c:v>08/20/2015</c:v>
                </c:pt>
                <c:pt idx="1021">
                  <c:v>08/21/2015</c:v>
                </c:pt>
                <c:pt idx="1022">
                  <c:v>08/24/2015</c:v>
                </c:pt>
                <c:pt idx="1023">
                  <c:v>08/25/2015</c:v>
                </c:pt>
                <c:pt idx="1024">
                  <c:v>08/26/2015</c:v>
                </c:pt>
                <c:pt idx="1025">
                  <c:v>08/27/2015</c:v>
                </c:pt>
                <c:pt idx="1026">
                  <c:v>08/28/2015</c:v>
                </c:pt>
                <c:pt idx="1027">
                  <c:v>08/31/2015</c:v>
                </c:pt>
                <c:pt idx="1028">
                  <c:v>09/01/2015</c:v>
                </c:pt>
                <c:pt idx="1029">
                  <c:v>09/02/2015</c:v>
                </c:pt>
                <c:pt idx="1030">
                  <c:v>09/03/2015</c:v>
                </c:pt>
                <c:pt idx="1031">
                  <c:v>09/04/2015</c:v>
                </c:pt>
                <c:pt idx="1032">
                  <c:v>09/07/2015</c:v>
                </c:pt>
                <c:pt idx="1033">
                  <c:v>09/08/2015</c:v>
                </c:pt>
                <c:pt idx="1034">
                  <c:v>09/09/2015</c:v>
                </c:pt>
                <c:pt idx="1035">
                  <c:v>09/10/2015</c:v>
                </c:pt>
                <c:pt idx="1036">
                  <c:v>09/11/2015</c:v>
                </c:pt>
                <c:pt idx="1037">
                  <c:v>09/14/2015</c:v>
                </c:pt>
                <c:pt idx="1038">
                  <c:v>09/15/2015</c:v>
                </c:pt>
                <c:pt idx="1039">
                  <c:v>09/16/2015</c:v>
                </c:pt>
                <c:pt idx="1040">
                  <c:v>09/17/2015</c:v>
                </c:pt>
                <c:pt idx="1041">
                  <c:v>09/18/2015</c:v>
                </c:pt>
                <c:pt idx="1042">
                  <c:v>09/21/2015</c:v>
                </c:pt>
                <c:pt idx="1043">
                  <c:v>09/22/2015</c:v>
                </c:pt>
                <c:pt idx="1044">
                  <c:v>09/23/2015</c:v>
                </c:pt>
                <c:pt idx="1045">
                  <c:v>09/24/2015</c:v>
                </c:pt>
                <c:pt idx="1046">
                  <c:v>09/25/2015</c:v>
                </c:pt>
                <c:pt idx="1047">
                  <c:v>09/28/2015</c:v>
                </c:pt>
                <c:pt idx="1048">
                  <c:v>09/29/2015</c:v>
                </c:pt>
                <c:pt idx="1049">
                  <c:v>09/30/2015</c:v>
                </c:pt>
                <c:pt idx="1050">
                  <c:v>10/01/2015</c:v>
                </c:pt>
                <c:pt idx="1051">
                  <c:v>10/02/2015</c:v>
                </c:pt>
                <c:pt idx="1052">
                  <c:v>10/05/2015</c:v>
                </c:pt>
                <c:pt idx="1053">
                  <c:v>10/06/2015</c:v>
                </c:pt>
                <c:pt idx="1054">
                  <c:v>10/07/2015</c:v>
                </c:pt>
                <c:pt idx="1055">
                  <c:v>10/08/2015</c:v>
                </c:pt>
                <c:pt idx="1056">
                  <c:v>10/09/2015</c:v>
                </c:pt>
                <c:pt idx="1057">
                  <c:v>10/12/2015</c:v>
                </c:pt>
                <c:pt idx="1058">
                  <c:v>10/13/2015</c:v>
                </c:pt>
                <c:pt idx="1059">
                  <c:v>10/14/2015</c:v>
                </c:pt>
                <c:pt idx="1060">
                  <c:v>10/15/2015</c:v>
                </c:pt>
                <c:pt idx="1061">
                  <c:v>10/16/2015</c:v>
                </c:pt>
                <c:pt idx="1062">
                  <c:v>10/19/2015</c:v>
                </c:pt>
                <c:pt idx="1063">
                  <c:v>10/20/2015</c:v>
                </c:pt>
                <c:pt idx="1064">
                  <c:v>10/21/2015</c:v>
                </c:pt>
                <c:pt idx="1065">
                  <c:v>10/22/2015</c:v>
                </c:pt>
                <c:pt idx="1066">
                  <c:v>10/23/2015</c:v>
                </c:pt>
                <c:pt idx="1067">
                  <c:v>10/26/2015</c:v>
                </c:pt>
                <c:pt idx="1068">
                  <c:v>10/27/2015</c:v>
                </c:pt>
                <c:pt idx="1069">
                  <c:v>10/28/2015</c:v>
                </c:pt>
                <c:pt idx="1070">
                  <c:v>10/29/2015</c:v>
                </c:pt>
                <c:pt idx="1071">
                  <c:v>10/30/2015</c:v>
                </c:pt>
                <c:pt idx="1072">
                  <c:v>11/02/2015</c:v>
                </c:pt>
                <c:pt idx="1073">
                  <c:v>11/03/2015</c:v>
                </c:pt>
                <c:pt idx="1074">
                  <c:v>11/04/2015</c:v>
                </c:pt>
                <c:pt idx="1075">
                  <c:v>11/05/2015</c:v>
                </c:pt>
                <c:pt idx="1076">
                  <c:v>11/06/2015</c:v>
                </c:pt>
                <c:pt idx="1077">
                  <c:v>11/09/2015</c:v>
                </c:pt>
                <c:pt idx="1078">
                  <c:v>11/10/2015</c:v>
                </c:pt>
                <c:pt idx="1079">
                  <c:v>11/11/2015</c:v>
                </c:pt>
                <c:pt idx="1080">
                  <c:v>11/12/2015</c:v>
                </c:pt>
                <c:pt idx="1081">
                  <c:v>11/13/2015</c:v>
                </c:pt>
                <c:pt idx="1082">
                  <c:v>11/16/2015</c:v>
                </c:pt>
                <c:pt idx="1083">
                  <c:v>11/17/2015</c:v>
                </c:pt>
                <c:pt idx="1084">
                  <c:v>11/18/2015</c:v>
                </c:pt>
                <c:pt idx="1085">
                  <c:v>11/19/2015</c:v>
                </c:pt>
                <c:pt idx="1086">
                  <c:v>11/20/2015</c:v>
                </c:pt>
                <c:pt idx="1087">
                  <c:v>11/23/2015</c:v>
                </c:pt>
                <c:pt idx="1088">
                  <c:v>11/24/2015</c:v>
                </c:pt>
                <c:pt idx="1089">
                  <c:v>11/25/2015</c:v>
                </c:pt>
                <c:pt idx="1090">
                  <c:v>11/26/2015</c:v>
                </c:pt>
                <c:pt idx="1091">
                  <c:v>11/27/2015</c:v>
                </c:pt>
                <c:pt idx="1092">
                  <c:v>11/30/2015</c:v>
                </c:pt>
                <c:pt idx="1093">
                  <c:v>12/01/2015</c:v>
                </c:pt>
                <c:pt idx="1094">
                  <c:v>12/02/2015</c:v>
                </c:pt>
                <c:pt idx="1095">
                  <c:v>12/03/2015</c:v>
                </c:pt>
                <c:pt idx="1096">
                  <c:v>12/04/2015</c:v>
                </c:pt>
                <c:pt idx="1097">
                  <c:v>12/07/2015</c:v>
                </c:pt>
                <c:pt idx="1098">
                  <c:v>12/08/2015</c:v>
                </c:pt>
                <c:pt idx="1099">
                  <c:v>12/09/2015</c:v>
                </c:pt>
                <c:pt idx="1100">
                  <c:v>12/10/2015</c:v>
                </c:pt>
                <c:pt idx="1101">
                  <c:v>12/11/2015</c:v>
                </c:pt>
                <c:pt idx="1102">
                  <c:v>12/14/2015</c:v>
                </c:pt>
                <c:pt idx="1103">
                  <c:v>12/15/2015</c:v>
                </c:pt>
                <c:pt idx="1104">
                  <c:v>12/16/2015</c:v>
                </c:pt>
                <c:pt idx="1105">
                  <c:v>12/17/2015</c:v>
                </c:pt>
                <c:pt idx="1106">
                  <c:v>12/18/2015</c:v>
                </c:pt>
                <c:pt idx="1107">
                  <c:v>12/21/2015</c:v>
                </c:pt>
                <c:pt idx="1108">
                  <c:v>12/22/2015</c:v>
                </c:pt>
                <c:pt idx="1109">
                  <c:v>12/23/2015</c:v>
                </c:pt>
                <c:pt idx="1110">
                  <c:v>12/24/2015</c:v>
                </c:pt>
                <c:pt idx="1111">
                  <c:v>12/25/2015</c:v>
                </c:pt>
                <c:pt idx="1112">
                  <c:v>12/28/2015</c:v>
                </c:pt>
                <c:pt idx="1113">
                  <c:v>12/29/2015</c:v>
                </c:pt>
                <c:pt idx="1114">
                  <c:v>12/30/2015</c:v>
                </c:pt>
                <c:pt idx="1115">
                  <c:v>12/31/2015</c:v>
                </c:pt>
                <c:pt idx="1116">
                  <c:v>01/01/2016</c:v>
                </c:pt>
                <c:pt idx="1117">
                  <c:v>01/04/2016</c:v>
                </c:pt>
                <c:pt idx="1118">
                  <c:v>01/05/2016</c:v>
                </c:pt>
                <c:pt idx="1119">
                  <c:v>01/06/2016</c:v>
                </c:pt>
                <c:pt idx="1120">
                  <c:v>01/07/2016</c:v>
                </c:pt>
                <c:pt idx="1121">
                  <c:v>01/08/2016</c:v>
                </c:pt>
                <c:pt idx="1122">
                  <c:v>01/11/2016</c:v>
                </c:pt>
                <c:pt idx="1123">
                  <c:v>01/12/2016</c:v>
                </c:pt>
                <c:pt idx="1124">
                  <c:v>01/13/2016</c:v>
                </c:pt>
                <c:pt idx="1125">
                  <c:v>01/14/2016</c:v>
                </c:pt>
                <c:pt idx="1126">
                  <c:v>01/15/2016</c:v>
                </c:pt>
                <c:pt idx="1127">
                  <c:v>01/18/2016</c:v>
                </c:pt>
                <c:pt idx="1128">
                  <c:v>01/19/2016</c:v>
                </c:pt>
                <c:pt idx="1129">
                  <c:v>01/20/2016</c:v>
                </c:pt>
                <c:pt idx="1130">
                  <c:v>01/21/2016</c:v>
                </c:pt>
                <c:pt idx="1131">
                  <c:v>01/22/2016</c:v>
                </c:pt>
                <c:pt idx="1132">
                  <c:v>01/25/2016</c:v>
                </c:pt>
                <c:pt idx="1133">
                  <c:v>01/26/2016</c:v>
                </c:pt>
                <c:pt idx="1134">
                  <c:v>01/27/2016</c:v>
                </c:pt>
                <c:pt idx="1135">
                  <c:v>01/28/2016</c:v>
                </c:pt>
                <c:pt idx="1136">
                  <c:v>01/29/2016</c:v>
                </c:pt>
                <c:pt idx="1137">
                  <c:v>02/01/2016</c:v>
                </c:pt>
                <c:pt idx="1138">
                  <c:v>02/02/2016</c:v>
                </c:pt>
                <c:pt idx="1139">
                  <c:v>02/03/2016</c:v>
                </c:pt>
                <c:pt idx="1140">
                  <c:v>02/04/2016</c:v>
                </c:pt>
                <c:pt idx="1141">
                  <c:v>02/05/2016</c:v>
                </c:pt>
                <c:pt idx="1142">
                  <c:v>02/08/2016</c:v>
                </c:pt>
                <c:pt idx="1143">
                  <c:v>02/09/2016</c:v>
                </c:pt>
                <c:pt idx="1144">
                  <c:v>02/10/2016</c:v>
                </c:pt>
                <c:pt idx="1145">
                  <c:v>02/11/2016</c:v>
                </c:pt>
                <c:pt idx="1146">
                  <c:v>02/12/2016</c:v>
                </c:pt>
                <c:pt idx="1147">
                  <c:v>02/15/2016</c:v>
                </c:pt>
                <c:pt idx="1148">
                  <c:v>02/16/2016</c:v>
                </c:pt>
                <c:pt idx="1149">
                  <c:v>02/17/2016</c:v>
                </c:pt>
                <c:pt idx="1150">
                  <c:v>02/18/2016</c:v>
                </c:pt>
                <c:pt idx="1151">
                  <c:v>02/19/2016</c:v>
                </c:pt>
                <c:pt idx="1152">
                  <c:v>02/22/2016</c:v>
                </c:pt>
                <c:pt idx="1153">
                  <c:v>02/23/2016</c:v>
                </c:pt>
                <c:pt idx="1154">
                  <c:v>02/24/2016</c:v>
                </c:pt>
                <c:pt idx="1155">
                  <c:v>02/25/2016</c:v>
                </c:pt>
                <c:pt idx="1156">
                  <c:v>02/26/2016</c:v>
                </c:pt>
                <c:pt idx="1157">
                  <c:v>02/29/2016</c:v>
                </c:pt>
                <c:pt idx="1158">
                  <c:v>03/01/2016</c:v>
                </c:pt>
                <c:pt idx="1159">
                  <c:v>03/02/2016</c:v>
                </c:pt>
                <c:pt idx="1160">
                  <c:v>03/03/2016</c:v>
                </c:pt>
                <c:pt idx="1161">
                  <c:v>03/04/2016</c:v>
                </c:pt>
                <c:pt idx="1162">
                  <c:v>03/07/2016</c:v>
                </c:pt>
                <c:pt idx="1163">
                  <c:v>03/08/2016</c:v>
                </c:pt>
                <c:pt idx="1164">
                  <c:v>03/09/2016</c:v>
                </c:pt>
                <c:pt idx="1165">
                  <c:v>03/10/2016</c:v>
                </c:pt>
                <c:pt idx="1166">
                  <c:v>03/11/2016</c:v>
                </c:pt>
                <c:pt idx="1167">
                  <c:v>03/14/2016</c:v>
                </c:pt>
                <c:pt idx="1168">
                  <c:v>03/15/2016</c:v>
                </c:pt>
                <c:pt idx="1169">
                  <c:v>03/16/2016</c:v>
                </c:pt>
                <c:pt idx="1170">
                  <c:v>03/17/2016</c:v>
                </c:pt>
                <c:pt idx="1171">
                  <c:v>03/18/2016</c:v>
                </c:pt>
                <c:pt idx="1172">
                  <c:v>03/21/2016</c:v>
                </c:pt>
                <c:pt idx="1173">
                  <c:v>03/22/2016</c:v>
                </c:pt>
                <c:pt idx="1174">
                  <c:v>03/23/2016</c:v>
                </c:pt>
                <c:pt idx="1175">
                  <c:v>03/24/2016</c:v>
                </c:pt>
                <c:pt idx="1176">
                  <c:v>03/25/2016</c:v>
                </c:pt>
                <c:pt idx="1177">
                  <c:v>03/28/2016</c:v>
                </c:pt>
                <c:pt idx="1178">
                  <c:v>03/29/2016</c:v>
                </c:pt>
                <c:pt idx="1179">
                  <c:v>03/30/2016</c:v>
                </c:pt>
                <c:pt idx="1180">
                  <c:v>03/31/2016</c:v>
                </c:pt>
                <c:pt idx="1181">
                  <c:v>04/01/2016</c:v>
                </c:pt>
                <c:pt idx="1182">
                  <c:v>04/04/2016</c:v>
                </c:pt>
                <c:pt idx="1183">
                  <c:v>04/05/2016</c:v>
                </c:pt>
                <c:pt idx="1184">
                  <c:v>04/06/2016</c:v>
                </c:pt>
                <c:pt idx="1185">
                  <c:v>04/07/2016</c:v>
                </c:pt>
                <c:pt idx="1186">
                  <c:v>04/08/2016</c:v>
                </c:pt>
                <c:pt idx="1187">
                  <c:v>04/11/2016</c:v>
                </c:pt>
                <c:pt idx="1188">
                  <c:v>04/12/2016</c:v>
                </c:pt>
                <c:pt idx="1189">
                  <c:v>04/13/2016</c:v>
                </c:pt>
                <c:pt idx="1190">
                  <c:v>04/14/2016</c:v>
                </c:pt>
                <c:pt idx="1191">
                  <c:v>04/15/2016</c:v>
                </c:pt>
                <c:pt idx="1192">
                  <c:v>04/18/2016</c:v>
                </c:pt>
                <c:pt idx="1193">
                  <c:v>04/19/2016</c:v>
                </c:pt>
                <c:pt idx="1194">
                  <c:v>04/20/2016</c:v>
                </c:pt>
                <c:pt idx="1195">
                  <c:v>04/21/2016</c:v>
                </c:pt>
                <c:pt idx="1196">
                  <c:v>04/22/2016</c:v>
                </c:pt>
                <c:pt idx="1197">
                  <c:v>04/25/2016</c:v>
                </c:pt>
                <c:pt idx="1198">
                  <c:v>04/26/2016</c:v>
                </c:pt>
                <c:pt idx="1199">
                  <c:v>04/27/2016</c:v>
                </c:pt>
                <c:pt idx="1200">
                  <c:v>04/28/2016</c:v>
                </c:pt>
                <c:pt idx="1201">
                  <c:v>04/29/2016</c:v>
                </c:pt>
                <c:pt idx="1202">
                  <c:v>05/02/2016</c:v>
                </c:pt>
                <c:pt idx="1203">
                  <c:v>05/03/2016</c:v>
                </c:pt>
                <c:pt idx="1204">
                  <c:v>05/04/2016</c:v>
                </c:pt>
                <c:pt idx="1205">
                  <c:v>05/05/2016</c:v>
                </c:pt>
                <c:pt idx="1206">
                  <c:v>05/06/2016</c:v>
                </c:pt>
                <c:pt idx="1207">
                  <c:v>05/09/2016</c:v>
                </c:pt>
                <c:pt idx="1208">
                  <c:v>05/10/2016</c:v>
                </c:pt>
                <c:pt idx="1209">
                  <c:v>05/11/2016</c:v>
                </c:pt>
                <c:pt idx="1210">
                  <c:v>05/12/2016</c:v>
                </c:pt>
                <c:pt idx="1211">
                  <c:v>05/13/2016</c:v>
                </c:pt>
                <c:pt idx="1212">
                  <c:v>05/16/2016</c:v>
                </c:pt>
                <c:pt idx="1213">
                  <c:v>05/17/2016</c:v>
                </c:pt>
                <c:pt idx="1214">
                  <c:v>05/18/2016</c:v>
                </c:pt>
                <c:pt idx="1215">
                  <c:v>05/19/2016</c:v>
                </c:pt>
                <c:pt idx="1216">
                  <c:v>05/20/2016</c:v>
                </c:pt>
                <c:pt idx="1217">
                  <c:v>05/23/2016</c:v>
                </c:pt>
                <c:pt idx="1218">
                  <c:v>05/24/2016</c:v>
                </c:pt>
                <c:pt idx="1219">
                  <c:v>05/25/2016</c:v>
                </c:pt>
                <c:pt idx="1220">
                  <c:v>05/26/2016</c:v>
                </c:pt>
                <c:pt idx="1221">
                  <c:v>05/27/2016</c:v>
                </c:pt>
                <c:pt idx="1222">
                  <c:v>05/30/2016</c:v>
                </c:pt>
                <c:pt idx="1223">
                  <c:v>05/31/2016</c:v>
                </c:pt>
                <c:pt idx="1224">
                  <c:v>06/01/2016</c:v>
                </c:pt>
                <c:pt idx="1225">
                  <c:v>06/02/2016</c:v>
                </c:pt>
                <c:pt idx="1226">
                  <c:v>06/03/2016</c:v>
                </c:pt>
                <c:pt idx="1227">
                  <c:v>06/06/2016</c:v>
                </c:pt>
                <c:pt idx="1228">
                  <c:v>06/07/2016</c:v>
                </c:pt>
                <c:pt idx="1229">
                  <c:v>06/08/2016</c:v>
                </c:pt>
                <c:pt idx="1230">
                  <c:v>06/09/2016</c:v>
                </c:pt>
                <c:pt idx="1231">
                  <c:v>06/10/2016</c:v>
                </c:pt>
                <c:pt idx="1232">
                  <c:v>06/13/2016</c:v>
                </c:pt>
                <c:pt idx="1233">
                  <c:v>06/14/2016</c:v>
                </c:pt>
                <c:pt idx="1234">
                  <c:v>06/15/2016</c:v>
                </c:pt>
                <c:pt idx="1235">
                  <c:v>06/16/2016</c:v>
                </c:pt>
                <c:pt idx="1236">
                  <c:v>06/17/2016</c:v>
                </c:pt>
                <c:pt idx="1237">
                  <c:v>06/20/2016</c:v>
                </c:pt>
                <c:pt idx="1238">
                  <c:v>06/21/2016</c:v>
                </c:pt>
                <c:pt idx="1239">
                  <c:v>06/22/2016</c:v>
                </c:pt>
                <c:pt idx="1240">
                  <c:v>06/23/2016</c:v>
                </c:pt>
                <c:pt idx="1241">
                  <c:v>06/24/2016</c:v>
                </c:pt>
                <c:pt idx="1242">
                  <c:v>06/27/2016</c:v>
                </c:pt>
                <c:pt idx="1243">
                  <c:v>06/28/2016</c:v>
                </c:pt>
                <c:pt idx="1244">
                  <c:v>06/29/2016</c:v>
                </c:pt>
                <c:pt idx="1245">
                  <c:v>06/30/2016</c:v>
                </c:pt>
                <c:pt idx="1246">
                  <c:v>07/01/2016</c:v>
                </c:pt>
                <c:pt idx="1247">
                  <c:v>07/04/2016</c:v>
                </c:pt>
                <c:pt idx="1248">
                  <c:v>07/05/2016</c:v>
                </c:pt>
                <c:pt idx="1249">
                  <c:v>07/06/2016</c:v>
                </c:pt>
                <c:pt idx="1250">
                  <c:v>07/07/2016</c:v>
                </c:pt>
                <c:pt idx="1251">
                  <c:v>07/08/2016</c:v>
                </c:pt>
                <c:pt idx="1252">
                  <c:v>07/11/2016</c:v>
                </c:pt>
                <c:pt idx="1253">
                  <c:v>07/12/2016</c:v>
                </c:pt>
                <c:pt idx="1254">
                  <c:v>07/13/2016</c:v>
                </c:pt>
                <c:pt idx="1255">
                  <c:v>07/14/2016</c:v>
                </c:pt>
                <c:pt idx="1256">
                  <c:v>07/15/2016</c:v>
                </c:pt>
                <c:pt idx="1257">
                  <c:v>07/18/2016</c:v>
                </c:pt>
                <c:pt idx="1258">
                  <c:v>07/19/2016</c:v>
                </c:pt>
                <c:pt idx="1259">
                  <c:v>07/20/2016</c:v>
                </c:pt>
                <c:pt idx="1260">
                  <c:v>07/21/2016</c:v>
                </c:pt>
                <c:pt idx="1261">
                  <c:v>07/22/2016</c:v>
                </c:pt>
                <c:pt idx="1262">
                  <c:v>07/25/2016</c:v>
                </c:pt>
                <c:pt idx="1263">
                  <c:v>07/26/2016</c:v>
                </c:pt>
                <c:pt idx="1264">
                  <c:v>07/27/2016</c:v>
                </c:pt>
                <c:pt idx="1265">
                  <c:v>07/28/2016</c:v>
                </c:pt>
                <c:pt idx="1266">
                  <c:v>07/29/2016</c:v>
                </c:pt>
                <c:pt idx="1267">
                  <c:v>08/01/2016</c:v>
                </c:pt>
                <c:pt idx="1268">
                  <c:v>08/02/2016</c:v>
                </c:pt>
                <c:pt idx="1269">
                  <c:v>08/03/2016</c:v>
                </c:pt>
                <c:pt idx="1270">
                  <c:v>08/04/2016</c:v>
                </c:pt>
                <c:pt idx="1271">
                  <c:v>08/05/2016</c:v>
                </c:pt>
                <c:pt idx="1272">
                  <c:v>08/08/2016</c:v>
                </c:pt>
                <c:pt idx="1273">
                  <c:v>08/09/2016</c:v>
                </c:pt>
                <c:pt idx="1274">
                  <c:v>08/10/2016</c:v>
                </c:pt>
                <c:pt idx="1275">
                  <c:v>08/11/2016</c:v>
                </c:pt>
                <c:pt idx="1276">
                  <c:v>08/12/2016</c:v>
                </c:pt>
                <c:pt idx="1277">
                  <c:v>08/15/2016</c:v>
                </c:pt>
                <c:pt idx="1278">
                  <c:v>08/16/2016</c:v>
                </c:pt>
                <c:pt idx="1279">
                  <c:v>08/17/2016</c:v>
                </c:pt>
                <c:pt idx="1280">
                  <c:v>08/18/2016</c:v>
                </c:pt>
                <c:pt idx="1281">
                  <c:v>08/19/2016</c:v>
                </c:pt>
                <c:pt idx="1282">
                  <c:v>08/22/2016</c:v>
                </c:pt>
                <c:pt idx="1283">
                  <c:v>08/23/2016</c:v>
                </c:pt>
                <c:pt idx="1284">
                  <c:v>08/24/2016</c:v>
                </c:pt>
                <c:pt idx="1285">
                  <c:v>08/25/2016</c:v>
                </c:pt>
                <c:pt idx="1286">
                  <c:v>08/26/2016</c:v>
                </c:pt>
                <c:pt idx="1287">
                  <c:v>08/29/2016</c:v>
                </c:pt>
                <c:pt idx="1288">
                  <c:v>08/30/2016</c:v>
                </c:pt>
                <c:pt idx="1289">
                  <c:v>08/31/2016</c:v>
                </c:pt>
                <c:pt idx="1290">
                  <c:v>09/01/2016</c:v>
                </c:pt>
                <c:pt idx="1291">
                  <c:v>09/02/2016</c:v>
                </c:pt>
                <c:pt idx="1292">
                  <c:v>09/05/2016</c:v>
                </c:pt>
                <c:pt idx="1293">
                  <c:v>09/06/2016</c:v>
                </c:pt>
                <c:pt idx="1294">
                  <c:v>09/07/2016</c:v>
                </c:pt>
                <c:pt idx="1295">
                  <c:v>09/08/2016</c:v>
                </c:pt>
                <c:pt idx="1296">
                  <c:v>09/09/2016</c:v>
                </c:pt>
                <c:pt idx="1297">
                  <c:v>09/12/2016</c:v>
                </c:pt>
                <c:pt idx="1298">
                  <c:v>09/13/2016</c:v>
                </c:pt>
                <c:pt idx="1299">
                  <c:v>09/14/2016</c:v>
                </c:pt>
                <c:pt idx="1300">
                  <c:v>09/15/2016</c:v>
                </c:pt>
                <c:pt idx="1301">
                  <c:v>09/16/2016</c:v>
                </c:pt>
                <c:pt idx="1302">
                  <c:v>09/19/2016</c:v>
                </c:pt>
                <c:pt idx="1303">
                  <c:v>09/20/2016</c:v>
                </c:pt>
                <c:pt idx="1304">
                  <c:v>09/21/2016</c:v>
                </c:pt>
                <c:pt idx="1305">
                  <c:v>09/22/2016</c:v>
                </c:pt>
                <c:pt idx="1306">
                  <c:v>09/23/2016</c:v>
                </c:pt>
                <c:pt idx="1307">
                  <c:v>09/26/2016</c:v>
                </c:pt>
                <c:pt idx="1308">
                  <c:v>09/27/2016</c:v>
                </c:pt>
                <c:pt idx="1309">
                  <c:v>09/28/2016</c:v>
                </c:pt>
                <c:pt idx="1310">
                  <c:v>09/29/2016</c:v>
                </c:pt>
                <c:pt idx="1311">
                  <c:v>09/30/2016</c:v>
                </c:pt>
                <c:pt idx="1312">
                  <c:v>10/03/2016</c:v>
                </c:pt>
                <c:pt idx="1313">
                  <c:v>10/04/2016</c:v>
                </c:pt>
                <c:pt idx="1314">
                  <c:v>10/05/2016</c:v>
                </c:pt>
                <c:pt idx="1315">
                  <c:v>10/06/2016</c:v>
                </c:pt>
                <c:pt idx="1316">
                  <c:v>10/07/2016</c:v>
                </c:pt>
                <c:pt idx="1317">
                  <c:v>10/10/2016</c:v>
                </c:pt>
                <c:pt idx="1318">
                  <c:v>10/11/2016</c:v>
                </c:pt>
                <c:pt idx="1319">
                  <c:v>10/12/2016</c:v>
                </c:pt>
                <c:pt idx="1320">
                  <c:v>10/13/2016</c:v>
                </c:pt>
                <c:pt idx="1321">
                  <c:v>10/14/2016</c:v>
                </c:pt>
                <c:pt idx="1322">
                  <c:v>10/17/2016</c:v>
                </c:pt>
                <c:pt idx="1323">
                  <c:v>10/18/2016</c:v>
                </c:pt>
                <c:pt idx="1324">
                  <c:v>10/19/2016</c:v>
                </c:pt>
                <c:pt idx="1325">
                  <c:v>10/20/2016</c:v>
                </c:pt>
                <c:pt idx="1326">
                  <c:v>10/21/2016</c:v>
                </c:pt>
                <c:pt idx="1327">
                  <c:v>10/24/2016</c:v>
                </c:pt>
                <c:pt idx="1328">
                  <c:v>10/25/2016</c:v>
                </c:pt>
                <c:pt idx="1329">
                  <c:v>10/26/2016</c:v>
                </c:pt>
                <c:pt idx="1330">
                  <c:v>10/27/2016</c:v>
                </c:pt>
                <c:pt idx="1331">
                  <c:v>10/28/2016</c:v>
                </c:pt>
                <c:pt idx="1332">
                  <c:v>10/31/2016</c:v>
                </c:pt>
                <c:pt idx="1333">
                  <c:v>11/01/2016</c:v>
                </c:pt>
                <c:pt idx="1334">
                  <c:v>11/02/2016</c:v>
                </c:pt>
                <c:pt idx="1335">
                  <c:v>11/03/2016</c:v>
                </c:pt>
                <c:pt idx="1336">
                  <c:v>11/04/2016</c:v>
                </c:pt>
                <c:pt idx="1337">
                  <c:v>11/07/2016</c:v>
                </c:pt>
                <c:pt idx="1338">
                  <c:v>11/08/2016</c:v>
                </c:pt>
                <c:pt idx="1339">
                  <c:v>11/09/2016</c:v>
                </c:pt>
                <c:pt idx="1340">
                  <c:v>11/10/2016</c:v>
                </c:pt>
                <c:pt idx="1341">
                  <c:v>11/11/2016</c:v>
                </c:pt>
                <c:pt idx="1342">
                  <c:v>11/14/2016</c:v>
                </c:pt>
                <c:pt idx="1343">
                  <c:v>11/15/2016</c:v>
                </c:pt>
                <c:pt idx="1344">
                  <c:v>11/16/2016</c:v>
                </c:pt>
                <c:pt idx="1345">
                  <c:v>11/17/2016</c:v>
                </c:pt>
                <c:pt idx="1346">
                  <c:v>11/18/2016</c:v>
                </c:pt>
                <c:pt idx="1347">
                  <c:v>11/21/2016</c:v>
                </c:pt>
                <c:pt idx="1348">
                  <c:v>11/22/2016</c:v>
                </c:pt>
                <c:pt idx="1349">
                  <c:v>11/23/2016</c:v>
                </c:pt>
                <c:pt idx="1350">
                  <c:v>11/24/2016</c:v>
                </c:pt>
                <c:pt idx="1351">
                  <c:v>11/25/2016</c:v>
                </c:pt>
                <c:pt idx="1352">
                  <c:v>11/28/2016</c:v>
                </c:pt>
                <c:pt idx="1353">
                  <c:v>11/29/2016</c:v>
                </c:pt>
                <c:pt idx="1354">
                  <c:v>11/30/2016</c:v>
                </c:pt>
                <c:pt idx="1355">
                  <c:v>12/01/2016</c:v>
                </c:pt>
                <c:pt idx="1356">
                  <c:v>12/02/2016</c:v>
                </c:pt>
                <c:pt idx="1357">
                  <c:v>12/05/2016</c:v>
                </c:pt>
                <c:pt idx="1358">
                  <c:v>12/06/2016</c:v>
                </c:pt>
                <c:pt idx="1359">
                  <c:v>12/07/2016</c:v>
                </c:pt>
                <c:pt idx="1360">
                  <c:v>12/08/2016</c:v>
                </c:pt>
                <c:pt idx="1361">
                  <c:v>12/09/2016</c:v>
                </c:pt>
                <c:pt idx="1362">
                  <c:v>12/12/2016</c:v>
                </c:pt>
                <c:pt idx="1363">
                  <c:v>12/13/2016</c:v>
                </c:pt>
                <c:pt idx="1364">
                  <c:v>12/14/2016</c:v>
                </c:pt>
                <c:pt idx="1365">
                  <c:v>12/15/2016</c:v>
                </c:pt>
                <c:pt idx="1366">
                  <c:v>12/16/2016</c:v>
                </c:pt>
                <c:pt idx="1367">
                  <c:v>12/19/2016</c:v>
                </c:pt>
                <c:pt idx="1368">
                  <c:v>12/20/2016</c:v>
                </c:pt>
                <c:pt idx="1369">
                  <c:v>12/21/2016</c:v>
                </c:pt>
                <c:pt idx="1370">
                  <c:v>12/22/2016</c:v>
                </c:pt>
                <c:pt idx="1371">
                  <c:v>12/23/2016</c:v>
                </c:pt>
                <c:pt idx="1372">
                  <c:v>12/26/2016</c:v>
                </c:pt>
                <c:pt idx="1373">
                  <c:v>12/27/2016</c:v>
                </c:pt>
                <c:pt idx="1374">
                  <c:v>12/28/2016</c:v>
                </c:pt>
                <c:pt idx="1375">
                  <c:v>12/29/2016</c:v>
                </c:pt>
                <c:pt idx="1376">
                  <c:v>12/30/2016</c:v>
                </c:pt>
                <c:pt idx="1377">
                  <c:v>01/02/2017</c:v>
                </c:pt>
                <c:pt idx="1378">
                  <c:v>01/03/2017</c:v>
                </c:pt>
                <c:pt idx="1379">
                  <c:v>01/04/2017</c:v>
                </c:pt>
                <c:pt idx="1380">
                  <c:v>01/05/2017</c:v>
                </c:pt>
                <c:pt idx="1381">
                  <c:v>01/06/2017</c:v>
                </c:pt>
                <c:pt idx="1382">
                  <c:v>01/09/2017</c:v>
                </c:pt>
                <c:pt idx="1383">
                  <c:v>01/10/2017</c:v>
                </c:pt>
                <c:pt idx="1384">
                  <c:v>01/11/2017</c:v>
                </c:pt>
                <c:pt idx="1385">
                  <c:v>01/12/2017</c:v>
                </c:pt>
                <c:pt idx="1386">
                  <c:v>01/13/2017</c:v>
                </c:pt>
                <c:pt idx="1387">
                  <c:v>01/16/2017</c:v>
                </c:pt>
                <c:pt idx="1388">
                  <c:v>01/17/2017</c:v>
                </c:pt>
                <c:pt idx="1389">
                  <c:v>01/18/2017</c:v>
                </c:pt>
                <c:pt idx="1390">
                  <c:v>01/19/2017</c:v>
                </c:pt>
                <c:pt idx="1391">
                  <c:v>01/20/2017</c:v>
                </c:pt>
                <c:pt idx="1392">
                  <c:v>01/23/2017</c:v>
                </c:pt>
                <c:pt idx="1393">
                  <c:v>01/24/2017</c:v>
                </c:pt>
                <c:pt idx="1394">
                  <c:v>01/25/2017</c:v>
                </c:pt>
                <c:pt idx="1395">
                  <c:v>01/26/2017</c:v>
                </c:pt>
                <c:pt idx="1396">
                  <c:v>01/27/2017</c:v>
                </c:pt>
                <c:pt idx="1397">
                  <c:v>01/30/2017</c:v>
                </c:pt>
                <c:pt idx="1398">
                  <c:v>01/31/2017</c:v>
                </c:pt>
                <c:pt idx="1399">
                  <c:v>02/01/2017</c:v>
                </c:pt>
                <c:pt idx="1400">
                  <c:v>02/02/2017</c:v>
                </c:pt>
                <c:pt idx="1401">
                  <c:v>02/03/2017</c:v>
                </c:pt>
                <c:pt idx="1402">
                  <c:v>02/06/2017</c:v>
                </c:pt>
                <c:pt idx="1403">
                  <c:v>02/07/2017</c:v>
                </c:pt>
                <c:pt idx="1404">
                  <c:v>02/08/2017</c:v>
                </c:pt>
                <c:pt idx="1405">
                  <c:v>02/09/2017</c:v>
                </c:pt>
                <c:pt idx="1406">
                  <c:v>02/10/2017</c:v>
                </c:pt>
                <c:pt idx="1407">
                  <c:v>02/13/2017</c:v>
                </c:pt>
                <c:pt idx="1408">
                  <c:v>02/14/2017</c:v>
                </c:pt>
                <c:pt idx="1409">
                  <c:v>02/15/2017</c:v>
                </c:pt>
                <c:pt idx="1410">
                  <c:v>02/16/2017</c:v>
                </c:pt>
                <c:pt idx="1411">
                  <c:v>02/17/2017</c:v>
                </c:pt>
                <c:pt idx="1412">
                  <c:v>02/20/2017</c:v>
                </c:pt>
                <c:pt idx="1413">
                  <c:v>02/21/2017</c:v>
                </c:pt>
                <c:pt idx="1414">
                  <c:v>02/22/2017</c:v>
                </c:pt>
                <c:pt idx="1415">
                  <c:v>02/23/2017</c:v>
                </c:pt>
                <c:pt idx="1416">
                  <c:v>02/24/2017</c:v>
                </c:pt>
                <c:pt idx="1417">
                  <c:v>02/27/2017</c:v>
                </c:pt>
                <c:pt idx="1418">
                  <c:v>02/28/2017</c:v>
                </c:pt>
                <c:pt idx="1419">
                  <c:v>03/01/2017</c:v>
                </c:pt>
                <c:pt idx="1420">
                  <c:v>03/02/2017</c:v>
                </c:pt>
                <c:pt idx="1421">
                  <c:v>03/03/2017</c:v>
                </c:pt>
                <c:pt idx="1422">
                  <c:v>03/06/2017</c:v>
                </c:pt>
                <c:pt idx="1423">
                  <c:v>03/07/2017</c:v>
                </c:pt>
                <c:pt idx="1424">
                  <c:v>03/08/2017</c:v>
                </c:pt>
                <c:pt idx="1425">
                  <c:v>03/09/2017</c:v>
                </c:pt>
                <c:pt idx="1426">
                  <c:v>03/10/2017</c:v>
                </c:pt>
                <c:pt idx="1427">
                  <c:v>03/13/2017</c:v>
                </c:pt>
                <c:pt idx="1428">
                  <c:v>03/14/2017</c:v>
                </c:pt>
                <c:pt idx="1429">
                  <c:v>03/15/2017</c:v>
                </c:pt>
                <c:pt idx="1430">
                  <c:v>03/16/2017</c:v>
                </c:pt>
                <c:pt idx="1431">
                  <c:v>03/17/2017</c:v>
                </c:pt>
                <c:pt idx="1432">
                  <c:v>03/20/2017</c:v>
                </c:pt>
                <c:pt idx="1433">
                  <c:v>03/21/2017</c:v>
                </c:pt>
                <c:pt idx="1434">
                  <c:v>03/22/2017</c:v>
                </c:pt>
                <c:pt idx="1435">
                  <c:v>03/23/2017</c:v>
                </c:pt>
                <c:pt idx="1436">
                  <c:v>03/24/2017</c:v>
                </c:pt>
                <c:pt idx="1437">
                  <c:v>03/27/2017</c:v>
                </c:pt>
                <c:pt idx="1438">
                  <c:v>03/28/2017</c:v>
                </c:pt>
                <c:pt idx="1439">
                  <c:v>03/29/2017</c:v>
                </c:pt>
                <c:pt idx="1440">
                  <c:v>03/30/2017</c:v>
                </c:pt>
                <c:pt idx="1441">
                  <c:v>03/31/2017</c:v>
                </c:pt>
                <c:pt idx="1442">
                  <c:v>04/03/2017</c:v>
                </c:pt>
                <c:pt idx="1443">
                  <c:v>04/04/2017</c:v>
                </c:pt>
                <c:pt idx="1444">
                  <c:v>04/05/2017</c:v>
                </c:pt>
                <c:pt idx="1445">
                  <c:v>04/06/2017</c:v>
                </c:pt>
                <c:pt idx="1446">
                  <c:v>04/07/2017</c:v>
                </c:pt>
                <c:pt idx="1447">
                  <c:v>04/10/2017</c:v>
                </c:pt>
                <c:pt idx="1448">
                  <c:v>04/11/2017</c:v>
                </c:pt>
                <c:pt idx="1449">
                  <c:v>04/12/2017</c:v>
                </c:pt>
                <c:pt idx="1450">
                  <c:v>04/13/2017</c:v>
                </c:pt>
                <c:pt idx="1451">
                  <c:v>04/14/2017</c:v>
                </c:pt>
                <c:pt idx="1452">
                  <c:v>04/17/2017</c:v>
                </c:pt>
                <c:pt idx="1453">
                  <c:v>04/18/2017</c:v>
                </c:pt>
                <c:pt idx="1454">
                  <c:v>04/19/2017</c:v>
                </c:pt>
                <c:pt idx="1455">
                  <c:v>04/20/2017</c:v>
                </c:pt>
                <c:pt idx="1456">
                  <c:v>04/21/2017</c:v>
                </c:pt>
                <c:pt idx="1457">
                  <c:v>04/24/2017</c:v>
                </c:pt>
                <c:pt idx="1458">
                  <c:v>04/25/2017</c:v>
                </c:pt>
                <c:pt idx="1459">
                  <c:v>04/26/2017</c:v>
                </c:pt>
                <c:pt idx="1460">
                  <c:v>04/27/2017</c:v>
                </c:pt>
                <c:pt idx="1461">
                  <c:v>04/28/2017</c:v>
                </c:pt>
                <c:pt idx="1462">
                  <c:v>05/01/2017</c:v>
                </c:pt>
                <c:pt idx="1463">
                  <c:v>05/02/2017</c:v>
                </c:pt>
                <c:pt idx="1464">
                  <c:v>05/03/2017</c:v>
                </c:pt>
                <c:pt idx="1465">
                  <c:v>05/04/2017</c:v>
                </c:pt>
                <c:pt idx="1466">
                  <c:v>05/05/2017</c:v>
                </c:pt>
                <c:pt idx="1467">
                  <c:v>05/08/2017</c:v>
                </c:pt>
                <c:pt idx="1468">
                  <c:v>05/09/2017</c:v>
                </c:pt>
                <c:pt idx="1469">
                  <c:v>05/10/2017</c:v>
                </c:pt>
                <c:pt idx="1470">
                  <c:v>05/11/2017</c:v>
                </c:pt>
                <c:pt idx="1471">
                  <c:v>05/12/2017</c:v>
                </c:pt>
                <c:pt idx="1472">
                  <c:v>05/15/2017</c:v>
                </c:pt>
                <c:pt idx="1473">
                  <c:v>05/16/2017</c:v>
                </c:pt>
                <c:pt idx="1474">
                  <c:v>05/17/2017</c:v>
                </c:pt>
                <c:pt idx="1475">
                  <c:v>05/18/2017</c:v>
                </c:pt>
                <c:pt idx="1476">
                  <c:v>05/19/2017</c:v>
                </c:pt>
                <c:pt idx="1477">
                  <c:v>05/22/2017</c:v>
                </c:pt>
                <c:pt idx="1478">
                  <c:v>05/23/2017</c:v>
                </c:pt>
                <c:pt idx="1479">
                  <c:v>05/24/2017</c:v>
                </c:pt>
                <c:pt idx="1480">
                  <c:v>05/25/2017</c:v>
                </c:pt>
                <c:pt idx="1481">
                  <c:v>05/26/2017</c:v>
                </c:pt>
                <c:pt idx="1482">
                  <c:v>05/29/2017</c:v>
                </c:pt>
                <c:pt idx="1483">
                  <c:v>05/30/2017</c:v>
                </c:pt>
                <c:pt idx="1484">
                  <c:v>05/31/2017</c:v>
                </c:pt>
                <c:pt idx="1485">
                  <c:v>06/01/2017</c:v>
                </c:pt>
                <c:pt idx="1486">
                  <c:v>06/02/2017</c:v>
                </c:pt>
                <c:pt idx="1487">
                  <c:v>06/05/2017</c:v>
                </c:pt>
                <c:pt idx="1488">
                  <c:v>06/06/2017</c:v>
                </c:pt>
                <c:pt idx="1489">
                  <c:v>06/07/2017</c:v>
                </c:pt>
                <c:pt idx="1490">
                  <c:v>06/08/2017</c:v>
                </c:pt>
                <c:pt idx="1491">
                  <c:v>06/09/2017</c:v>
                </c:pt>
                <c:pt idx="1492">
                  <c:v>06/12/2017</c:v>
                </c:pt>
                <c:pt idx="1493">
                  <c:v>06/13/2017</c:v>
                </c:pt>
                <c:pt idx="1494">
                  <c:v>06/14/2017</c:v>
                </c:pt>
                <c:pt idx="1495">
                  <c:v>06/15/2017</c:v>
                </c:pt>
                <c:pt idx="1496">
                  <c:v>06/16/2017</c:v>
                </c:pt>
                <c:pt idx="1497">
                  <c:v>06/19/2017</c:v>
                </c:pt>
                <c:pt idx="1498">
                  <c:v>06/20/2017</c:v>
                </c:pt>
                <c:pt idx="1499">
                  <c:v>06/21/2017</c:v>
                </c:pt>
                <c:pt idx="1500">
                  <c:v>06/22/2017</c:v>
                </c:pt>
                <c:pt idx="1501">
                  <c:v>06/23/2017</c:v>
                </c:pt>
                <c:pt idx="1502">
                  <c:v>06/26/2017</c:v>
                </c:pt>
                <c:pt idx="1503">
                  <c:v>06/27/2017</c:v>
                </c:pt>
                <c:pt idx="1504">
                  <c:v>06/28/2017</c:v>
                </c:pt>
                <c:pt idx="1505">
                  <c:v>06/29/2017</c:v>
                </c:pt>
                <c:pt idx="1506">
                  <c:v>06/30/2017</c:v>
                </c:pt>
                <c:pt idx="1507">
                  <c:v>07/03/2017</c:v>
                </c:pt>
                <c:pt idx="1508">
                  <c:v>07/04/2017</c:v>
                </c:pt>
                <c:pt idx="1509">
                  <c:v>07/05/2017</c:v>
                </c:pt>
                <c:pt idx="1510">
                  <c:v>07/06/2017</c:v>
                </c:pt>
                <c:pt idx="1511">
                  <c:v>07/07/2017</c:v>
                </c:pt>
                <c:pt idx="1512">
                  <c:v>07/10/2017</c:v>
                </c:pt>
                <c:pt idx="1513">
                  <c:v>07/11/2017</c:v>
                </c:pt>
                <c:pt idx="1514">
                  <c:v>07/12/2017</c:v>
                </c:pt>
                <c:pt idx="1515">
                  <c:v>07/13/2017</c:v>
                </c:pt>
                <c:pt idx="1516">
                  <c:v>07/14/2017</c:v>
                </c:pt>
                <c:pt idx="1517">
                  <c:v>07/17/2017</c:v>
                </c:pt>
                <c:pt idx="1518">
                  <c:v>07/18/2017</c:v>
                </c:pt>
                <c:pt idx="1519">
                  <c:v>07/19/2017</c:v>
                </c:pt>
                <c:pt idx="1520">
                  <c:v>07/20/2017</c:v>
                </c:pt>
                <c:pt idx="1521">
                  <c:v>07/21/2017</c:v>
                </c:pt>
                <c:pt idx="1522">
                  <c:v>07/24/2017</c:v>
                </c:pt>
                <c:pt idx="1523">
                  <c:v>07/25/2017</c:v>
                </c:pt>
                <c:pt idx="1524">
                  <c:v>07/26/2017</c:v>
                </c:pt>
                <c:pt idx="1525">
                  <c:v>07/27/2017</c:v>
                </c:pt>
                <c:pt idx="1526">
                  <c:v>07/28/2017</c:v>
                </c:pt>
                <c:pt idx="1527">
                  <c:v>07/31/2017</c:v>
                </c:pt>
                <c:pt idx="1528">
                  <c:v>08/01/2017</c:v>
                </c:pt>
                <c:pt idx="1529">
                  <c:v>08/02/2017</c:v>
                </c:pt>
                <c:pt idx="1530">
                  <c:v>08/03/2017</c:v>
                </c:pt>
                <c:pt idx="1531">
                  <c:v>08/04/2017</c:v>
                </c:pt>
                <c:pt idx="1532">
                  <c:v>08/07/2017</c:v>
                </c:pt>
                <c:pt idx="1533">
                  <c:v>08/08/2017</c:v>
                </c:pt>
                <c:pt idx="1534">
                  <c:v>08/09/2017</c:v>
                </c:pt>
                <c:pt idx="1535">
                  <c:v>08/10/2017</c:v>
                </c:pt>
                <c:pt idx="1536">
                  <c:v>08/11/2017</c:v>
                </c:pt>
                <c:pt idx="1537">
                  <c:v>08/14/2017</c:v>
                </c:pt>
                <c:pt idx="1538">
                  <c:v>08/15/2017</c:v>
                </c:pt>
                <c:pt idx="1539">
                  <c:v>08/16/2017</c:v>
                </c:pt>
                <c:pt idx="1540">
                  <c:v>08/17/2017</c:v>
                </c:pt>
                <c:pt idx="1541">
                  <c:v>08/18/2017</c:v>
                </c:pt>
                <c:pt idx="1542">
                  <c:v>08/21/2017</c:v>
                </c:pt>
                <c:pt idx="1543">
                  <c:v>08/22/2017</c:v>
                </c:pt>
                <c:pt idx="1544">
                  <c:v>08/23/2017</c:v>
                </c:pt>
                <c:pt idx="1545">
                  <c:v>08/24/2017</c:v>
                </c:pt>
                <c:pt idx="1546">
                  <c:v>08/25/2017</c:v>
                </c:pt>
                <c:pt idx="1547">
                  <c:v>08/28/2017</c:v>
                </c:pt>
                <c:pt idx="1548">
                  <c:v>08/29/2017</c:v>
                </c:pt>
                <c:pt idx="1549">
                  <c:v>08/30/2017</c:v>
                </c:pt>
                <c:pt idx="1550">
                  <c:v>08/31/2017</c:v>
                </c:pt>
                <c:pt idx="1551">
                  <c:v>09/01/2017</c:v>
                </c:pt>
                <c:pt idx="1552">
                  <c:v>09/04/2017</c:v>
                </c:pt>
                <c:pt idx="1553">
                  <c:v>09/05/2017</c:v>
                </c:pt>
                <c:pt idx="1554">
                  <c:v>09/06/2017</c:v>
                </c:pt>
                <c:pt idx="1555">
                  <c:v>09/07/2017</c:v>
                </c:pt>
                <c:pt idx="1556">
                  <c:v>09/08/2017</c:v>
                </c:pt>
                <c:pt idx="1557">
                  <c:v>09/11/2017</c:v>
                </c:pt>
                <c:pt idx="1558">
                  <c:v>09/12/2017</c:v>
                </c:pt>
                <c:pt idx="1559">
                  <c:v>09/13/2017</c:v>
                </c:pt>
                <c:pt idx="1560">
                  <c:v>09/14/2017</c:v>
                </c:pt>
                <c:pt idx="1561">
                  <c:v>09/15/2017</c:v>
                </c:pt>
                <c:pt idx="1562">
                  <c:v>09/18/2017</c:v>
                </c:pt>
                <c:pt idx="1563">
                  <c:v>09/19/2017</c:v>
                </c:pt>
                <c:pt idx="1564">
                  <c:v>09/20/2017</c:v>
                </c:pt>
                <c:pt idx="1565">
                  <c:v>09/21/2017</c:v>
                </c:pt>
                <c:pt idx="1566">
                  <c:v>09/22/2017</c:v>
                </c:pt>
                <c:pt idx="1567">
                  <c:v>09/25/2017</c:v>
                </c:pt>
                <c:pt idx="1568">
                  <c:v>09/26/2017</c:v>
                </c:pt>
                <c:pt idx="1569">
                  <c:v>09/27/2017</c:v>
                </c:pt>
                <c:pt idx="1570">
                  <c:v>09/28/2017</c:v>
                </c:pt>
                <c:pt idx="1571">
                  <c:v>09/29/2017</c:v>
                </c:pt>
                <c:pt idx="1572">
                  <c:v>10/02/2017</c:v>
                </c:pt>
                <c:pt idx="1573">
                  <c:v>10/03/2017</c:v>
                </c:pt>
                <c:pt idx="1574">
                  <c:v>10/04/2017</c:v>
                </c:pt>
                <c:pt idx="1575">
                  <c:v>10/05/2017</c:v>
                </c:pt>
                <c:pt idx="1576">
                  <c:v>10/06/2017</c:v>
                </c:pt>
                <c:pt idx="1577">
                  <c:v>10/09/2017</c:v>
                </c:pt>
                <c:pt idx="1578">
                  <c:v>10/10/2017</c:v>
                </c:pt>
                <c:pt idx="1579">
                  <c:v>10/11/2017</c:v>
                </c:pt>
                <c:pt idx="1580">
                  <c:v>10/12/2017</c:v>
                </c:pt>
                <c:pt idx="1581">
                  <c:v>10/13/2017</c:v>
                </c:pt>
                <c:pt idx="1582">
                  <c:v>10/16/2017</c:v>
                </c:pt>
                <c:pt idx="1583">
                  <c:v>10/17/2017</c:v>
                </c:pt>
                <c:pt idx="1584">
                  <c:v>10/18/2017</c:v>
                </c:pt>
                <c:pt idx="1585">
                  <c:v>10/19/2017</c:v>
                </c:pt>
                <c:pt idx="1586">
                  <c:v>10/20/2017</c:v>
                </c:pt>
                <c:pt idx="1587">
                  <c:v>10/23/2017</c:v>
                </c:pt>
                <c:pt idx="1588">
                  <c:v>10/24/2017</c:v>
                </c:pt>
                <c:pt idx="1589">
                  <c:v>10/25/2017</c:v>
                </c:pt>
                <c:pt idx="1590">
                  <c:v>10/26/2017</c:v>
                </c:pt>
                <c:pt idx="1591">
                  <c:v>10/27/2017</c:v>
                </c:pt>
                <c:pt idx="1592">
                  <c:v>10/30/2017</c:v>
                </c:pt>
                <c:pt idx="1593">
                  <c:v>10/31/2017</c:v>
                </c:pt>
                <c:pt idx="1594">
                  <c:v>11/01/2017</c:v>
                </c:pt>
                <c:pt idx="1595">
                  <c:v>11/02/2017</c:v>
                </c:pt>
                <c:pt idx="1596">
                  <c:v>11/03/2017</c:v>
                </c:pt>
                <c:pt idx="1597">
                  <c:v>11/06/2017</c:v>
                </c:pt>
                <c:pt idx="1598">
                  <c:v>11/07/2017</c:v>
                </c:pt>
                <c:pt idx="1599">
                  <c:v>11/08/2017</c:v>
                </c:pt>
                <c:pt idx="1600">
                  <c:v>11/09/2017</c:v>
                </c:pt>
                <c:pt idx="1601">
                  <c:v>11/10/2017</c:v>
                </c:pt>
                <c:pt idx="1602">
                  <c:v>11/13/2017</c:v>
                </c:pt>
                <c:pt idx="1603">
                  <c:v>11/14/2017</c:v>
                </c:pt>
                <c:pt idx="1604">
                  <c:v>11/15/2017</c:v>
                </c:pt>
                <c:pt idx="1605">
                  <c:v>11/16/2017</c:v>
                </c:pt>
                <c:pt idx="1606">
                  <c:v>11/17/2017</c:v>
                </c:pt>
                <c:pt idx="1607">
                  <c:v>11/20/2017</c:v>
                </c:pt>
                <c:pt idx="1608">
                  <c:v>11/21/2017</c:v>
                </c:pt>
                <c:pt idx="1609">
                  <c:v>11/22/2017</c:v>
                </c:pt>
                <c:pt idx="1610">
                  <c:v>11/23/2017</c:v>
                </c:pt>
                <c:pt idx="1611">
                  <c:v>11/24/2017</c:v>
                </c:pt>
                <c:pt idx="1612">
                  <c:v>11/27/2017</c:v>
                </c:pt>
                <c:pt idx="1613">
                  <c:v>11/28/2017</c:v>
                </c:pt>
                <c:pt idx="1614">
                  <c:v>11/29/2017</c:v>
                </c:pt>
                <c:pt idx="1615">
                  <c:v>11/30/2017</c:v>
                </c:pt>
                <c:pt idx="1616">
                  <c:v>12/01/2017</c:v>
                </c:pt>
                <c:pt idx="1617">
                  <c:v>12/04/2017</c:v>
                </c:pt>
                <c:pt idx="1618">
                  <c:v>12/05/2017</c:v>
                </c:pt>
                <c:pt idx="1619">
                  <c:v>12/06/2017</c:v>
                </c:pt>
                <c:pt idx="1620">
                  <c:v>12/07/2017</c:v>
                </c:pt>
                <c:pt idx="1621">
                  <c:v>12/08/2017</c:v>
                </c:pt>
                <c:pt idx="1622">
                  <c:v>12/11/2017</c:v>
                </c:pt>
                <c:pt idx="1623">
                  <c:v>12/12/2017</c:v>
                </c:pt>
                <c:pt idx="1624">
                  <c:v>12/13/2017</c:v>
                </c:pt>
                <c:pt idx="1625">
                  <c:v>12/14/2017</c:v>
                </c:pt>
                <c:pt idx="1626">
                  <c:v>12/15/2017</c:v>
                </c:pt>
                <c:pt idx="1627">
                  <c:v>12/18/2017</c:v>
                </c:pt>
                <c:pt idx="1628">
                  <c:v>12/19/2017</c:v>
                </c:pt>
                <c:pt idx="1629">
                  <c:v>12/20/2017</c:v>
                </c:pt>
                <c:pt idx="1630">
                  <c:v>12/21/2017</c:v>
                </c:pt>
                <c:pt idx="1631">
                  <c:v>12/22/2017</c:v>
                </c:pt>
                <c:pt idx="1632">
                  <c:v>12/25/2017</c:v>
                </c:pt>
                <c:pt idx="1633">
                  <c:v>12/26/2017</c:v>
                </c:pt>
                <c:pt idx="1634">
                  <c:v>12/27/2017</c:v>
                </c:pt>
                <c:pt idx="1635">
                  <c:v>12/28/2017</c:v>
                </c:pt>
                <c:pt idx="1636">
                  <c:v>12/29/2017</c:v>
                </c:pt>
                <c:pt idx="1637">
                  <c:v>01/01/2018</c:v>
                </c:pt>
                <c:pt idx="1638">
                  <c:v>01/02/2018</c:v>
                </c:pt>
                <c:pt idx="1639">
                  <c:v>01/03/2018</c:v>
                </c:pt>
                <c:pt idx="1640">
                  <c:v>01/04/2018</c:v>
                </c:pt>
                <c:pt idx="1641">
                  <c:v>01/05/2018</c:v>
                </c:pt>
                <c:pt idx="1642">
                  <c:v>01/08/2018</c:v>
                </c:pt>
                <c:pt idx="1643">
                  <c:v>01/09/2018</c:v>
                </c:pt>
                <c:pt idx="1644">
                  <c:v>01/10/2018</c:v>
                </c:pt>
                <c:pt idx="1645">
                  <c:v>01/11/2018</c:v>
                </c:pt>
                <c:pt idx="1646">
                  <c:v>01/12/2018</c:v>
                </c:pt>
                <c:pt idx="1647">
                  <c:v>01/15/2018</c:v>
                </c:pt>
                <c:pt idx="1648">
                  <c:v>01/16/2018</c:v>
                </c:pt>
                <c:pt idx="1649">
                  <c:v>01/17/2018</c:v>
                </c:pt>
                <c:pt idx="1650">
                  <c:v>01/18/2018</c:v>
                </c:pt>
                <c:pt idx="1651">
                  <c:v>01/19/2018</c:v>
                </c:pt>
                <c:pt idx="1652">
                  <c:v>01/22/2018</c:v>
                </c:pt>
                <c:pt idx="1653">
                  <c:v>01/23/2018</c:v>
                </c:pt>
                <c:pt idx="1654">
                  <c:v>01/24/2018</c:v>
                </c:pt>
                <c:pt idx="1655">
                  <c:v>01/25/2018</c:v>
                </c:pt>
                <c:pt idx="1656">
                  <c:v>01/26/2018</c:v>
                </c:pt>
                <c:pt idx="1657">
                  <c:v>01/29/2018</c:v>
                </c:pt>
                <c:pt idx="1658">
                  <c:v>01/30/2018</c:v>
                </c:pt>
                <c:pt idx="1659">
                  <c:v>01/31/2018</c:v>
                </c:pt>
                <c:pt idx="1660">
                  <c:v>02/01/2018</c:v>
                </c:pt>
                <c:pt idx="1661">
                  <c:v>02/02/2018</c:v>
                </c:pt>
                <c:pt idx="1662">
                  <c:v>02/05/2018</c:v>
                </c:pt>
                <c:pt idx="1663">
                  <c:v>02/06/2018</c:v>
                </c:pt>
                <c:pt idx="1664">
                  <c:v>02/07/2018</c:v>
                </c:pt>
                <c:pt idx="1665">
                  <c:v>02/08/2018</c:v>
                </c:pt>
                <c:pt idx="1666">
                  <c:v>02/09/2018</c:v>
                </c:pt>
                <c:pt idx="1667">
                  <c:v>02/12/2018</c:v>
                </c:pt>
                <c:pt idx="1668">
                  <c:v>02/13/2018</c:v>
                </c:pt>
                <c:pt idx="1669">
                  <c:v>02/14/2018</c:v>
                </c:pt>
                <c:pt idx="1670">
                  <c:v>02/15/2018</c:v>
                </c:pt>
                <c:pt idx="1671">
                  <c:v>02/16/2018</c:v>
                </c:pt>
                <c:pt idx="1672">
                  <c:v>02/19/2018</c:v>
                </c:pt>
                <c:pt idx="1673">
                  <c:v>02/20/2018</c:v>
                </c:pt>
                <c:pt idx="1674">
                  <c:v>02/21/2018</c:v>
                </c:pt>
                <c:pt idx="1675">
                  <c:v>02/22/2018</c:v>
                </c:pt>
                <c:pt idx="1676">
                  <c:v>02/23/2018</c:v>
                </c:pt>
                <c:pt idx="1677">
                  <c:v>02/26/2018</c:v>
                </c:pt>
                <c:pt idx="1678">
                  <c:v>02/27/2018</c:v>
                </c:pt>
                <c:pt idx="1679">
                  <c:v>02/28/2018</c:v>
                </c:pt>
                <c:pt idx="1680">
                  <c:v>03/01/2018</c:v>
                </c:pt>
                <c:pt idx="1681">
                  <c:v>03/02/2018</c:v>
                </c:pt>
                <c:pt idx="1682">
                  <c:v>03/05/2018</c:v>
                </c:pt>
                <c:pt idx="1683">
                  <c:v>03/06/2018</c:v>
                </c:pt>
                <c:pt idx="1684">
                  <c:v>03/07/2018</c:v>
                </c:pt>
                <c:pt idx="1685">
                  <c:v>03/08/2018</c:v>
                </c:pt>
                <c:pt idx="1686">
                  <c:v>03/09/2018</c:v>
                </c:pt>
                <c:pt idx="1687">
                  <c:v>03/12/2018</c:v>
                </c:pt>
                <c:pt idx="1688">
                  <c:v>03/13/2018</c:v>
                </c:pt>
                <c:pt idx="1689">
                  <c:v>03/14/2018</c:v>
                </c:pt>
                <c:pt idx="1690">
                  <c:v>03/15/2018</c:v>
                </c:pt>
                <c:pt idx="1691">
                  <c:v>03/16/2018</c:v>
                </c:pt>
                <c:pt idx="1692">
                  <c:v>03/19/2018</c:v>
                </c:pt>
                <c:pt idx="1693">
                  <c:v>03/20/2018</c:v>
                </c:pt>
                <c:pt idx="1694">
                  <c:v>03/21/2018</c:v>
                </c:pt>
                <c:pt idx="1695">
                  <c:v>03/22/2018</c:v>
                </c:pt>
                <c:pt idx="1696">
                  <c:v>03/23/2018</c:v>
                </c:pt>
                <c:pt idx="1697">
                  <c:v>03/26/2018</c:v>
                </c:pt>
                <c:pt idx="1698">
                  <c:v>03/27/2018</c:v>
                </c:pt>
                <c:pt idx="1699">
                  <c:v>03/28/2018</c:v>
                </c:pt>
                <c:pt idx="1700">
                  <c:v>03/29/2018</c:v>
                </c:pt>
                <c:pt idx="1701">
                  <c:v>03/30/2018</c:v>
                </c:pt>
                <c:pt idx="1702">
                  <c:v>04/02/2018</c:v>
                </c:pt>
                <c:pt idx="1703">
                  <c:v>04/03/2018</c:v>
                </c:pt>
                <c:pt idx="1704">
                  <c:v>04/04/2018</c:v>
                </c:pt>
                <c:pt idx="1705">
                  <c:v>04/05/2018</c:v>
                </c:pt>
                <c:pt idx="1706">
                  <c:v>04/06/2018</c:v>
                </c:pt>
                <c:pt idx="1707">
                  <c:v>04/09/2018</c:v>
                </c:pt>
                <c:pt idx="1708">
                  <c:v>04/10/2018</c:v>
                </c:pt>
                <c:pt idx="1709">
                  <c:v>04/11/2018</c:v>
                </c:pt>
                <c:pt idx="1710">
                  <c:v>04/12/2018</c:v>
                </c:pt>
                <c:pt idx="1711">
                  <c:v>04/13/2018</c:v>
                </c:pt>
                <c:pt idx="1712">
                  <c:v>04/16/2018</c:v>
                </c:pt>
                <c:pt idx="1713">
                  <c:v>04/17/2018</c:v>
                </c:pt>
                <c:pt idx="1714">
                  <c:v>04/18/2018</c:v>
                </c:pt>
                <c:pt idx="1715">
                  <c:v>04/19/2018</c:v>
                </c:pt>
                <c:pt idx="1716">
                  <c:v>04/20/2018</c:v>
                </c:pt>
                <c:pt idx="1717">
                  <c:v>04/23/2018</c:v>
                </c:pt>
                <c:pt idx="1718">
                  <c:v>04/24/2018</c:v>
                </c:pt>
                <c:pt idx="1719">
                  <c:v>04/25/2018</c:v>
                </c:pt>
                <c:pt idx="1720">
                  <c:v>04/26/2018</c:v>
                </c:pt>
                <c:pt idx="1721">
                  <c:v>04/27/2018</c:v>
                </c:pt>
                <c:pt idx="1722">
                  <c:v>04/30/2018</c:v>
                </c:pt>
                <c:pt idx="1723">
                  <c:v>05/01/2018</c:v>
                </c:pt>
                <c:pt idx="1724">
                  <c:v>05/02/2018</c:v>
                </c:pt>
                <c:pt idx="1725">
                  <c:v>05/03/2018</c:v>
                </c:pt>
                <c:pt idx="1726">
                  <c:v>05/04/2018</c:v>
                </c:pt>
                <c:pt idx="1727">
                  <c:v>05/07/2018</c:v>
                </c:pt>
                <c:pt idx="1728">
                  <c:v>05/08/2018</c:v>
                </c:pt>
                <c:pt idx="1729">
                  <c:v>05/09/2018</c:v>
                </c:pt>
                <c:pt idx="1730">
                  <c:v>05/10/2018</c:v>
                </c:pt>
                <c:pt idx="1731">
                  <c:v>05/11/2018</c:v>
                </c:pt>
                <c:pt idx="1732">
                  <c:v>05/14/2018</c:v>
                </c:pt>
                <c:pt idx="1733">
                  <c:v>05/15/2018</c:v>
                </c:pt>
                <c:pt idx="1734">
                  <c:v>05/16/2018</c:v>
                </c:pt>
                <c:pt idx="1735">
                  <c:v>05/17/2018</c:v>
                </c:pt>
                <c:pt idx="1736">
                  <c:v>05/18/2018</c:v>
                </c:pt>
                <c:pt idx="1737">
                  <c:v>05/21/2018</c:v>
                </c:pt>
                <c:pt idx="1738">
                  <c:v>05/22/2018</c:v>
                </c:pt>
                <c:pt idx="1739">
                  <c:v>05/23/2018</c:v>
                </c:pt>
                <c:pt idx="1740">
                  <c:v>05/24/2018</c:v>
                </c:pt>
                <c:pt idx="1741">
                  <c:v>05/25/2018</c:v>
                </c:pt>
                <c:pt idx="1742">
                  <c:v>05/27/2018</c:v>
                </c:pt>
                <c:pt idx="1743">
                  <c:v>05/28/2018</c:v>
                </c:pt>
                <c:pt idx="1744">
                  <c:v>05/29/2018</c:v>
                </c:pt>
                <c:pt idx="1745">
                  <c:v>05/30/2018</c:v>
                </c:pt>
                <c:pt idx="1746">
                  <c:v>05/31/2018</c:v>
                </c:pt>
                <c:pt idx="1747">
                  <c:v>06/01/2018</c:v>
                </c:pt>
                <c:pt idx="1748">
                  <c:v>06/03/2018</c:v>
                </c:pt>
                <c:pt idx="1749">
                  <c:v>06/04/2018</c:v>
                </c:pt>
                <c:pt idx="1750">
                  <c:v>06/05/2018</c:v>
                </c:pt>
                <c:pt idx="1751">
                  <c:v>06/06/2018</c:v>
                </c:pt>
                <c:pt idx="1752">
                  <c:v>06/07/2018</c:v>
                </c:pt>
                <c:pt idx="1753">
                  <c:v>06/08/2018</c:v>
                </c:pt>
                <c:pt idx="1754">
                  <c:v>06/10/2018</c:v>
                </c:pt>
                <c:pt idx="1755">
                  <c:v>06/11/2018</c:v>
                </c:pt>
                <c:pt idx="1756">
                  <c:v>06/12/2018</c:v>
                </c:pt>
                <c:pt idx="1757">
                  <c:v>06/13/2018</c:v>
                </c:pt>
                <c:pt idx="1758">
                  <c:v>06/14/2018</c:v>
                </c:pt>
                <c:pt idx="1759">
                  <c:v>06/15/2018</c:v>
                </c:pt>
                <c:pt idx="1760">
                  <c:v>06/17/2018</c:v>
                </c:pt>
                <c:pt idx="1761">
                  <c:v>06/18/2018</c:v>
                </c:pt>
                <c:pt idx="1762">
                  <c:v>06/19/2018</c:v>
                </c:pt>
                <c:pt idx="1763">
                  <c:v>06/20/2018</c:v>
                </c:pt>
                <c:pt idx="1764">
                  <c:v>06/21/2018</c:v>
                </c:pt>
                <c:pt idx="1765">
                  <c:v>06/22/2018</c:v>
                </c:pt>
                <c:pt idx="1766">
                  <c:v>06/24/2018</c:v>
                </c:pt>
                <c:pt idx="1767">
                  <c:v>06/25/2018</c:v>
                </c:pt>
                <c:pt idx="1768">
                  <c:v>06/26/2018</c:v>
                </c:pt>
                <c:pt idx="1769">
                  <c:v>06/27/2018</c:v>
                </c:pt>
                <c:pt idx="1770">
                  <c:v>06/28/2018</c:v>
                </c:pt>
                <c:pt idx="1771">
                  <c:v>06/29/2018</c:v>
                </c:pt>
                <c:pt idx="1772">
                  <c:v>07/01/2018</c:v>
                </c:pt>
                <c:pt idx="1773">
                  <c:v>07/02/2018</c:v>
                </c:pt>
                <c:pt idx="1774">
                  <c:v>07/03/2018</c:v>
                </c:pt>
                <c:pt idx="1775">
                  <c:v>07/04/2018</c:v>
                </c:pt>
                <c:pt idx="1776">
                  <c:v>07/05/2018</c:v>
                </c:pt>
                <c:pt idx="1777">
                  <c:v>07/06/2018</c:v>
                </c:pt>
                <c:pt idx="1778">
                  <c:v>07/08/2018</c:v>
                </c:pt>
                <c:pt idx="1779">
                  <c:v>07/09/2018</c:v>
                </c:pt>
                <c:pt idx="1780">
                  <c:v>07/10/2018</c:v>
                </c:pt>
                <c:pt idx="1781">
                  <c:v>07/11/2018</c:v>
                </c:pt>
                <c:pt idx="1782">
                  <c:v>07/12/2018</c:v>
                </c:pt>
                <c:pt idx="1783">
                  <c:v>07/13/2018</c:v>
                </c:pt>
                <c:pt idx="1784">
                  <c:v>07/15/2018</c:v>
                </c:pt>
                <c:pt idx="1785">
                  <c:v>07/16/2018</c:v>
                </c:pt>
                <c:pt idx="1786">
                  <c:v>07/17/2018</c:v>
                </c:pt>
                <c:pt idx="1787">
                  <c:v>07/18/2018</c:v>
                </c:pt>
                <c:pt idx="1788">
                  <c:v>07/19/2018</c:v>
                </c:pt>
                <c:pt idx="1789">
                  <c:v>07/20/2018</c:v>
                </c:pt>
                <c:pt idx="1790">
                  <c:v>07/22/2018</c:v>
                </c:pt>
                <c:pt idx="1791">
                  <c:v>07/23/2018</c:v>
                </c:pt>
                <c:pt idx="1792">
                  <c:v>07/24/2018</c:v>
                </c:pt>
                <c:pt idx="1793">
                  <c:v>07/25/2018</c:v>
                </c:pt>
                <c:pt idx="1794">
                  <c:v>07/26/2018</c:v>
                </c:pt>
                <c:pt idx="1795">
                  <c:v>07/27/2018</c:v>
                </c:pt>
                <c:pt idx="1796">
                  <c:v>07/29/2018</c:v>
                </c:pt>
                <c:pt idx="1797">
                  <c:v>07/30/2018</c:v>
                </c:pt>
                <c:pt idx="1798">
                  <c:v>07/31/2018</c:v>
                </c:pt>
                <c:pt idx="1799">
                  <c:v>08/01/2018</c:v>
                </c:pt>
                <c:pt idx="1800">
                  <c:v>08/02/2018</c:v>
                </c:pt>
                <c:pt idx="1801">
                  <c:v>08/03/2018</c:v>
                </c:pt>
                <c:pt idx="1802">
                  <c:v>08/05/2018</c:v>
                </c:pt>
                <c:pt idx="1803">
                  <c:v>08/06/2018</c:v>
                </c:pt>
                <c:pt idx="1804">
                  <c:v>08/07/2018</c:v>
                </c:pt>
                <c:pt idx="1805">
                  <c:v>08/08/2018</c:v>
                </c:pt>
                <c:pt idx="1806">
                  <c:v>08/09/2018</c:v>
                </c:pt>
                <c:pt idx="1807">
                  <c:v>08/10/2018</c:v>
                </c:pt>
                <c:pt idx="1808">
                  <c:v>08/12/2018</c:v>
                </c:pt>
                <c:pt idx="1809">
                  <c:v>08/13/2018</c:v>
                </c:pt>
                <c:pt idx="1810">
                  <c:v>08/14/2018</c:v>
                </c:pt>
                <c:pt idx="1811">
                  <c:v>08/15/2018</c:v>
                </c:pt>
                <c:pt idx="1812">
                  <c:v>08/16/2018</c:v>
                </c:pt>
                <c:pt idx="1813">
                  <c:v>08/17/2018</c:v>
                </c:pt>
                <c:pt idx="1814">
                  <c:v>08/19/2018</c:v>
                </c:pt>
                <c:pt idx="1815">
                  <c:v>08/20/2018</c:v>
                </c:pt>
                <c:pt idx="1816">
                  <c:v>08/21/2018</c:v>
                </c:pt>
                <c:pt idx="1817">
                  <c:v>08/22/2018</c:v>
                </c:pt>
                <c:pt idx="1818">
                  <c:v>08/23/2018</c:v>
                </c:pt>
                <c:pt idx="1819">
                  <c:v>08/24/2018</c:v>
                </c:pt>
                <c:pt idx="1820">
                  <c:v>08/26/2018</c:v>
                </c:pt>
                <c:pt idx="1821">
                  <c:v>08/27/2018</c:v>
                </c:pt>
                <c:pt idx="1822">
                  <c:v>08/28/2018</c:v>
                </c:pt>
                <c:pt idx="1823">
                  <c:v>08/29/2018</c:v>
                </c:pt>
                <c:pt idx="1824">
                  <c:v>08/30/2018</c:v>
                </c:pt>
                <c:pt idx="1825">
                  <c:v>08/31/2018</c:v>
                </c:pt>
                <c:pt idx="1826">
                  <c:v>09/02/2018</c:v>
                </c:pt>
                <c:pt idx="1827">
                  <c:v>09/03/2018</c:v>
                </c:pt>
                <c:pt idx="1828">
                  <c:v>09/04/2018</c:v>
                </c:pt>
                <c:pt idx="1829">
                  <c:v>09/05/2018</c:v>
                </c:pt>
                <c:pt idx="1830">
                  <c:v>09/06/2018</c:v>
                </c:pt>
                <c:pt idx="1831">
                  <c:v>09/07/2018</c:v>
                </c:pt>
                <c:pt idx="1832">
                  <c:v>09/09/2018</c:v>
                </c:pt>
                <c:pt idx="1833">
                  <c:v>09/10/2018</c:v>
                </c:pt>
                <c:pt idx="1834">
                  <c:v>09/11/2018</c:v>
                </c:pt>
                <c:pt idx="1835">
                  <c:v>09/12/2018</c:v>
                </c:pt>
                <c:pt idx="1836">
                  <c:v>09/13/2018</c:v>
                </c:pt>
                <c:pt idx="1837">
                  <c:v>09/14/2018</c:v>
                </c:pt>
                <c:pt idx="1838">
                  <c:v>09/16/2018</c:v>
                </c:pt>
                <c:pt idx="1839">
                  <c:v>09/17/2018</c:v>
                </c:pt>
                <c:pt idx="1840">
                  <c:v>09/18/2018</c:v>
                </c:pt>
                <c:pt idx="1841">
                  <c:v>09/19/2018</c:v>
                </c:pt>
                <c:pt idx="1842">
                  <c:v>09/20/2018</c:v>
                </c:pt>
                <c:pt idx="1843">
                  <c:v>09/21/2018</c:v>
                </c:pt>
                <c:pt idx="1844">
                  <c:v>09/23/2018</c:v>
                </c:pt>
                <c:pt idx="1845">
                  <c:v>09/24/2018</c:v>
                </c:pt>
                <c:pt idx="1846">
                  <c:v>09/25/2018</c:v>
                </c:pt>
                <c:pt idx="1847">
                  <c:v>09/26/2018</c:v>
                </c:pt>
                <c:pt idx="1848">
                  <c:v>09/27/2018</c:v>
                </c:pt>
                <c:pt idx="1849">
                  <c:v>09/28/2018</c:v>
                </c:pt>
                <c:pt idx="1850">
                  <c:v>09/30/2018</c:v>
                </c:pt>
                <c:pt idx="1851">
                  <c:v>10/01/2018</c:v>
                </c:pt>
                <c:pt idx="1852">
                  <c:v>10/02/2018</c:v>
                </c:pt>
                <c:pt idx="1853">
                  <c:v>10/03/2018</c:v>
                </c:pt>
                <c:pt idx="1854">
                  <c:v>10/04/2018</c:v>
                </c:pt>
                <c:pt idx="1855">
                  <c:v>10/05/2018</c:v>
                </c:pt>
                <c:pt idx="1856">
                  <c:v>10/07/2018</c:v>
                </c:pt>
                <c:pt idx="1857">
                  <c:v>10/08/2018</c:v>
                </c:pt>
                <c:pt idx="1858">
                  <c:v>10/09/2018</c:v>
                </c:pt>
                <c:pt idx="1859">
                  <c:v>10/10/2018</c:v>
                </c:pt>
                <c:pt idx="1860">
                  <c:v>10/11/2018</c:v>
                </c:pt>
                <c:pt idx="1861">
                  <c:v>10/12/2018</c:v>
                </c:pt>
                <c:pt idx="1862">
                  <c:v>10/14/2018</c:v>
                </c:pt>
                <c:pt idx="1863">
                  <c:v>10/15/2018</c:v>
                </c:pt>
                <c:pt idx="1864">
                  <c:v>10/16/2018</c:v>
                </c:pt>
                <c:pt idx="1865">
                  <c:v>10/17/2018</c:v>
                </c:pt>
                <c:pt idx="1866">
                  <c:v>10/18/2018</c:v>
                </c:pt>
                <c:pt idx="1867">
                  <c:v>10/19/2018</c:v>
                </c:pt>
                <c:pt idx="1868">
                  <c:v>10/21/2018</c:v>
                </c:pt>
                <c:pt idx="1869">
                  <c:v>10/22/2018</c:v>
                </c:pt>
              </c:strCache>
            </c:strRef>
          </c:cat>
          <c:val>
            <c:numRef>
              <c:f>TRM!$X$4:$X$1874</c:f>
              <c:numCache>
                <c:formatCode>General</c:formatCode>
                <c:ptCount val="1870"/>
                <c:pt idx="0">
                  <c:v>505.6</c:v>
                </c:pt>
                <c:pt idx="1">
                  <c:v>510.95</c:v>
                </c:pt>
                <c:pt idx="2">
                  <c:v>509.7</c:v>
                </c:pt>
                <c:pt idx="3">
                  <c:v>511.6</c:v>
                </c:pt>
                <c:pt idx="4">
                  <c:v>508.6</c:v>
                </c:pt>
                <c:pt idx="5">
                  <c:v>508.7</c:v>
                </c:pt>
                <c:pt idx="6">
                  <c:v>508.7</c:v>
                </c:pt>
                <c:pt idx="7">
                  <c:v>510.6</c:v>
                </c:pt>
                <c:pt idx="8">
                  <c:v>513.20000000000005</c:v>
                </c:pt>
                <c:pt idx="9">
                  <c:v>513.20000000000005</c:v>
                </c:pt>
                <c:pt idx="10">
                  <c:v>515.70000000000005</c:v>
                </c:pt>
                <c:pt idx="11">
                  <c:v>515.6</c:v>
                </c:pt>
                <c:pt idx="12">
                  <c:v>518.20000000000005</c:v>
                </c:pt>
                <c:pt idx="13">
                  <c:v>513.95000000000005</c:v>
                </c:pt>
                <c:pt idx="14">
                  <c:v>512.70000000000005</c:v>
                </c:pt>
                <c:pt idx="15">
                  <c:v>510.6</c:v>
                </c:pt>
                <c:pt idx="16">
                  <c:v>510.6</c:v>
                </c:pt>
                <c:pt idx="17">
                  <c:v>510.5</c:v>
                </c:pt>
                <c:pt idx="18">
                  <c:v>510.5</c:v>
                </c:pt>
                <c:pt idx="19">
                  <c:v>510.5</c:v>
                </c:pt>
                <c:pt idx="20">
                  <c:v>510.6</c:v>
                </c:pt>
                <c:pt idx="21">
                  <c:v>510.6</c:v>
                </c:pt>
                <c:pt idx="22">
                  <c:v>510.7</c:v>
                </c:pt>
                <c:pt idx="23">
                  <c:v>510.7</c:v>
                </c:pt>
                <c:pt idx="24">
                  <c:v>506.6</c:v>
                </c:pt>
                <c:pt idx="25">
                  <c:v>506.7</c:v>
                </c:pt>
                <c:pt idx="26">
                  <c:v>506.6</c:v>
                </c:pt>
                <c:pt idx="27">
                  <c:v>512.70000000000005</c:v>
                </c:pt>
                <c:pt idx="28">
                  <c:v>512.70000000000005</c:v>
                </c:pt>
                <c:pt idx="29">
                  <c:v>511.6</c:v>
                </c:pt>
                <c:pt idx="30">
                  <c:v>511.6</c:v>
                </c:pt>
                <c:pt idx="31">
                  <c:v>513</c:v>
                </c:pt>
                <c:pt idx="32">
                  <c:v>510</c:v>
                </c:pt>
                <c:pt idx="33">
                  <c:v>509.1</c:v>
                </c:pt>
                <c:pt idx="34">
                  <c:v>510.7</c:v>
                </c:pt>
                <c:pt idx="35">
                  <c:v>510.7</c:v>
                </c:pt>
                <c:pt idx="36">
                  <c:v>508.6</c:v>
                </c:pt>
                <c:pt idx="37">
                  <c:v>505.6</c:v>
                </c:pt>
                <c:pt idx="38">
                  <c:v>503.7</c:v>
                </c:pt>
                <c:pt idx="39">
                  <c:v>504.7</c:v>
                </c:pt>
                <c:pt idx="40">
                  <c:v>504.6</c:v>
                </c:pt>
                <c:pt idx="41">
                  <c:v>502.2</c:v>
                </c:pt>
                <c:pt idx="42">
                  <c:v>500.7</c:v>
                </c:pt>
                <c:pt idx="43">
                  <c:v>500.7</c:v>
                </c:pt>
                <c:pt idx="44">
                  <c:v>500.7</c:v>
                </c:pt>
                <c:pt idx="45">
                  <c:v>500.7</c:v>
                </c:pt>
                <c:pt idx="46">
                  <c:v>498.6</c:v>
                </c:pt>
                <c:pt idx="47">
                  <c:v>498.65</c:v>
                </c:pt>
                <c:pt idx="48">
                  <c:v>498.5</c:v>
                </c:pt>
                <c:pt idx="49">
                  <c:v>498.7</c:v>
                </c:pt>
                <c:pt idx="50">
                  <c:v>500.65</c:v>
                </c:pt>
                <c:pt idx="51">
                  <c:v>500.5</c:v>
                </c:pt>
                <c:pt idx="52">
                  <c:v>500.4</c:v>
                </c:pt>
                <c:pt idx="53">
                  <c:v>500.3</c:v>
                </c:pt>
                <c:pt idx="54">
                  <c:v>500.7</c:v>
                </c:pt>
                <c:pt idx="55">
                  <c:v>502.7</c:v>
                </c:pt>
                <c:pt idx="56">
                  <c:v>502.6</c:v>
                </c:pt>
                <c:pt idx="57">
                  <c:v>500.6</c:v>
                </c:pt>
                <c:pt idx="58">
                  <c:v>500.7</c:v>
                </c:pt>
                <c:pt idx="59">
                  <c:v>504.1</c:v>
                </c:pt>
                <c:pt idx="60">
                  <c:v>504.2</c:v>
                </c:pt>
                <c:pt idx="61">
                  <c:v>498.1</c:v>
                </c:pt>
                <c:pt idx="62">
                  <c:v>498.1</c:v>
                </c:pt>
                <c:pt idx="63">
                  <c:v>500.2</c:v>
                </c:pt>
                <c:pt idx="64">
                  <c:v>502.1</c:v>
                </c:pt>
                <c:pt idx="65">
                  <c:v>502.2</c:v>
                </c:pt>
                <c:pt idx="66">
                  <c:v>504.7</c:v>
                </c:pt>
                <c:pt idx="67">
                  <c:v>504.65</c:v>
                </c:pt>
                <c:pt idx="68">
                  <c:v>502.7</c:v>
                </c:pt>
                <c:pt idx="69">
                  <c:v>502.7</c:v>
                </c:pt>
                <c:pt idx="70">
                  <c:v>502.7</c:v>
                </c:pt>
                <c:pt idx="71">
                  <c:v>505.7</c:v>
                </c:pt>
                <c:pt idx="72">
                  <c:v>505.7</c:v>
                </c:pt>
                <c:pt idx="73">
                  <c:v>505.7</c:v>
                </c:pt>
                <c:pt idx="74">
                  <c:v>509.2</c:v>
                </c:pt>
                <c:pt idx="75">
                  <c:v>511.7</c:v>
                </c:pt>
                <c:pt idx="76">
                  <c:v>513.1</c:v>
                </c:pt>
                <c:pt idx="77">
                  <c:v>511.6</c:v>
                </c:pt>
                <c:pt idx="78">
                  <c:v>509.2</c:v>
                </c:pt>
                <c:pt idx="79">
                  <c:v>509.2</c:v>
                </c:pt>
                <c:pt idx="80">
                  <c:v>509.1</c:v>
                </c:pt>
                <c:pt idx="81">
                  <c:v>504.7</c:v>
                </c:pt>
                <c:pt idx="82">
                  <c:v>504.6</c:v>
                </c:pt>
                <c:pt idx="83">
                  <c:v>504.6</c:v>
                </c:pt>
                <c:pt idx="84">
                  <c:v>504.6</c:v>
                </c:pt>
                <c:pt idx="85">
                  <c:v>507.1</c:v>
                </c:pt>
                <c:pt idx="86">
                  <c:v>507.2</c:v>
                </c:pt>
                <c:pt idx="87">
                  <c:v>508.1</c:v>
                </c:pt>
                <c:pt idx="88">
                  <c:v>508.2</c:v>
                </c:pt>
                <c:pt idx="89">
                  <c:v>512.70000000000005</c:v>
                </c:pt>
                <c:pt idx="90">
                  <c:v>509.6</c:v>
                </c:pt>
                <c:pt idx="91">
                  <c:v>503.1</c:v>
                </c:pt>
                <c:pt idx="92">
                  <c:v>506.1</c:v>
                </c:pt>
                <c:pt idx="93">
                  <c:v>506.15</c:v>
                </c:pt>
                <c:pt idx="94">
                  <c:v>508.6</c:v>
                </c:pt>
                <c:pt idx="95">
                  <c:v>513.6</c:v>
                </c:pt>
                <c:pt idx="96">
                  <c:v>510.05</c:v>
                </c:pt>
                <c:pt idx="97">
                  <c:v>508.1</c:v>
                </c:pt>
                <c:pt idx="98">
                  <c:v>512.45000000000005</c:v>
                </c:pt>
                <c:pt idx="99">
                  <c:v>511.7</c:v>
                </c:pt>
                <c:pt idx="100">
                  <c:v>511.5</c:v>
                </c:pt>
                <c:pt idx="101">
                  <c:v>510.45</c:v>
                </c:pt>
                <c:pt idx="102">
                  <c:v>509.7</c:v>
                </c:pt>
                <c:pt idx="103">
                  <c:v>509.1</c:v>
                </c:pt>
                <c:pt idx="104">
                  <c:v>509.1</c:v>
                </c:pt>
                <c:pt idx="105">
                  <c:v>509.1</c:v>
                </c:pt>
                <c:pt idx="106">
                  <c:v>509.95</c:v>
                </c:pt>
                <c:pt idx="107">
                  <c:v>509.2</c:v>
                </c:pt>
                <c:pt idx="108">
                  <c:v>510.2</c:v>
                </c:pt>
                <c:pt idx="109">
                  <c:v>512.6</c:v>
                </c:pt>
                <c:pt idx="110">
                  <c:v>512.70000000000005</c:v>
                </c:pt>
                <c:pt idx="111">
                  <c:v>512.6</c:v>
                </c:pt>
                <c:pt idx="112">
                  <c:v>512.65</c:v>
                </c:pt>
                <c:pt idx="113">
                  <c:v>512.70000000000005</c:v>
                </c:pt>
                <c:pt idx="114">
                  <c:v>512.6</c:v>
                </c:pt>
                <c:pt idx="115">
                  <c:v>512.6</c:v>
                </c:pt>
                <c:pt idx="116">
                  <c:v>512.70000000000005</c:v>
                </c:pt>
                <c:pt idx="117">
                  <c:v>512.6</c:v>
                </c:pt>
                <c:pt idx="118">
                  <c:v>512.6</c:v>
                </c:pt>
                <c:pt idx="119">
                  <c:v>512.6</c:v>
                </c:pt>
                <c:pt idx="120">
                  <c:v>510.1</c:v>
                </c:pt>
                <c:pt idx="121">
                  <c:v>510.05</c:v>
                </c:pt>
                <c:pt idx="122">
                  <c:v>510</c:v>
                </c:pt>
                <c:pt idx="123">
                  <c:v>507.1</c:v>
                </c:pt>
                <c:pt idx="124">
                  <c:v>507.05</c:v>
                </c:pt>
                <c:pt idx="125">
                  <c:v>507.6</c:v>
                </c:pt>
                <c:pt idx="126">
                  <c:v>507.6</c:v>
                </c:pt>
                <c:pt idx="127">
                  <c:v>506.5</c:v>
                </c:pt>
                <c:pt idx="128">
                  <c:v>506.5</c:v>
                </c:pt>
                <c:pt idx="129">
                  <c:v>509</c:v>
                </c:pt>
                <c:pt idx="130">
                  <c:v>510.2</c:v>
                </c:pt>
                <c:pt idx="131">
                  <c:v>505.7</c:v>
                </c:pt>
                <c:pt idx="132">
                  <c:v>504.5</c:v>
                </c:pt>
                <c:pt idx="133">
                  <c:v>504.6</c:v>
                </c:pt>
                <c:pt idx="134">
                  <c:v>506</c:v>
                </c:pt>
                <c:pt idx="135">
                  <c:v>503.6</c:v>
                </c:pt>
                <c:pt idx="136">
                  <c:v>506.1</c:v>
                </c:pt>
                <c:pt idx="137">
                  <c:v>506</c:v>
                </c:pt>
                <c:pt idx="138">
                  <c:v>507.6</c:v>
                </c:pt>
                <c:pt idx="139">
                  <c:v>507</c:v>
                </c:pt>
                <c:pt idx="140">
                  <c:v>505.5</c:v>
                </c:pt>
                <c:pt idx="141">
                  <c:v>505.5</c:v>
                </c:pt>
                <c:pt idx="142">
                  <c:v>505.6</c:v>
                </c:pt>
                <c:pt idx="143">
                  <c:v>508.6</c:v>
                </c:pt>
                <c:pt idx="144">
                  <c:v>507.6</c:v>
                </c:pt>
                <c:pt idx="145">
                  <c:v>507.6</c:v>
                </c:pt>
                <c:pt idx="146">
                  <c:v>504.6</c:v>
                </c:pt>
                <c:pt idx="147">
                  <c:v>504.6</c:v>
                </c:pt>
                <c:pt idx="148">
                  <c:v>504.6</c:v>
                </c:pt>
                <c:pt idx="149">
                  <c:v>502</c:v>
                </c:pt>
                <c:pt idx="150">
                  <c:v>503.6</c:v>
                </c:pt>
                <c:pt idx="151">
                  <c:v>502.45</c:v>
                </c:pt>
                <c:pt idx="152">
                  <c:v>501.7</c:v>
                </c:pt>
                <c:pt idx="153">
                  <c:v>505.6</c:v>
                </c:pt>
                <c:pt idx="154">
                  <c:v>505.7</c:v>
                </c:pt>
                <c:pt idx="155">
                  <c:v>504.7</c:v>
                </c:pt>
                <c:pt idx="156">
                  <c:v>504.6</c:v>
                </c:pt>
                <c:pt idx="157">
                  <c:v>504.5</c:v>
                </c:pt>
                <c:pt idx="158">
                  <c:v>504.7</c:v>
                </c:pt>
                <c:pt idx="159">
                  <c:v>504.7</c:v>
                </c:pt>
                <c:pt idx="160">
                  <c:v>507.7</c:v>
                </c:pt>
                <c:pt idx="161">
                  <c:v>507.5</c:v>
                </c:pt>
                <c:pt idx="162">
                  <c:v>507.1</c:v>
                </c:pt>
                <c:pt idx="163">
                  <c:v>508.6</c:v>
                </c:pt>
                <c:pt idx="164">
                  <c:v>510</c:v>
                </c:pt>
                <c:pt idx="165">
                  <c:v>503.7</c:v>
                </c:pt>
                <c:pt idx="166">
                  <c:v>503.6</c:v>
                </c:pt>
                <c:pt idx="167">
                  <c:v>503.6</c:v>
                </c:pt>
                <c:pt idx="168">
                  <c:v>503.6</c:v>
                </c:pt>
                <c:pt idx="169">
                  <c:v>503.6</c:v>
                </c:pt>
                <c:pt idx="170">
                  <c:v>502.6</c:v>
                </c:pt>
                <c:pt idx="171">
                  <c:v>502.6</c:v>
                </c:pt>
                <c:pt idx="172">
                  <c:v>502.6</c:v>
                </c:pt>
                <c:pt idx="173">
                  <c:v>504.2</c:v>
                </c:pt>
                <c:pt idx="174">
                  <c:v>502.6</c:v>
                </c:pt>
                <c:pt idx="175">
                  <c:v>505.1</c:v>
                </c:pt>
                <c:pt idx="176">
                  <c:v>505.1</c:v>
                </c:pt>
                <c:pt idx="177">
                  <c:v>505.1</c:v>
                </c:pt>
                <c:pt idx="178">
                  <c:v>502.5</c:v>
                </c:pt>
                <c:pt idx="179">
                  <c:v>500.4</c:v>
                </c:pt>
                <c:pt idx="180">
                  <c:v>501.7</c:v>
                </c:pt>
                <c:pt idx="181">
                  <c:v>501.6</c:v>
                </c:pt>
                <c:pt idx="182">
                  <c:v>501.6</c:v>
                </c:pt>
                <c:pt idx="183">
                  <c:v>501.5</c:v>
                </c:pt>
                <c:pt idx="184">
                  <c:v>504.5</c:v>
                </c:pt>
                <c:pt idx="185">
                  <c:v>503.95</c:v>
                </c:pt>
                <c:pt idx="186">
                  <c:v>503.1</c:v>
                </c:pt>
                <c:pt idx="187">
                  <c:v>503.1</c:v>
                </c:pt>
                <c:pt idx="188">
                  <c:v>501.6</c:v>
                </c:pt>
                <c:pt idx="189">
                  <c:v>501.6</c:v>
                </c:pt>
                <c:pt idx="190">
                  <c:v>498</c:v>
                </c:pt>
                <c:pt idx="191">
                  <c:v>498</c:v>
                </c:pt>
                <c:pt idx="192">
                  <c:v>498</c:v>
                </c:pt>
                <c:pt idx="193">
                  <c:v>499.4</c:v>
                </c:pt>
                <c:pt idx="194">
                  <c:v>499.1</c:v>
                </c:pt>
                <c:pt idx="195">
                  <c:v>499.1</c:v>
                </c:pt>
                <c:pt idx="196">
                  <c:v>499.1</c:v>
                </c:pt>
                <c:pt idx="197">
                  <c:v>499.6</c:v>
                </c:pt>
                <c:pt idx="198">
                  <c:v>499.5</c:v>
                </c:pt>
                <c:pt idx="199">
                  <c:v>499.5</c:v>
                </c:pt>
                <c:pt idx="200">
                  <c:v>499.5</c:v>
                </c:pt>
                <c:pt idx="201">
                  <c:v>499.7</c:v>
                </c:pt>
                <c:pt idx="202">
                  <c:v>499.7</c:v>
                </c:pt>
                <c:pt idx="203">
                  <c:v>499.7</c:v>
                </c:pt>
                <c:pt idx="204">
                  <c:v>499.6</c:v>
                </c:pt>
                <c:pt idx="205">
                  <c:v>499.6</c:v>
                </c:pt>
                <c:pt idx="206">
                  <c:v>503.5</c:v>
                </c:pt>
                <c:pt idx="207">
                  <c:v>504.6</c:v>
                </c:pt>
                <c:pt idx="208">
                  <c:v>504.1</c:v>
                </c:pt>
                <c:pt idx="209">
                  <c:v>504.05</c:v>
                </c:pt>
                <c:pt idx="210">
                  <c:v>499.5</c:v>
                </c:pt>
                <c:pt idx="211">
                  <c:v>499.6</c:v>
                </c:pt>
                <c:pt idx="212">
                  <c:v>499.6</c:v>
                </c:pt>
                <c:pt idx="213">
                  <c:v>499.6</c:v>
                </c:pt>
                <c:pt idx="214">
                  <c:v>499.6</c:v>
                </c:pt>
                <c:pt idx="215">
                  <c:v>499.6</c:v>
                </c:pt>
                <c:pt idx="216">
                  <c:v>499.6</c:v>
                </c:pt>
                <c:pt idx="217">
                  <c:v>499.6</c:v>
                </c:pt>
                <c:pt idx="218">
                  <c:v>499.6</c:v>
                </c:pt>
                <c:pt idx="219">
                  <c:v>499.6</c:v>
                </c:pt>
                <c:pt idx="220">
                  <c:v>499.6</c:v>
                </c:pt>
                <c:pt idx="221">
                  <c:v>500.45</c:v>
                </c:pt>
                <c:pt idx="222">
                  <c:v>500.95</c:v>
                </c:pt>
                <c:pt idx="223">
                  <c:v>499.5</c:v>
                </c:pt>
                <c:pt idx="224">
                  <c:v>499.4</c:v>
                </c:pt>
                <c:pt idx="225">
                  <c:v>499</c:v>
                </c:pt>
                <c:pt idx="226">
                  <c:v>499</c:v>
                </c:pt>
                <c:pt idx="227">
                  <c:v>499</c:v>
                </c:pt>
                <c:pt idx="228">
                  <c:v>501.6</c:v>
                </c:pt>
                <c:pt idx="229">
                  <c:v>501.5</c:v>
                </c:pt>
                <c:pt idx="230">
                  <c:v>499.5</c:v>
                </c:pt>
                <c:pt idx="231">
                  <c:v>499</c:v>
                </c:pt>
                <c:pt idx="232">
                  <c:v>499.6</c:v>
                </c:pt>
                <c:pt idx="233">
                  <c:v>499.5</c:v>
                </c:pt>
                <c:pt idx="234">
                  <c:v>499.4</c:v>
                </c:pt>
                <c:pt idx="235">
                  <c:v>499.5</c:v>
                </c:pt>
                <c:pt idx="236">
                  <c:v>499.5</c:v>
                </c:pt>
                <c:pt idx="237">
                  <c:v>499.6</c:v>
                </c:pt>
                <c:pt idx="238">
                  <c:v>499.5</c:v>
                </c:pt>
                <c:pt idx="239">
                  <c:v>499.7</c:v>
                </c:pt>
                <c:pt idx="240">
                  <c:v>499.6</c:v>
                </c:pt>
                <c:pt idx="241">
                  <c:v>499.5</c:v>
                </c:pt>
                <c:pt idx="242">
                  <c:v>499</c:v>
                </c:pt>
                <c:pt idx="243">
                  <c:v>499.5</c:v>
                </c:pt>
                <c:pt idx="244">
                  <c:v>499.5</c:v>
                </c:pt>
                <c:pt idx="245">
                  <c:v>499.5</c:v>
                </c:pt>
                <c:pt idx="246">
                  <c:v>499.5</c:v>
                </c:pt>
                <c:pt idx="247">
                  <c:v>499.7</c:v>
                </c:pt>
                <c:pt idx="248">
                  <c:v>499.5</c:v>
                </c:pt>
                <c:pt idx="249">
                  <c:v>499.5</c:v>
                </c:pt>
                <c:pt idx="250">
                  <c:v>499.5</c:v>
                </c:pt>
                <c:pt idx="251">
                  <c:v>499.5</c:v>
                </c:pt>
                <c:pt idx="252">
                  <c:v>502.7</c:v>
                </c:pt>
                <c:pt idx="253">
                  <c:v>499.5</c:v>
                </c:pt>
                <c:pt idx="254">
                  <c:v>499.5</c:v>
                </c:pt>
                <c:pt idx="255">
                  <c:v>499</c:v>
                </c:pt>
                <c:pt idx="256">
                  <c:v>499.5</c:v>
                </c:pt>
                <c:pt idx="257">
                  <c:v>499.5</c:v>
                </c:pt>
                <c:pt idx="258">
                  <c:v>499.5</c:v>
                </c:pt>
                <c:pt idx="259">
                  <c:v>499.5</c:v>
                </c:pt>
                <c:pt idx="260">
                  <c:v>499.5</c:v>
                </c:pt>
                <c:pt idx="261">
                  <c:v>499.5</c:v>
                </c:pt>
                <c:pt idx="262">
                  <c:v>499.5</c:v>
                </c:pt>
                <c:pt idx="263">
                  <c:v>499.5</c:v>
                </c:pt>
                <c:pt idx="264">
                  <c:v>499.7</c:v>
                </c:pt>
                <c:pt idx="265">
                  <c:v>499.5</c:v>
                </c:pt>
                <c:pt idx="266">
                  <c:v>499.5</c:v>
                </c:pt>
                <c:pt idx="267">
                  <c:v>499.5</c:v>
                </c:pt>
                <c:pt idx="268">
                  <c:v>499.5</c:v>
                </c:pt>
                <c:pt idx="269">
                  <c:v>499.5</c:v>
                </c:pt>
                <c:pt idx="270">
                  <c:v>499.5</c:v>
                </c:pt>
                <c:pt idx="271">
                  <c:v>499.5</c:v>
                </c:pt>
                <c:pt idx="272">
                  <c:v>499.5</c:v>
                </c:pt>
                <c:pt idx="273">
                  <c:v>499</c:v>
                </c:pt>
                <c:pt idx="274">
                  <c:v>499</c:v>
                </c:pt>
                <c:pt idx="275">
                  <c:v>499.5</c:v>
                </c:pt>
                <c:pt idx="276">
                  <c:v>499.5</c:v>
                </c:pt>
                <c:pt idx="277">
                  <c:v>499.5</c:v>
                </c:pt>
                <c:pt idx="278">
                  <c:v>499.5</c:v>
                </c:pt>
                <c:pt idx="279">
                  <c:v>499.5</c:v>
                </c:pt>
                <c:pt idx="280">
                  <c:v>499.5</c:v>
                </c:pt>
                <c:pt idx="281">
                  <c:v>499.5</c:v>
                </c:pt>
                <c:pt idx="282">
                  <c:v>499.5</c:v>
                </c:pt>
                <c:pt idx="283">
                  <c:v>499.5</c:v>
                </c:pt>
                <c:pt idx="284">
                  <c:v>499.5</c:v>
                </c:pt>
                <c:pt idx="285">
                  <c:v>499.5</c:v>
                </c:pt>
                <c:pt idx="286">
                  <c:v>499.5</c:v>
                </c:pt>
                <c:pt idx="287">
                  <c:v>499.4</c:v>
                </c:pt>
                <c:pt idx="288">
                  <c:v>499.4</c:v>
                </c:pt>
                <c:pt idx="289">
                  <c:v>499.2</c:v>
                </c:pt>
                <c:pt idx="290">
                  <c:v>499.5</c:v>
                </c:pt>
                <c:pt idx="291">
                  <c:v>499.6</c:v>
                </c:pt>
                <c:pt idx="292">
                  <c:v>499.7</c:v>
                </c:pt>
                <c:pt idx="293">
                  <c:v>499.7</c:v>
                </c:pt>
                <c:pt idx="294">
                  <c:v>499.6</c:v>
                </c:pt>
                <c:pt idx="295">
                  <c:v>499.6</c:v>
                </c:pt>
                <c:pt idx="296">
                  <c:v>499.6</c:v>
                </c:pt>
                <c:pt idx="297">
                  <c:v>499.6</c:v>
                </c:pt>
                <c:pt idx="298">
                  <c:v>499.6</c:v>
                </c:pt>
                <c:pt idx="299">
                  <c:v>499.7</c:v>
                </c:pt>
                <c:pt idx="300">
                  <c:v>499.5</c:v>
                </c:pt>
                <c:pt idx="301">
                  <c:v>499.5</c:v>
                </c:pt>
                <c:pt idx="302">
                  <c:v>499.4</c:v>
                </c:pt>
                <c:pt idx="303">
                  <c:v>499.5</c:v>
                </c:pt>
                <c:pt idx="304">
                  <c:v>499.5</c:v>
                </c:pt>
                <c:pt idx="305">
                  <c:v>499.5</c:v>
                </c:pt>
                <c:pt idx="306">
                  <c:v>499.5</c:v>
                </c:pt>
                <c:pt idx="307">
                  <c:v>499.6</c:v>
                </c:pt>
                <c:pt idx="308">
                  <c:v>500.45</c:v>
                </c:pt>
                <c:pt idx="309">
                  <c:v>499.7</c:v>
                </c:pt>
                <c:pt idx="310">
                  <c:v>499.7</c:v>
                </c:pt>
                <c:pt idx="311">
                  <c:v>499.6</c:v>
                </c:pt>
                <c:pt idx="312">
                  <c:v>499.6</c:v>
                </c:pt>
                <c:pt idx="313">
                  <c:v>499.6</c:v>
                </c:pt>
                <c:pt idx="314">
                  <c:v>499.6</c:v>
                </c:pt>
                <c:pt idx="315">
                  <c:v>499.6</c:v>
                </c:pt>
                <c:pt idx="316">
                  <c:v>499.5</c:v>
                </c:pt>
                <c:pt idx="317">
                  <c:v>499.9</c:v>
                </c:pt>
                <c:pt idx="318">
                  <c:v>499.9</c:v>
                </c:pt>
                <c:pt idx="319">
                  <c:v>499.9</c:v>
                </c:pt>
                <c:pt idx="320">
                  <c:v>499.5</c:v>
                </c:pt>
                <c:pt idx="321">
                  <c:v>499.5</c:v>
                </c:pt>
                <c:pt idx="322">
                  <c:v>500.2</c:v>
                </c:pt>
                <c:pt idx="323">
                  <c:v>500.2</c:v>
                </c:pt>
                <c:pt idx="324">
                  <c:v>499.4</c:v>
                </c:pt>
                <c:pt idx="325">
                  <c:v>499.9</c:v>
                </c:pt>
                <c:pt idx="326">
                  <c:v>499.9</c:v>
                </c:pt>
                <c:pt idx="327">
                  <c:v>499.9</c:v>
                </c:pt>
                <c:pt idx="328">
                  <c:v>499.9</c:v>
                </c:pt>
                <c:pt idx="329">
                  <c:v>504</c:v>
                </c:pt>
                <c:pt idx="330">
                  <c:v>507.5</c:v>
                </c:pt>
                <c:pt idx="331">
                  <c:v>510.7</c:v>
                </c:pt>
                <c:pt idx="332">
                  <c:v>512.6</c:v>
                </c:pt>
                <c:pt idx="333">
                  <c:v>512.6</c:v>
                </c:pt>
                <c:pt idx="334">
                  <c:v>501.6</c:v>
                </c:pt>
                <c:pt idx="335">
                  <c:v>501.5</c:v>
                </c:pt>
                <c:pt idx="336">
                  <c:v>501.4</c:v>
                </c:pt>
                <c:pt idx="337">
                  <c:v>499.5</c:v>
                </c:pt>
                <c:pt idx="338">
                  <c:v>499.7</c:v>
                </c:pt>
                <c:pt idx="339">
                  <c:v>498.5</c:v>
                </c:pt>
                <c:pt idx="340">
                  <c:v>498.6</c:v>
                </c:pt>
                <c:pt idx="341">
                  <c:v>498.6</c:v>
                </c:pt>
                <c:pt idx="342">
                  <c:v>498.6</c:v>
                </c:pt>
                <c:pt idx="343">
                  <c:v>498.6</c:v>
                </c:pt>
                <c:pt idx="344">
                  <c:v>498.5</c:v>
                </c:pt>
                <c:pt idx="345">
                  <c:v>498.5</c:v>
                </c:pt>
                <c:pt idx="346">
                  <c:v>498.6</c:v>
                </c:pt>
                <c:pt idx="347">
                  <c:v>500.2</c:v>
                </c:pt>
                <c:pt idx="348">
                  <c:v>498.5</c:v>
                </c:pt>
                <c:pt idx="349">
                  <c:v>501</c:v>
                </c:pt>
                <c:pt idx="350">
                  <c:v>504.1</c:v>
                </c:pt>
                <c:pt idx="351">
                  <c:v>503.4</c:v>
                </c:pt>
                <c:pt idx="352">
                  <c:v>498.2</c:v>
                </c:pt>
                <c:pt idx="353">
                  <c:v>500</c:v>
                </c:pt>
                <c:pt idx="354">
                  <c:v>499.2</c:v>
                </c:pt>
                <c:pt idx="355">
                  <c:v>501.5</c:v>
                </c:pt>
                <c:pt idx="356">
                  <c:v>501.7</c:v>
                </c:pt>
                <c:pt idx="357">
                  <c:v>500.3</c:v>
                </c:pt>
                <c:pt idx="358">
                  <c:v>500.2</c:v>
                </c:pt>
                <c:pt idx="359">
                  <c:v>501</c:v>
                </c:pt>
                <c:pt idx="360">
                  <c:v>499.2</c:v>
                </c:pt>
                <c:pt idx="361">
                  <c:v>499</c:v>
                </c:pt>
                <c:pt idx="362">
                  <c:v>499.5</c:v>
                </c:pt>
                <c:pt idx="363">
                  <c:v>499.4</c:v>
                </c:pt>
                <c:pt idx="364">
                  <c:v>500.6</c:v>
                </c:pt>
                <c:pt idx="365">
                  <c:v>500.5</c:v>
                </c:pt>
                <c:pt idx="366">
                  <c:v>499.5</c:v>
                </c:pt>
                <c:pt idx="367">
                  <c:v>499.5</c:v>
                </c:pt>
                <c:pt idx="368">
                  <c:v>499.58</c:v>
                </c:pt>
                <c:pt idx="369">
                  <c:v>499.6</c:v>
                </c:pt>
                <c:pt idx="370">
                  <c:v>499.5</c:v>
                </c:pt>
                <c:pt idx="371">
                  <c:v>499.4</c:v>
                </c:pt>
                <c:pt idx="372">
                  <c:v>499.4</c:v>
                </c:pt>
                <c:pt idx="373">
                  <c:v>499.3</c:v>
                </c:pt>
                <c:pt idx="374">
                  <c:v>499.2</c:v>
                </c:pt>
                <c:pt idx="375">
                  <c:v>499.1</c:v>
                </c:pt>
                <c:pt idx="376">
                  <c:v>499</c:v>
                </c:pt>
                <c:pt idx="377">
                  <c:v>499.5</c:v>
                </c:pt>
                <c:pt idx="378">
                  <c:v>499.6</c:v>
                </c:pt>
                <c:pt idx="379">
                  <c:v>499.3</c:v>
                </c:pt>
                <c:pt idx="380">
                  <c:v>499.3</c:v>
                </c:pt>
                <c:pt idx="381">
                  <c:v>499.2</c:v>
                </c:pt>
                <c:pt idx="382">
                  <c:v>499.5</c:v>
                </c:pt>
                <c:pt idx="383">
                  <c:v>499.2</c:v>
                </c:pt>
                <c:pt idx="384">
                  <c:v>499.4</c:v>
                </c:pt>
                <c:pt idx="385">
                  <c:v>499.4</c:v>
                </c:pt>
                <c:pt idx="386">
                  <c:v>499.4</c:v>
                </c:pt>
                <c:pt idx="387">
                  <c:v>499.4</c:v>
                </c:pt>
                <c:pt idx="388">
                  <c:v>499.6</c:v>
                </c:pt>
                <c:pt idx="389">
                  <c:v>499.5</c:v>
                </c:pt>
                <c:pt idx="390">
                  <c:v>499.6</c:v>
                </c:pt>
                <c:pt idx="391">
                  <c:v>499.5</c:v>
                </c:pt>
                <c:pt idx="392">
                  <c:v>499</c:v>
                </c:pt>
                <c:pt idx="393">
                  <c:v>499.4</c:v>
                </c:pt>
                <c:pt idx="394">
                  <c:v>499.5</c:v>
                </c:pt>
                <c:pt idx="395">
                  <c:v>499.6</c:v>
                </c:pt>
                <c:pt idx="396">
                  <c:v>499.4</c:v>
                </c:pt>
                <c:pt idx="397">
                  <c:v>499.4</c:v>
                </c:pt>
                <c:pt idx="398">
                  <c:v>499.5</c:v>
                </c:pt>
                <c:pt idx="399">
                  <c:v>499.4</c:v>
                </c:pt>
                <c:pt idx="400">
                  <c:v>501.5</c:v>
                </c:pt>
                <c:pt idx="401">
                  <c:v>501.1</c:v>
                </c:pt>
                <c:pt idx="402">
                  <c:v>501</c:v>
                </c:pt>
                <c:pt idx="403">
                  <c:v>500</c:v>
                </c:pt>
                <c:pt idx="404">
                  <c:v>500</c:v>
                </c:pt>
                <c:pt idx="405">
                  <c:v>499.5</c:v>
                </c:pt>
                <c:pt idx="406">
                  <c:v>499.5</c:v>
                </c:pt>
                <c:pt idx="407">
                  <c:v>499.4</c:v>
                </c:pt>
                <c:pt idx="408">
                  <c:v>499.5</c:v>
                </c:pt>
                <c:pt idx="409">
                  <c:v>499.4</c:v>
                </c:pt>
                <c:pt idx="410">
                  <c:v>499</c:v>
                </c:pt>
                <c:pt idx="411">
                  <c:v>499.5</c:v>
                </c:pt>
                <c:pt idx="412">
                  <c:v>499.4</c:v>
                </c:pt>
                <c:pt idx="413">
                  <c:v>499.6</c:v>
                </c:pt>
                <c:pt idx="414">
                  <c:v>499.4</c:v>
                </c:pt>
                <c:pt idx="415">
                  <c:v>499.4</c:v>
                </c:pt>
                <c:pt idx="416">
                  <c:v>499.5</c:v>
                </c:pt>
                <c:pt idx="417">
                  <c:v>499.6</c:v>
                </c:pt>
                <c:pt idx="418">
                  <c:v>499.5</c:v>
                </c:pt>
                <c:pt idx="419">
                  <c:v>500.05</c:v>
                </c:pt>
                <c:pt idx="420">
                  <c:v>500.1</c:v>
                </c:pt>
                <c:pt idx="421">
                  <c:v>500.15</c:v>
                </c:pt>
                <c:pt idx="422">
                  <c:v>500</c:v>
                </c:pt>
                <c:pt idx="423">
                  <c:v>501.7</c:v>
                </c:pt>
                <c:pt idx="424">
                  <c:v>501.2</c:v>
                </c:pt>
                <c:pt idx="425">
                  <c:v>500.3</c:v>
                </c:pt>
                <c:pt idx="426">
                  <c:v>500.5</c:v>
                </c:pt>
                <c:pt idx="427">
                  <c:v>497.5</c:v>
                </c:pt>
                <c:pt idx="428">
                  <c:v>499.3</c:v>
                </c:pt>
                <c:pt idx="429">
                  <c:v>499.5</c:v>
                </c:pt>
                <c:pt idx="430">
                  <c:v>499.6</c:v>
                </c:pt>
                <c:pt idx="431">
                  <c:v>499.7</c:v>
                </c:pt>
                <c:pt idx="432">
                  <c:v>499.6</c:v>
                </c:pt>
                <c:pt idx="433">
                  <c:v>499.4</c:v>
                </c:pt>
                <c:pt idx="434">
                  <c:v>499.9</c:v>
                </c:pt>
                <c:pt idx="435">
                  <c:v>499.9</c:v>
                </c:pt>
                <c:pt idx="436">
                  <c:v>499.8</c:v>
                </c:pt>
                <c:pt idx="437">
                  <c:v>499.9</c:v>
                </c:pt>
                <c:pt idx="438">
                  <c:v>499.9</c:v>
                </c:pt>
                <c:pt idx="439">
                  <c:v>499.7</c:v>
                </c:pt>
                <c:pt idx="440">
                  <c:v>500.55</c:v>
                </c:pt>
                <c:pt idx="441">
                  <c:v>499</c:v>
                </c:pt>
                <c:pt idx="442">
                  <c:v>499</c:v>
                </c:pt>
                <c:pt idx="443">
                  <c:v>500.2</c:v>
                </c:pt>
                <c:pt idx="444">
                  <c:v>500.2</c:v>
                </c:pt>
                <c:pt idx="445">
                  <c:v>500.1</c:v>
                </c:pt>
                <c:pt idx="446">
                  <c:v>501.45</c:v>
                </c:pt>
                <c:pt idx="447">
                  <c:v>501.08</c:v>
                </c:pt>
                <c:pt idx="448">
                  <c:v>501.2</c:v>
                </c:pt>
                <c:pt idx="449">
                  <c:v>500.8</c:v>
                </c:pt>
                <c:pt idx="450">
                  <c:v>500.9</c:v>
                </c:pt>
                <c:pt idx="451">
                  <c:v>500.8</c:v>
                </c:pt>
                <c:pt idx="452">
                  <c:v>499.4</c:v>
                </c:pt>
                <c:pt idx="453">
                  <c:v>499.5</c:v>
                </c:pt>
                <c:pt idx="454">
                  <c:v>499.6</c:v>
                </c:pt>
                <c:pt idx="455">
                  <c:v>500.4</c:v>
                </c:pt>
                <c:pt idx="456">
                  <c:v>500.3</c:v>
                </c:pt>
                <c:pt idx="457">
                  <c:v>500.2</c:v>
                </c:pt>
                <c:pt idx="458">
                  <c:v>500.5</c:v>
                </c:pt>
                <c:pt idx="459">
                  <c:v>499.4</c:v>
                </c:pt>
                <c:pt idx="460">
                  <c:v>499.7</c:v>
                </c:pt>
                <c:pt idx="461">
                  <c:v>499.5</c:v>
                </c:pt>
                <c:pt idx="462">
                  <c:v>499.8</c:v>
                </c:pt>
                <c:pt idx="463">
                  <c:v>499.9</c:v>
                </c:pt>
                <c:pt idx="464">
                  <c:v>500.5</c:v>
                </c:pt>
                <c:pt idx="465">
                  <c:v>500.5</c:v>
                </c:pt>
                <c:pt idx="466">
                  <c:v>500.45</c:v>
                </c:pt>
                <c:pt idx="467">
                  <c:v>500</c:v>
                </c:pt>
                <c:pt idx="468">
                  <c:v>500.45</c:v>
                </c:pt>
                <c:pt idx="469">
                  <c:v>500.1</c:v>
                </c:pt>
                <c:pt idx="470">
                  <c:v>500</c:v>
                </c:pt>
                <c:pt idx="471">
                  <c:v>500.1</c:v>
                </c:pt>
                <c:pt idx="472">
                  <c:v>500.1</c:v>
                </c:pt>
                <c:pt idx="473">
                  <c:v>500.2</c:v>
                </c:pt>
                <c:pt idx="474">
                  <c:v>500.2</c:v>
                </c:pt>
                <c:pt idx="475">
                  <c:v>500.45</c:v>
                </c:pt>
                <c:pt idx="476">
                  <c:v>500.45</c:v>
                </c:pt>
                <c:pt idx="477">
                  <c:v>500.45</c:v>
                </c:pt>
                <c:pt idx="478">
                  <c:v>500.45</c:v>
                </c:pt>
                <c:pt idx="479">
                  <c:v>500.45</c:v>
                </c:pt>
                <c:pt idx="480">
                  <c:v>504.1</c:v>
                </c:pt>
                <c:pt idx="481">
                  <c:v>504.1</c:v>
                </c:pt>
                <c:pt idx="482">
                  <c:v>504.1</c:v>
                </c:pt>
                <c:pt idx="483">
                  <c:v>504</c:v>
                </c:pt>
                <c:pt idx="484">
                  <c:v>503.9</c:v>
                </c:pt>
                <c:pt idx="485">
                  <c:v>503.8</c:v>
                </c:pt>
                <c:pt idx="486">
                  <c:v>503.6</c:v>
                </c:pt>
                <c:pt idx="487">
                  <c:v>504</c:v>
                </c:pt>
                <c:pt idx="488">
                  <c:v>503.8</c:v>
                </c:pt>
                <c:pt idx="489">
                  <c:v>503.5</c:v>
                </c:pt>
                <c:pt idx="490">
                  <c:v>503.4</c:v>
                </c:pt>
                <c:pt idx="491">
                  <c:v>504.1</c:v>
                </c:pt>
                <c:pt idx="492">
                  <c:v>504</c:v>
                </c:pt>
                <c:pt idx="493">
                  <c:v>498.5</c:v>
                </c:pt>
                <c:pt idx="494">
                  <c:v>498.3</c:v>
                </c:pt>
                <c:pt idx="495">
                  <c:v>504.5</c:v>
                </c:pt>
                <c:pt idx="496">
                  <c:v>504.6</c:v>
                </c:pt>
                <c:pt idx="497">
                  <c:v>504.6</c:v>
                </c:pt>
                <c:pt idx="498">
                  <c:v>504.6</c:v>
                </c:pt>
                <c:pt idx="499">
                  <c:v>504.5</c:v>
                </c:pt>
                <c:pt idx="500">
                  <c:v>504.55</c:v>
                </c:pt>
                <c:pt idx="501">
                  <c:v>500.45</c:v>
                </c:pt>
                <c:pt idx="502">
                  <c:v>504.6</c:v>
                </c:pt>
                <c:pt idx="503">
                  <c:v>504.6</c:v>
                </c:pt>
                <c:pt idx="504">
                  <c:v>504.5</c:v>
                </c:pt>
                <c:pt idx="505">
                  <c:v>507</c:v>
                </c:pt>
                <c:pt idx="506">
                  <c:v>507.2</c:v>
                </c:pt>
                <c:pt idx="507">
                  <c:v>507.3</c:v>
                </c:pt>
                <c:pt idx="508">
                  <c:v>511</c:v>
                </c:pt>
                <c:pt idx="509">
                  <c:v>504.25</c:v>
                </c:pt>
                <c:pt idx="510">
                  <c:v>508.5</c:v>
                </c:pt>
                <c:pt idx="511">
                  <c:v>507</c:v>
                </c:pt>
                <c:pt idx="512">
                  <c:v>512.70000000000005</c:v>
                </c:pt>
                <c:pt idx="513">
                  <c:v>507.1</c:v>
                </c:pt>
                <c:pt idx="514">
                  <c:v>507</c:v>
                </c:pt>
                <c:pt idx="515">
                  <c:v>504.6</c:v>
                </c:pt>
                <c:pt idx="516">
                  <c:v>501.12</c:v>
                </c:pt>
                <c:pt idx="517">
                  <c:v>504.6</c:v>
                </c:pt>
                <c:pt idx="518">
                  <c:v>504.5</c:v>
                </c:pt>
                <c:pt idx="519">
                  <c:v>501.3</c:v>
                </c:pt>
                <c:pt idx="520">
                  <c:v>505.1</c:v>
                </c:pt>
                <c:pt idx="521">
                  <c:v>499.82</c:v>
                </c:pt>
                <c:pt idx="522">
                  <c:v>504.4</c:v>
                </c:pt>
                <c:pt idx="523">
                  <c:v>504.3</c:v>
                </c:pt>
                <c:pt idx="524">
                  <c:v>506.6</c:v>
                </c:pt>
                <c:pt idx="525">
                  <c:v>504.55</c:v>
                </c:pt>
                <c:pt idx="526">
                  <c:v>504.6</c:v>
                </c:pt>
                <c:pt idx="527">
                  <c:v>504.55</c:v>
                </c:pt>
                <c:pt idx="528">
                  <c:v>504.55</c:v>
                </c:pt>
                <c:pt idx="529">
                  <c:v>506.1</c:v>
                </c:pt>
                <c:pt idx="530">
                  <c:v>501.5</c:v>
                </c:pt>
                <c:pt idx="531">
                  <c:v>505</c:v>
                </c:pt>
                <c:pt idx="532">
                  <c:v>499</c:v>
                </c:pt>
                <c:pt idx="533">
                  <c:v>502.95</c:v>
                </c:pt>
                <c:pt idx="534">
                  <c:v>507.1</c:v>
                </c:pt>
                <c:pt idx="535">
                  <c:v>507</c:v>
                </c:pt>
                <c:pt idx="536">
                  <c:v>507.1</c:v>
                </c:pt>
                <c:pt idx="537">
                  <c:v>500.76</c:v>
                </c:pt>
                <c:pt idx="538">
                  <c:v>499.35</c:v>
                </c:pt>
                <c:pt idx="539">
                  <c:v>499</c:v>
                </c:pt>
                <c:pt idx="540">
                  <c:v>499</c:v>
                </c:pt>
                <c:pt idx="541">
                  <c:v>498.9</c:v>
                </c:pt>
                <c:pt idx="542">
                  <c:v>498.5</c:v>
                </c:pt>
                <c:pt idx="543">
                  <c:v>505</c:v>
                </c:pt>
                <c:pt idx="544">
                  <c:v>505</c:v>
                </c:pt>
                <c:pt idx="545">
                  <c:v>505</c:v>
                </c:pt>
                <c:pt idx="546">
                  <c:v>504.8</c:v>
                </c:pt>
                <c:pt idx="547">
                  <c:v>504.7</c:v>
                </c:pt>
                <c:pt idx="548">
                  <c:v>504.5</c:v>
                </c:pt>
                <c:pt idx="549">
                  <c:v>504.5</c:v>
                </c:pt>
                <c:pt idx="550">
                  <c:v>505.1</c:v>
                </c:pt>
                <c:pt idx="551">
                  <c:v>505</c:v>
                </c:pt>
                <c:pt idx="552">
                  <c:v>505</c:v>
                </c:pt>
                <c:pt idx="553">
                  <c:v>504.8</c:v>
                </c:pt>
                <c:pt idx="554">
                  <c:v>504.7</c:v>
                </c:pt>
                <c:pt idx="555">
                  <c:v>504.55</c:v>
                </c:pt>
                <c:pt idx="556">
                  <c:v>504.5</c:v>
                </c:pt>
                <c:pt idx="557">
                  <c:v>504.5</c:v>
                </c:pt>
                <c:pt idx="558">
                  <c:v>500</c:v>
                </c:pt>
                <c:pt idx="559">
                  <c:v>504.5</c:v>
                </c:pt>
                <c:pt idx="560">
                  <c:v>504.5</c:v>
                </c:pt>
                <c:pt idx="561">
                  <c:v>497.9</c:v>
                </c:pt>
                <c:pt idx="562">
                  <c:v>497.7</c:v>
                </c:pt>
                <c:pt idx="563">
                  <c:v>498.9</c:v>
                </c:pt>
                <c:pt idx="564">
                  <c:v>498.8</c:v>
                </c:pt>
                <c:pt idx="565">
                  <c:v>498.6</c:v>
                </c:pt>
                <c:pt idx="566">
                  <c:v>498.5</c:v>
                </c:pt>
                <c:pt idx="567">
                  <c:v>498.4</c:v>
                </c:pt>
                <c:pt idx="568">
                  <c:v>498.3</c:v>
                </c:pt>
                <c:pt idx="569">
                  <c:v>498.8</c:v>
                </c:pt>
                <c:pt idx="570">
                  <c:v>488.95</c:v>
                </c:pt>
                <c:pt idx="571">
                  <c:v>498.4</c:v>
                </c:pt>
                <c:pt idx="572">
                  <c:v>498.3</c:v>
                </c:pt>
                <c:pt idx="573">
                  <c:v>498.25</c:v>
                </c:pt>
                <c:pt idx="574">
                  <c:v>498</c:v>
                </c:pt>
                <c:pt idx="575">
                  <c:v>497.8</c:v>
                </c:pt>
                <c:pt idx="576">
                  <c:v>497.6</c:v>
                </c:pt>
                <c:pt idx="577">
                  <c:v>497.55</c:v>
                </c:pt>
                <c:pt idx="578">
                  <c:v>497.5</c:v>
                </c:pt>
                <c:pt idx="579">
                  <c:v>497.3</c:v>
                </c:pt>
                <c:pt idx="580">
                  <c:v>497.2</c:v>
                </c:pt>
                <c:pt idx="581">
                  <c:v>497</c:v>
                </c:pt>
                <c:pt idx="582">
                  <c:v>496.88</c:v>
                </c:pt>
                <c:pt idx="583">
                  <c:v>496.8</c:v>
                </c:pt>
                <c:pt idx="584">
                  <c:v>496.55</c:v>
                </c:pt>
                <c:pt idx="585">
                  <c:v>496.4</c:v>
                </c:pt>
                <c:pt idx="586">
                  <c:v>496.2</c:v>
                </c:pt>
                <c:pt idx="587">
                  <c:v>496</c:v>
                </c:pt>
                <c:pt idx="588">
                  <c:v>495.9</c:v>
                </c:pt>
                <c:pt idx="589">
                  <c:v>495.9</c:v>
                </c:pt>
                <c:pt idx="590">
                  <c:v>500.9</c:v>
                </c:pt>
                <c:pt idx="591">
                  <c:v>500.75</c:v>
                </c:pt>
                <c:pt idx="592">
                  <c:v>500.7</c:v>
                </c:pt>
                <c:pt idx="593">
                  <c:v>500.65</c:v>
                </c:pt>
                <c:pt idx="594">
                  <c:v>500.65</c:v>
                </c:pt>
                <c:pt idx="595">
                  <c:v>500.5</c:v>
                </c:pt>
                <c:pt idx="596">
                  <c:v>500.3</c:v>
                </c:pt>
                <c:pt idx="597">
                  <c:v>500.8</c:v>
                </c:pt>
                <c:pt idx="598">
                  <c:v>500.6</c:v>
                </c:pt>
                <c:pt idx="599">
                  <c:v>500.5</c:v>
                </c:pt>
                <c:pt idx="600">
                  <c:v>500.4</c:v>
                </c:pt>
                <c:pt idx="601">
                  <c:v>500.3</c:v>
                </c:pt>
                <c:pt idx="602">
                  <c:v>500</c:v>
                </c:pt>
                <c:pt idx="603">
                  <c:v>499.8</c:v>
                </c:pt>
                <c:pt idx="604">
                  <c:v>499.6</c:v>
                </c:pt>
                <c:pt idx="605">
                  <c:v>499.5</c:v>
                </c:pt>
                <c:pt idx="606">
                  <c:v>499</c:v>
                </c:pt>
                <c:pt idx="607">
                  <c:v>500.2</c:v>
                </c:pt>
                <c:pt idx="608">
                  <c:v>499.9</c:v>
                </c:pt>
                <c:pt idx="609">
                  <c:v>501.02</c:v>
                </c:pt>
                <c:pt idx="610">
                  <c:v>500.7</c:v>
                </c:pt>
                <c:pt idx="611">
                  <c:v>500.5</c:v>
                </c:pt>
                <c:pt idx="612">
                  <c:v>503.4</c:v>
                </c:pt>
                <c:pt idx="613">
                  <c:v>503.1</c:v>
                </c:pt>
                <c:pt idx="614">
                  <c:v>504</c:v>
                </c:pt>
                <c:pt idx="615">
                  <c:v>510.5</c:v>
                </c:pt>
                <c:pt idx="616">
                  <c:v>510.3</c:v>
                </c:pt>
                <c:pt idx="617">
                  <c:v>510.2</c:v>
                </c:pt>
                <c:pt idx="618">
                  <c:v>510.05</c:v>
                </c:pt>
                <c:pt idx="619">
                  <c:v>510</c:v>
                </c:pt>
                <c:pt idx="620">
                  <c:v>509.9</c:v>
                </c:pt>
                <c:pt idx="621">
                  <c:v>509.6</c:v>
                </c:pt>
                <c:pt idx="622">
                  <c:v>509.5</c:v>
                </c:pt>
                <c:pt idx="623">
                  <c:v>509.4</c:v>
                </c:pt>
                <c:pt idx="624">
                  <c:v>509.2</c:v>
                </c:pt>
                <c:pt idx="625">
                  <c:v>508.95</c:v>
                </c:pt>
                <c:pt idx="626">
                  <c:v>508.9</c:v>
                </c:pt>
                <c:pt idx="627">
                  <c:v>508.7</c:v>
                </c:pt>
                <c:pt idx="628">
                  <c:v>508.45</c:v>
                </c:pt>
                <c:pt idx="629">
                  <c:v>508.3</c:v>
                </c:pt>
                <c:pt idx="630">
                  <c:v>508</c:v>
                </c:pt>
                <c:pt idx="631">
                  <c:v>507.7</c:v>
                </c:pt>
                <c:pt idx="632">
                  <c:v>507.5</c:v>
                </c:pt>
                <c:pt idx="633">
                  <c:v>507.5</c:v>
                </c:pt>
                <c:pt idx="634">
                  <c:v>507.5</c:v>
                </c:pt>
                <c:pt idx="635">
                  <c:v>507.5</c:v>
                </c:pt>
                <c:pt idx="636">
                  <c:v>507.5</c:v>
                </c:pt>
                <c:pt idx="637">
                  <c:v>543.5</c:v>
                </c:pt>
                <c:pt idx="638">
                  <c:v>545</c:v>
                </c:pt>
                <c:pt idx="639">
                  <c:v>545</c:v>
                </c:pt>
                <c:pt idx="640">
                  <c:v>545</c:v>
                </c:pt>
                <c:pt idx="641">
                  <c:v>554</c:v>
                </c:pt>
                <c:pt idx="642">
                  <c:v>559.5</c:v>
                </c:pt>
                <c:pt idx="643">
                  <c:v>558.5</c:v>
                </c:pt>
                <c:pt idx="644">
                  <c:v>558.29999999999995</c:v>
                </c:pt>
                <c:pt idx="645">
                  <c:v>558.1</c:v>
                </c:pt>
                <c:pt idx="646">
                  <c:v>558</c:v>
                </c:pt>
                <c:pt idx="647">
                  <c:v>538.5</c:v>
                </c:pt>
                <c:pt idx="648">
                  <c:v>537.5</c:v>
                </c:pt>
                <c:pt idx="649">
                  <c:v>537.5</c:v>
                </c:pt>
                <c:pt idx="650">
                  <c:v>537.35</c:v>
                </c:pt>
                <c:pt idx="651">
                  <c:v>537.25</c:v>
                </c:pt>
                <c:pt idx="652">
                  <c:v>536.5</c:v>
                </c:pt>
                <c:pt idx="653">
                  <c:v>535.9</c:v>
                </c:pt>
                <c:pt idx="654">
                  <c:v>535.70000000000005</c:v>
                </c:pt>
                <c:pt idx="655">
                  <c:v>535.54999999999995</c:v>
                </c:pt>
                <c:pt idx="656">
                  <c:v>545.5</c:v>
                </c:pt>
                <c:pt idx="657">
                  <c:v>545.79999999999995</c:v>
                </c:pt>
                <c:pt idx="658">
                  <c:v>545.6</c:v>
                </c:pt>
                <c:pt idx="659">
                  <c:v>545.5</c:v>
                </c:pt>
                <c:pt idx="660">
                  <c:v>545.4</c:v>
                </c:pt>
                <c:pt idx="661">
                  <c:v>545</c:v>
                </c:pt>
                <c:pt idx="662">
                  <c:v>551.95000000000005</c:v>
                </c:pt>
                <c:pt idx="663">
                  <c:v>551.79999999999995</c:v>
                </c:pt>
                <c:pt idx="664">
                  <c:v>550</c:v>
                </c:pt>
                <c:pt idx="665">
                  <c:v>549.9</c:v>
                </c:pt>
                <c:pt idx="666">
                  <c:v>549.6</c:v>
                </c:pt>
                <c:pt idx="667">
                  <c:v>549.5</c:v>
                </c:pt>
                <c:pt idx="668">
                  <c:v>549.5</c:v>
                </c:pt>
                <c:pt idx="669">
                  <c:v>549.5</c:v>
                </c:pt>
                <c:pt idx="670">
                  <c:v>549.5</c:v>
                </c:pt>
                <c:pt idx="671">
                  <c:v>549.29999999999995</c:v>
                </c:pt>
                <c:pt idx="672">
                  <c:v>549.25</c:v>
                </c:pt>
                <c:pt idx="673">
                  <c:v>548.5</c:v>
                </c:pt>
                <c:pt idx="674">
                  <c:v>548.5</c:v>
                </c:pt>
                <c:pt idx="675">
                  <c:v>548.5</c:v>
                </c:pt>
                <c:pt idx="676">
                  <c:v>548.5</c:v>
                </c:pt>
                <c:pt idx="677">
                  <c:v>548.1</c:v>
                </c:pt>
                <c:pt idx="678">
                  <c:v>548.04999999999995</c:v>
                </c:pt>
                <c:pt idx="679">
                  <c:v>548</c:v>
                </c:pt>
                <c:pt idx="680">
                  <c:v>552.15</c:v>
                </c:pt>
                <c:pt idx="681">
                  <c:v>552</c:v>
                </c:pt>
                <c:pt idx="682">
                  <c:v>552.29999999999995</c:v>
                </c:pt>
                <c:pt idx="683">
                  <c:v>553.70000000000005</c:v>
                </c:pt>
                <c:pt idx="684">
                  <c:v>554.35</c:v>
                </c:pt>
                <c:pt idx="685">
                  <c:v>554.20000000000005</c:v>
                </c:pt>
                <c:pt idx="686">
                  <c:v>554.1</c:v>
                </c:pt>
                <c:pt idx="687">
                  <c:v>554.1</c:v>
                </c:pt>
                <c:pt idx="688">
                  <c:v>554.1</c:v>
                </c:pt>
                <c:pt idx="689">
                  <c:v>553.1</c:v>
                </c:pt>
                <c:pt idx="690">
                  <c:v>552.79999999999995</c:v>
                </c:pt>
                <c:pt idx="691">
                  <c:v>551.79999999999995</c:v>
                </c:pt>
                <c:pt idx="692">
                  <c:v>551.9</c:v>
                </c:pt>
                <c:pt idx="693">
                  <c:v>552.1</c:v>
                </c:pt>
                <c:pt idx="694">
                  <c:v>552.9</c:v>
                </c:pt>
                <c:pt idx="695">
                  <c:v>552.5</c:v>
                </c:pt>
                <c:pt idx="696">
                  <c:v>552.5</c:v>
                </c:pt>
                <c:pt idx="697">
                  <c:v>552.5</c:v>
                </c:pt>
                <c:pt idx="698">
                  <c:v>552.70000000000005</c:v>
                </c:pt>
                <c:pt idx="699">
                  <c:v>552.5</c:v>
                </c:pt>
                <c:pt idx="700">
                  <c:v>552.5</c:v>
                </c:pt>
                <c:pt idx="701">
                  <c:v>553.29999999999995</c:v>
                </c:pt>
                <c:pt idx="702">
                  <c:v>552.95000000000005</c:v>
                </c:pt>
                <c:pt idx="703">
                  <c:v>554.1</c:v>
                </c:pt>
                <c:pt idx="704">
                  <c:v>554.29999999999995</c:v>
                </c:pt>
                <c:pt idx="705">
                  <c:v>554.45000000000005</c:v>
                </c:pt>
                <c:pt idx="706">
                  <c:v>554.29999999999995</c:v>
                </c:pt>
                <c:pt idx="707">
                  <c:v>554.20000000000005</c:v>
                </c:pt>
                <c:pt idx="708">
                  <c:v>554.5</c:v>
                </c:pt>
                <c:pt idx="709">
                  <c:v>555.4</c:v>
                </c:pt>
                <c:pt idx="710">
                  <c:v>557.54999999999995</c:v>
                </c:pt>
                <c:pt idx="711">
                  <c:v>557.29999999999995</c:v>
                </c:pt>
                <c:pt idx="712">
                  <c:v>557.25</c:v>
                </c:pt>
                <c:pt idx="713">
                  <c:v>554.9</c:v>
                </c:pt>
                <c:pt idx="714">
                  <c:v>555</c:v>
                </c:pt>
                <c:pt idx="715">
                  <c:v>553.6</c:v>
                </c:pt>
                <c:pt idx="716">
                  <c:v>553.23</c:v>
                </c:pt>
                <c:pt idx="717">
                  <c:v>547.6</c:v>
                </c:pt>
                <c:pt idx="718">
                  <c:v>547.5</c:v>
                </c:pt>
                <c:pt idx="719">
                  <c:v>547.5</c:v>
                </c:pt>
                <c:pt idx="720">
                  <c:v>544.51</c:v>
                </c:pt>
                <c:pt idx="721">
                  <c:v>544.51</c:v>
                </c:pt>
                <c:pt idx="722">
                  <c:v>543.12</c:v>
                </c:pt>
                <c:pt idx="723">
                  <c:v>542.97</c:v>
                </c:pt>
                <c:pt idx="724">
                  <c:v>541.76</c:v>
                </c:pt>
                <c:pt idx="725">
                  <c:v>540.38</c:v>
                </c:pt>
                <c:pt idx="726">
                  <c:v>539.52</c:v>
                </c:pt>
                <c:pt idx="727">
                  <c:v>539.52</c:v>
                </c:pt>
                <c:pt idx="728">
                  <c:v>539.58000000000004</c:v>
                </c:pt>
                <c:pt idx="729">
                  <c:v>539.51</c:v>
                </c:pt>
                <c:pt idx="730">
                  <c:v>539.5</c:v>
                </c:pt>
                <c:pt idx="731">
                  <c:v>539.5</c:v>
                </c:pt>
                <c:pt idx="732">
                  <c:v>541.5</c:v>
                </c:pt>
                <c:pt idx="733">
                  <c:v>537.28</c:v>
                </c:pt>
                <c:pt idx="734">
                  <c:v>541.96</c:v>
                </c:pt>
                <c:pt idx="735">
                  <c:v>537.25</c:v>
                </c:pt>
                <c:pt idx="736">
                  <c:v>537.24</c:v>
                </c:pt>
                <c:pt idx="737">
                  <c:v>537.32000000000005</c:v>
                </c:pt>
                <c:pt idx="738">
                  <c:v>537.37</c:v>
                </c:pt>
                <c:pt idx="739">
                  <c:v>537.29999999999995</c:v>
                </c:pt>
                <c:pt idx="740">
                  <c:v>537.97</c:v>
                </c:pt>
                <c:pt idx="741">
                  <c:v>537.95000000000005</c:v>
                </c:pt>
                <c:pt idx="742">
                  <c:v>537.9</c:v>
                </c:pt>
                <c:pt idx="743">
                  <c:v>537.9</c:v>
                </c:pt>
                <c:pt idx="744">
                  <c:v>538.58000000000004</c:v>
                </c:pt>
                <c:pt idx="745">
                  <c:v>542.46</c:v>
                </c:pt>
                <c:pt idx="746">
                  <c:v>542.42999999999995</c:v>
                </c:pt>
                <c:pt idx="747">
                  <c:v>542.48</c:v>
                </c:pt>
                <c:pt idx="748">
                  <c:v>542.87</c:v>
                </c:pt>
                <c:pt idx="749">
                  <c:v>543.09</c:v>
                </c:pt>
                <c:pt idx="750">
                  <c:v>540.03</c:v>
                </c:pt>
                <c:pt idx="751">
                  <c:v>543.20000000000005</c:v>
                </c:pt>
                <c:pt idx="752">
                  <c:v>539.82000000000005</c:v>
                </c:pt>
                <c:pt idx="753">
                  <c:v>539.73</c:v>
                </c:pt>
                <c:pt idx="754">
                  <c:v>539.65</c:v>
                </c:pt>
                <c:pt idx="755">
                  <c:v>539.66</c:v>
                </c:pt>
                <c:pt idx="756">
                  <c:v>539.72</c:v>
                </c:pt>
                <c:pt idx="757">
                  <c:v>543.04999999999995</c:v>
                </c:pt>
                <c:pt idx="758">
                  <c:v>543.04999999999995</c:v>
                </c:pt>
                <c:pt idx="759">
                  <c:v>539.69000000000005</c:v>
                </c:pt>
                <c:pt idx="760">
                  <c:v>543.07000000000005</c:v>
                </c:pt>
                <c:pt idx="761">
                  <c:v>543.16999999999996</c:v>
                </c:pt>
                <c:pt idx="762">
                  <c:v>543.19000000000005</c:v>
                </c:pt>
                <c:pt idx="763">
                  <c:v>539.9</c:v>
                </c:pt>
                <c:pt idx="764">
                  <c:v>543.15</c:v>
                </c:pt>
                <c:pt idx="765">
                  <c:v>539.80999999999995</c:v>
                </c:pt>
                <c:pt idx="766">
                  <c:v>543.16</c:v>
                </c:pt>
                <c:pt idx="767">
                  <c:v>539.80999999999995</c:v>
                </c:pt>
                <c:pt idx="768">
                  <c:v>543.16</c:v>
                </c:pt>
                <c:pt idx="769">
                  <c:v>543.16999999999996</c:v>
                </c:pt>
                <c:pt idx="770">
                  <c:v>543.16</c:v>
                </c:pt>
                <c:pt idx="771">
                  <c:v>539.89</c:v>
                </c:pt>
                <c:pt idx="772">
                  <c:v>543.17999999999995</c:v>
                </c:pt>
                <c:pt idx="773">
                  <c:v>543.16999999999996</c:v>
                </c:pt>
                <c:pt idx="774">
                  <c:v>543.17999999999995</c:v>
                </c:pt>
                <c:pt idx="775">
                  <c:v>539.86</c:v>
                </c:pt>
                <c:pt idx="776">
                  <c:v>539.82000000000005</c:v>
                </c:pt>
                <c:pt idx="777">
                  <c:v>539.87</c:v>
                </c:pt>
                <c:pt idx="778">
                  <c:v>539.87</c:v>
                </c:pt>
                <c:pt idx="779">
                  <c:v>539.87</c:v>
                </c:pt>
                <c:pt idx="780">
                  <c:v>539.89</c:v>
                </c:pt>
                <c:pt idx="781">
                  <c:v>539.83000000000004</c:v>
                </c:pt>
                <c:pt idx="782">
                  <c:v>539.83000000000004</c:v>
                </c:pt>
                <c:pt idx="783">
                  <c:v>539.83000000000004</c:v>
                </c:pt>
                <c:pt idx="784">
                  <c:v>539.77</c:v>
                </c:pt>
                <c:pt idx="785">
                  <c:v>538.76</c:v>
                </c:pt>
                <c:pt idx="786">
                  <c:v>538.74</c:v>
                </c:pt>
                <c:pt idx="787">
                  <c:v>539.72</c:v>
                </c:pt>
                <c:pt idx="788">
                  <c:v>538.76</c:v>
                </c:pt>
                <c:pt idx="789">
                  <c:v>538.76</c:v>
                </c:pt>
                <c:pt idx="790">
                  <c:v>539.83000000000004</c:v>
                </c:pt>
                <c:pt idx="791">
                  <c:v>539.79999999999995</c:v>
                </c:pt>
                <c:pt idx="792">
                  <c:v>539.79999999999995</c:v>
                </c:pt>
                <c:pt idx="793">
                  <c:v>539.79</c:v>
                </c:pt>
                <c:pt idx="794">
                  <c:v>539.75</c:v>
                </c:pt>
                <c:pt idx="795">
                  <c:v>539.73</c:v>
                </c:pt>
                <c:pt idx="796">
                  <c:v>539.71</c:v>
                </c:pt>
                <c:pt idx="797">
                  <c:v>539.73</c:v>
                </c:pt>
                <c:pt idx="798">
                  <c:v>539.76</c:v>
                </c:pt>
                <c:pt idx="799">
                  <c:v>538.78</c:v>
                </c:pt>
                <c:pt idx="800">
                  <c:v>539.76</c:v>
                </c:pt>
                <c:pt idx="801">
                  <c:v>538.79999999999995</c:v>
                </c:pt>
                <c:pt idx="802">
                  <c:v>538.79</c:v>
                </c:pt>
                <c:pt idx="803">
                  <c:v>543.26</c:v>
                </c:pt>
                <c:pt idx="804">
                  <c:v>539.75</c:v>
                </c:pt>
                <c:pt idx="805">
                  <c:v>539.75</c:v>
                </c:pt>
                <c:pt idx="806">
                  <c:v>539.63</c:v>
                </c:pt>
                <c:pt idx="807">
                  <c:v>543.01</c:v>
                </c:pt>
                <c:pt idx="808">
                  <c:v>540.6</c:v>
                </c:pt>
                <c:pt idx="809">
                  <c:v>540.5</c:v>
                </c:pt>
                <c:pt idx="810">
                  <c:v>540.70000000000005</c:v>
                </c:pt>
                <c:pt idx="811">
                  <c:v>540.54999999999995</c:v>
                </c:pt>
                <c:pt idx="812">
                  <c:v>540.70000000000005</c:v>
                </c:pt>
                <c:pt idx="813">
                  <c:v>540.79999999999995</c:v>
                </c:pt>
                <c:pt idx="814">
                  <c:v>540.5</c:v>
                </c:pt>
                <c:pt idx="815">
                  <c:v>540.85</c:v>
                </c:pt>
                <c:pt idx="816">
                  <c:v>539.9</c:v>
                </c:pt>
                <c:pt idx="817">
                  <c:v>539.5</c:v>
                </c:pt>
                <c:pt idx="818">
                  <c:v>539.45000000000005</c:v>
                </c:pt>
                <c:pt idx="819">
                  <c:v>539.25</c:v>
                </c:pt>
                <c:pt idx="820">
                  <c:v>539.35</c:v>
                </c:pt>
                <c:pt idx="821">
                  <c:v>539.32000000000005</c:v>
                </c:pt>
                <c:pt idx="822">
                  <c:v>538.54999999999995</c:v>
                </c:pt>
                <c:pt idx="823">
                  <c:v>538.29999999999995</c:v>
                </c:pt>
                <c:pt idx="824">
                  <c:v>537.85</c:v>
                </c:pt>
                <c:pt idx="825">
                  <c:v>537.85</c:v>
                </c:pt>
                <c:pt idx="826">
                  <c:v>537.79999999999995</c:v>
                </c:pt>
                <c:pt idx="827">
                  <c:v>537.79999999999995</c:v>
                </c:pt>
                <c:pt idx="828">
                  <c:v>537.79999999999995</c:v>
                </c:pt>
                <c:pt idx="829">
                  <c:v>537.5</c:v>
                </c:pt>
                <c:pt idx="830">
                  <c:v>537.5</c:v>
                </c:pt>
                <c:pt idx="831">
                  <c:v>537.35</c:v>
                </c:pt>
                <c:pt idx="832">
                  <c:v>537.04999999999995</c:v>
                </c:pt>
                <c:pt idx="833">
                  <c:v>536.15</c:v>
                </c:pt>
                <c:pt idx="834">
                  <c:v>535.75</c:v>
                </c:pt>
                <c:pt idx="835">
                  <c:v>535.6</c:v>
                </c:pt>
                <c:pt idx="836">
                  <c:v>535.5</c:v>
                </c:pt>
                <c:pt idx="837">
                  <c:v>535.29999999999995</c:v>
                </c:pt>
                <c:pt idx="838">
                  <c:v>535.20000000000005</c:v>
                </c:pt>
                <c:pt idx="839">
                  <c:v>535.6</c:v>
                </c:pt>
                <c:pt idx="840">
                  <c:v>535.70000000000005</c:v>
                </c:pt>
                <c:pt idx="841">
                  <c:v>535.65</c:v>
                </c:pt>
                <c:pt idx="842">
                  <c:v>535.65</c:v>
                </c:pt>
                <c:pt idx="843">
                  <c:v>535.65</c:v>
                </c:pt>
                <c:pt idx="844">
                  <c:v>535.6</c:v>
                </c:pt>
                <c:pt idx="845">
                  <c:v>534.6</c:v>
                </c:pt>
                <c:pt idx="846">
                  <c:v>534.6</c:v>
                </c:pt>
                <c:pt idx="847">
                  <c:v>534.54999999999995</c:v>
                </c:pt>
                <c:pt idx="848">
                  <c:v>537.9</c:v>
                </c:pt>
                <c:pt idx="849">
                  <c:v>540.25</c:v>
                </c:pt>
                <c:pt idx="850">
                  <c:v>540.25</c:v>
                </c:pt>
                <c:pt idx="851">
                  <c:v>540.15</c:v>
                </c:pt>
                <c:pt idx="852">
                  <c:v>540.25</c:v>
                </c:pt>
                <c:pt idx="853">
                  <c:v>544.62</c:v>
                </c:pt>
                <c:pt idx="854">
                  <c:v>540.79999999999995</c:v>
                </c:pt>
                <c:pt idx="855">
                  <c:v>540.79999999999995</c:v>
                </c:pt>
                <c:pt idx="856">
                  <c:v>547.5</c:v>
                </c:pt>
                <c:pt idx="857">
                  <c:v>540.70000000000005</c:v>
                </c:pt>
                <c:pt idx="858">
                  <c:v>540.54999999999995</c:v>
                </c:pt>
                <c:pt idx="859">
                  <c:v>540.25</c:v>
                </c:pt>
                <c:pt idx="860">
                  <c:v>540.5</c:v>
                </c:pt>
                <c:pt idx="861">
                  <c:v>540.5</c:v>
                </c:pt>
                <c:pt idx="862">
                  <c:v>540.6</c:v>
                </c:pt>
                <c:pt idx="863">
                  <c:v>540.54999999999995</c:v>
                </c:pt>
                <c:pt idx="864">
                  <c:v>540.54999999999995</c:v>
                </c:pt>
                <c:pt idx="865">
                  <c:v>538</c:v>
                </c:pt>
                <c:pt idx="866">
                  <c:v>537.5</c:v>
                </c:pt>
                <c:pt idx="867">
                  <c:v>537.5</c:v>
                </c:pt>
                <c:pt idx="868">
                  <c:v>537.65</c:v>
                </c:pt>
                <c:pt idx="869">
                  <c:v>537.65</c:v>
                </c:pt>
                <c:pt idx="870">
                  <c:v>537.5</c:v>
                </c:pt>
                <c:pt idx="871">
                  <c:v>537.54999999999995</c:v>
                </c:pt>
                <c:pt idx="872">
                  <c:v>537.29999999999995</c:v>
                </c:pt>
                <c:pt idx="873">
                  <c:v>537.4</c:v>
                </c:pt>
                <c:pt idx="874">
                  <c:v>548.25</c:v>
                </c:pt>
                <c:pt idx="875">
                  <c:v>537.25</c:v>
                </c:pt>
                <c:pt idx="876">
                  <c:v>537.9</c:v>
                </c:pt>
                <c:pt idx="877">
                  <c:v>538.35</c:v>
                </c:pt>
                <c:pt idx="878">
                  <c:v>538.45000000000005</c:v>
                </c:pt>
                <c:pt idx="879">
                  <c:v>538.29999999999995</c:v>
                </c:pt>
                <c:pt idx="880">
                  <c:v>539</c:v>
                </c:pt>
                <c:pt idx="881">
                  <c:v>539.95000000000005</c:v>
                </c:pt>
                <c:pt idx="882">
                  <c:v>539.9</c:v>
                </c:pt>
                <c:pt idx="883">
                  <c:v>544.15</c:v>
                </c:pt>
                <c:pt idx="884">
                  <c:v>544.04999999999995</c:v>
                </c:pt>
                <c:pt idx="885">
                  <c:v>539.54999999999995</c:v>
                </c:pt>
                <c:pt idx="886">
                  <c:v>538.70000000000005</c:v>
                </c:pt>
                <c:pt idx="887">
                  <c:v>538.54999999999995</c:v>
                </c:pt>
                <c:pt idx="888">
                  <c:v>538.29999999999995</c:v>
                </c:pt>
                <c:pt idx="889">
                  <c:v>538.25</c:v>
                </c:pt>
                <c:pt idx="890">
                  <c:v>537.95000000000005</c:v>
                </c:pt>
                <c:pt idx="891">
                  <c:v>537.75</c:v>
                </c:pt>
                <c:pt idx="892">
                  <c:v>537.29999999999995</c:v>
                </c:pt>
                <c:pt idx="893">
                  <c:v>537.25</c:v>
                </c:pt>
                <c:pt idx="894">
                  <c:v>537.20000000000005</c:v>
                </c:pt>
                <c:pt idx="895">
                  <c:v>537.1</c:v>
                </c:pt>
                <c:pt idx="896">
                  <c:v>537</c:v>
                </c:pt>
                <c:pt idx="897">
                  <c:v>536.15</c:v>
                </c:pt>
                <c:pt idx="898">
                  <c:v>536.04999999999995</c:v>
                </c:pt>
                <c:pt idx="899">
                  <c:v>534.70000000000005</c:v>
                </c:pt>
                <c:pt idx="900">
                  <c:v>536</c:v>
                </c:pt>
                <c:pt idx="901">
                  <c:v>535.9</c:v>
                </c:pt>
                <c:pt idx="902">
                  <c:v>536.15</c:v>
                </c:pt>
                <c:pt idx="903">
                  <c:v>536.25</c:v>
                </c:pt>
                <c:pt idx="904">
                  <c:v>536.15</c:v>
                </c:pt>
                <c:pt idx="905">
                  <c:v>536.04999999999995</c:v>
                </c:pt>
                <c:pt idx="906">
                  <c:v>535.04999999999995</c:v>
                </c:pt>
                <c:pt idx="907">
                  <c:v>534.29999999999995</c:v>
                </c:pt>
                <c:pt idx="908">
                  <c:v>534.35</c:v>
                </c:pt>
                <c:pt idx="909">
                  <c:v>541.29999999999995</c:v>
                </c:pt>
                <c:pt idx="910">
                  <c:v>534.1</c:v>
                </c:pt>
                <c:pt idx="911">
                  <c:v>534.04999999999995</c:v>
                </c:pt>
                <c:pt idx="912">
                  <c:v>533.85</c:v>
                </c:pt>
                <c:pt idx="913">
                  <c:v>533.70000000000005</c:v>
                </c:pt>
                <c:pt idx="914">
                  <c:v>533.9</c:v>
                </c:pt>
                <c:pt idx="915">
                  <c:v>533.85</c:v>
                </c:pt>
                <c:pt idx="916">
                  <c:v>533.9</c:v>
                </c:pt>
                <c:pt idx="917">
                  <c:v>533.9</c:v>
                </c:pt>
                <c:pt idx="918">
                  <c:v>534.79999999999995</c:v>
                </c:pt>
                <c:pt idx="919">
                  <c:v>534.79999999999995</c:v>
                </c:pt>
                <c:pt idx="920">
                  <c:v>534.70000000000005</c:v>
                </c:pt>
                <c:pt idx="921">
                  <c:v>534.6</c:v>
                </c:pt>
                <c:pt idx="922">
                  <c:v>534.15</c:v>
                </c:pt>
                <c:pt idx="923">
                  <c:v>534.04999999999995</c:v>
                </c:pt>
                <c:pt idx="924">
                  <c:v>533.95000000000005</c:v>
                </c:pt>
                <c:pt idx="925">
                  <c:v>533.9</c:v>
                </c:pt>
                <c:pt idx="926">
                  <c:v>533.95000000000005</c:v>
                </c:pt>
                <c:pt idx="927">
                  <c:v>533.75</c:v>
                </c:pt>
                <c:pt idx="928">
                  <c:v>534.65</c:v>
                </c:pt>
                <c:pt idx="929">
                  <c:v>531</c:v>
                </c:pt>
                <c:pt idx="930">
                  <c:v>530.75</c:v>
                </c:pt>
                <c:pt idx="931">
                  <c:v>530.4</c:v>
                </c:pt>
                <c:pt idx="932">
                  <c:v>530.29999999999995</c:v>
                </c:pt>
                <c:pt idx="933">
                  <c:v>530.25</c:v>
                </c:pt>
                <c:pt idx="934">
                  <c:v>530.20000000000005</c:v>
                </c:pt>
                <c:pt idx="935">
                  <c:v>530.1</c:v>
                </c:pt>
                <c:pt idx="936">
                  <c:v>530.88</c:v>
                </c:pt>
                <c:pt idx="937">
                  <c:v>531.91999999999996</c:v>
                </c:pt>
                <c:pt idx="938">
                  <c:v>531.20000000000005</c:v>
                </c:pt>
                <c:pt idx="939">
                  <c:v>531.20000000000005</c:v>
                </c:pt>
                <c:pt idx="940">
                  <c:v>532.08000000000004</c:v>
                </c:pt>
                <c:pt idx="941">
                  <c:v>531.29999999999995</c:v>
                </c:pt>
                <c:pt idx="942">
                  <c:v>531.25</c:v>
                </c:pt>
                <c:pt idx="943">
                  <c:v>531.25</c:v>
                </c:pt>
                <c:pt idx="944">
                  <c:v>531.20000000000005</c:v>
                </c:pt>
                <c:pt idx="945">
                  <c:v>531.20000000000005</c:v>
                </c:pt>
                <c:pt idx="946">
                  <c:v>531.17999999999995</c:v>
                </c:pt>
                <c:pt idx="947">
                  <c:v>531.6</c:v>
                </c:pt>
                <c:pt idx="948">
                  <c:v>531.75</c:v>
                </c:pt>
                <c:pt idx="949">
                  <c:v>531.70000000000005</c:v>
                </c:pt>
                <c:pt idx="950">
                  <c:v>531.6</c:v>
                </c:pt>
                <c:pt idx="951">
                  <c:v>531.75</c:v>
                </c:pt>
                <c:pt idx="952">
                  <c:v>531.75</c:v>
                </c:pt>
                <c:pt idx="953">
                  <c:v>531.79999999999995</c:v>
                </c:pt>
                <c:pt idx="954">
                  <c:v>531.75</c:v>
                </c:pt>
                <c:pt idx="955">
                  <c:v>531.70000000000005</c:v>
                </c:pt>
                <c:pt idx="956">
                  <c:v>531.67999999999995</c:v>
                </c:pt>
                <c:pt idx="957">
                  <c:v>531.67999999999995</c:v>
                </c:pt>
                <c:pt idx="958">
                  <c:v>531.65</c:v>
                </c:pt>
                <c:pt idx="959">
                  <c:v>531.6</c:v>
                </c:pt>
                <c:pt idx="960">
                  <c:v>531.5</c:v>
                </c:pt>
                <c:pt idx="961">
                  <c:v>531.4</c:v>
                </c:pt>
                <c:pt idx="962">
                  <c:v>535.20000000000005</c:v>
                </c:pt>
                <c:pt idx="963">
                  <c:v>535.04999999999995</c:v>
                </c:pt>
                <c:pt idx="964">
                  <c:v>535.4</c:v>
                </c:pt>
                <c:pt idx="965">
                  <c:v>535.35</c:v>
                </c:pt>
                <c:pt idx="966">
                  <c:v>535.25</c:v>
                </c:pt>
                <c:pt idx="967">
                  <c:v>536.5</c:v>
                </c:pt>
                <c:pt idx="968">
                  <c:v>535.38</c:v>
                </c:pt>
                <c:pt idx="969">
                  <c:v>535</c:v>
                </c:pt>
                <c:pt idx="970">
                  <c:v>536</c:v>
                </c:pt>
                <c:pt idx="971">
                  <c:v>534.9</c:v>
                </c:pt>
                <c:pt idx="972">
                  <c:v>534.88</c:v>
                </c:pt>
                <c:pt idx="973">
                  <c:v>534.85</c:v>
                </c:pt>
                <c:pt idx="974">
                  <c:v>535.75</c:v>
                </c:pt>
                <c:pt idx="975">
                  <c:v>534.87</c:v>
                </c:pt>
                <c:pt idx="976">
                  <c:v>534.38</c:v>
                </c:pt>
                <c:pt idx="977">
                  <c:v>538.12</c:v>
                </c:pt>
                <c:pt idx="978">
                  <c:v>533.87</c:v>
                </c:pt>
                <c:pt idx="979">
                  <c:v>533.75</c:v>
                </c:pt>
                <c:pt idx="980">
                  <c:v>533.77</c:v>
                </c:pt>
                <c:pt idx="981">
                  <c:v>533.78</c:v>
                </c:pt>
                <c:pt idx="982">
                  <c:v>533.6</c:v>
                </c:pt>
                <c:pt idx="983">
                  <c:v>533.70000000000005</c:v>
                </c:pt>
                <c:pt idx="984">
                  <c:v>536.5</c:v>
                </c:pt>
                <c:pt idx="985">
                  <c:v>533.48</c:v>
                </c:pt>
                <c:pt idx="986">
                  <c:v>533.48</c:v>
                </c:pt>
                <c:pt idx="987">
                  <c:v>534.16999999999996</c:v>
                </c:pt>
                <c:pt idx="988">
                  <c:v>533.42999999999995</c:v>
                </c:pt>
                <c:pt idx="989">
                  <c:v>537.85</c:v>
                </c:pt>
                <c:pt idx="990">
                  <c:v>536.45000000000005</c:v>
                </c:pt>
                <c:pt idx="991">
                  <c:v>533.25</c:v>
                </c:pt>
                <c:pt idx="992">
                  <c:v>533.22</c:v>
                </c:pt>
                <c:pt idx="993">
                  <c:v>533.29999999999995</c:v>
                </c:pt>
                <c:pt idx="994">
                  <c:v>533.29999999999995</c:v>
                </c:pt>
                <c:pt idx="995">
                  <c:v>533.29999999999995</c:v>
                </c:pt>
                <c:pt idx="996">
                  <c:v>533.29999999999995</c:v>
                </c:pt>
                <c:pt idx="997">
                  <c:v>533.25</c:v>
                </c:pt>
                <c:pt idx="998">
                  <c:v>533.35</c:v>
                </c:pt>
                <c:pt idx="999">
                  <c:v>535.4</c:v>
                </c:pt>
                <c:pt idx="1000">
                  <c:v>535.38</c:v>
                </c:pt>
                <c:pt idx="1001">
                  <c:v>536.25</c:v>
                </c:pt>
                <c:pt idx="1002">
                  <c:v>538.16</c:v>
                </c:pt>
                <c:pt idx="1003">
                  <c:v>533.29999999999995</c:v>
                </c:pt>
                <c:pt idx="1004">
                  <c:v>536.15</c:v>
                </c:pt>
                <c:pt idx="1005">
                  <c:v>533.38</c:v>
                </c:pt>
                <c:pt idx="1006">
                  <c:v>533.4</c:v>
                </c:pt>
                <c:pt idx="1007">
                  <c:v>533.29999999999995</c:v>
                </c:pt>
                <c:pt idx="1008">
                  <c:v>533.38</c:v>
                </c:pt>
                <c:pt idx="1009">
                  <c:v>533.29999999999995</c:v>
                </c:pt>
                <c:pt idx="1010">
                  <c:v>536.35</c:v>
                </c:pt>
                <c:pt idx="1011">
                  <c:v>535.95000000000005</c:v>
                </c:pt>
                <c:pt idx="1012">
                  <c:v>533.29999999999995</c:v>
                </c:pt>
                <c:pt idx="1013">
                  <c:v>535.87</c:v>
                </c:pt>
                <c:pt idx="1014">
                  <c:v>533.29999999999995</c:v>
                </c:pt>
                <c:pt idx="1015">
                  <c:v>533.4</c:v>
                </c:pt>
                <c:pt idx="1016">
                  <c:v>533.33000000000004</c:v>
                </c:pt>
                <c:pt idx="1017">
                  <c:v>532.25</c:v>
                </c:pt>
                <c:pt idx="1018">
                  <c:v>532.5</c:v>
                </c:pt>
                <c:pt idx="1019">
                  <c:v>532.35</c:v>
                </c:pt>
                <c:pt idx="1020">
                  <c:v>534.73</c:v>
                </c:pt>
                <c:pt idx="1021">
                  <c:v>532.29999999999995</c:v>
                </c:pt>
                <c:pt idx="1022">
                  <c:v>532.28</c:v>
                </c:pt>
                <c:pt idx="1023">
                  <c:v>532.29999999999995</c:v>
                </c:pt>
                <c:pt idx="1024">
                  <c:v>532.33000000000004</c:v>
                </c:pt>
                <c:pt idx="1025">
                  <c:v>532.38</c:v>
                </c:pt>
                <c:pt idx="1026">
                  <c:v>532.4</c:v>
                </c:pt>
                <c:pt idx="1027">
                  <c:v>534</c:v>
                </c:pt>
                <c:pt idx="1028">
                  <c:v>534.12</c:v>
                </c:pt>
                <c:pt idx="1029">
                  <c:v>534.35</c:v>
                </c:pt>
                <c:pt idx="1030">
                  <c:v>534.45000000000005</c:v>
                </c:pt>
                <c:pt idx="1031">
                  <c:v>536.04999999999995</c:v>
                </c:pt>
                <c:pt idx="1032">
                  <c:v>536.02</c:v>
                </c:pt>
                <c:pt idx="1033">
                  <c:v>538.89</c:v>
                </c:pt>
                <c:pt idx="1034">
                  <c:v>536.44000000000005</c:v>
                </c:pt>
                <c:pt idx="1035">
                  <c:v>536.20000000000005</c:v>
                </c:pt>
                <c:pt idx="1036">
                  <c:v>534.85</c:v>
                </c:pt>
                <c:pt idx="1037">
                  <c:v>534.35</c:v>
                </c:pt>
                <c:pt idx="1038">
                  <c:v>532.54999999999995</c:v>
                </c:pt>
                <c:pt idx="1039">
                  <c:v>532.52</c:v>
                </c:pt>
                <c:pt idx="1040">
                  <c:v>532.38</c:v>
                </c:pt>
                <c:pt idx="1041">
                  <c:v>532.35</c:v>
                </c:pt>
                <c:pt idx="1042">
                  <c:v>532.29999999999995</c:v>
                </c:pt>
                <c:pt idx="1043">
                  <c:v>538.4</c:v>
                </c:pt>
                <c:pt idx="1044">
                  <c:v>538.79999999999995</c:v>
                </c:pt>
                <c:pt idx="1045">
                  <c:v>532.38</c:v>
                </c:pt>
                <c:pt idx="1046">
                  <c:v>532.63</c:v>
                </c:pt>
                <c:pt idx="1047">
                  <c:v>536.15</c:v>
                </c:pt>
                <c:pt idx="1048">
                  <c:v>532.70000000000005</c:v>
                </c:pt>
                <c:pt idx="1049">
                  <c:v>534.95000000000005</c:v>
                </c:pt>
                <c:pt idx="1050">
                  <c:v>534.42999999999995</c:v>
                </c:pt>
                <c:pt idx="1051">
                  <c:v>534.95000000000005</c:v>
                </c:pt>
                <c:pt idx="1052">
                  <c:v>534.91999999999996</c:v>
                </c:pt>
                <c:pt idx="1053">
                  <c:v>538.38</c:v>
                </c:pt>
                <c:pt idx="1054">
                  <c:v>534.05999999999995</c:v>
                </c:pt>
                <c:pt idx="1055">
                  <c:v>533.87</c:v>
                </c:pt>
                <c:pt idx="1056">
                  <c:v>533.99</c:v>
                </c:pt>
                <c:pt idx="1057">
                  <c:v>533.47</c:v>
                </c:pt>
                <c:pt idx="1058">
                  <c:v>535.65</c:v>
                </c:pt>
                <c:pt idx="1059">
                  <c:v>533.41999999999996</c:v>
                </c:pt>
                <c:pt idx="1060">
                  <c:v>536.11</c:v>
                </c:pt>
                <c:pt idx="1061">
                  <c:v>535.1</c:v>
                </c:pt>
                <c:pt idx="1062">
                  <c:v>533</c:v>
                </c:pt>
                <c:pt idx="1063">
                  <c:v>535.41999999999996</c:v>
                </c:pt>
                <c:pt idx="1064">
                  <c:v>535.57000000000005</c:v>
                </c:pt>
                <c:pt idx="1065">
                  <c:v>535.53</c:v>
                </c:pt>
                <c:pt idx="1066">
                  <c:v>533.04999999999995</c:v>
                </c:pt>
                <c:pt idx="1067">
                  <c:v>535.48</c:v>
                </c:pt>
                <c:pt idx="1068">
                  <c:v>533.1</c:v>
                </c:pt>
                <c:pt idx="1069">
                  <c:v>538.15</c:v>
                </c:pt>
                <c:pt idx="1070">
                  <c:v>532.88</c:v>
                </c:pt>
                <c:pt idx="1071">
                  <c:v>536.25</c:v>
                </c:pt>
                <c:pt idx="1072">
                  <c:v>536.04999999999995</c:v>
                </c:pt>
                <c:pt idx="1073">
                  <c:v>535.9</c:v>
                </c:pt>
                <c:pt idx="1074">
                  <c:v>533.03</c:v>
                </c:pt>
                <c:pt idx="1075">
                  <c:v>535.95000000000005</c:v>
                </c:pt>
                <c:pt idx="1076">
                  <c:v>532.95000000000005</c:v>
                </c:pt>
                <c:pt idx="1077">
                  <c:v>532.9</c:v>
                </c:pt>
                <c:pt idx="1078">
                  <c:v>532.88</c:v>
                </c:pt>
                <c:pt idx="1079">
                  <c:v>532.87</c:v>
                </c:pt>
                <c:pt idx="1080">
                  <c:v>532.88</c:v>
                </c:pt>
                <c:pt idx="1081">
                  <c:v>532.91999999999996</c:v>
                </c:pt>
                <c:pt idx="1082">
                  <c:v>529.6</c:v>
                </c:pt>
                <c:pt idx="1083">
                  <c:v>531.91</c:v>
                </c:pt>
                <c:pt idx="1084">
                  <c:v>531.6</c:v>
                </c:pt>
                <c:pt idx="1085">
                  <c:v>531.58000000000004</c:v>
                </c:pt>
                <c:pt idx="1086">
                  <c:v>531.42999999999995</c:v>
                </c:pt>
                <c:pt idx="1087">
                  <c:v>531.4</c:v>
                </c:pt>
                <c:pt idx="1088">
                  <c:v>531.42999999999995</c:v>
                </c:pt>
                <c:pt idx="1089">
                  <c:v>531.4</c:v>
                </c:pt>
                <c:pt idx="1090">
                  <c:v>531.4</c:v>
                </c:pt>
                <c:pt idx="1091">
                  <c:v>531.4</c:v>
                </c:pt>
                <c:pt idx="1092">
                  <c:v>531.04999999999995</c:v>
                </c:pt>
                <c:pt idx="1093">
                  <c:v>533.13</c:v>
                </c:pt>
                <c:pt idx="1094">
                  <c:v>528.66999999999996</c:v>
                </c:pt>
                <c:pt idx="1095">
                  <c:v>528.58000000000004</c:v>
                </c:pt>
                <c:pt idx="1096">
                  <c:v>531.35</c:v>
                </c:pt>
                <c:pt idx="1097">
                  <c:v>531</c:v>
                </c:pt>
                <c:pt idx="1098">
                  <c:v>530.91999999999996</c:v>
                </c:pt>
                <c:pt idx="1099">
                  <c:v>531.28</c:v>
                </c:pt>
                <c:pt idx="1100">
                  <c:v>525.65</c:v>
                </c:pt>
                <c:pt idx="1101">
                  <c:v>531.25</c:v>
                </c:pt>
                <c:pt idx="1102">
                  <c:v>528.62</c:v>
                </c:pt>
                <c:pt idx="1103">
                  <c:v>528.64</c:v>
                </c:pt>
                <c:pt idx="1104">
                  <c:v>531.17999999999995</c:v>
                </c:pt>
                <c:pt idx="1105">
                  <c:v>531.20000000000005</c:v>
                </c:pt>
                <c:pt idx="1106">
                  <c:v>531.32000000000005</c:v>
                </c:pt>
                <c:pt idx="1107">
                  <c:v>533.4</c:v>
                </c:pt>
                <c:pt idx="1108">
                  <c:v>535.04999999999995</c:v>
                </c:pt>
                <c:pt idx="1109">
                  <c:v>535.25</c:v>
                </c:pt>
                <c:pt idx="1110">
                  <c:v>535.42999999999995</c:v>
                </c:pt>
                <c:pt idx="1111">
                  <c:v>535.42999999999995</c:v>
                </c:pt>
                <c:pt idx="1112">
                  <c:v>536.29999999999995</c:v>
                </c:pt>
                <c:pt idx="1113">
                  <c:v>537.33000000000004</c:v>
                </c:pt>
                <c:pt idx="1114">
                  <c:v>537.29999999999995</c:v>
                </c:pt>
                <c:pt idx="1115">
                  <c:v>537.29999999999995</c:v>
                </c:pt>
                <c:pt idx="1116">
                  <c:v>538.4</c:v>
                </c:pt>
                <c:pt idx="1117">
                  <c:v>536.92999999999995</c:v>
                </c:pt>
                <c:pt idx="1118">
                  <c:v>535.76</c:v>
                </c:pt>
                <c:pt idx="1119">
                  <c:v>535.25</c:v>
                </c:pt>
                <c:pt idx="1120">
                  <c:v>535.48</c:v>
                </c:pt>
                <c:pt idx="1121">
                  <c:v>535.45000000000005</c:v>
                </c:pt>
                <c:pt idx="1122">
                  <c:v>534.75</c:v>
                </c:pt>
                <c:pt idx="1123">
                  <c:v>534.32000000000005</c:v>
                </c:pt>
                <c:pt idx="1124">
                  <c:v>533.70000000000005</c:v>
                </c:pt>
                <c:pt idx="1125">
                  <c:v>535.67999999999995</c:v>
                </c:pt>
                <c:pt idx="1126">
                  <c:v>533.74</c:v>
                </c:pt>
                <c:pt idx="1127">
                  <c:v>533.74</c:v>
                </c:pt>
                <c:pt idx="1128">
                  <c:v>533.79999999999995</c:v>
                </c:pt>
                <c:pt idx="1129">
                  <c:v>534</c:v>
                </c:pt>
                <c:pt idx="1130">
                  <c:v>534</c:v>
                </c:pt>
                <c:pt idx="1131">
                  <c:v>534.5</c:v>
                </c:pt>
                <c:pt idx="1132">
                  <c:v>534.77</c:v>
                </c:pt>
                <c:pt idx="1133">
                  <c:v>534.89</c:v>
                </c:pt>
                <c:pt idx="1134">
                  <c:v>535.08000000000004</c:v>
                </c:pt>
                <c:pt idx="1135">
                  <c:v>535.53</c:v>
                </c:pt>
                <c:pt idx="1136">
                  <c:v>536.29</c:v>
                </c:pt>
                <c:pt idx="1137">
                  <c:v>536.86</c:v>
                </c:pt>
                <c:pt idx="1138">
                  <c:v>536.99</c:v>
                </c:pt>
                <c:pt idx="1139">
                  <c:v>537.19000000000005</c:v>
                </c:pt>
                <c:pt idx="1140">
                  <c:v>538.20000000000005</c:v>
                </c:pt>
                <c:pt idx="1141">
                  <c:v>537.22</c:v>
                </c:pt>
                <c:pt idx="1142">
                  <c:v>537.08000000000004</c:v>
                </c:pt>
                <c:pt idx="1143">
                  <c:v>536.97</c:v>
                </c:pt>
                <c:pt idx="1144">
                  <c:v>536.44000000000005</c:v>
                </c:pt>
                <c:pt idx="1145">
                  <c:v>536.16999999999996</c:v>
                </c:pt>
                <c:pt idx="1146">
                  <c:v>535.22</c:v>
                </c:pt>
                <c:pt idx="1147">
                  <c:v>534.41</c:v>
                </c:pt>
                <c:pt idx="1148">
                  <c:v>534.47</c:v>
                </c:pt>
                <c:pt idx="1149">
                  <c:v>534.36</c:v>
                </c:pt>
                <c:pt idx="1150">
                  <c:v>534.58000000000004</c:v>
                </c:pt>
                <c:pt idx="1151">
                  <c:v>534.45000000000005</c:v>
                </c:pt>
                <c:pt idx="1152">
                  <c:v>536.51</c:v>
                </c:pt>
                <c:pt idx="1153">
                  <c:v>534.28</c:v>
                </c:pt>
                <c:pt idx="1154">
                  <c:v>534.16</c:v>
                </c:pt>
                <c:pt idx="1155">
                  <c:v>534.22</c:v>
                </c:pt>
                <c:pt idx="1156">
                  <c:v>534.22</c:v>
                </c:pt>
                <c:pt idx="1157">
                  <c:v>538.24</c:v>
                </c:pt>
                <c:pt idx="1158">
                  <c:v>534.67999999999995</c:v>
                </c:pt>
                <c:pt idx="1159">
                  <c:v>534.58000000000004</c:v>
                </c:pt>
                <c:pt idx="1160">
                  <c:v>534.58000000000004</c:v>
                </c:pt>
                <c:pt idx="1161">
                  <c:v>534.33000000000004</c:v>
                </c:pt>
                <c:pt idx="1162">
                  <c:v>537.04</c:v>
                </c:pt>
                <c:pt idx="1163">
                  <c:v>534.52</c:v>
                </c:pt>
                <c:pt idx="1164">
                  <c:v>534.4</c:v>
                </c:pt>
                <c:pt idx="1165">
                  <c:v>534.42999999999995</c:v>
                </c:pt>
                <c:pt idx="1166">
                  <c:v>534.07000000000005</c:v>
                </c:pt>
                <c:pt idx="1167">
                  <c:v>534.08000000000004</c:v>
                </c:pt>
                <c:pt idx="1168">
                  <c:v>533.99</c:v>
                </c:pt>
                <c:pt idx="1169">
                  <c:v>533.92999999999995</c:v>
                </c:pt>
                <c:pt idx="1170">
                  <c:v>533.94000000000005</c:v>
                </c:pt>
                <c:pt idx="1171">
                  <c:v>533.96</c:v>
                </c:pt>
                <c:pt idx="1172">
                  <c:v>533.88</c:v>
                </c:pt>
                <c:pt idx="1173">
                  <c:v>533.95000000000005</c:v>
                </c:pt>
                <c:pt idx="1174">
                  <c:v>533.86</c:v>
                </c:pt>
                <c:pt idx="1175">
                  <c:v>533.70000000000005</c:v>
                </c:pt>
                <c:pt idx="1176">
                  <c:v>533.70000000000005</c:v>
                </c:pt>
                <c:pt idx="1177">
                  <c:v>533.67999999999995</c:v>
                </c:pt>
                <c:pt idx="1178">
                  <c:v>537.33000000000004</c:v>
                </c:pt>
                <c:pt idx="1179">
                  <c:v>537.4</c:v>
                </c:pt>
                <c:pt idx="1180">
                  <c:v>534.58000000000004</c:v>
                </c:pt>
                <c:pt idx="1181">
                  <c:v>534.6</c:v>
                </c:pt>
                <c:pt idx="1182">
                  <c:v>534.6</c:v>
                </c:pt>
                <c:pt idx="1183">
                  <c:v>534.95000000000005</c:v>
                </c:pt>
                <c:pt idx="1184">
                  <c:v>535.29999999999995</c:v>
                </c:pt>
                <c:pt idx="1185">
                  <c:v>535.25</c:v>
                </c:pt>
                <c:pt idx="1186">
                  <c:v>535.27</c:v>
                </c:pt>
                <c:pt idx="1187">
                  <c:v>535.17999999999995</c:v>
                </c:pt>
                <c:pt idx="1188">
                  <c:v>535.20000000000005</c:v>
                </c:pt>
                <c:pt idx="1189">
                  <c:v>537.51</c:v>
                </c:pt>
                <c:pt idx="1190">
                  <c:v>534.62</c:v>
                </c:pt>
                <c:pt idx="1191">
                  <c:v>534.42999999999995</c:v>
                </c:pt>
                <c:pt idx="1192">
                  <c:v>537.37</c:v>
                </c:pt>
                <c:pt idx="1193">
                  <c:v>534.08000000000004</c:v>
                </c:pt>
                <c:pt idx="1194">
                  <c:v>534.33000000000004</c:v>
                </c:pt>
                <c:pt idx="1195">
                  <c:v>534.32000000000005</c:v>
                </c:pt>
                <c:pt idx="1196">
                  <c:v>534.98</c:v>
                </c:pt>
                <c:pt idx="1197">
                  <c:v>534.23</c:v>
                </c:pt>
                <c:pt idx="1198">
                  <c:v>538.9</c:v>
                </c:pt>
                <c:pt idx="1199">
                  <c:v>535.01</c:v>
                </c:pt>
                <c:pt idx="1200">
                  <c:v>535.83000000000004</c:v>
                </c:pt>
                <c:pt idx="1201">
                  <c:v>539.75</c:v>
                </c:pt>
                <c:pt idx="1202">
                  <c:v>536.48</c:v>
                </c:pt>
                <c:pt idx="1203">
                  <c:v>536.4</c:v>
                </c:pt>
                <c:pt idx="1204">
                  <c:v>536.17999999999995</c:v>
                </c:pt>
                <c:pt idx="1205">
                  <c:v>535.94000000000005</c:v>
                </c:pt>
                <c:pt idx="1206">
                  <c:v>535.92999999999995</c:v>
                </c:pt>
                <c:pt idx="1207">
                  <c:v>536.14</c:v>
                </c:pt>
                <c:pt idx="1208">
                  <c:v>536.85</c:v>
                </c:pt>
                <c:pt idx="1209">
                  <c:v>535.89</c:v>
                </c:pt>
                <c:pt idx="1210">
                  <c:v>536.02</c:v>
                </c:pt>
                <c:pt idx="1211">
                  <c:v>535.80999999999995</c:v>
                </c:pt>
                <c:pt idx="1212">
                  <c:v>535.80999999999995</c:v>
                </c:pt>
                <c:pt idx="1213">
                  <c:v>535.74</c:v>
                </c:pt>
                <c:pt idx="1214">
                  <c:v>535.82000000000005</c:v>
                </c:pt>
                <c:pt idx="1215">
                  <c:v>535.85</c:v>
                </c:pt>
                <c:pt idx="1216">
                  <c:v>539.28</c:v>
                </c:pt>
                <c:pt idx="1217">
                  <c:v>539.80999999999995</c:v>
                </c:pt>
                <c:pt idx="1218">
                  <c:v>540.05999999999995</c:v>
                </c:pt>
                <c:pt idx="1219">
                  <c:v>534.78</c:v>
                </c:pt>
                <c:pt idx="1220">
                  <c:v>537.04</c:v>
                </c:pt>
                <c:pt idx="1221">
                  <c:v>536.85</c:v>
                </c:pt>
                <c:pt idx="1222">
                  <c:v>536.85</c:v>
                </c:pt>
                <c:pt idx="1223">
                  <c:v>541.20000000000005</c:v>
                </c:pt>
                <c:pt idx="1224">
                  <c:v>540.30999999999995</c:v>
                </c:pt>
                <c:pt idx="1225">
                  <c:v>537.12</c:v>
                </c:pt>
                <c:pt idx="1226">
                  <c:v>537.5</c:v>
                </c:pt>
                <c:pt idx="1227">
                  <c:v>539.33000000000004</c:v>
                </c:pt>
                <c:pt idx="1228">
                  <c:v>537.27</c:v>
                </c:pt>
                <c:pt idx="1229">
                  <c:v>540.87</c:v>
                </c:pt>
                <c:pt idx="1230">
                  <c:v>545.95000000000005</c:v>
                </c:pt>
                <c:pt idx="1231">
                  <c:v>541.41999999999996</c:v>
                </c:pt>
                <c:pt idx="1232">
                  <c:v>541.26</c:v>
                </c:pt>
                <c:pt idx="1233">
                  <c:v>543.33000000000004</c:v>
                </c:pt>
                <c:pt idx="1234">
                  <c:v>540.61</c:v>
                </c:pt>
                <c:pt idx="1235">
                  <c:v>543.45000000000005</c:v>
                </c:pt>
                <c:pt idx="1236">
                  <c:v>541.14</c:v>
                </c:pt>
                <c:pt idx="1237">
                  <c:v>542.14</c:v>
                </c:pt>
                <c:pt idx="1238">
                  <c:v>544.79999999999995</c:v>
                </c:pt>
                <c:pt idx="1239">
                  <c:v>544.86</c:v>
                </c:pt>
                <c:pt idx="1240">
                  <c:v>545.13</c:v>
                </c:pt>
                <c:pt idx="1241">
                  <c:v>545.49</c:v>
                </c:pt>
                <c:pt idx="1242">
                  <c:v>545.33000000000004</c:v>
                </c:pt>
                <c:pt idx="1243">
                  <c:v>545.47</c:v>
                </c:pt>
                <c:pt idx="1244">
                  <c:v>546.63</c:v>
                </c:pt>
                <c:pt idx="1245">
                  <c:v>546.66999999999996</c:v>
                </c:pt>
                <c:pt idx="1246">
                  <c:v>546.59</c:v>
                </c:pt>
                <c:pt idx="1247">
                  <c:v>546.59</c:v>
                </c:pt>
                <c:pt idx="1248">
                  <c:v>546.58000000000004</c:v>
                </c:pt>
                <c:pt idx="1249">
                  <c:v>550.72</c:v>
                </c:pt>
                <c:pt idx="1250">
                  <c:v>549.54</c:v>
                </c:pt>
                <c:pt idx="1251">
                  <c:v>549.66</c:v>
                </c:pt>
                <c:pt idx="1252">
                  <c:v>549.6</c:v>
                </c:pt>
                <c:pt idx="1253">
                  <c:v>547.6</c:v>
                </c:pt>
                <c:pt idx="1254">
                  <c:v>547.54999999999995</c:v>
                </c:pt>
                <c:pt idx="1255">
                  <c:v>548.42999999999995</c:v>
                </c:pt>
                <c:pt idx="1256">
                  <c:v>548.38</c:v>
                </c:pt>
                <c:pt idx="1257">
                  <c:v>546.4</c:v>
                </c:pt>
                <c:pt idx="1258">
                  <c:v>546.48</c:v>
                </c:pt>
                <c:pt idx="1259">
                  <c:v>549.58000000000004</c:v>
                </c:pt>
                <c:pt idx="1260">
                  <c:v>549.63</c:v>
                </c:pt>
                <c:pt idx="1261">
                  <c:v>546.41999999999996</c:v>
                </c:pt>
                <c:pt idx="1262">
                  <c:v>546.12</c:v>
                </c:pt>
                <c:pt idx="1263">
                  <c:v>548.5</c:v>
                </c:pt>
                <c:pt idx="1264">
                  <c:v>546.41999999999996</c:v>
                </c:pt>
                <c:pt idx="1265">
                  <c:v>546.30999999999995</c:v>
                </c:pt>
                <c:pt idx="1266">
                  <c:v>547.80999999999995</c:v>
                </c:pt>
                <c:pt idx="1267">
                  <c:v>548.28</c:v>
                </c:pt>
                <c:pt idx="1268">
                  <c:v>548.17999999999995</c:v>
                </c:pt>
                <c:pt idx="1269">
                  <c:v>548.16999999999996</c:v>
                </c:pt>
                <c:pt idx="1270">
                  <c:v>548.19000000000005</c:v>
                </c:pt>
                <c:pt idx="1271">
                  <c:v>548.26</c:v>
                </c:pt>
                <c:pt idx="1272">
                  <c:v>551.05999999999995</c:v>
                </c:pt>
                <c:pt idx="1273">
                  <c:v>548.22</c:v>
                </c:pt>
                <c:pt idx="1274">
                  <c:v>548.59</c:v>
                </c:pt>
                <c:pt idx="1275">
                  <c:v>551.61</c:v>
                </c:pt>
                <c:pt idx="1276">
                  <c:v>550.5</c:v>
                </c:pt>
                <c:pt idx="1277">
                  <c:v>551.14</c:v>
                </c:pt>
                <c:pt idx="1278">
                  <c:v>548.5</c:v>
                </c:pt>
                <c:pt idx="1279">
                  <c:v>551.96</c:v>
                </c:pt>
                <c:pt idx="1280">
                  <c:v>548.97</c:v>
                </c:pt>
                <c:pt idx="1281">
                  <c:v>549.66</c:v>
                </c:pt>
                <c:pt idx="1282">
                  <c:v>550.11</c:v>
                </c:pt>
                <c:pt idx="1283">
                  <c:v>551.57000000000005</c:v>
                </c:pt>
                <c:pt idx="1284">
                  <c:v>550.02</c:v>
                </c:pt>
                <c:pt idx="1285">
                  <c:v>550.02</c:v>
                </c:pt>
                <c:pt idx="1286">
                  <c:v>551.02</c:v>
                </c:pt>
                <c:pt idx="1287">
                  <c:v>551.11</c:v>
                </c:pt>
                <c:pt idx="1288">
                  <c:v>551</c:v>
                </c:pt>
                <c:pt idx="1289">
                  <c:v>550.98</c:v>
                </c:pt>
                <c:pt idx="1290">
                  <c:v>552.25</c:v>
                </c:pt>
                <c:pt idx="1291">
                  <c:v>550.99</c:v>
                </c:pt>
                <c:pt idx="1292">
                  <c:v>550.99</c:v>
                </c:pt>
                <c:pt idx="1293">
                  <c:v>553.5</c:v>
                </c:pt>
                <c:pt idx="1294">
                  <c:v>550.92999999999995</c:v>
                </c:pt>
                <c:pt idx="1295">
                  <c:v>553.97</c:v>
                </c:pt>
                <c:pt idx="1296">
                  <c:v>551.35</c:v>
                </c:pt>
                <c:pt idx="1297">
                  <c:v>551.37</c:v>
                </c:pt>
                <c:pt idx="1298">
                  <c:v>551.5</c:v>
                </c:pt>
                <c:pt idx="1299">
                  <c:v>552.86</c:v>
                </c:pt>
                <c:pt idx="1300">
                  <c:v>550.49</c:v>
                </c:pt>
                <c:pt idx="1301">
                  <c:v>550.49</c:v>
                </c:pt>
                <c:pt idx="1302">
                  <c:v>550.25</c:v>
                </c:pt>
                <c:pt idx="1303">
                  <c:v>550.1</c:v>
                </c:pt>
                <c:pt idx="1304">
                  <c:v>553.83000000000004</c:v>
                </c:pt>
                <c:pt idx="1305">
                  <c:v>553.99</c:v>
                </c:pt>
                <c:pt idx="1306">
                  <c:v>550.91999999999996</c:v>
                </c:pt>
                <c:pt idx="1307">
                  <c:v>550.91999999999996</c:v>
                </c:pt>
                <c:pt idx="1308">
                  <c:v>550.97</c:v>
                </c:pt>
                <c:pt idx="1309">
                  <c:v>550.91999999999996</c:v>
                </c:pt>
                <c:pt idx="1310">
                  <c:v>554.84</c:v>
                </c:pt>
                <c:pt idx="1311">
                  <c:v>551.33000000000004</c:v>
                </c:pt>
                <c:pt idx="1312">
                  <c:v>551.35</c:v>
                </c:pt>
                <c:pt idx="1313">
                  <c:v>554.57000000000005</c:v>
                </c:pt>
                <c:pt idx="1314">
                  <c:v>551.91</c:v>
                </c:pt>
                <c:pt idx="1315">
                  <c:v>552.23</c:v>
                </c:pt>
                <c:pt idx="1316">
                  <c:v>552.23</c:v>
                </c:pt>
                <c:pt idx="1317">
                  <c:v>552.21</c:v>
                </c:pt>
                <c:pt idx="1318">
                  <c:v>552.22</c:v>
                </c:pt>
                <c:pt idx="1319">
                  <c:v>554.95000000000005</c:v>
                </c:pt>
                <c:pt idx="1320">
                  <c:v>554.86</c:v>
                </c:pt>
                <c:pt idx="1321">
                  <c:v>552.24</c:v>
                </c:pt>
                <c:pt idx="1322">
                  <c:v>552.26</c:v>
                </c:pt>
                <c:pt idx="1323">
                  <c:v>552.26</c:v>
                </c:pt>
                <c:pt idx="1324">
                  <c:v>553.75</c:v>
                </c:pt>
                <c:pt idx="1325">
                  <c:v>552.26</c:v>
                </c:pt>
                <c:pt idx="1326">
                  <c:v>552.25</c:v>
                </c:pt>
                <c:pt idx="1327">
                  <c:v>552.23</c:v>
                </c:pt>
                <c:pt idx="1328">
                  <c:v>552.83000000000004</c:v>
                </c:pt>
                <c:pt idx="1329">
                  <c:v>555.65</c:v>
                </c:pt>
                <c:pt idx="1330">
                  <c:v>552.4</c:v>
                </c:pt>
                <c:pt idx="1331">
                  <c:v>552.54999999999995</c:v>
                </c:pt>
                <c:pt idx="1332">
                  <c:v>552.27</c:v>
                </c:pt>
                <c:pt idx="1333">
                  <c:v>555.49</c:v>
                </c:pt>
                <c:pt idx="1334">
                  <c:v>552.47</c:v>
                </c:pt>
                <c:pt idx="1335">
                  <c:v>555.96</c:v>
                </c:pt>
                <c:pt idx="1336">
                  <c:v>552.85</c:v>
                </c:pt>
                <c:pt idx="1337">
                  <c:v>556.61</c:v>
                </c:pt>
                <c:pt idx="1338">
                  <c:v>553.67999999999995</c:v>
                </c:pt>
                <c:pt idx="1339">
                  <c:v>553.46</c:v>
                </c:pt>
                <c:pt idx="1340">
                  <c:v>553.78</c:v>
                </c:pt>
                <c:pt idx="1341">
                  <c:v>554.33000000000004</c:v>
                </c:pt>
                <c:pt idx="1342">
                  <c:v>553.87</c:v>
                </c:pt>
                <c:pt idx="1343">
                  <c:v>551.47</c:v>
                </c:pt>
                <c:pt idx="1344">
                  <c:v>553.97</c:v>
                </c:pt>
                <c:pt idx="1345">
                  <c:v>556.04999999999995</c:v>
                </c:pt>
                <c:pt idx="1346">
                  <c:v>551.33000000000004</c:v>
                </c:pt>
                <c:pt idx="1347">
                  <c:v>553.03</c:v>
                </c:pt>
                <c:pt idx="1348">
                  <c:v>554.39</c:v>
                </c:pt>
                <c:pt idx="1349">
                  <c:v>551.5</c:v>
                </c:pt>
                <c:pt idx="1350">
                  <c:v>551.45000000000005</c:v>
                </c:pt>
                <c:pt idx="1351">
                  <c:v>552.04999999999995</c:v>
                </c:pt>
                <c:pt idx="1352">
                  <c:v>551.78</c:v>
                </c:pt>
                <c:pt idx="1353">
                  <c:v>552.75</c:v>
                </c:pt>
                <c:pt idx="1354">
                  <c:v>552.29999999999995</c:v>
                </c:pt>
                <c:pt idx="1355">
                  <c:v>550.25</c:v>
                </c:pt>
                <c:pt idx="1356">
                  <c:v>550.15</c:v>
                </c:pt>
                <c:pt idx="1357">
                  <c:v>552.83000000000004</c:v>
                </c:pt>
                <c:pt idx="1358">
                  <c:v>550.20000000000005</c:v>
                </c:pt>
                <c:pt idx="1359">
                  <c:v>550.11</c:v>
                </c:pt>
                <c:pt idx="1360">
                  <c:v>552.83000000000004</c:v>
                </c:pt>
                <c:pt idx="1361">
                  <c:v>550.03</c:v>
                </c:pt>
                <c:pt idx="1362">
                  <c:v>550</c:v>
                </c:pt>
                <c:pt idx="1363">
                  <c:v>552.83000000000004</c:v>
                </c:pt>
                <c:pt idx="1364">
                  <c:v>550.05999999999995</c:v>
                </c:pt>
                <c:pt idx="1365">
                  <c:v>550.02</c:v>
                </c:pt>
                <c:pt idx="1366">
                  <c:v>550.08000000000004</c:v>
                </c:pt>
                <c:pt idx="1367">
                  <c:v>550.05999999999995</c:v>
                </c:pt>
                <c:pt idx="1368">
                  <c:v>550.45000000000005</c:v>
                </c:pt>
                <c:pt idx="1369">
                  <c:v>551.4</c:v>
                </c:pt>
                <c:pt idx="1370">
                  <c:v>553.29999999999995</c:v>
                </c:pt>
                <c:pt idx="1371">
                  <c:v>554.04999999999995</c:v>
                </c:pt>
                <c:pt idx="1372">
                  <c:v>553.05999999999995</c:v>
                </c:pt>
                <c:pt idx="1373">
                  <c:v>551</c:v>
                </c:pt>
                <c:pt idx="1374">
                  <c:v>553.29999999999995</c:v>
                </c:pt>
                <c:pt idx="1375">
                  <c:v>553.26</c:v>
                </c:pt>
                <c:pt idx="1376">
                  <c:v>553.16999999999996</c:v>
                </c:pt>
                <c:pt idx="1377">
                  <c:v>553.17999999999995</c:v>
                </c:pt>
                <c:pt idx="1378">
                  <c:v>552.83000000000004</c:v>
                </c:pt>
                <c:pt idx="1379">
                  <c:v>552.9</c:v>
                </c:pt>
                <c:pt idx="1380">
                  <c:v>553.78</c:v>
                </c:pt>
                <c:pt idx="1381">
                  <c:v>551</c:v>
                </c:pt>
                <c:pt idx="1382">
                  <c:v>556.78</c:v>
                </c:pt>
                <c:pt idx="1383">
                  <c:v>556.58000000000004</c:v>
                </c:pt>
                <c:pt idx="1384">
                  <c:v>554.32000000000005</c:v>
                </c:pt>
                <c:pt idx="1385">
                  <c:v>554.1</c:v>
                </c:pt>
                <c:pt idx="1386">
                  <c:v>553.6</c:v>
                </c:pt>
                <c:pt idx="1387">
                  <c:v>553.1</c:v>
                </c:pt>
                <c:pt idx="1388">
                  <c:v>553.08000000000004</c:v>
                </c:pt>
                <c:pt idx="1389">
                  <c:v>549.66999999999996</c:v>
                </c:pt>
                <c:pt idx="1390">
                  <c:v>552.92999999999995</c:v>
                </c:pt>
                <c:pt idx="1391">
                  <c:v>553</c:v>
                </c:pt>
                <c:pt idx="1392">
                  <c:v>551</c:v>
                </c:pt>
                <c:pt idx="1393">
                  <c:v>552.77</c:v>
                </c:pt>
                <c:pt idx="1394">
                  <c:v>552.77</c:v>
                </c:pt>
                <c:pt idx="1395">
                  <c:v>552.77</c:v>
                </c:pt>
                <c:pt idx="1396">
                  <c:v>553.22</c:v>
                </c:pt>
                <c:pt idx="1397">
                  <c:v>557.15</c:v>
                </c:pt>
                <c:pt idx="1398">
                  <c:v>553.74</c:v>
                </c:pt>
                <c:pt idx="1399">
                  <c:v>555.07000000000005</c:v>
                </c:pt>
                <c:pt idx="1400">
                  <c:v>555.13</c:v>
                </c:pt>
                <c:pt idx="1401">
                  <c:v>555.98</c:v>
                </c:pt>
                <c:pt idx="1402">
                  <c:v>551</c:v>
                </c:pt>
                <c:pt idx="1403">
                  <c:v>556.91999999999996</c:v>
                </c:pt>
                <c:pt idx="1404">
                  <c:v>557.87</c:v>
                </c:pt>
                <c:pt idx="1405">
                  <c:v>558.54999999999995</c:v>
                </c:pt>
                <c:pt idx="1406">
                  <c:v>558.63</c:v>
                </c:pt>
                <c:pt idx="1407">
                  <c:v>563.41</c:v>
                </c:pt>
                <c:pt idx="1408">
                  <c:v>563.73</c:v>
                </c:pt>
                <c:pt idx="1409">
                  <c:v>558.94000000000005</c:v>
                </c:pt>
                <c:pt idx="1410">
                  <c:v>559.47</c:v>
                </c:pt>
                <c:pt idx="1411">
                  <c:v>560.79999999999995</c:v>
                </c:pt>
                <c:pt idx="1412">
                  <c:v>560.98</c:v>
                </c:pt>
                <c:pt idx="1413">
                  <c:v>561.04999999999995</c:v>
                </c:pt>
                <c:pt idx="1414">
                  <c:v>563.36</c:v>
                </c:pt>
                <c:pt idx="1415">
                  <c:v>560.91999999999996</c:v>
                </c:pt>
                <c:pt idx="1416">
                  <c:v>560.75</c:v>
                </c:pt>
                <c:pt idx="1417">
                  <c:v>560.28</c:v>
                </c:pt>
                <c:pt idx="1418">
                  <c:v>560.16999999999996</c:v>
                </c:pt>
                <c:pt idx="1419">
                  <c:v>559.92999999999995</c:v>
                </c:pt>
                <c:pt idx="1420">
                  <c:v>563.36</c:v>
                </c:pt>
                <c:pt idx="1421">
                  <c:v>559.54999999999995</c:v>
                </c:pt>
                <c:pt idx="1422">
                  <c:v>563.5</c:v>
                </c:pt>
                <c:pt idx="1423">
                  <c:v>564.20000000000005</c:v>
                </c:pt>
                <c:pt idx="1424">
                  <c:v>559.79999999999995</c:v>
                </c:pt>
                <c:pt idx="1425">
                  <c:v>564.46</c:v>
                </c:pt>
                <c:pt idx="1426">
                  <c:v>560.38</c:v>
                </c:pt>
                <c:pt idx="1427">
                  <c:v>560.08000000000004</c:v>
                </c:pt>
                <c:pt idx="1428">
                  <c:v>560</c:v>
                </c:pt>
                <c:pt idx="1429">
                  <c:v>560.62</c:v>
                </c:pt>
                <c:pt idx="1430">
                  <c:v>558.54</c:v>
                </c:pt>
                <c:pt idx="1431">
                  <c:v>557.88</c:v>
                </c:pt>
                <c:pt idx="1432">
                  <c:v>556.79999999999995</c:v>
                </c:pt>
                <c:pt idx="1433">
                  <c:v>556.54999999999995</c:v>
                </c:pt>
                <c:pt idx="1434">
                  <c:v>556.42999999999995</c:v>
                </c:pt>
                <c:pt idx="1435">
                  <c:v>560.45000000000005</c:v>
                </c:pt>
                <c:pt idx="1436">
                  <c:v>557.1</c:v>
                </c:pt>
                <c:pt idx="1437">
                  <c:v>558.26</c:v>
                </c:pt>
                <c:pt idx="1438">
                  <c:v>557.45000000000005</c:v>
                </c:pt>
                <c:pt idx="1439">
                  <c:v>557.65</c:v>
                </c:pt>
                <c:pt idx="1440">
                  <c:v>558.25</c:v>
                </c:pt>
                <c:pt idx="1441">
                  <c:v>559.41999999999996</c:v>
                </c:pt>
                <c:pt idx="1442">
                  <c:v>562.96</c:v>
                </c:pt>
                <c:pt idx="1443">
                  <c:v>563.70000000000005</c:v>
                </c:pt>
                <c:pt idx="1444">
                  <c:v>555.13</c:v>
                </c:pt>
                <c:pt idx="1445">
                  <c:v>562.22</c:v>
                </c:pt>
                <c:pt idx="1446">
                  <c:v>557.29999999999995</c:v>
                </c:pt>
                <c:pt idx="1447">
                  <c:v>561.5</c:v>
                </c:pt>
                <c:pt idx="1448">
                  <c:v>562.66999999999996</c:v>
                </c:pt>
                <c:pt idx="1449">
                  <c:v>561.54999999999995</c:v>
                </c:pt>
                <c:pt idx="1450">
                  <c:v>561.55999999999995</c:v>
                </c:pt>
                <c:pt idx="1451">
                  <c:v>560.35</c:v>
                </c:pt>
                <c:pt idx="1452">
                  <c:v>558.35</c:v>
                </c:pt>
                <c:pt idx="1453">
                  <c:v>560.9</c:v>
                </c:pt>
                <c:pt idx="1454">
                  <c:v>561</c:v>
                </c:pt>
                <c:pt idx="1455">
                  <c:v>559.78</c:v>
                </c:pt>
                <c:pt idx="1456">
                  <c:v>555.54999999999995</c:v>
                </c:pt>
                <c:pt idx="1457">
                  <c:v>556.25</c:v>
                </c:pt>
                <c:pt idx="1458">
                  <c:v>557</c:v>
                </c:pt>
                <c:pt idx="1459">
                  <c:v>560.75</c:v>
                </c:pt>
                <c:pt idx="1460">
                  <c:v>556.07000000000005</c:v>
                </c:pt>
                <c:pt idx="1461">
                  <c:v>558.5</c:v>
                </c:pt>
                <c:pt idx="1462">
                  <c:v>562.88</c:v>
                </c:pt>
                <c:pt idx="1463">
                  <c:v>562.88</c:v>
                </c:pt>
                <c:pt idx="1464">
                  <c:v>564.57000000000005</c:v>
                </c:pt>
                <c:pt idx="1465">
                  <c:v>563.83000000000004</c:v>
                </c:pt>
                <c:pt idx="1466">
                  <c:v>569.25</c:v>
                </c:pt>
                <c:pt idx="1467">
                  <c:v>558.67999999999995</c:v>
                </c:pt>
                <c:pt idx="1468">
                  <c:v>566.84</c:v>
                </c:pt>
                <c:pt idx="1469">
                  <c:v>563</c:v>
                </c:pt>
                <c:pt idx="1470">
                  <c:v>569.16999999999996</c:v>
                </c:pt>
                <c:pt idx="1471">
                  <c:v>569.13</c:v>
                </c:pt>
                <c:pt idx="1472">
                  <c:v>569.41999999999996</c:v>
                </c:pt>
                <c:pt idx="1473">
                  <c:v>575.95000000000005</c:v>
                </c:pt>
                <c:pt idx="1474">
                  <c:v>571.29999999999995</c:v>
                </c:pt>
                <c:pt idx="1475">
                  <c:v>568.65</c:v>
                </c:pt>
                <c:pt idx="1476">
                  <c:v>575.70000000000005</c:v>
                </c:pt>
                <c:pt idx="1477">
                  <c:v>579.87</c:v>
                </c:pt>
                <c:pt idx="1478">
                  <c:v>582.98</c:v>
                </c:pt>
                <c:pt idx="1479">
                  <c:v>590.17999999999995</c:v>
                </c:pt>
                <c:pt idx="1480">
                  <c:v>590.55999999999995</c:v>
                </c:pt>
                <c:pt idx="1481">
                  <c:v>586.70000000000005</c:v>
                </c:pt>
                <c:pt idx="1482">
                  <c:v>586.70000000000005</c:v>
                </c:pt>
                <c:pt idx="1483">
                  <c:v>573.35</c:v>
                </c:pt>
                <c:pt idx="1484">
                  <c:v>572.35</c:v>
                </c:pt>
                <c:pt idx="1485">
                  <c:v>569.65</c:v>
                </c:pt>
                <c:pt idx="1486">
                  <c:v>567.75</c:v>
                </c:pt>
                <c:pt idx="1487">
                  <c:v>567.73</c:v>
                </c:pt>
                <c:pt idx="1488">
                  <c:v>567.78</c:v>
                </c:pt>
                <c:pt idx="1489">
                  <c:v>567.76</c:v>
                </c:pt>
                <c:pt idx="1490">
                  <c:v>567.87</c:v>
                </c:pt>
                <c:pt idx="1491">
                  <c:v>568.62</c:v>
                </c:pt>
                <c:pt idx="1492">
                  <c:v>572.5</c:v>
                </c:pt>
                <c:pt idx="1493">
                  <c:v>568.08000000000004</c:v>
                </c:pt>
                <c:pt idx="1494">
                  <c:v>570.98</c:v>
                </c:pt>
                <c:pt idx="1495">
                  <c:v>571.99</c:v>
                </c:pt>
                <c:pt idx="1496">
                  <c:v>569.66999999999996</c:v>
                </c:pt>
                <c:pt idx="1497">
                  <c:v>570.20000000000005</c:v>
                </c:pt>
                <c:pt idx="1498">
                  <c:v>569.16999999999996</c:v>
                </c:pt>
                <c:pt idx="1499">
                  <c:v>569.6</c:v>
                </c:pt>
                <c:pt idx="1500">
                  <c:v>573.02</c:v>
                </c:pt>
                <c:pt idx="1501">
                  <c:v>569.6</c:v>
                </c:pt>
                <c:pt idx="1502">
                  <c:v>571.83000000000004</c:v>
                </c:pt>
                <c:pt idx="1503">
                  <c:v>571.39</c:v>
                </c:pt>
                <c:pt idx="1504">
                  <c:v>569.54</c:v>
                </c:pt>
                <c:pt idx="1505">
                  <c:v>569.76</c:v>
                </c:pt>
                <c:pt idx="1506">
                  <c:v>572.08000000000004</c:v>
                </c:pt>
                <c:pt idx="1507">
                  <c:v>567.63</c:v>
                </c:pt>
                <c:pt idx="1508">
                  <c:v>573.30999999999995</c:v>
                </c:pt>
                <c:pt idx="1509">
                  <c:v>572.83000000000004</c:v>
                </c:pt>
                <c:pt idx="1510">
                  <c:v>574.66999999999996</c:v>
                </c:pt>
                <c:pt idx="1511">
                  <c:v>573.99</c:v>
                </c:pt>
                <c:pt idx="1512">
                  <c:v>574.29</c:v>
                </c:pt>
                <c:pt idx="1513">
                  <c:v>574.01</c:v>
                </c:pt>
                <c:pt idx="1514">
                  <c:v>574.98</c:v>
                </c:pt>
                <c:pt idx="1515">
                  <c:v>574.82000000000005</c:v>
                </c:pt>
                <c:pt idx="1516">
                  <c:v>573.25</c:v>
                </c:pt>
                <c:pt idx="1517">
                  <c:v>573.17999999999995</c:v>
                </c:pt>
                <c:pt idx="1518">
                  <c:v>573.39</c:v>
                </c:pt>
                <c:pt idx="1519">
                  <c:v>574.41</c:v>
                </c:pt>
                <c:pt idx="1520">
                  <c:v>574.46</c:v>
                </c:pt>
                <c:pt idx="1521">
                  <c:v>574.72</c:v>
                </c:pt>
                <c:pt idx="1522">
                  <c:v>573.99</c:v>
                </c:pt>
                <c:pt idx="1523">
                  <c:v>573.59</c:v>
                </c:pt>
                <c:pt idx="1524">
                  <c:v>573.91999999999996</c:v>
                </c:pt>
                <c:pt idx="1525">
                  <c:v>573.95000000000005</c:v>
                </c:pt>
                <c:pt idx="1526">
                  <c:v>574.66999999999996</c:v>
                </c:pt>
                <c:pt idx="1527">
                  <c:v>573.86</c:v>
                </c:pt>
                <c:pt idx="1528">
                  <c:v>573.94000000000005</c:v>
                </c:pt>
                <c:pt idx="1529">
                  <c:v>575.33000000000004</c:v>
                </c:pt>
                <c:pt idx="1530">
                  <c:v>576.12</c:v>
                </c:pt>
                <c:pt idx="1531">
                  <c:v>576.54</c:v>
                </c:pt>
                <c:pt idx="1532">
                  <c:v>576.48</c:v>
                </c:pt>
                <c:pt idx="1533">
                  <c:v>577.08000000000004</c:v>
                </c:pt>
                <c:pt idx="1534">
                  <c:v>577.25</c:v>
                </c:pt>
                <c:pt idx="1535">
                  <c:v>578.69000000000005</c:v>
                </c:pt>
                <c:pt idx="1536">
                  <c:v>578.53</c:v>
                </c:pt>
                <c:pt idx="1537">
                  <c:v>576.57000000000005</c:v>
                </c:pt>
                <c:pt idx="1538">
                  <c:v>577.87</c:v>
                </c:pt>
                <c:pt idx="1539">
                  <c:v>576.66999999999996</c:v>
                </c:pt>
                <c:pt idx="1540">
                  <c:v>576</c:v>
                </c:pt>
                <c:pt idx="1541">
                  <c:v>576.04999999999995</c:v>
                </c:pt>
                <c:pt idx="1542">
                  <c:v>576.36</c:v>
                </c:pt>
                <c:pt idx="1543">
                  <c:v>576.22</c:v>
                </c:pt>
                <c:pt idx="1544">
                  <c:v>576.52</c:v>
                </c:pt>
                <c:pt idx="1545">
                  <c:v>577.65</c:v>
                </c:pt>
                <c:pt idx="1546">
                  <c:v>576.80999999999995</c:v>
                </c:pt>
                <c:pt idx="1547">
                  <c:v>576.38</c:v>
                </c:pt>
                <c:pt idx="1548">
                  <c:v>576.05999999999995</c:v>
                </c:pt>
                <c:pt idx="1549">
                  <c:v>576.25</c:v>
                </c:pt>
                <c:pt idx="1550">
                  <c:v>577.07000000000005</c:v>
                </c:pt>
                <c:pt idx="1551">
                  <c:v>577.80999999999995</c:v>
                </c:pt>
                <c:pt idx="1552">
                  <c:v>577.70000000000005</c:v>
                </c:pt>
                <c:pt idx="1553">
                  <c:v>578.16999999999996</c:v>
                </c:pt>
                <c:pt idx="1554">
                  <c:v>579.41999999999996</c:v>
                </c:pt>
                <c:pt idx="1555">
                  <c:v>579.11</c:v>
                </c:pt>
                <c:pt idx="1556">
                  <c:v>581.15</c:v>
                </c:pt>
                <c:pt idx="1557">
                  <c:v>579.28</c:v>
                </c:pt>
                <c:pt idx="1558">
                  <c:v>580.63</c:v>
                </c:pt>
                <c:pt idx="1559">
                  <c:v>580.1</c:v>
                </c:pt>
                <c:pt idx="1560">
                  <c:v>579.91999999999996</c:v>
                </c:pt>
                <c:pt idx="1561">
                  <c:v>579.20000000000005</c:v>
                </c:pt>
                <c:pt idx="1562">
                  <c:v>579.20000000000005</c:v>
                </c:pt>
                <c:pt idx="1563">
                  <c:v>578.5</c:v>
                </c:pt>
                <c:pt idx="1564">
                  <c:v>578.41999999999996</c:v>
                </c:pt>
                <c:pt idx="1565">
                  <c:v>577.9</c:v>
                </c:pt>
                <c:pt idx="1566">
                  <c:v>577.54999999999995</c:v>
                </c:pt>
                <c:pt idx="1567">
                  <c:v>576.20000000000005</c:v>
                </c:pt>
                <c:pt idx="1568">
                  <c:v>577.15</c:v>
                </c:pt>
                <c:pt idx="1569">
                  <c:v>575.73</c:v>
                </c:pt>
                <c:pt idx="1570">
                  <c:v>575.52</c:v>
                </c:pt>
                <c:pt idx="1571">
                  <c:v>574.38</c:v>
                </c:pt>
                <c:pt idx="1572">
                  <c:v>573.32000000000005</c:v>
                </c:pt>
                <c:pt idx="1573">
                  <c:v>577.15</c:v>
                </c:pt>
                <c:pt idx="1574">
                  <c:v>573.34</c:v>
                </c:pt>
                <c:pt idx="1575">
                  <c:v>575.6</c:v>
                </c:pt>
                <c:pt idx="1576">
                  <c:v>576.72</c:v>
                </c:pt>
                <c:pt idx="1577">
                  <c:v>576.27</c:v>
                </c:pt>
                <c:pt idx="1578">
                  <c:v>575.17999999999995</c:v>
                </c:pt>
                <c:pt idx="1579">
                  <c:v>576.67999999999995</c:v>
                </c:pt>
                <c:pt idx="1580">
                  <c:v>576.32000000000005</c:v>
                </c:pt>
                <c:pt idx="1581">
                  <c:v>575.4</c:v>
                </c:pt>
                <c:pt idx="1582">
                  <c:v>573.12</c:v>
                </c:pt>
                <c:pt idx="1583">
                  <c:v>573.12</c:v>
                </c:pt>
                <c:pt idx="1584">
                  <c:v>571.67999999999995</c:v>
                </c:pt>
                <c:pt idx="1585">
                  <c:v>568.41999999999996</c:v>
                </c:pt>
                <c:pt idx="1586">
                  <c:v>572.29</c:v>
                </c:pt>
                <c:pt idx="1587">
                  <c:v>572.12</c:v>
                </c:pt>
                <c:pt idx="1588">
                  <c:v>569.87</c:v>
                </c:pt>
                <c:pt idx="1589">
                  <c:v>569.62</c:v>
                </c:pt>
                <c:pt idx="1590">
                  <c:v>572.20000000000005</c:v>
                </c:pt>
                <c:pt idx="1591">
                  <c:v>571.82000000000005</c:v>
                </c:pt>
                <c:pt idx="1592">
                  <c:v>569.84</c:v>
                </c:pt>
                <c:pt idx="1593">
                  <c:v>569.75</c:v>
                </c:pt>
                <c:pt idx="1594">
                  <c:v>571.22</c:v>
                </c:pt>
                <c:pt idx="1595">
                  <c:v>569.27</c:v>
                </c:pt>
                <c:pt idx="1596">
                  <c:v>572.64</c:v>
                </c:pt>
                <c:pt idx="1597">
                  <c:v>571.35</c:v>
                </c:pt>
                <c:pt idx="1598">
                  <c:v>570.30999999999995</c:v>
                </c:pt>
                <c:pt idx="1599">
                  <c:v>571.9</c:v>
                </c:pt>
                <c:pt idx="1600">
                  <c:v>570.03</c:v>
                </c:pt>
                <c:pt idx="1601">
                  <c:v>572.4</c:v>
                </c:pt>
                <c:pt idx="1602">
                  <c:v>571.9</c:v>
                </c:pt>
                <c:pt idx="1603">
                  <c:v>569.38</c:v>
                </c:pt>
                <c:pt idx="1604">
                  <c:v>568.9</c:v>
                </c:pt>
                <c:pt idx="1605">
                  <c:v>570.28</c:v>
                </c:pt>
                <c:pt idx="1606">
                  <c:v>569.75</c:v>
                </c:pt>
                <c:pt idx="1607">
                  <c:v>568.45000000000005</c:v>
                </c:pt>
                <c:pt idx="1608">
                  <c:v>565.27</c:v>
                </c:pt>
                <c:pt idx="1609">
                  <c:v>565.57000000000005</c:v>
                </c:pt>
                <c:pt idx="1610">
                  <c:v>565.54</c:v>
                </c:pt>
                <c:pt idx="1611">
                  <c:v>567.63</c:v>
                </c:pt>
                <c:pt idx="1612">
                  <c:v>568.6</c:v>
                </c:pt>
                <c:pt idx="1613">
                  <c:v>568.11</c:v>
                </c:pt>
                <c:pt idx="1614">
                  <c:v>568.07000000000005</c:v>
                </c:pt>
                <c:pt idx="1615">
                  <c:v>568.29999999999995</c:v>
                </c:pt>
                <c:pt idx="1616">
                  <c:v>568.4</c:v>
                </c:pt>
                <c:pt idx="1617">
                  <c:v>566.33000000000004</c:v>
                </c:pt>
                <c:pt idx="1618">
                  <c:v>568.1</c:v>
                </c:pt>
                <c:pt idx="1619">
                  <c:v>568.13</c:v>
                </c:pt>
                <c:pt idx="1620">
                  <c:v>568.52</c:v>
                </c:pt>
                <c:pt idx="1621">
                  <c:v>568.82000000000005</c:v>
                </c:pt>
                <c:pt idx="1622">
                  <c:v>567.33000000000004</c:v>
                </c:pt>
                <c:pt idx="1623">
                  <c:v>567.72</c:v>
                </c:pt>
                <c:pt idx="1624">
                  <c:v>567.88</c:v>
                </c:pt>
                <c:pt idx="1625">
                  <c:v>567.13</c:v>
                </c:pt>
                <c:pt idx="1626">
                  <c:v>568.70000000000005</c:v>
                </c:pt>
                <c:pt idx="1627">
                  <c:v>565.79999999999995</c:v>
                </c:pt>
                <c:pt idx="1628">
                  <c:v>565.54999999999995</c:v>
                </c:pt>
                <c:pt idx="1629">
                  <c:v>568.15</c:v>
                </c:pt>
                <c:pt idx="1630">
                  <c:v>565.79999999999995</c:v>
                </c:pt>
                <c:pt idx="1631">
                  <c:v>570</c:v>
                </c:pt>
                <c:pt idx="1632">
                  <c:v>570</c:v>
                </c:pt>
                <c:pt idx="1633">
                  <c:v>565.79999999999995</c:v>
                </c:pt>
                <c:pt idx="1634">
                  <c:v>570.25</c:v>
                </c:pt>
                <c:pt idx="1635">
                  <c:v>566.29999999999995</c:v>
                </c:pt>
                <c:pt idx="1636">
                  <c:v>571.4</c:v>
                </c:pt>
                <c:pt idx="1637">
                  <c:v>571.4</c:v>
                </c:pt>
                <c:pt idx="1638">
                  <c:v>566.79999999999995</c:v>
                </c:pt>
                <c:pt idx="1639">
                  <c:v>566.79999999999995</c:v>
                </c:pt>
                <c:pt idx="1640">
                  <c:v>566.79999999999995</c:v>
                </c:pt>
                <c:pt idx="1641">
                  <c:v>571.67999999999995</c:v>
                </c:pt>
                <c:pt idx="1642">
                  <c:v>566.79999999999995</c:v>
                </c:pt>
                <c:pt idx="1643">
                  <c:v>566.79999999999995</c:v>
                </c:pt>
                <c:pt idx="1644">
                  <c:v>571.98</c:v>
                </c:pt>
                <c:pt idx="1645">
                  <c:v>571.85</c:v>
                </c:pt>
                <c:pt idx="1646">
                  <c:v>571.78</c:v>
                </c:pt>
                <c:pt idx="1647">
                  <c:v>571</c:v>
                </c:pt>
                <c:pt idx="1648">
                  <c:v>570.28</c:v>
                </c:pt>
                <c:pt idx="1649">
                  <c:v>569.77</c:v>
                </c:pt>
                <c:pt idx="1650">
                  <c:v>566.79999999999995</c:v>
                </c:pt>
                <c:pt idx="1651">
                  <c:v>570.88</c:v>
                </c:pt>
                <c:pt idx="1652">
                  <c:v>566.79999999999995</c:v>
                </c:pt>
                <c:pt idx="1653">
                  <c:v>570.71</c:v>
                </c:pt>
                <c:pt idx="1654">
                  <c:v>571.22</c:v>
                </c:pt>
                <c:pt idx="1655">
                  <c:v>570.6</c:v>
                </c:pt>
                <c:pt idx="1656">
                  <c:v>571</c:v>
                </c:pt>
                <c:pt idx="1657">
                  <c:v>571.03</c:v>
                </c:pt>
                <c:pt idx="1658">
                  <c:v>570.45000000000005</c:v>
                </c:pt>
                <c:pt idx="1659">
                  <c:v>571.38</c:v>
                </c:pt>
                <c:pt idx="1660">
                  <c:v>571.29999999999995</c:v>
                </c:pt>
                <c:pt idx="1661">
                  <c:v>572.98</c:v>
                </c:pt>
                <c:pt idx="1662">
                  <c:v>571.73</c:v>
                </c:pt>
                <c:pt idx="1663">
                  <c:v>574.72</c:v>
                </c:pt>
                <c:pt idx="1664">
                  <c:v>573</c:v>
                </c:pt>
                <c:pt idx="1665">
                  <c:v>573.08000000000004</c:v>
                </c:pt>
                <c:pt idx="1666">
                  <c:v>576.45000000000005</c:v>
                </c:pt>
                <c:pt idx="1667">
                  <c:v>574.41999999999996</c:v>
                </c:pt>
                <c:pt idx="1668">
                  <c:v>571.02</c:v>
                </c:pt>
                <c:pt idx="1669">
                  <c:v>570.52</c:v>
                </c:pt>
                <c:pt idx="1670">
                  <c:v>570.38</c:v>
                </c:pt>
                <c:pt idx="1671">
                  <c:v>571.83000000000004</c:v>
                </c:pt>
                <c:pt idx="1672">
                  <c:v>571.63</c:v>
                </c:pt>
                <c:pt idx="1673">
                  <c:v>570.08000000000004</c:v>
                </c:pt>
                <c:pt idx="1674">
                  <c:v>570.46</c:v>
                </c:pt>
                <c:pt idx="1675">
                  <c:v>570.15</c:v>
                </c:pt>
                <c:pt idx="1676">
                  <c:v>571.82000000000005</c:v>
                </c:pt>
                <c:pt idx="1677">
                  <c:v>571.54999999999995</c:v>
                </c:pt>
                <c:pt idx="1678">
                  <c:v>570</c:v>
                </c:pt>
                <c:pt idx="1679">
                  <c:v>570.13</c:v>
                </c:pt>
                <c:pt idx="1680">
                  <c:v>571.6</c:v>
                </c:pt>
                <c:pt idx="1681">
                  <c:v>569.86</c:v>
                </c:pt>
                <c:pt idx="1682">
                  <c:v>569.9</c:v>
                </c:pt>
                <c:pt idx="1683">
                  <c:v>569.88</c:v>
                </c:pt>
                <c:pt idx="1684">
                  <c:v>569.88</c:v>
                </c:pt>
                <c:pt idx="1685">
                  <c:v>569.88</c:v>
                </c:pt>
                <c:pt idx="1686">
                  <c:v>569.78</c:v>
                </c:pt>
                <c:pt idx="1687">
                  <c:v>569.78</c:v>
                </c:pt>
                <c:pt idx="1688">
                  <c:v>570.82000000000005</c:v>
                </c:pt>
                <c:pt idx="1689">
                  <c:v>569.4</c:v>
                </c:pt>
                <c:pt idx="1690">
                  <c:v>568.9</c:v>
                </c:pt>
                <c:pt idx="1691">
                  <c:v>568.03</c:v>
                </c:pt>
                <c:pt idx="1692">
                  <c:v>567.92999999999995</c:v>
                </c:pt>
                <c:pt idx="1693">
                  <c:v>566.98</c:v>
                </c:pt>
                <c:pt idx="1694">
                  <c:v>566.91999999999996</c:v>
                </c:pt>
                <c:pt idx="1695">
                  <c:v>566.9</c:v>
                </c:pt>
                <c:pt idx="1696">
                  <c:v>566.77</c:v>
                </c:pt>
                <c:pt idx="1697">
                  <c:v>567.1</c:v>
                </c:pt>
                <c:pt idx="1698">
                  <c:v>567.08000000000004</c:v>
                </c:pt>
                <c:pt idx="1699">
                  <c:v>567.08000000000004</c:v>
                </c:pt>
                <c:pt idx="1700">
                  <c:v>567.08000000000004</c:v>
                </c:pt>
                <c:pt idx="1701">
                  <c:v>567.08000000000004</c:v>
                </c:pt>
                <c:pt idx="1702">
                  <c:v>567.08000000000004</c:v>
                </c:pt>
                <c:pt idx="1703">
                  <c:v>566.79999999999995</c:v>
                </c:pt>
                <c:pt idx="1704">
                  <c:v>567.1</c:v>
                </c:pt>
                <c:pt idx="1705">
                  <c:v>567.45000000000005</c:v>
                </c:pt>
                <c:pt idx="1706">
                  <c:v>567.95000000000005</c:v>
                </c:pt>
                <c:pt idx="1707">
                  <c:v>567.6</c:v>
                </c:pt>
                <c:pt idx="1708">
                  <c:v>567.12</c:v>
                </c:pt>
                <c:pt idx="1709">
                  <c:v>567.12</c:v>
                </c:pt>
                <c:pt idx="1710">
                  <c:v>566.85</c:v>
                </c:pt>
                <c:pt idx="1711">
                  <c:v>565.5</c:v>
                </c:pt>
                <c:pt idx="1712">
                  <c:v>565.75</c:v>
                </c:pt>
                <c:pt idx="1713">
                  <c:v>565.12</c:v>
                </c:pt>
                <c:pt idx="1714">
                  <c:v>565.1</c:v>
                </c:pt>
                <c:pt idx="1715">
                  <c:v>565.20000000000005</c:v>
                </c:pt>
                <c:pt idx="1716">
                  <c:v>565.25</c:v>
                </c:pt>
                <c:pt idx="1717">
                  <c:v>565.58000000000004</c:v>
                </c:pt>
                <c:pt idx="1718">
                  <c:v>565.41999999999996</c:v>
                </c:pt>
                <c:pt idx="1719">
                  <c:v>565.35</c:v>
                </c:pt>
                <c:pt idx="1720">
                  <c:v>565.48</c:v>
                </c:pt>
                <c:pt idx="1721">
                  <c:v>565.5</c:v>
                </c:pt>
                <c:pt idx="1722">
                  <c:v>565.38</c:v>
                </c:pt>
                <c:pt idx="1723">
                  <c:v>565.38</c:v>
                </c:pt>
                <c:pt idx="1724">
                  <c:v>565.95000000000005</c:v>
                </c:pt>
                <c:pt idx="1725">
                  <c:v>566</c:v>
                </c:pt>
                <c:pt idx="1726">
                  <c:v>566.12</c:v>
                </c:pt>
                <c:pt idx="1727">
                  <c:v>565.83000000000004</c:v>
                </c:pt>
                <c:pt idx="1728">
                  <c:v>566.38</c:v>
                </c:pt>
                <c:pt idx="1729">
                  <c:v>566.38</c:v>
                </c:pt>
                <c:pt idx="1730">
                  <c:v>566.38</c:v>
                </c:pt>
                <c:pt idx="1731">
                  <c:v>566.38</c:v>
                </c:pt>
                <c:pt idx="1732">
                  <c:v>565.83000000000004</c:v>
                </c:pt>
                <c:pt idx="1733">
                  <c:v>565.36</c:v>
                </c:pt>
                <c:pt idx="1734">
                  <c:v>566</c:v>
                </c:pt>
                <c:pt idx="1735">
                  <c:v>565.33000000000004</c:v>
                </c:pt>
                <c:pt idx="1736">
                  <c:v>565.25</c:v>
                </c:pt>
                <c:pt idx="1737">
                  <c:v>565.25</c:v>
                </c:pt>
                <c:pt idx="1738">
                  <c:v>564.16</c:v>
                </c:pt>
                <c:pt idx="1739">
                  <c:v>565.12</c:v>
                </c:pt>
                <c:pt idx="1740">
                  <c:v>565.54999999999995</c:v>
                </c:pt>
                <c:pt idx="1741">
                  <c:v>565</c:v>
                </c:pt>
                <c:pt idx="1742">
                  <c:v>565.74</c:v>
                </c:pt>
                <c:pt idx="1743">
                  <c:v>565.75</c:v>
                </c:pt>
                <c:pt idx="1744">
                  <c:v>566.33000000000004</c:v>
                </c:pt>
                <c:pt idx="1745">
                  <c:v>564.65</c:v>
                </c:pt>
                <c:pt idx="1746">
                  <c:v>566.48</c:v>
                </c:pt>
                <c:pt idx="1747">
                  <c:v>567.70000000000005</c:v>
                </c:pt>
                <c:pt idx="1748">
                  <c:v>568.42999999999995</c:v>
                </c:pt>
                <c:pt idx="1749">
                  <c:v>567.12</c:v>
                </c:pt>
                <c:pt idx="1750">
                  <c:v>567</c:v>
                </c:pt>
                <c:pt idx="1751">
                  <c:v>565.82000000000005</c:v>
                </c:pt>
                <c:pt idx="1752">
                  <c:v>567.38</c:v>
                </c:pt>
                <c:pt idx="1753">
                  <c:v>567.65</c:v>
                </c:pt>
                <c:pt idx="1754">
                  <c:v>565.21</c:v>
                </c:pt>
                <c:pt idx="1755">
                  <c:v>567.75</c:v>
                </c:pt>
                <c:pt idx="1756">
                  <c:v>567.73</c:v>
                </c:pt>
                <c:pt idx="1757">
                  <c:v>567.73</c:v>
                </c:pt>
                <c:pt idx="1758">
                  <c:v>567.25</c:v>
                </c:pt>
                <c:pt idx="1759">
                  <c:v>567.25</c:v>
                </c:pt>
                <c:pt idx="1760">
                  <c:v>567.54999999999995</c:v>
                </c:pt>
                <c:pt idx="1761">
                  <c:v>567.23</c:v>
                </c:pt>
                <c:pt idx="1762">
                  <c:v>567.15</c:v>
                </c:pt>
                <c:pt idx="1763">
                  <c:v>567.15</c:v>
                </c:pt>
                <c:pt idx="1764">
                  <c:v>567.33000000000004</c:v>
                </c:pt>
                <c:pt idx="1765">
                  <c:v>566.5</c:v>
                </c:pt>
                <c:pt idx="1766">
                  <c:v>567.26</c:v>
                </c:pt>
                <c:pt idx="1767">
                  <c:v>567.38</c:v>
                </c:pt>
                <c:pt idx="1768">
                  <c:v>567.65</c:v>
                </c:pt>
                <c:pt idx="1769">
                  <c:v>567.52</c:v>
                </c:pt>
                <c:pt idx="1770">
                  <c:v>567.52</c:v>
                </c:pt>
                <c:pt idx="1771">
                  <c:v>567.15</c:v>
                </c:pt>
                <c:pt idx="1772">
                  <c:v>567.14</c:v>
                </c:pt>
                <c:pt idx="1773">
                  <c:v>567.1</c:v>
                </c:pt>
                <c:pt idx="1774">
                  <c:v>567.15</c:v>
                </c:pt>
                <c:pt idx="1775">
                  <c:v>567.08000000000004</c:v>
                </c:pt>
                <c:pt idx="1776">
                  <c:v>567.33000000000004</c:v>
                </c:pt>
                <c:pt idx="1777">
                  <c:v>567.4</c:v>
                </c:pt>
                <c:pt idx="1778">
                  <c:v>565.03</c:v>
                </c:pt>
                <c:pt idx="1779">
                  <c:v>567.48</c:v>
                </c:pt>
                <c:pt idx="1780">
                  <c:v>566.66999999999996</c:v>
                </c:pt>
                <c:pt idx="1781">
                  <c:v>567.23</c:v>
                </c:pt>
                <c:pt idx="1782">
                  <c:v>567.25</c:v>
                </c:pt>
                <c:pt idx="1783">
                  <c:v>566.91999999999996</c:v>
                </c:pt>
                <c:pt idx="1784">
                  <c:v>567.05999999999995</c:v>
                </c:pt>
                <c:pt idx="1785">
                  <c:v>566.85</c:v>
                </c:pt>
                <c:pt idx="1786">
                  <c:v>566.95000000000005</c:v>
                </c:pt>
                <c:pt idx="1787">
                  <c:v>567.16999999999996</c:v>
                </c:pt>
                <c:pt idx="1788">
                  <c:v>567.33000000000004</c:v>
                </c:pt>
                <c:pt idx="1789">
                  <c:v>567</c:v>
                </c:pt>
                <c:pt idx="1790">
                  <c:v>563.46</c:v>
                </c:pt>
                <c:pt idx="1791">
                  <c:v>567.52</c:v>
                </c:pt>
                <c:pt idx="1792">
                  <c:v>567.5</c:v>
                </c:pt>
                <c:pt idx="1793">
                  <c:v>567.5</c:v>
                </c:pt>
                <c:pt idx="1794">
                  <c:v>567.15</c:v>
                </c:pt>
                <c:pt idx="1795">
                  <c:v>566.95000000000005</c:v>
                </c:pt>
                <c:pt idx="1796">
                  <c:v>567.22</c:v>
                </c:pt>
                <c:pt idx="1797">
                  <c:v>567.15</c:v>
                </c:pt>
                <c:pt idx="1798">
                  <c:v>567.16999999999996</c:v>
                </c:pt>
                <c:pt idx="1799">
                  <c:v>567.45000000000005</c:v>
                </c:pt>
                <c:pt idx="1800">
                  <c:v>567.45000000000005</c:v>
                </c:pt>
                <c:pt idx="1801">
                  <c:v>567.38</c:v>
                </c:pt>
                <c:pt idx="1802">
                  <c:v>567.16999999999996</c:v>
                </c:pt>
                <c:pt idx="1803">
                  <c:v>567.33000000000004</c:v>
                </c:pt>
                <c:pt idx="1804">
                  <c:v>567.45000000000005</c:v>
                </c:pt>
                <c:pt idx="1805">
                  <c:v>567.25</c:v>
                </c:pt>
                <c:pt idx="1806">
                  <c:v>567.41999999999996</c:v>
                </c:pt>
                <c:pt idx="1807">
                  <c:v>567.35</c:v>
                </c:pt>
                <c:pt idx="1808">
                  <c:v>567.36</c:v>
                </c:pt>
                <c:pt idx="1809">
                  <c:v>567.35</c:v>
                </c:pt>
                <c:pt idx="1810">
                  <c:v>567.45000000000005</c:v>
                </c:pt>
                <c:pt idx="1811">
                  <c:v>567.45000000000005</c:v>
                </c:pt>
                <c:pt idx="1812">
                  <c:v>567.48</c:v>
                </c:pt>
                <c:pt idx="1813">
                  <c:v>568.16</c:v>
                </c:pt>
                <c:pt idx="1814">
                  <c:v>567.21</c:v>
                </c:pt>
                <c:pt idx="1815">
                  <c:v>567.54999999999995</c:v>
                </c:pt>
                <c:pt idx="1816">
                  <c:v>567.98</c:v>
                </c:pt>
                <c:pt idx="1817">
                  <c:v>568.16999999999996</c:v>
                </c:pt>
                <c:pt idx="1818">
                  <c:v>568.35</c:v>
                </c:pt>
                <c:pt idx="1819">
                  <c:v>568.91999999999996</c:v>
                </c:pt>
                <c:pt idx="1820">
                  <c:v>566.23</c:v>
                </c:pt>
                <c:pt idx="1821">
                  <c:v>569</c:v>
                </c:pt>
                <c:pt idx="1822">
                  <c:v>569</c:v>
                </c:pt>
                <c:pt idx="1823">
                  <c:v>570</c:v>
                </c:pt>
                <c:pt idx="1824">
                  <c:v>571.9</c:v>
                </c:pt>
                <c:pt idx="1825">
                  <c:v>573.66999999999996</c:v>
                </c:pt>
                <c:pt idx="1826">
                  <c:v>572.16</c:v>
                </c:pt>
                <c:pt idx="1827">
                  <c:v>576.98</c:v>
                </c:pt>
                <c:pt idx="1828">
                  <c:v>580.62</c:v>
                </c:pt>
                <c:pt idx="1829">
                  <c:v>582.35</c:v>
                </c:pt>
                <c:pt idx="1830">
                  <c:v>584.38</c:v>
                </c:pt>
                <c:pt idx="1831">
                  <c:v>582.79999999999995</c:v>
                </c:pt>
                <c:pt idx="1832">
                  <c:v>584.91999999999996</c:v>
                </c:pt>
                <c:pt idx="1833">
                  <c:v>582.46</c:v>
                </c:pt>
                <c:pt idx="1834">
                  <c:v>579.77</c:v>
                </c:pt>
                <c:pt idx="1835">
                  <c:v>578.85</c:v>
                </c:pt>
                <c:pt idx="1836">
                  <c:v>580.25</c:v>
                </c:pt>
                <c:pt idx="1837">
                  <c:v>577.52</c:v>
                </c:pt>
                <c:pt idx="1838">
                  <c:v>580.28</c:v>
                </c:pt>
                <c:pt idx="1839">
                  <c:v>577.98</c:v>
                </c:pt>
                <c:pt idx="1840">
                  <c:v>578.6</c:v>
                </c:pt>
                <c:pt idx="1841">
                  <c:v>578.83000000000004</c:v>
                </c:pt>
                <c:pt idx="1842">
                  <c:v>577.38</c:v>
                </c:pt>
                <c:pt idx="1843">
                  <c:v>579.02</c:v>
                </c:pt>
                <c:pt idx="1844">
                  <c:v>578.41999999999996</c:v>
                </c:pt>
                <c:pt idx="1845">
                  <c:v>578.88</c:v>
                </c:pt>
                <c:pt idx="1846">
                  <c:v>579.38</c:v>
                </c:pt>
                <c:pt idx="1847">
                  <c:v>578.1</c:v>
                </c:pt>
                <c:pt idx="1848">
                  <c:v>578.12</c:v>
                </c:pt>
                <c:pt idx="1849">
                  <c:v>579.1</c:v>
                </c:pt>
                <c:pt idx="1850">
                  <c:v>579.26</c:v>
                </c:pt>
                <c:pt idx="1851">
                  <c:v>582.20000000000005</c:v>
                </c:pt>
                <c:pt idx="1852">
                  <c:v>582.48</c:v>
                </c:pt>
                <c:pt idx="1853">
                  <c:v>582.5</c:v>
                </c:pt>
                <c:pt idx="1854">
                  <c:v>586</c:v>
                </c:pt>
                <c:pt idx="1855">
                  <c:v>586.66999999999996</c:v>
                </c:pt>
                <c:pt idx="1856">
                  <c:v>582.49</c:v>
                </c:pt>
                <c:pt idx="1857">
                  <c:v>586.16999999999996</c:v>
                </c:pt>
                <c:pt idx="1858">
                  <c:v>590.41999999999996</c:v>
                </c:pt>
                <c:pt idx="1859">
                  <c:v>592.1</c:v>
                </c:pt>
                <c:pt idx="1860">
                  <c:v>594.16999999999996</c:v>
                </c:pt>
                <c:pt idx="1861">
                  <c:v>594</c:v>
                </c:pt>
                <c:pt idx="1862">
                  <c:v>593.98</c:v>
                </c:pt>
                <c:pt idx="1863">
                  <c:v>594</c:v>
                </c:pt>
                <c:pt idx="1864">
                  <c:v>593.75</c:v>
                </c:pt>
                <c:pt idx="1865">
                  <c:v>595.51</c:v>
                </c:pt>
                <c:pt idx="1866">
                  <c:v>593.08000000000004</c:v>
                </c:pt>
                <c:pt idx="1867">
                  <c:v>593.08000000000004</c:v>
                </c:pt>
                <c:pt idx="1868">
                  <c:v>592.92999999999995</c:v>
                </c:pt>
                <c:pt idx="1869">
                  <c:v>592.97</c:v>
                </c:pt>
              </c:numCache>
            </c:numRef>
          </c:val>
          <c:smooth val="0"/>
          <c:extLst>
            <c:ext xmlns:c16="http://schemas.microsoft.com/office/drawing/2014/chart" uri="{C3380CC4-5D6E-409C-BE32-E72D297353CC}">
              <c16:uniqueId val="{00000000-2FAB-7A4B-AF70-543343761912}"/>
            </c:ext>
          </c:extLst>
        </c:ser>
        <c:dLbls>
          <c:showLegendKey val="0"/>
          <c:showVal val="0"/>
          <c:showCatName val="0"/>
          <c:showSerName val="0"/>
          <c:showPercent val="0"/>
          <c:showBubbleSize val="0"/>
        </c:dLbls>
        <c:smooth val="0"/>
        <c:axId val="1626023792"/>
        <c:axId val="1626025472"/>
      </c:lineChart>
      <c:catAx>
        <c:axId val="162602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26025472"/>
        <c:crosses val="autoZero"/>
        <c:auto val="1"/>
        <c:lblAlgn val="ctr"/>
        <c:lblOffset val="100"/>
        <c:noMultiLvlLbl val="0"/>
      </c:catAx>
      <c:valAx>
        <c:axId val="1626025472"/>
        <c:scaling>
          <c:orientation val="minMax"/>
          <c:min val="43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26023792"/>
        <c:crosses val="autoZero"/>
        <c:crossBetween val="between"/>
        <c:majorUnit val="3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Consolidada20190929.xlsx]Dinamica Dash!PivotTable3</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Comportamiento Indicador</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'Dinamica Dash'!$I$4:$I$5</c:f>
              <c:strCache>
                <c:ptCount val="1"/>
                <c:pt idx="0">
                  <c:v>% Var. 2013 vs 2014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'Dinamica Dash'!$H$6</c:f>
              <c:strCache>
                <c:ptCount val="1"/>
                <c:pt idx="0">
                  <c:v>Total</c:v>
                </c:pt>
              </c:strCache>
            </c:strRef>
          </c:cat>
          <c:val>
            <c:numRef>
              <c:f>'Dinamica Dash'!$I$6</c:f>
              <c:numCache>
                <c:formatCode>0.00</c:formatCode>
                <c:ptCount val="1"/>
                <c:pt idx="0">
                  <c:v>-0.59464662544889113</c:v>
                </c:pt>
              </c:numCache>
            </c:numRef>
          </c:val>
          <c:extLst>
            <c:ext xmlns:c16="http://schemas.microsoft.com/office/drawing/2014/chart" uri="{C3380CC4-5D6E-409C-BE32-E72D297353CC}">
              <c16:uniqueId val="{00000000-B2DF-496B-94C7-B8C7D3514CC9}"/>
            </c:ext>
          </c:extLst>
        </c:ser>
        <c:ser>
          <c:idx val="1"/>
          <c:order val="1"/>
          <c:tx>
            <c:strRef>
              <c:f>'Dinamica Dash'!$J$4:$J$5</c:f>
              <c:strCache>
                <c:ptCount val="1"/>
                <c:pt idx="0">
                  <c:v>% Var. 2014 vs 2015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'Dinamica Dash'!$H$6</c:f>
              <c:strCache>
                <c:ptCount val="1"/>
                <c:pt idx="0">
                  <c:v>Total</c:v>
                </c:pt>
              </c:strCache>
            </c:strRef>
          </c:cat>
          <c:val>
            <c:numRef>
              <c:f>'Dinamica Dash'!$J$6</c:f>
              <c:numCache>
                <c:formatCode>0.00</c:formatCode>
                <c:ptCount val="1"/>
                <c:pt idx="0">
                  <c:v>-2.4419125034249705</c:v>
                </c:pt>
              </c:numCache>
            </c:numRef>
          </c:val>
          <c:extLst>
            <c:ext xmlns:c16="http://schemas.microsoft.com/office/drawing/2014/chart" uri="{C3380CC4-5D6E-409C-BE32-E72D297353CC}">
              <c16:uniqueId val="{00000001-B2DF-496B-94C7-B8C7D3514CC9}"/>
            </c:ext>
          </c:extLst>
        </c:ser>
        <c:ser>
          <c:idx val="2"/>
          <c:order val="2"/>
          <c:tx>
            <c:strRef>
              <c:f>'Dinamica Dash'!$K$4:$K$5</c:f>
              <c:strCache>
                <c:ptCount val="1"/>
                <c:pt idx="0">
                  <c:v>% Var. 2015 vs 2016</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'Dinamica Dash'!$H$6</c:f>
              <c:strCache>
                <c:ptCount val="1"/>
                <c:pt idx="0">
                  <c:v>Total</c:v>
                </c:pt>
              </c:strCache>
            </c:strRef>
          </c:cat>
          <c:val>
            <c:numRef>
              <c:f>'Dinamica Dash'!$K$6</c:f>
              <c:numCache>
                <c:formatCode>0.00</c:formatCode>
                <c:ptCount val="1"/>
                <c:pt idx="0">
                  <c:v>0.9644022169437847</c:v>
                </c:pt>
              </c:numCache>
            </c:numRef>
          </c:val>
          <c:extLst>
            <c:ext xmlns:c16="http://schemas.microsoft.com/office/drawing/2014/chart" uri="{C3380CC4-5D6E-409C-BE32-E72D297353CC}">
              <c16:uniqueId val="{00000002-B2DF-496B-94C7-B8C7D3514CC9}"/>
            </c:ext>
          </c:extLst>
        </c:ser>
        <c:ser>
          <c:idx val="3"/>
          <c:order val="3"/>
          <c:tx>
            <c:strRef>
              <c:f>'Dinamica Dash'!$L$4:$L$5</c:f>
              <c:strCache>
                <c:ptCount val="1"/>
                <c:pt idx="0">
                  <c:v>% Var. 2016 vs 2017</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F4AD-4828-8D23-57B899B11E8A}"/>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4AD-4828-8D23-57B899B11E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'Dinamica Dash'!$H$6</c:f>
              <c:strCache>
                <c:ptCount val="1"/>
                <c:pt idx="0">
                  <c:v>Total</c:v>
                </c:pt>
              </c:strCache>
            </c:strRef>
          </c:cat>
          <c:val>
            <c:numRef>
              <c:f>'Dinamica Dash'!$L$6</c:f>
              <c:numCache>
                <c:formatCode>0.00</c:formatCode>
                <c:ptCount val="1"/>
                <c:pt idx="0">
                  <c:v>-2.5586044561957899E-2</c:v>
                </c:pt>
              </c:numCache>
            </c:numRef>
          </c:val>
          <c:extLst>
            <c:ext xmlns:c16="http://schemas.microsoft.com/office/drawing/2014/chart" uri="{C3380CC4-5D6E-409C-BE32-E72D297353CC}">
              <c16:uniqueId val="{00000003-B2DF-496B-94C7-B8C7D3514CC9}"/>
            </c:ext>
          </c:extLst>
        </c:ser>
        <c:ser>
          <c:idx val="4"/>
          <c:order val="4"/>
          <c:tx>
            <c:strRef>
              <c:f>'Dinamica Dash'!$M$4:$M$5</c:f>
              <c:strCache>
                <c:ptCount val="1"/>
                <c:pt idx="0">
                  <c:v>% Var. 2017 vs 2018</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'Dinamica Dash'!$H$6</c:f>
              <c:strCache>
                <c:ptCount val="1"/>
                <c:pt idx="0">
                  <c:v>Total</c:v>
                </c:pt>
              </c:strCache>
            </c:strRef>
          </c:cat>
          <c:val>
            <c:numRef>
              <c:f>'Dinamica Dash'!$M$6</c:f>
              <c:numCache>
                <c:formatCode>0.00</c:formatCode>
                <c:ptCount val="1"/>
                <c:pt idx="0">
                  <c:v>-0.46703287612303312</c:v>
                </c:pt>
              </c:numCache>
            </c:numRef>
          </c:val>
          <c:extLst>
            <c:ext xmlns:c16="http://schemas.microsoft.com/office/drawing/2014/chart" uri="{C3380CC4-5D6E-409C-BE32-E72D297353CC}">
              <c16:uniqueId val="{00000002-B6FB-4E3F-B9D1-EE407C2D7B04}"/>
            </c:ext>
          </c:extLst>
        </c:ser>
        <c:dLbls>
          <c:showLegendKey val="0"/>
          <c:showVal val="0"/>
          <c:showCatName val="0"/>
          <c:showSerName val="0"/>
          <c:showPercent val="0"/>
          <c:showBubbleSize val="0"/>
        </c:dLbls>
        <c:gapWidth val="75"/>
        <c:overlap val="-25"/>
        <c:axId val="1207142272"/>
        <c:axId val="1207146208"/>
      </c:barChart>
      <c:catAx>
        <c:axId val="12071422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207146208"/>
        <c:crosses val="autoZero"/>
        <c:auto val="1"/>
        <c:lblAlgn val="ctr"/>
        <c:lblOffset val="100"/>
        <c:noMultiLvlLbl val="0"/>
      </c:catAx>
      <c:valAx>
        <c:axId val="1207146208"/>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1207142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orientation="portrait"/>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[Informacion Consolidada20190929.xlsx]Hoja1!PivotTable1</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Producción de Cemento(Miles</a:t>
            </a:r>
            <a:r>
              <a:rPr lang="es-CO" baseline="0"/>
              <a:t> </a:t>
            </a:r>
            <a:r>
              <a:rPr lang="es-CO"/>
              <a:t>Toneladas)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Hoja1!$V$1:$V$2</c:f>
              <c:strCache>
                <c:ptCount val="1"/>
                <c:pt idx="0">
                  <c:v>Colombia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Hoja1!$U$3:$U$7</c:f>
              <c:strCache>
                <c:ptCount val="5"/>
                <c:pt idx="0">
                  <c:v>2.013</c:v>
                </c:pt>
                <c:pt idx="1">
                  <c:v>2.014</c:v>
                </c:pt>
                <c:pt idx="2">
                  <c:v>2.015</c:v>
                </c:pt>
                <c:pt idx="3">
                  <c:v>2.016*</c:v>
                </c:pt>
                <c:pt idx="4">
                  <c:v>2.017F**</c:v>
                </c:pt>
              </c:strCache>
            </c:strRef>
          </c:cat>
          <c:val>
            <c:numRef>
              <c:f>Hoja1!$V$3:$V$7</c:f>
              <c:numCache>
                <c:formatCode>General</c:formatCode>
                <c:ptCount val="5"/>
                <c:pt idx="0">
                  <c:v>11252</c:v>
                </c:pt>
                <c:pt idx="1">
                  <c:v>12404</c:v>
                </c:pt>
                <c:pt idx="2">
                  <c:v>13047</c:v>
                </c:pt>
                <c:pt idx="3">
                  <c:v>12495</c:v>
                </c:pt>
                <c:pt idx="4">
                  <c:v>12302</c:v>
                </c:pt>
              </c:numCache>
            </c:numRef>
          </c:val>
          <c:extLst>
            <c:ext xmlns:c16="http://schemas.microsoft.com/office/drawing/2014/chart" uri="{C3380CC4-5D6E-409C-BE32-E72D297353CC}">
              <c16:uniqueId val="{00000000-2782-4BE4-9406-224FCF5853FD}"/>
            </c:ext>
          </c:extLst>
        </c:ser>
        <c:ser>
          <c:idx val="1"/>
          <c:order val="1"/>
          <c:tx>
            <c:strRef>
              <c:f>Hoja1!$W$1:$W$2</c:f>
              <c:strCache>
                <c:ptCount val="1"/>
                <c:pt idx="0">
                  <c:v>Costa Rica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Hoja1!$U$3:$U$7</c:f>
              <c:strCache>
                <c:ptCount val="5"/>
                <c:pt idx="0">
                  <c:v>2.013</c:v>
                </c:pt>
                <c:pt idx="1">
                  <c:v>2.014</c:v>
                </c:pt>
                <c:pt idx="2">
                  <c:v>2.015</c:v>
                </c:pt>
                <c:pt idx="3">
                  <c:v>2.016*</c:v>
                </c:pt>
                <c:pt idx="4">
                  <c:v>2.017F**</c:v>
                </c:pt>
              </c:strCache>
            </c:strRef>
          </c:cat>
          <c:val>
            <c:numRef>
              <c:f>Hoja1!$W$3:$W$7</c:f>
              <c:numCache>
                <c:formatCode>General</c:formatCode>
                <c:ptCount val="5"/>
                <c:pt idx="0">
                  <c:v>1460</c:v>
                </c:pt>
                <c:pt idx="1">
                  <c:v>1470</c:v>
                </c:pt>
                <c:pt idx="2">
                  <c:v>1550</c:v>
                </c:pt>
                <c:pt idx="3">
                  <c:v>1620</c:v>
                </c:pt>
                <c:pt idx="4">
                  <c:v>1840</c:v>
                </c:pt>
              </c:numCache>
            </c:numRef>
          </c:val>
          <c:extLst>
            <c:ext xmlns:c16="http://schemas.microsoft.com/office/drawing/2014/chart" uri="{C3380CC4-5D6E-409C-BE32-E72D297353CC}">
              <c16:uniqueId val="{00000005-2782-4BE4-9406-224FCF5853FD}"/>
            </c:ext>
          </c:extLst>
        </c:ser>
        <c:ser>
          <c:idx val="2"/>
          <c:order val="2"/>
          <c:tx>
            <c:strRef>
              <c:f>Hoja1!$X$1:$X$2</c:f>
              <c:strCache>
                <c:ptCount val="1"/>
                <c:pt idx="0">
                  <c:v>El Salvador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Hoja1!$U$3:$U$7</c:f>
              <c:strCache>
                <c:ptCount val="5"/>
                <c:pt idx="0">
                  <c:v>2.013</c:v>
                </c:pt>
                <c:pt idx="1">
                  <c:v>2.014</c:v>
                </c:pt>
                <c:pt idx="2">
                  <c:v>2.015</c:v>
                </c:pt>
                <c:pt idx="3">
                  <c:v>2.016*</c:v>
                </c:pt>
                <c:pt idx="4">
                  <c:v>2.017F**</c:v>
                </c:pt>
              </c:strCache>
            </c:strRef>
          </c:cat>
          <c:val>
            <c:numRef>
              <c:f>Hoja1!$X$3:$X$7</c:f>
              <c:numCache>
                <c:formatCode>General</c:formatCode>
                <c:ptCount val="5"/>
                <c:pt idx="0">
                  <c:v>1015</c:v>
                </c:pt>
                <c:pt idx="1">
                  <c:v>954</c:v>
                </c:pt>
                <c:pt idx="2">
                  <c:v>998</c:v>
                </c:pt>
                <c:pt idx="3">
                  <c:v>990</c:v>
                </c:pt>
                <c:pt idx="4">
                  <c:v>990</c:v>
                </c:pt>
              </c:numCache>
            </c:numRef>
          </c:val>
          <c:extLst>
            <c:ext xmlns:c16="http://schemas.microsoft.com/office/drawing/2014/chart" uri="{C3380CC4-5D6E-409C-BE32-E72D297353CC}">
              <c16:uniqueId val="{00000006-2782-4BE4-9406-224FCF5853FD}"/>
            </c:ext>
          </c:extLst>
        </c:ser>
        <c:ser>
          <c:idx val="3"/>
          <c:order val="3"/>
          <c:tx>
            <c:strRef>
              <c:f>Hoja1!$Y$1:$Y$2</c:f>
              <c:strCache>
                <c:ptCount val="1"/>
                <c:pt idx="0">
                  <c:v>Guatemala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Hoja1!$U$3:$U$7</c:f>
              <c:strCache>
                <c:ptCount val="5"/>
                <c:pt idx="0">
                  <c:v>2.013</c:v>
                </c:pt>
                <c:pt idx="1">
                  <c:v>2.014</c:v>
                </c:pt>
                <c:pt idx="2">
                  <c:v>2.015</c:v>
                </c:pt>
                <c:pt idx="3">
                  <c:v>2.016*</c:v>
                </c:pt>
                <c:pt idx="4">
                  <c:v>2.017F**</c:v>
                </c:pt>
              </c:strCache>
            </c:strRef>
          </c:cat>
          <c:val>
            <c:numRef>
              <c:f>Hoja1!$Y$3:$Y$7</c:f>
              <c:numCache>
                <c:formatCode>General</c:formatCode>
                <c:ptCount val="5"/>
                <c:pt idx="0">
                  <c:v>2703</c:v>
                </c:pt>
                <c:pt idx="1">
                  <c:v>2861</c:v>
                </c:pt>
                <c:pt idx="2">
                  <c:v>3004</c:v>
                </c:pt>
                <c:pt idx="3">
                  <c:v>2900</c:v>
                </c:pt>
                <c:pt idx="4">
                  <c:v>3180</c:v>
                </c:pt>
              </c:numCache>
            </c:numRef>
          </c:val>
          <c:extLst>
            <c:ext xmlns:c16="http://schemas.microsoft.com/office/drawing/2014/chart" uri="{C3380CC4-5D6E-409C-BE32-E72D297353CC}">
              <c16:uniqueId val="{00000007-2782-4BE4-9406-224FCF5853FD}"/>
            </c:ext>
          </c:extLst>
        </c:ser>
        <c:ser>
          <c:idx val="4"/>
          <c:order val="4"/>
          <c:tx>
            <c:strRef>
              <c:f>Hoja1!$Z$1:$Z$2</c:f>
              <c:strCache>
                <c:ptCount val="1"/>
                <c:pt idx="0">
                  <c:v>Nicaragua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Hoja1!$U$3:$U$7</c:f>
              <c:strCache>
                <c:ptCount val="5"/>
                <c:pt idx="0">
                  <c:v>2.013</c:v>
                </c:pt>
                <c:pt idx="1">
                  <c:v>2.014</c:v>
                </c:pt>
                <c:pt idx="2">
                  <c:v>2.015</c:v>
                </c:pt>
                <c:pt idx="3">
                  <c:v>2.016*</c:v>
                </c:pt>
                <c:pt idx="4">
                  <c:v>2.017F**</c:v>
                </c:pt>
              </c:strCache>
            </c:strRef>
          </c:cat>
          <c:val>
            <c:numRef>
              <c:f>Hoja1!$Z$3:$Z$7</c:f>
              <c:numCache>
                <c:formatCode>General</c:formatCode>
                <c:ptCount val="5"/>
                <c:pt idx="0">
                  <c:v>650</c:v>
                </c:pt>
                <c:pt idx="1">
                  <c:v>640</c:v>
                </c:pt>
                <c:pt idx="2">
                  <c:v>740</c:v>
                </c:pt>
                <c:pt idx="3">
                  <c:v>810</c:v>
                </c:pt>
                <c:pt idx="4">
                  <c:v>870</c:v>
                </c:pt>
              </c:numCache>
            </c:numRef>
          </c:val>
          <c:extLst>
            <c:ext xmlns:c16="http://schemas.microsoft.com/office/drawing/2014/chart" uri="{C3380CC4-5D6E-409C-BE32-E72D297353CC}">
              <c16:uniqueId val="{00000008-2782-4BE4-9406-224FCF5853FD}"/>
            </c:ext>
          </c:extLst>
        </c:ser>
        <c:ser>
          <c:idx val="5"/>
          <c:order val="5"/>
          <c:tx>
            <c:strRef>
              <c:f>Hoja1!$AA$1:$AA$2</c:f>
              <c:strCache>
                <c:ptCount val="1"/>
                <c:pt idx="0">
                  <c:v>Panamá</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Hoja1!$U$3:$U$7</c:f>
              <c:strCache>
                <c:ptCount val="5"/>
                <c:pt idx="0">
                  <c:v>2.013</c:v>
                </c:pt>
                <c:pt idx="1">
                  <c:v>2.014</c:v>
                </c:pt>
                <c:pt idx="2">
                  <c:v>2.015</c:v>
                </c:pt>
                <c:pt idx="3">
                  <c:v>2.016*</c:v>
                </c:pt>
                <c:pt idx="4">
                  <c:v>2.017F**</c:v>
                </c:pt>
              </c:strCache>
            </c:strRef>
          </c:cat>
          <c:val>
            <c:numRef>
              <c:f>Hoja1!$AA$3:$AA$7</c:f>
              <c:numCache>
                <c:formatCode>General</c:formatCode>
                <c:ptCount val="5"/>
                <c:pt idx="0">
                  <c:v>2184</c:v>
                </c:pt>
                <c:pt idx="1">
                  <c:v>2031</c:v>
                </c:pt>
                <c:pt idx="2">
                  <c:v>1845</c:v>
                </c:pt>
                <c:pt idx="3">
                  <c:v>1865</c:v>
                </c:pt>
                <c:pt idx="4">
                  <c:v>1910</c:v>
                </c:pt>
              </c:numCache>
            </c:numRef>
          </c:val>
          <c:extLst>
            <c:ext xmlns:c16="http://schemas.microsoft.com/office/drawing/2014/chart" uri="{C3380CC4-5D6E-409C-BE32-E72D297353CC}">
              <c16:uniqueId val="{00000009-2782-4BE4-9406-224FCF5853FD}"/>
            </c:ext>
          </c:extLst>
        </c:ser>
        <c:dLbls>
          <c:showLegendKey val="0"/>
          <c:showVal val="0"/>
          <c:showCatName val="0"/>
          <c:showSerName val="0"/>
          <c:showPercent val="0"/>
          <c:showBubbleSize val="0"/>
        </c:dLbls>
        <c:gapWidth val="150"/>
        <c:axId val="559154704"/>
        <c:axId val="559155032"/>
      </c:barChart>
      <c:catAx>
        <c:axId val="55915470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59155032"/>
        <c:crosses val="autoZero"/>
        <c:auto val="1"/>
        <c:lblAlgn val="ctr"/>
        <c:lblOffset val="100"/>
        <c:noMultiLvlLbl val="0"/>
      </c:catAx>
      <c:valAx>
        <c:axId val="55915503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59154704"/>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Drop" dropLines="11" dropStyle="combo" dx="22" fmlaLink="$L$102" fmlaRange="$L$103:$L$113" sel="1" val="0"/>
</file>

<file path=xl/ctrlProps/ctrlProp2.xml><?xml version="1.0" encoding="utf-8"?>
<formControlPr xmlns="http://schemas.microsoft.com/office/spreadsheetml/2009/9/main" objectType="Drop" dropLines="11" dropStyle="combo" dx="22" fmlaLink="$L$104" fmlaRange="$L$105:$L$115" sel="2" val="0"/>
</file>

<file path=xl/ctrlProps/ctrlProp3.xml><?xml version="1.0" encoding="utf-8"?>
<formControlPr xmlns="http://schemas.microsoft.com/office/spreadsheetml/2009/9/main" objectType="Drop" dropLines="11" dropStyle="combo" dx="22" fmlaLink="$L$102" fmlaRange="$L$103:$L$113" sel="1" val="0"/>
</file>

<file path=xl/drawings/_rels/drawing1.xml.rels><?xml version="1.0" encoding="UTF-8" standalone="yes"?>
<Relationships xmlns="http://schemas.openxmlformats.org/package/2006/relationships"><Relationship Id="rId13" Type="http://schemas.openxmlformats.org/officeDocument/2006/relationships/hyperlink" Target="https://www.iconfinder.com/icons/3061155/bar_dashboard_document_kpi_pie_report_reports_icon" TargetMode="External"/><Relationship Id="rId18" Type="http://schemas.openxmlformats.org/officeDocument/2006/relationships/image" Target="../media/image7.jpeg"/><Relationship Id="rId26" Type="http://schemas.openxmlformats.org/officeDocument/2006/relationships/hyperlink" Target="#'WACC '!A1"/><Relationship Id="rId39" Type="http://schemas.openxmlformats.org/officeDocument/2006/relationships/hyperlink" Target="#VariablesSimulacion!A1"/><Relationship Id="rId21" Type="http://schemas.openxmlformats.org/officeDocument/2006/relationships/image" Target="../media/image8.jpeg"/><Relationship Id="rId34" Type="http://schemas.openxmlformats.org/officeDocument/2006/relationships/hyperlink" Target="#'BG Proyectado'!A1"/><Relationship Id="rId42" Type="http://schemas.openxmlformats.org/officeDocument/2006/relationships/hyperlink" Target="#'Resultado Simulaci&#243;n'!A1"/><Relationship Id="rId47" Type="http://schemas.openxmlformats.org/officeDocument/2006/relationships/image" Target="../media/image19.jpeg"/><Relationship Id="rId7" Type="http://schemas.openxmlformats.org/officeDocument/2006/relationships/hyperlink" Target="http://www.bituzi.com/2014/03/HighYidbonds.html" TargetMode="External"/><Relationship Id="rId2" Type="http://schemas.openxmlformats.org/officeDocument/2006/relationships/image" Target="../media/image1.jpeg"/><Relationship Id="rId16" Type="http://schemas.openxmlformats.org/officeDocument/2006/relationships/hyperlink" Target="https://www.iconfinder.com/icons/893759/banking_currency_rates_currency_symbol_dollar_dollar_exchange_exchange_icon" TargetMode="External"/><Relationship Id="rId29" Type="http://schemas.openxmlformats.org/officeDocument/2006/relationships/hyperlink" Target="#Correlacion!A1"/><Relationship Id="rId1" Type="http://schemas.openxmlformats.org/officeDocument/2006/relationships/hyperlink" Target="#'Estados de Resultados Consolida'!A1"/><Relationship Id="rId6" Type="http://schemas.openxmlformats.org/officeDocument/2006/relationships/image" Target="../media/image3.jpeg"/><Relationship Id="rId11" Type="http://schemas.openxmlformats.org/officeDocument/2006/relationships/hyperlink" Target="#Indicadores!A1"/><Relationship Id="rId24" Type="http://schemas.openxmlformats.org/officeDocument/2006/relationships/image" Target="../media/image9.jpeg"/><Relationship Id="rId32" Type="http://schemas.openxmlformats.org/officeDocument/2006/relationships/image" Target="../media/image12.png"/><Relationship Id="rId37" Type="http://schemas.openxmlformats.org/officeDocument/2006/relationships/image" Target="../media/image14.png"/><Relationship Id="rId40" Type="http://schemas.openxmlformats.org/officeDocument/2006/relationships/image" Target="../media/image15.png"/><Relationship Id="rId45" Type="http://schemas.openxmlformats.org/officeDocument/2006/relationships/image" Target="../media/image18.png"/><Relationship Id="rId5" Type="http://schemas.openxmlformats.org/officeDocument/2006/relationships/hyperlink" Target="#'Balance General'!A1"/><Relationship Id="rId15" Type="http://schemas.openxmlformats.org/officeDocument/2006/relationships/image" Target="../media/image6.png"/><Relationship Id="rId23" Type="http://schemas.openxmlformats.org/officeDocument/2006/relationships/hyperlink" Target="#'ER Proyectado'!A1"/><Relationship Id="rId28" Type="http://schemas.openxmlformats.org/officeDocument/2006/relationships/hyperlink" Target="https://vimeo.com/wacc" TargetMode="External"/><Relationship Id="rId36" Type="http://schemas.openxmlformats.org/officeDocument/2006/relationships/hyperlink" Target="#'Informacion Complementaria'!A1"/><Relationship Id="rId10" Type="http://schemas.openxmlformats.org/officeDocument/2006/relationships/hyperlink" Target="https://pixabay.com/en/chart-graph-icon-red-stocks-up-1296049/" TargetMode="External"/><Relationship Id="rId19" Type="http://schemas.openxmlformats.org/officeDocument/2006/relationships/hyperlink" Target="https://www.healthcatalyst.com/financial-data-in-healthcare-edw" TargetMode="External"/><Relationship Id="rId31" Type="http://schemas.openxmlformats.org/officeDocument/2006/relationships/hyperlink" Target="#FCL!A1"/><Relationship Id="rId44" Type="http://schemas.openxmlformats.org/officeDocument/2006/relationships/hyperlink" Target="#g!A1"/><Relationship Id="rId4" Type="http://schemas.openxmlformats.org/officeDocument/2006/relationships/image" Target="../media/image2.png"/><Relationship Id="rId9" Type="http://schemas.openxmlformats.org/officeDocument/2006/relationships/image" Target="../media/image4.png"/><Relationship Id="rId14" Type="http://schemas.openxmlformats.org/officeDocument/2006/relationships/hyperlink" Target="#TRM!A1"/><Relationship Id="rId22" Type="http://schemas.openxmlformats.org/officeDocument/2006/relationships/hyperlink" Target="http://pmdesire.com/assumptions-assumptions-analysis-and-assumptions-testing/" TargetMode="External"/><Relationship Id="rId27" Type="http://schemas.openxmlformats.org/officeDocument/2006/relationships/image" Target="../media/image10.jpeg"/><Relationship Id="rId30" Type="http://schemas.openxmlformats.org/officeDocument/2006/relationships/image" Target="../media/image11.gif"/><Relationship Id="rId35" Type="http://schemas.openxmlformats.org/officeDocument/2006/relationships/image" Target="../media/image13.jpeg"/><Relationship Id="rId43" Type="http://schemas.openxmlformats.org/officeDocument/2006/relationships/image" Target="../media/image17.jpeg"/><Relationship Id="rId8" Type="http://schemas.openxmlformats.org/officeDocument/2006/relationships/hyperlink" Target="#ComportamientoAcci&#243;n!A1"/><Relationship Id="rId3" Type="http://schemas.openxmlformats.org/officeDocument/2006/relationships/hyperlink" Target="https://www.laboiteatice.fr/tableur-bts-ag/" TargetMode="External"/><Relationship Id="rId12" Type="http://schemas.openxmlformats.org/officeDocument/2006/relationships/image" Target="../media/image5.png"/><Relationship Id="rId17" Type="http://schemas.openxmlformats.org/officeDocument/2006/relationships/hyperlink" Target="#'Analisis Produccion Vs Ventas'!A1"/><Relationship Id="rId25" Type="http://schemas.openxmlformats.org/officeDocument/2006/relationships/hyperlink" Target="http://grahonkakhel.co.in/product/your-financial-forecast/" TargetMode="External"/><Relationship Id="rId33" Type="http://schemas.openxmlformats.org/officeDocument/2006/relationships/hyperlink" Target="#'Balance General Proyectado'!A1"/><Relationship Id="rId38" Type="http://schemas.openxmlformats.org/officeDocument/2006/relationships/hyperlink" Target="#VariablesSimulacion"/><Relationship Id="rId46" Type="http://schemas.openxmlformats.org/officeDocument/2006/relationships/hyperlink" Target="#Multiplos!A1"/><Relationship Id="rId20" Type="http://schemas.openxmlformats.org/officeDocument/2006/relationships/hyperlink" Target="#Suspuestos!A1"/><Relationship Id="rId41" Type="http://schemas.openxmlformats.org/officeDocument/2006/relationships/image" Target="../media/image16.jpeg"/></Relationships>
</file>

<file path=xl/drawings/_rels/drawing10.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 Id="rId5" Type="http://schemas.openxmlformats.org/officeDocument/2006/relationships/chart" Target="../charts/chart33.xml"/><Relationship Id="rId4"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hyperlink" Target="http://commons.wikimedia.org/wiki/File:Home_icon_black.png" TargetMode="Externa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20.png"/><Relationship Id="rId5" Type="http://schemas.openxmlformats.org/officeDocument/2006/relationships/hyperlink" Target="#Menu!A1"/><Relationship Id="rId4"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http://commons.wikimedia.org/wiki/File:Home_icon_black.png" TargetMode="External"/><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0.png"/><Relationship Id="rId16" Type="http://schemas.openxmlformats.org/officeDocument/2006/relationships/chart" Target="../charts/chart13.xml"/><Relationship Id="rId1" Type="http://schemas.openxmlformats.org/officeDocument/2006/relationships/hyperlink" Target="#Menu!A1"/><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 Id="rId5" Type="http://schemas.openxmlformats.org/officeDocument/2006/relationships/chart" Target="../charts/chart43.xml"/><Relationship Id="rId4" Type="http://schemas.openxmlformats.org/officeDocument/2006/relationships/chart" Target="../charts/chart42.xml"/></Relationships>
</file>

<file path=xl/drawings/_rels/drawing28.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Menu!A1"/><Relationship Id="rId1" Type="http://schemas.openxmlformats.org/officeDocument/2006/relationships/chart" Target="../charts/chart44.xml"/><Relationship Id="rId4" Type="http://schemas.openxmlformats.org/officeDocument/2006/relationships/hyperlink" Target="http://commons.wikimedia.org/wiki/File:Home_icon_black.png"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0.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http://commons.wikimedia.org/wiki/File:Home_icon_black.png" TargetMode="External"/><Relationship Id="rId2" Type="http://schemas.openxmlformats.org/officeDocument/2006/relationships/image" Target="../media/image22.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4</xdr:col>
      <xdr:colOff>198457</xdr:colOff>
      <xdr:row>5</xdr:row>
      <xdr:rowOff>1584</xdr:rowOff>
    </xdr:from>
    <xdr:to>
      <xdr:col>6</xdr:col>
      <xdr:colOff>150833</xdr:colOff>
      <xdr:row>11</xdr:row>
      <xdr:rowOff>127000</xdr:rowOff>
    </xdr:to>
    <xdr:grpSp>
      <xdr:nvGrpSpPr>
        <xdr:cNvPr id="6" name="Grupo 5">
          <a:extLst>
            <a:ext uri="{FF2B5EF4-FFF2-40B4-BE49-F238E27FC236}">
              <a16:creationId xmlns:a16="http://schemas.microsoft.com/office/drawing/2014/main" id="{00000000-0008-0000-0100-000006000000}"/>
            </a:ext>
          </a:extLst>
        </xdr:cNvPr>
        <xdr:cNvGrpSpPr/>
      </xdr:nvGrpSpPr>
      <xdr:grpSpPr>
        <a:xfrm>
          <a:off x="3563957" y="1033459"/>
          <a:ext cx="1635126" cy="1363666"/>
          <a:chOff x="6148387" y="852488"/>
          <a:chExt cx="1628776" cy="1333500"/>
        </a:xfrm>
      </xdr:grpSpPr>
      <xdr:pic>
        <xdr:nvPicPr>
          <xdr:cNvPr id="3" name="Imagen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6148387" y="852488"/>
            <a:ext cx="1625696" cy="1081088"/>
          </a:xfrm>
          <a:prstGeom prst="rect">
            <a:avLst/>
          </a:prstGeom>
        </xdr:spPr>
      </xdr:pic>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6148387" y="1945481"/>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Estado</a:t>
            </a:r>
            <a:r>
              <a:rPr lang="en-US" sz="1100" b="1" baseline="0">
                <a:solidFill>
                  <a:schemeClr val="accent1"/>
                </a:solidFill>
              </a:rPr>
              <a:t> de Resultados</a:t>
            </a:r>
            <a:endParaRPr lang="en-US" sz="1100" b="1">
              <a:solidFill>
                <a:schemeClr val="accent1"/>
              </a:solidFill>
            </a:endParaRPr>
          </a:p>
        </xdr:txBody>
      </xdr:sp>
    </xdr:grpSp>
    <xdr:clientData/>
  </xdr:twoCellAnchor>
  <xdr:twoCellAnchor editAs="oneCell">
    <xdr:from>
      <xdr:col>0</xdr:col>
      <xdr:colOff>0</xdr:colOff>
      <xdr:row>0</xdr:row>
      <xdr:rowOff>0</xdr:rowOff>
    </xdr:from>
    <xdr:to>
      <xdr:col>1</xdr:col>
      <xdr:colOff>766763</xdr:colOff>
      <xdr:row>4</xdr:row>
      <xdr:rowOff>38100</xdr:rowOff>
    </xdr:to>
    <xdr:pic>
      <xdr:nvPicPr>
        <xdr:cNvPr id="8" name="Imagen 7" descr="Resultado de imagen para cemex latam holding logo">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604963"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179409</xdr:colOff>
      <xdr:row>5</xdr:row>
      <xdr:rowOff>20636</xdr:rowOff>
    </xdr:from>
    <xdr:to>
      <xdr:col>4</xdr:col>
      <xdr:colOff>144928</xdr:colOff>
      <xdr:row>11</xdr:row>
      <xdr:rowOff>127000</xdr:rowOff>
    </xdr:to>
    <xdr:grpSp>
      <xdr:nvGrpSpPr>
        <xdr:cNvPr id="25" name="Grupo 24">
          <a:hlinkClick xmlns:r="http://schemas.openxmlformats.org/officeDocument/2006/relationships" r:id="rId5"/>
          <a:extLst>
            <a:ext uri="{FF2B5EF4-FFF2-40B4-BE49-F238E27FC236}">
              <a16:creationId xmlns:a16="http://schemas.microsoft.com/office/drawing/2014/main" id="{00000000-0008-0000-0100-000019000000}"/>
            </a:ext>
          </a:extLst>
        </xdr:cNvPr>
        <xdr:cNvGrpSpPr/>
      </xdr:nvGrpSpPr>
      <xdr:grpSpPr>
        <a:xfrm>
          <a:off x="1862159" y="1052511"/>
          <a:ext cx="1648269" cy="1344614"/>
          <a:chOff x="1695450" y="928687"/>
          <a:chExt cx="1641919" cy="1307307"/>
        </a:xfrm>
      </xdr:grpSpPr>
      <xdr:pic>
        <xdr:nvPicPr>
          <xdr:cNvPr id="16" name="Imagen 15">
            <a:extLst>
              <a:ext uri="{FF2B5EF4-FFF2-40B4-BE49-F238E27FC236}">
                <a16:creationId xmlns:a16="http://schemas.microsoft.com/office/drawing/2014/main" id="{00000000-0008-0000-0100-000010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xmlns="" r:id="rId7"/>
              </a:ext>
            </a:extLst>
          </a:blip>
          <a:stretch>
            <a:fillRect/>
          </a:stretch>
        </xdr:blipFill>
        <xdr:spPr>
          <a:xfrm>
            <a:off x="1709737" y="928687"/>
            <a:ext cx="1627632" cy="1078992"/>
          </a:xfrm>
          <a:prstGeom prst="rect">
            <a:avLst/>
          </a:prstGeom>
        </xdr:spPr>
      </xdr:pic>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Balance</a:t>
            </a:r>
            <a:r>
              <a:rPr lang="en-US" sz="1100" b="1" baseline="0">
                <a:solidFill>
                  <a:schemeClr val="accent1"/>
                </a:solidFill>
              </a:rPr>
              <a:t> General</a:t>
            </a:r>
            <a:endParaRPr lang="en-US" sz="1100" b="1">
              <a:solidFill>
                <a:schemeClr val="accent1"/>
              </a:solidFill>
            </a:endParaRPr>
          </a:p>
        </xdr:txBody>
      </xdr:sp>
    </xdr:grpSp>
    <xdr:clientData/>
  </xdr:twoCellAnchor>
  <xdr:twoCellAnchor>
    <xdr:from>
      <xdr:col>2</xdr:col>
      <xdr:colOff>28576</xdr:colOff>
      <xdr:row>14</xdr:row>
      <xdr:rowOff>195262</xdr:rowOff>
    </xdr:from>
    <xdr:to>
      <xdr:col>3</xdr:col>
      <xdr:colOff>819152</xdr:colOff>
      <xdr:row>20</xdr:row>
      <xdr:rowOff>102394</xdr:rowOff>
    </xdr:to>
    <xdr:grpSp>
      <xdr:nvGrpSpPr>
        <xdr:cNvPr id="32" name="Grupo 31">
          <a:extLst>
            <a:ext uri="{FF2B5EF4-FFF2-40B4-BE49-F238E27FC236}">
              <a16:creationId xmlns:a16="http://schemas.microsoft.com/office/drawing/2014/main" id="{00000000-0008-0000-0100-000020000000}"/>
            </a:ext>
          </a:extLst>
        </xdr:cNvPr>
        <xdr:cNvGrpSpPr/>
      </xdr:nvGrpSpPr>
      <xdr:grpSpPr>
        <a:xfrm>
          <a:off x="1711326" y="3084512"/>
          <a:ext cx="1631951" cy="1145382"/>
          <a:chOff x="1695450" y="928687"/>
          <a:chExt cx="1628776" cy="1307307"/>
        </a:xfrm>
      </xdr:grpSpPr>
      <xdr:pic>
        <xdr:nvPicPr>
          <xdr:cNvPr id="33" name="Imagen 32">
            <a:hlinkClick xmlns:r="http://schemas.openxmlformats.org/officeDocument/2006/relationships" r:id="rId8"/>
            <a:extLst>
              <a:ext uri="{FF2B5EF4-FFF2-40B4-BE49-F238E27FC236}">
                <a16:creationId xmlns:a16="http://schemas.microsoft.com/office/drawing/2014/main" id="{00000000-0008-0000-0100-000021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 uri="{837473B0-CC2E-450A-ABE3-18F120FF3D39}">
                <a1611:picAttrSrcUrl xmlns:a1611="http://schemas.microsoft.com/office/drawing/2016/11/main" xmlns="" r:id="rId10"/>
              </a:ext>
            </a:extLst>
          </a:blip>
          <a:stretch>
            <a:fillRect/>
          </a:stretch>
        </xdr:blipFill>
        <xdr:spPr>
          <a:xfrm>
            <a:off x="1940598" y="928687"/>
            <a:ext cx="1165910" cy="1078992"/>
          </a:xfrm>
          <a:prstGeom prst="rect">
            <a:avLst/>
          </a:prstGeom>
        </xdr:spPr>
      </xdr:pic>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Comportamiento</a:t>
            </a:r>
            <a:r>
              <a:rPr lang="en-US" sz="1100" b="1" baseline="0">
                <a:solidFill>
                  <a:schemeClr val="accent1"/>
                </a:solidFill>
              </a:rPr>
              <a:t> Acción</a:t>
            </a:r>
            <a:endParaRPr lang="en-US" sz="1100" b="1">
              <a:solidFill>
                <a:schemeClr val="accent1"/>
              </a:solidFill>
            </a:endParaRPr>
          </a:p>
        </xdr:txBody>
      </xdr:sp>
    </xdr:grpSp>
    <xdr:clientData/>
  </xdr:twoCellAnchor>
  <xdr:twoCellAnchor>
    <xdr:from>
      <xdr:col>6</xdr:col>
      <xdr:colOff>207056</xdr:colOff>
      <xdr:row>5</xdr:row>
      <xdr:rowOff>36964</xdr:rowOff>
    </xdr:from>
    <xdr:to>
      <xdr:col>8</xdr:col>
      <xdr:colOff>156256</xdr:colOff>
      <xdr:row>11</xdr:row>
      <xdr:rowOff>131535</xdr:rowOff>
    </xdr:to>
    <xdr:grpSp>
      <xdr:nvGrpSpPr>
        <xdr:cNvPr id="39" name="Grupo 38">
          <a:extLst>
            <a:ext uri="{FF2B5EF4-FFF2-40B4-BE49-F238E27FC236}">
              <a16:creationId xmlns:a16="http://schemas.microsoft.com/office/drawing/2014/main" id="{00000000-0008-0000-0100-000027000000}"/>
            </a:ext>
          </a:extLst>
        </xdr:cNvPr>
        <xdr:cNvGrpSpPr/>
      </xdr:nvGrpSpPr>
      <xdr:grpSpPr>
        <a:xfrm>
          <a:off x="5255306" y="1068839"/>
          <a:ext cx="1631950" cy="1332821"/>
          <a:chOff x="1695450" y="928687"/>
          <a:chExt cx="1628776" cy="1307307"/>
        </a:xfrm>
      </xdr:grpSpPr>
      <xdr:pic>
        <xdr:nvPicPr>
          <xdr:cNvPr id="40" name="Imagen 39">
            <a:hlinkClick xmlns:r="http://schemas.openxmlformats.org/officeDocument/2006/relationships" r:id="rId11"/>
            <a:extLst>
              <a:ext uri="{FF2B5EF4-FFF2-40B4-BE49-F238E27FC236}">
                <a16:creationId xmlns:a16="http://schemas.microsoft.com/office/drawing/2014/main" id="{00000000-0008-0000-0100-000028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 uri="{837473B0-CC2E-450A-ABE3-18F120FF3D39}">
                <a1611:picAttrSrcUrl xmlns:a1611="http://schemas.microsoft.com/office/drawing/2016/11/main" xmlns="" r:id="rId13"/>
              </a:ext>
            </a:extLst>
          </a:blip>
          <a:stretch>
            <a:fillRect/>
          </a:stretch>
        </xdr:blipFill>
        <xdr:spPr>
          <a:xfrm>
            <a:off x="1984057" y="928687"/>
            <a:ext cx="1078992" cy="1078992"/>
          </a:xfrm>
          <a:prstGeom prst="rect">
            <a:avLst/>
          </a:prstGeom>
        </xdr:spPr>
      </xdr:pic>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Indicadores</a:t>
            </a:r>
          </a:p>
        </xdr:txBody>
      </xdr:sp>
    </xdr:grpSp>
    <xdr:clientData/>
  </xdr:twoCellAnchor>
  <xdr:twoCellAnchor>
    <xdr:from>
      <xdr:col>4</xdr:col>
      <xdr:colOff>33339</xdr:colOff>
      <xdr:row>14</xdr:row>
      <xdr:rowOff>190499</xdr:rowOff>
    </xdr:from>
    <xdr:to>
      <xdr:col>5</xdr:col>
      <xdr:colOff>823915</xdr:colOff>
      <xdr:row>20</xdr:row>
      <xdr:rowOff>97631</xdr:rowOff>
    </xdr:to>
    <xdr:grpSp>
      <xdr:nvGrpSpPr>
        <xdr:cNvPr id="43" name="Grupo 34">
          <a:extLst>
            <a:ext uri="{FF2B5EF4-FFF2-40B4-BE49-F238E27FC236}">
              <a16:creationId xmlns:a16="http://schemas.microsoft.com/office/drawing/2014/main" id="{00000000-0008-0000-0100-00002B000000}"/>
            </a:ext>
          </a:extLst>
        </xdr:cNvPr>
        <xdr:cNvGrpSpPr/>
      </xdr:nvGrpSpPr>
      <xdr:grpSpPr>
        <a:xfrm>
          <a:off x="3398839" y="3079749"/>
          <a:ext cx="1631951" cy="1145382"/>
          <a:chOff x="1695450" y="928687"/>
          <a:chExt cx="1628776" cy="1307307"/>
        </a:xfrm>
      </xdr:grpSpPr>
      <xdr:pic>
        <xdr:nvPicPr>
          <xdr:cNvPr id="44" name="Imagen 35">
            <a:hlinkClick xmlns:r="http://schemas.openxmlformats.org/officeDocument/2006/relationships" r:id="rId14"/>
            <a:extLst>
              <a:ext uri="{FF2B5EF4-FFF2-40B4-BE49-F238E27FC236}">
                <a16:creationId xmlns:a16="http://schemas.microsoft.com/office/drawing/2014/main" id="{00000000-0008-0000-0100-00002C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 uri="{837473B0-CC2E-450A-ABE3-18F120FF3D39}">
                <a1611:picAttrSrcUrl xmlns:a1611="http://schemas.microsoft.com/office/drawing/2016/11/main" xmlns="" r:id="rId16"/>
              </a:ext>
            </a:extLst>
          </a:blip>
          <a:stretch>
            <a:fillRect/>
          </a:stretch>
        </xdr:blipFill>
        <xdr:spPr>
          <a:xfrm>
            <a:off x="1984057" y="928687"/>
            <a:ext cx="1078992" cy="1078992"/>
          </a:xfrm>
          <a:prstGeom prst="rect">
            <a:avLst/>
          </a:prstGeom>
        </xdr:spPr>
      </xdr:pic>
      <xdr:sp macro="" textlink="">
        <xdr:nvSpPr>
          <xdr:cNvPr id="45" name="CuadroTexto 36">
            <a:extLst>
              <a:ext uri="{FF2B5EF4-FFF2-40B4-BE49-F238E27FC236}">
                <a16:creationId xmlns:a16="http://schemas.microsoft.com/office/drawing/2014/main" id="{00000000-0008-0000-0100-00002D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Tasa de Cambio</a:t>
            </a:r>
          </a:p>
        </xdr:txBody>
      </xdr:sp>
    </xdr:grpSp>
    <xdr:clientData/>
  </xdr:twoCellAnchor>
  <xdr:twoCellAnchor>
    <xdr:from>
      <xdr:col>6</xdr:col>
      <xdr:colOff>90489</xdr:colOff>
      <xdr:row>15</xdr:row>
      <xdr:rowOff>0</xdr:rowOff>
    </xdr:from>
    <xdr:to>
      <xdr:col>8</xdr:col>
      <xdr:colOff>42865</xdr:colOff>
      <xdr:row>20</xdr:row>
      <xdr:rowOff>88106</xdr:rowOff>
    </xdr:to>
    <xdr:grpSp>
      <xdr:nvGrpSpPr>
        <xdr:cNvPr id="82" name="Grupo 34">
          <a:extLst>
            <a:ext uri="{FF2B5EF4-FFF2-40B4-BE49-F238E27FC236}">
              <a16:creationId xmlns:a16="http://schemas.microsoft.com/office/drawing/2014/main" id="{00000000-0008-0000-0100-000052000000}"/>
            </a:ext>
          </a:extLst>
        </xdr:cNvPr>
        <xdr:cNvGrpSpPr/>
      </xdr:nvGrpSpPr>
      <xdr:grpSpPr>
        <a:xfrm>
          <a:off x="5138739" y="3095625"/>
          <a:ext cx="1635126" cy="1119981"/>
          <a:chOff x="1695450" y="1063561"/>
          <a:chExt cx="1628776" cy="1172433"/>
        </a:xfrm>
      </xdr:grpSpPr>
      <xdr:pic>
        <xdr:nvPicPr>
          <xdr:cNvPr id="83" name="Imagen 35">
            <a:hlinkClick xmlns:r="http://schemas.openxmlformats.org/officeDocument/2006/relationships" r:id="rId17"/>
            <a:extLst>
              <a:ext uri="{FF2B5EF4-FFF2-40B4-BE49-F238E27FC236}">
                <a16:creationId xmlns:a16="http://schemas.microsoft.com/office/drawing/2014/main" id="{00000000-0008-0000-0100-000053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 uri="{837473B0-CC2E-450A-ABE3-18F120FF3D39}">
                <a1611:picAttrSrcUrl xmlns:a1611="http://schemas.microsoft.com/office/drawing/2016/11/main" xmlns="" r:id="rId19"/>
              </a:ext>
            </a:extLst>
          </a:blip>
          <a:stretch>
            <a:fillRect/>
          </a:stretch>
        </xdr:blipFill>
        <xdr:spPr>
          <a:xfrm>
            <a:off x="1984057" y="1063561"/>
            <a:ext cx="1078992" cy="809244"/>
          </a:xfrm>
          <a:prstGeom prst="rect">
            <a:avLst/>
          </a:prstGeom>
        </xdr:spPr>
      </xdr:pic>
      <xdr:sp macro="" textlink="">
        <xdr:nvSpPr>
          <xdr:cNvPr id="84" name="CuadroTexto 36">
            <a:extLst>
              <a:ext uri="{FF2B5EF4-FFF2-40B4-BE49-F238E27FC236}">
                <a16:creationId xmlns:a16="http://schemas.microsoft.com/office/drawing/2014/main" id="{00000000-0008-0000-0100-000054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Ventas y Producción</a:t>
            </a:r>
          </a:p>
        </xdr:txBody>
      </xdr:sp>
    </xdr:grpSp>
    <xdr:clientData/>
  </xdr:twoCellAnchor>
  <xdr:twoCellAnchor>
    <xdr:from>
      <xdr:col>2</xdr:col>
      <xdr:colOff>166689</xdr:colOff>
      <xdr:row>23</xdr:row>
      <xdr:rowOff>193467</xdr:rowOff>
    </xdr:from>
    <xdr:to>
      <xdr:col>4</xdr:col>
      <xdr:colOff>119065</xdr:colOff>
      <xdr:row>29</xdr:row>
      <xdr:rowOff>69056</xdr:rowOff>
    </xdr:to>
    <xdr:grpSp>
      <xdr:nvGrpSpPr>
        <xdr:cNvPr id="88" name="Grupo 34">
          <a:extLst>
            <a:ext uri="{FF2B5EF4-FFF2-40B4-BE49-F238E27FC236}">
              <a16:creationId xmlns:a16="http://schemas.microsoft.com/office/drawing/2014/main" id="{00000000-0008-0000-0100-000058000000}"/>
            </a:ext>
          </a:extLst>
        </xdr:cNvPr>
        <xdr:cNvGrpSpPr/>
      </xdr:nvGrpSpPr>
      <xdr:grpSpPr>
        <a:xfrm>
          <a:off x="1849439" y="4940092"/>
          <a:ext cx="1635126" cy="1113839"/>
          <a:chOff x="1695450" y="1160255"/>
          <a:chExt cx="1628776" cy="1075739"/>
        </a:xfrm>
      </xdr:grpSpPr>
      <xdr:pic>
        <xdr:nvPicPr>
          <xdr:cNvPr id="89" name="Imagen 35">
            <a:hlinkClick xmlns:r="http://schemas.openxmlformats.org/officeDocument/2006/relationships" r:id="rId20"/>
            <a:extLst>
              <a:ext uri="{FF2B5EF4-FFF2-40B4-BE49-F238E27FC236}">
                <a16:creationId xmlns:a16="http://schemas.microsoft.com/office/drawing/2014/main" id="{00000000-0008-0000-0100-00005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 uri="{837473B0-CC2E-450A-ABE3-18F120FF3D39}">
                <a1611:picAttrSrcUrl xmlns:a1611="http://schemas.microsoft.com/office/drawing/2016/11/main" xmlns="" r:id="rId22"/>
              </a:ext>
            </a:extLst>
          </a:blip>
          <a:stretch>
            <a:fillRect/>
          </a:stretch>
        </xdr:blipFill>
        <xdr:spPr>
          <a:xfrm>
            <a:off x="1984057" y="1160255"/>
            <a:ext cx="1078992" cy="615855"/>
          </a:xfrm>
          <a:prstGeom prst="rect">
            <a:avLst/>
          </a:prstGeom>
        </xdr:spPr>
      </xdr:pic>
      <xdr:sp macro="" textlink="">
        <xdr:nvSpPr>
          <xdr:cNvPr id="90" name="CuadroTexto 36">
            <a:extLst>
              <a:ext uri="{FF2B5EF4-FFF2-40B4-BE49-F238E27FC236}">
                <a16:creationId xmlns:a16="http://schemas.microsoft.com/office/drawing/2014/main" id="{00000000-0008-0000-0100-00005A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Supuestos</a:t>
            </a:r>
          </a:p>
        </xdr:txBody>
      </xdr:sp>
    </xdr:grpSp>
    <xdr:clientData/>
  </xdr:twoCellAnchor>
  <xdr:twoCellAnchor>
    <xdr:from>
      <xdr:col>4</xdr:col>
      <xdr:colOff>280989</xdr:colOff>
      <xdr:row>23</xdr:row>
      <xdr:rowOff>193467</xdr:rowOff>
    </xdr:from>
    <xdr:to>
      <xdr:col>6</xdr:col>
      <xdr:colOff>233365</xdr:colOff>
      <xdr:row>29</xdr:row>
      <xdr:rowOff>69056</xdr:rowOff>
    </xdr:to>
    <xdr:grpSp>
      <xdr:nvGrpSpPr>
        <xdr:cNvPr id="91" name="Grupo 34">
          <a:extLst>
            <a:ext uri="{FF2B5EF4-FFF2-40B4-BE49-F238E27FC236}">
              <a16:creationId xmlns:a16="http://schemas.microsoft.com/office/drawing/2014/main" id="{00000000-0008-0000-0100-00005B000000}"/>
            </a:ext>
          </a:extLst>
        </xdr:cNvPr>
        <xdr:cNvGrpSpPr/>
      </xdr:nvGrpSpPr>
      <xdr:grpSpPr>
        <a:xfrm>
          <a:off x="3646489" y="4940092"/>
          <a:ext cx="1635126" cy="1113839"/>
          <a:chOff x="1695450" y="1160255"/>
          <a:chExt cx="1628776" cy="1075739"/>
        </a:xfrm>
      </xdr:grpSpPr>
      <xdr:pic>
        <xdr:nvPicPr>
          <xdr:cNvPr id="92" name="Imagen 35">
            <a:hlinkClick xmlns:r="http://schemas.openxmlformats.org/officeDocument/2006/relationships" r:id="rId23"/>
            <a:extLst>
              <a:ext uri="{FF2B5EF4-FFF2-40B4-BE49-F238E27FC236}">
                <a16:creationId xmlns:a16="http://schemas.microsoft.com/office/drawing/2014/main" id="{00000000-0008-0000-0100-00005C00000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 uri="{837473B0-CC2E-450A-ABE3-18F120FF3D39}">
                <a1611:picAttrSrcUrl xmlns:a1611="http://schemas.microsoft.com/office/drawing/2016/11/main" xmlns="" r:id="rId25"/>
              </a:ext>
            </a:extLst>
          </a:blip>
          <a:stretch>
            <a:fillRect/>
          </a:stretch>
        </xdr:blipFill>
        <xdr:spPr>
          <a:xfrm>
            <a:off x="2215625" y="1160255"/>
            <a:ext cx="615855" cy="615855"/>
          </a:xfrm>
          <a:prstGeom prst="rect">
            <a:avLst/>
          </a:prstGeom>
        </xdr:spPr>
      </xdr:pic>
      <xdr:sp macro="" textlink="">
        <xdr:nvSpPr>
          <xdr:cNvPr id="93" name="CuadroTexto 36">
            <a:extLst>
              <a:ext uri="{FF2B5EF4-FFF2-40B4-BE49-F238E27FC236}">
                <a16:creationId xmlns:a16="http://schemas.microsoft.com/office/drawing/2014/main" id="{00000000-0008-0000-0100-00005D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ER</a:t>
            </a:r>
            <a:r>
              <a:rPr lang="en-US" sz="1100" b="1" baseline="0">
                <a:solidFill>
                  <a:schemeClr val="accent1"/>
                </a:solidFill>
              </a:rPr>
              <a:t> Proyectado</a:t>
            </a:r>
            <a:endParaRPr lang="en-US" sz="1100" b="1">
              <a:solidFill>
                <a:schemeClr val="accent1"/>
              </a:solidFill>
            </a:endParaRPr>
          </a:p>
        </xdr:txBody>
      </xdr:sp>
    </xdr:grpSp>
    <xdr:clientData/>
  </xdr:twoCellAnchor>
  <xdr:twoCellAnchor>
    <xdr:from>
      <xdr:col>8</xdr:col>
      <xdr:colOff>327251</xdr:colOff>
      <xdr:row>23</xdr:row>
      <xdr:rowOff>193467</xdr:rowOff>
    </xdr:from>
    <xdr:to>
      <xdr:col>10</xdr:col>
      <xdr:colOff>279627</xdr:colOff>
      <xdr:row>29</xdr:row>
      <xdr:rowOff>69056</xdr:rowOff>
    </xdr:to>
    <xdr:grpSp>
      <xdr:nvGrpSpPr>
        <xdr:cNvPr id="94" name="Grupo 34">
          <a:hlinkClick xmlns:r="http://schemas.openxmlformats.org/officeDocument/2006/relationships" r:id="rId26"/>
          <a:extLst>
            <a:ext uri="{FF2B5EF4-FFF2-40B4-BE49-F238E27FC236}">
              <a16:creationId xmlns:a16="http://schemas.microsoft.com/office/drawing/2014/main" id="{00000000-0008-0000-0100-00005E000000}"/>
            </a:ext>
            <a:ext uri="{C183D7F6-B498-43B3-948B-1728B52AA6E4}">
              <adec:decorative xmlns:adec="http://schemas.microsoft.com/office/drawing/2017/decorative" xmlns="" val="1"/>
            </a:ext>
          </a:extLst>
        </xdr:cNvPr>
        <xdr:cNvGrpSpPr/>
      </xdr:nvGrpSpPr>
      <xdr:grpSpPr>
        <a:xfrm>
          <a:off x="7058251" y="4940092"/>
          <a:ext cx="1635126" cy="1113839"/>
          <a:chOff x="1695450" y="1160255"/>
          <a:chExt cx="1628776" cy="1075739"/>
        </a:xfrm>
      </xdr:grpSpPr>
      <xdr:pic>
        <xdr:nvPicPr>
          <xdr:cNvPr id="95" name="Imagen 35">
            <a:hlinkClick xmlns:r="http://schemas.openxmlformats.org/officeDocument/2006/relationships" r:id="rId26"/>
            <a:extLst>
              <a:ext uri="{FF2B5EF4-FFF2-40B4-BE49-F238E27FC236}">
                <a16:creationId xmlns:a16="http://schemas.microsoft.com/office/drawing/2014/main" id="{00000000-0008-0000-0100-00005F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 uri="{837473B0-CC2E-450A-ABE3-18F120FF3D39}">
                <a1611:picAttrSrcUrl xmlns:a1611="http://schemas.microsoft.com/office/drawing/2016/11/main" xmlns="" r:id="rId28"/>
              </a:ext>
            </a:extLst>
          </a:blip>
          <a:stretch>
            <a:fillRect/>
          </a:stretch>
        </xdr:blipFill>
        <xdr:spPr>
          <a:xfrm>
            <a:off x="2215625" y="1160255"/>
            <a:ext cx="615855" cy="615855"/>
          </a:xfrm>
          <a:prstGeom prst="rect">
            <a:avLst/>
          </a:prstGeom>
        </xdr:spPr>
      </xdr:pic>
      <xdr:sp macro="" textlink="">
        <xdr:nvSpPr>
          <xdr:cNvPr id="96" name="CuadroTexto 36">
            <a:extLst>
              <a:ext uri="{FF2B5EF4-FFF2-40B4-BE49-F238E27FC236}">
                <a16:creationId xmlns:a16="http://schemas.microsoft.com/office/drawing/2014/main" id="{00000000-0008-0000-0100-000060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WACC</a:t>
            </a:r>
          </a:p>
        </xdr:txBody>
      </xdr:sp>
    </xdr:grpSp>
    <xdr:clientData/>
  </xdr:twoCellAnchor>
  <xdr:twoCellAnchor>
    <xdr:from>
      <xdr:col>8</xdr:col>
      <xdr:colOff>128589</xdr:colOff>
      <xdr:row>15</xdr:row>
      <xdr:rowOff>0</xdr:rowOff>
    </xdr:from>
    <xdr:to>
      <xdr:col>10</xdr:col>
      <xdr:colOff>80965</xdr:colOff>
      <xdr:row>20</xdr:row>
      <xdr:rowOff>88106</xdr:rowOff>
    </xdr:to>
    <xdr:grpSp>
      <xdr:nvGrpSpPr>
        <xdr:cNvPr id="2" name="Group 1">
          <a:hlinkClick xmlns:r="http://schemas.openxmlformats.org/officeDocument/2006/relationships" r:id="rId29"/>
          <a:extLst>
            <a:ext uri="{FF2B5EF4-FFF2-40B4-BE49-F238E27FC236}">
              <a16:creationId xmlns:a16="http://schemas.microsoft.com/office/drawing/2014/main" id="{00000000-0008-0000-0100-000002000000}"/>
            </a:ext>
          </a:extLst>
        </xdr:cNvPr>
        <xdr:cNvGrpSpPr/>
      </xdr:nvGrpSpPr>
      <xdr:grpSpPr>
        <a:xfrm>
          <a:off x="6859589" y="3095625"/>
          <a:ext cx="1635126" cy="1119981"/>
          <a:chOff x="6834189" y="3762374"/>
          <a:chExt cx="1628776" cy="1126332"/>
        </a:xfrm>
      </xdr:grpSpPr>
      <xdr:sp macro="" textlink="">
        <xdr:nvSpPr>
          <xdr:cNvPr id="51" name="CuadroTexto 36">
            <a:extLst>
              <a:ext uri="{FF2B5EF4-FFF2-40B4-BE49-F238E27FC236}">
                <a16:creationId xmlns:a16="http://schemas.microsoft.com/office/drawing/2014/main" id="{00000000-0008-0000-0100-000033000000}"/>
              </a:ext>
            </a:extLst>
          </xdr:cNvPr>
          <xdr:cNvSpPr txBox="1"/>
        </xdr:nvSpPr>
        <xdr:spPr>
          <a:xfrm>
            <a:off x="6834189" y="4648199"/>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Correlacion</a:t>
            </a:r>
          </a:p>
        </xdr:txBody>
      </xdr:sp>
      <xdr:pic>
        <xdr:nvPicPr>
          <xdr:cNvPr id="53" name="Picture 52" descr="Resultado de imagen para correlacion de variables">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075225" y="3762374"/>
            <a:ext cx="1080000" cy="8091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460601</xdr:colOff>
      <xdr:row>23</xdr:row>
      <xdr:rowOff>142875</xdr:rowOff>
    </xdr:from>
    <xdr:to>
      <xdr:col>12</xdr:col>
      <xdr:colOff>412978</xdr:colOff>
      <xdr:row>29</xdr:row>
      <xdr:rowOff>50006</xdr:rowOff>
    </xdr:to>
    <xdr:grpSp>
      <xdr:nvGrpSpPr>
        <xdr:cNvPr id="58" name="Grupo 34">
          <a:hlinkClick xmlns:r="http://schemas.openxmlformats.org/officeDocument/2006/relationships" r:id="rId31" tooltip="Flujo de Caja libre de la compañía Cemex"/>
          <a:extLst>
            <a:ext uri="{FF2B5EF4-FFF2-40B4-BE49-F238E27FC236}">
              <a16:creationId xmlns:a16="http://schemas.microsoft.com/office/drawing/2014/main" id="{00000000-0008-0000-0100-00003A000000}"/>
            </a:ext>
          </a:extLst>
        </xdr:cNvPr>
        <xdr:cNvGrpSpPr/>
      </xdr:nvGrpSpPr>
      <xdr:grpSpPr>
        <a:xfrm>
          <a:off x="8874351" y="4889500"/>
          <a:ext cx="1635127" cy="1145381"/>
          <a:chOff x="1695450" y="1128713"/>
          <a:chExt cx="1628776" cy="1107281"/>
        </a:xfrm>
      </xdr:grpSpPr>
      <xdr:pic>
        <xdr:nvPicPr>
          <xdr:cNvPr id="59" name="Imagen 35">
            <a:hlinkClick xmlns:r="http://schemas.openxmlformats.org/officeDocument/2006/relationships" r:id="rId31"/>
            <a:extLst>
              <a:ext uri="{FF2B5EF4-FFF2-40B4-BE49-F238E27FC236}">
                <a16:creationId xmlns:a16="http://schemas.microsoft.com/office/drawing/2014/main" id="{00000000-0008-0000-0100-00003B000000}"/>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09736" y="1128713"/>
            <a:ext cx="1609725" cy="866775"/>
          </a:xfrm>
          <a:prstGeom prst="rect">
            <a:avLst/>
          </a:prstGeom>
        </xdr:spPr>
      </xdr:pic>
      <xdr:sp macro="" textlink="">
        <xdr:nvSpPr>
          <xdr:cNvPr id="60" name="CuadroTexto 36">
            <a:extLst>
              <a:ext uri="{FF2B5EF4-FFF2-40B4-BE49-F238E27FC236}">
                <a16:creationId xmlns:a16="http://schemas.microsoft.com/office/drawing/2014/main" id="{00000000-0008-0000-0100-00003C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FCL</a:t>
            </a:r>
          </a:p>
        </xdr:txBody>
      </xdr:sp>
    </xdr:grpSp>
    <xdr:clientData/>
  </xdr:twoCellAnchor>
  <xdr:twoCellAnchor>
    <xdr:from>
      <xdr:col>6</xdr:col>
      <xdr:colOff>351065</xdr:colOff>
      <xdr:row>23</xdr:row>
      <xdr:rowOff>136073</xdr:rowOff>
    </xdr:from>
    <xdr:to>
      <xdr:col>8</xdr:col>
      <xdr:colOff>236765</xdr:colOff>
      <xdr:row>29</xdr:row>
      <xdr:rowOff>36741</xdr:rowOff>
    </xdr:to>
    <xdr:grpSp>
      <xdr:nvGrpSpPr>
        <xdr:cNvPr id="62" name="Grupo 24">
          <a:hlinkClick xmlns:r="http://schemas.openxmlformats.org/officeDocument/2006/relationships" r:id="rId33"/>
          <a:extLst>
            <a:ext uri="{FF2B5EF4-FFF2-40B4-BE49-F238E27FC236}">
              <a16:creationId xmlns:a16="http://schemas.microsoft.com/office/drawing/2014/main" id="{00000000-0008-0000-0100-00003E000000}"/>
            </a:ext>
          </a:extLst>
        </xdr:cNvPr>
        <xdr:cNvGrpSpPr/>
      </xdr:nvGrpSpPr>
      <xdr:grpSpPr>
        <a:xfrm>
          <a:off x="5399315" y="4882698"/>
          <a:ext cx="1568450" cy="1138918"/>
          <a:chOff x="1695450" y="928687"/>
          <a:chExt cx="1641919" cy="1307307"/>
        </a:xfrm>
      </xdr:grpSpPr>
      <xdr:pic>
        <xdr:nvPicPr>
          <xdr:cNvPr id="63" name="Imagen 15">
            <a:hlinkClick xmlns:r="http://schemas.openxmlformats.org/officeDocument/2006/relationships" r:id="rId34"/>
            <a:extLst>
              <a:ext uri="{FF2B5EF4-FFF2-40B4-BE49-F238E27FC236}">
                <a16:creationId xmlns:a16="http://schemas.microsoft.com/office/drawing/2014/main" id="{00000000-0008-0000-0100-00003F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 uri="{837473B0-CC2E-450A-ABE3-18F120FF3D39}">
                <a1611:picAttrSrcUrl xmlns:a1611="http://schemas.microsoft.com/office/drawing/2016/11/main" xmlns="" r:id="rId7"/>
              </a:ext>
            </a:extLst>
          </a:blip>
          <a:stretch>
            <a:fillRect/>
          </a:stretch>
        </xdr:blipFill>
        <xdr:spPr>
          <a:xfrm>
            <a:off x="1709737" y="928687"/>
            <a:ext cx="1627632" cy="1078992"/>
          </a:xfrm>
          <a:prstGeom prst="rect">
            <a:avLst/>
          </a:prstGeom>
        </xdr:spPr>
      </xdr:pic>
      <xdr:sp macro="" textlink="">
        <xdr:nvSpPr>
          <xdr:cNvPr id="64" name="CuadroTexto 17">
            <a:extLst>
              <a:ext uri="{FF2B5EF4-FFF2-40B4-BE49-F238E27FC236}">
                <a16:creationId xmlns:a16="http://schemas.microsoft.com/office/drawing/2014/main" id="{00000000-0008-0000-0100-000040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Balance</a:t>
            </a:r>
            <a:r>
              <a:rPr lang="en-US" sz="1100" b="1" baseline="0">
                <a:solidFill>
                  <a:schemeClr val="accent1"/>
                </a:solidFill>
              </a:rPr>
              <a:t> Grl Proyectado</a:t>
            </a:r>
            <a:endParaRPr lang="en-US" sz="1100" b="1">
              <a:solidFill>
                <a:schemeClr val="accent1"/>
              </a:solidFill>
            </a:endParaRPr>
          </a:p>
        </xdr:txBody>
      </xdr:sp>
    </xdr:grpSp>
    <xdr:clientData/>
  </xdr:twoCellAnchor>
  <xdr:twoCellAnchor>
    <xdr:from>
      <xdr:col>10</xdr:col>
      <xdr:colOff>134030</xdr:colOff>
      <xdr:row>15</xdr:row>
      <xdr:rowOff>40821</xdr:rowOff>
    </xdr:from>
    <xdr:to>
      <xdr:col>12</xdr:col>
      <xdr:colOff>86407</xdr:colOff>
      <xdr:row>20</xdr:row>
      <xdr:rowOff>79940</xdr:rowOff>
    </xdr:to>
    <xdr:grpSp>
      <xdr:nvGrpSpPr>
        <xdr:cNvPr id="67" name="Group 66" descr="En esta sección podrá verse como fue calculado el WACC para los años de proyeccion ">
          <a:hlinkClick xmlns:r="http://schemas.openxmlformats.org/officeDocument/2006/relationships" r:id="rId36"/>
          <a:extLst>
            <a:ext uri="{FF2B5EF4-FFF2-40B4-BE49-F238E27FC236}">
              <a16:creationId xmlns:a16="http://schemas.microsoft.com/office/drawing/2014/main" id="{00000000-0008-0000-0100-000043000000}"/>
            </a:ext>
            <a:ext uri="{C183D7F6-B498-43B3-948B-1728B52AA6E4}">
              <adec:decorative xmlns:adec="http://schemas.microsoft.com/office/drawing/2017/decorative" xmlns="" val="0"/>
            </a:ext>
          </a:extLst>
        </xdr:cNvPr>
        <xdr:cNvGrpSpPr/>
      </xdr:nvGrpSpPr>
      <xdr:grpSpPr>
        <a:xfrm>
          <a:off x="8547780" y="3136446"/>
          <a:ext cx="1635127" cy="1070994"/>
          <a:chOff x="6834189" y="3778968"/>
          <a:chExt cx="1628776" cy="1109738"/>
        </a:xfrm>
      </xdr:grpSpPr>
      <xdr:sp macro="" textlink="">
        <xdr:nvSpPr>
          <xdr:cNvPr id="68" name="CuadroTexto 36">
            <a:extLst>
              <a:ext uri="{FF2B5EF4-FFF2-40B4-BE49-F238E27FC236}">
                <a16:creationId xmlns:a16="http://schemas.microsoft.com/office/drawing/2014/main" id="{00000000-0008-0000-0100-000044000000}"/>
              </a:ext>
            </a:extLst>
          </xdr:cNvPr>
          <xdr:cNvSpPr txBox="1"/>
        </xdr:nvSpPr>
        <xdr:spPr>
          <a:xfrm>
            <a:off x="6834189" y="4648199"/>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accent1"/>
                </a:solidFill>
              </a:rPr>
              <a:t>Info. Complementaria</a:t>
            </a:r>
          </a:p>
        </xdr:txBody>
      </xdr:sp>
      <xdr:pic>
        <xdr:nvPicPr>
          <xdr:cNvPr id="69" name="Picture 68">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7211108" y="3778968"/>
            <a:ext cx="808233" cy="7759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645661</xdr:colOff>
      <xdr:row>23</xdr:row>
      <xdr:rowOff>182581</xdr:rowOff>
    </xdr:from>
    <xdr:to>
      <xdr:col>14</xdr:col>
      <xdr:colOff>598036</xdr:colOff>
      <xdr:row>29</xdr:row>
      <xdr:rowOff>58170</xdr:rowOff>
    </xdr:to>
    <xdr:grpSp>
      <xdr:nvGrpSpPr>
        <xdr:cNvPr id="54" name="Grupo 34">
          <a:hlinkClick xmlns:r="http://schemas.openxmlformats.org/officeDocument/2006/relationships" r:id="rId38"/>
          <a:extLst>
            <a:ext uri="{FF2B5EF4-FFF2-40B4-BE49-F238E27FC236}">
              <a16:creationId xmlns:a16="http://schemas.microsoft.com/office/drawing/2014/main" id="{00000000-0008-0000-0100-000036000000}"/>
            </a:ext>
          </a:extLst>
        </xdr:cNvPr>
        <xdr:cNvGrpSpPr/>
      </xdr:nvGrpSpPr>
      <xdr:grpSpPr>
        <a:xfrm>
          <a:off x="10742161" y="4929206"/>
          <a:ext cx="1635125" cy="1113839"/>
          <a:chOff x="1695450" y="1160255"/>
          <a:chExt cx="1628776" cy="1075739"/>
        </a:xfrm>
      </xdr:grpSpPr>
      <xdr:pic>
        <xdr:nvPicPr>
          <xdr:cNvPr id="55" name="Imagen 35">
            <a:hlinkClick xmlns:r="http://schemas.openxmlformats.org/officeDocument/2006/relationships" r:id="rId39"/>
            <a:extLst>
              <a:ext uri="{FF2B5EF4-FFF2-40B4-BE49-F238E27FC236}">
                <a16:creationId xmlns:a16="http://schemas.microsoft.com/office/drawing/2014/main" id="{00000000-0008-0000-0100-000037000000}"/>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19725" y="1160255"/>
            <a:ext cx="807657" cy="615855"/>
          </a:xfrm>
          <a:prstGeom prst="rect">
            <a:avLst/>
          </a:prstGeom>
        </xdr:spPr>
      </xdr:pic>
      <xdr:sp macro="" textlink="">
        <xdr:nvSpPr>
          <xdr:cNvPr id="56" name="CuadroTexto 36">
            <a:hlinkClick xmlns:r="http://schemas.openxmlformats.org/officeDocument/2006/relationships" r:id="rId39"/>
            <a:extLst>
              <a:ext uri="{FF2B5EF4-FFF2-40B4-BE49-F238E27FC236}">
                <a16:creationId xmlns:a16="http://schemas.microsoft.com/office/drawing/2014/main" id="{00000000-0008-0000-0100-000038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accent1"/>
                </a:solidFill>
              </a:rPr>
              <a:t>Variables Simulacion</a:t>
            </a:r>
            <a:endParaRPr lang="en-US" sz="1100" b="1">
              <a:solidFill>
                <a:schemeClr val="accent1"/>
              </a:solidFill>
            </a:endParaRPr>
          </a:p>
        </xdr:txBody>
      </xdr:sp>
    </xdr:grpSp>
    <xdr:clientData/>
  </xdr:twoCellAnchor>
  <xdr:twoCellAnchor editAs="oneCell">
    <xdr:from>
      <xdr:col>28</xdr:col>
      <xdr:colOff>754811</xdr:colOff>
      <xdr:row>22</xdr:row>
      <xdr:rowOff>97971</xdr:rowOff>
    </xdr:from>
    <xdr:to>
      <xdr:col>30</xdr:col>
      <xdr:colOff>606877</xdr:colOff>
      <xdr:row>28</xdr:row>
      <xdr:rowOff>65314</xdr:rowOff>
    </xdr:to>
    <xdr:pic>
      <xdr:nvPicPr>
        <xdr:cNvPr id="66" name="Picture 65" descr="Resultado de imagen para simulation">
          <a:extLst>
            <a:ext uri="{FF2B5EF4-FFF2-40B4-BE49-F238E27FC236}">
              <a16:creationId xmlns:a16="http://schemas.microsoft.com/office/drawing/2014/main" id="{00000000-0008-0000-0100-000042000000}"/>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33973"/>
        <a:stretch/>
      </xdr:blipFill>
      <xdr:spPr bwMode="auto">
        <a:xfrm>
          <a:off x="24376811" y="4588328"/>
          <a:ext cx="1539352" cy="1191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6</xdr:col>
      <xdr:colOff>304800</xdr:colOff>
      <xdr:row>37</xdr:row>
      <xdr:rowOff>104775</xdr:rowOff>
    </xdr:to>
    <xdr:sp macro="" textlink="">
      <xdr:nvSpPr>
        <xdr:cNvPr id="110593" name="AutoShape 1" descr="Resultado de imagen para simulaciÃ³n">
          <a:extLst>
            <a:ext uri="{FF2B5EF4-FFF2-40B4-BE49-F238E27FC236}">
              <a16:creationId xmlns:a16="http://schemas.microsoft.com/office/drawing/2014/main" id="{00000000-0008-0000-0100-000001B00100}"/>
            </a:ext>
          </a:extLst>
        </xdr:cNvPr>
        <xdr:cNvSpPr>
          <a:spLocks noChangeAspect="1" noChangeArrowheads="1"/>
        </xdr:cNvSpPr>
      </xdr:nvSpPr>
      <xdr:spPr bwMode="auto">
        <a:xfrm>
          <a:off x="5029200" y="720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99561</xdr:colOff>
      <xdr:row>29</xdr:row>
      <xdr:rowOff>142875</xdr:rowOff>
    </xdr:from>
    <xdr:to>
      <xdr:col>4</xdr:col>
      <xdr:colOff>51936</xdr:colOff>
      <xdr:row>35</xdr:row>
      <xdr:rowOff>83568</xdr:rowOff>
    </xdr:to>
    <xdr:grpSp>
      <xdr:nvGrpSpPr>
        <xdr:cNvPr id="4" name="Grupo 3">
          <a:extLst>
            <a:ext uri="{FF2B5EF4-FFF2-40B4-BE49-F238E27FC236}">
              <a16:creationId xmlns:a16="http://schemas.microsoft.com/office/drawing/2014/main" id="{00000000-0008-0000-0100-000004000000}"/>
            </a:ext>
          </a:extLst>
        </xdr:cNvPr>
        <xdr:cNvGrpSpPr/>
      </xdr:nvGrpSpPr>
      <xdr:grpSpPr>
        <a:xfrm>
          <a:off x="1782311" y="6127750"/>
          <a:ext cx="1635125" cy="1178943"/>
          <a:chOff x="5957436" y="6985000"/>
          <a:chExt cx="1635125" cy="1178943"/>
        </a:xfrm>
      </xdr:grpSpPr>
      <xdr:grpSp>
        <xdr:nvGrpSpPr>
          <xdr:cNvPr id="76" name="Grupo 34">
            <a:hlinkClick xmlns:r="http://schemas.openxmlformats.org/officeDocument/2006/relationships" r:id="rId38"/>
            <a:extLst>
              <a:ext uri="{FF2B5EF4-FFF2-40B4-BE49-F238E27FC236}">
                <a16:creationId xmlns:a16="http://schemas.microsoft.com/office/drawing/2014/main" id="{00000000-0008-0000-0100-00004C000000}"/>
              </a:ext>
            </a:extLst>
          </xdr:cNvPr>
          <xdr:cNvGrpSpPr/>
        </xdr:nvGrpSpPr>
        <xdr:grpSpPr>
          <a:xfrm>
            <a:off x="5957436" y="7050104"/>
            <a:ext cx="1635125" cy="1113839"/>
            <a:chOff x="1695450" y="1160254"/>
            <a:chExt cx="1628776" cy="1075740"/>
          </a:xfrm>
        </xdr:grpSpPr>
        <xdr:pic>
          <xdr:nvPicPr>
            <xdr:cNvPr id="77" name="Imagen 35">
              <a:hlinkClick xmlns:r="http://schemas.openxmlformats.org/officeDocument/2006/relationships" r:id="rId39"/>
              <a:extLst>
                <a:ext uri="{FF2B5EF4-FFF2-40B4-BE49-F238E27FC236}">
                  <a16:creationId xmlns:a16="http://schemas.microsoft.com/office/drawing/2014/main" id="{00000000-0008-0000-0100-00004D000000}"/>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19725" y="1160254"/>
              <a:ext cx="807657" cy="615854"/>
            </a:xfrm>
            <a:prstGeom prst="rect">
              <a:avLst/>
            </a:prstGeom>
          </xdr:spPr>
        </xdr:pic>
        <xdr:sp macro="" textlink="">
          <xdr:nvSpPr>
            <xdr:cNvPr id="78" name="CuadroTexto 36">
              <a:hlinkClick xmlns:r="http://schemas.openxmlformats.org/officeDocument/2006/relationships" r:id="rId39"/>
              <a:extLst>
                <a:ext uri="{FF2B5EF4-FFF2-40B4-BE49-F238E27FC236}">
                  <a16:creationId xmlns:a16="http://schemas.microsoft.com/office/drawing/2014/main" id="{00000000-0008-0000-0100-00004E000000}"/>
                </a:ext>
              </a:extLst>
            </xdr:cNvPr>
            <xdr:cNvSpPr txBox="1"/>
          </xdr:nvSpPr>
          <xdr:spPr>
            <a:xfrm>
              <a:off x="1695450" y="1995487"/>
              <a:ext cx="1628776" cy="240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accent1"/>
                  </a:solidFill>
                </a:rPr>
                <a:t>Resultado Simulación</a:t>
              </a:r>
              <a:endParaRPr lang="en-US" sz="1100" b="1">
                <a:solidFill>
                  <a:schemeClr val="accent1"/>
                </a:solidFill>
              </a:endParaRPr>
            </a:p>
          </xdr:txBody>
        </xdr:sp>
      </xdr:grpSp>
      <xdr:pic>
        <xdr:nvPicPr>
          <xdr:cNvPr id="70" name="Imagen 69" descr="Imagen relacionada">
            <a:hlinkClick xmlns:r="http://schemas.openxmlformats.org/officeDocument/2006/relationships" r:id="rId42"/>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249496" y="6985000"/>
            <a:ext cx="1180004" cy="7810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204336</xdr:colOff>
      <xdr:row>30</xdr:row>
      <xdr:rowOff>0</xdr:rowOff>
    </xdr:from>
    <xdr:to>
      <xdr:col>6</xdr:col>
      <xdr:colOff>156711</xdr:colOff>
      <xdr:row>35</xdr:row>
      <xdr:rowOff>61343</xdr:rowOff>
    </xdr:to>
    <xdr:grpSp>
      <xdr:nvGrpSpPr>
        <xdr:cNvPr id="9" name="Grupo 8">
          <a:hlinkClick xmlns:r="http://schemas.openxmlformats.org/officeDocument/2006/relationships" r:id="rId44"/>
          <a:extLst>
            <a:ext uri="{FF2B5EF4-FFF2-40B4-BE49-F238E27FC236}">
              <a16:creationId xmlns:a16="http://schemas.microsoft.com/office/drawing/2014/main" id="{00000000-0008-0000-0100-000009000000}"/>
            </a:ext>
          </a:extLst>
        </xdr:cNvPr>
        <xdr:cNvGrpSpPr/>
      </xdr:nvGrpSpPr>
      <xdr:grpSpPr>
        <a:xfrm>
          <a:off x="3569836" y="6191250"/>
          <a:ext cx="1635125" cy="1093218"/>
          <a:chOff x="3569836" y="6286500"/>
          <a:chExt cx="1635125" cy="1093218"/>
        </a:xfrm>
      </xdr:grpSpPr>
      <xdr:pic>
        <xdr:nvPicPr>
          <xdr:cNvPr id="52" name="Imagen 51" descr="Resultado de imagen para g growth valuation ico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091340" y="6286500"/>
            <a:ext cx="623534" cy="6413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2" name="CuadroTexto 36">
            <a:hlinkClick xmlns:r="http://schemas.openxmlformats.org/officeDocument/2006/relationships" r:id="rId39"/>
            <a:extLst>
              <a:ext uri="{FF2B5EF4-FFF2-40B4-BE49-F238E27FC236}">
                <a16:creationId xmlns:a16="http://schemas.microsoft.com/office/drawing/2014/main" id="{00000000-0008-0000-0100-000048000000}"/>
              </a:ext>
            </a:extLst>
          </xdr:cNvPr>
          <xdr:cNvSpPr txBox="1"/>
        </xdr:nvSpPr>
        <xdr:spPr>
          <a:xfrm>
            <a:off x="3569836" y="7130693"/>
            <a:ext cx="1635125" cy="249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chemeClr val="accent1"/>
                </a:solidFill>
              </a:rPr>
              <a:t>"g"</a:t>
            </a:r>
            <a:endParaRPr lang="en-US" sz="1100" b="1">
              <a:solidFill>
                <a:schemeClr val="accent1"/>
              </a:solidFill>
            </a:endParaRPr>
          </a:p>
        </xdr:txBody>
      </xdr:sp>
    </xdr:grpSp>
    <xdr:clientData/>
  </xdr:twoCellAnchor>
  <xdr:twoCellAnchor editAs="oneCell">
    <xdr:from>
      <xdr:col>15</xdr:col>
      <xdr:colOff>0</xdr:colOff>
      <xdr:row>38</xdr:row>
      <xdr:rowOff>0</xdr:rowOff>
    </xdr:from>
    <xdr:to>
      <xdr:col>15</xdr:col>
      <xdr:colOff>304800</xdr:colOff>
      <xdr:row>39</xdr:row>
      <xdr:rowOff>104775</xdr:rowOff>
    </xdr:to>
    <xdr:sp macro="" textlink="">
      <xdr:nvSpPr>
        <xdr:cNvPr id="165889" name="AutoShape 1" descr="Resultado de imagen para multiplos icon">
          <a:extLst>
            <a:ext uri="{FF2B5EF4-FFF2-40B4-BE49-F238E27FC236}">
              <a16:creationId xmlns:a16="http://schemas.microsoft.com/office/drawing/2014/main" id="{00000000-0008-0000-0100-000001880200}"/>
            </a:ext>
          </a:extLst>
        </xdr:cNvPr>
        <xdr:cNvSpPr>
          <a:spLocks noChangeAspect="1" noChangeArrowheads="1"/>
        </xdr:cNvSpPr>
      </xdr:nvSpPr>
      <xdr:spPr bwMode="auto">
        <a:xfrm>
          <a:off x="12573000" y="760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38</xdr:row>
      <xdr:rowOff>0</xdr:rowOff>
    </xdr:from>
    <xdr:to>
      <xdr:col>15</xdr:col>
      <xdr:colOff>304800</xdr:colOff>
      <xdr:row>39</xdr:row>
      <xdr:rowOff>104775</xdr:rowOff>
    </xdr:to>
    <xdr:sp macro="" textlink="">
      <xdr:nvSpPr>
        <xdr:cNvPr id="165890" name="AutoShape 2" descr="Resultado de imagen para multiplos icon">
          <a:extLst>
            <a:ext uri="{FF2B5EF4-FFF2-40B4-BE49-F238E27FC236}">
              <a16:creationId xmlns:a16="http://schemas.microsoft.com/office/drawing/2014/main" id="{00000000-0008-0000-0100-000002880200}"/>
            </a:ext>
          </a:extLst>
        </xdr:cNvPr>
        <xdr:cNvSpPr>
          <a:spLocks noChangeAspect="1" noChangeArrowheads="1"/>
        </xdr:cNvSpPr>
      </xdr:nvSpPr>
      <xdr:spPr bwMode="auto">
        <a:xfrm>
          <a:off x="12573000" y="760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372611</xdr:colOff>
      <xdr:row>30</xdr:row>
      <xdr:rowOff>79376</xdr:rowOff>
    </xdr:from>
    <xdr:to>
      <xdr:col>8</xdr:col>
      <xdr:colOff>324986</xdr:colOff>
      <xdr:row>35</xdr:row>
      <xdr:rowOff>54993</xdr:rowOff>
    </xdr:to>
    <xdr:grpSp>
      <xdr:nvGrpSpPr>
        <xdr:cNvPr id="7" name="Grupo 6">
          <a:hlinkClick xmlns:r="http://schemas.openxmlformats.org/officeDocument/2006/relationships" r:id="rId46"/>
          <a:extLst>
            <a:ext uri="{FF2B5EF4-FFF2-40B4-BE49-F238E27FC236}">
              <a16:creationId xmlns:a16="http://schemas.microsoft.com/office/drawing/2014/main" id="{00000000-0008-0000-0100-000007000000}"/>
            </a:ext>
          </a:extLst>
        </xdr:cNvPr>
        <xdr:cNvGrpSpPr/>
      </xdr:nvGrpSpPr>
      <xdr:grpSpPr>
        <a:xfrm>
          <a:off x="5420861" y="6270626"/>
          <a:ext cx="1635125" cy="1007492"/>
          <a:chOff x="5420861" y="6270626"/>
          <a:chExt cx="1635125" cy="1007492"/>
        </a:xfrm>
      </xdr:grpSpPr>
      <xdr:sp macro="" textlink="">
        <xdr:nvSpPr>
          <xdr:cNvPr id="65" name="CuadroTexto 36">
            <a:extLst>
              <a:ext uri="{FF2B5EF4-FFF2-40B4-BE49-F238E27FC236}">
                <a16:creationId xmlns:a16="http://schemas.microsoft.com/office/drawing/2014/main" id="{00000000-0008-0000-0100-000041000000}"/>
              </a:ext>
            </a:extLst>
          </xdr:cNvPr>
          <xdr:cNvSpPr txBox="1"/>
        </xdr:nvSpPr>
        <xdr:spPr>
          <a:xfrm>
            <a:off x="5420861" y="7029093"/>
            <a:ext cx="1635125" cy="249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chemeClr val="accent1"/>
                </a:solidFill>
              </a:rPr>
              <a:t>Multiplos</a:t>
            </a:r>
            <a:endParaRPr lang="en-US" sz="1100" b="1">
              <a:solidFill>
                <a:schemeClr val="accent1"/>
              </a:solidFill>
            </a:endParaRPr>
          </a:p>
        </xdr:txBody>
      </xdr:sp>
      <xdr:pic>
        <xdr:nvPicPr>
          <xdr:cNvPr id="79" name="Imagen 78" descr="Resultado de imagen para numbers logo">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921376" y="6270626"/>
            <a:ext cx="618272" cy="635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0</xdr:row>
      <xdr:rowOff>483053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20412</xdr:colOff>
      <xdr:row>0</xdr:row>
      <xdr:rowOff>0</xdr:rowOff>
    </xdr:from>
    <xdr:to>
      <xdr:col>1</xdr:col>
      <xdr:colOff>503466</xdr:colOff>
      <xdr:row>1</xdr:row>
      <xdr:rowOff>74839</xdr:rowOff>
    </xdr:to>
    <xdr:pic>
      <xdr:nvPicPr>
        <xdr:cNvPr id="2" name="Imagen 2">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20412" y="0"/>
          <a:ext cx="483054" cy="4748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0</xdr:col>
      <xdr:colOff>628650</xdr:colOff>
      <xdr:row>0</xdr:row>
      <xdr:rowOff>523875</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114300" y="28575"/>
          <a:ext cx="514350" cy="495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95250</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514350" cy="495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95250</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514350" cy="495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2</xdr:row>
      <xdr:rowOff>95250</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514350" cy="495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57150</xdr:colOff>
      <xdr:row>0</xdr:row>
      <xdr:rowOff>142875</xdr:rowOff>
    </xdr:from>
    <xdr:to>
      <xdr:col>13</xdr:col>
      <xdr:colOff>400050</xdr:colOff>
      <xdr:row>19</xdr:row>
      <xdr:rowOff>85725</xdr:rowOff>
    </xdr:to>
    <xdr:graphicFrame macro="">
      <xdr:nvGraphicFramePr>
        <xdr:cNvPr id="2" name="Chart 1">
          <a:extLst>
            <a:ext uri="{FF2B5EF4-FFF2-40B4-BE49-F238E27FC236}">
              <a16:creationId xmlns:a16="http://schemas.microsoft.com/office/drawing/2014/main" id="{51784F27-F086-4463-9E39-191D3023B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xdr:colOff>
      <xdr:row>20</xdr:row>
      <xdr:rowOff>161925</xdr:rowOff>
    </xdr:from>
    <xdr:to>
      <xdr:col>13</xdr:col>
      <xdr:colOff>400050</xdr:colOff>
      <xdr:row>39</xdr:row>
      <xdr:rowOff>104775</xdr:rowOff>
    </xdr:to>
    <xdr:graphicFrame macro="">
      <xdr:nvGraphicFramePr>
        <xdr:cNvPr id="3" name="Chart 2">
          <a:extLst>
            <a:ext uri="{FF2B5EF4-FFF2-40B4-BE49-F238E27FC236}">
              <a16:creationId xmlns:a16="http://schemas.microsoft.com/office/drawing/2014/main" id="{DFBAE640-DBCD-4FD2-B5AC-BA5787DBB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76200</xdr:colOff>
      <xdr:row>40</xdr:row>
      <xdr:rowOff>171450</xdr:rowOff>
    </xdr:from>
    <xdr:to>
      <xdr:col>13</xdr:col>
      <xdr:colOff>409575</xdr:colOff>
      <xdr:row>61</xdr:row>
      <xdr:rowOff>161925</xdr:rowOff>
    </xdr:to>
    <xdr:graphicFrame macro="">
      <xdr:nvGraphicFramePr>
        <xdr:cNvPr id="4" name="Chart 3">
          <a:extLst>
            <a:ext uri="{FF2B5EF4-FFF2-40B4-BE49-F238E27FC236}">
              <a16:creationId xmlns:a16="http://schemas.microsoft.com/office/drawing/2014/main" id="{B3A5CE97-E083-41C3-BC6B-D123EB728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238125</xdr:colOff>
      <xdr:row>62</xdr:row>
      <xdr:rowOff>142875</xdr:rowOff>
    </xdr:from>
    <xdr:to>
      <xdr:col>13</xdr:col>
      <xdr:colOff>219075</xdr:colOff>
      <xdr:row>79</xdr:row>
      <xdr:rowOff>123825</xdr:rowOff>
    </xdr:to>
    <xdr:graphicFrame macro="">
      <xdr:nvGraphicFramePr>
        <xdr:cNvPr id="5" name="Chart 4">
          <a:extLst>
            <a:ext uri="{FF2B5EF4-FFF2-40B4-BE49-F238E27FC236}">
              <a16:creationId xmlns:a16="http://schemas.microsoft.com/office/drawing/2014/main" id="{7D7A13CC-2643-477D-B5EB-151695C54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533400</xdr:colOff>
          <xdr:row>0</xdr:row>
          <xdr:rowOff>104775</xdr:rowOff>
        </xdr:from>
        <xdr:to>
          <xdr:col>15</xdr:col>
          <xdr:colOff>1419225</xdr:colOff>
          <xdr:row>1</xdr:row>
          <xdr:rowOff>0</xdr:rowOff>
        </xdr:to>
        <xdr:sp macro="" textlink="">
          <xdr:nvSpPr>
            <xdr:cNvPr id="185345" name="Drop Down 1" hidden="1">
              <a:extLst>
                <a:ext uri="{63B3BB69-23CF-44E3-9099-C40C66FF867C}">
                  <a14:compatExt spid="_x0000_s185345"/>
                </a:ext>
                <a:ext uri="{FF2B5EF4-FFF2-40B4-BE49-F238E27FC236}">
                  <a16:creationId xmlns:a16="http://schemas.microsoft.com/office/drawing/2014/main" id="{20F49EB0-DE31-4F37-86DC-706A1326C9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4</xdr:col>
      <xdr:colOff>133064</xdr:colOff>
      <xdr:row>33</xdr:row>
      <xdr:rowOff>114133</xdr:rowOff>
    </xdr:to>
    <xdr:pic>
      <xdr:nvPicPr>
        <xdr:cNvPr id="2" name="Picture 1">
          <a:extLst>
            <a:ext uri="{FF2B5EF4-FFF2-40B4-BE49-F238E27FC236}">
              <a16:creationId xmlns:a16="http://schemas.microsoft.com/office/drawing/2014/main" id="{EB0D26C1-B641-4C7D-8DE1-6D98444B8020}"/>
            </a:ext>
          </a:extLst>
        </xdr:cNvPr>
        <xdr:cNvPicPr>
          <a:picLocks noChangeAspect="1"/>
        </xdr:cNvPicPr>
      </xdr:nvPicPr>
      <xdr:blipFill>
        <a:blip xmlns:r="http://schemas.openxmlformats.org/officeDocument/2006/relationships" r:embed="rId1"/>
        <a:stretch>
          <a:fillRect/>
        </a:stretch>
      </xdr:blipFill>
      <xdr:spPr>
        <a:xfrm>
          <a:off x="180975" y="4086225"/>
          <a:ext cx="2285714" cy="1333333"/>
        </a:xfrm>
        <a:prstGeom prst="rect">
          <a:avLst/>
        </a:prstGeom>
      </xdr:spPr>
    </xdr:pic>
    <xdr:clientData/>
  </xdr:twoCellAnchor>
  <xdr:twoCellAnchor editAs="oneCell">
    <xdr:from>
      <xdr:col>5</xdr:col>
      <xdr:colOff>0</xdr:colOff>
      <xdr:row>25</xdr:row>
      <xdr:rowOff>0</xdr:rowOff>
    </xdr:from>
    <xdr:to>
      <xdr:col>8</xdr:col>
      <xdr:colOff>56864</xdr:colOff>
      <xdr:row>33</xdr:row>
      <xdr:rowOff>114133</xdr:rowOff>
    </xdr:to>
    <xdr:pic>
      <xdr:nvPicPr>
        <xdr:cNvPr id="3" name="Picture 2">
          <a:extLst>
            <a:ext uri="{FF2B5EF4-FFF2-40B4-BE49-F238E27FC236}">
              <a16:creationId xmlns:a16="http://schemas.microsoft.com/office/drawing/2014/main" id="{DB2FFF8C-5189-4095-A2D1-86193FDD785B}"/>
            </a:ext>
          </a:extLst>
        </xdr:cNvPr>
        <xdr:cNvPicPr>
          <a:picLocks noChangeAspect="1"/>
        </xdr:cNvPicPr>
      </xdr:nvPicPr>
      <xdr:blipFill>
        <a:blip xmlns:r="http://schemas.openxmlformats.org/officeDocument/2006/relationships" r:embed="rId2"/>
        <a:stretch>
          <a:fillRect/>
        </a:stretch>
      </xdr:blipFill>
      <xdr:spPr>
        <a:xfrm>
          <a:off x="3019425" y="4086225"/>
          <a:ext cx="2285714" cy="1333333"/>
        </a:xfrm>
        <a:prstGeom prst="rect">
          <a:avLst/>
        </a:prstGeom>
      </xdr:spPr>
    </xdr:pic>
    <xdr:clientData/>
  </xdr:twoCellAnchor>
  <xdr:twoCellAnchor editAs="oneCell">
    <xdr:from>
      <xdr:col>9</xdr:col>
      <xdr:colOff>0</xdr:colOff>
      <xdr:row>25</xdr:row>
      <xdr:rowOff>0</xdr:rowOff>
    </xdr:from>
    <xdr:to>
      <xdr:col>12</xdr:col>
      <xdr:colOff>133064</xdr:colOff>
      <xdr:row>33</xdr:row>
      <xdr:rowOff>114133</xdr:rowOff>
    </xdr:to>
    <xdr:pic>
      <xdr:nvPicPr>
        <xdr:cNvPr id="4" name="Picture 3">
          <a:extLst>
            <a:ext uri="{FF2B5EF4-FFF2-40B4-BE49-F238E27FC236}">
              <a16:creationId xmlns:a16="http://schemas.microsoft.com/office/drawing/2014/main" id="{44A059A0-8C43-4722-8844-C653600495F2}"/>
            </a:ext>
          </a:extLst>
        </xdr:cNvPr>
        <xdr:cNvPicPr>
          <a:picLocks noChangeAspect="1"/>
        </xdr:cNvPicPr>
      </xdr:nvPicPr>
      <xdr:blipFill>
        <a:blip xmlns:r="http://schemas.openxmlformats.org/officeDocument/2006/relationships" r:embed="rId3"/>
        <a:stretch>
          <a:fillRect/>
        </a:stretch>
      </xdr:blipFill>
      <xdr:spPr>
        <a:xfrm>
          <a:off x="5934075" y="4086225"/>
          <a:ext cx="2285714" cy="13333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0</xdr:row>
      <xdr:rowOff>483053</xdr:rowOff>
    </xdr:to>
    <xdr:pic>
      <xdr:nvPicPr>
        <xdr:cNvPr id="2" name="Imagen 1" hidden="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twoCellAnchor editAs="oneCell">
    <xdr:from>
      <xdr:col>0</xdr:col>
      <xdr:colOff>0</xdr:colOff>
      <xdr:row>1</xdr:row>
      <xdr:rowOff>0</xdr:rowOff>
    </xdr:from>
    <xdr:to>
      <xdr:col>0</xdr:col>
      <xdr:colOff>483054</xdr:colOff>
      <xdr:row>1</xdr:row>
      <xdr:rowOff>483053</xdr:rowOff>
    </xdr:to>
    <xdr:pic>
      <xdr:nvPicPr>
        <xdr:cNvPr id="3" name="Imagen 2" hidden="1">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twoCellAnchor editAs="oneCell">
    <xdr:from>
      <xdr:col>0</xdr:col>
      <xdr:colOff>8283</xdr:colOff>
      <xdr:row>1</xdr:row>
      <xdr:rowOff>0</xdr:rowOff>
    </xdr:from>
    <xdr:to>
      <xdr:col>0</xdr:col>
      <xdr:colOff>491337</xdr:colOff>
      <xdr:row>1</xdr:row>
      <xdr:rowOff>479652</xdr:rowOff>
    </xdr:to>
    <xdr:pic>
      <xdr:nvPicPr>
        <xdr:cNvPr id="4" name="Imagen 2">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8283" y="571500"/>
          <a:ext cx="483054" cy="479652"/>
        </a:xfrm>
        <a:prstGeom prst="rect">
          <a:avLst/>
        </a:prstGeom>
      </xdr:spPr>
    </xdr:pic>
    <xdr:clientData/>
  </xdr:twoCellAnchor>
  <xdr:twoCellAnchor>
    <xdr:from>
      <xdr:col>7</xdr:col>
      <xdr:colOff>126826</xdr:colOff>
      <xdr:row>69</xdr:row>
      <xdr:rowOff>11910</xdr:rowOff>
    </xdr:from>
    <xdr:to>
      <xdr:col>12</xdr:col>
      <xdr:colOff>912121</xdr:colOff>
      <xdr:row>83</xdr:row>
      <xdr:rowOff>56944</xdr:rowOff>
    </xdr:to>
    <xdr:graphicFrame macro="">
      <xdr:nvGraphicFramePr>
        <xdr:cNvPr id="5" name="Gráfico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57150</xdr:colOff>
      <xdr:row>2</xdr:row>
      <xdr:rowOff>142875</xdr:rowOff>
    </xdr:from>
    <xdr:to>
      <xdr:col>13</xdr:col>
      <xdr:colOff>400050</xdr:colOff>
      <xdr:row>21</xdr:row>
      <xdr:rowOff>85725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xdr:colOff>
      <xdr:row>22</xdr:row>
      <xdr:rowOff>161925</xdr:rowOff>
    </xdr:from>
    <xdr:to>
      <xdr:col>13</xdr:col>
      <xdr:colOff>400050</xdr:colOff>
      <xdr:row>41</xdr:row>
      <xdr:rowOff>104775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76200</xdr:colOff>
      <xdr:row>42</xdr:row>
      <xdr:rowOff>171450</xdr:rowOff>
    </xdr:from>
    <xdr:to>
      <xdr:col>13</xdr:col>
      <xdr:colOff>409575</xdr:colOff>
      <xdr:row>63</xdr:row>
      <xdr:rowOff>161925</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238125</xdr:colOff>
      <xdr:row>64</xdr:row>
      <xdr:rowOff>142875</xdr:rowOff>
    </xdr:from>
    <xdr:to>
      <xdr:col>13</xdr:col>
      <xdr:colOff>219075</xdr:colOff>
      <xdr:row>81</xdr:row>
      <xdr:rowOff>123825</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533400</xdr:colOff>
          <xdr:row>2</xdr:row>
          <xdr:rowOff>104775</xdr:rowOff>
        </xdr:from>
        <xdr:to>
          <xdr:col>15</xdr:col>
          <xdr:colOff>1419225</xdr:colOff>
          <xdr:row>3</xdr:row>
          <xdr:rowOff>0</xdr:rowOff>
        </xdr:to>
        <xdr:sp macro="" textlink="">
          <xdr:nvSpPr>
            <xdr:cNvPr id="99329" name="Drop Down 1" hidden="1">
              <a:extLst>
                <a:ext uri="{63B3BB69-23CF-44E3-9099-C40C66FF867C}">
                  <a14:compatExt spid="_x0000_s99329"/>
                </a:ext>
                <a:ext uri="{FF2B5EF4-FFF2-40B4-BE49-F238E27FC236}">
                  <a16:creationId xmlns:a16="http://schemas.microsoft.com/office/drawing/2014/main" id="{00000000-0008-0000-1700-0000018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85726</xdr:colOff>
      <xdr:row>0</xdr:row>
      <xdr:rowOff>0</xdr:rowOff>
    </xdr:from>
    <xdr:to>
      <xdr:col>0</xdr:col>
      <xdr:colOff>609600</xdr:colOff>
      <xdr:row>2</xdr:row>
      <xdr:rowOff>139675</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837473B0-CC2E-450A-ABE3-18F120FF3D39}">
              <a1611:picAttrSrcUrl xmlns:a1611="http://schemas.microsoft.com/office/drawing/2016/11/main" xmlns="" r:id="rId7"/>
            </a:ext>
          </a:extLst>
        </a:blip>
        <a:stretch>
          <a:fillRect/>
        </a:stretch>
      </xdr:blipFill>
      <xdr:spPr>
        <a:xfrm>
          <a:off x="85726" y="0"/>
          <a:ext cx="523874" cy="5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119063</xdr:colOff>
      <xdr:row>1</xdr:row>
      <xdr:rowOff>76200</xdr:rowOff>
    </xdr:from>
    <xdr:to>
      <xdr:col>8</xdr:col>
      <xdr:colOff>657226</xdr:colOff>
      <xdr:row>5</xdr:row>
      <xdr:rowOff>52387</xdr:rowOff>
    </xdr:to>
    <xdr:sp macro="" textlink="">
      <xdr:nvSpPr>
        <xdr:cNvPr id="4" name="Rectángulo: esquinas redondeadas 3">
          <a:extLst>
            <a:ext uri="{FF2B5EF4-FFF2-40B4-BE49-F238E27FC236}">
              <a16:creationId xmlns:a16="http://schemas.microsoft.com/office/drawing/2014/main" id="{00000000-0008-0000-0400-000004000000}"/>
            </a:ext>
          </a:extLst>
        </xdr:cNvPr>
        <xdr:cNvSpPr/>
      </xdr:nvSpPr>
      <xdr:spPr>
        <a:xfrm>
          <a:off x="5019676" y="390525"/>
          <a:ext cx="2081213" cy="928687"/>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n-US" sz="1400" b="1"/>
            <a:t>Volumen Promedio Diario</a:t>
          </a:r>
        </a:p>
      </xdr:txBody>
    </xdr:sp>
    <xdr:clientData/>
  </xdr:twoCellAnchor>
  <xdr:twoCellAnchor>
    <xdr:from>
      <xdr:col>6</xdr:col>
      <xdr:colOff>238125</xdr:colOff>
      <xdr:row>4</xdr:row>
      <xdr:rowOff>0</xdr:rowOff>
    </xdr:from>
    <xdr:to>
      <xdr:col>8</xdr:col>
      <xdr:colOff>571500</xdr:colOff>
      <xdr:row>5</xdr:row>
      <xdr:rowOff>14288</xdr:rowOff>
    </xdr:to>
    <xdr:sp macro="" textlink="PromedioVolumenDiario">
      <xdr:nvSpPr>
        <xdr:cNvPr id="9" name="Rectángulo: esquinas redondeadas 8">
          <a:extLst>
            <a:ext uri="{FF2B5EF4-FFF2-40B4-BE49-F238E27FC236}">
              <a16:creationId xmlns:a16="http://schemas.microsoft.com/office/drawing/2014/main" id="{00000000-0008-0000-0400-000009000000}"/>
            </a:ext>
          </a:extLst>
        </xdr:cNvPr>
        <xdr:cNvSpPr/>
      </xdr:nvSpPr>
      <xdr:spPr>
        <a:xfrm>
          <a:off x="5138738" y="942975"/>
          <a:ext cx="1876425" cy="3381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9AF9D46-F315-4F03-B6DE-1DB32FED408F}" type="TxLink">
            <a:rPr lang="en-US" sz="1200" b="1" i="0" u="none" strike="noStrike">
              <a:solidFill>
                <a:schemeClr val="bg1"/>
              </a:solidFill>
              <a:latin typeface="Calibri"/>
              <a:cs typeface="Calibri"/>
            </a:rPr>
            <a:pPr algn="ctr"/>
            <a:t> 2.147.527.225,99 </a:t>
          </a:fld>
          <a:endParaRPr lang="en-US" sz="1100" b="1">
            <a:solidFill>
              <a:schemeClr val="bg1"/>
            </a:solidFill>
          </a:endParaRPr>
        </a:p>
      </xdr:txBody>
    </xdr:sp>
    <xdr:clientData/>
  </xdr:twoCellAnchor>
  <xdr:twoCellAnchor>
    <xdr:from>
      <xdr:col>6</xdr:col>
      <xdr:colOff>76200</xdr:colOff>
      <xdr:row>5</xdr:row>
      <xdr:rowOff>142875</xdr:rowOff>
    </xdr:from>
    <xdr:to>
      <xdr:col>8</xdr:col>
      <xdr:colOff>639536</xdr:colOff>
      <xdr:row>10</xdr:row>
      <xdr:rowOff>71437</xdr:rowOff>
    </xdr:to>
    <xdr:sp macro="" textlink="">
      <xdr:nvSpPr>
        <xdr:cNvPr id="11" name="Rectángulo: esquinas redondeadas 10">
          <a:extLst>
            <a:ext uri="{FF2B5EF4-FFF2-40B4-BE49-F238E27FC236}">
              <a16:creationId xmlns:a16="http://schemas.microsoft.com/office/drawing/2014/main" id="{00000000-0008-0000-0400-00000B000000}"/>
            </a:ext>
          </a:extLst>
        </xdr:cNvPr>
        <xdr:cNvSpPr/>
      </xdr:nvSpPr>
      <xdr:spPr>
        <a:xfrm>
          <a:off x="5396593" y="1598839"/>
          <a:ext cx="2713264" cy="949098"/>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n-US" sz="1400" b="1"/>
            <a:t>Rango Precio</a:t>
          </a:r>
          <a:r>
            <a:rPr lang="en-US" sz="1400" b="1" baseline="0"/>
            <a:t> Cierre</a:t>
          </a:r>
          <a:endParaRPr lang="en-US" sz="1400" b="1"/>
        </a:p>
      </xdr:txBody>
    </xdr:sp>
    <xdr:clientData/>
  </xdr:twoCellAnchor>
  <xdr:twoCellAnchor>
    <xdr:from>
      <xdr:col>6</xdr:col>
      <xdr:colOff>290421</xdr:colOff>
      <xdr:row>7</xdr:row>
      <xdr:rowOff>180975</xdr:rowOff>
    </xdr:from>
    <xdr:to>
      <xdr:col>7</xdr:col>
      <xdr:colOff>374947</xdr:colOff>
      <xdr:row>9</xdr:row>
      <xdr:rowOff>66675</xdr:rowOff>
    </xdr:to>
    <xdr:sp macro="" textlink="MinimoPrecioCierre">
      <xdr:nvSpPr>
        <xdr:cNvPr id="12" name="Rectángulo: esquinas redondeadas 11">
          <a:extLst>
            <a:ext uri="{FF2B5EF4-FFF2-40B4-BE49-F238E27FC236}">
              <a16:creationId xmlns:a16="http://schemas.microsoft.com/office/drawing/2014/main" id="{00000000-0008-0000-0400-00000C000000}"/>
            </a:ext>
          </a:extLst>
        </xdr:cNvPr>
        <xdr:cNvSpPr/>
      </xdr:nvSpPr>
      <xdr:spPr>
        <a:xfrm>
          <a:off x="6418770" y="2265692"/>
          <a:ext cx="1180800" cy="28107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F6A54A28-5DB1-451C-B84B-00278F2233C6}" type="TxLink">
            <a:rPr lang="en-US" sz="1200" b="1" i="0" u="none" strike="noStrike">
              <a:solidFill>
                <a:schemeClr val="bg1"/>
              </a:solidFill>
              <a:latin typeface="Calibri"/>
              <a:cs typeface="Calibri"/>
            </a:rPr>
            <a:pPr algn="ctr"/>
            <a:t> $3.511,18 </a:t>
          </a:fld>
          <a:endParaRPr lang="en-US" sz="1100" b="1">
            <a:solidFill>
              <a:schemeClr val="bg1"/>
            </a:solidFill>
          </a:endParaRPr>
        </a:p>
      </xdr:txBody>
    </xdr:sp>
    <xdr:clientData/>
  </xdr:twoCellAnchor>
  <xdr:twoCellAnchor editAs="oneCell">
    <xdr:from>
      <xdr:col>0</xdr:col>
      <xdr:colOff>122740</xdr:colOff>
      <xdr:row>0</xdr:row>
      <xdr:rowOff>0</xdr:rowOff>
    </xdr:from>
    <xdr:to>
      <xdr:col>0</xdr:col>
      <xdr:colOff>768685</xdr:colOff>
      <xdr:row>0</xdr:row>
      <xdr:rowOff>642000</xdr:rowOff>
    </xdr:to>
    <xdr:pic>
      <xdr:nvPicPr>
        <xdr:cNvPr id="16" name="Imagen 15">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122740" y="0"/>
          <a:ext cx="645945" cy="647252"/>
        </a:xfrm>
        <a:prstGeom prst="rect">
          <a:avLst/>
        </a:prstGeom>
      </xdr:spPr>
    </xdr:pic>
    <xdr:clientData/>
  </xdr:twoCellAnchor>
  <xdr:twoCellAnchor>
    <xdr:from>
      <xdr:col>9</xdr:col>
      <xdr:colOff>56285</xdr:colOff>
      <xdr:row>0</xdr:row>
      <xdr:rowOff>90488</xdr:rowOff>
    </xdr:from>
    <xdr:to>
      <xdr:col>9</xdr:col>
      <xdr:colOff>56285</xdr:colOff>
      <xdr:row>17</xdr:row>
      <xdr:rowOff>11113</xdr:rowOff>
    </xdr:to>
    <xdr:cxnSp macro="">
      <xdr:nvCxnSpPr>
        <xdr:cNvPr id="17" name="Conector recto 16">
          <a:extLst>
            <a:ext uri="{FF2B5EF4-FFF2-40B4-BE49-F238E27FC236}">
              <a16:creationId xmlns:a16="http://schemas.microsoft.com/office/drawing/2014/main" id="{00000000-0008-0000-0400-000011000000}"/>
            </a:ext>
          </a:extLst>
        </xdr:cNvPr>
        <xdr:cNvCxnSpPr/>
      </xdr:nvCxnSpPr>
      <xdr:spPr>
        <a:xfrm>
          <a:off x="7638185" y="90488"/>
          <a:ext cx="0" cy="3806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92982</xdr:colOff>
      <xdr:row>16</xdr:row>
      <xdr:rowOff>87313</xdr:rowOff>
    </xdr:from>
    <xdr:to>
      <xdr:col>8</xdr:col>
      <xdr:colOff>702469</xdr:colOff>
      <xdr:row>16</xdr:row>
      <xdr:rowOff>119063</xdr:rowOff>
    </xdr:to>
    <xdr:cxnSp macro="">
      <xdr:nvCxnSpPr>
        <xdr:cNvPr id="19" name="Conector recto 18">
          <a:extLst>
            <a:ext uri="{FF2B5EF4-FFF2-40B4-BE49-F238E27FC236}">
              <a16:creationId xmlns:a16="http://schemas.microsoft.com/office/drawing/2014/main" id="{00000000-0008-0000-0400-000013000000}"/>
            </a:ext>
          </a:extLst>
        </xdr:cNvPr>
        <xdr:cNvCxnSpPr/>
      </xdr:nvCxnSpPr>
      <xdr:spPr>
        <a:xfrm>
          <a:off x="92982" y="4004469"/>
          <a:ext cx="9324862" cy="3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146050</xdr:colOff>
      <xdr:row>1</xdr:row>
      <xdr:rowOff>0</xdr:rowOff>
    </xdr:from>
    <xdr:to>
      <xdr:col>25</xdr:col>
      <xdr:colOff>31750</xdr:colOff>
      <xdr:row>2</xdr:row>
      <xdr:rowOff>150812</xdr:rowOff>
    </xdr:to>
    <xdr:sp macro="" textlink="">
      <xdr:nvSpPr>
        <xdr:cNvPr id="23" name="Rectángulo: esquinas redondeadas 22">
          <a:extLst>
            <a:ext uri="{FF2B5EF4-FFF2-40B4-BE49-F238E27FC236}">
              <a16:creationId xmlns:a16="http://schemas.microsoft.com/office/drawing/2014/main" id="{00000000-0008-0000-0400-000017000000}"/>
            </a:ext>
          </a:extLst>
        </xdr:cNvPr>
        <xdr:cNvSpPr/>
      </xdr:nvSpPr>
      <xdr:spPr>
        <a:xfrm>
          <a:off x="7472363" y="841375"/>
          <a:ext cx="13347700" cy="3492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en-US" sz="1800" b="1"/>
            <a:t>Análisis Activo,</a:t>
          </a:r>
          <a:r>
            <a:rPr lang="en-US" sz="1800" b="1" baseline="0"/>
            <a:t> Pasivo y Patrimonio</a:t>
          </a:r>
          <a:endParaRPr lang="en-US" sz="1800" b="1"/>
        </a:p>
      </xdr:txBody>
    </xdr:sp>
    <xdr:clientData/>
  </xdr:twoCellAnchor>
  <xdr:twoCellAnchor>
    <xdr:from>
      <xdr:col>9</xdr:col>
      <xdr:colOff>119063</xdr:colOff>
      <xdr:row>2</xdr:row>
      <xdr:rowOff>182562</xdr:rowOff>
    </xdr:from>
    <xdr:to>
      <xdr:col>14</xdr:col>
      <xdr:colOff>325438</xdr:colOff>
      <xdr:row>17</xdr:row>
      <xdr:rowOff>55563</xdr:rowOff>
    </xdr:to>
    <xdr:graphicFrame macro="">
      <xdr:nvGraphicFramePr>
        <xdr:cNvPr id="24" name="Gráfico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468313</xdr:colOff>
      <xdr:row>2</xdr:row>
      <xdr:rowOff>182563</xdr:rowOff>
    </xdr:from>
    <xdr:to>
      <xdr:col>19</xdr:col>
      <xdr:colOff>674688</xdr:colOff>
      <xdr:row>17</xdr:row>
      <xdr:rowOff>55564</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717551</xdr:colOff>
      <xdr:row>2</xdr:row>
      <xdr:rowOff>182563</xdr:rowOff>
    </xdr:from>
    <xdr:to>
      <xdr:col>25</xdr:col>
      <xdr:colOff>82551</xdr:colOff>
      <xdr:row>17</xdr:row>
      <xdr:rowOff>55564</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150812</xdr:colOff>
      <xdr:row>17</xdr:row>
      <xdr:rowOff>169863</xdr:rowOff>
    </xdr:from>
    <xdr:to>
      <xdr:col>26</xdr:col>
      <xdr:colOff>95250</xdr:colOff>
      <xdr:row>19</xdr:row>
      <xdr:rowOff>152401</xdr:rowOff>
    </xdr:to>
    <xdr:sp macro="" textlink="">
      <xdr:nvSpPr>
        <xdr:cNvPr id="27" name="Rectángulo: esquinas redondeadas 26">
          <a:extLst>
            <a:ext uri="{FF2B5EF4-FFF2-40B4-BE49-F238E27FC236}">
              <a16:creationId xmlns:a16="http://schemas.microsoft.com/office/drawing/2014/main" id="{00000000-0008-0000-0400-00001B000000}"/>
            </a:ext>
          </a:extLst>
        </xdr:cNvPr>
        <xdr:cNvSpPr/>
      </xdr:nvSpPr>
      <xdr:spPr>
        <a:xfrm>
          <a:off x="7808912" y="4170363"/>
          <a:ext cx="17279938" cy="40163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US" sz="1800" b="1"/>
            <a:t>Información</a:t>
          </a:r>
          <a:r>
            <a:rPr lang="en-US" sz="1800" b="1" baseline="0"/>
            <a:t> de Resultados</a:t>
          </a:r>
          <a:endParaRPr lang="en-US" sz="1400" b="1"/>
        </a:p>
      </xdr:txBody>
    </xdr:sp>
    <xdr:clientData/>
  </xdr:twoCellAnchor>
  <xdr:twoCellAnchor>
    <xdr:from>
      <xdr:col>9</xdr:col>
      <xdr:colOff>71435</xdr:colOff>
      <xdr:row>20</xdr:row>
      <xdr:rowOff>63499</xdr:rowOff>
    </xdr:from>
    <xdr:to>
      <xdr:col>17</xdr:col>
      <xdr:colOff>226217</xdr:colOff>
      <xdr:row>34</xdr:row>
      <xdr:rowOff>71437</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333375</xdr:colOff>
      <xdr:row>20</xdr:row>
      <xdr:rowOff>4764</xdr:rowOff>
    </xdr:from>
    <xdr:to>
      <xdr:col>26</xdr:col>
      <xdr:colOff>53685</xdr:colOff>
      <xdr:row>34</xdr:row>
      <xdr:rowOff>97924</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39268</xdr:colOff>
      <xdr:row>34</xdr:row>
      <xdr:rowOff>175459</xdr:rowOff>
    </xdr:from>
    <xdr:to>
      <xdr:col>26</xdr:col>
      <xdr:colOff>133349</xdr:colOff>
      <xdr:row>36</xdr:row>
      <xdr:rowOff>114300</xdr:rowOff>
    </xdr:to>
    <xdr:sp macro="" textlink="">
      <xdr:nvSpPr>
        <xdr:cNvPr id="32" name="Rectángulo: esquinas redondeadas 31">
          <a:extLst>
            <a:ext uri="{FF2B5EF4-FFF2-40B4-BE49-F238E27FC236}">
              <a16:creationId xmlns:a16="http://schemas.microsoft.com/office/drawing/2014/main" id="{00000000-0008-0000-0400-000020000000}"/>
            </a:ext>
          </a:extLst>
        </xdr:cNvPr>
        <xdr:cNvSpPr/>
      </xdr:nvSpPr>
      <xdr:spPr>
        <a:xfrm>
          <a:off x="7697368" y="7738309"/>
          <a:ext cx="17429581" cy="357941"/>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US" sz="1800" b="1"/>
            <a:t>Información</a:t>
          </a:r>
          <a:r>
            <a:rPr lang="en-US" sz="1800" b="1" baseline="0"/>
            <a:t> de Resultados</a:t>
          </a:r>
          <a:endParaRPr lang="en-US" sz="1400" b="1"/>
        </a:p>
      </xdr:txBody>
    </xdr:sp>
    <xdr:clientData/>
  </xdr:twoCellAnchor>
  <xdr:twoCellAnchor>
    <xdr:from>
      <xdr:col>7</xdr:col>
      <xdr:colOff>519247</xdr:colOff>
      <xdr:row>7</xdr:row>
      <xdr:rowOff>158849</xdr:rowOff>
    </xdr:from>
    <xdr:to>
      <xdr:col>8</xdr:col>
      <xdr:colOff>593065</xdr:colOff>
      <xdr:row>9</xdr:row>
      <xdr:rowOff>44272</xdr:rowOff>
    </xdr:to>
    <xdr:sp macro="" textlink="MaximoPrecioCierre">
      <xdr:nvSpPr>
        <xdr:cNvPr id="37" name="Rectángulo: esquinas redondeadas 36">
          <a:extLst>
            <a:ext uri="{FF2B5EF4-FFF2-40B4-BE49-F238E27FC236}">
              <a16:creationId xmlns:a16="http://schemas.microsoft.com/office/drawing/2014/main" id="{00000000-0008-0000-0400-000025000000}"/>
            </a:ext>
          </a:extLst>
        </xdr:cNvPr>
        <xdr:cNvSpPr/>
      </xdr:nvSpPr>
      <xdr:spPr>
        <a:xfrm>
          <a:off x="7743870" y="2243566"/>
          <a:ext cx="1179077" cy="280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fld id="{CC85E532-CCF4-47F6-83EA-A9D3B674475E}" type="TxLink">
            <a:rPr lang="en-US" sz="1200" b="1" i="0" u="none" strike="noStrike">
              <a:solidFill>
                <a:schemeClr val="bg1"/>
              </a:solidFill>
              <a:latin typeface="Calibri"/>
              <a:ea typeface="+mn-ea"/>
              <a:cs typeface="Calibri"/>
            </a:rPr>
            <a:pPr marL="0" indent="0" algn="ctr"/>
            <a:t> $19.820,00 </a:t>
          </a:fld>
          <a:endParaRPr lang="en-US" sz="1200" b="1" i="0" u="none" strike="noStrike">
            <a:solidFill>
              <a:schemeClr val="bg1"/>
            </a:solidFill>
            <a:latin typeface="Calibri"/>
            <a:ea typeface="+mn-ea"/>
            <a:cs typeface="Calibri"/>
          </a:endParaRPr>
        </a:p>
      </xdr:txBody>
    </xdr:sp>
    <xdr:clientData/>
  </xdr:twoCellAnchor>
  <xdr:twoCellAnchor>
    <xdr:from>
      <xdr:col>0</xdr:col>
      <xdr:colOff>0</xdr:colOff>
      <xdr:row>28</xdr:row>
      <xdr:rowOff>63500</xdr:rowOff>
    </xdr:from>
    <xdr:to>
      <xdr:col>8</xdr:col>
      <xdr:colOff>254000</xdr:colOff>
      <xdr:row>42</xdr:row>
      <xdr:rowOff>31750</xdr:rowOff>
    </xdr:to>
    <xdr:graphicFrame macro="">
      <xdr:nvGraphicFramePr>
        <xdr:cNvPr id="22" name="Gráfico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21166</xdr:colOff>
      <xdr:row>42</xdr:row>
      <xdr:rowOff>105834</xdr:rowOff>
    </xdr:from>
    <xdr:to>
      <xdr:col>8</xdr:col>
      <xdr:colOff>306916</xdr:colOff>
      <xdr:row>58</xdr:row>
      <xdr:rowOff>116417</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53</xdr:row>
      <xdr:rowOff>0</xdr:rowOff>
    </xdr:from>
    <xdr:to>
      <xdr:col>24</xdr:col>
      <xdr:colOff>578555</xdr:colOff>
      <xdr:row>54</xdr:row>
      <xdr:rowOff>195969</xdr:rowOff>
    </xdr:to>
    <xdr:sp macro="" textlink="">
      <xdr:nvSpPr>
        <xdr:cNvPr id="31" name="Rectángulo: esquinas redondeadas 26">
          <a:extLst>
            <a:ext uri="{FF2B5EF4-FFF2-40B4-BE49-F238E27FC236}">
              <a16:creationId xmlns:a16="http://schemas.microsoft.com/office/drawing/2014/main" id="{00000000-0008-0000-0400-00001F000000}"/>
            </a:ext>
          </a:extLst>
        </xdr:cNvPr>
        <xdr:cNvSpPr/>
      </xdr:nvSpPr>
      <xdr:spPr>
        <a:xfrm>
          <a:off x="7464778" y="10907889"/>
          <a:ext cx="16397110" cy="39352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US" sz="1800" b="1"/>
            <a:t>Producción </a:t>
          </a:r>
          <a:endParaRPr lang="en-US" sz="1400" b="1"/>
        </a:p>
      </xdr:txBody>
    </xdr:sp>
    <xdr:clientData/>
  </xdr:twoCellAnchor>
  <xdr:twoCellAnchor>
    <xdr:from>
      <xdr:col>19</xdr:col>
      <xdr:colOff>123826</xdr:colOff>
      <xdr:row>37</xdr:row>
      <xdr:rowOff>16669</xdr:rowOff>
    </xdr:from>
    <xdr:to>
      <xdr:col>26</xdr:col>
      <xdr:colOff>50007</xdr:colOff>
      <xdr:row>52</xdr:row>
      <xdr:rowOff>142875</xdr:rowOff>
    </xdr:to>
    <xdr:graphicFrame macro="">
      <xdr:nvGraphicFramePr>
        <xdr:cNvPr id="33" name="IndicadoresEstrategicos_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16</xdr:col>
      <xdr:colOff>114301</xdr:colOff>
      <xdr:row>37</xdr:row>
      <xdr:rowOff>47624</xdr:rowOff>
    </xdr:from>
    <xdr:to>
      <xdr:col>18</xdr:col>
      <xdr:colOff>750092</xdr:colOff>
      <xdr:row>47</xdr:row>
      <xdr:rowOff>114300</xdr:rowOff>
    </xdr:to>
    <mc:AlternateContent xmlns:mc="http://schemas.openxmlformats.org/markup-compatibility/2006" xmlns:a14="http://schemas.microsoft.com/office/drawing/2010/main">
      <mc:Choice Requires="a14">
        <xdr:graphicFrame macro="">
          <xdr:nvGraphicFramePr>
            <xdr:cNvPr id="3" name="INDICADOR FINANCIERO 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INDICADOR FINANCIERO 1"/>
            </a:graphicData>
          </a:graphic>
        </xdr:graphicFrame>
      </mc:Choice>
      <mc:Fallback xmlns="">
        <xdr:sp macro="" textlink="">
          <xdr:nvSpPr>
            <xdr:cNvPr id="0" name=""/>
            <xdr:cNvSpPr>
              <a:spLocks noTextEdit="1"/>
            </xdr:cNvSpPr>
          </xdr:nvSpPr>
          <xdr:spPr>
            <a:xfrm>
              <a:off x="16802101" y="8239124"/>
              <a:ext cx="2412204" cy="216217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102393</xdr:colOff>
      <xdr:row>47</xdr:row>
      <xdr:rowOff>119065</xdr:rowOff>
    </xdr:from>
    <xdr:to>
      <xdr:col>18</xdr:col>
      <xdr:colOff>738187</xdr:colOff>
      <xdr:row>52</xdr:row>
      <xdr:rowOff>9525</xdr:rowOff>
    </xdr:to>
    <mc:AlternateContent xmlns:mc="http://schemas.openxmlformats.org/markup-compatibility/2006" xmlns:a14="http://schemas.microsoft.com/office/drawing/2010/main">
      <mc:Choice Requires="a14">
        <xdr:graphicFrame macro="">
          <xdr:nvGraphicFramePr>
            <xdr:cNvPr id="5" name="Tipo Variacion">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Tipo Variacion"/>
            </a:graphicData>
          </a:graphic>
        </xdr:graphicFrame>
      </mc:Choice>
      <mc:Fallback xmlns="">
        <xdr:sp macro="" textlink="">
          <xdr:nvSpPr>
            <xdr:cNvPr id="0" name=""/>
            <xdr:cNvSpPr>
              <a:spLocks noTextEdit="1"/>
            </xdr:cNvSpPr>
          </xdr:nvSpPr>
          <xdr:spPr>
            <a:xfrm>
              <a:off x="18487440" y="10111329"/>
              <a:ext cx="2404659" cy="87890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9</xdr:col>
      <xdr:colOff>35717</xdr:colOff>
      <xdr:row>55</xdr:row>
      <xdr:rowOff>47624</xdr:rowOff>
    </xdr:from>
    <xdr:to>
      <xdr:col>12</xdr:col>
      <xdr:colOff>1178718</xdr:colOff>
      <xdr:row>71</xdr:row>
      <xdr:rowOff>166687</xdr:rowOff>
    </xdr:to>
    <xdr:graphicFrame macro="">
      <xdr:nvGraphicFramePr>
        <xdr:cNvPr id="34" name="Chart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71438</xdr:colOff>
      <xdr:row>55</xdr:row>
      <xdr:rowOff>59530</xdr:rowOff>
    </xdr:from>
    <xdr:to>
      <xdr:col>19</xdr:col>
      <xdr:colOff>511969</xdr:colOff>
      <xdr:row>71</xdr:row>
      <xdr:rowOff>154781</xdr:rowOff>
    </xdr:to>
    <xdr:graphicFrame macro="">
      <xdr:nvGraphicFramePr>
        <xdr:cNvPr id="35" name="Chart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773907</xdr:colOff>
      <xdr:row>55</xdr:row>
      <xdr:rowOff>47623</xdr:rowOff>
    </xdr:from>
    <xdr:to>
      <xdr:col>27</xdr:col>
      <xdr:colOff>297656</xdr:colOff>
      <xdr:row>71</xdr:row>
      <xdr:rowOff>176893</xdr:rowOff>
    </xdr:to>
    <xdr:graphicFrame macro="">
      <xdr:nvGraphicFramePr>
        <xdr:cNvPr id="36" name="Chart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247650</xdr:colOff>
      <xdr:row>59</xdr:row>
      <xdr:rowOff>57150</xdr:rowOff>
    </xdr:from>
    <xdr:to>
      <xdr:col>6</xdr:col>
      <xdr:colOff>228600</xdr:colOff>
      <xdr:row>70</xdr:row>
      <xdr:rowOff>190500</xdr:rowOff>
    </xdr:to>
    <xdr:sp macro="" textlink="">
      <xdr:nvSpPr>
        <xdr:cNvPr id="38" name="Rectángulo: esquinas redondeadas 5">
          <a:extLst>
            <a:ext uri="{FF2B5EF4-FFF2-40B4-BE49-F238E27FC236}">
              <a16:creationId xmlns:a16="http://schemas.microsoft.com/office/drawing/2014/main" id="{00000000-0008-0000-0400-000026000000}"/>
            </a:ext>
          </a:extLst>
        </xdr:cNvPr>
        <xdr:cNvSpPr/>
      </xdr:nvSpPr>
      <xdr:spPr>
        <a:xfrm>
          <a:off x="2133600" y="12858750"/>
          <a:ext cx="3276600" cy="2438400"/>
        </a:xfrm>
        <a:prstGeom prst="round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US" sz="1100"/>
        </a:p>
      </xdr:txBody>
    </xdr:sp>
    <xdr:clientData/>
  </xdr:twoCellAnchor>
  <xdr:oneCellAnchor>
    <xdr:from>
      <xdr:col>3</xdr:col>
      <xdr:colOff>119061</xdr:colOff>
      <xdr:row>59</xdr:row>
      <xdr:rowOff>190500</xdr:rowOff>
    </xdr:from>
    <xdr:ext cx="3116036" cy="781111"/>
    <xdr:sp macro="" textlink="">
      <xdr:nvSpPr>
        <xdr:cNvPr id="7" name="Rectangle 6">
          <a:extLst>
            <a:ext uri="{FF2B5EF4-FFF2-40B4-BE49-F238E27FC236}">
              <a16:creationId xmlns:a16="http://schemas.microsoft.com/office/drawing/2014/main" id="{00000000-0008-0000-0400-000007000000}"/>
            </a:ext>
          </a:extLst>
        </xdr:cNvPr>
        <xdr:cNvSpPr/>
      </xdr:nvSpPr>
      <xdr:spPr>
        <a:xfrm>
          <a:off x="2821780" y="12811125"/>
          <a:ext cx="3116036" cy="781111"/>
        </a:xfrm>
        <a:prstGeom prst="rect">
          <a:avLst/>
        </a:prstGeom>
        <a:noFill/>
      </xdr:spPr>
      <xdr:txBody>
        <a:bodyPr wrap="square" lIns="91440" tIns="45720" rIns="91440" bIns="45720">
          <a:spAutoFit/>
        </a:bodyPr>
        <a:lstStyle/>
        <a:p>
          <a:pPr algn="ctr"/>
          <a:r>
            <a:rPr lang="en-US" sz="4400" b="0" cap="none" spc="0">
              <a:ln w="0"/>
              <a:solidFill>
                <a:schemeClr val="accent1"/>
              </a:solidFill>
              <a:effectLst>
                <a:outerShdw blurRad="38100" dist="25400" dir="5400000" algn="ctr" rotWithShape="0">
                  <a:srgbClr val="6E747A">
                    <a:alpha val="43000"/>
                  </a:srgbClr>
                </a:outerShdw>
              </a:effectLst>
            </a:rPr>
            <a:t>WACC 2018</a:t>
          </a:r>
        </a:p>
      </xdr:txBody>
    </xdr:sp>
    <xdr:clientData/>
  </xdr:oneCellAnchor>
  <xdr:twoCellAnchor>
    <xdr:from>
      <xdr:col>0</xdr:col>
      <xdr:colOff>215660</xdr:colOff>
      <xdr:row>1</xdr:row>
      <xdr:rowOff>8987</xdr:rowOff>
    </xdr:from>
    <xdr:to>
      <xdr:col>5</xdr:col>
      <xdr:colOff>1105260</xdr:colOff>
      <xdr:row>15</xdr:row>
      <xdr:rowOff>26958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15660" y="730166"/>
          <a:ext cx="6713457" cy="3052363"/>
          <a:chOff x="215660" y="727855"/>
          <a:chExt cx="5822831" cy="2965329"/>
        </a:xfrm>
      </xdr:grpSpPr>
      <xdr:graphicFrame macro="">
        <xdr:nvGraphicFramePr>
          <xdr:cNvPr id="39" name="Gráfico 1">
            <a:extLst>
              <a:ext uri="{FF2B5EF4-FFF2-40B4-BE49-F238E27FC236}">
                <a16:creationId xmlns:a16="http://schemas.microsoft.com/office/drawing/2014/main" id="{00000000-0008-0000-0400-000027000000}"/>
              </a:ext>
            </a:extLst>
          </xdr:cNvPr>
          <xdr:cNvGraphicFramePr>
            <a:graphicFrameLocks/>
          </xdr:cNvGraphicFramePr>
        </xdr:nvGraphicFramePr>
        <xdr:xfrm>
          <a:off x="215660" y="727855"/>
          <a:ext cx="5822831" cy="2965329"/>
        </xdr:xfrm>
        <a:graphic>
          <a:graphicData uri="http://schemas.openxmlformats.org/drawingml/2006/chart">
            <c:chart xmlns:c="http://schemas.openxmlformats.org/drawingml/2006/chart" xmlns:r="http://schemas.openxmlformats.org/officeDocument/2006/relationships" r:id="rId15"/>
          </a:graphicData>
        </a:graphic>
      </xdr:graphicFrame>
      <xdr:cxnSp macro="">
        <xdr:nvCxnSpPr>
          <xdr:cNvPr id="40" name="Conector recto 7">
            <a:extLst>
              <a:ext uri="{FF2B5EF4-FFF2-40B4-BE49-F238E27FC236}">
                <a16:creationId xmlns:a16="http://schemas.microsoft.com/office/drawing/2014/main" id="{00000000-0008-0000-0400-000028000000}"/>
              </a:ext>
            </a:extLst>
          </xdr:cNvPr>
          <xdr:cNvCxnSpPr/>
        </xdr:nvCxnSpPr>
        <xdr:spPr>
          <a:xfrm>
            <a:off x="1269252" y="1841741"/>
            <a:ext cx="1171678" cy="694763"/>
          </a:xfrm>
          <a:prstGeom prst="line">
            <a:avLst/>
          </a:prstGeom>
          <a:ln w="31750">
            <a:solidFill>
              <a:schemeClr val="accent2"/>
            </a:solidFill>
          </a:ln>
        </xdr:spPr>
        <xdr:style>
          <a:lnRef idx="1">
            <a:schemeClr val="accent1"/>
          </a:lnRef>
          <a:fillRef idx="0">
            <a:schemeClr val="accent1"/>
          </a:fillRef>
          <a:effectRef idx="0">
            <a:schemeClr val="accent1"/>
          </a:effectRef>
          <a:fontRef idx="minor">
            <a:schemeClr val="tx1"/>
          </a:fontRef>
        </xdr:style>
      </xdr:cxnSp>
      <xdr:cxnSp macro="">
        <xdr:nvCxnSpPr>
          <xdr:cNvPr id="41" name="Conector recto 38">
            <a:extLst>
              <a:ext uri="{FF2B5EF4-FFF2-40B4-BE49-F238E27FC236}">
                <a16:creationId xmlns:a16="http://schemas.microsoft.com/office/drawing/2014/main" id="{00000000-0008-0000-0400-000029000000}"/>
              </a:ext>
            </a:extLst>
          </xdr:cNvPr>
          <xdr:cNvCxnSpPr/>
        </xdr:nvCxnSpPr>
        <xdr:spPr>
          <a:xfrm>
            <a:off x="1433333" y="1490933"/>
            <a:ext cx="1171678" cy="694763"/>
          </a:xfrm>
          <a:prstGeom prst="line">
            <a:avLst/>
          </a:prstGeom>
          <a:ln w="31750">
            <a:solidFill>
              <a:schemeClr val="accent2"/>
            </a:solidFill>
          </a:ln>
        </xdr:spPr>
        <xdr:style>
          <a:lnRef idx="1">
            <a:schemeClr val="accent1"/>
          </a:lnRef>
          <a:fillRef idx="0">
            <a:schemeClr val="accent1"/>
          </a:fillRef>
          <a:effectRef idx="0">
            <a:schemeClr val="accent1"/>
          </a:effectRef>
          <a:fontRef idx="minor">
            <a:schemeClr val="tx1"/>
          </a:fontRef>
        </xdr:style>
      </xdr:cxnSp>
      <xdr:cxnSp macro="">
        <xdr:nvCxnSpPr>
          <xdr:cNvPr id="42" name="Conector recto 39">
            <a:extLst>
              <a:ext uri="{FF2B5EF4-FFF2-40B4-BE49-F238E27FC236}">
                <a16:creationId xmlns:a16="http://schemas.microsoft.com/office/drawing/2014/main" id="{00000000-0008-0000-0400-00002A000000}"/>
              </a:ext>
            </a:extLst>
          </xdr:cNvPr>
          <xdr:cNvCxnSpPr/>
        </xdr:nvCxnSpPr>
        <xdr:spPr>
          <a:xfrm flipV="1">
            <a:off x="2779774" y="2032780"/>
            <a:ext cx="1876854" cy="1"/>
          </a:xfrm>
          <a:prstGeom prst="line">
            <a:avLst/>
          </a:prstGeom>
          <a:ln w="3175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43" name="Conector recto 40">
            <a:extLst>
              <a:ext uri="{FF2B5EF4-FFF2-40B4-BE49-F238E27FC236}">
                <a16:creationId xmlns:a16="http://schemas.microsoft.com/office/drawing/2014/main" id="{00000000-0008-0000-0400-00002B000000}"/>
              </a:ext>
            </a:extLst>
          </xdr:cNvPr>
          <xdr:cNvCxnSpPr/>
        </xdr:nvCxnSpPr>
        <xdr:spPr>
          <a:xfrm>
            <a:off x="2788760" y="2671853"/>
            <a:ext cx="1909401" cy="10069"/>
          </a:xfrm>
          <a:prstGeom prst="line">
            <a:avLst/>
          </a:prstGeom>
          <a:ln w="3175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ector recto 43">
            <a:extLst>
              <a:ext uri="{FF2B5EF4-FFF2-40B4-BE49-F238E27FC236}">
                <a16:creationId xmlns:a16="http://schemas.microsoft.com/office/drawing/2014/main" id="{00000000-0008-0000-0400-00002C000000}"/>
              </a:ext>
            </a:extLst>
          </xdr:cNvPr>
          <xdr:cNvCxnSpPr/>
        </xdr:nvCxnSpPr>
        <xdr:spPr>
          <a:xfrm>
            <a:off x="5000177" y="2052908"/>
            <a:ext cx="1008945" cy="704832"/>
          </a:xfrm>
          <a:prstGeom prst="line">
            <a:avLst/>
          </a:prstGeom>
          <a:ln w="31750">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5" name="Conector recto 44">
            <a:extLst>
              <a:ext uri="{FF2B5EF4-FFF2-40B4-BE49-F238E27FC236}">
                <a16:creationId xmlns:a16="http://schemas.microsoft.com/office/drawing/2014/main" id="{00000000-0008-0000-0400-00002D000000}"/>
              </a:ext>
            </a:extLst>
          </xdr:cNvPr>
          <xdr:cNvCxnSpPr/>
        </xdr:nvCxnSpPr>
        <xdr:spPr>
          <a:xfrm>
            <a:off x="4720897" y="2555396"/>
            <a:ext cx="1041491" cy="654487"/>
          </a:xfrm>
          <a:prstGeom prst="line">
            <a:avLst/>
          </a:prstGeom>
          <a:ln w="31750">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xdr:colOff>
      <xdr:row>72</xdr:row>
      <xdr:rowOff>34685</xdr:rowOff>
    </xdr:from>
    <xdr:to>
      <xdr:col>17</xdr:col>
      <xdr:colOff>71886</xdr:colOff>
      <xdr:row>86</xdr:row>
      <xdr:rowOff>134787</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0</xdr:colOff>
      <xdr:row>28</xdr:row>
      <xdr:rowOff>0</xdr:rowOff>
    </xdr:from>
    <xdr:to>
      <xdr:col>13</xdr:col>
      <xdr:colOff>1790081</xdr:colOff>
      <xdr:row>67</xdr:row>
      <xdr:rowOff>132588</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848475" y="6353175"/>
          <a:ext cx="4952381" cy="6095238"/>
        </a:xfrm>
        <a:prstGeom prst="rect">
          <a:avLst/>
        </a:prstGeom>
      </xdr:spPr>
    </xdr:pic>
    <xdr:clientData/>
  </xdr:twoCellAnchor>
  <xdr:twoCellAnchor editAs="oneCell">
    <xdr:from>
      <xdr:col>9</xdr:col>
      <xdr:colOff>0</xdr:colOff>
      <xdr:row>9</xdr:row>
      <xdr:rowOff>0</xdr:rowOff>
    </xdr:from>
    <xdr:to>
      <xdr:col>13</xdr:col>
      <xdr:colOff>1447276</xdr:colOff>
      <xdr:row>27</xdr:row>
      <xdr:rowOff>66294</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267575" y="3219450"/>
          <a:ext cx="4190476" cy="30476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2</xdr:row>
      <xdr:rowOff>79602</xdr:rowOff>
    </xdr:to>
    <xdr:pic>
      <xdr:nvPicPr>
        <xdr:cNvPr id="2" name="Imagen 2">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796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0</xdr:row>
      <xdr:rowOff>47626</xdr:rowOff>
    </xdr:from>
    <xdr:to>
      <xdr:col>0</xdr:col>
      <xdr:colOff>495300</xdr:colOff>
      <xdr:row>0</xdr:row>
      <xdr:rowOff>485558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57150" y="47626"/>
          <a:ext cx="438150" cy="4379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170914</xdr:colOff>
      <xdr:row>89</xdr:row>
      <xdr:rowOff>36533</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80975" y="2695575"/>
          <a:ext cx="4285714" cy="12533333"/>
        </a:xfrm>
        <a:prstGeom prst="rect">
          <a:avLst/>
        </a:prstGeom>
      </xdr:spPr>
    </xdr:pic>
    <xdr:clientData/>
  </xdr:twoCellAnchor>
  <xdr:twoCellAnchor editAs="oneCell">
    <xdr:from>
      <xdr:col>8</xdr:col>
      <xdr:colOff>0</xdr:colOff>
      <xdr:row>7</xdr:row>
      <xdr:rowOff>0</xdr:rowOff>
    </xdr:from>
    <xdr:to>
      <xdr:col>13</xdr:col>
      <xdr:colOff>571000</xdr:colOff>
      <xdr:row>89</xdr:row>
      <xdr:rowOff>36533</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4981575" y="2695575"/>
          <a:ext cx="4000000" cy="125333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57150</xdr:colOff>
      <xdr:row>0</xdr:row>
      <xdr:rowOff>142875</xdr:rowOff>
    </xdr:from>
    <xdr:to>
      <xdr:col>13</xdr:col>
      <xdr:colOff>400050</xdr:colOff>
      <xdr:row>19</xdr:row>
      <xdr:rowOff>85725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xdr:colOff>
      <xdr:row>20</xdr:row>
      <xdr:rowOff>161925</xdr:rowOff>
    </xdr:from>
    <xdr:to>
      <xdr:col>13</xdr:col>
      <xdr:colOff>400050</xdr:colOff>
      <xdr:row>39</xdr:row>
      <xdr:rowOff>104775</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76200</xdr:colOff>
      <xdr:row>40</xdr:row>
      <xdr:rowOff>171450</xdr:rowOff>
    </xdr:from>
    <xdr:to>
      <xdr:col>13</xdr:col>
      <xdr:colOff>409575</xdr:colOff>
      <xdr:row>61</xdr:row>
      <xdr:rowOff>161925</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238125</xdr:colOff>
      <xdr:row>62</xdr:row>
      <xdr:rowOff>142875</xdr:rowOff>
    </xdr:from>
    <xdr:to>
      <xdr:col>13</xdr:col>
      <xdr:colOff>219075</xdr:colOff>
      <xdr:row>79</xdr:row>
      <xdr:rowOff>123825</xdr:rowOff>
    </xdr:to>
    <xdr:graphicFrame macro="">
      <xdr:nvGraphicFramePr>
        <xdr:cNvPr id="5" name="Chart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533400</xdr:colOff>
          <xdr:row>0</xdr:row>
          <xdr:rowOff>104775</xdr:rowOff>
        </xdr:from>
        <xdr:to>
          <xdr:col>15</xdr:col>
          <xdr:colOff>1419225</xdr:colOff>
          <xdr:row>1</xdr:row>
          <xdr:rowOff>0</xdr:rowOff>
        </xdr:to>
        <xdr:sp macro="" textlink="">
          <xdr:nvSpPr>
            <xdr:cNvPr id="156673" name="Drop Down 1" hidden="1">
              <a:extLst>
                <a:ext uri="{63B3BB69-23CF-44E3-9099-C40C66FF867C}">
                  <a14:compatExt spid="_x0000_s156673"/>
                </a:ext>
                <a:ext uri="{FF2B5EF4-FFF2-40B4-BE49-F238E27FC236}">
                  <a16:creationId xmlns:a16="http://schemas.microsoft.com/office/drawing/2014/main" id="{00000000-0008-0000-1D00-0000016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0</xdr:col>
      <xdr:colOff>619125</xdr:colOff>
      <xdr:row>2</xdr:row>
      <xdr:rowOff>89958</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104775" y="0"/>
          <a:ext cx="514350" cy="49000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0</xdr:row>
      <xdr:rowOff>28575</xdr:rowOff>
    </xdr:from>
    <xdr:to>
      <xdr:col>0</xdr:col>
      <xdr:colOff>628650</xdr:colOff>
      <xdr:row>0</xdr:row>
      <xdr:rowOff>523875</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114300" y="28575"/>
          <a:ext cx="514350" cy="495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140229</xdr:colOff>
      <xdr:row>0</xdr:row>
      <xdr:rowOff>0</xdr:rowOff>
    </xdr:from>
    <xdr:to>
      <xdr:col>0</xdr:col>
      <xdr:colOff>654579</xdr:colOff>
      <xdr:row>2</xdr:row>
      <xdr:rowOff>93133</xdr:rowOff>
    </xdr:to>
    <xdr:pic>
      <xdr:nvPicPr>
        <xdr:cNvPr id="2" name="Imagen 4">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140229" y="0"/>
          <a:ext cx="514350" cy="490008"/>
        </a:xfrm>
        <a:prstGeom prst="rect">
          <a:avLst/>
        </a:prstGeom>
      </xdr:spPr>
    </xdr:pic>
    <xdr:clientData/>
  </xdr:twoCellAnchor>
  <xdr:twoCellAnchor>
    <xdr:from>
      <xdr:col>8</xdr:col>
      <xdr:colOff>287792</xdr:colOff>
      <xdr:row>87</xdr:row>
      <xdr:rowOff>160564</xdr:rowOff>
    </xdr:from>
    <xdr:to>
      <xdr:col>16</xdr:col>
      <xdr:colOff>353785</xdr:colOff>
      <xdr:row>104</xdr:row>
      <xdr:rowOff>136072</xdr:rowOff>
    </xdr:to>
    <xdr:graphicFrame macro="">
      <xdr:nvGraphicFramePr>
        <xdr:cNvPr id="5" name="Gráfico 4">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134937</xdr:colOff>
      <xdr:row>45</xdr:row>
      <xdr:rowOff>12499</xdr:rowOff>
    </xdr:from>
    <xdr:to>
      <xdr:col>13</xdr:col>
      <xdr:colOff>823514</xdr:colOff>
      <xdr:row>61</xdr:row>
      <xdr:rowOff>138905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0</xdr:row>
      <xdr:rowOff>483053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oneCellAnchor>
    <xdr:from>
      <xdr:col>13</xdr:col>
      <xdr:colOff>0</xdr:colOff>
      <xdr:row>0</xdr:row>
      <xdr:rowOff>0</xdr:rowOff>
    </xdr:from>
    <xdr:ext cx="483054" cy="483053"/>
    <xdr:pic>
      <xdr:nvPicPr>
        <xdr:cNvPr id="5" name="Imagen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71436</xdr:colOff>
      <xdr:row>5</xdr:row>
      <xdr:rowOff>38099</xdr:rowOff>
    </xdr:from>
    <xdr:to>
      <xdr:col>5</xdr:col>
      <xdr:colOff>409575</xdr:colOff>
      <xdr:row>18</xdr:row>
      <xdr:rowOff>161924</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0</xdr:row>
      <xdr:rowOff>0</xdr:rowOff>
    </xdr:from>
    <xdr:to>
      <xdr:col>0</xdr:col>
      <xdr:colOff>619409</xdr:colOff>
      <xdr:row>0</xdr:row>
      <xdr:rowOff>571499</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xmlns="" r:id="rId4"/>
            </a:ext>
          </a:extLst>
        </a:blip>
        <a:stretch>
          <a:fillRect/>
        </a:stretch>
      </xdr:blipFill>
      <xdr:spPr>
        <a:xfrm>
          <a:off x="47625" y="0"/>
          <a:ext cx="571784" cy="571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83912</xdr:colOff>
      <xdr:row>0</xdr:row>
      <xdr:rowOff>15875</xdr:rowOff>
    </xdr:from>
    <xdr:to>
      <xdr:col>1</xdr:col>
      <xdr:colOff>0</xdr:colOff>
      <xdr:row>1</xdr:row>
      <xdr:rowOff>90714</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83912" y="15875"/>
          <a:ext cx="483054" cy="47171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0</xdr:row>
      <xdr:rowOff>483053</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368300</xdr:colOff>
      <xdr:row>16</xdr:row>
      <xdr:rowOff>76200</xdr:rowOff>
    </xdr:from>
    <xdr:to>
      <xdr:col>20</xdr:col>
      <xdr:colOff>50800</xdr:colOff>
      <xdr:row>35</xdr:row>
      <xdr:rowOff>38100</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368300</xdr:colOff>
      <xdr:row>0</xdr:row>
      <xdr:rowOff>177800</xdr:rowOff>
    </xdr:from>
    <xdr:to>
      <xdr:col>20</xdr:col>
      <xdr:colOff>139700</xdr:colOff>
      <xdr:row>16</xdr:row>
      <xdr:rowOff>76200</xdr:rowOff>
    </xdr:to>
    <xdr:graphicFrame macro="">
      <xdr:nvGraphicFramePr>
        <xdr:cNvPr id="4" name="Gráfico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752474</xdr:colOff>
      <xdr:row>13</xdr:row>
      <xdr:rowOff>9525</xdr:rowOff>
    </xdr:from>
    <xdr:to>
      <xdr:col>7</xdr:col>
      <xdr:colOff>219074</xdr:colOff>
      <xdr:row>27</xdr:row>
      <xdr:rowOff>66675</xdr:rowOff>
    </xdr:to>
    <xdr:graphicFrame macro="">
      <xdr:nvGraphicFramePr>
        <xdr:cNvPr id="5" name="Gráfico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85725</xdr:colOff>
      <xdr:row>0</xdr:row>
      <xdr:rowOff>0</xdr:rowOff>
    </xdr:from>
    <xdr:to>
      <xdr:col>15</xdr:col>
      <xdr:colOff>314325</xdr:colOff>
      <xdr:row>15</xdr:row>
      <xdr:rowOff>47625</xdr:rowOff>
    </xdr:to>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0</xdr:row>
      <xdr:rowOff>483053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247649</xdr:colOff>
      <xdr:row>1</xdr:row>
      <xdr:rowOff>152399</xdr:rowOff>
    </xdr:from>
    <xdr:to>
      <xdr:col>7</xdr:col>
      <xdr:colOff>85725</xdr:colOff>
      <xdr:row>17</xdr:row>
      <xdr:rowOff>123825</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592886</xdr:colOff>
      <xdr:row>1</xdr:row>
      <xdr:rowOff>196250</xdr:rowOff>
    </xdr:from>
    <xdr:to>
      <xdr:col>14</xdr:col>
      <xdr:colOff>128678</xdr:colOff>
      <xdr:row>17</xdr:row>
      <xdr:rowOff>63966</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17</xdr:row>
      <xdr:rowOff>152400</xdr:rowOff>
    </xdr:from>
    <xdr:to>
      <xdr:col>6</xdr:col>
      <xdr:colOff>581025</xdr:colOff>
      <xdr:row>33</xdr:row>
      <xdr:rowOff>112395</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685800</xdr:colOff>
      <xdr:row>17</xdr:row>
      <xdr:rowOff>114300</xdr:rowOff>
    </xdr:from>
    <xdr:to>
      <xdr:col>12</xdr:col>
      <xdr:colOff>335280</xdr:colOff>
      <xdr:row>34</xdr:row>
      <xdr:rowOff>29210</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34</xdr:row>
      <xdr:rowOff>123825</xdr:rowOff>
    </xdr:from>
    <xdr:to>
      <xdr:col>6</xdr:col>
      <xdr:colOff>798830</xdr:colOff>
      <xdr:row>49</xdr:row>
      <xdr:rowOff>184150</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47625</xdr:colOff>
      <xdr:row>33</xdr:row>
      <xdr:rowOff>180975</xdr:rowOff>
    </xdr:from>
    <xdr:to>
      <xdr:col>12</xdr:col>
      <xdr:colOff>428625</xdr:colOff>
      <xdr:row>47</xdr:row>
      <xdr:rowOff>123825</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53</xdr:row>
      <xdr:rowOff>0</xdr:rowOff>
    </xdr:from>
    <xdr:to>
      <xdr:col>8</xdr:col>
      <xdr:colOff>371475</xdr:colOff>
      <xdr:row>68</xdr:row>
      <xdr:rowOff>13970</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51</xdr:row>
      <xdr:rowOff>0</xdr:rowOff>
    </xdr:from>
    <xdr:to>
      <xdr:col>15</xdr:col>
      <xdr:colOff>381000</xdr:colOff>
      <xdr:row>64</xdr:row>
      <xdr:rowOff>142875</xdr:rowOff>
    </xdr:to>
    <xdr:graphicFrame macro="">
      <xdr:nvGraphicFramePr>
        <xdr:cNvPr id="9" name="Gráfico 8">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733425</xdr:colOff>
      <xdr:row>68</xdr:row>
      <xdr:rowOff>85725</xdr:rowOff>
    </xdr:from>
    <xdr:to>
      <xdr:col>7</xdr:col>
      <xdr:colOff>266700</xdr:colOff>
      <xdr:row>82</xdr:row>
      <xdr:rowOff>69215</xdr:rowOff>
    </xdr:to>
    <xdr:graphicFrame macro="">
      <xdr:nvGraphicFramePr>
        <xdr:cNvPr id="11" name="Gráfico 10">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14</xdr:row>
      <xdr:rowOff>0</xdr:rowOff>
    </xdr:from>
    <xdr:to>
      <xdr:col>20</xdr:col>
      <xdr:colOff>474452</xdr:colOff>
      <xdr:row>27</xdr:row>
      <xdr:rowOff>173248</xdr:rowOff>
    </xdr:to>
    <xdr:graphicFrame macro="">
      <xdr:nvGraphicFramePr>
        <xdr:cNvPr id="12" name="Gráfico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714375</xdr:colOff>
      <xdr:row>14</xdr:row>
      <xdr:rowOff>71438</xdr:rowOff>
    </xdr:from>
    <xdr:to>
      <xdr:col>26</xdr:col>
      <xdr:colOff>285750</xdr:colOff>
      <xdr:row>28</xdr:row>
      <xdr:rowOff>147638</xdr:rowOff>
    </xdr:to>
    <xdr:graphicFrame macro="">
      <xdr:nvGraphicFramePr>
        <xdr:cNvPr id="13" name="Gráfico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785813</xdr:colOff>
      <xdr:row>29</xdr:row>
      <xdr:rowOff>119062</xdr:rowOff>
    </xdr:from>
    <xdr:to>
      <xdr:col>20</xdr:col>
      <xdr:colOff>428625</xdr:colOff>
      <xdr:row>44</xdr:row>
      <xdr:rowOff>4762</xdr:rowOff>
    </xdr:to>
    <xdr:graphicFrame macro="">
      <xdr:nvGraphicFramePr>
        <xdr:cNvPr id="14" name="Gráfico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820207</xdr:colOff>
      <xdr:row>29</xdr:row>
      <xdr:rowOff>147107</xdr:rowOff>
    </xdr:from>
    <xdr:to>
      <xdr:col>26</xdr:col>
      <xdr:colOff>375707</xdr:colOff>
      <xdr:row>43</xdr:row>
      <xdr:rowOff>75141</xdr:rowOff>
    </xdr:to>
    <xdr:graphicFrame macro="">
      <xdr:nvGraphicFramePr>
        <xdr:cNvPr id="10" name="Gráfico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37040</xdr:colOff>
      <xdr:row>45</xdr:row>
      <xdr:rowOff>51858</xdr:rowOff>
    </xdr:from>
    <xdr:to>
      <xdr:col>20</xdr:col>
      <xdr:colOff>513290</xdr:colOff>
      <xdr:row>58</xdr:row>
      <xdr:rowOff>180975</xdr:rowOff>
    </xdr:to>
    <xdr:graphicFrame macro="">
      <xdr:nvGraphicFramePr>
        <xdr:cNvPr id="16" name="Gráfico 15">
          <a:extLst>
            <a:ext uri="{FF2B5EF4-FFF2-40B4-BE49-F238E27FC236}">
              <a16:creationId xmlns:a16="http://schemas.microsoft.com/office/drawing/2014/main" id="{00000000-0008-0000-0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783168</xdr:colOff>
      <xdr:row>66</xdr:row>
      <xdr:rowOff>179917</xdr:rowOff>
    </xdr:from>
    <xdr:to>
      <xdr:col>14</xdr:col>
      <xdr:colOff>800365</xdr:colOff>
      <xdr:row>84</xdr:row>
      <xdr:rowOff>176345</xdr:rowOff>
    </xdr:to>
    <xdr:graphicFrame macro="">
      <xdr:nvGraphicFramePr>
        <xdr:cNvPr id="17" name="Gráfico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483054</xdr:colOff>
      <xdr:row>0</xdr:row>
      <xdr:rowOff>483053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645945</xdr:colOff>
      <xdr:row>1</xdr:row>
      <xdr:rowOff>46687</xdr:rowOff>
    </xdr:to>
    <xdr:pic>
      <xdr:nvPicPr>
        <xdr:cNvPr id="3" name="Imagen 15">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645945" cy="64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533400</xdr:colOff>
      <xdr:row>0</xdr:row>
      <xdr:rowOff>406945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533400" cy="4069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483054</xdr:colOff>
      <xdr:row>1</xdr:row>
      <xdr:rowOff>25853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0" y="0"/>
          <a:ext cx="483054" cy="4830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fit-my.sharepoint.com/Program%20Files/Real%20Options%20Valuation/Risk%20Simulator/Examples/Tornado%20and%20Sensitivity%20Charts%20(Linear)%20(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Real%20Options%20Valuation\Risk%20Simulator\Examples\Tornado%20and%20Sensitivity%20Charts%20(Linear)%20(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im"/>
      <sheetName val="信息"/>
      <sheetName val="Tornado"/>
      <sheetName val="Sensitivity (2)"/>
      <sheetName val="Sensitivity"/>
      <sheetName val="Scenario"/>
      <sheetName val="DCF 模型"/>
      <sheetName val="飓风图"/>
      <sheetName val="敏感性分析"/>
      <sheetName val="不含相关性的敏感性分析"/>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im"/>
      <sheetName val="信息"/>
      <sheetName val="Tornado"/>
      <sheetName val="Sensitivity (2)"/>
      <sheetName val="Sensitivity"/>
      <sheetName val="Scenario"/>
      <sheetName val="DCF 模型"/>
      <sheetName val="飓风图"/>
      <sheetName val="敏感性分析"/>
      <sheetName val="不含相关性的敏感性分析"/>
    </sheetNames>
    <sheetDataSet>
      <sheetData sheetId="0"/>
      <sheetData sheetId="1"/>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Juan Restrepo" refreshedDate="43395.830696874997" createdVersion="6" refreshedVersion="6" minRefreshableVersion="3" recordCount="1870">
  <cacheSource type="worksheet">
    <worksheetSource ref="N2:T1872" sheet="TRM"/>
  </cacheSource>
  <cacheFields count="7">
    <cacheField name="Fecha" numFmtId="171">
      <sharedItems containsSemiMixedTypes="0" containsNonDate="0" containsDate="1" containsString="0" minDate="2011-09-22T00:00:00" maxDate="2018-10-23T00:00:00" count="1870">
        <d v="2018-10-22T00:00:00"/>
        <d v="2018-10-21T00:00:00"/>
        <d v="2018-10-19T00:00:00"/>
        <d v="2018-10-18T00:00:00"/>
        <d v="2018-10-17T00:00:00"/>
        <d v="2018-10-16T00:00:00"/>
        <d v="2018-10-15T00:00:00"/>
        <d v="2018-10-14T00:00:00"/>
        <d v="2018-10-12T00:00:00"/>
        <d v="2018-10-11T00:00:00"/>
        <d v="2018-10-10T00:00:00"/>
        <d v="2018-10-09T00:00:00"/>
        <d v="2018-10-08T00:00:00"/>
        <d v="2018-10-07T00:00:00"/>
        <d v="2018-10-05T00:00:00"/>
        <d v="2018-10-04T00:00:00"/>
        <d v="2018-10-03T00:00:00"/>
        <d v="2018-10-02T00:00:00"/>
        <d v="2018-10-01T00:00:00"/>
        <d v="2018-09-30T00:00:00"/>
        <d v="2018-09-28T00:00:00"/>
        <d v="2018-09-27T00:00:00"/>
        <d v="2018-09-26T00:00:00"/>
        <d v="2018-09-25T00:00:00"/>
        <d v="2018-09-24T00:00:00"/>
        <d v="2018-09-23T00:00:00"/>
        <d v="2018-09-21T00:00:00"/>
        <d v="2018-09-20T00:00:00"/>
        <d v="2018-09-19T00:00:00"/>
        <d v="2018-09-18T00:00:00"/>
        <d v="2018-09-17T00:00:00"/>
        <d v="2018-09-16T00:00:00"/>
        <d v="2018-09-14T00:00:00"/>
        <d v="2018-09-13T00:00:00"/>
        <d v="2018-09-12T00:00:00"/>
        <d v="2018-09-11T00:00:00"/>
        <d v="2018-09-10T00:00:00"/>
        <d v="2018-09-09T00:00:00"/>
        <d v="2018-09-07T00:00:00"/>
        <d v="2018-09-06T00:00:00"/>
        <d v="2018-09-05T00:00:00"/>
        <d v="2018-09-04T00:00:00"/>
        <d v="2018-09-03T00:00:00"/>
        <d v="2018-09-02T00:00:00"/>
        <d v="2018-08-31T00:00:00"/>
        <d v="2018-08-30T00:00:00"/>
        <d v="2018-08-29T00:00:00"/>
        <d v="2018-08-28T00:00:00"/>
        <d v="2018-08-27T00:00:00"/>
        <d v="2018-08-26T00:00:00"/>
        <d v="2018-08-24T00:00:00"/>
        <d v="2018-08-23T00:00:00"/>
        <d v="2018-08-22T00:00:00"/>
        <d v="2018-08-21T00:00:00"/>
        <d v="2018-08-20T00:00:00"/>
        <d v="2018-08-19T00:00:00"/>
        <d v="2018-08-17T00:00:00"/>
        <d v="2018-08-16T00:00:00"/>
        <d v="2018-08-15T00:00:00"/>
        <d v="2018-08-14T00:00:00"/>
        <d v="2018-08-13T00:00:00"/>
        <d v="2018-08-12T00:00:00"/>
        <d v="2018-08-10T00:00:00"/>
        <d v="2018-08-09T00:00:00"/>
        <d v="2018-08-08T00:00:00"/>
        <d v="2018-08-07T00:00:00"/>
        <d v="2018-08-06T00:00:00"/>
        <d v="2018-08-05T00:00:00"/>
        <d v="2018-08-03T00:00:00"/>
        <d v="2018-08-02T00:00:00"/>
        <d v="2018-08-01T00:00:00"/>
        <d v="2018-07-31T00:00:00"/>
        <d v="2018-07-30T00:00:00"/>
        <d v="2018-07-29T00:00:00"/>
        <d v="2018-07-27T00:00:00"/>
        <d v="2018-07-26T00:00:00"/>
        <d v="2018-07-25T00:00:00"/>
        <d v="2018-07-24T00:00:00"/>
        <d v="2018-07-23T00:00:00"/>
        <d v="2018-07-22T00:00:00"/>
        <d v="2018-07-20T00:00:00"/>
        <d v="2018-07-19T00:00:00"/>
        <d v="2018-07-18T00:00:00"/>
        <d v="2018-07-17T00:00:00"/>
        <d v="2018-07-16T00:00:00"/>
        <d v="2018-07-15T00:00:00"/>
        <d v="2018-07-13T00:00:00"/>
        <d v="2018-07-12T00:00:00"/>
        <d v="2018-07-11T00:00:00"/>
        <d v="2018-07-10T00:00:00"/>
        <d v="2018-07-09T00:00:00"/>
        <d v="2018-07-08T00:00:00"/>
        <d v="2018-07-06T00:00:00"/>
        <d v="2018-07-05T00:00:00"/>
        <d v="2018-07-04T00:00:00"/>
        <d v="2018-07-03T00:00:00"/>
        <d v="2018-07-02T00:00:00"/>
        <d v="2018-07-01T00:00:00"/>
        <d v="2018-06-29T00:00:00"/>
        <d v="2018-06-28T00:00:00"/>
        <d v="2018-06-27T00:00:00"/>
        <d v="2018-06-26T00:00:00"/>
        <d v="2018-06-25T00:00:00"/>
        <d v="2018-06-24T00:00:00"/>
        <d v="2018-06-22T00:00:00"/>
        <d v="2018-06-21T00:00:00"/>
        <d v="2018-06-20T00:00:00"/>
        <d v="2018-06-19T00:00:00"/>
        <d v="2018-06-18T00:00:00"/>
        <d v="2018-06-17T00:00:00"/>
        <d v="2018-06-15T00:00:00"/>
        <d v="2018-06-14T00:00:00"/>
        <d v="2018-06-13T00:00:00"/>
        <d v="2018-06-12T00:00:00"/>
        <d v="2018-06-11T00:00:00"/>
        <d v="2018-06-10T00:00:00"/>
        <d v="2018-06-08T00:00:00"/>
        <d v="2018-06-07T00:00:00"/>
        <d v="2018-06-06T00:00:00"/>
        <d v="2018-06-05T00:00:00"/>
        <d v="2018-06-04T00:00:00"/>
        <d v="2018-06-03T00:00:00"/>
        <d v="2018-06-01T00:00:00"/>
        <d v="2018-05-31T00:00:00"/>
        <d v="2018-05-30T00:00:00"/>
        <d v="2018-05-29T00:00:00"/>
        <d v="2018-05-28T00:00:00"/>
        <d v="2018-05-27T00:00:00"/>
        <d v="2018-05-25T00:00:00"/>
        <d v="2018-05-24T00:00:00"/>
        <d v="2018-05-23T00:00:00"/>
        <d v="2018-05-22T00:00:00"/>
        <d v="2018-05-21T00:00:00"/>
        <d v="2018-05-18T00:00:00"/>
        <d v="2018-05-17T00:00:00"/>
        <d v="2018-05-16T00:00:00"/>
        <d v="2018-05-15T00:00:00"/>
        <d v="2018-05-14T00:00:00"/>
        <d v="2018-05-11T00:00:00"/>
        <d v="2018-05-10T00:00:00"/>
        <d v="2018-05-09T00:00:00"/>
        <d v="2018-05-08T00:00:00"/>
        <d v="2018-05-07T00:00:00"/>
        <d v="2018-05-04T00:00:00"/>
        <d v="2018-05-03T00:00:00"/>
        <d v="2018-05-02T00:00:00"/>
        <d v="2018-05-01T00:00:00"/>
        <d v="2018-04-30T00:00:00"/>
        <d v="2018-04-27T00:00:00"/>
        <d v="2018-04-26T00:00:00"/>
        <d v="2018-04-25T00:00:00"/>
        <d v="2018-04-24T00:00:00"/>
        <d v="2018-04-23T00:00:00"/>
        <d v="2018-04-20T00:00:00"/>
        <d v="2018-04-19T00:00:00"/>
        <d v="2018-04-18T00:00:00"/>
        <d v="2018-04-17T00:00:00"/>
        <d v="2018-04-16T00:00:00"/>
        <d v="2018-04-13T00:00:00"/>
        <d v="2018-04-12T00:00:00"/>
        <d v="2018-04-11T00:00:00"/>
        <d v="2018-04-10T00:00:00"/>
        <d v="2018-04-09T00:00:00"/>
        <d v="2018-04-06T00:00:00"/>
        <d v="2018-04-05T00:00:00"/>
        <d v="2018-04-04T00:00:00"/>
        <d v="2018-04-03T00:00:00"/>
        <d v="2018-04-02T00:00:00"/>
        <d v="2018-03-30T00:00:00"/>
        <d v="2018-03-29T00:00:00"/>
        <d v="2018-03-28T00:00:00"/>
        <d v="2018-03-27T00:00:00"/>
        <d v="2018-03-26T00:00:00"/>
        <d v="2018-03-23T00:00:00"/>
        <d v="2018-03-22T00:00:00"/>
        <d v="2018-03-21T00:00:00"/>
        <d v="2018-03-20T00:00:00"/>
        <d v="2018-03-19T00:00:00"/>
        <d v="2018-03-16T00:00:00"/>
        <d v="2018-03-15T00:00:00"/>
        <d v="2018-03-14T00:00:00"/>
        <d v="2018-03-13T00:00:00"/>
        <d v="2018-03-12T00:00:00"/>
        <d v="2018-03-09T00:00:00"/>
        <d v="2018-03-08T00:00:00"/>
        <d v="2018-03-07T00:00:00"/>
        <d v="2018-03-06T00:00:00"/>
        <d v="2018-03-05T00:00:00"/>
        <d v="2018-03-02T00:00:00"/>
        <d v="2018-03-01T00:00:00"/>
        <d v="2018-02-28T00:00:00"/>
        <d v="2018-02-27T00:00:00"/>
        <d v="2018-02-26T00:00:00"/>
        <d v="2018-02-23T00:00:00"/>
        <d v="2018-02-22T00:00:00"/>
        <d v="2018-02-21T00:00:00"/>
        <d v="2018-02-20T00:00:00"/>
        <d v="2018-02-19T00:00:00"/>
        <d v="2018-02-16T00:00:00"/>
        <d v="2018-02-15T00:00:00"/>
        <d v="2018-02-14T00:00:00"/>
        <d v="2018-02-13T00:00:00"/>
        <d v="2018-02-12T00:00:00"/>
        <d v="2018-02-09T00:00:00"/>
        <d v="2018-02-08T00:00:00"/>
        <d v="2018-02-07T00:00:00"/>
        <d v="2018-02-06T00:00:00"/>
        <d v="2018-02-05T00:00:00"/>
        <d v="2018-02-02T00:00:00"/>
        <d v="2018-02-01T00:00:00"/>
        <d v="2018-01-31T00:00:00"/>
        <d v="2018-01-30T00:00:00"/>
        <d v="2018-01-29T00:00:00"/>
        <d v="2018-01-26T00:00:00"/>
        <d v="2018-01-25T00:00:00"/>
        <d v="2018-01-24T00:00:00"/>
        <d v="2018-01-23T00:00:00"/>
        <d v="2018-01-22T00:00:00"/>
        <d v="2018-01-19T00:00:00"/>
        <d v="2018-01-18T00:00:00"/>
        <d v="2018-01-17T00:00:00"/>
        <d v="2018-01-16T00:00:00"/>
        <d v="2018-01-15T00:00:00"/>
        <d v="2018-01-12T00:00:00"/>
        <d v="2018-01-11T00:00:00"/>
        <d v="2018-01-10T00:00:00"/>
        <d v="2018-01-09T00:00:00"/>
        <d v="2018-01-08T00:00:00"/>
        <d v="2018-01-05T00:00:00"/>
        <d v="2018-01-04T00:00:00"/>
        <d v="2018-01-03T00:00:00"/>
        <d v="2018-01-02T00:00:00"/>
        <d v="2018-01-01T00:00:00"/>
        <d v="2017-12-29T00:00:00"/>
        <d v="2017-12-28T00:00:00"/>
        <d v="2017-12-27T00:00:00"/>
        <d v="2017-12-26T00:00:00"/>
        <d v="2017-12-25T00:00:00"/>
        <d v="2017-12-22T00:00:00"/>
        <d v="2017-12-21T00:00:00"/>
        <d v="2017-12-20T00:00:00"/>
        <d v="2017-12-19T00:00:00"/>
        <d v="2017-12-18T00:00:00"/>
        <d v="2017-12-15T00:00:00"/>
        <d v="2017-12-14T00:00:00"/>
        <d v="2017-12-13T00:00:00"/>
        <d v="2017-12-12T00:00:00"/>
        <d v="2017-12-11T00:00:00"/>
        <d v="2017-12-08T00:00:00"/>
        <d v="2017-12-07T00:00:00"/>
        <d v="2017-12-06T00:00:00"/>
        <d v="2017-12-05T00:00:00"/>
        <d v="2017-12-04T00:00:00"/>
        <d v="2017-12-01T00:00:00"/>
        <d v="2017-11-30T00:00:00"/>
        <d v="2017-11-29T00:00:00"/>
        <d v="2017-11-28T00:00:00"/>
        <d v="2017-11-27T00:00:00"/>
        <d v="2017-11-24T00:00:00"/>
        <d v="2017-11-23T00:00:00"/>
        <d v="2017-11-22T00:00:00"/>
        <d v="2017-11-21T00:00:00"/>
        <d v="2017-11-20T00:00:00"/>
        <d v="2017-11-17T00:00:00"/>
        <d v="2017-11-16T00:00:00"/>
        <d v="2017-11-15T00:00:00"/>
        <d v="2017-11-14T00:00:00"/>
        <d v="2017-11-13T00:00:00"/>
        <d v="2017-11-10T00:00:00"/>
        <d v="2017-11-09T00:00:00"/>
        <d v="2017-11-08T00:00:00"/>
        <d v="2017-11-07T00:00:00"/>
        <d v="2017-11-06T00:00:00"/>
        <d v="2017-11-03T00:00:00"/>
        <d v="2017-11-02T00:00:00"/>
        <d v="2017-11-01T00:00:00"/>
        <d v="2017-10-31T00:00:00"/>
        <d v="2017-10-30T00:00:00"/>
        <d v="2017-10-27T00:00:00"/>
        <d v="2017-10-26T00:00:00"/>
        <d v="2017-10-25T00:00:00"/>
        <d v="2017-10-24T00:00:00"/>
        <d v="2017-10-23T00:00:00"/>
        <d v="2017-10-20T00:00:00"/>
        <d v="2017-10-19T00:00:00"/>
        <d v="2017-10-18T00:00:00"/>
        <d v="2017-10-17T00:00:00"/>
        <d v="2017-10-16T00:00:00"/>
        <d v="2017-10-13T00:00:00"/>
        <d v="2017-10-12T00:00:00"/>
        <d v="2017-10-11T00:00:00"/>
        <d v="2017-10-10T00:00:00"/>
        <d v="2017-10-09T00:00:00"/>
        <d v="2017-10-06T00:00:00"/>
        <d v="2017-10-05T00:00:00"/>
        <d v="2017-10-04T00:00:00"/>
        <d v="2017-10-03T00:00:00"/>
        <d v="2017-10-02T00:00:00"/>
        <d v="2017-09-29T00:00:00"/>
        <d v="2017-09-28T00:00:00"/>
        <d v="2017-09-27T00:00:00"/>
        <d v="2017-09-26T00:00:00"/>
        <d v="2017-09-25T00:00:00"/>
        <d v="2017-09-22T00:00:00"/>
        <d v="2017-09-21T00:00:00"/>
        <d v="2017-09-20T00:00:00"/>
        <d v="2017-09-19T00:00:00"/>
        <d v="2017-09-18T00:00:00"/>
        <d v="2017-09-15T00:00:00"/>
        <d v="2017-09-14T00:00:00"/>
        <d v="2017-09-13T00:00:00"/>
        <d v="2017-09-12T00:00:00"/>
        <d v="2017-09-11T00:00:00"/>
        <d v="2017-09-08T00:00:00"/>
        <d v="2017-09-07T00:00:00"/>
        <d v="2017-09-06T00:00:00"/>
        <d v="2017-09-05T00:00:00"/>
        <d v="2017-09-04T00:00:00"/>
        <d v="2017-09-01T00:00:00"/>
        <d v="2017-08-31T00:00:00"/>
        <d v="2017-08-30T00:00:00"/>
        <d v="2017-08-29T00:00:00"/>
        <d v="2017-08-28T00:00:00"/>
        <d v="2017-08-25T00:00:00"/>
        <d v="2017-08-24T00:00:00"/>
        <d v="2017-08-23T00:00:00"/>
        <d v="2017-08-22T00:00:00"/>
        <d v="2017-08-21T00:00:00"/>
        <d v="2017-08-18T00:00:00"/>
        <d v="2017-08-17T00:00:00"/>
        <d v="2017-08-16T00:00:00"/>
        <d v="2017-08-15T00:00:00"/>
        <d v="2017-08-14T00:00:00"/>
        <d v="2017-08-11T00:00:00"/>
        <d v="2017-08-10T00:00:00"/>
        <d v="2017-08-09T00:00:00"/>
        <d v="2017-08-08T00:00:00"/>
        <d v="2017-08-07T00:00:00"/>
        <d v="2017-08-04T00:00:00"/>
        <d v="2017-08-03T00:00:00"/>
        <d v="2017-08-02T00:00:00"/>
        <d v="2017-08-01T00:00:00"/>
        <d v="2017-07-31T00:00:00"/>
        <d v="2017-07-28T00:00:00"/>
        <d v="2017-07-27T00:00:00"/>
        <d v="2017-07-26T00:00:00"/>
        <d v="2017-07-25T00:00:00"/>
        <d v="2017-07-24T00:00:00"/>
        <d v="2017-07-21T00:00:00"/>
        <d v="2017-07-20T00:00:00"/>
        <d v="2017-07-19T00:00:00"/>
        <d v="2017-07-18T00:00:00"/>
        <d v="2017-07-17T00:00:00"/>
        <d v="2017-07-14T00:00:00"/>
        <d v="2017-07-13T00:00:00"/>
        <d v="2017-07-12T00:00:00"/>
        <d v="2017-07-11T00:00:00"/>
        <d v="2017-07-10T00:00:00"/>
        <d v="2017-07-07T00:00:00"/>
        <d v="2017-07-06T00:00:00"/>
        <d v="2017-07-05T00:00:00"/>
        <d v="2017-07-04T00:00:00"/>
        <d v="2017-07-03T00:00:00"/>
        <d v="2017-06-30T00:00:00"/>
        <d v="2017-06-29T00:00:00"/>
        <d v="2017-06-28T00:00:00"/>
        <d v="2017-06-27T00:00:00"/>
        <d v="2017-06-26T00:00:00"/>
        <d v="2017-06-23T00:00:00"/>
        <d v="2017-06-22T00:00:00"/>
        <d v="2017-06-21T00:00:00"/>
        <d v="2017-06-20T00:00:00"/>
        <d v="2017-06-19T00:00:00"/>
        <d v="2017-06-16T00:00:00"/>
        <d v="2017-06-15T00:00:00"/>
        <d v="2017-06-14T00:00:00"/>
        <d v="2017-06-13T00:00:00"/>
        <d v="2017-06-12T00:00:00"/>
        <d v="2017-06-09T00:00:00"/>
        <d v="2017-06-08T00:00:00"/>
        <d v="2017-06-07T00:00:00"/>
        <d v="2017-06-06T00:00:00"/>
        <d v="2017-06-05T00:00:00"/>
        <d v="2017-06-02T00:00:00"/>
        <d v="2017-06-01T00:00:00"/>
        <d v="2017-05-31T00:00:00"/>
        <d v="2017-05-30T00:00:00"/>
        <d v="2017-05-29T00:00:00"/>
        <d v="2017-05-26T00:00:00"/>
        <d v="2017-05-25T00:00:00"/>
        <d v="2017-05-24T00:00:00"/>
        <d v="2017-05-23T00:00:00"/>
        <d v="2017-05-22T00:00:00"/>
        <d v="2017-05-19T00:00:00"/>
        <d v="2017-05-18T00:00:00"/>
        <d v="2017-05-17T00:00:00"/>
        <d v="2017-05-16T00:00:00"/>
        <d v="2017-05-15T00:00:00"/>
        <d v="2017-05-12T00:00:00"/>
        <d v="2017-05-11T00:00:00"/>
        <d v="2017-05-10T00:00:00"/>
        <d v="2017-05-09T00:00:00"/>
        <d v="2017-05-08T00:00:00"/>
        <d v="2017-05-05T00:00:00"/>
        <d v="2017-05-04T00:00:00"/>
        <d v="2017-05-03T00:00:00"/>
        <d v="2017-05-02T00:00:00"/>
        <d v="2017-05-01T00:00:00"/>
        <d v="2017-04-28T00:00:00"/>
        <d v="2017-04-27T00:00:00"/>
        <d v="2017-04-26T00:00:00"/>
        <d v="2017-04-25T00:00:00"/>
        <d v="2017-04-24T00:00:00"/>
        <d v="2017-04-21T00:00:00"/>
        <d v="2017-04-20T00:00:00"/>
        <d v="2017-04-19T00:00:00"/>
        <d v="2017-04-18T00:00:00"/>
        <d v="2017-04-17T00:00:00"/>
        <d v="2017-04-14T00:00:00"/>
        <d v="2017-04-13T00:00:00"/>
        <d v="2017-04-12T00:00:00"/>
        <d v="2017-04-11T00:00:00"/>
        <d v="2017-04-10T00:00:00"/>
        <d v="2017-04-07T00:00:00"/>
        <d v="2017-04-06T00:00:00"/>
        <d v="2017-04-05T00:00:00"/>
        <d v="2017-04-04T00:00:00"/>
        <d v="2017-04-03T00:00:00"/>
        <d v="2017-03-31T00:00:00"/>
        <d v="2017-03-30T00:00:00"/>
        <d v="2017-03-29T00:00:00"/>
        <d v="2017-03-28T00:00:00"/>
        <d v="2017-03-27T00:00:00"/>
        <d v="2017-03-24T00:00:00"/>
        <d v="2017-03-23T00:00:00"/>
        <d v="2017-03-22T00:00:00"/>
        <d v="2017-03-21T00:00:00"/>
        <d v="2017-03-20T00:00:00"/>
        <d v="2017-03-17T00:00:00"/>
        <d v="2017-03-16T00:00:00"/>
        <d v="2017-03-15T00:00:00"/>
        <d v="2017-03-14T00:00:00"/>
        <d v="2017-03-13T00:00:00"/>
        <d v="2017-03-10T00:00:00"/>
        <d v="2017-03-09T00:00:00"/>
        <d v="2017-03-08T00:00:00"/>
        <d v="2017-03-07T00:00:00"/>
        <d v="2017-03-06T00:00:00"/>
        <d v="2017-03-03T00:00:00"/>
        <d v="2017-03-02T00:00:00"/>
        <d v="2017-03-01T00:00:00"/>
        <d v="2017-02-28T00:00:00"/>
        <d v="2017-02-27T00:00:00"/>
        <d v="2017-02-24T00:00:00"/>
        <d v="2017-02-23T00:00:00"/>
        <d v="2017-02-22T00:00:00"/>
        <d v="2017-02-21T00:00:00"/>
        <d v="2017-02-20T00:00:00"/>
        <d v="2017-02-17T00:00:00"/>
        <d v="2017-02-16T00:00:00"/>
        <d v="2017-02-15T00:00:00"/>
        <d v="2017-02-14T00:00:00"/>
        <d v="2017-02-13T00:00:00"/>
        <d v="2017-02-10T00:00:00"/>
        <d v="2017-02-09T00:00:00"/>
        <d v="2017-02-08T00:00:00"/>
        <d v="2017-02-07T00:00:00"/>
        <d v="2017-02-06T00:00:00"/>
        <d v="2017-02-03T00:00:00"/>
        <d v="2017-02-02T00:00:00"/>
        <d v="2017-02-01T00:00:00"/>
        <d v="2017-01-31T00:00:00"/>
        <d v="2017-01-30T00:00:00"/>
        <d v="2017-01-27T00:00:00"/>
        <d v="2017-01-26T00:00:00"/>
        <d v="2017-01-25T00:00:00"/>
        <d v="2017-01-24T00:00:00"/>
        <d v="2017-01-23T00:00:00"/>
        <d v="2017-01-20T00:00:00"/>
        <d v="2017-01-19T00:00:00"/>
        <d v="2017-01-18T00:00:00"/>
        <d v="2017-01-17T00:00:00"/>
        <d v="2017-01-16T00:00:00"/>
        <d v="2017-01-13T00:00:00"/>
        <d v="2017-01-12T00:00:00"/>
        <d v="2017-01-11T00:00:00"/>
        <d v="2017-01-10T00:00:00"/>
        <d v="2017-01-09T00:00:00"/>
        <d v="2017-01-06T00:00:00"/>
        <d v="2017-01-05T00:00:00"/>
        <d v="2017-01-04T00:00:00"/>
        <d v="2017-01-03T00:00:00"/>
        <d v="2017-01-02T00:00:00"/>
        <d v="2016-12-30T00:00:00"/>
        <d v="2016-12-29T00:00:00"/>
        <d v="2016-12-28T00:00:00"/>
        <d v="2016-12-27T00:00:00"/>
        <d v="2016-12-26T00:00:00"/>
        <d v="2016-12-23T00:00:00"/>
        <d v="2016-12-22T00:00:00"/>
        <d v="2016-12-21T00:00:00"/>
        <d v="2016-12-20T00:00:00"/>
        <d v="2016-12-19T00:00:00"/>
        <d v="2016-12-16T00:00:00"/>
        <d v="2016-12-15T00:00:00"/>
        <d v="2016-12-14T00:00:00"/>
        <d v="2016-12-13T00:00:00"/>
        <d v="2016-12-12T00:00:00"/>
        <d v="2016-12-09T00:00:00"/>
        <d v="2016-12-08T00:00:00"/>
        <d v="2016-12-07T00:00:00"/>
        <d v="2016-12-06T00:00:00"/>
        <d v="2016-12-05T00:00:00"/>
        <d v="2016-12-02T00:00:00"/>
        <d v="2016-12-01T00:00:00"/>
        <d v="2016-11-30T00:00:00"/>
        <d v="2016-11-29T00:00:00"/>
        <d v="2016-11-28T00:00:00"/>
        <d v="2016-11-25T00:00:00"/>
        <d v="2016-11-24T00:00:00"/>
        <d v="2016-11-23T00:00:00"/>
        <d v="2016-11-22T00:00:00"/>
        <d v="2016-11-21T00:00:00"/>
        <d v="2016-11-18T00:00:00"/>
        <d v="2016-11-17T00:00:00"/>
        <d v="2016-11-16T00:00:00"/>
        <d v="2016-11-15T00:00:00"/>
        <d v="2016-11-14T00:00:00"/>
        <d v="2016-11-11T00:00:00"/>
        <d v="2016-11-10T00:00:00"/>
        <d v="2016-11-09T00:00:00"/>
        <d v="2016-11-08T00:00:00"/>
        <d v="2016-11-07T00:00:00"/>
        <d v="2016-11-04T00:00:00"/>
        <d v="2016-11-03T00:00:00"/>
        <d v="2016-11-02T00:00:00"/>
        <d v="2016-11-01T00:00:00"/>
        <d v="2016-10-31T00:00:00"/>
        <d v="2016-10-28T00:00:00"/>
        <d v="2016-10-27T00:00:00"/>
        <d v="2016-10-26T00:00:00"/>
        <d v="2016-10-25T00:00:00"/>
        <d v="2016-10-24T00:00:00"/>
        <d v="2016-10-21T00:00:00"/>
        <d v="2016-10-20T00:00:00"/>
        <d v="2016-10-19T00:00:00"/>
        <d v="2016-10-18T00:00:00"/>
        <d v="2016-10-17T00:00:00"/>
        <d v="2016-10-14T00:00:00"/>
        <d v="2016-10-13T00:00:00"/>
        <d v="2016-10-12T00:00:00"/>
        <d v="2016-10-11T00:00:00"/>
        <d v="2016-10-10T00:00:00"/>
        <d v="2016-10-07T00:00:00"/>
        <d v="2016-10-06T00:00:00"/>
        <d v="2016-10-05T00:00:00"/>
        <d v="2016-10-04T00:00:00"/>
        <d v="2016-10-03T00:00:00"/>
        <d v="2016-09-30T00:00:00"/>
        <d v="2016-09-29T00:00:00"/>
        <d v="2016-09-28T00:00:00"/>
        <d v="2016-09-27T00:00:00"/>
        <d v="2016-09-26T00:00:00"/>
        <d v="2016-09-23T00:00:00"/>
        <d v="2016-09-22T00:00:00"/>
        <d v="2016-09-21T00:00:00"/>
        <d v="2016-09-20T00:00:00"/>
        <d v="2016-09-19T00:00:00"/>
        <d v="2016-09-16T00:00:00"/>
        <d v="2016-09-15T00:00:00"/>
        <d v="2016-09-14T00:00:00"/>
        <d v="2016-09-13T00:00:00"/>
        <d v="2016-09-12T00:00:00"/>
        <d v="2016-09-09T00:00:00"/>
        <d v="2016-09-08T00:00:00"/>
        <d v="2016-09-07T00:00:00"/>
        <d v="2016-09-06T00:00:00"/>
        <d v="2016-09-05T00:00:00"/>
        <d v="2016-09-02T00:00:00"/>
        <d v="2016-09-01T00:00:00"/>
        <d v="2016-08-31T00:00:00"/>
        <d v="2016-08-30T00:00:00"/>
        <d v="2016-08-29T00:00:00"/>
        <d v="2016-08-26T00:00:00"/>
        <d v="2016-08-25T00:00:00"/>
        <d v="2016-08-24T00:00:00"/>
        <d v="2016-08-23T00:00:00"/>
        <d v="2016-08-22T00:00:00"/>
        <d v="2016-08-19T00:00:00"/>
        <d v="2016-08-18T00:00:00"/>
        <d v="2016-08-17T00:00:00"/>
        <d v="2016-08-16T00:00:00"/>
        <d v="2016-08-15T00:00:00"/>
        <d v="2016-08-12T00:00:00"/>
        <d v="2016-08-11T00:00:00"/>
        <d v="2016-08-10T00:00:00"/>
        <d v="2016-08-09T00:00:00"/>
        <d v="2016-08-08T00:00:00"/>
        <d v="2016-08-05T00:00:00"/>
        <d v="2016-08-04T00:00:00"/>
        <d v="2016-08-03T00:00:00"/>
        <d v="2016-08-02T00:00:00"/>
        <d v="2016-08-01T00:00:00"/>
        <d v="2016-07-29T00:00:00"/>
        <d v="2016-07-28T00:00:00"/>
        <d v="2016-07-27T00:00:00"/>
        <d v="2016-07-26T00:00:00"/>
        <d v="2016-07-25T00:00:00"/>
        <d v="2016-07-22T00:00:00"/>
        <d v="2016-07-21T00:00:00"/>
        <d v="2016-07-20T00:00:00"/>
        <d v="2016-07-19T00:00:00"/>
        <d v="2016-07-18T00:00:00"/>
        <d v="2016-07-15T00:00:00"/>
        <d v="2016-07-14T00:00:00"/>
        <d v="2016-07-13T00:00:00"/>
        <d v="2016-07-12T00:00:00"/>
        <d v="2016-07-11T00:00:00"/>
        <d v="2016-07-08T00:00:00"/>
        <d v="2016-07-07T00:00:00"/>
        <d v="2016-07-06T00:00:00"/>
        <d v="2016-07-05T00:00:00"/>
        <d v="2016-07-04T00:00:00"/>
        <d v="2016-07-01T00:00:00"/>
        <d v="2016-06-30T00:00:00"/>
        <d v="2016-06-29T00:00:00"/>
        <d v="2016-06-28T00:00:00"/>
        <d v="2016-06-27T00:00:00"/>
        <d v="2016-06-24T00:00:00"/>
        <d v="2016-06-23T00:00:00"/>
        <d v="2016-06-22T00:00:00"/>
        <d v="2016-06-21T00:00:00"/>
        <d v="2016-06-20T00:00:00"/>
        <d v="2016-06-17T00:00:00"/>
        <d v="2016-06-16T00:00:00"/>
        <d v="2016-06-15T00:00:00"/>
        <d v="2016-06-14T00:00:00"/>
        <d v="2016-06-13T00:00:00"/>
        <d v="2016-06-10T00:00:00"/>
        <d v="2016-06-09T00:00:00"/>
        <d v="2016-06-08T00:00:00"/>
        <d v="2016-06-07T00:00:00"/>
        <d v="2016-06-06T00:00:00"/>
        <d v="2016-06-03T00:00:00"/>
        <d v="2016-06-02T00:00:00"/>
        <d v="2016-06-01T00:00:00"/>
        <d v="2016-05-31T00:00:00"/>
        <d v="2016-05-30T00:00:00"/>
        <d v="2016-05-27T00:00:00"/>
        <d v="2016-05-26T00:00:00"/>
        <d v="2016-05-25T00:00:00"/>
        <d v="2016-05-24T00:00:00"/>
        <d v="2016-05-23T00:00:00"/>
        <d v="2016-05-20T00:00:00"/>
        <d v="2016-05-19T00:00:00"/>
        <d v="2016-05-18T00:00:00"/>
        <d v="2016-05-17T00:00:00"/>
        <d v="2016-05-16T00:00:00"/>
        <d v="2016-05-13T00:00:00"/>
        <d v="2016-05-12T00:00:00"/>
        <d v="2016-05-11T00:00:00"/>
        <d v="2016-05-10T00:00:00"/>
        <d v="2016-05-09T00:00:00"/>
        <d v="2016-05-06T00:00:00"/>
        <d v="2016-05-05T00:00:00"/>
        <d v="2016-05-04T00:00:00"/>
        <d v="2016-05-03T00:00:00"/>
        <d v="2016-05-02T00:00:00"/>
        <d v="2016-04-29T00:00:00"/>
        <d v="2016-04-28T00:00:00"/>
        <d v="2016-04-27T00:00:00"/>
        <d v="2016-04-26T00:00:00"/>
        <d v="2016-04-25T00:00:00"/>
        <d v="2016-04-22T00:00:00"/>
        <d v="2016-04-21T00:00:00"/>
        <d v="2016-04-20T00:00:00"/>
        <d v="2016-04-19T00:00:00"/>
        <d v="2016-04-18T00:00:00"/>
        <d v="2016-04-15T00:00:00"/>
        <d v="2016-04-14T00:00:00"/>
        <d v="2016-04-13T00:00:00"/>
        <d v="2016-04-12T00:00:00"/>
        <d v="2016-04-11T00:00:00"/>
        <d v="2016-04-08T00:00:00"/>
        <d v="2016-04-07T00:00:00"/>
        <d v="2016-04-06T00:00:00"/>
        <d v="2016-04-05T00:00:00"/>
        <d v="2016-04-04T00:00:00"/>
        <d v="2016-04-01T00:00:00"/>
        <d v="2016-03-31T00:00:00"/>
        <d v="2016-03-30T00:00:00"/>
        <d v="2016-03-29T00:00:00"/>
        <d v="2016-03-28T00:00:00"/>
        <d v="2016-03-25T00:00:00"/>
        <d v="2016-03-24T00:00:00"/>
        <d v="2016-03-23T00:00:00"/>
        <d v="2016-03-22T00:00:00"/>
        <d v="2016-03-21T00:00:00"/>
        <d v="2016-03-18T00:00:00"/>
        <d v="2016-03-17T00:00:00"/>
        <d v="2016-03-16T00:00:00"/>
        <d v="2016-03-15T00:00:00"/>
        <d v="2016-03-14T00:00:00"/>
        <d v="2016-03-11T00:00:00"/>
        <d v="2016-03-10T00:00:00"/>
        <d v="2016-03-09T00:00:00"/>
        <d v="2016-03-08T00:00:00"/>
        <d v="2016-03-07T00:00:00"/>
        <d v="2016-03-04T00:00:00"/>
        <d v="2016-03-03T00:00:00"/>
        <d v="2016-03-02T00:00:00"/>
        <d v="2016-03-01T00:00:00"/>
        <d v="2016-02-29T00:00:00"/>
        <d v="2016-02-26T00:00:00"/>
        <d v="2016-02-25T00:00:00"/>
        <d v="2016-02-24T00:00:00"/>
        <d v="2016-02-23T00:00:00"/>
        <d v="2016-02-22T00:00:00"/>
        <d v="2016-02-19T00:00:00"/>
        <d v="2016-02-18T00:00:00"/>
        <d v="2016-02-17T00:00:00"/>
        <d v="2016-02-16T00:00:00"/>
        <d v="2016-02-15T00:00:00"/>
        <d v="2016-02-12T00:00:00"/>
        <d v="2016-02-11T00:00:00"/>
        <d v="2016-02-10T00:00:00"/>
        <d v="2016-02-09T00:00:00"/>
        <d v="2016-02-08T00:00:00"/>
        <d v="2016-02-05T00:00:00"/>
        <d v="2016-02-04T00:00:00"/>
        <d v="2016-02-03T00:00:00"/>
        <d v="2016-02-02T00:00:00"/>
        <d v="2016-02-01T00:00:00"/>
        <d v="2016-01-29T00:00:00"/>
        <d v="2016-01-28T00:00:00"/>
        <d v="2016-01-27T00:00:00"/>
        <d v="2016-01-26T00:00:00"/>
        <d v="2016-01-25T00:00:00"/>
        <d v="2016-01-22T00:00:00"/>
        <d v="2016-01-21T00:00:00"/>
        <d v="2016-01-20T00:00:00"/>
        <d v="2016-01-19T00:00:00"/>
        <d v="2016-01-18T00:00:00"/>
        <d v="2016-01-15T00:00:00"/>
        <d v="2016-01-14T00:00:00"/>
        <d v="2016-01-13T00:00:00"/>
        <d v="2016-01-12T00:00:00"/>
        <d v="2016-01-11T00:00:00"/>
        <d v="2016-01-08T00:00:00"/>
        <d v="2016-01-07T00:00:00"/>
        <d v="2016-01-06T00:00:00"/>
        <d v="2016-01-05T00:00:00"/>
        <d v="2016-01-04T00:00:00"/>
        <d v="2016-01-01T00:00:00"/>
        <d v="2015-12-31T00:00:00"/>
        <d v="2015-12-30T00:00:00"/>
        <d v="2015-12-29T00:00:00"/>
        <d v="2015-12-28T00:00:00"/>
        <d v="2015-12-25T00:00:00"/>
        <d v="2015-12-24T00:00:00"/>
        <d v="2015-12-23T00:00:00"/>
        <d v="2015-12-22T00:00:00"/>
        <d v="2015-12-21T00:00:00"/>
        <d v="2015-12-18T00:00:00"/>
        <d v="2015-12-17T00:00:00"/>
        <d v="2015-12-16T00:00:00"/>
        <d v="2015-12-15T00:00:00"/>
        <d v="2015-12-14T00:00:00"/>
        <d v="2015-12-11T00:00:00"/>
        <d v="2015-12-10T00:00:00"/>
        <d v="2015-12-09T00:00:00"/>
        <d v="2015-12-08T00:00:00"/>
        <d v="2015-12-07T00:00:00"/>
        <d v="2015-12-04T00:00:00"/>
        <d v="2015-12-03T00:00:00"/>
        <d v="2015-12-02T00:00:00"/>
        <d v="2015-12-01T00:00:00"/>
        <d v="2015-11-30T00:00:00"/>
        <d v="2015-11-27T00:00:00"/>
        <d v="2015-11-26T00:00:00"/>
        <d v="2015-11-25T00:00:00"/>
        <d v="2015-11-24T00:00:00"/>
        <d v="2015-11-23T00:00:00"/>
        <d v="2015-11-20T00:00:00"/>
        <d v="2015-11-19T00:00:00"/>
        <d v="2015-11-18T00:00:00"/>
        <d v="2015-11-17T00:00:00"/>
        <d v="2015-11-16T00:00:00"/>
        <d v="2015-11-13T00:00:00"/>
        <d v="2015-11-12T00:00:00"/>
        <d v="2015-11-11T00:00:00"/>
        <d v="2015-11-10T00:00:00"/>
        <d v="2015-11-09T00:00:00"/>
        <d v="2015-11-06T00:00:00"/>
        <d v="2015-11-05T00:00:00"/>
        <d v="2015-11-04T00:00:00"/>
        <d v="2015-11-03T00:00:00"/>
        <d v="2015-11-02T00:00:00"/>
        <d v="2015-10-30T00:00:00"/>
        <d v="2015-10-29T00:00:00"/>
        <d v="2015-10-28T00:00:00"/>
        <d v="2015-10-27T00:00:00"/>
        <d v="2015-10-26T00:00:00"/>
        <d v="2015-10-23T00:00:00"/>
        <d v="2015-10-22T00:00:00"/>
        <d v="2015-10-21T00:00:00"/>
        <d v="2015-10-20T00:00:00"/>
        <d v="2015-10-19T00:00:00"/>
        <d v="2015-10-16T00:00:00"/>
        <d v="2015-10-15T00:00:00"/>
        <d v="2015-10-14T00:00:00"/>
        <d v="2015-10-13T00:00:00"/>
        <d v="2015-10-12T00:00:00"/>
        <d v="2015-10-09T00:00:00"/>
        <d v="2015-10-08T00:00:00"/>
        <d v="2015-10-07T00:00:00"/>
        <d v="2015-10-06T00:00:00"/>
        <d v="2015-10-05T00:00:00"/>
        <d v="2015-10-02T00:00:00"/>
        <d v="2015-10-01T00:00:00"/>
        <d v="2015-09-30T00:00:00"/>
        <d v="2015-09-29T00:00:00"/>
        <d v="2015-09-28T00:00:00"/>
        <d v="2015-09-25T00:00:00"/>
        <d v="2015-09-24T00:00:00"/>
        <d v="2015-09-23T00:00:00"/>
        <d v="2015-09-22T00:00:00"/>
        <d v="2015-09-21T00:00:00"/>
        <d v="2015-09-18T00:00:00"/>
        <d v="2015-09-17T00:00:00"/>
        <d v="2015-09-16T00:00:00"/>
        <d v="2015-09-15T00:00:00"/>
        <d v="2015-09-14T00:00:00"/>
        <d v="2015-09-11T00:00:00"/>
        <d v="2015-09-10T00:00:00"/>
        <d v="2015-09-09T00:00:00"/>
        <d v="2015-09-08T00:00:00"/>
        <d v="2015-09-07T00:00:00"/>
        <d v="2015-09-04T00:00:00"/>
        <d v="2015-09-03T00:00:00"/>
        <d v="2015-09-02T00:00:00"/>
        <d v="2015-09-01T00:00:00"/>
        <d v="2015-08-31T00:00:00"/>
        <d v="2015-08-28T00:00:00"/>
        <d v="2015-08-27T00:00:00"/>
        <d v="2015-08-26T00:00:00"/>
        <d v="2015-08-25T00:00:00"/>
        <d v="2015-08-24T00:00:00"/>
        <d v="2015-08-21T00:00:00"/>
        <d v="2015-08-20T00:00:00"/>
        <d v="2015-08-19T00:00:00"/>
        <d v="2015-08-18T00:00:00"/>
        <d v="2015-08-17T00:00:00"/>
        <d v="2015-08-14T00:00:00"/>
        <d v="2015-08-13T00:00:00"/>
        <d v="2015-08-12T00:00:00"/>
        <d v="2015-08-11T00:00:00"/>
        <d v="2015-08-10T00:00:00"/>
        <d v="2015-08-07T00:00:00"/>
        <d v="2015-08-06T00:00:00"/>
        <d v="2015-08-05T00:00:00"/>
        <d v="2015-08-04T00:00:00"/>
        <d v="2015-08-03T00:00:00"/>
        <d v="2015-07-31T00:00:00"/>
        <d v="2015-07-30T00:00:00"/>
        <d v="2015-07-29T00:00:00"/>
        <d v="2015-07-28T00:00:00"/>
        <d v="2015-07-27T00:00:00"/>
        <d v="2015-07-24T00:00:00"/>
        <d v="2015-07-23T00:00:00"/>
        <d v="2015-07-22T00:00:00"/>
        <d v="2015-07-21T00:00:00"/>
        <d v="2015-07-20T00:00:00"/>
        <d v="2015-07-17T00:00:00"/>
        <d v="2015-07-16T00:00:00"/>
        <d v="2015-07-15T00:00:00"/>
        <d v="2015-07-14T00:00:00"/>
        <d v="2015-07-13T00:00:00"/>
        <d v="2015-07-10T00:00:00"/>
        <d v="2015-07-09T00:00:00"/>
        <d v="2015-07-08T00:00:00"/>
        <d v="2015-07-07T00:00:00"/>
        <d v="2015-07-06T00:00:00"/>
        <d v="2015-07-03T00:00:00"/>
        <d v="2015-07-02T00:00:00"/>
        <d v="2015-07-01T00:00:00"/>
        <d v="2015-06-30T00:00:00"/>
        <d v="2015-06-29T00:00:00"/>
        <d v="2015-06-26T00:00:00"/>
        <d v="2015-06-25T00:00:00"/>
        <d v="2015-06-24T00:00:00"/>
        <d v="2015-06-23T00:00:00"/>
        <d v="2015-06-22T00:00:00"/>
        <d v="2015-06-19T00:00:00"/>
        <d v="2015-06-18T00:00:00"/>
        <d v="2015-06-17T00:00:00"/>
        <d v="2015-06-16T00:00:00"/>
        <d v="2015-06-15T00:00:00"/>
        <d v="2015-06-12T00:00:00"/>
        <d v="2015-06-11T00:00:00"/>
        <d v="2015-06-10T00:00:00"/>
        <d v="2015-06-09T00:00:00"/>
        <d v="2015-06-08T00:00:00"/>
        <d v="2015-06-05T00:00:00"/>
        <d v="2015-06-04T00:00:00"/>
        <d v="2015-06-03T00:00:00"/>
        <d v="2015-06-02T00:00:00"/>
        <d v="2015-06-01T00:00:00"/>
        <d v="2015-05-29T00:00:00"/>
        <d v="2015-05-28T00:00:00"/>
        <d v="2015-05-27T00:00:00"/>
        <d v="2015-05-26T00:00:00"/>
        <d v="2015-05-25T00:00:00"/>
        <d v="2015-05-22T00:00:00"/>
        <d v="2015-05-21T00:00:00"/>
        <d v="2015-05-20T00:00:00"/>
        <d v="2015-05-19T00:00:00"/>
        <d v="2015-05-18T00:00:00"/>
        <d v="2015-05-15T00:00:00"/>
        <d v="2015-05-14T00:00:00"/>
        <d v="2015-05-13T00:00:00"/>
        <d v="2015-05-12T00:00:00"/>
        <d v="2015-05-11T00:00:00"/>
        <d v="2015-05-08T00:00:00"/>
        <d v="2015-05-07T00:00:00"/>
        <d v="2015-05-06T00:00:00"/>
        <d v="2015-05-05T00:00:00"/>
        <d v="2015-05-04T00:00:00"/>
        <d v="2015-05-01T00:00:00"/>
        <d v="2015-04-30T00:00:00"/>
        <d v="2015-04-29T00:00:00"/>
        <d v="2015-04-28T00:00:00"/>
        <d v="2015-04-27T00:00:00"/>
        <d v="2015-04-24T00:00:00"/>
        <d v="2015-04-23T00:00:00"/>
        <d v="2015-04-22T00:00:00"/>
        <d v="2015-04-21T00:00:00"/>
        <d v="2015-04-20T00:00:00"/>
        <d v="2015-04-17T00:00:00"/>
        <d v="2015-04-16T00:00:00"/>
        <d v="2015-04-15T00:00:00"/>
        <d v="2015-04-14T00:00:00"/>
        <d v="2015-04-13T00:00:00"/>
        <d v="2015-04-10T00:00:00"/>
        <d v="2015-04-09T00:00:00"/>
        <d v="2015-04-08T00:00:00"/>
        <d v="2015-04-07T00:00:00"/>
        <d v="2015-04-06T00:00:00"/>
        <d v="2015-04-03T00:00:00"/>
        <d v="2015-04-02T00:00:00"/>
        <d v="2015-04-01T00:00:00"/>
        <d v="2015-03-31T00:00:00"/>
        <d v="2015-03-30T00:00:00"/>
        <d v="2015-03-27T00:00:00"/>
        <d v="2015-03-26T00:00:00"/>
        <d v="2015-03-25T00:00:00"/>
        <d v="2015-03-24T00:00:00"/>
        <d v="2015-03-23T00:00:00"/>
        <d v="2015-03-20T00:00:00"/>
        <d v="2015-03-19T00:00:00"/>
        <d v="2015-03-18T00:00:00"/>
        <d v="2015-03-17T00:00:00"/>
        <d v="2015-03-16T00:00:00"/>
        <d v="2015-03-13T00:00:00"/>
        <d v="2015-03-12T00:00:00"/>
        <d v="2015-03-11T00:00:00"/>
        <d v="2015-03-10T00:00:00"/>
        <d v="2015-03-09T00:00:00"/>
        <d v="2015-03-06T00:00:00"/>
        <d v="2015-03-05T00:00:00"/>
        <d v="2015-03-04T00:00:00"/>
        <d v="2015-03-03T00:00:00"/>
        <d v="2015-03-02T00:00:00"/>
        <d v="2015-02-27T00:00:00"/>
        <d v="2015-02-26T00:00:00"/>
        <d v="2015-02-25T00:00:00"/>
        <d v="2015-02-24T00:00:00"/>
        <d v="2015-02-23T00:00:00"/>
        <d v="2015-02-20T00:00:00"/>
        <d v="2015-02-19T00:00:00"/>
        <d v="2015-02-18T00:00:00"/>
        <d v="2015-02-17T00:00:00"/>
        <d v="2015-02-16T00:00:00"/>
        <d v="2015-02-13T00:00:00"/>
        <d v="2015-02-12T00:00:00"/>
        <d v="2015-02-11T00:00:00"/>
        <d v="2015-02-10T00:00:00"/>
        <d v="2015-02-09T00:00:00"/>
        <d v="2015-02-06T00:00:00"/>
        <d v="2015-02-05T00:00:00"/>
        <d v="2015-02-04T00:00:00"/>
        <d v="2015-02-03T00:00:00"/>
        <d v="2015-02-02T00:00:00"/>
        <d v="2015-01-30T00:00:00"/>
        <d v="2015-01-29T00:00:00"/>
        <d v="2015-01-28T00:00:00"/>
        <d v="2015-01-27T00:00:00"/>
        <d v="2015-01-26T00:00:00"/>
        <d v="2015-01-23T00:00:00"/>
        <d v="2015-01-22T00:00:00"/>
        <d v="2015-01-21T00:00:00"/>
        <d v="2015-01-20T00:00:00"/>
        <d v="2015-01-19T00:00:00"/>
        <d v="2015-01-16T00:00:00"/>
        <d v="2015-01-15T00:00:00"/>
        <d v="2015-01-14T00:00:00"/>
        <d v="2015-01-13T00:00:00"/>
        <d v="2015-01-12T00:00:00"/>
        <d v="2015-01-09T00:00:00"/>
        <d v="2015-01-08T00:00:00"/>
        <d v="2015-01-07T00:00:00"/>
        <d v="2015-01-06T00:00:00"/>
        <d v="2015-01-05T00:00:00"/>
        <d v="2015-01-02T00:00:00"/>
        <d v="2015-01-01T00:00:00"/>
        <d v="2014-12-31T00:00:00"/>
        <d v="2014-12-30T00:00:00"/>
        <d v="2014-12-29T00:00:00"/>
        <d v="2014-12-26T00:00:00"/>
        <d v="2014-12-25T00:00:00"/>
        <d v="2014-12-24T00:00:00"/>
        <d v="2014-12-23T00:00:00"/>
        <d v="2014-12-22T00:00:00"/>
        <d v="2014-12-19T00:00:00"/>
        <d v="2014-12-18T00:00:00"/>
        <d v="2014-12-17T00:00:00"/>
        <d v="2014-12-16T00:00:00"/>
        <d v="2014-12-15T00:00:00"/>
        <d v="2014-12-12T00:00:00"/>
        <d v="2014-12-11T00:00:00"/>
        <d v="2014-12-10T00:00:00"/>
        <d v="2014-12-09T00:00:00"/>
        <d v="2014-12-08T00:00:00"/>
        <d v="2014-12-05T00:00:00"/>
        <d v="2014-12-04T00:00:00"/>
        <d v="2014-12-03T00:00:00"/>
        <d v="2014-12-02T00:00:00"/>
        <d v="2014-12-01T00:00:00"/>
        <d v="2014-11-28T00:00:00"/>
        <d v="2014-11-27T00:00:00"/>
        <d v="2014-11-26T00:00:00"/>
        <d v="2014-11-25T00:00:00"/>
        <d v="2014-11-24T00:00:00"/>
        <d v="2014-11-21T00:00:00"/>
        <d v="2014-11-20T00:00:00"/>
        <d v="2014-11-19T00:00:00"/>
        <d v="2014-11-18T00:00:00"/>
        <d v="2014-11-17T00:00:00"/>
        <d v="2014-11-14T00:00:00"/>
        <d v="2014-11-13T00:00:00"/>
        <d v="2014-11-12T00:00:00"/>
        <d v="2014-11-11T00:00:00"/>
        <d v="2014-11-10T00:00:00"/>
        <d v="2014-11-07T00:00:00"/>
        <d v="2014-11-06T00:00:00"/>
        <d v="2014-11-05T00:00:00"/>
        <d v="2014-11-04T00:00:00"/>
        <d v="2014-11-03T00:00:00"/>
        <d v="2014-10-31T00:00:00"/>
        <d v="2014-10-30T00:00:00"/>
        <d v="2014-10-29T00:00:00"/>
        <d v="2014-10-28T00:00:00"/>
        <d v="2014-10-27T00:00:00"/>
        <d v="2014-10-24T00:00:00"/>
        <d v="2014-10-23T00:00:00"/>
        <d v="2014-10-22T00:00:00"/>
        <d v="2014-10-21T00:00:00"/>
        <d v="2014-10-20T00:00:00"/>
        <d v="2014-10-17T00:00:00"/>
        <d v="2014-10-16T00:00:00"/>
        <d v="2014-10-15T00:00:00"/>
        <d v="2014-10-14T00:00:00"/>
        <d v="2014-10-13T00:00:00"/>
        <d v="2014-10-10T00:00:00"/>
        <d v="2014-10-09T00:00:00"/>
        <d v="2014-10-08T00:00:00"/>
        <d v="2014-10-07T00:00:00"/>
        <d v="2014-10-06T00:00:00"/>
        <d v="2014-10-03T00:00:00"/>
        <d v="2014-10-02T00:00:00"/>
        <d v="2014-10-01T00:00:00"/>
        <d v="2014-09-30T00:00:00"/>
        <d v="2014-09-29T00:00:00"/>
        <d v="2014-09-26T00:00:00"/>
        <d v="2014-09-25T00:00:00"/>
        <d v="2014-09-24T00:00:00"/>
        <d v="2014-09-23T00:00:00"/>
        <d v="2014-09-22T00:00:00"/>
        <d v="2014-09-19T00:00:00"/>
        <d v="2014-09-18T00:00:00"/>
        <d v="2014-09-17T00:00:00"/>
        <d v="2014-09-16T00:00:00"/>
        <d v="2014-09-15T00:00:00"/>
        <d v="2014-09-12T00:00:00"/>
        <d v="2014-09-11T00:00:00"/>
        <d v="2014-09-10T00:00:00"/>
        <d v="2014-09-09T00:00:00"/>
        <d v="2014-09-08T00:00:00"/>
        <d v="2014-09-05T00:00:00"/>
        <d v="2014-09-04T00:00:00"/>
        <d v="2014-09-03T00:00:00"/>
        <d v="2014-09-02T00:00:00"/>
        <d v="2014-09-01T00:00:00"/>
        <d v="2014-08-29T00:00:00"/>
        <d v="2014-08-28T00:00:00"/>
        <d v="2014-08-27T00:00:00"/>
        <d v="2014-08-26T00:00:00"/>
        <d v="2014-08-25T00:00:00"/>
        <d v="2014-08-22T00:00:00"/>
        <d v="2014-08-21T00:00:00"/>
        <d v="2014-08-20T00:00:00"/>
        <d v="2014-08-19T00:00:00"/>
        <d v="2014-08-18T00:00:00"/>
        <d v="2014-08-15T00:00:00"/>
        <d v="2014-08-14T00:00:00"/>
        <d v="2014-08-13T00:00:00"/>
        <d v="2014-08-12T00:00:00"/>
        <d v="2014-08-11T00:00:00"/>
        <d v="2014-08-08T00:00:00"/>
        <d v="2014-08-07T00:00:00"/>
        <d v="2014-08-06T00:00:00"/>
        <d v="2014-08-05T00:00:00"/>
        <d v="2014-08-04T00:00:00"/>
        <d v="2014-08-01T00:00:00"/>
        <d v="2014-07-31T00:00:00"/>
        <d v="2014-07-30T00:00:00"/>
        <d v="2014-07-29T00:00:00"/>
        <d v="2014-07-28T00:00:00"/>
        <d v="2014-07-25T00:00:00"/>
        <d v="2014-07-24T00:00:00"/>
        <d v="2014-07-23T00:00:00"/>
        <d v="2014-07-22T00:00:00"/>
        <d v="2014-07-21T00:00:00"/>
        <d v="2014-07-18T00:00:00"/>
        <d v="2014-07-17T00:00:00"/>
        <d v="2014-07-16T00:00:00"/>
        <d v="2014-07-15T00:00:00"/>
        <d v="2014-07-14T00:00:00"/>
        <d v="2014-07-11T00:00:00"/>
        <d v="2014-07-10T00:00:00"/>
        <d v="2014-07-09T00:00:00"/>
        <d v="2014-07-08T00:00:00"/>
        <d v="2014-07-07T00:00:00"/>
        <d v="2014-07-04T00:00:00"/>
        <d v="2014-07-03T00:00:00"/>
        <d v="2014-07-02T00:00:00"/>
        <d v="2014-07-01T00:00:00"/>
        <d v="2014-06-30T00:00:00"/>
        <d v="2014-06-27T00:00:00"/>
        <d v="2014-06-26T00:00:00"/>
        <d v="2014-06-25T00:00:00"/>
        <d v="2014-06-24T00:00:00"/>
        <d v="2014-06-23T00:00:00"/>
        <d v="2014-06-20T00:00:00"/>
        <d v="2014-06-19T00:00:00"/>
        <d v="2014-06-18T00:00:00"/>
        <d v="2014-06-17T00:00:00"/>
        <d v="2014-06-16T00:00:00"/>
        <d v="2014-06-13T00:00:00"/>
        <d v="2014-06-12T00:00:00"/>
        <d v="2014-06-11T00:00:00"/>
        <d v="2014-06-10T00:00:00"/>
        <d v="2014-06-09T00:00:00"/>
        <d v="2014-06-06T00:00:00"/>
        <d v="2014-06-05T00:00:00"/>
        <d v="2014-06-04T00:00:00"/>
        <d v="2014-06-03T00:00:00"/>
        <d v="2014-06-02T00:00:00"/>
        <d v="2014-05-30T00:00:00"/>
        <d v="2014-05-29T00:00:00"/>
        <d v="2014-05-28T00:00:00"/>
        <d v="2014-05-27T00:00:00"/>
        <d v="2014-05-26T00:00:00"/>
        <d v="2014-05-23T00:00:00"/>
        <d v="2014-05-22T00:00:00"/>
        <d v="2014-05-21T00:00:00"/>
        <d v="2014-05-20T00:00:00"/>
        <d v="2014-05-19T00:00:00"/>
        <d v="2014-05-16T00:00:00"/>
        <d v="2014-05-15T00:00:00"/>
        <d v="2014-05-14T00:00:00"/>
        <d v="2014-05-13T00:00:00"/>
        <d v="2014-05-12T00:00:00"/>
        <d v="2014-05-09T00:00:00"/>
        <d v="2014-05-08T00:00:00"/>
        <d v="2014-05-07T00:00:00"/>
        <d v="2014-05-06T00:00:00"/>
        <d v="2014-05-05T00:00:00"/>
        <d v="2014-05-02T00:00:00"/>
        <d v="2014-05-01T00:00:00"/>
        <d v="2014-04-30T00:00:00"/>
        <d v="2014-04-29T00:00:00"/>
        <d v="2014-04-28T00:00:00"/>
        <d v="2014-04-25T00:00:00"/>
        <d v="2014-04-24T00:00:00"/>
        <d v="2014-04-23T00:00:00"/>
        <d v="2014-04-22T00:00:00"/>
        <d v="2014-04-21T00:00:00"/>
        <d v="2014-04-18T00:00:00"/>
        <d v="2014-04-17T00:00:00"/>
        <d v="2014-04-16T00:00:00"/>
        <d v="2014-04-15T00:00:00"/>
        <d v="2014-04-14T00:00:00"/>
        <d v="2014-04-11T00:00:00"/>
        <d v="2014-04-10T00:00:00"/>
        <d v="2014-04-09T00:00:00"/>
        <d v="2014-04-08T00:00:00"/>
        <d v="2014-04-07T00:00:00"/>
        <d v="2014-04-04T00:00:00"/>
        <d v="2014-04-03T00:00:00"/>
        <d v="2014-04-02T00:00:00"/>
        <d v="2014-04-01T00:00:00"/>
        <d v="2014-03-31T00:00:00"/>
        <d v="2014-03-28T00:00:00"/>
        <d v="2014-03-27T00:00:00"/>
        <d v="2014-03-26T00:00:00"/>
        <d v="2014-03-25T00:00:00"/>
        <d v="2014-03-24T00:00:00"/>
        <d v="2014-03-21T00:00:00"/>
        <d v="2014-03-20T00:00:00"/>
        <d v="2014-03-19T00:00:00"/>
        <d v="2014-03-18T00:00:00"/>
        <d v="2014-03-17T00:00:00"/>
        <d v="2014-03-14T00:00:00"/>
        <d v="2014-03-13T00:00:00"/>
        <d v="2014-03-12T00:00:00"/>
        <d v="2014-03-11T00:00:00"/>
        <d v="2014-03-10T00:00:00"/>
        <d v="2014-03-07T00:00:00"/>
        <d v="2014-03-06T00:00:00"/>
        <d v="2014-03-05T00:00:00"/>
        <d v="2014-03-04T00:00:00"/>
        <d v="2014-03-03T00:00:00"/>
        <d v="2014-02-28T00:00:00"/>
        <d v="2014-02-27T00:00:00"/>
        <d v="2014-02-26T00:00:00"/>
        <d v="2014-02-25T00:00:00"/>
        <d v="2014-02-24T00:00:00"/>
        <d v="2014-02-21T00:00:00"/>
        <d v="2014-02-20T00:00:00"/>
        <d v="2014-02-19T00:00:00"/>
        <d v="2014-02-18T00:00:00"/>
        <d v="2014-02-17T00:00:00"/>
        <d v="2014-02-14T00:00:00"/>
        <d v="2014-02-13T00:00:00"/>
        <d v="2014-02-12T00:00:00"/>
        <d v="2014-02-11T00:00:00"/>
        <d v="2014-02-10T00:00:00"/>
        <d v="2014-02-07T00:00:00"/>
        <d v="2014-02-06T00:00:00"/>
        <d v="2014-02-05T00:00:00"/>
        <d v="2014-02-04T00:00:00"/>
        <d v="2014-02-03T00:00:00"/>
        <d v="2014-01-31T00:00:00"/>
        <d v="2014-01-30T00:00:00"/>
        <d v="2014-01-29T00:00:00"/>
        <d v="2014-01-28T00:00:00"/>
        <d v="2014-01-27T00:00:00"/>
        <d v="2014-01-24T00:00:00"/>
        <d v="2014-01-23T00:00:00"/>
        <d v="2014-01-22T00:00:00"/>
        <d v="2014-01-21T00:00:00"/>
        <d v="2014-01-20T00:00:00"/>
        <d v="2014-01-17T00:00:00"/>
        <d v="2014-01-16T00:00:00"/>
        <d v="2014-01-15T00:00:00"/>
        <d v="2014-01-14T00:00:00"/>
        <d v="2014-01-13T00:00:00"/>
        <d v="2014-01-10T00:00:00"/>
        <d v="2014-01-09T00:00:00"/>
        <d v="2014-01-08T00:00:00"/>
        <d v="2014-01-07T00:00:00"/>
        <d v="2014-01-06T00:00:00"/>
        <d v="2014-01-03T00:00:00"/>
        <d v="2014-01-02T00:00:00"/>
        <d v="2014-01-01T00:00:00"/>
        <d v="2013-12-31T00:00:00"/>
        <d v="2013-12-30T00:00:00"/>
        <d v="2013-12-27T00:00:00"/>
        <d v="2013-12-26T00:00:00"/>
        <d v="2013-12-25T00:00:00"/>
        <d v="2013-12-24T00:00:00"/>
        <d v="2013-12-23T00:00:00"/>
        <d v="2013-12-20T00:00:00"/>
        <d v="2013-12-19T00:00:00"/>
        <d v="2013-12-18T00:00:00"/>
        <d v="2013-12-17T00:00:00"/>
        <d v="2013-12-16T00:00:00"/>
        <d v="2013-12-13T00:00:00"/>
        <d v="2013-12-12T00:00:00"/>
        <d v="2013-12-11T00:00:00"/>
        <d v="2013-12-10T00:00:00"/>
        <d v="2013-12-09T00:00:00"/>
        <d v="2013-12-06T00:00:00"/>
        <d v="2013-12-05T00:00:00"/>
        <d v="2013-12-04T00:00:00"/>
        <d v="2013-12-03T00:00:00"/>
        <d v="2013-12-02T00:00:00"/>
        <d v="2013-11-29T00:00:00"/>
        <d v="2013-11-28T00:00:00"/>
        <d v="2013-11-27T00:00:00"/>
        <d v="2013-11-26T00:00:00"/>
        <d v="2013-11-25T00:00:00"/>
        <d v="2013-11-22T00:00:00"/>
        <d v="2013-11-21T00:00:00"/>
        <d v="2013-11-20T00:00:00"/>
        <d v="2013-11-19T00:00:00"/>
        <d v="2013-11-18T00:00:00"/>
        <d v="2013-11-15T00:00:00"/>
        <d v="2013-11-14T00:00:00"/>
        <d v="2013-11-13T00:00:00"/>
        <d v="2013-11-12T00:00:00"/>
        <d v="2013-11-11T00:00:00"/>
        <d v="2013-11-08T00:00:00"/>
        <d v="2013-11-07T00:00:00"/>
        <d v="2013-11-06T00:00:00"/>
        <d v="2013-11-05T00:00:00"/>
        <d v="2013-11-04T00:00:00"/>
        <d v="2013-11-01T00:00:00"/>
        <d v="2013-10-31T00:00:00"/>
        <d v="2013-10-30T00:00:00"/>
        <d v="2013-10-29T00:00:00"/>
        <d v="2013-10-28T00:00:00"/>
        <d v="2013-10-25T00:00:00"/>
        <d v="2013-10-24T00:00:00"/>
        <d v="2013-10-23T00:00:00"/>
        <d v="2013-10-22T00:00:00"/>
        <d v="2013-10-21T00:00:00"/>
        <d v="2013-10-18T00:00:00"/>
        <d v="2013-10-17T00:00:00"/>
        <d v="2013-10-16T00:00:00"/>
        <d v="2013-10-15T00:00:00"/>
        <d v="2013-10-14T00:00:00"/>
        <d v="2013-10-11T00:00:00"/>
        <d v="2013-10-10T00:00:00"/>
        <d v="2013-10-09T00:00:00"/>
        <d v="2013-10-08T00:00:00"/>
        <d v="2013-10-07T00:00:00"/>
        <d v="2013-10-04T00:00:00"/>
        <d v="2013-10-03T00:00:00"/>
        <d v="2013-10-02T00:00:00"/>
        <d v="2013-10-01T00:00:00"/>
        <d v="2013-09-30T00:00:00"/>
        <d v="2013-09-27T00:00:00"/>
        <d v="2013-09-26T00:00:00"/>
        <d v="2013-09-25T00:00:00"/>
        <d v="2013-09-24T00:00:00"/>
        <d v="2013-09-23T00:00:00"/>
        <d v="2013-09-20T00:00:00"/>
        <d v="2013-09-19T00:00:00"/>
        <d v="2013-09-18T00:00:00"/>
        <d v="2013-09-17T00:00:00"/>
        <d v="2013-09-16T00:00:00"/>
        <d v="2013-09-13T00:00:00"/>
        <d v="2013-09-12T00:00:00"/>
        <d v="2013-09-11T00:00:00"/>
        <d v="2013-09-10T00:00:00"/>
        <d v="2013-09-09T00:00:00"/>
        <d v="2013-09-06T00:00:00"/>
        <d v="2013-09-05T00:00:00"/>
        <d v="2013-09-04T00:00:00"/>
        <d v="2013-09-03T00:00:00"/>
        <d v="2013-09-02T00:00:00"/>
        <d v="2013-08-30T00:00:00"/>
        <d v="2013-08-29T00:00:00"/>
        <d v="2013-08-28T00:00:00"/>
        <d v="2013-08-27T00:00:00"/>
        <d v="2013-08-26T00:00:00"/>
        <d v="2013-08-23T00:00:00"/>
        <d v="2013-08-22T00:00:00"/>
        <d v="2013-08-21T00:00:00"/>
        <d v="2013-08-20T00:00:00"/>
        <d v="2013-08-19T00:00:00"/>
        <d v="2013-08-16T00:00:00"/>
        <d v="2013-08-15T00:00:00"/>
        <d v="2013-08-14T00:00:00"/>
        <d v="2013-08-13T00:00:00"/>
        <d v="2013-08-12T00:00:00"/>
        <d v="2013-08-09T00:00:00"/>
        <d v="2013-08-08T00:00:00"/>
        <d v="2013-08-07T00:00:00"/>
        <d v="2013-08-06T00:00:00"/>
        <d v="2013-08-05T00:00:00"/>
        <d v="2013-08-02T00:00:00"/>
        <d v="2013-08-01T00:00:00"/>
        <d v="2013-07-31T00:00:00"/>
        <d v="2013-07-30T00:00:00"/>
        <d v="2013-07-29T00:00:00"/>
        <d v="2013-07-26T00:00:00"/>
        <d v="2013-07-25T00:00:00"/>
        <d v="2013-07-24T00:00:00"/>
        <d v="2013-07-23T00:00:00"/>
        <d v="2013-07-22T00:00:00"/>
        <d v="2013-07-19T00:00:00"/>
        <d v="2013-07-18T00:00:00"/>
        <d v="2013-07-17T00:00:00"/>
        <d v="2013-07-16T00:00:00"/>
        <d v="2013-07-15T00:00:00"/>
        <d v="2013-07-12T00:00:00"/>
        <d v="2013-07-11T00:00:00"/>
        <d v="2013-07-10T00:00:00"/>
        <d v="2013-07-09T00:00:00"/>
        <d v="2013-07-08T00:00:00"/>
        <d v="2013-07-05T00:00:00"/>
        <d v="2013-07-04T00:00:00"/>
        <d v="2013-07-03T00:00:00"/>
        <d v="2013-07-02T00:00:00"/>
        <d v="2013-07-01T00:00:00"/>
        <d v="2013-06-28T00:00:00"/>
        <d v="2013-06-27T00:00:00"/>
        <d v="2013-06-26T00:00:00"/>
        <d v="2013-06-25T00:00:00"/>
        <d v="2013-06-24T00:00:00"/>
        <d v="2013-06-21T00:00:00"/>
        <d v="2013-06-20T00:00:00"/>
        <d v="2013-06-19T00:00:00"/>
        <d v="2013-06-18T00:00:00"/>
        <d v="2013-06-17T00:00:00"/>
        <d v="2013-06-14T00:00:00"/>
        <d v="2013-06-13T00:00:00"/>
        <d v="2013-06-12T00:00:00"/>
        <d v="2013-06-11T00:00:00"/>
        <d v="2013-06-10T00:00:00"/>
        <d v="2013-06-07T00:00:00"/>
        <d v="2013-06-06T00:00:00"/>
        <d v="2013-06-05T00:00:00"/>
        <d v="2013-06-04T00:00:00"/>
        <d v="2013-06-03T00:00:00"/>
        <d v="2013-05-31T00:00:00"/>
        <d v="2013-05-30T00:00:00"/>
        <d v="2013-05-29T00:00:00"/>
        <d v="2013-05-28T00:00:00"/>
        <d v="2013-05-27T00:00:00"/>
        <d v="2013-05-24T00:00:00"/>
        <d v="2013-05-23T00:00:00"/>
        <d v="2013-05-22T00:00:00"/>
        <d v="2013-05-21T00:00:00"/>
        <d v="2013-05-20T00:00:00"/>
        <d v="2013-05-17T00:00:00"/>
        <d v="2013-05-16T00:00:00"/>
        <d v="2013-05-15T00:00:00"/>
        <d v="2013-05-14T00:00:00"/>
        <d v="2013-05-13T00:00:00"/>
        <d v="2013-05-10T00:00:00"/>
        <d v="2013-05-09T00:00:00"/>
        <d v="2013-05-08T00:00:00"/>
        <d v="2013-05-07T00:00:00"/>
        <d v="2013-05-06T00:00:00"/>
        <d v="2013-05-03T00:00:00"/>
        <d v="2013-05-02T00:00:00"/>
        <d v="2013-05-01T00:00:00"/>
        <d v="2013-04-30T00:00:00"/>
        <d v="2013-04-29T00:00:00"/>
        <d v="2013-04-26T00:00:00"/>
        <d v="2013-04-25T00:00:00"/>
        <d v="2013-04-24T00:00:00"/>
        <d v="2013-04-23T00:00:00"/>
        <d v="2013-04-22T00:00:00"/>
        <d v="2013-04-19T00:00:00"/>
        <d v="2013-04-18T00:00:00"/>
        <d v="2013-04-17T00:00:00"/>
        <d v="2013-04-16T00:00:00"/>
        <d v="2013-04-15T00:00:00"/>
        <d v="2013-04-12T00:00:00"/>
        <d v="2013-04-11T00:00:00"/>
        <d v="2013-04-10T00:00:00"/>
        <d v="2013-04-09T00:00:00"/>
        <d v="2013-04-08T00:00:00"/>
        <d v="2013-04-05T00:00:00"/>
        <d v="2013-04-04T00:00:00"/>
        <d v="2013-04-03T00:00:00"/>
        <d v="2013-04-02T00:00:00"/>
        <d v="2013-04-01T00:00:00"/>
        <d v="2013-03-29T00:00:00"/>
        <d v="2013-03-28T00:00:00"/>
        <d v="2013-03-27T00:00:00"/>
        <d v="2013-03-26T00:00:00"/>
        <d v="2013-03-25T00:00:00"/>
        <d v="2013-03-22T00:00:00"/>
        <d v="2013-03-21T00:00:00"/>
        <d v="2013-03-20T00:00:00"/>
        <d v="2013-03-19T00:00:00"/>
        <d v="2013-03-18T00:00:00"/>
        <d v="2013-03-15T00:00:00"/>
        <d v="2013-03-14T00:00:00"/>
        <d v="2013-03-13T00:00:00"/>
        <d v="2013-03-12T00:00:00"/>
        <d v="2013-03-11T00:00:00"/>
        <d v="2013-03-08T00:00:00"/>
        <d v="2013-03-07T00:00:00"/>
        <d v="2013-03-06T00:00:00"/>
        <d v="2013-03-05T00:00:00"/>
        <d v="2013-03-04T00:00:00"/>
        <d v="2013-03-01T00:00:00"/>
        <d v="2013-02-28T00:00:00"/>
        <d v="2013-02-27T00:00:00"/>
        <d v="2013-02-26T00:00:00"/>
        <d v="2013-02-25T00:00:00"/>
        <d v="2013-02-22T00:00:00"/>
        <d v="2013-02-21T00:00:00"/>
        <d v="2013-02-20T00:00:00"/>
        <d v="2013-02-19T00:00:00"/>
        <d v="2013-02-18T00:00:00"/>
        <d v="2013-02-15T00:00:00"/>
        <d v="2013-02-14T00:00:00"/>
        <d v="2013-02-13T00:00:00"/>
        <d v="2013-02-12T00:00:00"/>
        <d v="2013-02-11T00:00:00"/>
        <d v="2013-02-08T00:00:00"/>
        <d v="2013-02-07T00:00:00"/>
        <d v="2013-02-06T00:00:00"/>
        <d v="2013-02-05T00:00:00"/>
        <d v="2013-02-04T00:00:00"/>
        <d v="2013-02-01T00:00:00"/>
        <d v="2013-01-31T00:00:00"/>
        <d v="2013-01-30T00:00:00"/>
        <d v="2013-01-29T00:00:00"/>
        <d v="2013-01-28T00:00:00"/>
        <d v="2013-01-25T00:00:00"/>
        <d v="2013-01-24T00:00:00"/>
        <d v="2013-01-23T00:00:00"/>
        <d v="2013-01-22T00:00:00"/>
        <d v="2013-01-21T00:00:00"/>
        <d v="2013-01-18T00:00:00"/>
        <d v="2013-01-17T00:00:00"/>
        <d v="2013-01-16T00:00:00"/>
        <d v="2013-01-15T00:00:00"/>
        <d v="2013-01-14T00:00:00"/>
        <d v="2013-01-11T00:00:00"/>
        <d v="2013-01-10T00:00:00"/>
        <d v="2013-01-09T00:00:00"/>
        <d v="2013-01-08T00:00:00"/>
        <d v="2013-01-07T00:00:00"/>
        <d v="2013-01-04T00:00:00"/>
        <d v="2013-01-03T00:00:00"/>
        <d v="2013-01-02T00:00:00"/>
        <d v="2013-01-01T00:00:00"/>
        <d v="2012-12-31T00:00:00"/>
        <d v="2012-12-28T00:00:00"/>
        <d v="2012-12-27T00:00:00"/>
        <d v="2012-12-26T00:00:00"/>
        <d v="2012-12-25T00:00:00"/>
        <d v="2012-12-24T00:00:00"/>
        <d v="2012-12-21T00:00:00"/>
        <d v="2012-12-20T00:00:00"/>
        <d v="2012-12-19T00:00:00"/>
        <d v="2012-12-18T00:00:00"/>
        <d v="2012-12-17T00:00:00"/>
        <d v="2012-12-14T00:00:00"/>
        <d v="2012-12-13T00:00:00"/>
        <d v="2012-12-12T00:00:00"/>
        <d v="2012-12-11T00:00:00"/>
        <d v="2012-12-10T00:00:00"/>
        <d v="2012-12-07T00:00:00"/>
        <d v="2012-12-06T00:00:00"/>
        <d v="2012-12-05T00:00:00"/>
        <d v="2012-12-04T00:00:00"/>
        <d v="2012-12-03T00:00:00"/>
        <d v="2012-11-30T00:00:00"/>
        <d v="2012-11-29T00:00:00"/>
        <d v="2012-11-28T00:00:00"/>
        <d v="2012-11-27T00:00:00"/>
        <d v="2012-11-26T00:00:00"/>
        <d v="2012-11-23T00:00:00"/>
        <d v="2012-11-22T00:00:00"/>
        <d v="2012-11-21T00:00:00"/>
        <d v="2012-11-20T00:00:00"/>
        <d v="2012-11-19T00:00:00"/>
        <d v="2012-11-16T00:00:00"/>
        <d v="2012-11-15T00:00:00"/>
        <d v="2012-11-14T00:00:00"/>
        <d v="2012-11-13T00:00:00"/>
        <d v="2012-11-12T00:00:00"/>
        <d v="2012-11-09T00:00:00"/>
        <d v="2012-11-08T00:00:00"/>
        <d v="2012-11-07T00:00:00"/>
        <d v="2012-11-06T00:00:00"/>
        <d v="2012-11-05T00:00:00"/>
        <d v="2012-11-02T00:00:00"/>
        <d v="2012-11-01T00:00:00"/>
        <d v="2012-10-31T00:00:00"/>
        <d v="2012-10-30T00:00:00"/>
        <d v="2012-10-29T00:00:00"/>
        <d v="2012-10-26T00:00:00"/>
        <d v="2012-10-25T00:00:00"/>
        <d v="2012-10-24T00:00:00"/>
        <d v="2012-10-23T00:00:00"/>
        <d v="2012-10-22T00:00:00"/>
        <d v="2012-10-19T00:00:00"/>
        <d v="2012-10-18T00:00:00"/>
        <d v="2012-10-17T00:00:00"/>
        <d v="2012-10-16T00:00:00"/>
        <d v="2012-10-15T00:00:00"/>
        <d v="2012-10-12T00:00:00"/>
        <d v="2012-10-11T00:00:00"/>
        <d v="2012-10-10T00:00:00"/>
        <d v="2012-10-09T00:00:00"/>
        <d v="2012-10-08T00:00:00"/>
        <d v="2012-10-05T00:00:00"/>
        <d v="2012-10-04T00:00:00"/>
        <d v="2012-10-03T00:00:00"/>
        <d v="2012-10-02T00:00:00"/>
        <d v="2012-10-01T00:00:00"/>
        <d v="2012-09-28T00:00:00"/>
        <d v="2012-09-27T00:00:00"/>
        <d v="2012-09-26T00:00:00"/>
        <d v="2012-09-25T00:00:00"/>
        <d v="2012-09-24T00:00:00"/>
        <d v="2012-09-21T00:00:00"/>
        <d v="2012-09-20T00:00:00"/>
        <d v="2012-09-19T00:00:00"/>
        <d v="2012-09-18T00:00:00"/>
        <d v="2012-09-17T00:00:00"/>
        <d v="2012-09-14T00:00:00"/>
        <d v="2012-09-13T00:00:00"/>
        <d v="2012-09-12T00:00:00"/>
        <d v="2012-09-11T00:00:00"/>
        <d v="2012-09-10T00:00:00"/>
        <d v="2012-09-07T00:00:00"/>
        <d v="2012-09-06T00:00:00"/>
        <d v="2012-09-05T00:00:00"/>
        <d v="2012-09-04T00:00:00"/>
        <d v="2012-09-03T00:00:00"/>
        <d v="2012-08-31T00:00:00"/>
        <d v="2012-08-30T00:00:00"/>
        <d v="2012-08-29T00:00:00"/>
        <d v="2012-08-28T00:00:00"/>
        <d v="2012-08-27T00:00:00"/>
        <d v="2012-08-24T00:00:00"/>
        <d v="2012-08-23T00:00:00"/>
        <d v="2012-08-22T00:00:00"/>
        <d v="2012-08-21T00:00:00"/>
        <d v="2012-08-20T00:00:00"/>
        <d v="2012-08-17T00:00:00"/>
        <d v="2012-08-16T00:00:00"/>
        <d v="2012-08-15T00:00:00"/>
        <d v="2012-08-14T00:00:00"/>
        <d v="2012-08-13T00:00:00"/>
        <d v="2012-08-10T00:00:00"/>
        <d v="2012-08-09T00:00:00"/>
        <d v="2012-08-08T00:00:00"/>
        <d v="2012-08-07T00:00:00"/>
        <d v="2012-08-06T00:00:00"/>
        <d v="2012-08-03T00:00:00"/>
        <d v="2012-08-02T00:00:00"/>
        <d v="2012-08-01T00:00:00"/>
        <d v="2012-07-31T00:00:00"/>
        <d v="2012-07-30T00:00:00"/>
        <d v="2012-07-27T00:00:00"/>
        <d v="2012-07-26T00:00:00"/>
        <d v="2012-07-25T00:00:00"/>
        <d v="2012-07-24T00:00:00"/>
        <d v="2012-07-23T00:00:00"/>
        <d v="2012-07-20T00:00:00"/>
        <d v="2012-07-19T00:00:00"/>
        <d v="2012-07-18T00:00:00"/>
        <d v="2012-07-17T00:00:00"/>
        <d v="2012-07-16T00:00:00"/>
        <d v="2012-07-13T00:00:00"/>
        <d v="2012-07-12T00:00:00"/>
        <d v="2012-07-11T00:00:00"/>
        <d v="2012-07-10T00:00:00"/>
        <d v="2012-07-09T00:00:00"/>
        <d v="2012-07-06T00:00:00"/>
        <d v="2012-07-05T00:00:00"/>
        <d v="2012-07-04T00:00:00"/>
        <d v="2012-07-03T00:00:00"/>
        <d v="2012-07-02T00:00:00"/>
        <d v="2012-06-29T00:00:00"/>
        <d v="2012-06-28T00:00:00"/>
        <d v="2012-06-27T00:00:00"/>
        <d v="2012-06-26T00:00:00"/>
        <d v="2012-06-25T00:00:00"/>
        <d v="2012-06-22T00:00:00"/>
        <d v="2012-06-21T00:00:00"/>
        <d v="2012-06-20T00:00:00"/>
        <d v="2012-06-19T00:00:00"/>
        <d v="2012-06-18T00:00:00"/>
        <d v="2012-06-15T00:00:00"/>
        <d v="2012-06-14T00:00:00"/>
        <d v="2012-06-13T00:00:00"/>
        <d v="2012-06-12T00:00:00"/>
        <d v="2012-06-11T00:00:00"/>
        <d v="2012-06-08T00:00:00"/>
        <d v="2012-06-07T00:00:00"/>
        <d v="2012-06-06T00:00:00"/>
        <d v="2012-06-05T00:00:00"/>
        <d v="2012-06-04T00:00:00"/>
        <d v="2012-06-01T00:00:00"/>
        <d v="2012-05-31T00:00:00"/>
        <d v="2012-05-30T00:00:00"/>
        <d v="2012-05-29T00:00:00"/>
        <d v="2012-05-28T00:00:00"/>
        <d v="2012-05-25T00:00:00"/>
        <d v="2012-05-24T00:00:00"/>
        <d v="2012-05-23T00:00:00"/>
        <d v="2012-05-22T00:00:00"/>
        <d v="2012-05-21T00:00:00"/>
        <d v="2012-05-18T00:00:00"/>
        <d v="2012-05-17T00:00:00"/>
        <d v="2012-05-16T00:00:00"/>
        <d v="2012-05-15T00:00:00"/>
        <d v="2012-05-14T00:00:00"/>
        <d v="2012-05-11T00:00:00"/>
        <d v="2012-05-10T00:00:00"/>
        <d v="2012-05-09T00:00:00"/>
        <d v="2012-05-08T00:00:00"/>
        <d v="2012-05-07T00:00:00"/>
        <d v="2012-05-04T00:00:00"/>
        <d v="2012-05-03T00:00:00"/>
        <d v="2012-05-02T00:00:00"/>
        <d v="2012-05-01T00:00:00"/>
        <d v="2012-04-30T00:00:00"/>
        <d v="2012-04-27T00:00:00"/>
        <d v="2012-04-26T00:00:00"/>
        <d v="2012-04-25T00:00:00"/>
        <d v="2012-04-24T00:00:00"/>
        <d v="2012-04-23T00:00:00"/>
        <d v="2012-04-20T00:00:00"/>
        <d v="2012-04-19T00:00:00"/>
        <d v="2012-04-18T00:00:00"/>
        <d v="2012-04-17T00:00:00"/>
        <d v="2012-04-16T00:00:00"/>
        <d v="2012-04-13T00:00:00"/>
        <d v="2012-04-12T00:00:00"/>
        <d v="2012-04-11T00:00:00"/>
        <d v="2012-04-10T00:00:00"/>
        <d v="2012-04-09T00:00:00"/>
        <d v="2012-04-06T00:00:00"/>
        <d v="2012-04-05T00:00:00"/>
        <d v="2012-04-04T00:00:00"/>
        <d v="2012-04-03T00:00:00"/>
        <d v="2012-04-02T00:00:00"/>
        <d v="2012-03-30T00:00:00"/>
        <d v="2012-03-29T00:00:00"/>
        <d v="2012-03-28T00:00:00"/>
        <d v="2012-03-27T00:00:00"/>
        <d v="2012-03-26T00:00:00"/>
        <d v="2012-03-23T00:00:00"/>
        <d v="2012-03-22T00:00:00"/>
        <d v="2012-03-21T00:00:00"/>
        <d v="2012-03-20T00:00:00"/>
        <d v="2012-03-19T00:00:00"/>
        <d v="2012-03-16T00:00:00"/>
        <d v="2012-03-15T00:00:00"/>
        <d v="2012-03-14T00:00:00"/>
        <d v="2012-03-13T00:00:00"/>
        <d v="2012-03-12T00:00:00"/>
        <d v="2012-03-09T00:00:00"/>
        <d v="2012-03-08T00:00:00"/>
        <d v="2012-03-07T00:00:00"/>
        <d v="2012-03-06T00:00:00"/>
        <d v="2012-03-05T00:00:00"/>
        <d v="2012-03-02T00:00:00"/>
        <d v="2012-03-01T00:00:00"/>
        <d v="2012-02-29T00:00:00"/>
        <d v="2012-02-28T00:00:00"/>
        <d v="2012-02-27T00:00:00"/>
        <d v="2012-02-24T00:00:00"/>
        <d v="2012-02-23T00:00:00"/>
        <d v="2012-02-22T00:00:00"/>
        <d v="2012-02-21T00:00:00"/>
        <d v="2012-02-20T00:00:00"/>
        <d v="2012-02-17T00:00:00"/>
        <d v="2012-02-16T00:00:00"/>
        <d v="2012-02-15T00:00:00"/>
        <d v="2012-02-14T00:00:00"/>
        <d v="2012-02-13T00:00:00"/>
        <d v="2012-02-10T00:00:00"/>
        <d v="2012-02-09T00:00:00"/>
        <d v="2012-02-08T00:00:00"/>
        <d v="2012-02-07T00:00:00"/>
        <d v="2012-02-06T00:00:00"/>
        <d v="2012-02-03T00:00:00"/>
        <d v="2012-02-02T00:00:00"/>
        <d v="2012-02-01T00:00:00"/>
        <d v="2012-01-31T00:00:00"/>
        <d v="2012-01-30T00:00:00"/>
        <d v="2012-01-27T00:00:00"/>
        <d v="2012-01-26T00:00:00"/>
        <d v="2012-01-25T00:00:00"/>
        <d v="2012-01-24T00:00:00"/>
        <d v="2012-01-23T00:00:00"/>
        <d v="2012-01-20T00:00:00"/>
        <d v="2012-01-19T00:00:00"/>
        <d v="2012-01-18T00:00:00"/>
        <d v="2012-01-17T00:00:00"/>
        <d v="2012-01-16T00:00:00"/>
        <d v="2012-01-13T00:00:00"/>
        <d v="2012-01-12T00:00:00"/>
        <d v="2012-01-11T00:00:00"/>
        <d v="2012-01-10T00:00:00"/>
        <d v="2012-01-09T00:00:00"/>
        <d v="2012-01-06T00:00:00"/>
        <d v="2012-01-05T00:00:00"/>
        <d v="2012-01-04T00:00:00"/>
        <d v="2012-01-03T00:00:00"/>
        <d v="2012-01-02T00:00:00"/>
        <d v="2011-12-30T00:00:00"/>
        <d v="2011-12-29T00:00:00"/>
        <d v="2011-12-28T00:00:00"/>
        <d v="2011-12-27T00:00:00"/>
        <d v="2011-12-26T00:00:00"/>
        <d v="2011-12-23T00:00:00"/>
        <d v="2011-12-22T00:00:00"/>
        <d v="2011-12-21T00:00:00"/>
        <d v="2011-12-20T00:00:00"/>
        <d v="2011-12-19T00:00:00"/>
        <d v="2011-12-16T00:00:00"/>
        <d v="2011-12-15T00:00:00"/>
        <d v="2011-12-14T00:00:00"/>
        <d v="2011-12-13T00:00:00"/>
        <d v="2011-12-12T00:00:00"/>
        <d v="2011-12-09T00:00:00"/>
        <d v="2011-12-08T00:00:00"/>
        <d v="2011-12-07T00:00:00"/>
        <d v="2011-12-06T00:00:00"/>
        <d v="2011-12-05T00:00:00"/>
        <d v="2011-12-02T00:00:00"/>
        <d v="2011-12-01T00:00:00"/>
        <d v="2011-11-30T00:00:00"/>
        <d v="2011-11-29T00:00:00"/>
        <d v="2011-11-28T00:00:00"/>
        <d v="2011-11-25T00:00:00"/>
        <d v="2011-11-24T00:00:00"/>
        <d v="2011-11-23T00:00:00"/>
        <d v="2011-11-22T00:00:00"/>
        <d v="2011-11-21T00:00:00"/>
        <d v="2011-11-18T00:00:00"/>
        <d v="2011-11-17T00:00:00"/>
        <d v="2011-11-16T00:00:00"/>
        <d v="2011-11-15T00:00:00"/>
        <d v="2011-11-14T00:00:00"/>
        <d v="2011-11-11T00:00:00"/>
        <d v="2011-11-10T00:00:00"/>
        <d v="2011-11-09T00:00:00"/>
        <d v="2011-11-08T00:00:00"/>
        <d v="2011-11-07T00:00:00"/>
        <d v="2011-11-04T00:00:00"/>
        <d v="2011-11-03T00:00:00"/>
        <d v="2011-11-02T00:00:00"/>
        <d v="2011-11-01T00:00:00"/>
        <d v="2011-10-31T00:00:00"/>
        <d v="2011-10-28T00:00:00"/>
        <d v="2011-10-27T00:00:00"/>
        <d v="2011-10-26T00:00:00"/>
        <d v="2011-10-25T00:00:00"/>
        <d v="2011-10-24T00:00:00"/>
        <d v="2011-10-21T00:00:00"/>
        <d v="2011-10-20T00:00:00"/>
        <d v="2011-10-19T00:00:00"/>
        <d v="2011-10-18T00:00:00"/>
        <d v="2011-10-17T00:00:00"/>
        <d v="2011-10-14T00:00:00"/>
        <d v="2011-10-13T00:00:00"/>
        <d v="2011-10-12T00:00:00"/>
        <d v="2011-10-11T00:00:00"/>
        <d v="2011-10-10T00:00:00"/>
        <d v="2011-10-07T00:00:00"/>
        <d v="2011-10-06T00:00:00"/>
        <d v="2011-10-05T00:00:00"/>
        <d v="2011-10-04T00:00:00"/>
        <d v="2011-10-03T00:00:00"/>
        <d v="2011-09-30T00:00:00"/>
        <d v="2011-09-29T00:00:00"/>
        <d v="2011-09-28T00:00:00"/>
        <d v="2011-09-27T00:00:00"/>
        <d v="2011-09-26T00:00:00"/>
        <d v="2011-09-23T00:00:00"/>
        <d v="2011-09-22T00:00:00"/>
      </sharedItems>
    </cacheField>
    <cacheField name="Último" numFmtId="0">
      <sharedItems containsSemiMixedTypes="0" containsString="0" containsNumber="1" minValue="488.95" maxValue="595.51" count="1029">
        <n v="592.97"/>
        <n v="592.92999999999995"/>
        <n v="593.08000000000004"/>
        <n v="595.51"/>
        <n v="593.75"/>
        <n v="594"/>
        <n v="593.98"/>
        <n v="594.16999999999996"/>
        <n v="592.1"/>
        <n v="590.41999999999996"/>
        <n v="586.16999999999996"/>
        <n v="582.49"/>
        <n v="586.66999999999996"/>
        <n v="586"/>
        <n v="582.5"/>
        <n v="582.48"/>
        <n v="582.20000000000005"/>
        <n v="579.26"/>
        <n v="579.1"/>
        <n v="578.12"/>
        <n v="578.1"/>
        <n v="579.38"/>
        <n v="578.88"/>
        <n v="578.41999999999996"/>
        <n v="579.02"/>
        <n v="577.38"/>
        <n v="578.83000000000004"/>
        <n v="578.6"/>
        <n v="577.98"/>
        <n v="580.28"/>
        <n v="577.52"/>
        <n v="580.25"/>
        <n v="578.85"/>
        <n v="579.77"/>
        <n v="582.46"/>
        <n v="584.91999999999996"/>
        <n v="582.79999999999995"/>
        <n v="584.38"/>
        <n v="582.35"/>
        <n v="580.62"/>
        <n v="576.98"/>
        <n v="572.16"/>
        <n v="573.66999999999996"/>
        <n v="571.9"/>
        <n v="570"/>
        <n v="569"/>
        <n v="566.23"/>
        <n v="568.91999999999996"/>
        <n v="568.35"/>
        <n v="568.16999999999996"/>
        <n v="567.98"/>
        <n v="567.54999999999995"/>
        <n v="567.21"/>
        <n v="568.16"/>
        <n v="567.48"/>
        <n v="567.45000000000005"/>
        <n v="567.35"/>
        <n v="567.36"/>
        <n v="567.41999999999996"/>
        <n v="567.25"/>
        <n v="567.33000000000004"/>
        <n v="567.16999999999996"/>
        <n v="567.38"/>
        <n v="567.15"/>
        <n v="567.22"/>
        <n v="566.95000000000005"/>
        <n v="567.5"/>
        <n v="567.52"/>
        <n v="563.46"/>
        <n v="567"/>
        <n v="566.85"/>
        <n v="567.05999999999995"/>
        <n v="566.91999999999996"/>
        <n v="567.23"/>
        <n v="566.66999999999996"/>
        <n v="565.03"/>
        <n v="567.4"/>
        <n v="567.08000000000004"/>
        <n v="567.1"/>
        <n v="567.14"/>
        <n v="567.65"/>
        <n v="567.26"/>
        <n v="566.5"/>
        <n v="567.73"/>
        <n v="567.75"/>
        <n v="565.21"/>
        <n v="565.82000000000005"/>
        <n v="567.12"/>
        <n v="568.42999999999995"/>
        <n v="567.70000000000005"/>
        <n v="566.48"/>
        <n v="564.65"/>
        <n v="566.33000000000004"/>
        <n v="565.75"/>
        <n v="565.74"/>
        <n v="565"/>
        <n v="565.54999999999995"/>
        <n v="565.12"/>
        <n v="564.16"/>
        <n v="565.25"/>
        <n v="565.33000000000004"/>
        <n v="566"/>
        <n v="565.36"/>
        <n v="565.83000000000004"/>
        <n v="566.38"/>
        <n v="566.12"/>
        <n v="565.95000000000005"/>
        <n v="565.38"/>
        <n v="565.5"/>
        <n v="565.48"/>
        <n v="565.35"/>
        <n v="565.41999999999996"/>
        <n v="565.58000000000004"/>
        <n v="565.20000000000005"/>
        <n v="565.1"/>
        <n v="567.6"/>
        <n v="567.95000000000005"/>
        <n v="566.79999999999995"/>
        <n v="566.77"/>
        <n v="566.9"/>
        <n v="566.98"/>
        <n v="567.92999999999995"/>
        <n v="568.03"/>
        <n v="568.9"/>
        <n v="569.4"/>
        <n v="570.82000000000005"/>
        <n v="569.78"/>
        <n v="569.88"/>
        <n v="569.9"/>
        <n v="569.86"/>
        <n v="571.6"/>
        <n v="570.13"/>
        <n v="571.54999999999995"/>
        <n v="571.82000000000005"/>
        <n v="570.15"/>
        <n v="570.46"/>
        <n v="570.08000000000004"/>
        <n v="571.63"/>
        <n v="571.83000000000004"/>
        <n v="570.38"/>
        <n v="570.52"/>
        <n v="571.02"/>
        <n v="574.41999999999996"/>
        <n v="576.45000000000005"/>
        <n v="573.08000000000004"/>
        <n v="573"/>
        <n v="574.72"/>
        <n v="571.73"/>
        <n v="572.98"/>
        <n v="571.29999999999995"/>
        <n v="571.38"/>
        <n v="570.45000000000005"/>
        <n v="571.03"/>
        <n v="571"/>
        <n v="570.6"/>
        <n v="571.22"/>
        <n v="570.71"/>
        <n v="570.88"/>
        <n v="569.77"/>
        <n v="570.28"/>
        <n v="571.78"/>
        <n v="571.85"/>
        <n v="571.98"/>
        <n v="571.67999999999995"/>
        <n v="571.4"/>
        <n v="566.29999999999995"/>
        <n v="570.25"/>
        <n v="565.79999999999995"/>
        <n v="568.15"/>
        <n v="568.70000000000005"/>
        <n v="567.13"/>
        <n v="567.88"/>
        <n v="567.72"/>
        <n v="568.82000000000005"/>
        <n v="568.52"/>
        <n v="568.13"/>
        <n v="568.1"/>
        <n v="568.4"/>
        <n v="568.29999999999995"/>
        <n v="568.07000000000005"/>
        <n v="568.11"/>
        <n v="568.6"/>
        <n v="567.63"/>
        <n v="565.54"/>
        <n v="565.57000000000005"/>
        <n v="565.27"/>
        <n v="568.45000000000005"/>
        <n v="569.75"/>
        <n v="569.38"/>
        <n v="572.4"/>
        <n v="570.03"/>
        <n v="570.30999999999995"/>
        <n v="571.35"/>
        <n v="572.64"/>
        <n v="569.27"/>
        <n v="569.84"/>
        <n v="572.20000000000005"/>
        <n v="569.62"/>
        <n v="569.87"/>
        <n v="572.12"/>
        <n v="572.29"/>
        <n v="568.41999999999996"/>
        <n v="573.12"/>
        <n v="575.4"/>
        <n v="576.32000000000005"/>
        <n v="576.67999999999995"/>
        <n v="575.17999999999995"/>
        <n v="576.27"/>
        <n v="576.72"/>
        <n v="575.6"/>
        <n v="573.34"/>
        <n v="577.15"/>
        <n v="573.32000000000005"/>
        <n v="574.38"/>
        <n v="575.52"/>
        <n v="575.73"/>
        <n v="576.20000000000005"/>
        <n v="577.54999999999995"/>
        <n v="577.9"/>
        <n v="578.5"/>
        <n v="579.20000000000005"/>
        <n v="579.91999999999996"/>
        <n v="580.1"/>
        <n v="580.63"/>
        <n v="579.28"/>
        <n v="581.15"/>
        <n v="579.11"/>
        <n v="579.41999999999996"/>
        <n v="578.16999999999996"/>
        <n v="577.70000000000005"/>
        <n v="577.80999999999995"/>
        <n v="577.07000000000005"/>
        <n v="576.25"/>
        <n v="576.05999999999995"/>
        <n v="576.38"/>
        <n v="576.80999999999995"/>
        <n v="577.65"/>
        <n v="576.52"/>
        <n v="576.22"/>
        <n v="576.36"/>
        <n v="576.04999999999995"/>
        <n v="576"/>
        <n v="576.66999999999996"/>
        <n v="577.87"/>
        <n v="576.57000000000005"/>
        <n v="578.53"/>
        <n v="578.69000000000005"/>
        <n v="577.25"/>
        <n v="577.08000000000004"/>
        <n v="576.48"/>
        <n v="576.54"/>
        <n v="576.12"/>
        <n v="575.33000000000004"/>
        <n v="573.94000000000005"/>
        <n v="573.86"/>
        <n v="574.66999999999996"/>
        <n v="573.95000000000005"/>
        <n v="573.91999999999996"/>
        <n v="573.59"/>
        <n v="573.99"/>
        <n v="574.46"/>
        <n v="574.41"/>
        <n v="573.39"/>
        <n v="573.17999999999995"/>
        <n v="573.25"/>
        <n v="574.82000000000005"/>
        <n v="574.98"/>
        <n v="574.01"/>
        <n v="574.29"/>
        <n v="572.83000000000004"/>
        <n v="573.30999999999995"/>
        <n v="572.08000000000004"/>
        <n v="569.76"/>
        <n v="569.54"/>
        <n v="571.39"/>
        <n v="569.6"/>
        <n v="573.02"/>
        <n v="569.16999999999996"/>
        <n v="570.20000000000005"/>
        <n v="569.66999999999996"/>
        <n v="571.99"/>
        <n v="570.98"/>
        <n v="568.08000000000004"/>
        <n v="572.5"/>
        <n v="568.62"/>
        <n v="567.87"/>
        <n v="567.76"/>
        <n v="567.78"/>
        <n v="569.65"/>
        <n v="572.35"/>
        <n v="573.35"/>
        <n v="586.70000000000005"/>
        <n v="590.55999999999995"/>
        <n v="590.17999999999995"/>
        <n v="582.98"/>
        <n v="579.87"/>
        <n v="575.70000000000005"/>
        <n v="568.65"/>
        <n v="575.95000000000005"/>
        <n v="569.41999999999996"/>
        <n v="569.13"/>
        <n v="563"/>
        <n v="566.84"/>
        <n v="558.67999999999995"/>
        <n v="569.25"/>
        <n v="563.83000000000004"/>
        <n v="564.57000000000005"/>
        <n v="562.88"/>
        <n v="558.5"/>
        <n v="556.07000000000005"/>
        <n v="560.75"/>
        <n v="557"/>
        <n v="556.25"/>
        <n v="555.54999999999995"/>
        <n v="559.78"/>
        <n v="561"/>
        <n v="560.9"/>
        <n v="558.35"/>
        <n v="560.35"/>
        <n v="561.55999999999995"/>
        <n v="561.54999999999995"/>
        <n v="562.66999999999996"/>
        <n v="561.5"/>
        <n v="557.29999999999995"/>
        <n v="562.22"/>
        <n v="555.13"/>
        <n v="563.70000000000005"/>
        <n v="562.96"/>
        <n v="559.41999999999996"/>
        <n v="558.25"/>
        <n v="557.65"/>
        <n v="557.45000000000005"/>
        <n v="558.26"/>
        <n v="557.1"/>
        <n v="560.45000000000005"/>
        <n v="556.42999999999995"/>
        <n v="556.54999999999995"/>
        <n v="556.79999999999995"/>
        <n v="557.88"/>
        <n v="558.54"/>
        <n v="560.62"/>
        <n v="560"/>
        <n v="560.08000000000004"/>
        <n v="560.38"/>
        <n v="564.46"/>
        <n v="559.79999999999995"/>
        <n v="564.20000000000005"/>
        <n v="563.5"/>
        <n v="559.54999999999995"/>
        <n v="563.36"/>
        <n v="559.92999999999995"/>
        <n v="560.16999999999996"/>
        <n v="560.28"/>
        <n v="560.91999999999996"/>
        <n v="561.04999999999995"/>
        <n v="560.98"/>
        <n v="560.79999999999995"/>
        <n v="559.47"/>
        <n v="558.94000000000005"/>
        <n v="563.73"/>
        <n v="563.41"/>
        <n v="558.63"/>
        <n v="558.54999999999995"/>
        <n v="557.87"/>
        <n v="556.91999999999996"/>
        <n v="551"/>
        <n v="555.98"/>
        <n v="555.07000000000005"/>
        <n v="553.74"/>
        <n v="557.15"/>
        <n v="553.22"/>
        <n v="552.77"/>
        <n v="553"/>
        <n v="552.92999999999995"/>
        <n v="549.66999999999996"/>
        <n v="553.08000000000004"/>
        <n v="553.1"/>
        <n v="553.6"/>
        <n v="554.1"/>
        <n v="554.32000000000005"/>
        <n v="556.58000000000004"/>
        <n v="556.78"/>
        <n v="553.78"/>
        <n v="552.9"/>
        <n v="552.83000000000004"/>
        <n v="553.17999999999995"/>
        <n v="553.16999999999996"/>
        <n v="553.26"/>
        <n v="553.29999999999995"/>
        <n v="553.05999999999995"/>
        <n v="554.04999999999995"/>
        <n v="551.4"/>
        <n v="550.45000000000005"/>
        <n v="550.05999999999995"/>
        <n v="550.08000000000004"/>
        <n v="550.02"/>
        <n v="550"/>
        <n v="550.03"/>
        <n v="550.11"/>
        <n v="550.20000000000005"/>
        <n v="550.15"/>
        <n v="550.25"/>
        <n v="552.29999999999995"/>
        <n v="552.75"/>
        <n v="551.78"/>
        <n v="552.04999999999995"/>
        <n v="551.45000000000005"/>
        <n v="551.5"/>
        <n v="554.39"/>
        <n v="553.03"/>
        <n v="551.33000000000004"/>
        <n v="556.04999999999995"/>
        <n v="553.97"/>
        <n v="551.47"/>
        <n v="553.87"/>
        <n v="554.33000000000004"/>
        <n v="553.46"/>
        <n v="553.67999999999995"/>
        <n v="556.61"/>
        <n v="552.85"/>
        <n v="555.96"/>
        <n v="552.47"/>
        <n v="555.49"/>
        <n v="552.27"/>
        <n v="552.54999999999995"/>
        <n v="552.4"/>
        <n v="555.65"/>
        <n v="552.23"/>
        <n v="552.25"/>
        <n v="552.26"/>
        <n v="553.75"/>
        <n v="552.24"/>
        <n v="554.86"/>
        <n v="554.95000000000005"/>
        <n v="552.22"/>
        <n v="552.21"/>
        <n v="551.91"/>
        <n v="554.57000000000005"/>
        <n v="551.35"/>
        <n v="554.84"/>
        <n v="550.91999999999996"/>
        <n v="550.97"/>
        <n v="553.99"/>
        <n v="553.83000000000004"/>
        <n v="550.1"/>
        <n v="550.49"/>
        <n v="552.86"/>
        <n v="551.37"/>
        <n v="550.92999999999995"/>
        <n v="553.5"/>
        <n v="550.99"/>
        <n v="550.98"/>
        <n v="551.11"/>
        <n v="551.02"/>
        <n v="551.57000000000005"/>
        <n v="549.66"/>
        <n v="548.97"/>
        <n v="551.96"/>
        <n v="548.5"/>
        <n v="551.14"/>
        <n v="550.5"/>
        <n v="551.61"/>
        <n v="548.59"/>
        <n v="548.22"/>
        <n v="551.05999999999995"/>
        <n v="548.26"/>
        <n v="548.19000000000005"/>
        <n v="548.16999999999996"/>
        <n v="548.17999999999995"/>
        <n v="548.28"/>
        <n v="547.80999999999995"/>
        <n v="546.30999999999995"/>
        <n v="546.41999999999996"/>
        <n v="546.12"/>
        <n v="549.63"/>
        <n v="549.58000000000004"/>
        <n v="546.48"/>
        <n v="546.4"/>
        <n v="548.38"/>
        <n v="548.42999999999995"/>
        <n v="547.54999999999995"/>
        <n v="547.6"/>
        <n v="549.6"/>
        <n v="549.54"/>
        <n v="550.72"/>
        <n v="546.58000000000004"/>
        <n v="546.59"/>
        <n v="546.66999999999996"/>
        <n v="546.63"/>
        <n v="545.47"/>
        <n v="545.33000000000004"/>
        <n v="545.49"/>
        <n v="545.13"/>
        <n v="544.86"/>
        <n v="544.79999999999995"/>
        <n v="542.14"/>
        <n v="541.14"/>
        <n v="543.45000000000005"/>
        <n v="540.61"/>
        <n v="543.33000000000004"/>
        <n v="541.26"/>
        <n v="541.41999999999996"/>
        <n v="545.95000000000005"/>
        <n v="540.87"/>
        <n v="537.27"/>
        <n v="539.33000000000004"/>
        <n v="537.5"/>
        <n v="537.12"/>
        <n v="540.30999999999995"/>
        <n v="541.20000000000005"/>
        <n v="536.85"/>
        <n v="537.04"/>
        <n v="534.78"/>
        <n v="540.05999999999995"/>
        <n v="539.80999999999995"/>
        <n v="539.28"/>
        <n v="535.85"/>
        <n v="535.82000000000005"/>
        <n v="535.74"/>
        <n v="535.80999999999995"/>
        <n v="536.02"/>
        <n v="535.89"/>
        <n v="536.14"/>
        <n v="535.92999999999995"/>
        <n v="535.94000000000005"/>
        <n v="536.17999999999995"/>
        <n v="536.4"/>
        <n v="536.48"/>
        <n v="539.75"/>
        <n v="535.83000000000004"/>
        <n v="535.01"/>
        <n v="538.9"/>
        <n v="534.23"/>
        <n v="534.98"/>
        <n v="534.32000000000005"/>
        <n v="534.33000000000004"/>
        <n v="534.08000000000004"/>
        <n v="537.37"/>
        <n v="534.42999999999995"/>
        <n v="534.62"/>
        <n v="537.51"/>
        <n v="535.20000000000005"/>
        <n v="535.17999999999995"/>
        <n v="535.27"/>
        <n v="535.25"/>
        <n v="535.29999999999995"/>
        <n v="534.95000000000005"/>
        <n v="534.6"/>
        <n v="534.58000000000004"/>
        <n v="537.4"/>
        <n v="537.33000000000004"/>
        <n v="533.67999999999995"/>
        <n v="533.70000000000005"/>
        <n v="533.86"/>
        <n v="533.95000000000005"/>
        <n v="533.88"/>
        <n v="533.96"/>
        <n v="533.94000000000005"/>
        <n v="533.92999999999995"/>
        <n v="533.99"/>
        <n v="534.07000000000005"/>
        <n v="534.4"/>
        <n v="534.52"/>
        <n v="534.67999999999995"/>
        <n v="538.24"/>
        <n v="534.22"/>
        <n v="534.16"/>
        <n v="534.28"/>
        <n v="536.51"/>
        <n v="534.45000000000005"/>
        <n v="534.36"/>
        <n v="534.47"/>
        <n v="534.41"/>
        <n v="535.22"/>
        <n v="536.16999999999996"/>
        <n v="536.44000000000005"/>
        <n v="536.97"/>
        <n v="537.08000000000004"/>
        <n v="537.22"/>
        <n v="538.20000000000005"/>
        <n v="537.19000000000005"/>
        <n v="536.99"/>
        <n v="536.86"/>
        <n v="536.29"/>
        <n v="535.53"/>
        <n v="535.08000000000004"/>
        <n v="534.89"/>
        <n v="534.77"/>
        <n v="534.5"/>
        <n v="534"/>
        <n v="533.79999999999995"/>
        <n v="533.74"/>
        <n v="535.67999999999995"/>
        <n v="534.75"/>
        <n v="535.45000000000005"/>
        <n v="535.48"/>
        <n v="535.76"/>
        <n v="536.92999999999995"/>
        <n v="538.4"/>
        <n v="537.29999999999995"/>
        <n v="536.29999999999995"/>
        <n v="535.42999999999995"/>
        <n v="535.04999999999995"/>
        <n v="533.4"/>
        <n v="531.32000000000005"/>
        <n v="531.20000000000005"/>
        <n v="531.17999999999995"/>
        <n v="528.64"/>
        <n v="528.62"/>
        <n v="531.25"/>
        <n v="525.65"/>
        <n v="531.28"/>
        <n v="530.91999999999996"/>
        <n v="531"/>
        <n v="531.35"/>
        <n v="528.58000000000004"/>
        <n v="528.66999999999996"/>
        <n v="533.13"/>
        <n v="531.04999999999995"/>
        <n v="531.4"/>
        <n v="531.42999999999995"/>
        <n v="531.58000000000004"/>
        <n v="531.6"/>
        <n v="531.91"/>
        <n v="529.6"/>
        <n v="532.91999999999996"/>
        <n v="532.88"/>
        <n v="532.87"/>
        <n v="532.9"/>
        <n v="532.95000000000005"/>
        <n v="535.95000000000005"/>
        <n v="533.03"/>
        <n v="535.9"/>
        <n v="536.04999999999995"/>
        <n v="536.25"/>
        <n v="538.15"/>
        <n v="533.1"/>
        <n v="533.04999999999995"/>
        <n v="535.57000000000005"/>
        <n v="535.41999999999996"/>
        <n v="533"/>
        <n v="535.1"/>
        <n v="536.11"/>
        <n v="533.41999999999996"/>
        <n v="535.65"/>
        <n v="533.47"/>
        <n v="533.87"/>
        <n v="534.05999999999995"/>
        <n v="538.38"/>
        <n v="534.91999999999996"/>
        <n v="532.70000000000005"/>
        <n v="536.15"/>
        <n v="532.63"/>
        <n v="532.38"/>
        <n v="538.79999999999995"/>
        <n v="532.29999999999995"/>
        <n v="532.35"/>
        <n v="532.52"/>
        <n v="532.54999999999995"/>
        <n v="534.35"/>
        <n v="534.85"/>
        <n v="536.20000000000005"/>
        <n v="538.89"/>
        <n v="534.12"/>
        <n v="532.4"/>
        <n v="532.33000000000004"/>
        <n v="532.28"/>
        <n v="534.73"/>
        <n v="532.5"/>
        <n v="532.25"/>
        <n v="533.33000000000004"/>
        <n v="533.29999999999995"/>
        <n v="535.87"/>
        <n v="536.35"/>
        <n v="533.38"/>
        <n v="538.16"/>
        <n v="535.38"/>
        <n v="535.4"/>
        <n v="533.35"/>
        <n v="533.25"/>
        <n v="533.22"/>
        <n v="536.45000000000005"/>
        <n v="537.85"/>
        <n v="533.42999999999995"/>
        <n v="534.16999999999996"/>
        <n v="533.48"/>
        <n v="536.5"/>
        <n v="533.6"/>
        <n v="533.78"/>
        <n v="533.77"/>
        <n v="533.75"/>
        <n v="538.12"/>
        <n v="534.38"/>
        <n v="534.87"/>
        <n v="535.75"/>
        <n v="534.88"/>
        <n v="534.9"/>
        <n v="536"/>
        <n v="535"/>
        <n v="535.35"/>
        <n v="531.5"/>
        <n v="531.65"/>
        <n v="531.67999999999995"/>
        <n v="531.70000000000005"/>
        <n v="531.75"/>
        <n v="531.79999999999995"/>
        <n v="531.29999999999995"/>
        <n v="532.08000000000004"/>
        <n v="531.91999999999996"/>
        <n v="530.88"/>
        <n v="530.1"/>
        <n v="530.20000000000005"/>
        <n v="530.25"/>
        <n v="530.29999999999995"/>
        <n v="530.4"/>
        <n v="530.75"/>
        <n v="534.65"/>
        <n v="533.9"/>
        <n v="534.04999999999995"/>
        <n v="534.15"/>
        <n v="534.70000000000005"/>
        <n v="534.79999999999995"/>
        <n v="533.85"/>
        <n v="534.1"/>
        <n v="541.29999999999995"/>
        <n v="534.29999999999995"/>
        <n v="537"/>
        <n v="537.1"/>
        <n v="537.20000000000005"/>
        <n v="537.25"/>
        <n v="537.75"/>
        <n v="537.95000000000005"/>
        <n v="538.25"/>
        <n v="538.29999999999995"/>
        <n v="538.54999999999995"/>
        <n v="538.70000000000005"/>
        <n v="539.54999999999995"/>
        <n v="544.04999999999995"/>
        <n v="544.15"/>
        <n v="539.9"/>
        <n v="539.95000000000005"/>
        <n v="539"/>
        <n v="538.45000000000005"/>
        <n v="538.35"/>
        <n v="537.9"/>
        <n v="548.25"/>
        <n v="537.54999999999995"/>
        <n v="537.65"/>
        <n v="538"/>
        <n v="540.54999999999995"/>
        <n v="540.6"/>
        <n v="540.5"/>
        <n v="540.25"/>
        <n v="540.70000000000005"/>
        <n v="547.5"/>
        <n v="540.79999999999995"/>
        <n v="544.62"/>
        <n v="540.15"/>
        <n v="534.54999999999995"/>
        <n v="535.6"/>
        <n v="535.70000000000005"/>
        <n v="535.5"/>
        <n v="537.04999999999995"/>
        <n v="537.35"/>
        <n v="537.79999999999995"/>
        <n v="539.32000000000005"/>
        <n v="539.35"/>
        <n v="539.25"/>
        <n v="539.45000000000005"/>
        <n v="539.5"/>
        <n v="540.85"/>
        <n v="543.01"/>
        <n v="539.63"/>
        <n v="543.26"/>
        <n v="538.79"/>
        <n v="539.76"/>
        <n v="538.78"/>
        <n v="539.73"/>
        <n v="539.71"/>
        <n v="539.79"/>
        <n v="539.79999999999995"/>
        <n v="539.83000000000004"/>
        <n v="538.76"/>
        <n v="539.72"/>
        <n v="538.74"/>
        <n v="539.77"/>
        <n v="539.89"/>
        <n v="539.87"/>
        <n v="539.82000000000005"/>
        <n v="539.86"/>
        <n v="543.17999999999995"/>
        <n v="543.16999999999996"/>
        <n v="543.16"/>
        <n v="543.15"/>
        <n v="543.19000000000005"/>
        <n v="543.07000000000005"/>
        <n v="539.69000000000005"/>
        <n v="543.04999999999995"/>
        <n v="539.66"/>
        <n v="539.65"/>
        <n v="543.20000000000005"/>
        <n v="540.03"/>
        <n v="543.09"/>
        <n v="542.87"/>
        <n v="542.48"/>
        <n v="542.42999999999995"/>
        <n v="542.46"/>
        <n v="538.58000000000004"/>
        <n v="537.97"/>
        <n v="537.32000000000005"/>
        <n v="537.24"/>
        <n v="541.96"/>
        <n v="537.28"/>
        <n v="541.5"/>
        <n v="539.51"/>
        <n v="539.58000000000004"/>
        <n v="539.52"/>
        <n v="540.38"/>
        <n v="541.76"/>
        <n v="542.97"/>
        <n v="543.12"/>
        <n v="544.51"/>
        <n v="553.23"/>
        <n v="555"/>
        <n v="554.9"/>
        <n v="557.25"/>
        <n v="557.54999999999995"/>
        <n v="555.4"/>
        <n v="554.5"/>
        <n v="554.20000000000005"/>
        <n v="554.29999999999995"/>
        <n v="554.45000000000005"/>
        <n v="552.95000000000005"/>
        <n v="552.5"/>
        <n v="552.70000000000005"/>
        <n v="552.1"/>
        <n v="551.9"/>
        <n v="551.79999999999995"/>
        <n v="552.79999999999995"/>
        <n v="554.35"/>
        <n v="553.70000000000005"/>
        <n v="552"/>
        <n v="552.15"/>
        <n v="548"/>
        <n v="548.04999999999995"/>
        <n v="548.1"/>
        <n v="549.25"/>
        <n v="549.29999999999995"/>
        <n v="549.5"/>
        <n v="549.9"/>
        <n v="551.95000000000005"/>
        <n v="545"/>
        <n v="545.4"/>
        <n v="545.5"/>
        <n v="545.6"/>
        <n v="545.79999999999995"/>
        <n v="535.54999999999995"/>
        <n v="538.5"/>
        <n v="558"/>
        <n v="558.1"/>
        <n v="558.29999999999995"/>
        <n v="559.5"/>
        <n v="554"/>
        <n v="543.5"/>
        <n v="507.5"/>
        <n v="507.7"/>
        <n v="508"/>
        <n v="508.3"/>
        <n v="508.45"/>
        <n v="508.7"/>
        <n v="508.9"/>
        <n v="508.95"/>
        <n v="509.2"/>
        <n v="509.4"/>
        <n v="509.5"/>
        <n v="509.6"/>
        <n v="509.9"/>
        <n v="510"/>
        <n v="510.05"/>
        <n v="510.2"/>
        <n v="510.3"/>
        <n v="510.5"/>
        <n v="504"/>
        <n v="503.1"/>
        <n v="503.4"/>
        <n v="500.5"/>
        <n v="500.7"/>
        <n v="501.02"/>
        <n v="499.9"/>
        <n v="500.2"/>
        <n v="499"/>
        <n v="499.5"/>
        <n v="499.6"/>
        <n v="499.8"/>
        <n v="500"/>
        <n v="500.3"/>
        <n v="500.4"/>
        <n v="500.6"/>
        <n v="500.8"/>
        <n v="500.65"/>
        <n v="500.75"/>
        <n v="500.9"/>
        <n v="495.9"/>
        <n v="496"/>
        <n v="496.2"/>
        <n v="496.4"/>
        <n v="496.55"/>
        <n v="496.8"/>
        <n v="496.88"/>
        <n v="497"/>
        <n v="497.2"/>
        <n v="497.3"/>
        <n v="497.5"/>
        <n v="497.55"/>
        <n v="497.6"/>
        <n v="497.8"/>
        <n v="498"/>
        <n v="498.25"/>
        <n v="498.3"/>
        <n v="498.4"/>
        <n v="488.95"/>
        <n v="498.8"/>
        <n v="498.5"/>
        <n v="498.6"/>
        <n v="498.9"/>
        <n v="497.7"/>
        <n v="497.9"/>
        <n v="504.5"/>
        <n v="504.55"/>
        <n v="504.7"/>
        <n v="504.8"/>
        <n v="505"/>
        <n v="505.1"/>
        <n v="499.35"/>
        <n v="500.76"/>
        <n v="507.1"/>
        <n v="507"/>
        <n v="502.95"/>
        <n v="501.5"/>
        <n v="506.1"/>
        <n v="504.6"/>
        <n v="506.6"/>
        <n v="504.3"/>
        <n v="504.4"/>
        <n v="499.82"/>
        <n v="501.3"/>
        <n v="501.12"/>
        <n v="512.70000000000005"/>
        <n v="508.5"/>
        <n v="504.25"/>
        <n v="511"/>
        <n v="507.3"/>
        <n v="507.2"/>
        <n v="500.45"/>
        <n v="504.1"/>
        <n v="503.5"/>
        <n v="503.8"/>
        <n v="503.6"/>
        <n v="503.9"/>
        <n v="500.1"/>
        <n v="499.7"/>
        <n v="499.4"/>
        <n v="501.2"/>
        <n v="501.08"/>
        <n v="501.45"/>
        <n v="500.55"/>
        <n v="499.3"/>
        <n v="501.7"/>
        <n v="500.15"/>
        <n v="500.05"/>
        <n v="501"/>
        <n v="501.1"/>
        <n v="499.2"/>
        <n v="499.1"/>
        <n v="499.58"/>
        <n v="498.2"/>
        <n v="501.4"/>
        <n v="501.6"/>
        <n v="512.6"/>
        <n v="510.7"/>
        <n v="502.7"/>
        <n v="500.95"/>
        <n v="504.05"/>
        <n v="503.95"/>
        <n v="502.5"/>
        <n v="502.6"/>
        <n v="504.2"/>
        <n v="503.7"/>
        <n v="508.6"/>
        <n v="505.7"/>
        <n v="505.6"/>
        <n v="502.45"/>
        <n v="502"/>
        <n v="507.6"/>
        <n v="505.5"/>
        <n v="506"/>
        <n v="509"/>
        <n v="506.5"/>
        <n v="507.05"/>
        <n v="510.1"/>
        <n v="512.65"/>
        <n v="509.95"/>
        <n v="509.1"/>
        <n v="509.7"/>
        <n v="510.45"/>
        <n v="511.5"/>
        <n v="511.7"/>
        <n v="512.45000000000005"/>
        <n v="508.1"/>
        <n v="513.6"/>
        <n v="506.15"/>
        <n v="508.2"/>
        <n v="511.6"/>
        <n v="513.1"/>
        <n v="504.65"/>
        <n v="502.2"/>
        <n v="502.1"/>
        <n v="498.1"/>
        <n v="498.7"/>
        <n v="498.65"/>
        <n v="513"/>
        <n v="506.7"/>
        <n v="510.6"/>
        <n v="513.95000000000005"/>
        <n v="518.20000000000005"/>
        <n v="515.6"/>
        <n v="515.70000000000005"/>
        <n v="513.20000000000005"/>
        <n v="510.95"/>
      </sharedItems>
    </cacheField>
    <cacheField name="Apertura" numFmtId="0">
      <sharedItems containsSemiMixedTypes="0" containsString="0" containsNumber="1" minValue="490.4" maxValue="594.35"/>
    </cacheField>
    <cacheField name="Máximo" numFmtId="0">
      <sharedItems containsSemiMixedTypes="0" containsString="0" containsNumber="1" minValue="497.55" maxValue="595.51"/>
    </cacheField>
    <cacheField name="Mínimo" numFmtId="0">
      <sharedItems containsSemiMixedTypes="0" containsString="0" containsNumber="1" minValue="483.45" maxValue="593.98"/>
    </cacheField>
    <cacheField name="% var." numFmtId="10">
      <sharedItems containsSemiMixedTypes="0" containsString="0" containsNumber="1" minValue="-3.49E-2" maxValue="7.0900000000000005E-2"/>
    </cacheField>
    <cacheField name="Año" numFmtId="0">
      <sharedItems containsSemiMixedTypes="0" containsString="0" containsNumber="1" containsInteger="1" minValue="2011" maxValue="2018" count="8">
        <n v="2018"/>
        <n v="2017"/>
        <n v="2016"/>
        <n v="2015"/>
        <n v="2014"/>
        <n v="2013"/>
        <n v="2012"/>
        <n v="201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an Restrepo" refreshedDate="43403.780563194443" createdVersion="6" refreshedVersion="6" minRefreshableVersion="3" recordCount="22">
  <cacheSource type="worksheet">
    <worksheetSource ref="A3:F25" sheet="Hoja1"/>
  </cacheSource>
  <cacheFields count="6">
    <cacheField name="PAIS" numFmtId="0">
      <sharedItems count="22">
        <s v="Argentina"/>
        <s v="Bolivia"/>
        <s v="Brasil"/>
        <s v="Chile"/>
        <s v="Colombia"/>
        <s v="Costa Rica"/>
        <s v="Cuba"/>
        <s v="Ecuador"/>
        <s v="El Salvador"/>
        <s v="Guatemala"/>
        <s v="Honduras"/>
        <s v="Mexico"/>
        <s v="Nicaragua"/>
        <s v="Panamá"/>
        <s v="Paraguay"/>
        <s v="Perú"/>
        <s v="Puerto Rico"/>
        <s v="República Dominicana"/>
        <s v="Uruguay"/>
        <s v="Venezuela"/>
        <s v="Otros Caribe ***"/>
        <s v="América Latina y el Caribe"/>
      </sharedItems>
    </cacheField>
    <cacheField name="2013" numFmtId="41">
      <sharedItems containsSemiMixedTypes="0" containsString="0" containsNumber="1" containsInteger="1" minValue="590" maxValue="181861" count="22">
        <n v="11892"/>
        <n v="3100"/>
        <n v="70161"/>
        <n v="4880"/>
        <n v="11252"/>
        <n v="1460"/>
        <n v="1900"/>
        <n v="6670"/>
        <n v="1015"/>
        <n v="2703"/>
        <n v="1550"/>
        <n v="34600"/>
        <n v="650"/>
        <n v="2184"/>
        <n v="960"/>
        <n v="10804"/>
        <n v="590"/>
        <n v="4400"/>
        <n v="850"/>
        <n v="8460"/>
        <n v="1780"/>
        <n v="181861"/>
      </sharedItems>
    </cacheField>
    <cacheField name="2014" numFmtId="41">
      <sharedItems containsSemiMixedTypes="0" containsString="0" containsNumber="1" containsInteger="1" minValue="580" maxValue="182750"/>
    </cacheField>
    <cacheField name="2015" numFmtId="41">
      <sharedItems containsSemiMixedTypes="0" containsString="0" containsNumber="1" containsInteger="1" minValue="510" maxValue="183154"/>
    </cacheField>
    <cacheField name="2016*" numFmtId="41">
      <sharedItems containsSemiMixedTypes="0" containsString="0" containsNumber="1" containsInteger="1" minValue="460" maxValue="174147"/>
    </cacheField>
    <cacheField name="2017F**" numFmtId="41">
      <sharedItems containsSemiMixedTypes="0" containsString="0" containsNumber="1" containsInteger="1" minValue="510" maxValue="17403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uan Restrepo" refreshedDate="43403.801862962966" createdVersion="6" refreshedVersion="6" minRefreshableVersion="3" recordCount="22">
  <cacheSource type="worksheet">
    <worksheetSource ref="A50:F72" sheet="Hoja1"/>
  </cacheSource>
  <cacheFields count="6">
    <cacheField name="PAIS" numFmtId="0">
      <sharedItems count="22">
        <s v="Argentina"/>
        <s v="Bolivia"/>
        <s v="Brasil"/>
        <s v="Chile"/>
        <s v="Colombia"/>
        <s v="Costa Rica"/>
        <s v="Cuba"/>
        <s v="Ecuador"/>
        <s v="El Salvador"/>
        <s v="Guatemala"/>
        <s v="Honduras"/>
        <s v="Mexico"/>
        <s v="Nicaragua"/>
        <s v="Panamá"/>
        <s v="Paraguay"/>
        <s v="Perú"/>
        <s v="Puerto Rico"/>
        <s v="República Dominicana"/>
        <s v="Uruguay"/>
        <s v="Venezuela"/>
        <s v="Otros Caribe"/>
        <s v="América Latina y el Caribe"/>
      </sharedItems>
    </cacheField>
    <cacheField name="2013" numFmtId="41">
      <sharedItems containsSemiMixedTypes="0" containsString="0" containsNumber="1" containsInteger="1" minValue="680" maxValue="185229"/>
    </cacheField>
    <cacheField name="2014" numFmtId="41">
      <sharedItems containsSemiMixedTypes="0" containsString="0" containsNumber="1" containsInteger="1" minValue="640" maxValue="189461"/>
    </cacheField>
    <cacheField name="2015" numFmtId="41">
      <sharedItems containsSemiMixedTypes="0" containsString="0" containsNumber="1" containsInteger="1" minValue="580" maxValue="188382"/>
    </cacheField>
    <cacheField name="2016*" numFmtId="41">
      <sharedItems containsSemiMixedTypes="0" containsString="0" containsNumber="1" containsInteger="1" minValue="520" maxValue="179987"/>
    </cacheField>
    <cacheField name="2017F**" numFmtId="41">
      <sharedItems containsSemiMixedTypes="0" containsString="0" containsNumber="1" containsInteger="1" minValue="480" maxValue="17946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uan Restrepo" refreshedDate="43437.810341550925" createdVersion="6" refreshedVersion="6" minRefreshableVersion="3" recordCount="48">
  <cacheSource type="worksheet">
    <worksheetSource name="ResultadosOperativos"/>
  </cacheSource>
  <cacheFields count="4">
    <cacheField name="Pais" numFmtId="0">
      <sharedItems count="4">
        <s v="Colombia"/>
        <s v="Panama"/>
        <s v="Costa Rica"/>
        <s v="Resto CLH"/>
      </sharedItems>
    </cacheField>
    <cacheField name="Concepto" numFmtId="0">
      <sharedItems/>
    </cacheField>
    <cacheField name="Año" numFmtId="0">
      <sharedItems containsSemiMixedTypes="0" containsString="0" containsNumber="1" containsInteger="1" minValue="2014" maxValue="2017" count="4">
        <n v="2014"/>
        <n v="2015"/>
        <n v="2016"/>
        <n v="2017"/>
      </sharedItems>
    </cacheField>
    <cacheField name="Valor" numFmtId="0">
      <sharedItems containsSemiMixedTypes="0" containsString="0" containsNumber="1" minValue="0.19900000000000001" maxValue="99332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uan Restrepo" refreshedDate="43537.837460069444" createdVersion="6" refreshedVersion="6" minRefreshableVersion="3" recordCount="9897">
  <cacheSource type="worksheet">
    <worksheetSource ref="A2:C9899" sheet="TRM"/>
  </cacheSource>
  <cacheFields count="3">
    <cacheField name="Fecha (dd/mm/aaaa)" numFmtId="0">
      <sharedItems containsSemiMixedTypes="0" containsNonDate="0" containsDate="1" containsString="0" minDate="1991-11-27T00:00:00" maxDate="2019-01-01T00:00:00" count="9897">
        <d v="1991-11-27T00:00:00"/>
        <d v="1991-11-28T00:00:00"/>
        <d v="1991-11-29T00:00:00"/>
        <d v="1991-11-30T00:00:00"/>
        <d v="1991-12-01T00:00:00"/>
        <d v="1991-12-02T00:00:00"/>
        <d v="1991-12-03T00:00:00"/>
        <d v="1991-12-04T00:00:00"/>
        <d v="1991-12-05T00:00:00"/>
        <d v="1991-12-06T00:00:00"/>
        <d v="1991-12-07T00:00:00"/>
        <d v="1991-12-08T00:00:00"/>
        <d v="1991-12-09T00:00:00"/>
        <d v="1991-12-10T00:00:00"/>
        <d v="1991-12-11T00:00:00"/>
        <d v="1991-12-12T00:00:00"/>
        <d v="1991-12-13T00:00:00"/>
        <d v="1991-12-14T00:00:00"/>
        <d v="1991-12-15T00:00:00"/>
        <d v="1991-12-16T00:00:00"/>
        <d v="1991-12-17T00:00:00"/>
        <d v="1991-12-18T00:00:00"/>
        <d v="1991-12-19T00:00:00"/>
        <d v="1991-12-20T00:00:00"/>
        <d v="1991-12-21T00:00:00"/>
        <d v="1991-12-22T00:00:00"/>
        <d v="1991-12-23T00:00:00"/>
        <d v="1991-12-24T00:00:00"/>
        <d v="1991-12-25T00:00:00"/>
        <d v="1991-12-26T00:00:00"/>
        <d v="1991-12-27T00:00:00"/>
        <d v="1991-12-28T00:00:00"/>
        <d v="1991-12-29T00:00:00"/>
        <d v="1991-12-30T00:00:00"/>
        <d v="1991-12-31T00:00:00"/>
        <d v="1992-01-01T00:00:00"/>
        <d v="1992-01-02T00:00:00"/>
        <d v="1992-01-03T00:00:00"/>
        <d v="1992-01-04T00:00:00"/>
        <d v="1992-01-05T00:00:00"/>
        <d v="1992-01-06T00:00:00"/>
        <d v="1992-01-07T00:00:00"/>
        <d v="1992-01-08T00:00:00"/>
        <d v="1992-01-09T00:00:00"/>
        <d v="1992-01-10T00:00:00"/>
        <d v="1992-01-11T00:00:00"/>
        <d v="1992-01-12T00:00:00"/>
        <d v="1992-01-13T00:00:00"/>
        <d v="1992-01-14T00:00:00"/>
        <d v="1992-01-15T00:00:00"/>
        <d v="1992-01-16T00:00:00"/>
        <d v="1992-01-17T00:00:00"/>
        <d v="1992-01-18T00:00:00"/>
        <d v="1992-01-19T00:00:00"/>
        <d v="1992-01-20T00:00:00"/>
        <d v="1992-01-21T00:00:00"/>
        <d v="1992-01-22T00:00:00"/>
        <d v="1992-01-23T00:00:00"/>
        <d v="1992-01-24T00:00:00"/>
        <d v="1992-01-25T00:00:00"/>
        <d v="1992-01-26T00:00:00"/>
        <d v="1992-01-27T00:00:00"/>
        <d v="1992-01-28T00:00:00"/>
        <d v="1992-01-29T00:00:00"/>
        <d v="1992-01-30T00:00:00"/>
        <d v="1992-01-31T00:00:00"/>
        <d v="1992-02-01T00:00:00"/>
        <d v="1992-02-02T00:00:00"/>
        <d v="1992-02-03T00:00:00"/>
        <d v="1992-02-04T00:00:00"/>
        <d v="1992-02-05T00:00:00"/>
        <d v="1992-02-06T00:00:00"/>
        <d v="1992-02-07T00:00:00"/>
        <d v="1992-02-08T00:00:00"/>
        <d v="1992-02-09T00:00:00"/>
        <d v="1992-02-10T00:00:00"/>
        <d v="1992-02-11T00:00:00"/>
        <d v="1992-02-12T00:00:00"/>
        <d v="1992-02-13T00:00:00"/>
        <d v="1992-02-14T00:00:00"/>
        <d v="1992-02-15T00:00:00"/>
        <d v="1992-02-16T00:00:00"/>
        <d v="1992-02-17T00:00:00"/>
        <d v="1992-02-18T00:00:00"/>
        <d v="1992-02-19T00:00:00"/>
        <d v="1992-02-20T00:00:00"/>
        <d v="1992-02-21T00:00:00"/>
        <d v="1992-02-22T00:00:00"/>
        <d v="1992-02-23T00:00:00"/>
        <d v="1992-02-24T00:00:00"/>
        <d v="1992-02-25T00:00:00"/>
        <d v="1992-02-26T00:00:00"/>
        <d v="1992-02-27T00:00:00"/>
        <d v="1992-02-28T00:00:00"/>
        <d v="1992-02-29T00:00:00"/>
        <d v="1992-03-01T00:00:00"/>
        <d v="1992-03-02T00:00:00"/>
        <d v="1992-03-03T00:00:00"/>
        <d v="1992-03-04T00:00:00"/>
        <d v="1992-03-05T00:00:00"/>
        <d v="1992-03-06T00:00:00"/>
        <d v="1992-03-07T00:00:00"/>
        <d v="1992-03-08T00:00:00"/>
        <d v="1992-03-09T00:00:00"/>
        <d v="1992-03-10T00:00:00"/>
        <d v="1992-03-11T00:00:00"/>
        <d v="1992-03-12T00:00:00"/>
        <d v="1992-03-13T00:00:00"/>
        <d v="1992-03-14T00:00:00"/>
        <d v="1992-03-15T00:00:00"/>
        <d v="1992-03-16T00:00:00"/>
        <d v="1992-03-17T00:00:00"/>
        <d v="1992-03-18T00:00:00"/>
        <d v="1992-03-19T00:00:00"/>
        <d v="1992-03-20T00:00:00"/>
        <d v="1992-03-21T00:00:00"/>
        <d v="1992-03-22T00:00:00"/>
        <d v="1992-03-23T00:00:00"/>
        <d v="1992-03-24T00:00:00"/>
        <d v="1992-03-25T00:00:00"/>
        <d v="1992-03-26T00:00:00"/>
        <d v="1992-03-27T00:00:00"/>
        <d v="1992-03-28T00:00:00"/>
        <d v="1992-03-29T00:00:00"/>
        <d v="1992-03-30T00:00:00"/>
        <d v="1992-03-31T00:00:00"/>
        <d v="1992-04-01T00:00:00"/>
        <d v="1992-04-02T00:00:00"/>
        <d v="1992-04-03T00:00:00"/>
        <d v="1992-04-04T00:00:00"/>
        <d v="1992-04-05T00:00:00"/>
        <d v="1992-04-06T00:00:00"/>
        <d v="1992-04-07T00:00:00"/>
        <d v="1992-04-08T00:00:00"/>
        <d v="1992-04-09T00:00:00"/>
        <d v="1992-04-10T00:00:00"/>
        <d v="1992-04-11T00:00:00"/>
        <d v="1992-04-12T00:00:00"/>
        <d v="1992-04-13T00:00:00"/>
        <d v="1992-04-14T00:00:00"/>
        <d v="1992-04-15T00:00:00"/>
        <d v="1992-04-16T00:00:00"/>
        <d v="1992-04-17T00:00:00"/>
        <d v="1992-04-18T00:00:00"/>
        <d v="1992-04-19T00:00:00"/>
        <d v="1992-04-20T00:00:00"/>
        <d v="1992-04-21T00:00:00"/>
        <d v="1992-04-22T00:00:00"/>
        <d v="1992-04-23T00:00:00"/>
        <d v="1992-04-24T00:00:00"/>
        <d v="1992-04-25T00:00:00"/>
        <d v="1992-04-26T00:00:00"/>
        <d v="1992-04-27T00:00:00"/>
        <d v="1992-04-28T00:00:00"/>
        <d v="1992-04-29T00:00:00"/>
        <d v="1992-04-30T00:00:00"/>
        <d v="1992-05-01T00:00:00"/>
        <d v="1992-05-02T00:00:00"/>
        <d v="1992-05-03T00:00:00"/>
        <d v="1992-05-04T00:00:00"/>
        <d v="1992-05-05T00:00:00"/>
        <d v="1992-05-06T00:00:00"/>
        <d v="1992-05-07T00:00:00"/>
        <d v="1992-05-08T00:00:00"/>
        <d v="1992-05-09T00:00:00"/>
        <d v="1992-05-10T00:00:00"/>
        <d v="1992-05-11T00:00:00"/>
        <d v="1992-05-12T00:00:00"/>
        <d v="1992-05-13T00:00:00"/>
        <d v="1992-05-14T00:00:00"/>
        <d v="1992-05-15T00:00:00"/>
        <d v="1992-05-16T00:00:00"/>
        <d v="1992-05-17T00:00:00"/>
        <d v="1992-05-18T00:00:00"/>
        <d v="1992-05-19T00:00:00"/>
        <d v="1992-05-20T00:00:00"/>
        <d v="1992-05-21T00:00:00"/>
        <d v="1992-05-22T00:00:00"/>
        <d v="1992-05-23T00:00:00"/>
        <d v="1992-05-24T00:00:00"/>
        <d v="1992-05-25T00:00:00"/>
        <d v="1992-05-26T00:00:00"/>
        <d v="1992-05-27T00:00:00"/>
        <d v="1992-05-28T00:00:00"/>
        <d v="1992-05-29T00:00:00"/>
        <d v="1992-05-30T00:00:00"/>
        <d v="1992-05-31T00:00:00"/>
        <d v="1992-06-01T00:00:00"/>
        <d v="1992-06-02T00:00:00"/>
        <d v="1992-06-03T00:00:00"/>
        <d v="1992-06-04T00:00:00"/>
        <d v="1992-06-05T00:00:00"/>
        <d v="1992-06-06T00:00:00"/>
        <d v="1992-06-07T00:00:00"/>
        <d v="1992-06-08T00:00:00"/>
        <d v="1992-06-09T00:00:00"/>
        <d v="1992-06-10T00:00:00"/>
        <d v="1992-06-11T00:00:00"/>
        <d v="1992-06-12T00:00:00"/>
        <d v="1992-06-13T00:00:00"/>
        <d v="1992-06-14T00:00:00"/>
        <d v="1992-06-15T00:00:00"/>
        <d v="1992-06-16T00:00:00"/>
        <d v="1992-06-17T00:00:00"/>
        <d v="1992-06-18T00:00:00"/>
        <d v="1992-06-19T00:00:00"/>
        <d v="1992-06-20T00:00:00"/>
        <d v="1992-06-21T00:00:00"/>
        <d v="1992-06-22T00:00:00"/>
        <d v="1992-06-23T00:00:00"/>
        <d v="1992-06-24T00:00:00"/>
        <d v="1992-06-25T00:00:00"/>
        <d v="1992-06-26T00:00:00"/>
        <d v="1992-06-27T00:00:00"/>
        <d v="1992-06-28T00:00:00"/>
        <d v="1992-06-29T00:00:00"/>
        <d v="1992-06-30T00:00:00"/>
        <d v="1992-07-01T00:00:00"/>
        <d v="1992-07-02T00:00:00"/>
        <d v="1992-07-03T00:00:00"/>
        <d v="1992-07-04T00:00:00"/>
        <d v="1992-07-05T00:00:00"/>
        <d v="1992-07-06T00:00:00"/>
        <d v="1992-07-07T00:00:00"/>
        <d v="1992-07-08T00:00:00"/>
        <d v="1992-07-09T00:00:00"/>
        <d v="1992-07-10T00:00:00"/>
        <d v="1992-07-11T00:00:00"/>
        <d v="1992-07-12T00:00:00"/>
        <d v="1992-07-13T00:00:00"/>
        <d v="1992-07-14T00:00:00"/>
        <d v="1992-07-15T00:00:00"/>
        <d v="1992-07-16T00:00:00"/>
        <d v="1992-07-17T00:00:00"/>
        <d v="1992-07-18T00:00:00"/>
        <d v="1992-07-19T00:00:00"/>
        <d v="1992-07-20T00:00:00"/>
        <d v="1992-07-21T00:00:00"/>
        <d v="1992-07-22T00:00:00"/>
        <d v="1992-07-23T00:00:00"/>
        <d v="1992-07-24T00:00:00"/>
        <d v="1992-07-25T00:00:00"/>
        <d v="1992-07-26T00:00:00"/>
        <d v="1992-07-27T00:00:00"/>
        <d v="1992-07-28T00:00:00"/>
        <d v="1992-07-29T00:00:00"/>
        <d v="1992-07-30T00:00:00"/>
        <d v="1992-07-31T00:00:00"/>
        <d v="1992-08-01T00:00:00"/>
        <d v="1992-08-02T00:00:00"/>
        <d v="1992-08-03T00:00:00"/>
        <d v="1992-08-04T00:00:00"/>
        <d v="1992-08-05T00:00:00"/>
        <d v="1992-08-06T00:00:00"/>
        <d v="1992-08-07T00:00:00"/>
        <d v="1992-08-08T00:00:00"/>
        <d v="1992-08-09T00:00:00"/>
        <d v="1992-08-10T00:00:00"/>
        <d v="1992-08-11T00:00:00"/>
        <d v="1992-08-12T00:00:00"/>
        <d v="1992-08-13T00:00:00"/>
        <d v="1992-08-14T00:00:00"/>
        <d v="1992-08-15T00:00:00"/>
        <d v="1992-08-16T00:00:00"/>
        <d v="1992-08-17T00:00:00"/>
        <d v="1992-08-18T00:00:00"/>
        <d v="1992-08-19T00:00:00"/>
        <d v="1992-08-20T00:00:00"/>
        <d v="1992-08-21T00:00:00"/>
        <d v="1992-08-22T00:00:00"/>
        <d v="1992-08-23T00:00:00"/>
        <d v="1992-08-24T00:00:00"/>
        <d v="1992-08-25T00:00:00"/>
        <d v="1992-08-26T00:00:00"/>
        <d v="1992-08-27T00:00:00"/>
        <d v="1992-08-28T00:00:00"/>
        <d v="1992-08-29T00:00:00"/>
        <d v="1992-08-30T00:00:00"/>
        <d v="1992-08-31T00:00:00"/>
        <d v="1992-09-01T00:00:00"/>
        <d v="1992-09-02T00:00:00"/>
        <d v="1992-09-03T00:00:00"/>
        <d v="1992-09-04T00:00:00"/>
        <d v="1992-09-05T00:00:00"/>
        <d v="1992-09-06T00:00:00"/>
        <d v="1992-09-07T00:00:00"/>
        <d v="1992-09-08T00:00:00"/>
        <d v="1992-09-09T00:00:00"/>
        <d v="1992-09-10T00:00:00"/>
        <d v="1992-09-11T00:00:00"/>
        <d v="1992-09-12T00:00:00"/>
        <d v="1992-09-13T00:00:00"/>
        <d v="1992-09-14T00:00:00"/>
        <d v="1992-09-15T00:00:00"/>
        <d v="1992-09-16T00:00:00"/>
        <d v="1992-09-17T00:00:00"/>
        <d v="1992-09-18T00:00:00"/>
        <d v="1992-09-19T00:00:00"/>
        <d v="1992-09-20T00:00:00"/>
        <d v="1992-09-21T00:00:00"/>
        <d v="1992-09-22T00:00:00"/>
        <d v="1992-09-23T00:00:00"/>
        <d v="1992-09-24T00:00:00"/>
        <d v="1992-09-25T00:00:00"/>
        <d v="1992-09-26T00:00:00"/>
        <d v="1992-09-27T00:00:00"/>
        <d v="1992-09-28T00:00:00"/>
        <d v="1992-09-29T00:00:00"/>
        <d v="1992-09-30T00:00:00"/>
        <d v="1992-10-01T00:00:00"/>
        <d v="1992-10-02T00:00:00"/>
        <d v="1992-10-03T00:00:00"/>
        <d v="1992-10-04T00:00:00"/>
        <d v="1992-10-05T00:00:00"/>
        <d v="1992-10-06T00:00:00"/>
        <d v="1992-10-07T00:00:00"/>
        <d v="1992-10-08T00:00:00"/>
        <d v="1992-10-09T00:00:00"/>
        <d v="1992-10-10T00:00:00"/>
        <d v="1992-10-11T00:00:00"/>
        <d v="1992-10-12T00:00:00"/>
        <d v="1992-10-13T00:00:00"/>
        <d v="1992-10-14T00:00:00"/>
        <d v="1992-10-15T00:00:00"/>
        <d v="1992-10-16T00:00:00"/>
        <d v="1992-10-17T00:00:00"/>
        <d v="1992-10-18T00:00:00"/>
        <d v="1992-10-19T00:00:00"/>
        <d v="1992-10-20T00:00:00"/>
        <d v="1992-10-21T00:00:00"/>
        <d v="1992-10-22T00:00:00"/>
        <d v="1992-10-23T00:00:00"/>
        <d v="1992-10-24T00:00:00"/>
        <d v="1992-10-25T00:00:00"/>
        <d v="1992-10-26T00:00:00"/>
        <d v="1992-10-27T00:00:00"/>
        <d v="1992-10-28T00:00:00"/>
        <d v="1992-10-29T00:00:00"/>
        <d v="1992-10-30T00:00:00"/>
        <d v="1992-10-31T00:00:00"/>
        <d v="1992-11-01T00:00:00"/>
        <d v="1992-11-02T00:00:00"/>
        <d v="1992-11-03T00:00:00"/>
        <d v="1992-11-04T00:00:00"/>
        <d v="1992-11-05T00:00:00"/>
        <d v="1992-11-06T00:00:00"/>
        <d v="1992-11-07T00:00:00"/>
        <d v="1992-11-08T00:00:00"/>
        <d v="1992-11-09T00:00:00"/>
        <d v="1992-11-10T00:00:00"/>
        <d v="1992-11-11T00:00:00"/>
        <d v="1992-11-12T00:00:00"/>
        <d v="1992-11-13T00:00:00"/>
        <d v="1992-11-14T00:00:00"/>
        <d v="1992-11-15T00:00:00"/>
        <d v="1992-11-16T00:00:00"/>
        <d v="1992-11-17T00:00:00"/>
        <d v="1992-11-18T00:00:00"/>
        <d v="1992-11-19T00:00:00"/>
        <d v="1992-11-20T00:00:00"/>
        <d v="1992-11-21T00:00:00"/>
        <d v="1992-11-22T00:00:00"/>
        <d v="1992-11-23T00:00:00"/>
        <d v="1992-11-24T00:00:00"/>
        <d v="1992-11-25T00:00:00"/>
        <d v="1992-11-26T00:00:00"/>
        <d v="1992-11-27T00:00:00"/>
        <d v="1992-11-28T00:00:00"/>
        <d v="1992-11-29T00:00:00"/>
        <d v="1992-11-30T00:00:00"/>
        <d v="1992-12-01T00:00:00"/>
        <d v="1992-12-02T00:00:00"/>
        <d v="1992-12-03T00:00:00"/>
        <d v="1992-12-04T00:00:00"/>
        <d v="1992-12-05T00:00:00"/>
        <d v="1992-12-06T00:00:00"/>
        <d v="1992-12-07T00:00:00"/>
        <d v="1992-12-08T00:00:00"/>
        <d v="1992-12-09T00:00:00"/>
        <d v="1992-12-10T00:00:00"/>
        <d v="1992-12-11T00:00:00"/>
        <d v="1992-12-12T00:00:00"/>
        <d v="1992-12-13T00:00:00"/>
        <d v="1992-12-14T00:00:00"/>
        <d v="1992-12-15T00:00:00"/>
        <d v="1992-12-16T00:00:00"/>
        <d v="1992-12-17T00:00:00"/>
        <d v="1992-12-18T00:00:00"/>
        <d v="1992-12-19T00:00:00"/>
        <d v="1992-12-20T00:00:00"/>
        <d v="1992-12-21T00:00:00"/>
        <d v="1992-12-22T00:00:00"/>
        <d v="1992-12-23T00:00:00"/>
        <d v="1992-12-24T00:00:00"/>
        <d v="1992-12-25T00:00:00"/>
        <d v="1992-12-26T00:00:00"/>
        <d v="1992-12-27T00:00:00"/>
        <d v="1992-12-28T00:00:00"/>
        <d v="1992-12-29T00:00:00"/>
        <d v="1992-12-30T00:00:00"/>
        <d v="1992-12-31T00:00:00"/>
        <d v="1993-01-01T00:00:00"/>
        <d v="1993-01-02T00:00:00"/>
        <d v="1993-01-03T00:00:00"/>
        <d v="1993-01-04T00:00:00"/>
        <d v="1993-01-05T00:00:00"/>
        <d v="1993-01-06T00:00:00"/>
        <d v="1993-01-07T00:00:00"/>
        <d v="1993-01-08T00:00:00"/>
        <d v="1993-01-09T00:00:00"/>
        <d v="1993-01-10T00:00:00"/>
        <d v="1993-01-11T00:00:00"/>
        <d v="1993-01-12T00:00:00"/>
        <d v="1993-01-13T00:00:00"/>
        <d v="1993-01-14T00:00:00"/>
        <d v="1993-01-15T00:00:00"/>
        <d v="1993-01-16T00:00:00"/>
        <d v="1993-01-17T00:00:00"/>
        <d v="1993-01-18T00:00:00"/>
        <d v="1993-01-19T00:00:00"/>
        <d v="1993-01-20T00:00:00"/>
        <d v="1993-01-21T00:00:00"/>
        <d v="1993-01-22T00:00:00"/>
        <d v="1993-01-23T00:00:00"/>
        <d v="1993-01-24T00:00:00"/>
        <d v="1993-01-25T00:00:00"/>
        <d v="1993-01-26T00:00:00"/>
        <d v="1993-01-27T00:00:00"/>
        <d v="1993-01-28T00:00:00"/>
        <d v="1993-01-29T00:00:00"/>
        <d v="1993-01-30T00:00:00"/>
        <d v="1993-01-31T00:00:00"/>
        <d v="1993-02-01T00:00:00"/>
        <d v="1993-02-02T00:00:00"/>
        <d v="1993-02-03T00:00:00"/>
        <d v="1993-02-04T00:00:00"/>
        <d v="1993-02-05T00:00:00"/>
        <d v="1993-02-06T00:00:00"/>
        <d v="1993-02-07T00:00:00"/>
        <d v="1993-02-08T00:00:00"/>
        <d v="1993-02-09T00:00:00"/>
        <d v="1993-02-10T00:00:00"/>
        <d v="1993-02-11T00:00:00"/>
        <d v="1993-02-12T00:00:00"/>
        <d v="1993-02-13T00:00:00"/>
        <d v="1993-02-14T00:00:00"/>
        <d v="1993-02-15T00:00:00"/>
        <d v="1993-02-16T00:00:00"/>
        <d v="1993-02-17T00:00:00"/>
        <d v="1993-02-18T00:00:00"/>
        <d v="1993-02-19T00:00:00"/>
        <d v="1993-02-20T00:00:00"/>
        <d v="1993-02-21T00:00:00"/>
        <d v="1993-02-22T00:00:00"/>
        <d v="1993-02-23T00:00:00"/>
        <d v="1993-02-24T00:00:00"/>
        <d v="1993-02-25T00:00:00"/>
        <d v="1993-02-26T00:00:00"/>
        <d v="1993-02-27T00:00:00"/>
        <d v="1993-02-28T00:00:00"/>
        <d v="1993-03-01T00:00:00"/>
        <d v="1993-03-02T00:00:00"/>
        <d v="1993-03-03T00:00:00"/>
        <d v="1993-03-04T00:00:00"/>
        <d v="1993-03-05T00:00:00"/>
        <d v="1993-03-06T00:00:00"/>
        <d v="1993-03-07T00:00:00"/>
        <d v="1993-03-08T00:00:00"/>
        <d v="1993-03-09T00:00:00"/>
        <d v="1993-03-10T00:00:00"/>
        <d v="1993-03-11T00:00:00"/>
        <d v="1993-03-12T00:00:00"/>
        <d v="1993-03-13T00:00:00"/>
        <d v="1993-03-14T00:00:00"/>
        <d v="1993-03-15T00:00:00"/>
        <d v="1993-03-16T00:00:00"/>
        <d v="1993-03-17T00:00:00"/>
        <d v="1993-03-18T00:00:00"/>
        <d v="1993-03-19T00:00:00"/>
        <d v="1993-03-20T00:00:00"/>
        <d v="1993-03-21T00:00:00"/>
        <d v="1993-03-22T00:00:00"/>
        <d v="1993-03-23T00:00:00"/>
        <d v="1993-03-24T00:00:00"/>
        <d v="1993-03-25T00:00:00"/>
        <d v="1993-03-26T00:00:00"/>
        <d v="1993-03-27T00:00:00"/>
        <d v="1993-03-28T00:00:00"/>
        <d v="1993-03-29T00:00:00"/>
        <d v="1993-03-30T00:00:00"/>
        <d v="1993-03-31T00:00:00"/>
        <d v="1993-04-01T00:00:00"/>
        <d v="1993-04-02T00:00:00"/>
        <d v="1993-04-03T00:00:00"/>
        <d v="1993-04-04T00:00:00"/>
        <d v="1993-04-05T00:00:00"/>
        <d v="1993-04-06T00:00:00"/>
        <d v="1993-04-07T00:00:00"/>
        <d v="1993-04-08T00:00:00"/>
        <d v="1993-04-09T00:00:00"/>
        <d v="1993-04-10T00:00:00"/>
        <d v="1993-04-11T00:00:00"/>
        <d v="1993-04-12T00:00:00"/>
        <d v="1993-04-13T00:00:00"/>
        <d v="1993-04-14T00:00:00"/>
        <d v="1993-04-15T00:00:00"/>
        <d v="1993-04-16T00:00:00"/>
        <d v="1993-04-17T00:00:00"/>
        <d v="1993-04-18T00:00:00"/>
        <d v="1993-04-19T00:00:00"/>
        <d v="1993-04-20T00:00:00"/>
        <d v="1993-04-21T00:00:00"/>
        <d v="1993-04-22T00:00:00"/>
        <d v="1993-04-23T00:00:00"/>
        <d v="1993-04-24T00:00:00"/>
        <d v="1993-04-25T00:00:00"/>
        <d v="1993-04-26T00:00:00"/>
        <d v="1993-04-27T00:00:00"/>
        <d v="1993-04-28T00:00:00"/>
        <d v="1993-04-29T00:00:00"/>
        <d v="1993-04-30T00:00:00"/>
        <d v="1993-05-01T00:00:00"/>
        <d v="1993-05-02T00:00:00"/>
        <d v="1993-05-03T00:00:00"/>
        <d v="1993-05-04T00:00:00"/>
        <d v="1993-05-05T00:00:00"/>
        <d v="1993-05-06T00:00:00"/>
        <d v="1993-05-07T00:00:00"/>
        <d v="1993-05-08T00:00:00"/>
        <d v="1993-05-09T00:00:00"/>
        <d v="1993-05-10T00:00:00"/>
        <d v="1993-05-11T00:00:00"/>
        <d v="1993-05-12T00:00:00"/>
        <d v="1993-05-13T00:00:00"/>
        <d v="1993-05-14T00:00:00"/>
        <d v="1993-05-15T00:00:00"/>
        <d v="1993-05-16T00:00:00"/>
        <d v="1993-05-17T00:00:00"/>
        <d v="1993-05-18T00:00:00"/>
        <d v="1993-05-19T00:00:00"/>
        <d v="1993-05-20T00:00:00"/>
        <d v="1993-05-21T00:00:00"/>
        <d v="1993-05-22T00:00:00"/>
        <d v="1993-05-23T00:00:00"/>
        <d v="1993-05-24T00:00:00"/>
        <d v="1993-05-25T00:00:00"/>
        <d v="1993-05-26T00:00:00"/>
        <d v="1993-05-27T00:00:00"/>
        <d v="1993-05-28T00:00:00"/>
        <d v="1993-05-29T00:00:00"/>
        <d v="1993-05-30T00:00:00"/>
        <d v="1993-05-31T00:00:00"/>
        <d v="1993-06-01T00:00:00"/>
        <d v="1993-06-02T00:00:00"/>
        <d v="1993-06-03T00:00:00"/>
        <d v="1993-06-04T00:00:00"/>
        <d v="1993-06-05T00:00:00"/>
        <d v="1993-06-06T00:00:00"/>
        <d v="1993-06-07T00:00:00"/>
        <d v="1993-06-08T00:00:00"/>
        <d v="1993-06-09T00:00:00"/>
        <d v="1993-06-10T00:00:00"/>
        <d v="1993-06-11T00:00:00"/>
        <d v="1993-06-12T00:00:00"/>
        <d v="1993-06-13T00:00:00"/>
        <d v="1993-06-14T00:00:00"/>
        <d v="1993-06-15T00:00:00"/>
        <d v="1993-06-16T00:00:00"/>
        <d v="1993-06-17T00:00:00"/>
        <d v="1993-06-18T00:00:00"/>
        <d v="1993-06-19T00:00:00"/>
        <d v="1993-06-20T00:00:00"/>
        <d v="1993-06-21T00:00:00"/>
        <d v="1993-06-22T00:00:00"/>
        <d v="1993-06-23T00:00:00"/>
        <d v="1993-06-24T00:00:00"/>
        <d v="1993-06-25T00:00:00"/>
        <d v="1993-06-26T00:00:00"/>
        <d v="1993-06-27T00:00:00"/>
        <d v="1993-06-28T00:00:00"/>
        <d v="1993-06-29T00:00:00"/>
        <d v="1993-06-30T00:00:00"/>
        <d v="1993-07-01T00:00:00"/>
        <d v="1993-07-02T00:00:00"/>
        <d v="1993-07-03T00:00:00"/>
        <d v="1993-07-04T00:00:00"/>
        <d v="1993-07-05T00:00:00"/>
        <d v="1993-07-06T00:00:00"/>
        <d v="1993-07-07T00:00:00"/>
        <d v="1993-07-08T00:00:00"/>
        <d v="1993-07-09T00:00:00"/>
        <d v="1993-07-10T00:00:00"/>
        <d v="1993-07-11T00:00:00"/>
        <d v="1993-07-12T00:00:00"/>
        <d v="1993-07-13T00:00:00"/>
        <d v="1993-07-14T00:00:00"/>
        <d v="1993-07-15T00:00:00"/>
        <d v="1993-07-16T00:00:00"/>
        <d v="1993-07-17T00:00:00"/>
        <d v="1993-07-18T00:00:00"/>
        <d v="1993-07-19T00:00:00"/>
        <d v="1993-07-20T00:00:00"/>
        <d v="1993-07-21T00:00:00"/>
        <d v="1993-07-22T00:00:00"/>
        <d v="1993-07-23T00:00:00"/>
        <d v="1993-07-24T00:00:00"/>
        <d v="1993-07-25T00:00:00"/>
        <d v="1993-07-26T00:00:00"/>
        <d v="1993-07-27T00:00:00"/>
        <d v="1993-07-28T00:00:00"/>
        <d v="1993-07-29T00:00:00"/>
        <d v="1993-07-30T00:00:00"/>
        <d v="1993-07-31T00:00:00"/>
        <d v="1993-08-01T00:00:00"/>
        <d v="1993-08-02T00:00:00"/>
        <d v="1993-08-03T00:00:00"/>
        <d v="1993-08-04T00:00:00"/>
        <d v="1993-08-05T00:00:00"/>
        <d v="1993-08-06T00:00:00"/>
        <d v="1993-08-07T00:00:00"/>
        <d v="1993-08-08T00:00:00"/>
        <d v="1993-08-09T00:00:00"/>
        <d v="1993-08-10T00:00:00"/>
        <d v="1993-08-11T00:00:00"/>
        <d v="1993-08-12T00:00:00"/>
        <d v="1993-08-13T00:00:00"/>
        <d v="1993-08-14T00:00:00"/>
        <d v="1993-08-15T00:00:00"/>
        <d v="1993-08-16T00:00:00"/>
        <d v="1993-08-17T00:00:00"/>
        <d v="1993-08-18T00:00:00"/>
        <d v="1993-08-19T00:00:00"/>
        <d v="1993-08-20T00:00:00"/>
        <d v="1993-08-21T00:00:00"/>
        <d v="1993-08-22T00:00:00"/>
        <d v="1993-08-23T00:00:00"/>
        <d v="1993-08-24T00:00:00"/>
        <d v="1993-08-25T00:00:00"/>
        <d v="1993-08-26T00:00:00"/>
        <d v="1993-08-27T00:00:00"/>
        <d v="1993-08-28T00:00:00"/>
        <d v="1993-08-29T00:00:00"/>
        <d v="1993-08-30T00:00:00"/>
        <d v="1993-08-31T00:00:00"/>
        <d v="1993-09-01T00:00:00"/>
        <d v="1993-09-02T00:00:00"/>
        <d v="1993-09-03T00:00:00"/>
        <d v="1993-09-04T00:00:00"/>
        <d v="1993-09-05T00:00:00"/>
        <d v="1993-09-06T00:00:00"/>
        <d v="1993-09-07T00:00:00"/>
        <d v="1993-09-08T00:00:00"/>
        <d v="1993-09-09T00:00:00"/>
        <d v="1993-09-10T00:00:00"/>
        <d v="1993-09-11T00:00:00"/>
        <d v="1993-09-12T00:00:00"/>
        <d v="1993-09-13T00:00:00"/>
        <d v="1993-09-14T00:00:00"/>
        <d v="1993-09-15T00:00:00"/>
        <d v="1993-09-16T00:00:00"/>
        <d v="1993-09-17T00:00:00"/>
        <d v="1993-09-18T00:00:00"/>
        <d v="1993-09-19T00:00:00"/>
        <d v="1993-09-20T00:00:00"/>
        <d v="1993-09-21T00:00:00"/>
        <d v="1993-09-22T00:00:00"/>
        <d v="1993-09-23T00:00:00"/>
        <d v="1993-09-24T00:00:00"/>
        <d v="1993-09-25T00:00:00"/>
        <d v="1993-09-26T00:00:00"/>
        <d v="1993-09-27T00:00:00"/>
        <d v="1993-09-28T00:00:00"/>
        <d v="1993-09-29T00:00:00"/>
        <d v="1993-09-30T00:00:00"/>
        <d v="1993-10-01T00:00:00"/>
        <d v="1993-10-02T00:00:00"/>
        <d v="1993-10-03T00:00:00"/>
        <d v="1993-10-04T00:00:00"/>
        <d v="1993-10-05T00:00:00"/>
        <d v="1993-10-06T00:00:00"/>
        <d v="1993-10-07T00:00:00"/>
        <d v="1993-10-08T00:00:00"/>
        <d v="1993-10-09T00:00:00"/>
        <d v="1993-10-10T00:00:00"/>
        <d v="1993-10-11T00:00:00"/>
        <d v="1993-10-12T00:00:00"/>
        <d v="1993-10-13T00:00:00"/>
        <d v="1993-10-14T00:00:00"/>
        <d v="1993-10-15T00:00:00"/>
        <d v="1993-10-16T00:00:00"/>
        <d v="1993-10-17T00:00:00"/>
        <d v="1993-10-18T00:00:00"/>
        <d v="1993-10-19T00:00:00"/>
        <d v="1993-10-20T00:00:00"/>
        <d v="1993-10-21T00:00:00"/>
        <d v="1993-10-22T00:00:00"/>
        <d v="1993-10-23T00:00:00"/>
        <d v="1993-10-24T00:00:00"/>
        <d v="1993-10-25T00:00:00"/>
        <d v="1993-10-26T00:00:00"/>
        <d v="1993-10-27T00:00:00"/>
        <d v="1993-10-28T00:00:00"/>
        <d v="1993-10-29T00:00:00"/>
        <d v="1993-10-30T00:00:00"/>
        <d v="1993-10-31T00:00:00"/>
        <d v="1993-11-01T00:00:00"/>
        <d v="1993-11-02T00:00:00"/>
        <d v="1993-11-03T00:00:00"/>
        <d v="1993-11-04T00:00:00"/>
        <d v="1993-11-05T00:00:00"/>
        <d v="1993-11-06T00:00:00"/>
        <d v="1993-11-07T00:00:00"/>
        <d v="1993-11-08T00:00:00"/>
        <d v="1993-11-09T00:00:00"/>
        <d v="1993-11-10T00:00:00"/>
        <d v="1993-11-11T00:00:00"/>
        <d v="1993-11-12T00:00:00"/>
        <d v="1993-11-13T00:00:00"/>
        <d v="1993-11-14T00:00:00"/>
        <d v="1993-11-15T00:00:00"/>
        <d v="1993-11-16T00:00:00"/>
        <d v="1993-11-17T00:00:00"/>
        <d v="1993-11-18T00:00:00"/>
        <d v="1993-11-19T00:00:00"/>
        <d v="1993-11-20T00:00:00"/>
        <d v="1993-11-21T00:00:00"/>
        <d v="1993-11-22T00:00:00"/>
        <d v="1993-11-23T00:00:00"/>
        <d v="1993-11-24T00:00:00"/>
        <d v="1993-11-25T00:00:00"/>
        <d v="1993-11-26T00:00:00"/>
        <d v="1993-11-27T00:00:00"/>
        <d v="1993-11-28T00:00:00"/>
        <d v="1993-11-29T00:00:00"/>
        <d v="1993-11-30T00:00:00"/>
        <d v="1993-12-01T00:00:00"/>
        <d v="1993-12-02T00:00:00"/>
        <d v="1993-12-03T00:00:00"/>
        <d v="1993-12-04T00:00:00"/>
        <d v="1993-12-05T00:00:00"/>
        <d v="1993-12-06T00:00:00"/>
        <d v="1993-12-07T00:00:00"/>
        <d v="1993-12-08T00:00:00"/>
        <d v="1993-12-09T00:00:00"/>
        <d v="1993-12-10T00:00:00"/>
        <d v="1993-12-11T00:00:00"/>
        <d v="1993-12-12T00:00:00"/>
        <d v="1993-12-13T00:00:00"/>
        <d v="1993-12-14T00:00:00"/>
        <d v="1993-12-15T00:00:00"/>
        <d v="1993-12-16T00:00:00"/>
        <d v="1993-12-17T00:00:00"/>
        <d v="1993-12-18T00:00:00"/>
        <d v="1993-12-19T00:00:00"/>
        <d v="1993-12-20T00:00:00"/>
        <d v="1993-12-21T00:00:00"/>
        <d v="1993-12-22T00:00:00"/>
        <d v="1993-12-23T00:00:00"/>
        <d v="1993-12-24T00:00:00"/>
        <d v="1993-12-25T00:00:00"/>
        <d v="1993-12-26T00:00:00"/>
        <d v="1993-12-27T00:00:00"/>
        <d v="1993-12-28T00:00:00"/>
        <d v="1993-12-29T00:00:00"/>
        <d v="1993-12-30T00:00:00"/>
        <d v="1993-12-31T00:00:00"/>
        <d v="1994-01-01T00:00:00"/>
        <d v="1994-01-02T00:00:00"/>
        <d v="1994-01-03T00:00:00"/>
        <d v="1994-01-04T00:00:00"/>
        <d v="1994-01-05T00:00:00"/>
        <d v="1994-01-06T00:00:00"/>
        <d v="1994-01-07T00:00:00"/>
        <d v="1994-01-08T00:00:00"/>
        <d v="1994-01-09T00:00:00"/>
        <d v="1994-01-10T00:00:00"/>
        <d v="1994-01-11T00:00:00"/>
        <d v="1994-01-12T00:00:00"/>
        <d v="1994-01-13T00:00:00"/>
        <d v="1994-01-14T00:00:00"/>
        <d v="1994-01-15T00:00:00"/>
        <d v="1994-01-16T00:00:00"/>
        <d v="1994-01-17T00:00:00"/>
        <d v="1994-01-18T00:00:00"/>
        <d v="1994-01-19T00:00:00"/>
        <d v="1994-01-20T00:00:00"/>
        <d v="1994-01-21T00:00:00"/>
        <d v="1994-01-22T00:00:00"/>
        <d v="1994-01-23T00:00:00"/>
        <d v="1994-01-24T00:00:00"/>
        <d v="1994-01-25T00:00:00"/>
        <d v="1994-01-26T00:00:00"/>
        <d v="1994-01-27T00:00:00"/>
        <d v="1994-01-28T00:00:00"/>
        <d v="1994-01-29T00:00:00"/>
        <d v="1994-01-30T00:00:00"/>
        <d v="1994-01-31T00:00:00"/>
        <d v="1994-02-01T00:00:00"/>
        <d v="1994-02-02T00:00:00"/>
        <d v="1994-02-03T00:00:00"/>
        <d v="1994-02-04T00:00:00"/>
        <d v="1994-02-05T00:00:00"/>
        <d v="1994-02-06T00:00:00"/>
        <d v="1994-02-07T00:00:00"/>
        <d v="1994-02-08T00:00:00"/>
        <d v="1994-02-09T00:00:00"/>
        <d v="1994-02-10T00:00:00"/>
        <d v="1994-02-11T00:00:00"/>
        <d v="1994-02-12T00:00:00"/>
        <d v="1994-02-13T00:00:00"/>
        <d v="1994-02-14T00:00:00"/>
        <d v="1994-02-15T00:00:00"/>
        <d v="1994-02-16T00:00:00"/>
        <d v="1994-02-17T00:00:00"/>
        <d v="1994-02-18T00:00:00"/>
        <d v="1994-02-19T00:00:00"/>
        <d v="1994-02-20T00:00:00"/>
        <d v="1994-02-21T00:00:00"/>
        <d v="1994-02-22T00:00:00"/>
        <d v="1994-02-23T00:00:00"/>
        <d v="1994-02-24T00:00:00"/>
        <d v="1994-02-25T00:00:00"/>
        <d v="1994-02-26T00:00:00"/>
        <d v="1994-02-27T00:00:00"/>
        <d v="1994-02-28T00:00:00"/>
        <d v="1994-03-01T00:00:00"/>
        <d v="1994-03-02T00:00:00"/>
        <d v="1994-03-03T00:00:00"/>
        <d v="1994-03-04T00:00:00"/>
        <d v="1994-03-05T00:00:00"/>
        <d v="1994-03-06T00:00:00"/>
        <d v="1994-03-07T00:00:00"/>
        <d v="1994-03-08T00:00:00"/>
        <d v="1994-03-09T00:00:00"/>
        <d v="1994-03-10T00:00:00"/>
        <d v="1994-03-11T00:00:00"/>
        <d v="1994-03-12T00:00:00"/>
        <d v="1994-03-13T00:00:00"/>
        <d v="1994-03-14T00:00:00"/>
        <d v="1994-03-15T00:00:00"/>
        <d v="1994-03-16T00:00:00"/>
        <d v="1994-03-17T00:00:00"/>
        <d v="1994-03-18T00:00:00"/>
        <d v="1994-03-19T00:00:00"/>
        <d v="1994-03-20T00:00:00"/>
        <d v="1994-03-21T00:00:00"/>
        <d v="1994-03-22T00:00:00"/>
        <d v="1994-03-23T00:00:00"/>
        <d v="1994-03-24T00:00:00"/>
        <d v="1994-03-25T00:00:00"/>
        <d v="1994-03-26T00:00:00"/>
        <d v="1994-03-27T00:00:00"/>
        <d v="1994-03-28T00:00:00"/>
        <d v="1994-03-29T00:00:00"/>
        <d v="1994-03-30T00:00:00"/>
        <d v="1994-03-31T00:00:00"/>
        <d v="1994-04-01T00:00:00"/>
        <d v="1994-04-02T00:00:00"/>
        <d v="1994-04-03T00:00:00"/>
        <d v="1994-04-04T00:00:00"/>
        <d v="1994-04-05T00:00:00"/>
        <d v="1994-04-06T00:00:00"/>
        <d v="1994-04-07T00:00:00"/>
        <d v="1994-04-08T00:00:00"/>
        <d v="1994-04-09T00:00:00"/>
        <d v="1994-04-10T00:00:00"/>
        <d v="1994-04-11T00:00:00"/>
        <d v="1994-04-12T00:00:00"/>
        <d v="1994-04-13T00:00:00"/>
        <d v="1994-04-14T00:00:00"/>
        <d v="1994-04-15T00:00:00"/>
        <d v="1994-04-16T00:00:00"/>
        <d v="1994-04-17T00:00:00"/>
        <d v="1994-04-18T00:00:00"/>
        <d v="1994-04-19T00:00:00"/>
        <d v="1994-04-20T00:00:00"/>
        <d v="1994-04-21T00:00:00"/>
        <d v="1994-04-22T00:00:00"/>
        <d v="1994-04-23T00:00:00"/>
        <d v="1994-04-24T00:00:00"/>
        <d v="1994-04-25T00:00:00"/>
        <d v="1994-04-26T00:00:00"/>
        <d v="1994-04-27T00:00:00"/>
        <d v="1994-04-28T00:00:00"/>
        <d v="1994-04-29T00:00:00"/>
        <d v="1994-04-30T00:00:00"/>
        <d v="1994-05-01T00:00:00"/>
        <d v="1994-05-02T00:00:00"/>
        <d v="1994-05-03T00:00:00"/>
        <d v="1994-05-04T00:00:00"/>
        <d v="1994-05-05T00:00:00"/>
        <d v="1994-05-06T00:00:00"/>
        <d v="1994-05-07T00:00:00"/>
        <d v="1994-05-08T00:00:00"/>
        <d v="1994-05-09T00:00:00"/>
        <d v="1994-05-10T00:00:00"/>
        <d v="1994-05-11T00:00:00"/>
        <d v="1994-05-12T00:00:00"/>
        <d v="1994-05-13T00:00:00"/>
        <d v="1994-05-14T00:00:00"/>
        <d v="1994-05-15T00:00:00"/>
        <d v="1994-05-16T00:00:00"/>
        <d v="1994-05-17T00:00:00"/>
        <d v="1994-05-18T00:00:00"/>
        <d v="1994-05-19T00:00:00"/>
        <d v="1994-05-20T00:00:00"/>
        <d v="1994-05-21T00:00:00"/>
        <d v="1994-05-22T00:00:00"/>
        <d v="1994-05-23T00:00:00"/>
        <d v="1994-05-24T00:00:00"/>
        <d v="1994-05-25T00:00:00"/>
        <d v="1994-05-26T00:00:00"/>
        <d v="1994-05-27T00:00:00"/>
        <d v="1994-05-28T00:00:00"/>
        <d v="1994-05-29T00:00:00"/>
        <d v="1994-05-30T00:00:00"/>
        <d v="1994-05-31T00:00:00"/>
        <d v="1994-06-01T00:00:00"/>
        <d v="1994-06-02T00:00:00"/>
        <d v="1994-06-03T00:00:00"/>
        <d v="1994-06-04T00:00:00"/>
        <d v="1994-06-05T00:00:00"/>
        <d v="1994-06-06T00:00:00"/>
        <d v="1994-06-07T00:00:00"/>
        <d v="1994-06-08T00:00:00"/>
        <d v="1994-06-09T00:00:00"/>
        <d v="1994-06-10T00:00:00"/>
        <d v="1994-06-11T00:00:00"/>
        <d v="1994-06-12T00:00:00"/>
        <d v="1994-06-13T00:00:00"/>
        <d v="1994-06-14T00:00:00"/>
        <d v="1994-06-15T00:00:00"/>
        <d v="1994-06-16T00:00:00"/>
        <d v="1994-06-17T00:00:00"/>
        <d v="1994-06-18T00:00:00"/>
        <d v="1994-06-19T00:00:00"/>
        <d v="1994-06-20T00:00:00"/>
        <d v="1994-06-21T00:00:00"/>
        <d v="1994-06-22T00:00:00"/>
        <d v="1994-06-23T00:00:00"/>
        <d v="1994-06-24T00:00:00"/>
        <d v="1994-06-25T00:00:00"/>
        <d v="1994-06-26T00:00:00"/>
        <d v="1994-06-27T00:00:00"/>
        <d v="1994-06-28T00:00:00"/>
        <d v="1994-06-29T00:00:00"/>
        <d v="1994-06-30T00:00:00"/>
        <d v="1994-07-01T00:00:00"/>
        <d v="1994-07-02T00:00:00"/>
        <d v="1994-07-03T00:00:00"/>
        <d v="1994-07-04T00:00:00"/>
        <d v="1994-07-05T00:00:00"/>
        <d v="1994-07-06T00:00:00"/>
        <d v="1994-07-07T00:00:00"/>
        <d v="1994-07-08T00:00:00"/>
        <d v="1994-07-09T00:00:00"/>
        <d v="1994-07-10T00:00:00"/>
        <d v="1994-07-11T00:00:00"/>
        <d v="1994-07-12T00:00:00"/>
        <d v="1994-07-13T00:00:00"/>
        <d v="1994-07-14T00:00:00"/>
        <d v="1994-07-15T00:00:00"/>
        <d v="1994-07-16T00:00:00"/>
        <d v="1994-07-17T00:00:00"/>
        <d v="1994-07-18T00:00:00"/>
        <d v="1994-07-19T00:00:00"/>
        <d v="1994-07-20T00:00:00"/>
        <d v="1994-07-21T00:00:00"/>
        <d v="1994-07-22T00:00:00"/>
        <d v="1994-07-23T00:00:00"/>
        <d v="1994-07-24T00:00:00"/>
        <d v="1994-07-25T00:00:00"/>
        <d v="1994-07-26T00:00:00"/>
        <d v="1994-07-27T00:00:00"/>
        <d v="1994-07-28T00:00:00"/>
        <d v="1994-07-29T00:00:00"/>
        <d v="1994-07-30T00:00:00"/>
        <d v="1994-07-31T00:00:00"/>
        <d v="1994-08-01T00:00:00"/>
        <d v="1994-08-02T00:00:00"/>
        <d v="1994-08-03T00:00:00"/>
        <d v="1994-08-04T00:00:00"/>
        <d v="1994-08-05T00:00:00"/>
        <d v="1994-08-06T00:00:00"/>
        <d v="1994-08-07T00:00:00"/>
        <d v="1994-08-08T00:00:00"/>
        <d v="1994-08-09T00:00:00"/>
        <d v="1994-08-10T00:00:00"/>
        <d v="1994-08-11T00:00:00"/>
        <d v="1994-08-12T00:00:00"/>
        <d v="1994-08-13T00:00:00"/>
        <d v="1994-08-14T00:00:00"/>
        <d v="1994-08-15T00:00:00"/>
        <d v="1994-08-16T00:00:00"/>
        <d v="1994-08-17T00:00:00"/>
        <d v="1994-08-18T00:00:00"/>
        <d v="1994-08-19T00:00:00"/>
        <d v="1994-08-20T00:00:00"/>
        <d v="1994-08-21T00:00:00"/>
        <d v="1994-08-22T00:00:00"/>
        <d v="1994-08-23T00:00:00"/>
        <d v="1994-08-24T00:00:00"/>
        <d v="1994-08-25T00:00:00"/>
        <d v="1994-08-26T00:00:00"/>
        <d v="1994-08-27T00:00:00"/>
        <d v="1994-08-28T00:00:00"/>
        <d v="1994-08-29T00:00:00"/>
        <d v="1994-08-30T00:00:00"/>
        <d v="1994-08-31T00:00:00"/>
        <d v="1994-09-01T00:00:00"/>
        <d v="1994-09-02T00:00:00"/>
        <d v="1994-09-03T00:00:00"/>
        <d v="1994-09-04T00:00:00"/>
        <d v="1994-09-05T00:00:00"/>
        <d v="1994-09-06T00:00:00"/>
        <d v="1994-09-07T00:00:00"/>
        <d v="1994-09-08T00:00:00"/>
        <d v="1994-09-09T00:00:00"/>
        <d v="1994-09-10T00:00:00"/>
        <d v="1994-09-11T00:00:00"/>
        <d v="1994-09-12T00:00:00"/>
        <d v="1994-09-13T00:00:00"/>
        <d v="1994-09-14T00:00:00"/>
        <d v="1994-09-15T00:00:00"/>
        <d v="1994-09-16T00:00:00"/>
        <d v="1994-09-17T00:00:00"/>
        <d v="1994-09-18T00:00:00"/>
        <d v="1994-09-19T00:00:00"/>
        <d v="1994-09-20T00:00:00"/>
        <d v="1994-09-21T00:00:00"/>
        <d v="1994-09-22T00:00:00"/>
        <d v="1994-09-23T00:00:00"/>
        <d v="1994-09-24T00:00:00"/>
        <d v="1994-09-25T00:00:00"/>
        <d v="1994-09-26T00:00:00"/>
        <d v="1994-09-27T00:00:00"/>
        <d v="1994-09-28T00:00:00"/>
        <d v="1994-09-29T00:00:00"/>
        <d v="1994-09-30T00:00:00"/>
        <d v="1994-10-01T00:00:00"/>
        <d v="1994-10-02T00:00:00"/>
        <d v="1994-10-03T00:00:00"/>
        <d v="1994-10-04T00:00:00"/>
        <d v="1994-10-05T00:00:00"/>
        <d v="1994-10-06T00:00:00"/>
        <d v="1994-10-07T00:00:00"/>
        <d v="1994-10-08T00:00:00"/>
        <d v="1994-10-09T00:00:00"/>
        <d v="1994-10-10T00:00:00"/>
        <d v="1994-10-11T00:00:00"/>
        <d v="1994-10-12T00:00:00"/>
        <d v="1994-10-13T00:00:00"/>
        <d v="1994-10-14T00:00:00"/>
        <d v="1994-10-15T00:00:00"/>
        <d v="1994-10-16T00:00:00"/>
        <d v="1994-10-17T00:00:00"/>
        <d v="1994-10-18T00:00:00"/>
        <d v="1994-10-19T00:00:00"/>
        <d v="1994-10-20T00:00:00"/>
        <d v="1994-10-21T00:00:00"/>
        <d v="1994-10-22T00:00:00"/>
        <d v="1994-10-23T00:00:00"/>
        <d v="1994-10-24T00:00:00"/>
        <d v="1994-10-25T00:00:00"/>
        <d v="1994-10-26T00:00:00"/>
        <d v="1994-10-27T00:00:00"/>
        <d v="1994-10-28T00:00:00"/>
        <d v="1994-10-29T00:00:00"/>
        <d v="1994-10-30T00:00:00"/>
        <d v="1994-10-31T00:00:00"/>
        <d v="1994-11-01T00:00:00"/>
        <d v="1994-11-02T00:00:00"/>
        <d v="1994-11-03T00:00:00"/>
        <d v="1994-11-04T00:00:00"/>
        <d v="1994-11-05T00:00:00"/>
        <d v="1994-11-06T00:00:00"/>
        <d v="1994-11-07T00:00:00"/>
        <d v="1994-11-08T00:00:00"/>
        <d v="1994-11-09T00:00:00"/>
        <d v="1994-11-10T00:00:00"/>
        <d v="1994-11-11T00:00:00"/>
        <d v="1994-11-12T00:00:00"/>
        <d v="1994-11-13T00:00:00"/>
        <d v="1994-11-14T00:00:00"/>
        <d v="1994-11-15T00:00:00"/>
        <d v="1994-11-16T00:00:00"/>
        <d v="1994-11-17T00:00:00"/>
        <d v="1994-11-18T00:00:00"/>
        <d v="1994-11-19T00:00:00"/>
        <d v="1994-11-20T00:00:00"/>
        <d v="1994-11-21T00:00:00"/>
        <d v="1994-11-22T00:00:00"/>
        <d v="1994-11-23T00:00:00"/>
        <d v="1994-11-24T00:00:00"/>
        <d v="1994-11-25T00:00:00"/>
        <d v="1994-11-26T00:00:00"/>
        <d v="1994-11-27T00:00:00"/>
        <d v="1994-11-28T00:00:00"/>
        <d v="1994-11-29T00:00:00"/>
        <d v="1994-11-30T00:00:00"/>
        <d v="1994-12-01T00:00:00"/>
        <d v="1994-12-02T00:00:00"/>
        <d v="1994-12-03T00:00:00"/>
        <d v="1994-12-04T00:00:00"/>
        <d v="1994-12-05T00:00:00"/>
        <d v="1994-12-06T00:00:00"/>
        <d v="1994-12-07T00:00:00"/>
        <d v="1994-12-08T00:00:00"/>
        <d v="1994-12-09T00:00:00"/>
        <d v="1994-12-10T00:00:00"/>
        <d v="1994-12-11T00:00:00"/>
        <d v="1994-12-12T00:00:00"/>
        <d v="1994-12-13T00:00:00"/>
        <d v="1994-12-14T00:00:00"/>
        <d v="1994-12-15T00:00:00"/>
        <d v="1994-12-16T00:00:00"/>
        <d v="1994-12-17T00:00:00"/>
        <d v="1994-12-18T00:00:00"/>
        <d v="1994-12-19T00:00:00"/>
        <d v="1994-12-20T00:00:00"/>
        <d v="1994-12-21T00:00:00"/>
        <d v="1994-12-22T00:00:00"/>
        <d v="1994-12-23T00:00:00"/>
        <d v="1994-12-24T00:00:00"/>
        <d v="1994-12-25T00:00:00"/>
        <d v="1994-12-26T00:00:00"/>
        <d v="1994-12-27T00:00:00"/>
        <d v="1994-12-28T00:00:00"/>
        <d v="1994-12-29T00:00:00"/>
        <d v="1994-12-30T00:00:00"/>
        <d v="1994-12-31T00:00:00"/>
        <d v="1995-01-01T00:00:00"/>
        <d v="1995-01-02T00:00:00"/>
        <d v="1995-01-03T00:00:00"/>
        <d v="1995-01-04T00:00:00"/>
        <d v="1995-01-05T00:00:00"/>
        <d v="1995-01-06T00:00:00"/>
        <d v="1995-01-07T00:00:00"/>
        <d v="1995-01-08T00:00:00"/>
        <d v="1995-01-09T00:00:00"/>
        <d v="1995-01-10T00:00:00"/>
        <d v="1995-01-11T00:00:00"/>
        <d v="1995-01-12T00:00:00"/>
        <d v="1995-01-13T00:00:00"/>
        <d v="1995-01-14T00:00:00"/>
        <d v="1995-01-15T00:00:00"/>
        <d v="1995-01-16T00:00:00"/>
        <d v="1995-01-17T00:00:00"/>
        <d v="1995-01-18T00:00:00"/>
        <d v="1995-01-19T00:00:00"/>
        <d v="1995-01-20T00:00:00"/>
        <d v="1995-01-21T00:00:00"/>
        <d v="1995-01-22T00:00:00"/>
        <d v="1995-01-23T00:00:00"/>
        <d v="1995-01-24T00:00:00"/>
        <d v="1995-01-25T00:00:00"/>
        <d v="1995-01-26T00:00:00"/>
        <d v="1995-01-27T00:00:00"/>
        <d v="1995-01-28T00:00:00"/>
        <d v="1995-01-29T00:00:00"/>
        <d v="1995-01-30T00:00:00"/>
        <d v="1995-01-31T00:00:00"/>
        <d v="1995-02-01T00:00:00"/>
        <d v="1995-02-02T00:00:00"/>
        <d v="1995-02-03T00:00:00"/>
        <d v="1995-02-04T00:00:00"/>
        <d v="1995-02-05T00:00:00"/>
        <d v="1995-02-06T00:00:00"/>
        <d v="1995-02-07T00:00:00"/>
        <d v="1995-02-08T00:00:00"/>
        <d v="1995-02-09T00:00:00"/>
        <d v="1995-02-10T00:00:00"/>
        <d v="1995-02-11T00:00:00"/>
        <d v="1995-02-12T00:00:00"/>
        <d v="1995-02-13T00:00:00"/>
        <d v="1995-02-14T00:00:00"/>
        <d v="1995-02-15T00:00:00"/>
        <d v="1995-02-16T00:00:00"/>
        <d v="1995-02-17T00:00:00"/>
        <d v="1995-02-18T00:00:00"/>
        <d v="1995-02-19T00:00:00"/>
        <d v="1995-02-20T00:00:00"/>
        <d v="1995-02-21T00:00:00"/>
        <d v="1995-02-22T00:00:00"/>
        <d v="1995-02-23T00:00:00"/>
        <d v="1995-02-24T00:00:00"/>
        <d v="1995-02-25T00:00:00"/>
        <d v="1995-02-26T00:00:00"/>
        <d v="1995-02-27T00:00:00"/>
        <d v="1995-02-28T00:00:00"/>
        <d v="1995-03-01T00:00:00"/>
        <d v="1995-03-02T00:00:00"/>
        <d v="1995-03-03T00:00:00"/>
        <d v="1995-03-04T00:00:00"/>
        <d v="1995-03-05T00:00:00"/>
        <d v="1995-03-06T00:00:00"/>
        <d v="1995-03-07T00:00:00"/>
        <d v="1995-03-08T00:00:00"/>
        <d v="1995-03-09T00:00:00"/>
        <d v="1995-03-10T00:00:00"/>
        <d v="1995-03-11T00:00:00"/>
        <d v="1995-03-12T00:00:00"/>
        <d v="1995-03-13T00:00:00"/>
        <d v="1995-03-14T00:00:00"/>
        <d v="1995-03-15T00:00:00"/>
        <d v="1995-03-16T00:00:00"/>
        <d v="1995-03-17T00:00:00"/>
        <d v="1995-03-18T00:00:00"/>
        <d v="1995-03-19T00:00:00"/>
        <d v="1995-03-20T00:00:00"/>
        <d v="1995-03-21T00:00:00"/>
        <d v="1995-03-22T00:00:00"/>
        <d v="1995-03-23T00:00:00"/>
        <d v="1995-03-24T00:00:00"/>
        <d v="1995-03-25T00:00:00"/>
        <d v="1995-03-26T00:00:00"/>
        <d v="1995-03-27T00:00:00"/>
        <d v="1995-03-28T00:00:00"/>
        <d v="1995-03-29T00:00:00"/>
        <d v="1995-03-30T00:00:00"/>
        <d v="1995-03-31T00:00:00"/>
        <d v="1995-04-01T00:00:00"/>
        <d v="1995-04-02T00:00:00"/>
        <d v="1995-04-03T00:00:00"/>
        <d v="1995-04-04T00:00:00"/>
        <d v="1995-04-05T00:00:00"/>
        <d v="1995-04-06T00:00:00"/>
        <d v="1995-04-07T00:00:00"/>
        <d v="1995-04-08T00:00:00"/>
        <d v="1995-04-09T00:00:00"/>
        <d v="1995-04-10T00:00:00"/>
        <d v="1995-04-11T00:00:00"/>
        <d v="1995-04-12T00:00:00"/>
        <d v="1995-04-13T00:00:00"/>
        <d v="1995-04-14T00:00:00"/>
        <d v="1995-04-15T00:00:00"/>
        <d v="1995-04-16T00:00:00"/>
        <d v="1995-04-17T00:00:00"/>
        <d v="1995-04-18T00:00:00"/>
        <d v="1995-04-19T00:00:00"/>
        <d v="1995-04-20T00:00:00"/>
        <d v="1995-04-21T00:00:00"/>
        <d v="1995-04-22T00:00:00"/>
        <d v="1995-04-23T00:00:00"/>
        <d v="1995-04-24T00:00:00"/>
        <d v="1995-04-25T00:00:00"/>
        <d v="1995-04-26T00:00:00"/>
        <d v="1995-04-27T00:00:00"/>
        <d v="1995-04-28T00:00:00"/>
        <d v="1995-04-29T00:00:00"/>
        <d v="1995-04-30T00:00:00"/>
        <d v="1995-05-01T00:00:00"/>
        <d v="1995-05-02T00:00:00"/>
        <d v="1995-05-03T00:00:00"/>
        <d v="1995-05-04T00:00:00"/>
        <d v="1995-05-05T00:00:00"/>
        <d v="1995-05-06T00:00:00"/>
        <d v="1995-05-07T00:00:00"/>
        <d v="1995-05-08T00:00:00"/>
        <d v="1995-05-09T00:00:00"/>
        <d v="1995-05-10T00:00:00"/>
        <d v="1995-05-11T00:00:00"/>
        <d v="1995-05-12T00:00:00"/>
        <d v="1995-05-13T00:00:00"/>
        <d v="1995-05-14T00:00:00"/>
        <d v="1995-05-15T00:00:00"/>
        <d v="1995-05-16T00:00:00"/>
        <d v="1995-05-17T00:00:00"/>
        <d v="1995-05-18T00:00:00"/>
        <d v="1995-05-19T00:00:00"/>
        <d v="1995-05-20T00:00:00"/>
        <d v="1995-05-21T00:00:00"/>
        <d v="1995-05-22T00:00:00"/>
        <d v="1995-05-23T00:00:00"/>
        <d v="1995-05-24T00:00:00"/>
        <d v="1995-05-25T00:00:00"/>
        <d v="1995-05-26T00:00:00"/>
        <d v="1995-05-27T00:00:00"/>
        <d v="1995-05-28T00:00:00"/>
        <d v="1995-05-29T00:00:00"/>
        <d v="1995-05-30T00:00:00"/>
        <d v="1995-05-31T00:00:00"/>
        <d v="1995-06-01T00:00:00"/>
        <d v="1995-06-02T00:00:00"/>
        <d v="1995-06-03T00:00:00"/>
        <d v="1995-06-04T00:00:00"/>
        <d v="1995-06-05T00:00:00"/>
        <d v="1995-06-06T00:00:00"/>
        <d v="1995-06-07T00:00:00"/>
        <d v="1995-06-08T00:00:00"/>
        <d v="1995-06-09T00:00:00"/>
        <d v="1995-06-10T00:00:00"/>
        <d v="1995-06-11T00:00:00"/>
        <d v="1995-06-12T00:00:00"/>
        <d v="1995-06-13T00:00:00"/>
        <d v="1995-06-14T00:00:00"/>
        <d v="1995-06-15T00:00:00"/>
        <d v="1995-06-16T00:00:00"/>
        <d v="1995-06-17T00:00:00"/>
        <d v="1995-06-18T00:00:00"/>
        <d v="1995-06-19T00:00:00"/>
        <d v="1995-06-20T00:00:00"/>
        <d v="1995-06-21T00:00:00"/>
        <d v="1995-06-22T00:00:00"/>
        <d v="1995-06-23T00:00:00"/>
        <d v="1995-06-24T00:00:00"/>
        <d v="1995-06-25T00:00:00"/>
        <d v="1995-06-26T00:00:00"/>
        <d v="1995-06-27T00:00:00"/>
        <d v="1995-06-28T00:00:00"/>
        <d v="1995-06-29T00:00:00"/>
        <d v="1995-06-30T00:00:00"/>
        <d v="1995-07-01T00:00:00"/>
        <d v="1995-07-02T00:00:00"/>
        <d v="1995-07-03T00:00:00"/>
        <d v="1995-07-04T00:00:00"/>
        <d v="1995-07-05T00:00:00"/>
        <d v="1995-07-06T00:00:00"/>
        <d v="1995-07-07T00:00:00"/>
        <d v="1995-07-08T00:00:00"/>
        <d v="1995-07-09T00:00:00"/>
        <d v="1995-07-10T00:00:00"/>
        <d v="1995-07-11T00:00:00"/>
        <d v="1995-07-12T00:00:00"/>
        <d v="1995-07-13T00:00:00"/>
        <d v="1995-07-14T00:00:00"/>
        <d v="1995-07-15T00:00:00"/>
        <d v="1995-07-16T00:00:00"/>
        <d v="1995-07-17T00:00:00"/>
        <d v="1995-07-18T00:00:00"/>
        <d v="1995-07-19T00:00:00"/>
        <d v="1995-07-20T00:00:00"/>
        <d v="1995-07-21T00:00:00"/>
        <d v="1995-07-22T00:00:00"/>
        <d v="1995-07-23T00:00:00"/>
        <d v="1995-07-24T00:00:00"/>
        <d v="1995-07-25T00:00:00"/>
        <d v="1995-07-26T00:00:00"/>
        <d v="1995-07-27T00:00:00"/>
        <d v="1995-07-28T00:00:00"/>
        <d v="1995-07-29T00:00:00"/>
        <d v="1995-07-30T00:00:00"/>
        <d v="1995-07-31T00:00:00"/>
        <d v="1995-08-01T00:00:00"/>
        <d v="1995-08-02T00:00:00"/>
        <d v="1995-08-03T00:00:00"/>
        <d v="1995-08-04T00:00:00"/>
        <d v="1995-08-05T00:00:00"/>
        <d v="1995-08-06T00:00:00"/>
        <d v="1995-08-07T00:00:00"/>
        <d v="1995-08-08T00:00:00"/>
        <d v="1995-08-09T00:00:00"/>
        <d v="1995-08-10T00:00:00"/>
        <d v="1995-08-11T00:00:00"/>
        <d v="1995-08-12T00:00:00"/>
        <d v="1995-08-13T00:00:00"/>
        <d v="1995-08-14T00:00:00"/>
        <d v="1995-08-15T00:00:00"/>
        <d v="1995-08-16T00:00:00"/>
        <d v="1995-08-17T00:00:00"/>
        <d v="1995-08-18T00:00:00"/>
        <d v="1995-08-19T00:00:00"/>
        <d v="1995-08-20T00:00:00"/>
        <d v="1995-08-21T00:00:00"/>
        <d v="1995-08-22T00:00:00"/>
        <d v="1995-08-23T00:00:00"/>
        <d v="1995-08-24T00:00:00"/>
        <d v="1995-08-25T00:00:00"/>
        <d v="1995-08-26T00:00:00"/>
        <d v="1995-08-27T00:00:00"/>
        <d v="1995-08-28T00:00:00"/>
        <d v="1995-08-29T00:00:00"/>
        <d v="1995-08-30T00:00:00"/>
        <d v="1995-08-31T00:00:00"/>
        <d v="1995-09-01T00:00:00"/>
        <d v="1995-09-02T00:00:00"/>
        <d v="1995-09-03T00:00:00"/>
        <d v="1995-09-04T00:00:00"/>
        <d v="1995-09-05T00:00:00"/>
        <d v="1995-09-06T00:00:00"/>
        <d v="1995-09-07T00:00:00"/>
        <d v="1995-09-08T00:00:00"/>
        <d v="1995-09-09T00:00:00"/>
        <d v="1995-09-10T00:00:00"/>
        <d v="1995-09-11T00:00:00"/>
        <d v="1995-09-12T00:00:00"/>
        <d v="1995-09-13T00:00:00"/>
        <d v="1995-09-14T00:00:00"/>
        <d v="1995-09-15T00:00:00"/>
        <d v="1995-09-16T00:00:00"/>
        <d v="1995-09-17T00:00:00"/>
        <d v="1995-09-18T00:00:00"/>
        <d v="1995-09-19T00:00:00"/>
        <d v="1995-09-20T00:00:00"/>
        <d v="1995-09-21T00:00:00"/>
        <d v="1995-09-22T00:00:00"/>
        <d v="1995-09-23T00:00:00"/>
        <d v="1995-09-24T00:00:00"/>
        <d v="1995-09-25T00:00:00"/>
        <d v="1995-09-26T00:00:00"/>
        <d v="1995-09-27T00:00:00"/>
        <d v="1995-09-28T00:00:00"/>
        <d v="1995-09-29T00:00:00"/>
        <d v="1995-09-30T00:00:00"/>
        <d v="1995-10-01T00:00:00"/>
        <d v="1995-10-02T00:00:00"/>
        <d v="1995-10-03T00:00:00"/>
        <d v="1995-10-04T00:00:00"/>
        <d v="1995-10-05T00:00:00"/>
        <d v="1995-10-06T00:00:00"/>
        <d v="1995-10-07T00:00:00"/>
        <d v="1995-10-08T00:00:00"/>
        <d v="1995-10-09T00:00:00"/>
        <d v="1995-10-10T00:00:00"/>
        <d v="1995-10-11T00:00:00"/>
        <d v="1995-10-12T00:00:00"/>
        <d v="1995-10-13T00:00:00"/>
        <d v="1995-10-14T00:00:00"/>
        <d v="1995-10-15T00:00:00"/>
        <d v="1995-10-16T00:00:00"/>
        <d v="1995-10-17T00:00:00"/>
        <d v="1995-10-18T00:00:00"/>
        <d v="1995-10-19T00:00:00"/>
        <d v="1995-10-20T00:00:00"/>
        <d v="1995-10-21T00:00:00"/>
        <d v="1995-10-22T00:00:00"/>
        <d v="1995-10-23T00:00:00"/>
        <d v="1995-10-24T00:00:00"/>
        <d v="1995-10-25T00:00:00"/>
        <d v="1995-10-26T00:00:00"/>
        <d v="1995-10-27T00:00:00"/>
        <d v="1995-10-28T00:00:00"/>
        <d v="1995-10-29T00:00:00"/>
        <d v="1995-10-30T00:00:00"/>
        <d v="1995-10-31T00:00:00"/>
        <d v="1995-11-01T00:00:00"/>
        <d v="1995-11-02T00:00:00"/>
        <d v="1995-11-03T00:00:00"/>
        <d v="1995-11-04T00:00:00"/>
        <d v="1995-11-05T00:00:00"/>
        <d v="1995-11-06T00:00:00"/>
        <d v="1995-11-07T00:00:00"/>
        <d v="1995-11-08T00:00:00"/>
        <d v="1995-11-09T00:00:00"/>
        <d v="1995-11-10T00:00:00"/>
        <d v="1995-11-11T00:00:00"/>
        <d v="1995-11-12T00:00:00"/>
        <d v="1995-11-13T00:00:00"/>
        <d v="1995-11-14T00:00:00"/>
        <d v="1995-11-15T00:00:00"/>
        <d v="1995-11-16T00:00:00"/>
        <d v="1995-11-17T00:00:00"/>
        <d v="1995-11-18T00:00:00"/>
        <d v="1995-11-19T00:00:00"/>
        <d v="1995-11-20T00:00:00"/>
        <d v="1995-11-21T00:00:00"/>
        <d v="1995-11-22T00:00:00"/>
        <d v="1995-11-23T00:00:00"/>
        <d v="1995-11-24T00:00:00"/>
        <d v="1995-11-25T00:00:00"/>
        <d v="1995-11-26T00:00:00"/>
        <d v="1995-11-27T00:00:00"/>
        <d v="1995-11-28T00:00:00"/>
        <d v="1995-11-29T00:00:00"/>
        <d v="1995-11-30T00:00:00"/>
        <d v="1995-12-01T00:00:00"/>
        <d v="1995-12-02T00:00:00"/>
        <d v="1995-12-03T00:00:00"/>
        <d v="1995-12-04T00:00:00"/>
        <d v="1995-12-05T00:00:00"/>
        <d v="1995-12-06T00:00:00"/>
        <d v="1995-12-07T00:00:00"/>
        <d v="1995-12-08T00:00:00"/>
        <d v="1995-12-09T00:00:00"/>
        <d v="1995-12-10T00:00:00"/>
        <d v="1995-12-11T00:00:00"/>
        <d v="1995-12-12T00:00:00"/>
        <d v="1995-12-13T00:00:00"/>
        <d v="1995-12-14T00:00:00"/>
        <d v="1995-12-15T00:00:00"/>
        <d v="1995-12-16T00:00:00"/>
        <d v="1995-12-17T00:00:00"/>
        <d v="1995-12-18T00:00:00"/>
        <d v="1995-12-19T00:00:00"/>
        <d v="1995-12-20T00:00:00"/>
        <d v="1995-12-21T00:00:00"/>
        <d v="1995-12-22T00:00:00"/>
        <d v="1995-12-23T00:00:00"/>
        <d v="1995-12-24T00:00:00"/>
        <d v="1995-12-25T00:00:00"/>
        <d v="1995-12-26T00:00:00"/>
        <d v="1995-12-27T00:00:00"/>
        <d v="1995-12-28T00:00:00"/>
        <d v="1995-12-29T00:00:00"/>
        <d v="1995-12-30T00:00:00"/>
        <d v="1995-12-31T00:00:00"/>
        <d v="1996-01-01T00:00:00"/>
        <d v="1996-01-02T00:00:00"/>
        <d v="1996-01-03T00:00:00"/>
        <d v="1996-01-04T00:00:00"/>
        <d v="1996-01-05T00:00:00"/>
        <d v="1996-01-06T00:00:00"/>
        <d v="1996-01-07T00:00:00"/>
        <d v="1996-01-08T00:00:00"/>
        <d v="1996-01-09T00:00:00"/>
        <d v="1996-01-10T00:00:00"/>
        <d v="1996-01-11T00:00:00"/>
        <d v="1996-01-12T00:00:00"/>
        <d v="1996-01-13T00:00:00"/>
        <d v="1996-01-14T00:00:00"/>
        <d v="1996-01-15T00:00:00"/>
        <d v="1996-01-16T00:00:00"/>
        <d v="1996-01-17T00:00:00"/>
        <d v="1996-01-18T00:00:00"/>
        <d v="1996-01-19T00:00:00"/>
        <d v="1996-01-20T00:00:00"/>
        <d v="1996-01-21T00:00:00"/>
        <d v="1996-01-22T00:00:00"/>
        <d v="1996-01-23T00:00:00"/>
        <d v="1996-01-24T00:00:00"/>
        <d v="1996-01-25T00:00:00"/>
        <d v="1996-01-26T00:00:00"/>
        <d v="1996-01-27T00:00:00"/>
        <d v="1996-01-28T00:00:00"/>
        <d v="1996-01-29T00:00:00"/>
        <d v="1996-01-30T00:00:00"/>
        <d v="1996-01-31T00:00:00"/>
        <d v="1996-02-01T00:00:00"/>
        <d v="1996-02-02T00:00:00"/>
        <d v="1996-02-03T00:00:00"/>
        <d v="1996-02-04T00:00:00"/>
        <d v="1996-02-05T00:00:00"/>
        <d v="1996-02-06T00:00:00"/>
        <d v="1996-02-07T00:00:00"/>
        <d v="1996-02-08T00:00:00"/>
        <d v="1996-02-09T00:00:00"/>
        <d v="1996-02-10T00:00:00"/>
        <d v="1996-02-11T00:00:00"/>
        <d v="1996-02-12T00:00:00"/>
        <d v="1996-02-13T00:00:00"/>
        <d v="1996-02-14T00:00:00"/>
        <d v="1996-02-15T00:00:00"/>
        <d v="1996-02-16T00:00:00"/>
        <d v="1996-02-17T00:00:00"/>
        <d v="1996-02-18T00:00:00"/>
        <d v="1996-02-19T00:00:00"/>
        <d v="1996-02-20T00:00:00"/>
        <d v="1996-02-21T00:00:00"/>
        <d v="1996-02-22T00:00:00"/>
        <d v="1996-02-23T00:00:00"/>
        <d v="1996-02-24T00:00:00"/>
        <d v="1996-02-25T00:00:00"/>
        <d v="1996-02-26T00:00:00"/>
        <d v="1996-02-27T00:00:00"/>
        <d v="1996-02-28T00:00:00"/>
        <d v="1996-02-29T00:00:00"/>
        <d v="1996-03-01T00:00:00"/>
        <d v="1996-03-02T00:00:00"/>
        <d v="1996-03-03T00:00:00"/>
        <d v="1996-03-04T00:00:00"/>
        <d v="1996-03-05T00:00:00"/>
        <d v="1996-03-06T00:00:00"/>
        <d v="1996-03-07T00:00:00"/>
        <d v="1996-03-08T00:00:00"/>
        <d v="1996-03-09T00:00:00"/>
        <d v="1996-03-10T00:00:00"/>
        <d v="1996-03-11T00:00:00"/>
        <d v="1996-03-12T00:00:00"/>
        <d v="1996-03-13T00:00:00"/>
        <d v="1996-03-14T00:00:00"/>
        <d v="1996-03-15T00:00:00"/>
        <d v="1996-03-16T00:00:00"/>
        <d v="1996-03-17T00:00:00"/>
        <d v="1996-03-18T00:00:00"/>
        <d v="1996-03-19T00:00:00"/>
        <d v="1996-03-20T00:00:00"/>
        <d v="1996-03-21T00:00:00"/>
        <d v="1996-03-22T00:00:00"/>
        <d v="1996-03-23T00:00:00"/>
        <d v="1996-03-24T00:00:00"/>
        <d v="1996-03-25T00:00:00"/>
        <d v="1996-03-26T00:00:00"/>
        <d v="1996-03-27T00:00:00"/>
        <d v="1996-03-28T00:00:00"/>
        <d v="1996-03-29T00:00:00"/>
        <d v="1996-03-30T00:00:00"/>
        <d v="1996-03-31T00:00:00"/>
        <d v="1996-04-01T00:00:00"/>
        <d v="1996-04-02T00:00:00"/>
        <d v="1996-04-03T00:00:00"/>
        <d v="1996-04-04T00:00:00"/>
        <d v="1996-04-05T00:00:00"/>
        <d v="1996-04-06T00:00:00"/>
        <d v="1996-04-07T00:00:00"/>
        <d v="1996-04-08T00:00:00"/>
        <d v="1996-04-09T00:00:00"/>
        <d v="1996-04-10T00:00:00"/>
        <d v="1996-04-11T00:00:00"/>
        <d v="1996-04-12T00:00:00"/>
        <d v="1996-04-13T00:00:00"/>
        <d v="1996-04-14T00:00:00"/>
        <d v="1996-04-15T00:00:00"/>
        <d v="1996-04-16T00:00:00"/>
        <d v="1996-04-17T00:00:00"/>
        <d v="1996-04-18T00:00:00"/>
        <d v="1996-04-19T00:00:00"/>
        <d v="1996-04-20T00:00:00"/>
        <d v="1996-04-21T00:00:00"/>
        <d v="1996-04-22T00:00:00"/>
        <d v="1996-04-23T00:00:00"/>
        <d v="1996-04-24T00:00:00"/>
        <d v="1996-04-25T00:00:00"/>
        <d v="1996-04-26T00:00:00"/>
        <d v="1996-04-27T00:00:00"/>
        <d v="1996-04-28T00:00:00"/>
        <d v="1996-04-29T00:00:00"/>
        <d v="1996-04-30T00:00:00"/>
        <d v="1996-05-01T00:00:00"/>
        <d v="1996-05-02T00:00:00"/>
        <d v="1996-05-03T00:00:00"/>
        <d v="1996-05-04T00:00:00"/>
        <d v="1996-05-05T00:00:00"/>
        <d v="1996-05-06T00:00:00"/>
        <d v="1996-05-07T00:00:00"/>
        <d v="1996-05-08T00:00:00"/>
        <d v="1996-05-09T00:00:00"/>
        <d v="1996-05-10T00:00:00"/>
        <d v="1996-05-11T00:00:00"/>
        <d v="1996-05-12T00:00:00"/>
        <d v="1996-05-13T00:00:00"/>
        <d v="1996-05-14T00:00:00"/>
        <d v="1996-05-15T00:00:00"/>
        <d v="1996-05-16T00:00:00"/>
        <d v="1996-05-17T00:00:00"/>
        <d v="1996-05-18T00:00:00"/>
        <d v="1996-05-19T00:00:00"/>
        <d v="1996-05-20T00:00:00"/>
        <d v="1996-05-21T00:00:00"/>
        <d v="1996-05-22T00:00:00"/>
        <d v="1996-05-23T00:00:00"/>
        <d v="1996-05-24T00:00:00"/>
        <d v="1996-05-25T00:00:00"/>
        <d v="1996-05-26T00:00:00"/>
        <d v="1996-05-27T00:00:00"/>
        <d v="1996-05-28T00:00:00"/>
        <d v="1996-05-29T00:00:00"/>
        <d v="1996-05-30T00:00:00"/>
        <d v="1996-05-31T00:00:00"/>
        <d v="1996-06-01T00:00:00"/>
        <d v="1996-06-02T00:00:00"/>
        <d v="1996-06-03T00:00:00"/>
        <d v="1996-06-04T00:00:00"/>
        <d v="1996-06-05T00:00:00"/>
        <d v="1996-06-06T00:00:00"/>
        <d v="1996-06-07T00:00:00"/>
        <d v="1996-06-08T00:00:00"/>
        <d v="1996-06-09T00:00:00"/>
        <d v="1996-06-10T00:00:00"/>
        <d v="1996-06-11T00:00:00"/>
        <d v="1996-06-12T00:00:00"/>
        <d v="1996-06-13T00:00:00"/>
        <d v="1996-06-14T00:00:00"/>
        <d v="1996-06-15T00:00:00"/>
        <d v="1996-06-16T00:00:00"/>
        <d v="1996-06-17T00:00:00"/>
        <d v="1996-06-18T00:00:00"/>
        <d v="1996-06-19T00:00:00"/>
        <d v="1996-06-20T00:00:00"/>
        <d v="1996-06-21T00:00:00"/>
        <d v="1996-06-22T00:00:00"/>
        <d v="1996-06-23T00:00:00"/>
        <d v="1996-06-24T00:00:00"/>
        <d v="1996-06-25T00:00:00"/>
        <d v="1996-06-26T00:00:00"/>
        <d v="1996-06-27T00:00:00"/>
        <d v="1996-06-28T00:00:00"/>
        <d v="1996-06-29T00:00:00"/>
        <d v="1996-06-30T00:00:00"/>
        <d v="1996-07-01T00:00:00"/>
        <d v="1996-07-02T00:00:00"/>
        <d v="1996-07-03T00:00:00"/>
        <d v="1996-07-04T00:00:00"/>
        <d v="1996-07-05T00:00:00"/>
        <d v="1996-07-06T00:00:00"/>
        <d v="1996-07-07T00:00:00"/>
        <d v="1996-07-08T00:00:00"/>
        <d v="1996-07-09T00:00:00"/>
        <d v="1996-07-10T00:00:00"/>
        <d v="1996-07-11T00:00:00"/>
        <d v="1996-07-12T00:00:00"/>
        <d v="1996-07-13T00:00:00"/>
        <d v="1996-07-14T00:00:00"/>
        <d v="1996-07-15T00:00:00"/>
        <d v="1996-07-16T00:00:00"/>
        <d v="1996-07-17T00:00:00"/>
        <d v="1996-07-18T00:00:00"/>
        <d v="1996-07-19T00:00:00"/>
        <d v="1996-07-20T00:00:00"/>
        <d v="1996-07-21T00:00:00"/>
        <d v="1996-07-22T00:00:00"/>
        <d v="1996-07-23T00:00:00"/>
        <d v="1996-07-24T00:00:00"/>
        <d v="1996-07-25T00:00:00"/>
        <d v="1996-07-26T00:00:00"/>
        <d v="1996-07-27T00:00:00"/>
        <d v="1996-07-28T00:00:00"/>
        <d v="1996-07-29T00:00:00"/>
        <d v="1996-07-30T00:00:00"/>
        <d v="1996-07-31T00:00:00"/>
        <d v="1996-08-01T00:00:00"/>
        <d v="1996-08-02T00:00:00"/>
        <d v="1996-08-03T00:00:00"/>
        <d v="1996-08-04T00:00:00"/>
        <d v="1996-08-05T00:00:00"/>
        <d v="1996-08-06T00:00:00"/>
        <d v="1996-08-07T00:00:00"/>
        <d v="1996-08-08T00:00:00"/>
        <d v="1996-08-09T00:00:00"/>
        <d v="1996-08-10T00:00:00"/>
        <d v="1996-08-11T00:00:00"/>
        <d v="1996-08-12T00:00:00"/>
        <d v="1996-08-13T00:00:00"/>
        <d v="1996-08-14T00:00:00"/>
        <d v="1996-08-15T00:00:00"/>
        <d v="1996-08-16T00:00:00"/>
        <d v="1996-08-17T00:00:00"/>
        <d v="1996-08-18T00:00:00"/>
        <d v="1996-08-19T00:00:00"/>
        <d v="1996-08-20T00:00:00"/>
        <d v="1996-08-21T00:00:00"/>
        <d v="1996-08-22T00:00:00"/>
        <d v="1996-08-23T00:00:00"/>
        <d v="1996-08-24T00:00:00"/>
        <d v="1996-08-25T00:00:00"/>
        <d v="1996-08-26T00:00:00"/>
        <d v="1996-08-27T00:00:00"/>
        <d v="1996-08-28T00:00:00"/>
        <d v="1996-08-29T00:00:00"/>
        <d v="1996-08-30T00:00:00"/>
        <d v="1996-08-31T00:00:00"/>
        <d v="1996-09-01T00:00:00"/>
        <d v="1996-09-02T00:00:00"/>
        <d v="1996-09-03T00:00:00"/>
        <d v="1996-09-04T00:00:00"/>
        <d v="1996-09-05T00:00:00"/>
        <d v="1996-09-06T00:00:00"/>
        <d v="1996-09-07T00:00:00"/>
        <d v="1996-09-08T00:00:00"/>
        <d v="1996-09-09T00:00:00"/>
        <d v="1996-09-10T00:00:00"/>
        <d v="1996-09-11T00:00:00"/>
        <d v="1996-09-12T00:00:00"/>
        <d v="1996-09-13T00:00:00"/>
        <d v="1996-09-14T00:00:00"/>
        <d v="1996-09-15T00:00:00"/>
        <d v="1996-09-16T00:00:00"/>
        <d v="1996-09-17T00:00:00"/>
        <d v="1996-09-18T00:00:00"/>
        <d v="1996-09-19T00:00:00"/>
        <d v="1996-09-20T00:00:00"/>
        <d v="1996-09-21T00:00:00"/>
        <d v="1996-09-22T00:00:00"/>
        <d v="1996-09-23T00:00:00"/>
        <d v="1996-09-24T00:00:00"/>
        <d v="1996-09-25T00:00:00"/>
        <d v="1996-09-26T00:00:00"/>
        <d v="1996-09-27T00:00:00"/>
        <d v="1996-09-28T00:00:00"/>
        <d v="1996-09-29T00:00:00"/>
        <d v="1996-09-30T00:00:00"/>
        <d v="1996-10-01T00:00:00"/>
        <d v="1996-10-02T00:00:00"/>
        <d v="1996-10-03T00:00:00"/>
        <d v="1996-10-04T00:00:00"/>
        <d v="1996-10-05T00:00:00"/>
        <d v="1996-10-06T00:00:00"/>
        <d v="1996-10-07T00:00:00"/>
        <d v="1996-10-08T00:00:00"/>
        <d v="1996-10-09T00:00:00"/>
        <d v="1996-10-10T00:00:00"/>
        <d v="1996-10-11T00:00:00"/>
        <d v="1996-10-12T00:00:00"/>
        <d v="1996-10-13T00:00:00"/>
        <d v="1996-10-14T00:00:00"/>
        <d v="1996-10-15T00:00:00"/>
        <d v="1996-10-16T00:00:00"/>
        <d v="1996-10-17T00:00:00"/>
        <d v="1996-10-18T00:00:00"/>
        <d v="1996-10-19T00:00:00"/>
        <d v="1996-10-20T00:00:00"/>
        <d v="1996-10-21T00:00:00"/>
        <d v="1996-10-22T00:00:00"/>
        <d v="1996-10-23T00:00:00"/>
        <d v="1996-10-24T00:00:00"/>
        <d v="1996-10-25T00:00:00"/>
        <d v="1996-10-26T00:00:00"/>
        <d v="1996-10-27T00:00:00"/>
        <d v="1996-10-28T00:00:00"/>
        <d v="1996-10-29T00:00:00"/>
        <d v="1996-10-30T00:00:00"/>
        <d v="1996-10-31T00:00:00"/>
        <d v="1996-11-01T00:00:00"/>
        <d v="1996-11-02T00:00:00"/>
        <d v="1996-11-03T00:00:00"/>
        <d v="1996-11-04T00:00:00"/>
        <d v="1996-11-05T00:00:00"/>
        <d v="1996-11-06T00:00:00"/>
        <d v="1996-11-07T00:00:00"/>
        <d v="1996-11-08T00:00:00"/>
        <d v="1996-11-09T00:00:00"/>
        <d v="1996-11-10T00:00:00"/>
        <d v="1996-11-11T00:00:00"/>
        <d v="1996-11-12T00:00:00"/>
        <d v="1996-11-13T00:00:00"/>
        <d v="1996-11-14T00:00:00"/>
        <d v="1996-11-15T00:00:00"/>
        <d v="1996-11-16T00:00:00"/>
        <d v="1996-11-17T00:00:00"/>
        <d v="1996-11-18T00:00:00"/>
        <d v="1996-11-19T00:00:00"/>
        <d v="1996-11-20T00:00:00"/>
        <d v="1996-11-21T00:00:00"/>
        <d v="1996-11-22T00:00:00"/>
        <d v="1996-11-23T00:00:00"/>
        <d v="1996-11-24T00:00:00"/>
        <d v="1996-11-25T00:00:00"/>
        <d v="1996-11-26T00:00:00"/>
        <d v="1996-11-27T00:00:00"/>
        <d v="1996-11-28T00:00:00"/>
        <d v="1996-11-29T00:00:00"/>
        <d v="1996-11-30T00:00:00"/>
        <d v="1996-12-01T00:00:00"/>
        <d v="1996-12-02T00:00:00"/>
        <d v="1996-12-03T00:00:00"/>
        <d v="1996-12-04T00:00:00"/>
        <d v="1996-12-05T00:00:00"/>
        <d v="1996-12-06T00:00:00"/>
        <d v="1996-12-07T00:00:00"/>
        <d v="1996-12-08T00:00:00"/>
        <d v="1996-12-09T00:00:00"/>
        <d v="1996-12-10T00:00:00"/>
        <d v="1996-12-11T00:00:00"/>
        <d v="1996-12-12T00:00:00"/>
        <d v="1996-12-13T00:00:00"/>
        <d v="1996-12-14T00:00:00"/>
        <d v="1996-12-15T00:00:00"/>
        <d v="1996-12-16T00:00:00"/>
        <d v="1996-12-17T00:00:00"/>
        <d v="1996-12-18T00:00:00"/>
        <d v="1996-12-19T00:00:00"/>
        <d v="1996-12-20T00:00:00"/>
        <d v="1996-12-21T00:00:00"/>
        <d v="1996-12-22T00:00:00"/>
        <d v="1996-12-23T00:00:00"/>
        <d v="1996-12-24T00:00:00"/>
        <d v="1996-12-25T00:00:00"/>
        <d v="1996-12-26T00:00:00"/>
        <d v="1996-12-27T00:00:00"/>
        <d v="1996-12-28T00:00:00"/>
        <d v="1996-12-29T00:00:00"/>
        <d v="1996-12-30T00:00:00"/>
        <d v="1996-12-31T00:00:00"/>
        <d v="1997-01-01T00:00:00"/>
        <d v="1997-01-02T00:00:00"/>
        <d v="1997-01-03T00:00:00"/>
        <d v="1997-01-04T00:00:00"/>
        <d v="1997-01-05T00:00:00"/>
        <d v="1997-01-06T00:00:00"/>
        <d v="1997-01-07T00:00:00"/>
        <d v="1997-01-08T00:00:00"/>
        <d v="1997-01-09T00:00:00"/>
        <d v="1997-01-10T00:00:00"/>
        <d v="1997-01-11T00:00:00"/>
        <d v="1997-01-12T00:00:00"/>
        <d v="1997-01-13T00:00:00"/>
        <d v="1997-01-14T00:00:00"/>
        <d v="1997-01-15T00:00:00"/>
        <d v="1997-01-16T00:00:00"/>
        <d v="1997-01-17T00:00:00"/>
        <d v="1997-01-18T00:00:00"/>
        <d v="1997-01-19T00:00:00"/>
        <d v="1997-01-20T00:00:00"/>
        <d v="1997-01-21T00:00:00"/>
        <d v="1997-01-22T00:00:00"/>
        <d v="1997-01-23T00:00:00"/>
        <d v="1997-01-24T00:00:00"/>
        <d v="1997-01-25T00:00:00"/>
        <d v="1997-01-26T00:00:00"/>
        <d v="1997-01-27T00:00:00"/>
        <d v="1997-01-28T00:00:00"/>
        <d v="1997-01-29T00:00:00"/>
        <d v="1997-01-30T00:00:00"/>
        <d v="1997-01-31T00:00:00"/>
        <d v="1997-02-01T00:00:00"/>
        <d v="1997-02-02T00:00:00"/>
        <d v="1997-02-03T00:00:00"/>
        <d v="1997-02-04T00:00:00"/>
        <d v="1997-02-05T00:00:00"/>
        <d v="1997-02-06T00:00:00"/>
        <d v="1997-02-07T00:00:00"/>
        <d v="1997-02-08T00:00:00"/>
        <d v="1997-02-09T00:00:00"/>
        <d v="1997-02-10T00:00:00"/>
        <d v="1997-02-11T00:00:00"/>
        <d v="1997-02-12T00:00:00"/>
        <d v="1997-02-13T00:00:00"/>
        <d v="1997-02-14T00:00:00"/>
        <d v="1997-02-15T00:00:00"/>
        <d v="1997-02-16T00:00:00"/>
        <d v="1997-02-17T00:00:00"/>
        <d v="1997-02-18T00:00:00"/>
        <d v="1997-02-19T00:00:00"/>
        <d v="1997-02-20T00:00:00"/>
        <d v="1997-02-21T00:00:00"/>
        <d v="1997-02-22T00:00:00"/>
        <d v="1997-02-23T00:00:00"/>
        <d v="1997-02-24T00:00:00"/>
        <d v="1997-02-25T00:00:00"/>
        <d v="1997-02-26T00:00:00"/>
        <d v="1997-02-27T00:00:00"/>
        <d v="1997-02-28T00:00:00"/>
        <d v="1997-03-01T00:00:00"/>
        <d v="1997-03-02T00:00:00"/>
        <d v="1997-03-03T00:00:00"/>
        <d v="1997-03-04T00:00:00"/>
        <d v="1997-03-05T00:00:00"/>
        <d v="1997-03-06T00:00:00"/>
        <d v="1997-03-07T00:00:00"/>
        <d v="1997-03-08T00:00:00"/>
        <d v="1997-03-09T00:00:00"/>
        <d v="1997-03-10T00:00:00"/>
        <d v="1997-03-11T00:00:00"/>
        <d v="1997-03-12T00:00:00"/>
        <d v="1997-03-13T00:00:00"/>
        <d v="1997-03-14T00:00:00"/>
        <d v="1997-03-15T00:00:00"/>
        <d v="1997-03-16T00:00:00"/>
        <d v="1997-03-17T00:00:00"/>
        <d v="1997-03-18T00:00:00"/>
        <d v="1997-03-19T00:00:00"/>
        <d v="1997-03-20T00:00:00"/>
        <d v="1997-03-21T00:00:00"/>
        <d v="1997-03-22T00:00:00"/>
        <d v="1997-03-23T00:00:00"/>
        <d v="1997-03-24T00:00:00"/>
        <d v="1997-03-25T00:00:00"/>
        <d v="1997-03-26T00:00:00"/>
        <d v="1997-03-27T00:00:00"/>
        <d v="1997-03-28T00:00:00"/>
        <d v="1997-03-29T00:00:00"/>
        <d v="1997-03-30T00:00:00"/>
        <d v="1997-03-31T00:00:00"/>
        <d v="1997-04-01T00:00:00"/>
        <d v="1997-04-02T00:00:00"/>
        <d v="1997-04-03T00:00:00"/>
        <d v="1997-04-04T00:00:00"/>
        <d v="1997-04-05T00:00:00"/>
        <d v="1997-04-06T00:00:00"/>
        <d v="1997-04-07T00:00:00"/>
        <d v="1997-04-08T00:00:00"/>
        <d v="1997-04-09T00:00:00"/>
        <d v="1997-04-10T00:00:00"/>
        <d v="1997-04-11T00:00:00"/>
        <d v="1997-04-12T00:00:00"/>
        <d v="1997-04-13T00:00:00"/>
        <d v="1997-04-14T00:00:00"/>
        <d v="1997-04-15T00:00:00"/>
        <d v="1997-04-16T00:00:00"/>
        <d v="1997-04-17T00:00:00"/>
        <d v="1997-04-18T00:00:00"/>
        <d v="1997-04-19T00:00:00"/>
        <d v="1997-04-20T00:00:00"/>
        <d v="1997-04-21T00:00:00"/>
        <d v="1997-04-22T00:00:00"/>
        <d v="1997-04-23T00:00:00"/>
        <d v="1997-04-24T00:00:00"/>
        <d v="1997-04-25T00:00:00"/>
        <d v="1997-04-26T00:00:00"/>
        <d v="1997-04-27T00:00:00"/>
        <d v="1997-04-28T00:00:00"/>
        <d v="1997-04-29T00:00:00"/>
        <d v="1997-04-30T00:00:00"/>
        <d v="1997-05-01T00:00:00"/>
        <d v="1997-05-02T00:00:00"/>
        <d v="1997-05-03T00:00:00"/>
        <d v="1997-05-04T00:00:00"/>
        <d v="1997-05-05T00:00:00"/>
        <d v="1997-05-06T00:00:00"/>
        <d v="1997-05-07T00:00:00"/>
        <d v="1997-05-08T00:00:00"/>
        <d v="1997-05-09T00:00:00"/>
        <d v="1997-05-10T00:00:00"/>
        <d v="1997-05-11T00:00:00"/>
        <d v="1997-05-12T00:00:00"/>
        <d v="1997-05-13T00:00:00"/>
        <d v="1997-05-14T00:00:00"/>
        <d v="1997-05-15T00:00:00"/>
        <d v="1997-05-16T00:00:00"/>
        <d v="1997-05-17T00:00:00"/>
        <d v="1997-05-18T00:00:00"/>
        <d v="1997-05-19T00:00:00"/>
        <d v="1997-05-20T00:00:00"/>
        <d v="1997-05-21T00:00:00"/>
        <d v="1997-05-22T00:00:00"/>
        <d v="1997-05-23T00:00:00"/>
        <d v="1997-05-24T00:00:00"/>
        <d v="1997-05-25T00:00:00"/>
        <d v="1997-05-26T00:00:00"/>
        <d v="1997-05-27T00:00:00"/>
        <d v="1997-05-28T00:00:00"/>
        <d v="1997-05-29T00:00:00"/>
        <d v="1997-05-30T00:00:00"/>
        <d v="1997-05-31T00:00:00"/>
        <d v="1997-06-01T00:00:00"/>
        <d v="1997-06-02T00:00:00"/>
        <d v="1997-06-03T00:00:00"/>
        <d v="1997-06-04T00:00:00"/>
        <d v="1997-06-05T00:00:00"/>
        <d v="1997-06-06T00:00:00"/>
        <d v="1997-06-07T00:00:00"/>
        <d v="1997-06-08T00:00:00"/>
        <d v="1997-06-09T00:00:00"/>
        <d v="1997-06-10T00:00:00"/>
        <d v="1997-06-11T00:00:00"/>
        <d v="1997-06-12T00:00:00"/>
        <d v="1997-06-13T00:00:00"/>
        <d v="1997-06-14T00:00:00"/>
        <d v="1997-06-15T00:00:00"/>
        <d v="1997-06-16T00:00:00"/>
        <d v="1997-06-17T00:00:00"/>
        <d v="1997-06-18T00:00:00"/>
        <d v="1997-06-19T00:00:00"/>
        <d v="1997-06-20T00:00:00"/>
        <d v="1997-06-21T00:00:00"/>
        <d v="1997-06-22T00:00:00"/>
        <d v="1997-06-23T00:00:00"/>
        <d v="1997-06-24T00:00:00"/>
        <d v="1997-06-25T00:00:00"/>
        <d v="1997-06-26T00:00:00"/>
        <d v="1997-06-27T00:00:00"/>
        <d v="1997-06-28T00:00:00"/>
        <d v="1997-06-29T00:00:00"/>
        <d v="1997-06-30T00:00:00"/>
        <d v="1997-07-01T00:00:00"/>
        <d v="1997-07-02T00:00:00"/>
        <d v="1997-07-03T00:00:00"/>
        <d v="1997-07-04T00:00:00"/>
        <d v="1997-07-05T00:00:00"/>
        <d v="1997-07-06T00:00:00"/>
        <d v="1997-07-07T00:00:00"/>
        <d v="1997-07-08T00:00:00"/>
        <d v="1997-07-09T00:00:00"/>
        <d v="1997-07-10T00:00:00"/>
        <d v="1997-07-11T00:00:00"/>
        <d v="1997-07-12T00:00:00"/>
        <d v="1997-07-13T00:00:00"/>
        <d v="1997-07-14T00:00:00"/>
        <d v="1997-07-15T00:00:00"/>
        <d v="1997-07-16T00:00:00"/>
        <d v="1997-07-17T00:00:00"/>
        <d v="1997-07-18T00:00:00"/>
        <d v="1997-07-19T00:00:00"/>
        <d v="1997-07-20T00:00:00"/>
        <d v="1997-07-21T00:00:00"/>
        <d v="1997-07-22T00:00:00"/>
        <d v="1997-07-23T00:00:00"/>
        <d v="1997-07-24T00:00:00"/>
        <d v="1997-07-25T00:00:00"/>
        <d v="1997-07-26T00:00:00"/>
        <d v="1997-07-27T00:00:00"/>
        <d v="1997-07-28T00:00:00"/>
        <d v="1997-07-29T00:00:00"/>
        <d v="1997-07-30T00:00:00"/>
        <d v="1997-07-31T00:00:00"/>
        <d v="1997-08-01T00:00:00"/>
        <d v="1997-08-02T00:00:00"/>
        <d v="1997-08-03T00:00:00"/>
        <d v="1997-08-04T00:00:00"/>
        <d v="1997-08-05T00:00:00"/>
        <d v="1997-08-06T00:00:00"/>
        <d v="1997-08-07T00:00:00"/>
        <d v="1997-08-08T00:00:00"/>
        <d v="1997-08-09T00:00:00"/>
        <d v="1997-08-10T00:00:00"/>
        <d v="1997-08-11T00:00:00"/>
        <d v="1997-08-12T00:00:00"/>
        <d v="1997-08-13T00:00:00"/>
        <d v="1997-08-14T00:00:00"/>
        <d v="1997-08-15T00:00:00"/>
        <d v="1997-08-16T00:00:00"/>
        <d v="1997-08-17T00:00:00"/>
        <d v="1997-08-18T00:00:00"/>
        <d v="1997-08-19T00:00:00"/>
        <d v="1997-08-20T00:00:00"/>
        <d v="1997-08-21T00:00:00"/>
        <d v="1997-08-22T00:00:00"/>
        <d v="1997-08-23T00:00:00"/>
        <d v="1997-08-24T00:00:00"/>
        <d v="1997-08-25T00:00:00"/>
        <d v="1997-08-26T00:00:00"/>
        <d v="1997-08-27T00:00:00"/>
        <d v="1997-08-28T00:00:00"/>
        <d v="1997-08-29T00:00:00"/>
        <d v="1997-08-30T00:00:00"/>
        <d v="1997-08-31T00:00:00"/>
        <d v="1997-09-01T00:00:00"/>
        <d v="1997-09-02T00:00:00"/>
        <d v="1997-09-03T00:00:00"/>
        <d v="1997-09-04T00:00:00"/>
        <d v="1997-09-05T00:00:00"/>
        <d v="1997-09-06T00:00:00"/>
        <d v="1997-09-07T00:00:00"/>
        <d v="1997-09-08T00:00:00"/>
        <d v="1997-09-09T00:00:00"/>
        <d v="1997-09-10T00:00:00"/>
        <d v="1997-09-11T00:00:00"/>
        <d v="1997-09-12T00:00:00"/>
        <d v="1997-09-13T00:00:00"/>
        <d v="1997-09-14T00:00:00"/>
        <d v="1997-09-15T00:00:00"/>
        <d v="1997-09-16T00:00:00"/>
        <d v="1997-09-17T00:00:00"/>
        <d v="1997-09-18T00:00:00"/>
        <d v="1997-09-19T00:00:00"/>
        <d v="1997-09-20T00:00:00"/>
        <d v="1997-09-21T00:00:00"/>
        <d v="1997-09-22T00:00:00"/>
        <d v="1997-09-23T00:00:00"/>
        <d v="1997-09-24T00:00:00"/>
        <d v="1997-09-25T00:00:00"/>
        <d v="1997-09-26T00:00:00"/>
        <d v="1997-09-27T00:00:00"/>
        <d v="1997-09-28T00:00:00"/>
        <d v="1997-09-29T00:00:00"/>
        <d v="1997-09-30T00:00:00"/>
        <d v="1997-10-01T00:00:00"/>
        <d v="1997-10-02T00:00:00"/>
        <d v="1997-10-03T00:00:00"/>
        <d v="1997-10-04T00:00:00"/>
        <d v="1997-10-05T00:00:00"/>
        <d v="1997-10-06T00:00:00"/>
        <d v="1997-10-07T00:00:00"/>
        <d v="1997-10-08T00:00:00"/>
        <d v="1997-10-09T00:00:00"/>
        <d v="1997-10-10T00:00:00"/>
        <d v="1997-10-11T00:00:00"/>
        <d v="1997-10-12T00:00:00"/>
        <d v="1997-10-13T00:00:00"/>
        <d v="1997-10-14T00:00:00"/>
        <d v="1997-10-15T00:00:00"/>
        <d v="1997-10-16T00:00:00"/>
        <d v="1997-10-17T00:00:00"/>
        <d v="1997-10-18T00:00:00"/>
        <d v="1997-10-19T00:00:00"/>
        <d v="1997-10-20T00:00:00"/>
        <d v="1997-10-21T00:00:00"/>
        <d v="1997-10-22T00:00:00"/>
        <d v="1997-10-23T00:00:00"/>
        <d v="1997-10-24T00:00:00"/>
        <d v="1997-10-25T00:00:00"/>
        <d v="1997-10-26T00:00:00"/>
        <d v="1997-10-27T00:00:00"/>
        <d v="1997-10-28T00:00:00"/>
        <d v="1997-10-29T00:00:00"/>
        <d v="1997-10-30T00:00:00"/>
        <d v="1997-10-31T00:00:00"/>
        <d v="1997-11-01T00:00:00"/>
        <d v="1997-11-02T00:00:00"/>
        <d v="1997-11-03T00:00:00"/>
        <d v="1997-11-04T00:00:00"/>
        <d v="1997-11-05T00:00:00"/>
        <d v="1997-11-06T00:00:00"/>
        <d v="1997-11-07T00:00:00"/>
        <d v="1997-11-08T00:00:00"/>
        <d v="1997-11-09T00:00:00"/>
        <d v="1997-11-10T00:00:00"/>
        <d v="1997-11-11T00:00:00"/>
        <d v="1997-11-12T00:00:00"/>
        <d v="1997-11-13T00:00:00"/>
        <d v="1997-11-14T00:00:00"/>
        <d v="1997-11-15T00:00:00"/>
        <d v="1997-11-16T00:00:00"/>
        <d v="1997-11-17T00:00:00"/>
        <d v="1997-11-18T00:00:00"/>
        <d v="1997-11-19T00:00:00"/>
        <d v="1997-11-20T00:00:00"/>
        <d v="1997-11-21T00:00:00"/>
        <d v="1997-11-22T00:00:00"/>
        <d v="1997-11-23T00:00:00"/>
        <d v="1997-11-24T00:00:00"/>
        <d v="1997-11-25T00:00:00"/>
        <d v="1997-11-26T00:00:00"/>
        <d v="1997-11-27T00:00:00"/>
        <d v="1997-11-28T00:00:00"/>
        <d v="1997-11-29T00:00:00"/>
        <d v="1997-11-30T00:00:00"/>
        <d v="1997-12-01T00:00:00"/>
        <d v="1997-12-02T00:00:00"/>
        <d v="1997-12-03T00:00:00"/>
        <d v="1997-12-04T00:00:00"/>
        <d v="1997-12-05T00:00:00"/>
        <d v="1997-12-06T00:00:00"/>
        <d v="1997-12-07T00:00:00"/>
        <d v="1997-12-08T00:00:00"/>
        <d v="1997-12-09T00:00:00"/>
        <d v="1997-12-10T00:00:00"/>
        <d v="1997-12-11T00:00:00"/>
        <d v="1997-12-12T00:00:00"/>
        <d v="1997-12-13T00:00:00"/>
        <d v="1997-12-14T00:00:00"/>
        <d v="1997-12-15T00:00:00"/>
        <d v="1997-12-16T00:00:00"/>
        <d v="1997-12-17T00:00:00"/>
        <d v="1997-12-18T00:00:00"/>
        <d v="1997-12-19T00:00:00"/>
        <d v="1997-12-20T00:00:00"/>
        <d v="1997-12-21T00:00:00"/>
        <d v="1997-12-22T00:00:00"/>
        <d v="1997-12-23T00:00:00"/>
        <d v="1997-12-24T00:00:00"/>
        <d v="1997-12-25T00:00:00"/>
        <d v="1997-12-26T00:00:00"/>
        <d v="1997-12-27T00:00:00"/>
        <d v="1997-12-28T00:00:00"/>
        <d v="1997-12-29T00:00:00"/>
        <d v="1997-12-30T00:00:00"/>
        <d v="1997-12-31T00:00:00"/>
        <d v="1998-01-01T00:00:00"/>
        <d v="1998-01-02T00:00:00"/>
        <d v="1998-01-03T00:00:00"/>
        <d v="1998-01-04T00:00:00"/>
        <d v="1998-01-05T00:00:00"/>
        <d v="1998-01-06T00:00:00"/>
        <d v="1998-01-07T00:00:00"/>
        <d v="1998-01-08T00:00:00"/>
        <d v="1998-01-09T00:00:00"/>
        <d v="1998-01-10T00:00:00"/>
        <d v="1998-01-11T00:00:00"/>
        <d v="1998-01-12T00:00:00"/>
        <d v="1998-01-13T00:00:00"/>
        <d v="1998-01-14T00:00:00"/>
        <d v="1998-01-15T00:00:00"/>
        <d v="1998-01-16T00:00:00"/>
        <d v="1998-01-17T00:00:00"/>
        <d v="1998-01-18T00:00:00"/>
        <d v="1998-01-19T00:00:00"/>
        <d v="1998-01-20T00:00:00"/>
        <d v="1998-01-21T00:00:00"/>
        <d v="1998-01-22T00:00:00"/>
        <d v="1998-01-23T00:00:00"/>
        <d v="1998-01-24T00:00:00"/>
        <d v="1998-01-25T00:00:00"/>
        <d v="1998-01-26T00:00:00"/>
        <d v="1998-01-27T00:00:00"/>
        <d v="1998-01-28T00:00:00"/>
        <d v="1998-01-29T00:00:00"/>
        <d v="1998-01-30T00:00:00"/>
        <d v="1998-01-31T00:00:00"/>
        <d v="1998-02-01T00:00:00"/>
        <d v="1998-02-02T00:00:00"/>
        <d v="1998-02-03T00:00:00"/>
        <d v="1998-02-04T00:00:00"/>
        <d v="1998-02-05T00:00:00"/>
        <d v="1998-02-06T00:00:00"/>
        <d v="1998-02-07T00:00:00"/>
        <d v="1998-02-08T00:00:00"/>
        <d v="1998-02-09T00:00:00"/>
        <d v="1998-02-10T00:00:00"/>
        <d v="1998-02-11T00:00:00"/>
        <d v="1998-02-12T00:00:00"/>
        <d v="1998-02-13T00:00:00"/>
        <d v="1998-02-14T00:00:00"/>
        <d v="1998-02-15T00:00:00"/>
        <d v="1998-02-16T00:00:00"/>
        <d v="1998-02-17T00:00:00"/>
        <d v="1998-02-18T00:00:00"/>
        <d v="1998-02-19T00:00:00"/>
        <d v="1998-02-20T00:00:00"/>
        <d v="1998-02-21T00:00:00"/>
        <d v="1998-02-22T00:00:00"/>
        <d v="1998-02-23T00:00:00"/>
        <d v="1998-02-24T00:00:00"/>
        <d v="1998-02-25T00:00:00"/>
        <d v="1998-02-26T00:00:00"/>
        <d v="1998-02-27T00:00:00"/>
        <d v="1998-02-28T00:00:00"/>
        <d v="1998-03-01T00:00:00"/>
        <d v="1998-03-02T00:00:00"/>
        <d v="1998-03-03T00:00:00"/>
        <d v="1998-03-04T00:00:00"/>
        <d v="1998-03-05T00:00:00"/>
        <d v="1998-03-06T00:00:00"/>
        <d v="1998-03-07T00:00:00"/>
        <d v="1998-03-08T00:00:00"/>
        <d v="1998-03-09T00:00:00"/>
        <d v="1998-03-10T00:00:00"/>
        <d v="1998-03-11T00:00:00"/>
        <d v="1998-03-12T00:00:00"/>
        <d v="1998-03-13T00:00:00"/>
        <d v="1998-03-14T00:00:00"/>
        <d v="1998-03-15T00:00:00"/>
        <d v="1998-03-16T00:00:00"/>
        <d v="1998-03-17T00:00:00"/>
        <d v="1998-03-18T00:00:00"/>
        <d v="1998-03-19T00:00:00"/>
        <d v="1998-03-20T00:00:00"/>
        <d v="1998-03-21T00:00:00"/>
        <d v="1998-03-22T00:00:00"/>
        <d v="1998-03-23T00:00:00"/>
        <d v="1998-03-24T00:00:00"/>
        <d v="1998-03-25T00:00:00"/>
        <d v="1998-03-26T00:00:00"/>
        <d v="1998-03-27T00:00:00"/>
        <d v="1998-03-28T00:00:00"/>
        <d v="1998-03-29T00:00:00"/>
        <d v="1998-03-30T00:00:00"/>
        <d v="1998-03-31T00:00:00"/>
        <d v="1998-04-01T00:00:00"/>
        <d v="1998-04-02T00:00:00"/>
        <d v="1998-04-03T00:00:00"/>
        <d v="1998-04-04T00:00:00"/>
        <d v="1998-04-05T00:00:00"/>
        <d v="1998-04-06T00:00:00"/>
        <d v="1998-04-07T00:00:00"/>
        <d v="1998-04-08T00:00:00"/>
        <d v="1998-04-09T00:00:00"/>
        <d v="1998-04-10T00:00:00"/>
        <d v="1998-04-11T00:00:00"/>
        <d v="1998-04-12T00:00:00"/>
        <d v="1998-04-13T00:00:00"/>
        <d v="1998-04-14T00:00:00"/>
        <d v="1998-04-15T00:00:00"/>
        <d v="1998-04-16T00:00:00"/>
        <d v="1998-04-17T00:00:00"/>
        <d v="1998-04-18T00:00:00"/>
        <d v="1998-04-19T00:00:00"/>
        <d v="1998-04-20T00:00:00"/>
        <d v="1998-04-21T00:00:00"/>
        <d v="1998-04-22T00:00:00"/>
        <d v="1998-04-23T00:00:00"/>
        <d v="1998-04-24T00:00:00"/>
        <d v="1998-04-25T00:00:00"/>
        <d v="1998-04-26T00:00:00"/>
        <d v="1998-04-27T00:00:00"/>
        <d v="1998-04-28T00:00:00"/>
        <d v="1998-04-29T00:00:00"/>
        <d v="1998-04-30T00:00:00"/>
        <d v="1998-05-01T00:00:00"/>
        <d v="1998-05-02T00:00:00"/>
        <d v="1998-05-03T00:00:00"/>
        <d v="1998-05-04T00:00:00"/>
        <d v="1998-05-05T00:00:00"/>
        <d v="1998-05-06T00:00:00"/>
        <d v="1998-05-07T00:00:00"/>
        <d v="1998-05-08T00:00:00"/>
        <d v="1998-05-09T00:00:00"/>
        <d v="1998-05-10T00:00:00"/>
        <d v="1998-05-11T00:00:00"/>
        <d v="1998-05-12T00:00:00"/>
        <d v="1998-05-13T00:00:00"/>
        <d v="1998-05-14T00:00:00"/>
        <d v="1998-05-15T00:00:00"/>
        <d v="1998-05-16T00:00:00"/>
        <d v="1998-05-17T00:00:00"/>
        <d v="1998-05-18T00:00:00"/>
        <d v="1998-05-19T00:00:00"/>
        <d v="1998-05-20T00:00:00"/>
        <d v="1998-05-21T00:00:00"/>
        <d v="1998-05-22T00:00:00"/>
        <d v="1998-05-23T00:00:00"/>
        <d v="1998-05-24T00:00:00"/>
        <d v="1998-05-25T00:00:00"/>
        <d v="1998-05-26T00:00:00"/>
        <d v="1998-05-27T00:00:00"/>
        <d v="1998-05-28T00:00:00"/>
        <d v="1998-05-29T00:00:00"/>
        <d v="1998-05-30T00:00:00"/>
        <d v="1998-05-31T00:00:00"/>
        <d v="1998-06-01T00:00:00"/>
        <d v="1998-06-02T00:00:00"/>
        <d v="1998-06-03T00:00:00"/>
        <d v="1998-06-04T00:00:00"/>
        <d v="1998-06-05T00:00:00"/>
        <d v="1998-06-06T00:00:00"/>
        <d v="1998-06-07T00:00:00"/>
        <d v="1998-06-08T00:00:00"/>
        <d v="1998-06-09T00:00:00"/>
        <d v="1998-06-10T00:00:00"/>
        <d v="1998-06-11T00:00:00"/>
        <d v="1998-06-12T00:00:00"/>
        <d v="1998-06-13T00:00:00"/>
        <d v="1998-06-14T00:00:00"/>
        <d v="1998-06-15T00:00:00"/>
        <d v="1998-06-16T00:00:00"/>
        <d v="1998-06-17T00:00:00"/>
        <d v="1998-06-18T00:00:00"/>
        <d v="1998-06-19T00:00:00"/>
        <d v="1998-06-20T00:00:00"/>
        <d v="1998-06-21T00:00:00"/>
        <d v="1998-06-22T00:00:00"/>
        <d v="1998-06-23T00:00:00"/>
        <d v="1998-06-24T00:00:00"/>
        <d v="1998-06-25T00:00:00"/>
        <d v="1998-06-26T00:00:00"/>
        <d v="1998-06-27T00:00:00"/>
        <d v="1998-06-28T00:00:00"/>
        <d v="1998-06-29T00:00:00"/>
        <d v="1998-06-30T00:00:00"/>
        <d v="1998-07-01T00:00:00"/>
        <d v="1998-07-02T00:00:00"/>
        <d v="1998-07-03T00:00:00"/>
        <d v="1998-07-04T00:00:00"/>
        <d v="1998-07-05T00:00:00"/>
        <d v="1998-07-06T00:00:00"/>
        <d v="1998-07-07T00:00:00"/>
        <d v="1998-07-08T00:00:00"/>
        <d v="1998-07-09T00:00:00"/>
        <d v="1998-07-10T00:00:00"/>
        <d v="1998-07-11T00:00:00"/>
        <d v="1998-07-12T00:00:00"/>
        <d v="1998-07-13T00:00:00"/>
        <d v="1998-07-14T00:00:00"/>
        <d v="1998-07-15T00:00:00"/>
        <d v="1998-07-16T00:00:00"/>
        <d v="1998-07-17T00:00:00"/>
        <d v="1998-07-18T00:00:00"/>
        <d v="1998-07-19T00:00:00"/>
        <d v="1998-07-20T00:00:00"/>
        <d v="1998-07-21T00:00:00"/>
        <d v="1998-07-22T00:00:00"/>
        <d v="1998-07-23T00:00:00"/>
        <d v="1998-07-24T00:00:00"/>
        <d v="1998-07-25T00:00:00"/>
        <d v="1998-07-26T00:00:00"/>
        <d v="1998-07-27T00:00:00"/>
        <d v="1998-07-28T00:00:00"/>
        <d v="1998-07-29T00:00:00"/>
        <d v="1998-07-30T00:00:00"/>
        <d v="1998-07-31T00:00:00"/>
        <d v="1998-08-01T00:00:00"/>
        <d v="1998-08-02T00:00:00"/>
        <d v="1998-08-03T00:00:00"/>
        <d v="1998-08-04T00:00:00"/>
        <d v="1998-08-05T00:00:00"/>
        <d v="1998-08-06T00:00:00"/>
        <d v="1998-08-07T00:00:00"/>
        <d v="1998-08-08T00:00:00"/>
        <d v="1998-08-09T00:00:00"/>
        <d v="1998-08-10T00:00:00"/>
        <d v="1998-08-11T00:00:00"/>
        <d v="1998-08-12T00:00:00"/>
        <d v="1998-08-13T00:00:00"/>
        <d v="1998-08-14T00:00:00"/>
        <d v="1998-08-15T00:00:00"/>
        <d v="1998-08-16T00:00:00"/>
        <d v="1998-08-17T00:00:00"/>
        <d v="1998-08-18T00:00:00"/>
        <d v="1998-08-19T00:00:00"/>
        <d v="1998-08-20T00:00:00"/>
        <d v="1998-08-21T00:00:00"/>
        <d v="1998-08-22T00:00:00"/>
        <d v="1998-08-23T00:00:00"/>
        <d v="1998-08-24T00:00:00"/>
        <d v="1998-08-25T00:00:00"/>
        <d v="1998-08-26T00:00:00"/>
        <d v="1998-08-27T00:00:00"/>
        <d v="1998-08-28T00:00:00"/>
        <d v="1998-08-29T00:00:00"/>
        <d v="1998-08-30T00:00:00"/>
        <d v="1998-08-31T00:00:00"/>
        <d v="1998-09-01T00:00:00"/>
        <d v="1998-09-02T00:00:00"/>
        <d v="1998-09-03T00:00:00"/>
        <d v="1998-09-04T00:00:00"/>
        <d v="1998-09-05T00:00:00"/>
        <d v="1998-09-06T00:00:00"/>
        <d v="1998-09-07T00:00:00"/>
        <d v="1998-09-08T00:00:00"/>
        <d v="1998-09-09T00:00:00"/>
        <d v="1998-09-10T00:00:00"/>
        <d v="1998-09-11T00:00:00"/>
        <d v="1998-09-12T00:00:00"/>
        <d v="1998-09-13T00:00:00"/>
        <d v="1998-09-14T00:00:00"/>
        <d v="1998-09-15T00:00:00"/>
        <d v="1998-09-16T00:00:00"/>
        <d v="1998-09-17T00:00:00"/>
        <d v="1998-09-18T00:00:00"/>
        <d v="1998-09-19T00:00:00"/>
        <d v="1998-09-20T00:00:00"/>
        <d v="1998-09-21T00:00:00"/>
        <d v="1998-09-22T00:00:00"/>
        <d v="1998-09-23T00:00:00"/>
        <d v="1998-09-24T00:00:00"/>
        <d v="1998-09-25T00:00:00"/>
        <d v="1998-09-26T00:00:00"/>
        <d v="1998-09-27T00:00:00"/>
        <d v="1998-09-28T00:00:00"/>
        <d v="1998-09-29T00:00:00"/>
        <d v="1998-09-30T00:00:00"/>
        <d v="1998-10-01T00:00:00"/>
        <d v="1998-10-02T00:00:00"/>
        <d v="1998-10-03T00:00:00"/>
        <d v="1998-10-04T00:00:00"/>
        <d v="1998-10-05T00:00:00"/>
        <d v="1998-10-06T00:00:00"/>
        <d v="1998-10-07T00:00:00"/>
        <d v="1998-10-08T00:00:00"/>
        <d v="1998-10-09T00:00:00"/>
        <d v="1998-10-10T00:00:00"/>
        <d v="1998-10-11T00:00:00"/>
        <d v="1998-10-12T00:00:00"/>
        <d v="1998-10-13T00:00:00"/>
        <d v="1998-10-14T00:00:00"/>
        <d v="1998-10-15T00:00:00"/>
        <d v="1998-10-16T00:00:00"/>
        <d v="1998-10-17T00:00:00"/>
        <d v="1998-10-18T00:00:00"/>
        <d v="1998-10-19T00:00:00"/>
        <d v="1998-10-20T00:00:00"/>
        <d v="1998-10-21T00:00:00"/>
        <d v="1998-10-22T00:00:00"/>
        <d v="1998-10-23T00:00:00"/>
        <d v="1998-10-24T00:00:00"/>
        <d v="1998-10-25T00:00:00"/>
        <d v="1998-10-26T00:00:00"/>
        <d v="1998-10-27T00:00:00"/>
        <d v="1998-10-28T00:00:00"/>
        <d v="1998-10-29T00:00:00"/>
        <d v="1998-10-30T00:00:00"/>
        <d v="1998-10-31T00:00:00"/>
        <d v="1998-11-01T00:00:00"/>
        <d v="1998-11-02T00:00:00"/>
        <d v="1998-11-03T00:00:00"/>
        <d v="1998-11-04T00:00:00"/>
        <d v="1998-11-05T00:00:00"/>
        <d v="1998-11-06T00:00:00"/>
        <d v="1998-11-07T00:00:00"/>
        <d v="1998-11-08T00:00:00"/>
        <d v="1998-11-09T00:00:00"/>
        <d v="1998-11-10T00:00:00"/>
        <d v="1998-11-11T00:00:00"/>
        <d v="1998-11-12T00:00:00"/>
        <d v="1998-11-13T00:00:00"/>
        <d v="1998-11-14T00:00:00"/>
        <d v="1998-11-15T00:00:00"/>
        <d v="1998-11-16T00:00:00"/>
        <d v="1998-11-17T00:00:00"/>
        <d v="1998-11-18T00:00:00"/>
        <d v="1998-11-19T00:00:00"/>
        <d v="1998-11-20T00:00:00"/>
        <d v="1998-11-21T00:00:00"/>
        <d v="1998-11-22T00:00:00"/>
        <d v="1998-11-23T00:00:00"/>
        <d v="1998-11-24T00:00:00"/>
        <d v="1998-11-25T00:00:00"/>
        <d v="1998-11-26T00:00:00"/>
        <d v="1998-11-27T00:00:00"/>
        <d v="1998-11-28T00:00:00"/>
        <d v="1998-11-29T00:00:00"/>
        <d v="1998-11-30T00:00:00"/>
        <d v="1998-12-01T00:00:00"/>
        <d v="1998-12-02T00:00:00"/>
        <d v="1998-12-03T00:00:00"/>
        <d v="1998-12-04T00:00:00"/>
        <d v="1998-12-05T00:00:00"/>
        <d v="1998-12-06T00:00:00"/>
        <d v="1998-12-07T00:00:00"/>
        <d v="1998-12-08T00:00:00"/>
        <d v="1998-12-09T00:00:00"/>
        <d v="1998-12-10T00:00:00"/>
        <d v="1998-12-11T00:00:00"/>
        <d v="1998-12-12T00:00:00"/>
        <d v="1998-12-13T00:00:00"/>
        <d v="1998-12-14T00:00:00"/>
        <d v="1998-12-15T00:00:00"/>
        <d v="1998-12-16T00:00:00"/>
        <d v="1998-12-17T00:00:00"/>
        <d v="1998-12-18T00:00:00"/>
        <d v="1998-12-19T00:00:00"/>
        <d v="1998-12-20T00:00:00"/>
        <d v="1998-12-21T00:00:00"/>
        <d v="1998-12-22T00:00:00"/>
        <d v="1998-12-23T00:00:00"/>
        <d v="1998-12-24T00:00:00"/>
        <d v="1998-12-25T00:00:00"/>
        <d v="1998-12-26T00:00:00"/>
        <d v="1998-12-27T00:00:00"/>
        <d v="1998-12-28T00:00:00"/>
        <d v="1998-12-29T00:00:00"/>
        <d v="1998-12-30T00:00:00"/>
        <d v="1998-12-31T00:00:00"/>
        <d v="1999-01-01T00:00:00"/>
        <d v="1999-01-02T00:00:00"/>
        <d v="1999-01-03T00:00:00"/>
        <d v="1999-01-04T00:00:00"/>
        <d v="1999-01-05T00:00:00"/>
        <d v="1999-01-06T00:00:00"/>
        <d v="1999-01-07T00:00:00"/>
        <d v="1999-01-08T00:00:00"/>
        <d v="1999-01-09T00:00:00"/>
        <d v="1999-01-10T00:00:00"/>
        <d v="1999-01-11T00:00:00"/>
        <d v="1999-01-12T00:00:00"/>
        <d v="1999-01-13T00:00:00"/>
        <d v="1999-01-14T00:00:00"/>
        <d v="1999-01-15T00:00:00"/>
        <d v="1999-01-16T00:00:00"/>
        <d v="1999-01-17T00:00:00"/>
        <d v="1999-01-18T00:00:00"/>
        <d v="1999-01-19T00:00:00"/>
        <d v="1999-01-20T00:00:00"/>
        <d v="1999-01-21T00:00:00"/>
        <d v="1999-01-22T00:00:00"/>
        <d v="1999-01-23T00:00:00"/>
        <d v="1999-01-24T00:00:00"/>
        <d v="1999-01-25T00:00:00"/>
        <d v="1999-01-26T00:00:00"/>
        <d v="1999-01-27T00:00:00"/>
        <d v="1999-01-28T00:00:00"/>
        <d v="1999-01-29T00:00:00"/>
        <d v="1999-01-30T00:00:00"/>
        <d v="1999-01-31T00:00:00"/>
        <d v="1999-02-01T00:00:00"/>
        <d v="1999-02-02T00:00:00"/>
        <d v="1999-02-03T00:00:00"/>
        <d v="1999-02-04T00:00:00"/>
        <d v="1999-02-05T00:00:00"/>
        <d v="1999-02-06T00:00:00"/>
        <d v="1999-02-07T00:00:00"/>
        <d v="1999-02-08T00:00:00"/>
        <d v="1999-02-09T00:00:00"/>
        <d v="1999-02-10T00:00:00"/>
        <d v="1999-02-11T00:00:00"/>
        <d v="1999-02-12T00:00:00"/>
        <d v="1999-02-13T00:00:00"/>
        <d v="1999-02-14T00:00:00"/>
        <d v="1999-02-15T00:00:00"/>
        <d v="1999-02-16T00:00:00"/>
        <d v="1999-02-17T00:00:00"/>
        <d v="1999-02-18T00:00:00"/>
        <d v="1999-02-19T00:00:00"/>
        <d v="1999-02-20T00:00:00"/>
        <d v="1999-02-21T00:00:00"/>
        <d v="1999-02-22T00:00:00"/>
        <d v="1999-02-23T00:00:00"/>
        <d v="1999-02-24T00:00:00"/>
        <d v="1999-02-25T00:00:00"/>
        <d v="1999-02-26T00:00:00"/>
        <d v="1999-02-27T00:00:00"/>
        <d v="1999-02-28T00:00:00"/>
        <d v="1999-03-01T00:00:00"/>
        <d v="1999-03-02T00:00:00"/>
        <d v="1999-03-03T00:00:00"/>
        <d v="1999-03-04T00:00:00"/>
        <d v="1999-03-05T00:00:00"/>
        <d v="1999-03-06T00:00:00"/>
        <d v="1999-03-07T00:00:00"/>
        <d v="1999-03-08T00:00:00"/>
        <d v="1999-03-09T00:00:00"/>
        <d v="1999-03-10T00:00:00"/>
        <d v="1999-03-11T00:00:00"/>
        <d v="1999-03-12T00:00:00"/>
        <d v="1999-03-13T00:00:00"/>
        <d v="1999-03-14T00:00:00"/>
        <d v="1999-03-15T00:00:00"/>
        <d v="1999-03-16T00:00:00"/>
        <d v="1999-03-17T00:00:00"/>
        <d v="1999-03-18T00:00:00"/>
        <d v="1999-03-19T00:00:00"/>
        <d v="1999-03-20T00:00:00"/>
        <d v="1999-03-21T00:00:00"/>
        <d v="1999-03-22T00:00:00"/>
        <d v="1999-03-23T00:00:00"/>
        <d v="1999-03-24T00:00:00"/>
        <d v="1999-03-25T00:00:00"/>
        <d v="1999-03-26T00:00:00"/>
        <d v="1999-03-27T00:00:00"/>
        <d v="1999-03-28T00:00:00"/>
        <d v="1999-03-29T00:00:00"/>
        <d v="1999-03-30T00:00:00"/>
        <d v="1999-03-31T00:00:00"/>
        <d v="1999-04-01T00:00:00"/>
        <d v="1999-04-02T00:00:00"/>
        <d v="1999-04-03T00:00:00"/>
        <d v="1999-04-04T00:00:00"/>
        <d v="1999-04-05T00:00:00"/>
        <d v="1999-04-06T00:00:00"/>
        <d v="1999-04-07T00:00:00"/>
        <d v="1999-04-08T00:00:00"/>
        <d v="1999-04-09T00:00:00"/>
        <d v="1999-04-10T00:00:00"/>
        <d v="1999-04-11T00:00:00"/>
        <d v="1999-04-12T00:00:00"/>
        <d v="1999-04-13T00:00:00"/>
        <d v="1999-04-14T00:00:00"/>
        <d v="1999-04-15T00:00:00"/>
        <d v="1999-04-16T00:00:00"/>
        <d v="1999-04-17T00:00:00"/>
        <d v="1999-04-18T00:00:00"/>
        <d v="1999-04-19T00:00:00"/>
        <d v="1999-04-20T00:00:00"/>
        <d v="1999-04-21T00:00:00"/>
        <d v="1999-04-22T00:00:00"/>
        <d v="1999-04-23T00:00:00"/>
        <d v="1999-04-24T00:00:00"/>
        <d v="1999-04-25T00:00:00"/>
        <d v="1999-04-26T00:00:00"/>
        <d v="1999-04-27T00:00:00"/>
        <d v="1999-04-28T00:00:00"/>
        <d v="1999-04-29T00:00:00"/>
        <d v="1999-04-30T00:00:00"/>
        <d v="1999-05-01T00:00:00"/>
        <d v="1999-05-02T00:00:00"/>
        <d v="1999-05-03T00:00:00"/>
        <d v="1999-05-04T00:00:00"/>
        <d v="1999-05-05T00:00:00"/>
        <d v="1999-05-06T00:00:00"/>
        <d v="1999-05-07T00:00:00"/>
        <d v="1999-05-08T00:00:00"/>
        <d v="1999-05-09T00:00:00"/>
        <d v="1999-05-10T00:00:00"/>
        <d v="1999-05-11T00:00:00"/>
        <d v="1999-05-12T00:00:00"/>
        <d v="1999-05-13T00:00:00"/>
        <d v="1999-05-14T00:00:00"/>
        <d v="1999-05-15T00:00:00"/>
        <d v="1999-05-16T00:00:00"/>
        <d v="1999-05-17T00:00:00"/>
        <d v="1999-05-18T00:00:00"/>
        <d v="1999-05-19T00:00:00"/>
        <d v="1999-05-20T00:00:00"/>
        <d v="1999-05-21T00:00:00"/>
        <d v="1999-05-22T00:00:00"/>
        <d v="1999-05-23T00:00:00"/>
        <d v="1999-05-24T00:00:00"/>
        <d v="1999-05-25T00:00:00"/>
        <d v="1999-05-26T00:00:00"/>
        <d v="1999-05-27T00:00:00"/>
        <d v="1999-05-28T00:00:00"/>
        <d v="1999-05-29T00:00:00"/>
        <d v="1999-05-30T00:00:00"/>
        <d v="1999-05-31T00:00:00"/>
        <d v="1999-06-01T00:00:00"/>
        <d v="1999-06-02T00:00:00"/>
        <d v="1999-06-03T00:00:00"/>
        <d v="1999-06-04T00:00:00"/>
        <d v="1999-06-05T00:00:00"/>
        <d v="1999-06-06T00:00:00"/>
        <d v="1999-06-07T00:00:00"/>
        <d v="1999-06-08T00:00:00"/>
        <d v="1999-06-09T00:00:00"/>
        <d v="1999-06-10T00:00:00"/>
        <d v="1999-06-11T00:00:00"/>
        <d v="1999-06-12T00:00:00"/>
        <d v="1999-06-13T00:00:00"/>
        <d v="1999-06-14T00:00:00"/>
        <d v="1999-06-15T00:00:00"/>
        <d v="1999-06-16T00:00:00"/>
        <d v="1999-06-17T00:00:00"/>
        <d v="1999-06-18T00:00:00"/>
        <d v="1999-06-19T00:00:00"/>
        <d v="1999-06-20T00:00:00"/>
        <d v="1999-06-21T00:00:00"/>
        <d v="1999-06-22T00:00:00"/>
        <d v="1999-06-23T00:00:00"/>
        <d v="1999-06-24T00:00:00"/>
        <d v="1999-06-25T00:00:00"/>
        <d v="1999-06-26T00:00:00"/>
        <d v="1999-06-27T00:00:00"/>
        <d v="1999-06-28T00:00:00"/>
        <d v="1999-06-29T00:00:00"/>
        <d v="1999-06-30T00:00:00"/>
        <d v="1999-07-01T00:00:00"/>
        <d v="1999-07-02T00:00:00"/>
        <d v="1999-07-03T00:00:00"/>
        <d v="1999-07-04T00:00:00"/>
        <d v="1999-07-05T00:00:00"/>
        <d v="1999-07-06T00:00:00"/>
        <d v="1999-07-07T00:00:00"/>
        <d v="1999-07-08T00:00:00"/>
        <d v="1999-07-09T00:00:00"/>
        <d v="1999-07-10T00:00:00"/>
        <d v="1999-07-11T00:00:00"/>
        <d v="1999-07-12T00:00:00"/>
        <d v="1999-07-13T00:00:00"/>
        <d v="1999-07-14T00:00:00"/>
        <d v="1999-07-15T00:00:00"/>
        <d v="1999-07-16T00:00:00"/>
        <d v="1999-07-17T00:00:00"/>
        <d v="1999-07-18T00:00:00"/>
        <d v="1999-07-19T00:00:00"/>
        <d v="1999-07-20T00:00:00"/>
        <d v="1999-07-21T00:00:00"/>
        <d v="1999-07-22T00:00:00"/>
        <d v="1999-07-23T00:00:00"/>
        <d v="1999-07-24T00:00:00"/>
        <d v="1999-07-25T00:00:00"/>
        <d v="1999-07-26T00:00:00"/>
        <d v="1999-07-27T00:00:00"/>
        <d v="1999-07-28T00:00:00"/>
        <d v="1999-07-29T00:00:00"/>
        <d v="1999-07-30T00:00:00"/>
        <d v="1999-07-31T00:00:00"/>
        <d v="1999-08-01T00:00:00"/>
        <d v="1999-08-02T00:00:00"/>
        <d v="1999-08-03T00:00:00"/>
        <d v="1999-08-04T00:00:00"/>
        <d v="1999-08-05T00:00:00"/>
        <d v="1999-08-06T00:00:00"/>
        <d v="1999-08-07T00:00:00"/>
        <d v="1999-08-08T00:00:00"/>
        <d v="1999-08-09T00:00:00"/>
        <d v="1999-08-10T00:00:00"/>
        <d v="1999-08-11T00:00:00"/>
        <d v="1999-08-12T00:00:00"/>
        <d v="1999-08-13T00:00:00"/>
        <d v="1999-08-14T00:00:00"/>
        <d v="1999-08-15T00:00:00"/>
        <d v="1999-08-16T00:00:00"/>
        <d v="1999-08-17T00:00:00"/>
        <d v="1999-08-18T00:00:00"/>
        <d v="1999-08-19T00:00:00"/>
        <d v="1999-08-20T00:00:00"/>
        <d v="1999-08-21T00:00:00"/>
        <d v="1999-08-22T00:00:00"/>
        <d v="1999-08-23T00:00:00"/>
        <d v="1999-08-24T00:00:00"/>
        <d v="1999-08-25T00:00:00"/>
        <d v="1999-08-26T00:00:00"/>
        <d v="1999-08-27T00:00:00"/>
        <d v="1999-08-28T00:00:00"/>
        <d v="1999-08-29T00:00:00"/>
        <d v="1999-08-30T00:00:00"/>
        <d v="1999-08-31T00:00:00"/>
        <d v="1999-09-01T00:00:00"/>
        <d v="1999-09-02T00:00:00"/>
        <d v="1999-09-03T00:00:00"/>
        <d v="1999-09-04T00:00:00"/>
        <d v="1999-09-05T00:00:00"/>
        <d v="1999-09-06T00:00:00"/>
        <d v="1999-09-07T00:00:00"/>
        <d v="1999-09-08T00:00:00"/>
        <d v="1999-09-09T00:00:00"/>
        <d v="1999-09-10T00:00:00"/>
        <d v="1999-09-11T00:00:00"/>
        <d v="1999-09-12T00:00:00"/>
        <d v="1999-09-13T00:00:00"/>
        <d v="1999-09-14T00:00:00"/>
        <d v="1999-09-15T00:00:00"/>
        <d v="1999-09-16T00:00:00"/>
        <d v="1999-09-17T00:00:00"/>
        <d v="1999-09-18T00:00:00"/>
        <d v="1999-09-19T00:00:00"/>
        <d v="1999-09-20T00:00:00"/>
        <d v="1999-09-21T00:00:00"/>
        <d v="1999-09-22T00:00:00"/>
        <d v="1999-09-23T00:00:00"/>
        <d v="1999-09-24T00:00:00"/>
        <d v="1999-09-25T00:00:00"/>
        <d v="1999-09-26T00:00:00"/>
        <d v="1999-09-27T00:00:00"/>
        <d v="1999-09-28T00:00:00"/>
        <d v="1999-09-29T00:00:00"/>
        <d v="1999-09-30T00:00:00"/>
        <d v="1999-10-01T00:00:00"/>
        <d v="1999-10-02T00:00:00"/>
        <d v="1999-10-03T00:00:00"/>
        <d v="1999-10-04T00:00:00"/>
        <d v="1999-10-05T00:00:00"/>
        <d v="1999-10-06T00:00:00"/>
        <d v="1999-10-07T00:00:00"/>
        <d v="1999-10-08T00:00:00"/>
        <d v="1999-10-09T00:00:00"/>
        <d v="1999-10-10T00:00:00"/>
        <d v="1999-10-11T00:00:00"/>
        <d v="1999-10-12T00:00:00"/>
        <d v="1999-10-13T00:00:00"/>
        <d v="1999-10-14T00:00:00"/>
        <d v="1999-10-15T00:00:00"/>
        <d v="1999-10-16T00:00:00"/>
        <d v="1999-10-17T00:00:00"/>
        <d v="1999-10-18T00:00:00"/>
        <d v="1999-10-19T00:00:00"/>
        <d v="1999-10-20T00:00:00"/>
        <d v="1999-10-21T00:00:00"/>
        <d v="1999-10-22T00:00:00"/>
        <d v="1999-10-23T00:00:00"/>
        <d v="1999-10-24T00:00:00"/>
        <d v="1999-10-25T00:00:00"/>
        <d v="1999-10-26T00:00:00"/>
        <d v="1999-10-27T00:00:00"/>
        <d v="1999-10-28T00:00:00"/>
        <d v="1999-10-29T00:00:00"/>
        <d v="1999-10-30T00:00:00"/>
        <d v="1999-10-31T00:00:00"/>
        <d v="1999-11-01T00:00:00"/>
        <d v="1999-11-02T00:00:00"/>
        <d v="1999-11-03T00:00:00"/>
        <d v="1999-11-04T00:00:00"/>
        <d v="1999-11-05T00:00:00"/>
        <d v="1999-11-06T00:00:00"/>
        <d v="1999-11-07T00:00:00"/>
        <d v="1999-11-08T00:00:00"/>
        <d v="1999-11-09T00:00:00"/>
        <d v="1999-11-10T00:00:00"/>
        <d v="1999-11-11T00:00:00"/>
        <d v="1999-11-12T00:00:00"/>
        <d v="1999-11-13T00:00:00"/>
        <d v="1999-11-14T00:00:00"/>
        <d v="1999-11-15T00:00:00"/>
        <d v="1999-11-16T00:00:00"/>
        <d v="1999-11-17T00:00:00"/>
        <d v="1999-11-18T00:00:00"/>
        <d v="1999-11-19T00:00:00"/>
        <d v="1999-11-20T00:00:00"/>
        <d v="1999-11-21T00:00:00"/>
        <d v="1999-11-22T00:00:00"/>
        <d v="1999-11-23T00:00:00"/>
        <d v="1999-11-24T00:00:00"/>
        <d v="1999-11-25T00:00:00"/>
        <d v="1999-11-26T00:00:00"/>
        <d v="1999-11-27T00:00:00"/>
        <d v="1999-11-28T00:00:00"/>
        <d v="1999-11-29T00:00:00"/>
        <d v="1999-11-30T00:00:00"/>
        <d v="1999-12-01T00:00:00"/>
        <d v="1999-12-02T00:00:00"/>
        <d v="1999-12-03T00:00:00"/>
        <d v="1999-12-04T00:00:00"/>
        <d v="1999-12-05T00:00:00"/>
        <d v="1999-12-06T00:00:00"/>
        <d v="1999-12-07T00:00:00"/>
        <d v="1999-12-08T00:00:00"/>
        <d v="1999-12-09T00:00:00"/>
        <d v="1999-12-10T00:00:00"/>
        <d v="1999-12-11T00:00:00"/>
        <d v="1999-12-12T00:00:00"/>
        <d v="1999-12-13T00:00:00"/>
        <d v="1999-12-14T00:00:00"/>
        <d v="1999-12-15T00:00:00"/>
        <d v="1999-12-16T00:00:00"/>
        <d v="1999-12-17T00:00:00"/>
        <d v="1999-12-18T00:00:00"/>
        <d v="1999-12-19T00:00:00"/>
        <d v="1999-12-20T00:00:00"/>
        <d v="1999-12-21T00:00:00"/>
        <d v="1999-12-22T00:00:00"/>
        <d v="1999-12-23T00:00:00"/>
        <d v="1999-12-24T00:00:00"/>
        <d v="1999-12-25T00:00:00"/>
        <d v="1999-12-26T00:00:00"/>
        <d v="1999-12-27T00:00:00"/>
        <d v="1999-12-28T00:00:00"/>
        <d v="1999-12-29T00:00:00"/>
        <d v="1999-12-30T00:00:00"/>
        <d v="1999-12-31T00:00:00"/>
        <d v="2000-01-01T00:00:00"/>
        <d v="2000-01-02T00:00:00"/>
        <d v="2000-01-03T00:00:00"/>
        <d v="2000-01-04T00:00:00"/>
        <d v="2000-01-05T00:00:00"/>
        <d v="2000-01-06T00:00:00"/>
        <d v="2000-01-07T00:00:00"/>
        <d v="2000-01-08T00:00:00"/>
        <d v="2000-01-09T00:00:00"/>
        <d v="2000-01-10T00:00:00"/>
        <d v="2000-01-11T00:00:00"/>
        <d v="2000-01-12T00:00:00"/>
        <d v="2000-01-13T00:00:00"/>
        <d v="2000-01-14T00:00:00"/>
        <d v="2000-01-15T00:00:00"/>
        <d v="2000-01-16T00:00:00"/>
        <d v="2000-01-17T00:00:00"/>
        <d v="2000-01-18T00:00:00"/>
        <d v="2000-01-19T00:00:00"/>
        <d v="2000-01-20T00:00:00"/>
        <d v="2000-01-21T00:00:00"/>
        <d v="2000-01-22T00:00:00"/>
        <d v="2000-01-23T00:00:00"/>
        <d v="2000-01-24T00:00:00"/>
        <d v="2000-01-25T00:00:00"/>
        <d v="2000-01-26T00:00:00"/>
        <d v="2000-01-27T00:00:00"/>
        <d v="2000-01-28T00:00:00"/>
        <d v="2000-01-29T00:00:00"/>
        <d v="2000-01-30T00:00:00"/>
        <d v="2000-01-31T00:00:00"/>
        <d v="2000-02-01T00:00:00"/>
        <d v="2000-02-02T00:00:00"/>
        <d v="2000-02-03T00:00:00"/>
        <d v="2000-02-04T00:00:00"/>
        <d v="2000-02-05T00:00:00"/>
        <d v="2000-02-06T00:00:00"/>
        <d v="2000-02-07T00:00:00"/>
        <d v="2000-02-08T00:00:00"/>
        <d v="2000-02-09T00:00:00"/>
        <d v="2000-02-10T00:00:00"/>
        <d v="2000-02-11T00:00:00"/>
        <d v="2000-02-12T00:00:00"/>
        <d v="2000-02-13T00:00:00"/>
        <d v="2000-02-14T00:00:00"/>
        <d v="2000-02-15T00:00:00"/>
        <d v="2000-02-16T00:00:00"/>
        <d v="2000-02-17T00:00:00"/>
        <d v="2000-02-18T00:00:00"/>
        <d v="2000-02-19T00:00:00"/>
        <d v="2000-02-20T00:00:00"/>
        <d v="2000-02-21T00:00:00"/>
        <d v="2000-02-22T00:00:00"/>
        <d v="2000-02-23T00:00:00"/>
        <d v="2000-02-24T00:00:00"/>
        <d v="2000-02-25T00:00:00"/>
        <d v="2000-02-26T00:00:00"/>
        <d v="2000-02-27T00:00:00"/>
        <d v="2000-02-28T00:00:00"/>
        <d v="2000-02-29T00:00:00"/>
        <d v="2000-03-01T00:00:00"/>
        <d v="2000-03-02T00:00:00"/>
        <d v="2000-03-03T00:00:00"/>
        <d v="2000-03-04T00:00:00"/>
        <d v="2000-03-05T00:00:00"/>
        <d v="2000-03-06T00:00:00"/>
        <d v="2000-03-07T00:00:00"/>
        <d v="2000-03-08T00:00:00"/>
        <d v="2000-03-09T00:00:00"/>
        <d v="2000-03-10T00:00:00"/>
        <d v="2000-03-11T00:00:00"/>
        <d v="2000-03-12T00:00:00"/>
        <d v="2000-03-13T00:00:00"/>
        <d v="2000-03-14T00:00:00"/>
        <d v="2000-03-15T00:00:00"/>
        <d v="2000-03-16T00:00:00"/>
        <d v="2000-03-17T00:00:00"/>
        <d v="2000-03-18T00:00:00"/>
        <d v="2000-03-19T00:00:00"/>
        <d v="2000-03-20T00:00:00"/>
        <d v="2000-03-21T00:00:00"/>
        <d v="2000-03-22T00:00:00"/>
        <d v="2000-03-23T00:00:00"/>
        <d v="2000-03-24T00:00:00"/>
        <d v="2000-03-25T00:00:00"/>
        <d v="2000-03-26T00:00:00"/>
        <d v="2000-03-27T00:00:00"/>
        <d v="2000-03-28T00:00:00"/>
        <d v="2000-03-29T00:00:00"/>
        <d v="2000-03-30T00:00:00"/>
        <d v="2000-03-31T00:00:00"/>
        <d v="2000-04-01T00:00:00"/>
        <d v="2000-04-02T00:00:00"/>
        <d v="2000-04-03T00:00:00"/>
        <d v="2000-04-04T00:00:00"/>
        <d v="2000-04-05T00:00:00"/>
        <d v="2000-04-06T00:00:00"/>
        <d v="2000-04-07T00:00:00"/>
        <d v="2000-04-08T00:00:00"/>
        <d v="2000-04-09T00:00:00"/>
        <d v="2000-04-10T00:00:00"/>
        <d v="2000-04-11T00:00:00"/>
        <d v="2000-04-12T00:00:00"/>
        <d v="2000-04-13T00:00:00"/>
        <d v="2000-04-14T00:00:00"/>
        <d v="2000-04-15T00:00:00"/>
        <d v="2000-04-16T00:00:00"/>
        <d v="2000-04-17T00:00:00"/>
        <d v="2000-04-18T00:00:00"/>
        <d v="2000-04-19T00:00:00"/>
        <d v="2000-04-20T00:00:00"/>
        <d v="2000-04-21T00:00:00"/>
        <d v="2000-04-22T00:00:00"/>
        <d v="2000-04-23T00:00:00"/>
        <d v="2000-04-24T00:00:00"/>
        <d v="2000-04-25T00:00:00"/>
        <d v="2000-04-26T00:00:00"/>
        <d v="2000-04-27T00:00:00"/>
        <d v="2000-04-28T00:00:00"/>
        <d v="2000-04-29T00:00:00"/>
        <d v="2000-04-30T00:00:00"/>
        <d v="2000-05-01T00:00:00"/>
        <d v="2000-05-02T00:00:00"/>
        <d v="2000-05-03T00:00:00"/>
        <d v="2000-05-04T00:00:00"/>
        <d v="2000-05-05T00:00:00"/>
        <d v="2000-05-06T00:00:00"/>
        <d v="2000-05-07T00:00:00"/>
        <d v="2000-05-08T00:00:00"/>
        <d v="2000-05-09T00:00:00"/>
        <d v="2000-05-10T00:00:00"/>
        <d v="2000-05-11T00:00:00"/>
        <d v="2000-05-12T00:00:00"/>
        <d v="2000-05-13T00:00:00"/>
        <d v="2000-05-14T00:00:00"/>
        <d v="2000-05-15T00:00:00"/>
        <d v="2000-05-16T00:00:00"/>
        <d v="2000-05-17T00:00:00"/>
        <d v="2000-05-18T00:00:00"/>
        <d v="2000-05-19T00:00:00"/>
        <d v="2000-05-20T00:00:00"/>
        <d v="2000-05-21T00:00:00"/>
        <d v="2000-05-22T00:00:00"/>
        <d v="2000-05-23T00:00:00"/>
        <d v="2000-05-24T00:00:00"/>
        <d v="2000-05-25T00:00:00"/>
        <d v="2000-05-26T00:00:00"/>
        <d v="2000-05-27T00:00:00"/>
        <d v="2000-05-28T00:00:00"/>
        <d v="2000-05-29T00:00:00"/>
        <d v="2000-05-30T00:00:00"/>
        <d v="2000-05-31T00:00:00"/>
        <d v="2000-06-01T00:00:00"/>
        <d v="2000-06-02T00:00:00"/>
        <d v="2000-06-03T00:00:00"/>
        <d v="2000-06-04T00:00:00"/>
        <d v="2000-06-05T00:00:00"/>
        <d v="2000-06-06T00:00:00"/>
        <d v="2000-06-07T00:00:00"/>
        <d v="2000-06-08T00:00:00"/>
        <d v="2000-06-09T00:00:00"/>
        <d v="2000-06-10T00:00:00"/>
        <d v="2000-06-11T00:00:00"/>
        <d v="2000-06-12T00:00:00"/>
        <d v="2000-06-13T00:00:00"/>
        <d v="2000-06-14T00:00:00"/>
        <d v="2000-06-15T00:00:00"/>
        <d v="2000-06-16T00:00:00"/>
        <d v="2000-06-17T00:00:00"/>
        <d v="2000-06-18T00:00:00"/>
        <d v="2000-06-19T00:00:00"/>
        <d v="2000-06-20T00:00:00"/>
        <d v="2000-06-21T00:00:00"/>
        <d v="2000-06-22T00:00:00"/>
        <d v="2000-06-23T00:00:00"/>
        <d v="2000-06-24T00:00:00"/>
        <d v="2000-06-25T00:00:00"/>
        <d v="2000-06-26T00:00:00"/>
        <d v="2000-06-27T00:00:00"/>
        <d v="2000-06-28T00:00:00"/>
        <d v="2000-06-29T00:00:00"/>
        <d v="2000-06-30T00:00:00"/>
        <d v="2000-07-01T00:00:00"/>
        <d v="2000-07-02T00:00:00"/>
        <d v="2000-07-03T00:00:00"/>
        <d v="2000-07-04T00:00:00"/>
        <d v="2000-07-05T00:00:00"/>
        <d v="2000-07-06T00:00:00"/>
        <d v="2000-07-07T00:00:00"/>
        <d v="2000-07-08T00:00:00"/>
        <d v="2000-07-09T00:00:00"/>
        <d v="2000-07-10T00:00:00"/>
        <d v="2000-07-11T00:00:00"/>
        <d v="2000-07-12T00:00:00"/>
        <d v="2000-07-13T00:00:00"/>
        <d v="2000-07-14T00:00:00"/>
        <d v="2000-07-15T00:00:00"/>
        <d v="2000-07-16T00:00:00"/>
        <d v="2000-07-17T00:00:00"/>
        <d v="2000-07-18T00:00:00"/>
        <d v="2000-07-19T00:00:00"/>
        <d v="2000-07-20T00:00:00"/>
        <d v="2000-07-21T00:00:00"/>
        <d v="2000-07-22T00:00:00"/>
        <d v="2000-07-23T00:00:00"/>
        <d v="2000-07-24T00:00:00"/>
        <d v="2000-07-25T00:00:00"/>
        <d v="2000-07-26T00:00:00"/>
        <d v="2000-07-27T00:00:00"/>
        <d v="2000-07-28T00:00:00"/>
        <d v="2000-07-29T00:00:00"/>
        <d v="2000-07-30T00:00:00"/>
        <d v="2000-07-31T00:00:00"/>
        <d v="2000-08-01T00:00:00"/>
        <d v="2000-08-02T00:00:00"/>
        <d v="2000-08-03T00:00:00"/>
        <d v="2000-08-04T00:00:00"/>
        <d v="2000-08-05T00:00:00"/>
        <d v="2000-08-06T00:00:00"/>
        <d v="2000-08-07T00:00:00"/>
        <d v="2000-08-08T00:00:00"/>
        <d v="2000-08-09T00:00:00"/>
        <d v="2000-08-10T00:00:00"/>
        <d v="2000-08-11T00:00:00"/>
        <d v="2000-08-12T00:00:00"/>
        <d v="2000-08-13T00:00:00"/>
        <d v="2000-08-14T00:00:00"/>
        <d v="2000-08-15T00:00:00"/>
        <d v="2000-08-16T00:00:00"/>
        <d v="2000-08-17T00:00:00"/>
        <d v="2000-08-18T00:00:00"/>
        <d v="2000-08-19T00:00:00"/>
        <d v="2000-08-20T00:00:00"/>
        <d v="2000-08-21T00:00:00"/>
        <d v="2000-08-22T00:00:00"/>
        <d v="2000-08-23T00:00:00"/>
        <d v="2000-08-24T00:00:00"/>
        <d v="2000-08-25T00:00:00"/>
        <d v="2000-08-26T00:00:00"/>
        <d v="2000-08-27T00:00:00"/>
        <d v="2000-08-28T00:00:00"/>
        <d v="2000-08-29T00:00:00"/>
        <d v="2000-08-30T00:00:00"/>
        <d v="2000-08-31T00:00:00"/>
        <d v="2000-09-01T00:00:00"/>
        <d v="2000-09-02T00:00:00"/>
        <d v="2000-09-03T00:00:00"/>
        <d v="2000-09-04T00:00:00"/>
        <d v="2000-09-05T00:00:00"/>
        <d v="2000-09-06T00:00:00"/>
        <d v="2000-09-07T00:00:00"/>
        <d v="2000-09-08T00:00:00"/>
        <d v="2000-09-09T00:00:00"/>
        <d v="2000-09-10T00:00:00"/>
        <d v="2000-09-11T00:00:00"/>
        <d v="2000-09-12T00:00:00"/>
        <d v="2000-09-13T00:00:00"/>
        <d v="2000-09-14T00:00:00"/>
        <d v="2000-09-15T00:00:00"/>
        <d v="2000-09-16T00:00:00"/>
        <d v="2000-09-17T00:00:00"/>
        <d v="2000-09-18T00:00:00"/>
        <d v="2000-09-19T00:00:00"/>
        <d v="2000-09-20T00:00:00"/>
        <d v="2000-09-21T00:00:00"/>
        <d v="2000-09-22T00:00:00"/>
        <d v="2000-09-23T00:00:00"/>
        <d v="2000-09-24T00:00:00"/>
        <d v="2000-09-25T00:00:00"/>
        <d v="2000-09-26T00:00:00"/>
        <d v="2000-09-27T00:00:00"/>
        <d v="2000-09-28T00:00:00"/>
        <d v="2000-09-29T00:00:00"/>
        <d v="2000-09-30T00:00:00"/>
        <d v="2000-10-01T00:00:00"/>
        <d v="2000-10-02T00:00:00"/>
        <d v="2000-10-03T00:00:00"/>
        <d v="2000-10-04T00:00:00"/>
        <d v="2000-10-05T00:00:00"/>
        <d v="2000-10-06T00:00:00"/>
        <d v="2000-10-07T00:00:00"/>
        <d v="2000-10-08T00:00:00"/>
        <d v="2000-10-09T00:00:00"/>
        <d v="2000-10-10T00:00:00"/>
        <d v="2000-10-11T00:00:00"/>
        <d v="2000-10-12T00:00:00"/>
        <d v="2000-10-13T00:00:00"/>
        <d v="2000-10-14T00:00:00"/>
        <d v="2000-10-15T00:00:00"/>
        <d v="2000-10-16T00:00:00"/>
        <d v="2000-10-17T00:00:00"/>
        <d v="2000-10-18T00:00:00"/>
        <d v="2000-10-19T00:00:00"/>
        <d v="2000-10-20T00:00:00"/>
        <d v="2000-10-21T00:00:00"/>
        <d v="2000-10-22T00:00:00"/>
        <d v="2000-10-23T00:00:00"/>
        <d v="2000-10-24T00:00:00"/>
        <d v="2000-10-25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0T00:00:00"/>
        <d v="2001-01-21T00:00:00"/>
        <d v="2001-01-22T00:00:00"/>
        <d v="2001-01-23T00:00:00"/>
        <d v="2001-01-24T00:00:00"/>
        <d v="2001-01-25T00:00:00"/>
        <d v="2001-01-26T00:00:00"/>
        <d v="2001-01-27T00:00:00"/>
        <d v="2001-01-28T00:00:00"/>
        <d v="2001-01-29T00:00:00"/>
        <d v="2001-01-30T00:00:00"/>
        <d v="2001-01-31T00:00:00"/>
        <d v="2001-02-01T00:00:00"/>
        <d v="2001-02-02T00:00:00"/>
        <d v="2001-02-03T00:00:00"/>
        <d v="2001-02-04T00:00:00"/>
        <d v="2001-02-05T00:00:00"/>
        <d v="2001-02-06T00:00:00"/>
        <d v="2001-02-07T00:00:00"/>
        <d v="2001-02-08T00:00:00"/>
        <d v="2001-02-09T00:00:00"/>
        <d v="2001-02-10T00:00:00"/>
        <d v="2001-02-11T00:00:00"/>
        <d v="2001-02-12T00:00:00"/>
        <d v="2001-02-13T00:00:00"/>
        <d v="2001-02-14T00:00:00"/>
        <d v="2001-02-15T00:00:00"/>
        <d v="2001-02-16T00:00:00"/>
        <d v="2001-02-17T00:00:00"/>
        <d v="2001-02-18T00:00:00"/>
        <d v="2001-02-19T00:00:00"/>
        <d v="2001-02-20T00:00:00"/>
        <d v="2001-02-21T00:00:00"/>
        <d v="2001-02-22T00:00:00"/>
        <d v="2001-02-23T00:00:00"/>
        <d v="2001-02-24T00:00:00"/>
        <d v="2001-02-25T00:00:00"/>
        <d v="2001-02-26T00:00:00"/>
        <d v="2001-02-27T00:00:00"/>
        <d v="2001-02-28T00:00:00"/>
        <d v="2001-03-01T00:00:00"/>
        <d v="2001-03-02T00:00:00"/>
        <d v="2001-03-03T00:00:00"/>
        <d v="2001-03-04T00:00:00"/>
        <d v="2001-03-05T00:00:00"/>
        <d v="2001-03-06T00:00:00"/>
        <d v="2001-03-07T00:00:00"/>
        <d v="2001-03-08T00:00:00"/>
        <d v="2001-03-09T00:00:00"/>
        <d v="2001-03-10T00:00:00"/>
        <d v="2001-03-11T00:00:00"/>
        <d v="2001-03-12T00:00:00"/>
        <d v="2001-03-13T00:00:00"/>
        <d v="2001-03-14T00:00:00"/>
        <d v="2001-03-15T00:00:00"/>
        <d v="2001-03-16T00:00:00"/>
        <d v="2001-03-17T00:00:00"/>
        <d v="2001-03-18T00:00:00"/>
        <d v="2001-03-19T00:00:00"/>
        <d v="2001-03-20T00:00:00"/>
        <d v="2001-03-21T00:00:00"/>
        <d v="2001-03-22T00:00:00"/>
        <d v="2001-03-23T00:00:00"/>
        <d v="2001-03-24T00:00:00"/>
        <d v="2001-03-25T00:00:00"/>
        <d v="2001-03-26T00:00:00"/>
        <d v="2001-03-27T00:00:00"/>
        <d v="2001-03-28T00:00:00"/>
        <d v="2001-03-29T00:00:00"/>
        <d v="2001-03-30T00:00:00"/>
        <d v="2001-03-31T00:00:00"/>
        <d v="2001-04-01T00:00:00"/>
        <d v="2001-04-02T00:00:00"/>
        <d v="2001-04-03T00:00:00"/>
        <d v="2001-04-04T00:00:00"/>
        <d v="2001-04-05T00:00:00"/>
        <d v="2001-04-06T00:00:00"/>
        <d v="2001-04-07T00:00:00"/>
        <d v="2001-04-08T00:00:00"/>
        <d v="2001-04-09T00:00:00"/>
        <d v="2001-04-10T00:00:00"/>
        <d v="2001-04-11T00:00:00"/>
        <d v="2001-04-12T00:00:00"/>
        <d v="2001-04-13T00:00:00"/>
        <d v="2001-04-14T00:00:00"/>
        <d v="2001-04-15T00:00:00"/>
        <d v="2001-04-16T00:00:00"/>
        <d v="2001-04-17T00:00:00"/>
        <d v="2001-04-18T00:00:00"/>
        <d v="2001-04-19T00:00:00"/>
        <d v="2001-04-20T00:00:00"/>
        <d v="2001-04-21T00:00:00"/>
        <d v="2001-04-22T00:00:00"/>
        <d v="2001-04-23T00:00:00"/>
        <d v="2001-04-24T00:00:00"/>
        <d v="2001-04-25T00:00:00"/>
        <d v="2001-04-26T00:00:00"/>
        <d v="2001-04-27T00:00:00"/>
        <d v="2001-04-28T00:00:00"/>
        <d v="2001-04-29T00:00:00"/>
        <d v="2001-04-30T00:00:00"/>
        <d v="2001-05-01T00:00:00"/>
        <d v="2001-05-02T00:00:00"/>
        <d v="2001-05-03T00:00:00"/>
        <d v="2001-05-04T00:00:00"/>
        <d v="2001-05-05T00:00:00"/>
        <d v="2001-05-06T00:00:00"/>
        <d v="2001-05-07T00:00:00"/>
        <d v="2001-05-08T00:00:00"/>
        <d v="2001-05-09T00:00:00"/>
        <d v="2001-05-10T00:00:00"/>
        <d v="2001-05-11T00:00:00"/>
        <d v="2001-05-12T00:00:00"/>
        <d v="2001-05-13T00:00:00"/>
        <d v="2001-05-14T00:00:00"/>
        <d v="2001-05-15T00:00:00"/>
        <d v="2001-05-16T00:00:00"/>
        <d v="2001-05-17T00:00:00"/>
        <d v="2001-05-18T00:00:00"/>
        <d v="2001-05-19T00:00:00"/>
        <d v="2001-05-20T00:00:00"/>
        <d v="2001-05-21T00:00:00"/>
        <d v="2001-05-22T00:00:00"/>
        <d v="2001-05-23T00:00:00"/>
        <d v="2001-05-24T00:00:00"/>
        <d v="2001-05-25T00:00:00"/>
        <d v="2001-05-26T00:00:00"/>
        <d v="2001-05-27T00:00:00"/>
        <d v="2001-05-28T00:00:00"/>
        <d v="2001-05-29T00:00:00"/>
        <d v="2001-05-30T00:00:00"/>
        <d v="2001-05-31T00:00:00"/>
        <d v="2001-06-01T00:00:00"/>
        <d v="2001-06-02T00:00:00"/>
        <d v="2001-06-03T00:00:00"/>
        <d v="2001-06-04T00:00:00"/>
        <d v="2001-06-05T00:00:00"/>
        <d v="2001-06-06T00:00:00"/>
        <d v="2001-06-07T00:00:00"/>
        <d v="2001-06-08T00:00:00"/>
        <d v="2001-06-09T00:00:00"/>
        <d v="2001-06-10T00:00:00"/>
        <d v="2001-06-11T00:00:00"/>
        <d v="2001-06-12T00:00:00"/>
        <d v="2001-06-13T00:00:00"/>
        <d v="2001-06-14T00:00:00"/>
        <d v="2001-06-15T00:00:00"/>
        <d v="2001-06-16T00:00:00"/>
        <d v="2001-06-17T00:00:00"/>
        <d v="2001-06-18T00:00:00"/>
        <d v="2001-06-19T00:00:00"/>
        <d v="2001-06-20T00:00:00"/>
        <d v="2001-06-21T00:00:00"/>
        <d v="2001-06-22T00:00:00"/>
        <d v="2001-06-23T00:00:00"/>
        <d v="2001-06-24T00:00:00"/>
        <d v="2001-06-25T00:00:00"/>
        <d v="2001-06-26T00:00:00"/>
        <d v="2001-06-27T00:00:00"/>
        <d v="2001-06-28T00:00:00"/>
        <d v="2001-06-29T00:00:00"/>
        <d v="2001-06-30T00:00:00"/>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6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1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4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d v="2004-08-01T00:00:00"/>
        <d v="2004-08-02T00:00:00"/>
        <d v="2004-08-03T00:00:00"/>
        <d v="2004-08-04T00:00:00"/>
        <d v="2004-08-05T00:00:00"/>
        <d v="2004-08-06T00:00:00"/>
        <d v="2004-08-07T00:00:00"/>
        <d v="2004-08-08T00:00:00"/>
        <d v="2004-08-09T00:00:00"/>
        <d v="2004-08-10T00:00:00"/>
        <d v="2004-08-11T00:00:00"/>
        <d v="2004-08-12T00:00:00"/>
        <d v="2004-08-13T00:00:00"/>
        <d v="2004-08-14T00:00:00"/>
        <d v="2004-08-15T00:00:00"/>
        <d v="2004-08-16T00:00:00"/>
        <d v="2004-08-17T00:00:00"/>
        <d v="2004-08-18T00:00:00"/>
        <d v="2004-08-19T00:00:00"/>
        <d v="2004-08-20T00:00:00"/>
        <d v="2004-08-21T00:00:00"/>
        <d v="2004-08-22T00:00:00"/>
        <d v="2004-08-23T00:00:00"/>
        <d v="2004-08-24T00:00:00"/>
        <d v="2004-08-25T00:00:00"/>
        <d v="2004-08-26T00:00:00"/>
        <d v="2004-08-27T00:00:00"/>
        <d v="2004-08-28T00:00:00"/>
        <d v="2004-08-29T00:00:00"/>
        <d v="2004-08-30T00:00:00"/>
        <d v="2004-08-31T00:00:00"/>
        <d v="2004-09-01T00:00:00"/>
        <d v="2004-09-02T00:00:00"/>
        <d v="2004-09-03T00:00:00"/>
        <d v="2004-09-04T00:00:00"/>
        <d v="2004-09-05T00:00:00"/>
        <d v="2004-09-06T00:00:00"/>
        <d v="2004-09-07T00:00:00"/>
        <d v="2004-09-08T00:00:00"/>
        <d v="2004-09-09T00:00:00"/>
        <d v="2004-09-10T00:00:00"/>
        <d v="2004-09-11T00:00:00"/>
        <d v="2004-09-12T00:00:00"/>
        <d v="2004-09-13T00:00:00"/>
        <d v="2004-09-14T00:00:00"/>
        <d v="2004-09-15T00:00:00"/>
        <d v="2004-09-16T00:00:00"/>
        <d v="2004-09-17T00:00:00"/>
        <d v="2004-09-18T00:00:00"/>
        <d v="2004-09-19T00:00:00"/>
        <d v="2004-09-20T00:00:00"/>
        <d v="2004-09-21T00:00:00"/>
        <d v="2004-09-22T00:00:00"/>
        <d v="2004-09-23T00:00:00"/>
        <d v="2004-09-24T00:00:00"/>
        <d v="2004-09-25T00:00:00"/>
        <d v="2004-09-26T00:00:00"/>
        <d v="2004-09-27T00:00:00"/>
        <d v="2004-09-28T00:00:00"/>
        <d v="2004-09-29T00:00:00"/>
        <d v="2004-09-30T00:00:00"/>
        <d v="2004-10-01T00:00:00"/>
        <d v="2004-10-02T00:00:00"/>
        <d v="2004-10-03T00:00:00"/>
        <d v="2004-10-04T00:00:00"/>
        <d v="2004-10-05T00:00:00"/>
        <d v="2004-10-06T00:00:00"/>
        <d v="2004-10-07T00:00:00"/>
        <d v="2004-10-08T00:00:00"/>
        <d v="2004-10-09T00:00:00"/>
        <d v="2004-10-10T00:00:00"/>
        <d v="2004-10-11T00:00:00"/>
        <d v="2004-10-12T00:00:00"/>
        <d v="2004-10-13T00:00:00"/>
        <d v="2004-10-14T00:00:00"/>
        <d v="2004-10-15T00:00:00"/>
        <d v="2004-10-16T00:00:00"/>
        <d v="2004-10-17T00:00:00"/>
        <d v="2004-10-18T00:00:00"/>
        <d v="2004-10-19T00:00:00"/>
        <d v="2004-10-20T00:00:00"/>
        <d v="2004-10-21T00:00:00"/>
        <d v="2004-10-22T00:00:00"/>
        <d v="2004-10-23T00:00:00"/>
        <d v="2004-10-24T00:00:00"/>
        <d v="2004-10-25T00:00:00"/>
        <d v="2004-10-26T00:00:00"/>
        <d v="2004-10-27T00:00:00"/>
        <d v="2004-10-28T00:00:00"/>
        <d v="2004-10-29T00:00:00"/>
        <d v="2004-10-30T00:00:00"/>
        <d v="2004-10-31T00:00:00"/>
        <d v="2004-11-01T00:00:00"/>
        <d v="2004-11-02T00:00:00"/>
        <d v="2004-11-03T00:00:00"/>
        <d v="2004-11-04T00:00:00"/>
        <d v="2004-11-05T00:00:00"/>
        <d v="2004-11-06T00:00:00"/>
        <d v="2004-11-07T00:00:00"/>
        <d v="2004-11-08T00:00:00"/>
        <d v="2004-11-09T00:00:00"/>
        <d v="2004-11-10T00:00:00"/>
        <d v="2004-11-11T00:00:00"/>
        <d v="2004-11-12T00:00:00"/>
        <d v="2004-11-13T00:00:00"/>
        <d v="2004-11-14T00:00:00"/>
        <d v="2004-11-15T00:00:00"/>
        <d v="2004-11-16T00:00:00"/>
        <d v="2004-11-17T00:00:00"/>
        <d v="2004-11-18T00:00:00"/>
        <d v="2004-11-19T00:00:00"/>
        <d v="2004-11-20T00:00:00"/>
        <d v="2004-11-21T00:00:00"/>
        <d v="2004-11-22T00:00:00"/>
        <d v="2004-11-23T00:00:00"/>
        <d v="2004-11-24T00:00:00"/>
        <d v="2004-11-25T00:00:00"/>
        <d v="2004-11-26T00:00:00"/>
        <d v="2004-11-27T00:00:00"/>
        <d v="2004-11-28T00:00:00"/>
        <d v="2004-11-29T00:00:00"/>
        <d v="2004-11-30T00:00:00"/>
        <d v="2004-12-01T00:00:00"/>
        <d v="2004-12-02T00:00:00"/>
        <d v="2004-12-03T00:00:00"/>
        <d v="2004-12-04T00:00:00"/>
        <d v="2004-12-05T00:00:00"/>
        <d v="2004-12-06T00:00:00"/>
        <d v="2004-12-07T00:00:00"/>
        <d v="2004-12-08T00:00:00"/>
        <d v="2004-12-09T00:00:00"/>
        <d v="2004-12-10T00:00:00"/>
        <d v="2004-12-11T00:00:00"/>
        <d v="2004-12-12T00:00:00"/>
        <d v="2004-12-13T00:00:00"/>
        <d v="2004-12-14T00:00:00"/>
        <d v="2004-12-15T00:00:00"/>
        <d v="2004-12-16T00:00:00"/>
        <d v="2004-12-17T00:00:00"/>
        <d v="2004-12-18T00:00:00"/>
        <d v="2004-12-19T00:00:00"/>
        <d v="2004-12-20T00:00:00"/>
        <d v="2004-12-21T00:00:00"/>
        <d v="2004-12-22T00:00:00"/>
        <d v="2004-12-23T00:00:00"/>
        <d v="2004-12-24T00:00:00"/>
        <d v="2004-12-25T00:00:00"/>
        <d v="2004-12-26T00:00:00"/>
        <d v="2004-12-27T00:00:00"/>
        <d v="2004-12-28T00:00:00"/>
        <d v="2004-12-29T00:00:00"/>
        <d v="2004-12-30T00:00:00"/>
        <d v="2004-12-31T00:00:00"/>
        <d v="2005-01-01T00:00:00"/>
        <d v="2005-01-02T00:00:00"/>
        <d v="2005-01-03T00:00:00"/>
        <d v="2005-01-04T00:00:00"/>
        <d v="2005-01-05T00:00:00"/>
        <d v="2005-01-06T00:00:00"/>
        <d v="2005-01-07T00:00:00"/>
        <d v="2005-01-08T00:00:00"/>
        <d v="2005-01-09T00:00:00"/>
        <d v="2005-01-10T00:00:00"/>
        <d v="2005-01-11T00:00:00"/>
        <d v="2005-01-12T00:00:00"/>
        <d v="2005-01-13T00:00:00"/>
        <d v="2005-01-14T00:00:00"/>
        <d v="2005-01-15T00:00:00"/>
        <d v="2005-01-16T00:00:00"/>
        <d v="2005-01-17T00:00:00"/>
        <d v="2005-01-18T00:00:00"/>
        <d v="2005-01-19T00:00:00"/>
        <d v="2005-01-20T00:00:00"/>
        <d v="2005-01-21T00:00:00"/>
        <d v="2005-01-22T00:00:00"/>
        <d v="2005-01-23T00:00:00"/>
        <d v="2005-01-24T00:00:00"/>
        <d v="2005-01-25T00:00:00"/>
        <d v="2005-01-26T00:00:00"/>
        <d v="2005-01-27T00:00:00"/>
        <d v="2005-01-28T00:00:00"/>
        <d v="2005-01-29T00:00:00"/>
        <d v="2005-01-30T00:00:00"/>
        <d v="2005-01-31T00:00:00"/>
        <d v="2005-02-01T00:00:00"/>
        <d v="2005-02-02T00:00:00"/>
        <d v="2005-02-03T00:00:00"/>
        <d v="2005-02-04T00:00:00"/>
        <d v="2005-02-05T00:00:00"/>
        <d v="2005-02-06T00:00:00"/>
        <d v="2005-02-07T00:00:00"/>
        <d v="2005-02-08T00:00:00"/>
        <d v="2005-02-09T00:00:00"/>
        <d v="2005-02-10T00:00:00"/>
        <d v="2005-02-11T00:00:00"/>
        <d v="2005-02-12T00:00:00"/>
        <d v="2005-02-13T00:00:00"/>
        <d v="2005-02-14T00:00:00"/>
        <d v="2005-02-15T00:00:00"/>
        <d v="2005-02-16T00:00:00"/>
        <d v="2005-02-17T00:00:00"/>
        <d v="2005-02-18T00:00:00"/>
        <d v="2005-02-19T00:00:00"/>
        <d v="2005-02-20T00:00:00"/>
        <d v="2005-02-21T00:00:00"/>
        <d v="2005-02-22T00:00:00"/>
        <d v="2005-02-23T00:00:00"/>
        <d v="2005-02-24T00:00:00"/>
        <d v="2005-02-25T00:00:00"/>
        <d v="2005-02-26T00:00:00"/>
        <d v="2005-02-27T00:00:00"/>
        <d v="2005-02-28T00:00:00"/>
        <d v="2005-03-01T00:00:00"/>
        <d v="2005-03-02T00:00:00"/>
        <d v="2005-03-03T00:00:00"/>
        <d v="2005-03-04T00:00:00"/>
        <d v="2005-03-05T00:00:00"/>
        <d v="2005-03-06T00:00:00"/>
        <d v="2005-03-07T00:00:00"/>
        <d v="2005-03-08T00:00:00"/>
        <d v="2005-03-09T00:00:00"/>
        <d v="2005-03-10T00:00:00"/>
        <d v="2005-03-11T00:00:00"/>
        <d v="2005-03-12T00:00:00"/>
        <d v="2005-03-13T00:00:00"/>
        <d v="2005-03-14T00:00:00"/>
        <d v="2005-03-15T00:00:00"/>
        <d v="2005-03-16T00:00:00"/>
        <d v="2005-03-17T00:00:00"/>
        <d v="2005-03-18T00:00:00"/>
        <d v="2005-03-19T00:00:00"/>
        <d v="2005-03-20T00:00:00"/>
        <d v="2005-03-21T00:00:00"/>
        <d v="2005-03-22T00:00:00"/>
        <d v="2005-03-23T00:00:00"/>
        <d v="2005-03-24T00:00:00"/>
        <d v="2005-03-25T00:00:00"/>
        <d v="2005-03-26T00:00:00"/>
        <d v="2005-03-27T00:00:00"/>
        <d v="2005-03-28T00:00:00"/>
        <d v="2005-03-29T00:00:00"/>
        <d v="2005-03-30T00:00:00"/>
        <d v="2005-03-31T00:00:00"/>
        <d v="2005-04-01T00:00:00"/>
        <d v="2005-04-02T00:00:00"/>
        <d v="2005-04-03T00:00:00"/>
        <d v="2005-04-04T00:00:00"/>
        <d v="2005-04-05T00:00:00"/>
        <d v="2005-04-06T00:00:00"/>
        <d v="2005-04-07T00:00:00"/>
        <d v="2005-04-08T00:00:00"/>
        <d v="2005-04-09T00:00:00"/>
        <d v="2005-04-10T00:00:00"/>
        <d v="2005-04-11T00:00:00"/>
        <d v="2005-04-12T00:00:00"/>
        <d v="2005-04-13T00:00:00"/>
        <d v="2005-04-14T00:00:00"/>
        <d v="2005-04-15T00:00:00"/>
        <d v="2005-04-16T00:00:00"/>
        <d v="2005-04-17T00:00:00"/>
        <d v="2005-04-18T00:00:00"/>
        <d v="2005-04-19T00:00:00"/>
        <d v="2005-04-20T00:00:00"/>
        <d v="2005-04-21T00:00:00"/>
        <d v="2005-04-22T00:00:00"/>
        <d v="2005-04-23T00:00:00"/>
        <d v="2005-04-24T00:00:00"/>
        <d v="2005-04-25T00:00:00"/>
        <d v="2005-04-26T00:00:00"/>
        <d v="2005-04-27T00:00:00"/>
        <d v="2005-04-28T00:00:00"/>
        <d v="2005-04-29T00:00:00"/>
        <d v="2005-04-30T00:00:00"/>
        <d v="2005-05-01T00:00:00"/>
        <d v="2005-05-02T00:00:00"/>
        <d v="2005-05-03T00:00:00"/>
        <d v="2005-05-04T00:00:00"/>
        <d v="2005-05-05T00:00:00"/>
        <d v="2005-05-06T00:00:00"/>
        <d v="2005-05-07T00:00:00"/>
        <d v="2005-05-08T00:00:00"/>
        <d v="2005-05-09T00:00:00"/>
        <d v="2005-05-10T00:00:00"/>
        <d v="2005-05-11T00:00:00"/>
        <d v="2005-05-12T00:00:00"/>
        <d v="2005-05-13T00:00:00"/>
        <d v="2005-05-14T00:00:00"/>
        <d v="2005-05-15T00:00:00"/>
        <d v="2005-05-16T00:00:00"/>
        <d v="2005-05-17T00:00:00"/>
        <d v="2005-05-18T00:00:00"/>
        <d v="2005-05-19T00:00:00"/>
        <d v="2005-05-20T00:00:00"/>
        <d v="2005-05-21T00:00:00"/>
        <d v="2005-05-22T00:00:00"/>
        <d v="2005-05-23T00:00:00"/>
        <d v="2005-05-24T00:00:00"/>
        <d v="2005-05-25T00:00:00"/>
        <d v="2005-05-26T00:00:00"/>
        <d v="2005-05-27T00:00:00"/>
        <d v="2005-05-28T00:00:00"/>
        <d v="2005-05-29T00:00:00"/>
        <d v="2005-05-30T00:00:00"/>
        <d v="2005-05-31T00:00:00"/>
        <d v="2005-06-01T00:00:00"/>
        <d v="2005-06-02T00:00:00"/>
        <d v="2005-06-03T00:00:00"/>
        <d v="2005-06-04T00:00:00"/>
        <d v="2005-06-05T00:00:00"/>
        <d v="2005-06-06T00:00:00"/>
        <d v="2005-06-07T00:00:00"/>
        <d v="2005-06-08T00:00:00"/>
        <d v="2005-06-09T00:00:00"/>
        <d v="2005-06-10T00:00:00"/>
        <d v="2005-06-11T00:00:00"/>
        <d v="2005-06-12T00:00:00"/>
        <d v="2005-06-13T00:00:00"/>
        <d v="2005-06-14T00:00:00"/>
        <d v="2005-06-15T00:00:00"/>
        <d v="2005-06-16T00:00:00"/>
        <d v="2005-06-17T00:00:00"/>
        <d v="2005-06-18T00:00:00"/>
        <d v="2005-06-19T00:00:00"/>
        <d v="2005-06-20T00:00:00"/>
        <d v="2005-06-21T00:00:00"/>
        <d v="2005-06-22T00:00:00"/>
        <d v="2005-06-23T00:00:00"/>
        <d v="2005-06-24T00:00:00"/>
        <d v="2005-06-25T00:00:00"/>
        <d v="2005-06-26T00:00:00"/>
        <d v="2005-06-27T00:00:00"/>
        <d v="2005-06-28T00:00:00"/>
        <d v="2005-06-29T00:00:00"/>
        <d v="2005-06-30T00:00:00"/>
        <d v="2005-07-01T00:00:00"/>
        <d v="2005-07-02T00:00:00"/>
        <d v="2005-07-03T00:00:00"/>
        <d v="2005-07-04T00:00:00"/>
        <d v="2005-07-05T00:00:00"/>
        <d v="2005-07-06T00:00:00"/>
        <d v="2005-07-07T00:00:00"/>
        <d v="2005-07-08T00:00:00"/>
        <d v="2005-07-09T00:00:00"/>
        <d v="2005-07-10T00:00:00"/>
        <d v="2005-07-11T00:00:00"/>
        <d v="2005-07-12T00:00:00"/>
        <d v="2005-07-13T00:00:00"/>
        <d v="2005-07-14T00:00:00"/>
        <d v="2005-07-15T00:00:00"/>
        <d v="2005-07-16T00:00:00"/>
        <d v="2005-07-17T00:00:00"/>
        <d v="2005-07-18T00:00:00"/>
        <d v="2005-07-19T00:00:00"/>
        <d v="2005-07-20T00:00:00"/>
        <d v="2005-07-21T00:00:00"/>
        <d v="2005-07-22T00:00:00"/>
        <d v="2005-07-23T00:00:00"/>
        <d v="2005-07-24T00:00:00"/>
        <d v="2005-07-25T00:00:00"/>
        <d v="2005-07-26T00:00:00"/>
        <d v="2005-07-27T00:00:00"/>
        <d v="2005-07-28T00:00:00"/>
        <d v="2005-07-29T00:00:00"/>
        <d v="2005-07-30T00:00:00"/>
        <d v="2005-07-31T00:00:00"/>
        <d v="2005-08-01T00:00:00"/>
        <d v="2005-08-02T00:00:00"/>
        <d v="2005-08-03T00:00:00"/>
        <d v="2005-08-04T00:00:00"/>
        <d v="2005-08-05T00:00:00"/>
        <d v="2005-08-06T00:00:00"/>
        <d v="2005-08-07T00:00:00"/>
        <d v="2005-08-08T00:00:00"/>
        <d v="2005-08-09T00:00:00"/>
        <d v="2005-08-10T00:00:00"/>
        <d v="2005-08-11T00:00:00"/>
        <d v="2005-08-12T00:00:00"/>
        <d v="2005-08-13T00:00:00"/>
        <d v="2005-08-14T00:00:00"/>
        <d v="2005-08-15T00:00:00"/>
        <d v="2005-08-16T00:00:00"/>
        <d v="2005-08-17T00:00:00"/>
        <d v="2005-08-18T00:00:00"/>
        <d v="2005-08-19T00:00:00"/>
        <d v="2005-08-20T00:00:00"/>
        <d v="2005-08-21T00:00:00"/>
        <d v="2005-08-22T00:00:00"/>
        <d v="2005-08-23T00:00:00"/>
        <d v="2005-08-24T00:00:00"/>
        <d v="2005-08-25T00:00:00"/>
        <d v="2005-08-26T00:00:00"/>
        <d v="2005-08-27T00:00:00"/>
        <d v="2005-08-28T00:00:00"/>
        <d v="2005-08-29T00:00:00"/>
        <d v="2005-08-30T00:00:00"/>
        <d v="2005-08-31T00:00:00"/>
        <d v="2005-09-01T00:00:00"/>
        <d v="2005-09-02T00:00:00"/>
        <d v="2005-09-03T00:00:00"/>
        <d v="2005-09-04T00:00:00"/>
        <d v="2005-09-05T00:00:00"/>
        <d v="2005-09-06T00:00:00"/>
        <d v="2005-09-07T00:00:00"/>
        <d v="2005-09-08T00:00:00"/>
        <d v="2005-09-09T00:00:00"/>
        <d v="2005-09-10T00:00:00"/>
        <d v="2005-09-11T00:00:00"/>
        <d v="2005-09-12T00:00:00"/>
        <d v="2005-09-13T00:00:00"/>
        <d v="2005-09-14T00:00:00"/>
        <d v="2005-09-15T00:00:00"/>
        <d v="2005-09-16T00:00:00"/>
        <d v="2005-09-17T00:00:00"/>
        <d v="2005-09-18T00:00:00"/>
        <d v="2005-09-19T00:00:00"/>
        <d v="2005-09-20T00:00:00"/>
        <d v="2005-09-21T00:00:00"/>
        <d v="2005-09-22T00:00:00"/>
        <d v="2005-09-23T00:00:00"/>
        <d v="2005-09-24T00:00:00"/>
        <d v="2005-09-25T00:00:00"/>
        <d v="2005-09-26T00:00:00"/>
        <d v="2005-09-27T00:00:00"/>
        <d v="2005-09-28T00:00:00"/>
        <d v="2005-09-29T00:00:00"/>
        <d v="2005-09-30T00:00:00"/>
        <d v="2005-10-01T00:00:00"/>
        <d v="2005-10-02T00:00:00"/>
        <d v="2005-10-03T00:00:00"/>
        <d v="2005-10-04T00:00:00"/>
        <d v="2005-10-05T00:00:00"/>
        <d v="2005-10-06T00:00:00"/>
        <d v="2005-10-07T00:00:00"/>
        <d v="2005-10-08T00:00:00"/>
        <d v="2005-10-09T00:00:00"/>
        <d v="2005-10-10T00:00:00"/>
        <d v="2005-10-11T00:00:00"/>
        <d v="2005-10-12T00:00:00"/>
        <d v="2005-10-13T00:00:00"/>
        <d v="2005-10-14T00:00:00"/>
        <d v="2005-10-15T00:00:00"/>
        <d v="2005-10-16T00:00:00"/>
        <d v="2005-10-17T00:00:00"/>
        <d v="2005-10-18T00:00:00"/>
        <d v="2005-10-19T00:00:00"/>
        <d v="2005-10-20T00:00:00"/>
        <d v="2005-10-21T00:00:00"/>
        <d v="2005-10-22T00:00:00"/>
        <d v="2005-10-23T00:00:00"/>
        <d v="2005-10-24T00:00:00"/>
        <d v="2005-10-25T00:00:00"/>
        <d v="2005-10-26T00:00:00"/>
        <d v="2005-10-27T00:00:00"/>
        <d v="2005-10-28T00:00:00"/>
        <d v="2005-10-29T00:00:00"/>
        <d v="2005-10-30T00:00:00"/>
        <d v="2005-10-31T00:00:00"/>
        <d v="2005-11-01T00:00:00"/>
        <d v="2005-11-02T00:00:00"/>
        <d v="2005-11-03T00:00:00"/>
        <d v="2005-11-04T00:00:00"/>
        <d v="2005-11-05T00:00:00"/>
        <d v="2005-11-06T00:00:00"/>
        <d v="2005-11-07T00:00:00"/>
        <d v="2005-11-08T00:00:00"/>
        <d v="2005-11-09T00:00:00"/>
        <d v="2005-11-10T00:00:00"/>
        <d v="2005-11-11T00:00:00"/>
        <d v="2005-11-12T00:00:00"/>
        <d v="2005-11-13T00:00:00"/>
        <d v="2005-11-14T00:00:00"/>
        <d v="2005-11-15T00:00:00"/>
        <d v="2005-11-16T00:00:00"/>
        <d v="2005-11-17T00:00:00"/>
        <d v="2005-11-18T00:00:00"/>
        <d v="2005-11-19T00:00:00"/>
        <d v="2005-11-20T00:00:00"/>
        <d v="2005-11-21T00:00:00"/>
        <d v="2005-11-22T00:00:00"/>
        <d v="2005-11-23T00:00:00"/>
        <d v="2005-11-24T00:00:00"/>
        <d v="2005-11-25T00:00:00"/>
        <d v="2005-11-26T00:00:00"/>
        <d v="2005-11-27T00:00:00"/>
        <d v="2005-11-28T00:00:00"/>
        <d v="2005-11-29T00:00:00"/>
        <d v="2005-11-30T00:00:00"/>
        <d v="2005-12-01T00:00:00"/>
        <d v="2005-12-02T00:00:00"/>
        <d v="2005-12-03T00:00:00"/>
        <d v="2005-12-04T00:00:00"/>
        <d v="2005-12-05T00:00:00"/>
        <d v="2005-12-06T00:00:00"/>
        <d v="2005-12-07T00:00:00"/>
        <d v="2005-12-08T00:00:00"/>
        <d v="2005-12-09T00:00:00"/>
        <d v="2005-12-10T00:00:00"/>
        <d v="2005-12-11T00:00:00"/>
        <d v="2005-12-12T00:00:00"/>
        <d v="2005-12-13T00:00:00"/>
        <d v="2005-12-14T00:00:00"/>
        <d v="2005-12-15T00:00:00"/>
        <d v="2005-12-16T00:00:00"/>
        <d v="2005-12-17T00:00:00"/>
        <d v="2005-12-18T00:00:00"/>
        <d v="2005-12-19T00:00:00"/>
        <d v="2005-12-20T00:00:00"/>
        <d v="2005-12-21T00:00:00"/>
        <d v="2005-12-22T00:00:00"/>
        <d v="2005-12-23T00:00:00"/>
        <d v="2005-12-24T00:00:00"/>
        <d v="2005-12-25T00:00:00"/>
        <d v="2005-12-26T00:00:00"/>
        <d v="2005-12-27T00:00:00"/>
        <d v="2005-12-28T00:00:00"/>
        <d v="2005-12-29T00:00:00"/>
        <d v="2005-12-30T00:00:00"/>
        <d v="2005-12-31T00:00:00"/>
        <d v="2006-01-01T00:00:00"/>
        <d v="2006-01-02T00:00:00"/>
        <d v="2006-01-03T00:00:00"/>
        <d v="2006-01-04T00:00:00"/>
        <d v="2006-01-05T00:00:00"/>
        <d v="2006-01-06T00:00:00"/>
        <d v="2006-01-07T00:00:00"/>
        <d v="2006-01-08T00:00:00"/>
        <d v="2006-01-09T00:00:00"/>
        <d v="2006-01-10T00:00:00"/>
        <d v="2006-01-11T00:00:00"/>
        <d v="2006-01-12T00:00:00"/>
        <d v="2006-01-13T00:00:00"/>
        <d v="2006-01-14T00:00:00"/>
        <d v="2006-01-15T00:00:00"/>
        <d v="2006-01-16T00:00:00"/>
        <d v="2006-01-17T00:00:00"/>
        <d v="2006-01-18T00:00:00"/>
        <d v="2006-01-19T00:00:00"/>
        <d v="2006-01-20T00:00:00"/>
        <d v="2006-01-21T00:00:00"/>
        <d v="2006-01-22T00:00:00"/>
        <d v="2006-01-23T00:00:00"/>
        <d v="2006-01-24T00:00:00"/>
        <d v="2006-01-25T00:00:00"/>
        <d v="2006-01-26T00:00:00"/>
        <d v="2006-01-27T00:00:00"/>
        <d v="2006-01-28T00:00:00"/>
        <d v="2006-01-29T00:00:00"/>
        <d v="2006-01-30T00:00:00"/>
        <d v="2006-01-31T00:00:00"/>
        <d v="2006-02-01T00:00:00"/>
        <d v="2006-02-02T00:00:00"/>
        <d v="2006-02-03T00:00:00"/>
        <d v="2006-02-04T00:00:00"/>
        <d v="2006-02-05T00:00:00"/>
        <d v="2006-02-06T00:00:00"/>
        <d v="2006-02-07T00:00:00"/>
        <d v="2006-02-08T00:00:00"/>
        <d v="2006-02-09T00:00:00"/>
        <d v="2006-02-10T00:00:00"/>
        <d v="2006-02-11T00:00:00"/>
        <d v="2006-02-12T00:00:00"/>
        <d v="2006-02-13T00:00:00"/>
        <d v="2006-02-14T00:00:00"/>
        <d v="2006-02-15T00:00:00"/>
        <d v="2006-02-16T00:00:00"/>
        <d v="2006-02-17T00:00:00"/>
        <d v="2006-02-18T00:00:00"/>
        <d v="2006-02-19T00:00:00"/>
        <d v="2006-02-20T00:00:00"/>
        <d v="2006-02-21T00:00:00"/>
        <d v="2006-02-22T00:00:00"/>
        <d v="2006-02-23T00:00:00"/>
        <d v="2006-02-24T00:00:00"/>
        <d v="2006-02-25T00:00:00"/>
        <d v="2006-02-26T00:00:00"/>
        <d v="2006-02-27T00:00:00"/>
        <d v="2006-02-28T00:00:00"/>
        <d v="2006-03-01T00:00:00"/>
        <d v="2006-03-02T00:00:00"/>
        <d v="2006-03-03T00:00:00"/>
        <d v="2006-03-04T00:00:00"/>
        <d v="2006-03-05T00:00:00"/>
        <d v="2006-03-06T00:00:00"/>
        <d v="2006-03-07T00:00:00"/>
        <d v="2006-03-08T00:00:00"/>
        <d v="2006-03-09T00:00:00"/>
        <d v="2006-03-10T00:00:00"/>
        <d v="2006-03-11T00:00:00"/>
        <d v="2006-03-12T00:00:00"/>
        <d v="2006-03-13T00:00:00"/>
        <d v="2006-03-14T00:00:00"/>
        <d v="2006-03-15T00:00:00"/>
        <d v="2006-03-16T00:00:00"/>
        <d v="2006-03-17T00:00:00"/>
        <d v="2006-03-18T00:00:00"/>
        <d v="2006-03-19T00:00:00"/>
        <d v="2006-03-20T00:00:00"/>
        <d v="2006-03-21T00:00:00"/>
        <d v="2006-03-22T00:00:00"/>
        <d v="2006-03-23T00:00:00"/>
        <d v="2006-03-24T00:00:00"/>
        <d v="2006-03-25T00:00:00"/>
        <d v="2006-03-26T00:00:00"/>
        <d v="2006-03-27T00:00:00"/>
        <d v="2006-03-28T00:00:00"/>
        <d v="2006-03-29T00:00:00"/>
        <d v="2006-03-30T00:00:00"/>
        <d v="2006-03-31T00:00:00"/>
        <d v="2006-04-01T00:00:00"/>
        <d v="2006-04-02T00:00:00"/>
        <d v="2006-04-03T00:00:00"/>
        <d v="2006-04-04T00:00:00"/>
        <d v="2006-04-05T00:00:00"/>
        <d v="2006-04-06T00:00:00"/>
        <d v="2006-04-07T00:00:00"/>
        <d v="2006-04-08T00:00:00"/>
        <d v="2006-04-09T00:00:00"/>
        <d v="2006-04-10T00:00:00"/>
        <d v="2006-04-11T00:00:00"/>
        <d v="2006-04-12T00:00:00"/>
        <d v="2006-04-13T00:00:00"/>
        <d v="2006-04-14T00:00:00"/>
        <d v="2006-04-15T00:00:00"/>
        <d v="2006-04-16T00:00:00"/>
        <d v="2006-04-17T00:00:00"/>
        <d v="2006-04-18T00:00:00"/>
        <d v="2006-04-19T00:00:00"/>
        <d v="2006-04-20T00:00:00"/>
        <d v="2006-04-21T00:00:00"/>
        <d v="2006-04-22T00:00:00"/>
        <d v="2006-04-23T00:00:00"/>
        <d v="2006-04-24T00:00:00"/>
        <d v="2006-04-25T00:00:00"/>
        <d v="2006-04-26T00:00:00"/>
        <d v="2006-04-27T00:00:00"/>
        <d v="2006-04-28T00:00:00"/>
        <d v="2006-04-29T00:00:00"/>
        <d v="2006-04-30T00:00:00"/>
        <d v="2006-05-01T00:00:00"/>
        <d v="2006-05-02T00:00:00"/>
        <d v="2006-05-03T00:00:00"/>
        <d v="2006-05-04T00:00:00"/>
        <d v="2006-05-05T00:00:00"/>
        <d v="2006-05-06T00:00:00"/>
        <d v="2006-05-07T00:00:00"/>
        <d v="2006-05-08T00:00:00"/>
        <d v="2006-05-09T00:00:00"/>
        <d v="2006-05-10T00:00:00"/>
        <d v="2006-05-11T00:00:00"/>
        <d v="2006-05-12T00:00:00"/>
        <d v="2006-05-13T00:00:00"/>
        <d v="2006-05-14T00:00:00"/>
        <d v="2006-05-15T00:00:00"/>
        <d v="2006-05-16T00:00:00"/>
        <d v="2006-05-17T00:00:00"/>
        <d v="2006-05-18T00:00:00"/>
        <d v="2006-05-19T00:00:00"/>
        <d v="2006-05-20T00:00:00"/>
        <d v="2006-05-21T00:00:00"/>
        <d v="2006-05-22T00:00:00"/>
        <d v="2006-05-23T00:00:00"/>
        <d v="2006-05-24T00:00:00"/>
        <d v="2006-05-25T00:00:00"/>
        <d v="2006-05-26T00:00:00"/>
        <d v="2006-05-27T00:00:00"/>
        <d v="2006-05-28T00:00:00"/>
        <d v="2006-05-29T00:00:00"/>
        <d v="2006-05-30T00:00:00"/>
        <d v="2006-05-31T00:00:00"/>
        <d v="2006-06-01T00:00:00"/>
        <d v="2006-06-02T00:00:00"/>
        <d v="2006-06-03T00:00:00"/>
        <d v="2006-06-04T00:00:00"/>
        <d v="2006-06-05T00:00:00"/>
        <d v="2006-06-06T00:00:00"/>
        <d v="2006-06-07T00:00:00"/>
        <d v="2006-06-08T00:00:00"/>
        <d v="2006-06-09T00:00:00"/>
        <d v="2006-06-10T00:00:00"/>
        <d v="2006-06-11T00:00:00"/>
        <d v="2006-06-12T00:00:00"/>
        <d v="2006-06-13T00:00:00"/>
        <d v="2006-06-14T00:00:00"/>
        <d v="2006-06-15T00:00:00"/>
        <d v="2006-06-16T00:00:00"/>
        <d v="2006-06-17T00:00:00"/>
        <d v="2006-06-18T00:00:00"/>
        <d v="2006-06-19T00:00:00"/>
        <d v="2006-06-20T00:00:00"/>
        <d v="2006-06-21T00:00:00"/>
        <d v="2006-06-22T00:00:00"/>
        <d v="2006-06-23T00:00:00"/>
        <d v="2006-06-24T00:00:00"/>
        <d v="2006-06-25T00:00:00"/>
        <d v="2006-06-26T00:00:00"/>
        <d v="2006-06-27T00:00:00"/>
        <d v="2006-06-28T00:00:00"/>
        <d v="2006-06-29T00:00:00"/>
        <d v="2006-06-30T00:00:00"/>
        <d v="2006-07-01T00:00:00"/>
        <d v="2006-07-02T00:00:00"/>
        <d v="2006-07-03T00:00:00"/>
        <d v="2006-07-04T00:00:00"/>
        <d v="2006-07-05T00:00:00"/>
        <d v="2006-07-06T00:00:00"/>
        <d v="2006-07-07T00:00:00"/>
        <d v="2006-07-08T00:00:00"/>
        <d v="2006-07-09T00:00:00"/>
        <d v="2006-07-10T00:00:00"/>
        <d v="2006-07-11T00:00:00"/>
        <d v="2006-07-12T00:00:00"/>
        <d v="2006-07-13T00:00:00"/>
        <d v="2006-07-14T00:00:00"/>
        <d v="2006-07-15T00:00:00"/>
        <d v="2006-07-16T00:00:00"/>
        <d v="2006-07-17T00:00:00"/>
        <d v="2006-07-18T00:00:00"/>
        <d v="2006-07-19T00:00:00"/>
        <d v="2006-07-20T00:00:00"/>
        <d v="2006-07-21T00:00:00"/>
        <d v="2006-07-22T00:00:00"/>
        <d v="2006-07-23T00:00:00"/>
        <d v="2006-07-24T00:00:00"/>
        <d v="2006-07-25T00:00:00"/>
        <d v="2006-07-26T00:00:00"/>
        <d v="2006-07-27T00:00:00"/>
        <d v="2006-07-28T00:00:00"/>
        <d v="2006-07-29T00:00:00"/>
        <d v="2006-07-30T00:00:00"/>
        <d v="2006-07-31T00:00:00"/>
        <d v="2006-08-01T00:00:00"/>
        <d v="2006-08-02T00:00:00"/>
        <d v="2006-08-03T00:00:00"/>
        <d v="2006-08-04T00:00:00"/>
        <d v="2006-08-05T00:00:00"/>
        <d v="2006-08-06T00:00:00"/>
        <d v="2006-08-07T00:00:00"/>
        <d v="2006-08-08T00:00:00"/>
        <d v="2006-08-09T00:00:00"/>
        <d v="2006-08-10T00:00:00"/>
        <d v="2006-08-11T00:00:00"/>
        <d v="2006-08-12T00:00:00"/>
        <d v="2006-08-13T00:00:00"/>
        <d v="2006-08-14T00:00:00"/>
        <d v="2006-08-15T00:00:00"/>
        <d v="2006-08-16T00:00:00"/>
        <d v="2006-08-17T00:00:00"/>
        <d v="2006-08-18T00:00:00"/>
        <d v="2006-08-19T00:00:00"/>
        <d v="2006-08-20T00:00:00"/>
        <d v="2006-08-21T00:00:00"/>
        <d v="2006-08-22T00:00:00"/>
        <d v="2006-08-23T00:00:00"/>
        <d v="2006-08-24T00:00:00"/>
        <d v="2006-08-25T00:00:00"/>
        <d v="2006-08-26T00:00:00"/>
        <d v="2006-08-27T00:00:00"/>
        <d v="2006-08-28T00:00:00"/>
        <d v="2006-08-29T00:00:00"/>
        <d v="2006-08-30T00:00:00"/>
        <d v="2006-08-31T00:00:00"/>
        <d v="2006-09-01T00:00:00"/>
        <d v="2006-09-02T00:00:00"/>
        <d v="2006-09-03T00:00:00"/>
        <d v="2006-09-04T00:00:00"/>
        <d v="2006-09-05T00:00:00"/>
        <d v="2006-09-06T00:00:00"/>
        <d v="2006-09-07T00:00:00"/>
        <d v="2006-09-08T00:00:00"/>
        <d v="2006-09-09T00:00:00"/>
        <d v="2006-09-10T00:00:00"/>
        <d v="2006-09-11T00:00:00"/>
        <d v="2006-09-12T00:00:00"/>
        <d v="2006-09-13T00:00:00"/>
        <d v="2006-09-14T00:00:00"/>
        <d v="2006-09-15T00:00:00"/>
        <d v="2006-09-16T00:00:00"/>
        <d v="2006-09-17T00:00:00"/>
        <d v="2006-09-18T00:00:00"/>
        <d v="2006-09-19T00:00:00"/>
        <d v="2006-09-20T00:00:00"/>
        <d v="2006-09-21T00:00:00"/>
        <d v="2006-09-22T00:00:00"/>
        <d v="2006-09-23T00:00:00"/>
        <d v="2006-09-24T00:00:00"/>
        <d v="2006-09-25T00:00:00"/>
        <d v="2006-09-26T00:00:00"/>
        <d v="2006-09-27T00:00:00"/>
        <d v="2006-09-28T00:00:00"/>
        <d v="2006-09-29T00:00:00"/>
        <d v="2006-09-30T00:00:00"/>
        <d v="2006-10-01T00:00:00"/>
        <d v="2006-10-02T00:00:00"/>
        <d v="2006-10-03T00:00:00"/>
        <d v="2006-10-04T00:00:00"/>
        <d v="2006-10-05T00:00:00"/>
        <d v="2006-10-06T00:00:00"/>
        <d v="2006-10-07T00:00:00"/>
        <d v="2006-10-08T00:00:00"/>
        <d v="2006-10-09T00:00:00"/>
        <d v="2006-10-10T00:00:00"/>
        <d v="2006-10-11T00:00:00"/>
        <d v="2006-10-12T00:00:00"/>
        <d v="2006-10-13T00:00:00"/>
        <d v="2006-10-14T00:00:00"/>
        <d v="2006-10-15T00:00:00"/>
        <d v="2006-10-16T00:00:00"/>
        <d v="2006-10-17T00:00:00"/>
        <d v="2006-10-18T00:00:00"/>
        <d v="2006-10-19T00:00:00"/>
        <d v="2006-10-20T00:00:00"/>
        <d v="2006-10-21T00:00:00"/>
        <d v="2006-10-22T00:00:00"/>
        <d v="2006-10-23T00:00:00"/>
        <d v="2006-10-24T00:00:00"/>
        <d v="2006-10-25T00:00:00"/>
        <d v="2006-10-26T00:00:00"/>
        <d v="2006-10-27T00:00:00"/>
        <d v="2006-10-28T00:00:00"/>
        <d v="2006-10-29T00:00:00"/>
        <d v="2006-10-30T00:00:00"/>
        <d v="2006-10-31T00:00:00"/>
        <d v="2006-11-01T00:00:00"/>
        <d v="2006-11-02T00:00:00"/>
        <d v="2006-11-03T00:00:00"/>
        <d v="2006-11-04T00:00:00"/>
        <d v="2006-11-05T00:00:00"/>
        <d v="2006-11-06T00:00:00"/>
        <d v="2006-11-07T00:00:00"/>
        <d v="2006-11-08T00:00:00"/>
        <d v="2006-11-09T00:00:00"/>
        <d v="2006-11-10T00:00:00"/>
        <d v="2006-11-11T00:00:00"/>
        <d v="2006-11-12T00:00:00"/>
        <d v="2006-11-13T00:00:00"/>
        <d v="2006-11-14T00:00:00"/>
        <d v="2006-11-15T00:00:00"/>
        <d v="2006-11-16T00:00:00"/>
        <d v="2006-11-17T00:00:00"/>
        <d v="2006-11-18T00:00:00"/>
        <d v="2006-11-19T00:00:00"/>
        <d v="2006-11-20T00:00:00"/>
        <d v="2006-11-21T00:00:00"/>
        <d v="2006-11-22T00:00:00"/>
        <d v="2006-11-23T00:00:00"/>
        <d v="2006-11-24T00:00:00"/>
        <d v="2006-11-25T00:00:00"/>
        <d v="2006-11-26T00:00:00"/>
        <d v="2006-11-27T00:00:00"/>
        <d v="2006-11-28T00:00:00"/>
        <d v="2006-11-29T00:00:00"/>
        <d v="2006-11-30T00:00:00"/>
        <d v="2006-12-01T00:00:00"/>
        <d v="2006-12-02T00:00:00"/>
        <d v="2006-12-03T00:00:00"/>
        <d v="2006-12-04T00:00:00"/>
        <d v="2006-12-05T00:00:00"/>
        <d v="2006-12-06T00:00:00"/>
        <d v="2006-12-07T00:00:00"/>
        <d v="2006-12-08T00:00:00"/>
        <d v="2006-12-09T00:00:00"/>
        <d v="2006-12-10T00:00:00"/>
        <d v="2006-12-11T00:00:00"/>
        <d v="2006-12-12T00:00:00"/>
        <d v="2006-12-13T00:00:00"/>
        <d v="2006-12-14T00:00:00"/>
        <d v="2006-12-15T00:00:00"/>
        <d v="2006-12-16T00:00:00"/>
        <d v="2006-12-17T00:00:00"/>
        <d v="2006-12-18T00:00:00"/>
        <d v="2006-12-19T00:00:00"/>
        <d v="2006-12-20T00:00:00"/>
        <d v="2006-12-21T00:00:00"/>
        <d v="2006-12-22T00:00:00"/>
        <d v="2006-12-23T00:00:00"/>
        <d v="2006-12-24T00:00:00"/>
        <d v="2006-12-25T00:00:00"/>
        <d v="2006-12-26T00:00:00"/>
        <d v="2006-12-27T00:00:00"/>
        <d v="2006-12-28T00:00:00"/>
        <d v="2006-12-29T00:00:00"/>
        <d v="2006-12-30T00:00:00"/>
        <d v="2006-12-31T00:00:00"/>
        <d v="2007-01-01T00:00:00"/>
        <d v="2007-01-02T00:00:00"/>
        <d v="2007-01-03T00:00:00"/>
        <d v="2007-01-04T00:00:00"/>
        <d v="2007-01-05T00:00:00"/>
        <d v="2007-01-06T00:00:00"/>
        <d v="2007-01-07T00:00:00"/>
        <d v="2007-01-08T00:00:00"/>
        <d v="2007-01-09T00:00:00"/>
        <d v="2007-01-10T00:00:00"/>
        <d v="2007-01-11T00:00:00"/>
        <d v="2007-01-12T00:00:00"/>
        <d v="2007-01-13T00:00:00"/>
        <d v="2007-01-14T00:00:00"/>
        <d v="2007-01-15T00:00:00"/>
        <d v="2007-01-16T00:00:00"/>
        <d v="2007-01-17T00:00:00"/>
        <d v="2007-01-18T00:00:00"/>
        <d v="2007-01-19T00:00:00"/>
        <d v="2007-01-20T00:00:00"/>
        <d v="2007-01-21T00:00:00"/>
        <d v="2007-01-22T00:00:00"/>
        <d v="2007-01-23T00:00:00"/>
        <d v="2007-01-24T00:00:00"/>
        <d v="2007-01-25T00:00:00"/>
        <d v="2007-01-26T00:00:00"/>
        <d v="2007-01-27T00:00:00"/>
        <d v="2007-01-28T00:00:00"/>
        <d v="2007-01-29T00:00:00"/>
        <d v="2007-01-30T00:00:00"/>
        <d v="2007-01-31T00:00:00"/>
        <d v="2007-02-01T00:00:00"/>
        <d v="2007-02-02T00:00:00"/>
        <d v="2007-02-03T00:00:00"/>
        <d v="2007-02-04T00:00:00"/>
        <d v="2007-02-05T00:00:00"/>
        <d v="2007-02-06T00:00:00"/>
        <d v="2007-02-07T00:00:00"/>
        <d v="2007-02-08T00:00:00"/>
        <d v="2007-02-09T00:00:00"/>
        <d v="2007-02-10T00:00:00"/>
        <d v="2007-02-11T00:00:00"/>
        <d v="2007-02-12T00:00:00"/>
        <d v="2007-02-13T00:00:00"/>
        <d v="2007-02-14T00:00:00"/>
        <d v="2007-02-15T00:00:00"/>
        <d v="2007-02-16T00:00:00"/>
        <d v="2007-02-17T00:00:00"/>
        <d v="2007-02-18T00:00:00"/>
        <d v="2007-02-19T00:00:00"/>
        <d v="2007-02-20T00:00:00"/>
        <d v="2007-02-21T00:00:00"/>
        <d v="2007-02-22T00:00:00"/>
        <d v="2007-02-23T00:00:00"/>
        <d v="2007-02-24T00:00:00"/>
        <d v="2007-02-25T00:00:00"/>
        <d v="2007-02-26T00:00:00"/>
        <d v="2007-02-27T00:00:00"/>
        <d v="2007-02-28T00:00:00"/>
        <d v="2007-03-01T00:00:00"/>
        <d v="2007-03-02T00:00:00"/>
        <d v="2007-03-03T00:00:00"/>
        <d v="2007-03-04T00:00:00"/>
        <d v="2007-03-05T00:00:00"/>
        <d v="2007-03-06T00:00:00"/>
        <d v="2007-03-07T00:00:00"/>
        <d v="2007-03-08T00:00:00"/>
        <d v="2007-03-09T00:00:00"/>
        <d v="2007-03-10T00:00:00"/>
        <d v="2007-03-11T00:00:00"/>
        <d v="2007-03-12T00:00:00"/>
        <d v="2007-03-13T00:00:00"/>
        <d v="2007-03-14T00:00:00"/>
        <d v="2007-03-15T00:00:00"/>
        <d v="2007-03-16T00:00:00"/>
        <d v="2007-03-17T00:00:00"/>
        <d v="2007-03-18T00:00:00"/>
        <d v="2007-03-19T00:00:00"/>
        <d v="2007-03-20T00:00:00"/>
        <d v="2007-03-21T00:00:00"/>
        <d v="2007-03-22T00:00:00"/>
        <d v="2007-03-23T00:00:00"/>
        <d v="2007-03-24T00:00:00"/>
        <d v="2007-03-25T00:00:00"/>
        <d v="2007-03-26T00:00:00"/>
        <d v="2007-03-27T00:00:00"/>
        <d v="2007-03-28T00:00:00"/>
        <d v="2007-03-29T00:00:00"/>
        <d v="2007-03-30T00:00:00"/>
        <d v="2007-03-31T00:00:00"/>
        <d v="2007-04-01T00:00:00"/>
        <d v="2007-04-02T00:00:00"/>
        <d v="2007-04-03T00:00:00"/>
        <d v="2007-04-04T00:00:00"/>
        <d v="2007-04-05T00:00:00"/>
        <d v="2007-04-06T00:00:00"/>
        <d v="2007-04-07T00:00:00"/>
        <d v="2007-04-08T00:00:00"/>
        <d v="2007-04-09T00:00:00"/>
        <d v="2007-04-10T00:00:00"/>
        <d v="2007-04-11T00:00:00"/>
        <d v="2007-04-12T00:00:00"/>
        <d v="2007-04-13T00:00:00"/>
        <d v="2007-04-14T00:00:00"/>
        <d v="2007-04-15T00:00:00"/>
        <d v="2007-04-16T00:00:00"/>
        <d v="2007-04-17T00:00:00"/>
        <d v="2007-04-18T00:00:00"/>
        <d v="2007-04-19T00:00:00"/>
        <d v="2007-04-20T00:00:00"/>
        <d v="2007-04-21T00:00:00"/>
        <d v="2007-04-22T00:00:00"/>
        <d v="2007-04-23T00:00:00"/>
        <d v="2007-04-24T00:00:00"/>
        <d v="2007-04-25T00:00:00"/>
        <d v="2007-04-26T00:00:00"/>
        <d v="2007-04-27T00:00:00"/>
        <d v="2007-04-28T00:00:00"/>
        <d v="2007-04-29T00:00:00"/>
        <d v="2007-04-30T00:00:00"/>
        <d v="2007-05-01T00:00:00"/>
        <d v="2007-05-02T00:00:00"/>
        <d v="2007-05-03T00:00:00"/>
        <d v="2007-05-04T00:00:00"/>
        <d v="2007-05-05T00:00:00"/>
        <d v="2007-05-06T00:00:00"/>
        <d v="2007-05-07T00:00:00"/>
        <d v="2007-05-08T00:00:00"/>
        <d v="2007-05-09T00:00:00"/>
        <d v="2007-05-10T00:00:00"/>
        <d v="2007-05-11T00:00:00"/>
        <d v="2007-05-12T00:00:00"/>
        <d v="2007-05-13T00:00:00"/>
        <d v="2007-05-14T00:00:00"/>
        <d v="2007-05-15T00:00:00"/>
        <d v="2007-05-16T00:00:00"/>
        <d v="2007-05-17T00:00:00"/>
        <d v="2007-05-18T00:00:00"/>
        <d v="2007-05-19T00:00:00"/>
        <d v="2007-05-20T00:00:00"/>
        <d v="2007-05-21T00:00:00"/>
        <d v="2007-05-22T00:00:00"/>
        <d v="2007-05-23T00:00:00"/>
        <d v="2007-05-24T00:00:00"/>
        <d v="2007-05-25T00:00:00"/>
        <d v="2007-05-26T00:00:00"/>
        <d v="2007-05-27T00:00:00"/>
        <d v="2007-05-28T00:00:00"/>
        <d v="2007-05-29T00:00:00"/>
        <d v="2007-05-30T00:00:00"/>
        <d v="2007-05-31T00:00:00"/>
        <d v="2007-06-01T00:00:00"/>
        <d v="2007-06-02T00:00:00"/>
        <d v="2007-06-03T00:00:00"/>
        <d v="2007-06-04T00:00:00"/>
        <d v="2007-06-05T00:00:00"/>
        <d v="2007-06-06T00:00:00"/>
        <d v="2007-06-07T00:00:00"/>
        <d v="2007-06-08T00:00:00"/>
        <d v="2007-06-09T00:00:00"/>
        <d v="2007-06-10T00:00:00"/>
        <d v="2007-06-11T00:00:00"/>
        <d v="2007-06-12T00:00:00"/>
        <d v="2007-06-13T00:00:00"/>
        <d v="2007-06-14T00:00:00"/>
        <d v="2007-06-15T00:00:00"/>
        <d v="2007-06-16T00:00:00"/>
        <d v="2007-06-17T00:00:00"/>
        <d v="2007-06-18T00:00:00"/>
        <d v="2007-06-19T00:00:00"/>
        <d v="2007-06-20T00:00:00"/>
        <d v="2007-06-21T00:00:00"/>
        <d v="2007-06-22T00:00:00"/>
        <d v="2007-06-23T00:00:00"/>
        <d v="2007-06-24T00:00:00"/>
        <d v="2007-06-25T00:00:00"/>
        <d v="2007-06-26T00:00:00"/>
        <d v="2007-06-27T00:00:00"/>
        <d v="2007-06-28T00:00:00"/>
        <d v="2007-06-29T00:00:00"/>
        <d v="2007-06-30T00:00:00"/>
        <d v="2007-07-01T00:00:00"/>
        <d v="2007-07-02T00:00:00"/>
        <d v="2007-07-03T00:00:00"/>
        <d v="2007-07-04T00:00:00"/>
        <d v="2007-07-05T00:00:00"/>
        <d v="2007-07-06T00:00:00"/>
        <d v="2007-07-07T00:00:00"/>
        <d v="2007-07-08T00:00:00"/>
        <d v="2007-07-09T00:00:00"/>
        <d v="2007-07-10T00:00:00"/>
        <d v="2007-07-11T00:00:00"/>
        <d v="2007-07-12T00:00:00"/>
        <d v="2007-07-13T00:00:00"/>
        <d v="2007-07-14T00:00:00"/>
        <d v="2007-07-15T00:00:00"/>
        <d v="2007-07-16T00:00:00"/>
        <d v="2007-07-17T00:00:00"/>
        <d v="2007-07-18T00:00:00"/>
        <d v="2007-07-19T00:00:00"/>
        <d v="2007-07-20T00:00:00"/>
        <d v="2007-07-21T00:00:00"/>
        <d v="2007-07-22T00:00:00"/>
        <d v="2007-07-23T00:00:00"/>
        <d v="2007-07-24T00:00:00"/>
        <d v="2007-07-25T00:00:00"/>
        <d v="2007-07-26T00:00:00"/>
        <d v="2007-07-27T00:00:00"/>
        <d v="2007-07-28T00:00:00"/>
        <d v="2007-07-29T00:00:00"/>
        <d v="2007-07-30T00:00:00"/>
        <d v="2007-07-31T00:00:00"/>
        <d v="2007-08-01T00:00:00"/>
        <d v="2007-08-02T00:00:00"/>
        <d v="2007-08-03T00:00:00"/>
        <d v="2007-08-04T00:00:00"/>
        <d v="2007-08-05T00:00:00"/>
        <d v="2007-08-06T00:00:00"/>
        <d v="2007-08-07T00:00:00"/>
        <d v="2007-08-08T00:00:00"/>
        <d v="2007-08-09T00:00:00"/>
        <d v="2007-08-10T00:00:00"/>
        <d v="2007-08-11T00:00:00"/>
        <d v="2007-08-12T00:00:00"/>
        <d v="2007-08-13T00:00:00"/>
        <d v="2007-08-14T00:00:00"/>
        <d v="2007-08-15T00:00:00"/>
        <d v="2007-08-16T00:00:00"/>
        <d v="2007-08-17T00:00:00"/>
        <d v="2007-08-18T00:00:00"/>
        <d v="2007-08-19T00:00:00"/>
        <d v="2007-08-20T00:00:00"/>
        <d v="2007-08-21T00:00:00"/>
        <d v="2007-08-22T00:00:00"/>
        <d v="2007-08-23T00:00:00"/>
        <d v="2007-08-24T00:00:00"/>
        <d v="2007-08-25T00:00:00"/>
        <d v="2007-08-26T00:00:00"/>
        <d v="2007-08-27T00:00:00"/>
        <d v="2007-08-28T00:00:00"/>
        <d v="2007-08-29T00:00:00"/>
        <d v="2007-08-30T00:00:00"/>
        <d v="2007-08-31T00:00:00"/>
        <d v="2007-09-01T00:00:00"/>
        <d v="2007-09-02T00:00:00"/>
        <d v="2007-09-03T00:00:00"/>
        <d v="2007-09-04T00:00:00"/>
        <d v="2007-09-05T00:00:00"/>
        <d v="2007-09-06T00:00:00"/>
        <d v="2007-09-07T00:00:00"/>
        <d v="2007-09-08T00:00:00"/>
        <d v="2007-09-09T00:00:00"/>
        <d v="2007-09-10T00:00:00"/>
        <d v="2007-09-11T00:00:00"/>
        <d v="2007-09-12T00:00:00"/>
        <d v="2007-09-13T00:00:00"/>
        <d v="2007-09-14T00:00:00"/>
        <d v="2007-09-15T00:00:00"/>
        <d v="2007-09-16T00:00:00"/>
        <d v="2007-09-17T00:00:00"/>
        <d v="2007-09-18T00:00:00"/>
        <d v="2007-09-19T00:00:00"/>
        <d v="2007-09-20T00:00:00"/>
        <d v="2007-09-21T00:00:00"/>
        <d v="2007-09-22T00:00:00"/>
        <d v="2007-09-23T00:00:00"/>
        <d v="2007-09-24T00:00:00"/>
        <d v="2007-09-25T00:00:00"/>
        <d v="2007-09-26T00:00:00"/>
        <d v="2007-09-27T00:00:00"/>
        <d v="2007-09-28T00:00:00"/>
        <d v="2007-09-29T00:00:00"/>
        <d v="2007-09-30T00:00:00"/>
        <d v="2007-10-01T00:00:00"/>
        <d v="2007-10-02T00:00:00"/>
        <d v="2007-10-03T00:00:00"/>
        <d v="2007-10-04T00:00:00"/>
        <d v="2007-10-05T00:00:00"/>
        <d v="2007-10-06T00:00:00"/>
        <d v="2007-10-07T00:00:00"/>
        <d v="2007-10-08T00:00:00"/>
        <d v="2007-10-09T00:00:00"/>
        <d v="2007-10-10T00:00:00"/>
        <d v="2007-10-11T00:00:00"/>
        <d v="2007-10-12T00:00:00"/>
        <d v="2007-10-13T00:00:00"/>
        <d v="2007-10-14T00:00:00"/>
        <d v="2007-10-15T00:00:00"/>
        <d v="2007-10-16T00:00:00"/>
        <d v="2007-10-17T00:00:00"/>
        <d v="2007-10-18T00:00:00"/>
        <d v="2007-10-19T00:00:00"/>
        <d v="2007-10-20T00:00:00"/>
        <d v="2007-10-21T00:00:00"/>
        <d v="2007-10-22T00:00:00"/>
        <d v="2007-10-23T00:00:00"/>
        <d v="2007-10-24T00:00:00"/>
        <d v="2007-10-25T00:00:00"/>
        <d v="2007-10-26T00:00:00"/>
        <d v="2007-10-27T00:00:00"/>
        <d v="2007-10-28T00:00:00"/>
        <d v="2007-10-29T00:00:00"/>
        <d v="2007-10-30T00:00:00"/>
        <d v="2007-10-31T00:00:00"/>
        <d v="2007-11-01T00:00:00"/>
        <d v="2007-11-02T00:00:00"/>
        <d v="2007-11-03T00:00:00"/>
        <d v="2007-11-04T00:00:00"/>
        <d v="2007-11-05T00:00:00"/>
        <d v="2007-11-06T00:00:00"/>
        <d v="2007-11-07T00:00:00"/>
        <d v="2007-11-08T00:00:00"/>
        <d v="2007-11-09T00:00:00"/>
        <d v="2007-11-10T00:00:00"/>
        <d v="2007-11-11T00:00:00"/>
        <d v="2007-11-12T00:00:00"/>
        <d v="2007-11-13T00:00:00"/>
        <d v="2007-11-14T00:00:00"/>
        <d v="2007-11-15T00:00:00"/>
        <d v="2007-11-16T00:00:00"/>
        <d v="2007-11-17T00:00:00"/>
        <d v="2007-11-18T00:00:00"/>
        <d v="2007-11-19T00:00:00"/>
        <d v="2007-11-20T00:00:00"/>
        <d v="2007-11-21T00:00:00"/>
        <d v="2007-11-22T00:00:00"/>
        <d v="2007-11-23T00:00:00"/>
        <d v="2007-11-24T00:00:00"/>
        <d v="2007-11-25T00:00:00"/>
        <d v="2007-11-26T00:00:00"/>
        <d v="2007-11-27T00:00:00"/>
        <d v="2007-11-28T00:00:00"/>
        <d v="2007-11-29T00:00:00"/>
        <d v="2007-11-30T00:00:00"/>
        <d v="2007-12-01T00:00:00"/>
        <d v="2007-12-02T00:00:00"/>
        <d v="2007-12-03T00:00:00"/>
        <d v="2007-12-04T00:00:00"/>
        <d v="2007-12-05T00:00:00"/>
        <d v="2007-12-06T00:00:00"/>
        <d v="2007-12-07T00:00:00"/>
        <d v="2007-12-08T00:00:00"/>
        <d v="2007-12-09T00:00:00"/>
        <d v="2007-12-10T00:00:00"/>
        <d v="2007-12-11T00:00:00"/>
        <d v="2007-12-12T00:00:00"/>
        <d v="2007-12-13T00:00:00"/>
        <d v="2007-12-14T00:00:00"/>
        <d v="2007-12-15T00:00:00"/>
        <d v="2007-12-16T00:00:00"/>
        <d v="2007-12-17T00:00:00"/>
        <d v="2007-12-18T00:00:00"/>
        <d v="2007-12-19T00:00:00"/>
        <d v="2007-12-20T00:00:00"/>
        <d v="2007-12-21T00:00:00"/>
        <d v="2007-12-22T00:00:00"/>
        <d v="2007-12-23T00:00:00"/>
        <d v="2007-12-24T00:00:00"/>
        <d v="2007-12-25T00:00:00"/>
        <d v="2007-12-26T00:00:00"/>
        <d v="2007-12-27T00:00:00"/>
        <d v="2007-12-28T00:00:00"/>
        <d v="2007-12-29T00:00:00"/>
        <d v="2007-12-30T00:00:00"/>
        <d v="2007-12-31T00:00:00"/>
        <d v="2008-01-01T00:00:00"/>
        <d v="2008-01-02T00:00:00"/>
        <d v="2008-01-03T00:00:00"/>
        <d v="2008-01-04T00:00:00"/>
        <d v="2008-01-05T00:00:00"/>
        <d v="2008-01-06T00:00:00"/>
        <d v="2008-01-07T00:00:00"/>
        <d v="2008-01-08T00:00:00"/>
        <d v="2008-01-09T00:00:00"/>
        <d v="2008-01-10T00:00:00"/>
        <d v="2008-01-11T00:00:00"/>
        <d v="2008-01-12T00:00:00"/>
        <d v="2008-01-13T00:00:00"/>
        <d v="2008-01-14T00:00:00"/>
        <d v="2008-01-15T00:00:00"/>
        <d v="2008-01-16T00:00:00"/>
        <d v="2008-01-17T00:00:00"/>
        <d v="2008-01-18T00:00:00"/>
        <d v="2008-01-19T00:00:00"/>
        <d v="2008-01-20T00:00:00"/>
        <d v="2008-01-21T00:00:00"/>
        <d v="2008-01-22T00:00:00"/>
        <d v="2008-01-23T00:00:00"/>
        <d v="2008-01-24T00:00:00"/>
        <d v="2008-01-25T00:00:00"/>
        <d v="2008-01-26T00:00:00"/>
        <d v="2008-01-27T00:00:00"/>
        <d v="2008-01-28T00:00:00"/>
        <d v="2008-01-29T00:00:00"/>
        <d v="2008-01-30T00:00:00"/>
        <d v="2008-01-31T00:00:00"/>
        <d v="2008-02-01T00:00:00"/>
        <d v="2008-02-02T00:00:00"/>
        <d v="2008-02-03T00:00:00"/>
        <d v="2008-02-04T00:00:00"/>
        <d v="2008-02-05T00:00:00"/>
        <d v="2008-02-06T00:00:00"/>
        <d v="2008-02-07T00:00:00"/>
        <d v="2008-02-08T00:00:00"/>
        <d v="2008-02-09T00:00:00"/>
        <d v="2008-02-10T00:00:00"/>
        <d v="2008-02-11T00:00:00"/>
        <d v="2008-02-12T00:00:00"/>
        <d v="2008-02-13T00:00:00"/>
        <d v="2008-02-14T00:00:00"/>
        <d v="2008-02-15T00:00:00"/>
        <d v="2008-02-16T00:00:00"/>
        <d v="2008-02-17T00:00:00"/>
        <d v="2008-02-18T00:00:00"/>
        <d v="2008-02-19T00:00:00"/>
        <d v="2008-02-20T00:00:00"/>
        <d v="2008-02-21T00:00:00"/>
        <d v="2008-02-22T00:00:00"/>
        <d v="2008-02-23T00:00:00"/>
        <d v="2008-02-24T00:00:00"/>
        <d v="2008-02-25T00:00:00"/>
        <d v="2008-02-26T00:00:00"/>
        <d v="2008-02-27T00:00:00"/>
        <d v="2008-02-28T00:00:00"/>
        <d v="2008-02-29T00:00:00"/>
        <d v="2008-03-01T00:00:00"/>
        <d v="2008-03-02T00:00:00"/>
        <d v="2008-03-03T00:00:00"/>
        <d v="2008-03-04T00:00:00"/>
        <d v="2008-03-05T00:00:00"/>
        <d v="2008-03-06T00:00:00"/>
        <d v="2008-03-07T00:00:00"/>
        <d v="2008-03-08T00:00:00"/>
        <d v="2008-03-09T00:00:00"/>
        <d v="2008-03-10T00:00:00"/>
        <d v="2008-03-11T00:00:00"/>
        <d v="2008-03-12T00:00:00"/>
        <d v="2008-03-13T00:00:00"/>
        <d v="2008-03-14T00:00:00"/>
        <d v="2008-03-15T00:00:00"/>
        <d v="2008-03-16T00:00:00"/>
        <d v="2008-03-17T00:00:00"/>
        <d v="2008-03-18T00:00:00"/>
        <d v="2008-03-19T00:00:00"/>
        <d v="2008-03-20T00:00:00"/>
        <d v="2008-03-21T00:00:00"/>
        <d v="2008-03-22T00:00:00"/>
        <d v="2008-03-23T00:00:00"/>
        <d v="2008-03-24T00:00:00"/>
        <d v="2008-03-25T00:00:00"/>
        <d v="2008-03-26T00:00:00"/>
        <d v="2008-03-27T00:00:00"/>
        <d v="2008-03-28T00:00:00"/>
        <d v="2008-03-29T00:00:00"/>
        <d v="2008-03-30T00:00:00"/>
        <d v="2008-03-31T00:00:00"/>
        <d v="2008-04-01T00:00:00"/>
        <d v="2008-04-02T00:00:00"/>
        <d v="2008-04-03T00:00:00"/>
        <d v="2008-04-04T00:00:00"/>
        <d v="2008-04-05T00:00:00"/>
        <d v="2008-04-06T00:00:00"/>
        <d v="2008-04-07T00:00:00"/>
        <d v="2008-04-08T00:00:00"/>
        <d v="2008-04-09T00:00:00"/>
        <d v="2008-04-10T00:00:00"/>
        <d v="2008-04-11T00:00:00"/>
        <d v="2008-04-12T00:00:00"/>
        <d v="2008-04-13T00:00:00"/>
        <d v="2008-04-14T00:00:00"/>
        <d v="2008-04-15T00:00:00"/>
        <d v="2008-04-16T00:00:00"/>
        <d v="2008-04-17T00:00:00"/>
        <d v="2008-04-18T00:00:00"/>
        <d v="2008-04-19T00:00:00"/>
        <d v="2008-04-20T00:00:00"/>
        <d v="2008-04-21T00:00:00"/>
        <d v="2008-04-22T00:00:00"/>
        <d v="2008-04-23T00:00:00"/>
        <d v="2008-04-24T00:00:00"/>
        <d v="2008-04-25T00:00:00"/>
        <d v="2008-04-26T00:00:00"/>
        <d v="2008-04-27T00:00:00"/>
        <d v="2008-04-28T00:00:00"/>
        <d v="2008-04-29T00:00:00"/>
        <d v="2008-04-30T00:00:00"/>
        <d v="2008-05-01T00:00:00"/>
        <d v="2008-05-02T00:00:00"/>
        <d v="2008-05-03T00:00:00"/>
        <d v="2008-05-04T00:00:00"/>
        <d v="2008-05-05T00:00:00"/>
        <d v="2008-05-06T00:00:00"/>
        <d v="2008-05-07T00:00:00"/>
        <d v="2008-05-08T00:00:00"/>
        <d v="2008-05-09T00:00:00"/>
        <d v="2008-05-10T00:00:00"/>
        <d v="2008-05-11T00:00:00"/>
        <d v="2008-05-12T00:00:00"/>
        <d v="2008-05-13T00:00:00"/>
        <d v="2008-05-14T00:00:00"/>
        <d v="2008-05-15T00:00:00"/>
        <d v="2008-05-16T00:00:00"/>
        <d v="2008-05-17T00:00:00"/>
        <d v="2008-05-18T00:00:00"/>
        <d v="2008-05-19T00:00:00"/>
        <d v="2008-05-20T00:00:00"/>
        <d v="2008-05-21T00:00:00"/>
        <d v="2008-05-22T00:00:00"/>
        <d v="2008-05-23T00:00:00"/>
        <d v="2008-05-24T00:00:00"/>
        <d v="2008-05-25T00:00:00"/>
        <d v="2008-05-26T00:00:00"/>
        <d v="2008-05-27T00:00:00"/>
        <d v="2008-05-28T00:00:00"/>
        <d v="2008-05-29T00:00:00"/>
        <d v="2008-05-30T00:00:00"/>
        <d v="2008-05-31T00:00:00"/>
        <d v="2008-06-01T00:00:00"/>
        <d v="2008-06-02T00:00:00"/>
        <d v="2008-06-03T00:00:00"/>
        <d v="2008-06-04T00:00:00"/>
        <d v="2008-06-05T00:00:00"/>
        <d v="2008-06-06T00:00:00"/>
        <d v="2008-06-07T00:00:00"/>
        <d v="2008-06-08T00:00:00"/>
        <d v="2008-06-09T00:00:00"/>
        <d v="2008-06-10T00:00:00"/>
        <d v="2008-06-11T00:00:00"/>
        <d v="2008-06-12T00:00:00"/>
        <d v="2008-06-13T00:00:00"/>
        <d v="2008-06-14T00:00:00"/>
        <d v="2008-06-15T00:00:00"/>
        <d v="2008-06-16T00:00:00"/>
        <d v="2008-06-17T00:00:00"/>
        <d v="2008-06-18T00:00:00"/>
        <d v="2008-06-19T00:00:00"/>
        <d v="2008-06-20T00:00:00"/>
        <d v="2008-06-21T00:00:00"/>
        <d v="2008-06-22T00:00:00"/>
        <d v="2008-06-23T00:00:00"/>
        <d v="2008-06-24T00:00:00"/>
        <d v="2008-06-25T00:00:00"/>
        <d v="2008-06-26T00:00:00"/>
        <d v="2008-06-27T00:00:00"/>
        <d v="2008-06-28T00:00:00"/>
        <d v="2008-06-29T00:00:00"/>
        <d v="2008-06-30T00:00:00"/>
        <d v="2008-07-01T00:00:00"/>
        <d v="2008-07-02T00:00:00"/>
        <d v="2008-07-03T00:00:00"/>
        <d v="2008-07-04T00:00:00"/>
        <d v="2008-07-05T00:00:00"/>
        <d v="2008-07-06T00:00:00"/>
        <d v="2008-07-07T00:00:00"/>
        <d v="2008-07-08T00:00:00"/>
        <d v="2008-07-09T00:00:00"/>
        <d v="2008-07-10T00:00:00"/>
        <d v="2008-07-11T00:00:00"/>
        <d v="2008-07-12T00:00:00"/>
        <d v="2008-07-13T00:00:00"/>
        <d v="2008-07-14T00:00:00"/>
        <d v="2008-07-15T00:00:00"/>
        <d v="2008-07-16T00:00:00"/>
        <d v="2008-07-17T00:00:00"/>
        <d v="2008-07-18T00:00:00"/>
        <d v="2008-07-19T00:00:00"/>
        <d v="2008-07-20T00:00:00"/>
        <d v="2008-07-21T00:00:00"/>
        <d v="2008-07-22T00:00:00"/>
        <d v="2008-07-23T00:00:00"/>
        <d v="2008-07-24T00:00:00"/>
        <d v="2008-07-25T00:00:00"/>
        <d v="2008-07-26T00:00:00"/>
        <d v="2008-07-27T00:00:00"/>
        <d v="2008-07-28T00:00:00"/>
        <d v="2008-07-29T00:00:00"/>
        <d v="2008-07-30T00:00:00"/>
        <d v="2008-07-31T00:00:00"/>
        <d v="2008-08-01T00:00:00"/>
        <d v="2008-08-02T00:00:00"/>
        <d v="2008-08-03T00:00:00"/>
        <d v="2008-08-04T00:00:00"/>
        <d v="2008-08-05T00:00:00"/>
        <d v="2008-08-06T00:00:00"/>
        <d v="2008-08-07T00:00:00"/>
        <d v="2008-08-08T00:00:00"/>
        <d v="2008-08-09T00:00:00"/>
        <d v="2008-08-10T00:00:00"/>
        <d v="2008-08-11T00:00:00"/>
        <d v="2008-08-12T00:00:00"/>
        <d v="2008-08-13T00:00:00"/>
        <d v="2008-08-14T00:00:00"/>
        <d v="2008-08-15T00:00:00"/>
        <d v="2008-08-16T00:00:00"/>
        <d v="2008-08-17T00:00:00"/>
        <d v="2008-08-18T00:00:00"/>
        <d v="2008-08-19T00:00:00"/>
        <d v="2008-08-20T00:00:00"/>
        <d v="2008-08-21T00:00:00"/>
        <d v="2008-08-22T00:00:00"/>
        <d v="2008-08-23T00:00:00"/>
        <d v="2008-08-24T00:00:00"/>
        <d v="2008-08-25T00:00:00"/>
        <d v="2008-08-26T00:00:00"/>
        <d v="2008-08-27T00:00:00"/>
        <d v="2008-08-28T00:00:00"/>
        <d v="2008-08-29T00:00:00"/>
        <d v="2008-08-30T00:00:00"/>
        <d v="2008-08-31T00:00:00"/>
        <d v="2008-09-01T00:00:00"/>
        <d v="2008-09-02T00:00:00"/>
        <d v="2008-09-03T00:00:00"/>
        <d v="2008-09-04T00:00:00"/>
        <d v="2008-09-05T00:00:00"/>
        <d v="2008-09-06T00:00:00"/>
        <d v="2008-09-07T00:00:00"/>
        <d v="2008-09-08T00:00:00"/>
        <d v="2008-09-09T00:00:00"/>
        <d v="2008-09-10T00:00:00"/>
        <d v="2008-09-11T00:00:00"/>
        <d v="2008-09-12T00:00:00"/>
        <d v="2008-09-13T00:00:00"/>
        <d v="2008-09-14T00:00:00"/>
        <d v="2008-09-15T00:00:00"/>
        <d v="2008-09-16T00:00:00"/>
        <d v="2008-09-17T00:00:00"/>
        <d v="2008-09-18T00:00:00"/>
        <d v="2008-09-19T00:00:00"/>
        <d v="2008-09-20T00:00:00"/>
        <d v="2008-09-21T00:00:00"/>
        <d v="2008-09-22T00:00:00"/>
        <d v="2008-09-23T00:00:00"/>
        <d v="2008-09-24T00:00:00"/>
        <d v="2008-09-25T00:00:00"/>
        <d v="2008-09-26T00:00:00"/>
        <d v="2008-09-27T00:00:00"/>
        <d v="2008-09-28T00:00:00"/>
        <d v="2008-09-29T00:00:00"/>
        <d v="2008-09-30T00:00:00"/>
        <d v="2008-10-01T00:00:00"/>
        <d v="2008-10-02T00:00:00"/>
        <d v="2008-10-03T00:00:00"/>
        <d v="2008-10-04T00:00:00"/>
        <d v="2008-10-05T00:00:00"/>
        <d v="2008-10-06T00:00:00"/>
        <d v="2008-10-07T00:00:00"/>
        <d v="2008-10-08T00:00:00"/>
        <d v="2008-10-09T00:00:00"/>
        <d v="2008-10-10T00:00:00"/>
        <d v="2008-10-11T00:00:00"/>
        <d v="2008-10-12T00:00:00"/>
        <d v="2008-10-13T00:00:00"/>
        <d v="2008-10-14T00:00:00"/>
        <d v="2008-10-15T00:00:00"/>
        <d v="2008-10-16T00:00:00"/>
        <d v="2008-10-17T00:00:00"/>
        <d v="2008-10-18T00:00:00"/>
        <d v="2008-10-19T00:00:00"/>
        <d v="2008-10-20T00:00:00"/>
        <d v="2008-10-21T00:00:00"/>
        <d v="2008-10-22T00:00:00"/>
        <d v="2008-10-23T00:00:00"/>
        <d v="2008-10-24T00:00:00"/>
        <d v="2008-10-25T00:00:00"/>
        <d v="2008-10-26T00:00:00"/>
        <d v="2008-10-27T00:00:00"/>
        <d v="2008-10-28T00:00:00"/>
        <d v="2008-10-29T00:00:00"/>
        <d v="2008-10-30T00:00:00"/>
        <d v="2008-10-31T00:00:00"/>
        <d v="2008-11-01T00:00:00"/>
        <d v="2008-11-02T00:00:00"/>
        <d v="2008-11-03T00:00:00"/>
        <d v="2008-11-04T00:00:00"/>
        <d v="2008-11-05T00:00:00"/>
        <d v="2008-11-06T00:00:00"/>
        <d v="2008-11-07T00:00:00"/>
        <d v="2008-11-08T00:00:00"/>
        <d v="2008-11-09T00:00:00"/>
        <d v="2008-11-10T00:00:00"/>
        <d v="2008-11-11T00:00:00"/>
        <d v="2008-11-12T00:00:00"/>
        <d v="2008-11-13T00:00:00"/>
        <d v="2008-11-14T00:00:00"/>
        <d v="2008-11-15T00:00:00"/>
        <d v="2008-11-16T00:00:00"/>
        <d v="2008-11-17T00:00:00"/>
        <d v="2008-11-18T00:00:00"/>
        <d v="2008-11-19T00:00:00"/>
        <d v="2008-11-20T00:00:00"/>
        <d v="2008-11-21T00:00:00"/>
        <d v="2008-11-22T00:00:00"/>
        <d v="2008-11-23T00:00:00"/>
        <d v="2008-11-24T00:00:00"/>
        <d v="2008-11-25T00:00:00"/>
        <d v="2008-11-26T00:00:00"/>
        <d v="2008-11-27T00:00:00"/>
        <d v="2008-11-28T00:00:00"/>
        <d v="2008-11-29T00:00:00"/>
        <d v="2008-11-30T00:00:00"/>
        <d v="2008-12-01T00:00:00"/>
        <d v="2008-12-02T00:00:00"/>
        <d v="2008-12-03T00:00:00"/>
        <d v="2008-12-04T00:00:00"/>
        <d v="2008-12-05T00:00:00"/>
        <d v="2008-12-06T00:00:00"/>
        <d v="2008-12-07T00:00:00"/>
        <d v="2008-12-08T00:00:00"/>
        <d v="2008-12-09T00:00:00"/>
        <d v="2008-12-10T00:00:00"/>
        <d v="2008-12-11T00:00:00"/>
        <d v="2008-12-12T00:00:00"/>
        <d v="2008-12-13T00:00:00"/>
        <d v="2008-12-14T00:00:00"/>
        <d v="2008-12-15T00:00:00"/>
        <d v="2008-12-16T00:00:00"/>
        <d v="2008-12-17T00:00:00"/>
        <d v="2008-12-18T00:00:00"/>
        <d v="2008-12-19T00:00:00"/>
        <d v="2008-12-20T00:00:00"/>
        <d v="2008-12-21T00:00:00"/>
        <d v="2008-12-22T00:00:00"/>
        <d v="2008-12-23T00:00:00"/>
        <d v="2008-12-24T00:00:00"/>
        <d v="2008-12-25T00:00:00"/>
        <d v="2008-12-26T00:00:00"/>
        <d v="2008-12-27T00:00:00"/>
        <d v="2008-12-28T00:00:00"/>
        <d v="2008-12-29T00:00:00"/>
        <d v="2008-12-30T00:00:00"/>
        <d v="2008-12-31T00:00:00"/>
        <d v="2009-01-01T00:00:00"/>
        <d v="2009-01-02T00:00:00"/>
        <d v="2009-01-03T00:00:00"/>
        <d v="2009-01-04T00:00:00"/>
        <d v="2009-01-05T00:00:00"/>
        <d v="2009-01-06T00:00:00"/>
        <d v="2009-01-07T00:00:00"/>
        <d v="2009-01-08T00:00:00"/>
        <d v="2009-01-09T00:00:00"/>
        <d v="2009-01-10T00:00:00"/>
        <d v="2009-01-11T00:00:00"/>
        <d v="2009-01-12T00:00:00"/>
        <d v="2009-01-13T00:00:00"/>
        <d v="2009-01-14T00:00:00"/>
        <d v="2009-01-15T00:00:00"/>
        <d v="2009-01-16T00:00:00"/>
        <d v="2009-01-17T00:00:00"/>
        <d v="2009-01-18T00:00:00"/>
        <d v="2009-01-19T00:00:00"/>
        <d v="2009-01-20T00:00:00"/>
        <d v="2009-01-21T00:00:00"/>
        <d v="2009-01-22T00:00:00"/>
        <d v="2009-01-23T00:00:00"/>
        <d v="2009-01-24T00:00:00"/>
        <d v="2009-01-25T00:00:00"/>
        <d v="2009-01-26T00:00:00"/>
        <d v="2009-01-27T00:00:00"/>
        <d v="2009-01-28T00:00:00"/>
        <d v="2009-01-29T00:00:00"/>
        <d v="2009-01-30T00:00:00"/>
        <d v="2009-01-31T00:00:00"/>
        <d v="2009-02-01T00:00:00"/>
        <d v="2009-02-02T00:00:00"/>
        <d v="2009-02-03T00:00:00"/>
        <d v="2009-02-04T00:00:00"/>
        <d v="2009-02-05T00:00:00"/>
        <d v="2009-02-06T00:00:00"/>
        <d v="2009-02-07T00:00:00"/>
        <d v="2009-02-08T00:00:00"/>
        <d v="2009-02-09T00:00:00"/>
        <d v="2009-02-10T00:00:00"/>
        <d v="2009-02-11T00:00:00"/>
        <d v="2009-02-12T00:00:00"/>
        <d v="2009-02-13T00:00:00"/>
        <d v="2009-02-14T00:00:00"/>
        <d v="2009-02-15T00:00:00"/>
        <d v="2009-02-16T00:00:00"/>
        <d v="2009-02-17T00:00:00"/>
        <d v="2009-02-18T00:00:00"/>
        <d v="2009-02-19T00:00:00"/>
        <d v="2009-02-20T00:00:00"/>
        <d v="2009-02-21T00:00:00"/>
        <d v="2009-02-22T00:00:00"/>
        <d v="2009-02-23T00:00:00"/>
        <d v="2009-02-24T00:00:00"/>
        <d v="2009-02-25T00:00:00"/>
        <d v="2009-02-26T00:00:00"/>
        <d v="2009-02-27T00:00:00"/>
        <d v="2009-02-28T00:00:00"/>
        <d v="2009-03-01T00:00:00"/>
        <d v="2009-03-02T00:00:00"/>
        <d v="2009-03-03T00:00:00"/>
        <d v="2009-03-04T00:00:00"/>
        <d v="2009-03-05T00:00:00"/>
        <d v="2009-03-06T00:00:00"/>
        <d v="2009-03-07T00:00:00"/>
        <d v="2009-03-08T00:00:00"/>
        <d v="2009-03-09T00:00:00"/>
        <d v="2009-03-10T00:00:00"/>
        <d v="2009-03-11T00:00:00"/>
        <d v="2009-03-12T00:00:00"/>
        <d v="2009-03-13T00:00:00"/>
        <d v="2009-03-14T00:00:00"/>
        <d v="2009-03-15T00:00:00"/>
        <d v="2009-03-16T00:00:00"/>
        <d v="2009-03-17T00:00:00"/>
        <d v="2009-03-18T00:00:00"/>
        <d v="2009-03-19T00:00:00"/>
        <d v="2009-03-20T00:00:00"/>
        <d v="2009-03-21T00:00:00"/>
        <d v="2009-03-22T00:00:00"/>
        <d v="2009-03-23T00:00:00"/>
        <d v="2009-03-24T00:00:00"/>
        <d v="2009-03-25T00:00:00"/>
        <d v="2009-03-26T00:00:00"/>
        <d v="2009-03-27T00:00:00"/>
        <d v="2009-03-28T00:00:00"/>
        <d v="2009-03-29T00:00:00"/>
        <d v="2009-03-30T00:00:00"/>
        <d v="2009-03-31T00:00:00"/>
        <d v="2009-04-01T00:00:00"/>
        <d v="2009-04-02T00:00:00"/>
        <d v="2009-04-03T00:00:00"/>
        <d v="2009-04-04T00:00:00"/>
        <d v="2009-04-05T00:00:00"/>
        <d v="2009-04-06T00:00:00"/>
        <d v="2009-04-07T00:00:00"/>
        <d v="2009-04-08T00:00:00"/>
        <d v="2009-04-09T00:00:00"/>
        <d v="2009-04-10T00:00:00"/>
        <d v="2009-04-11T00:00:00"/>
        <d v="2009-04-12T00:00:00"/>
        <d v="2009-04-13T00:00:00"/>
        <d v="2009-04-14T00:00:00"/>
        <d v="2009-04-15T00:00:00"/>
        <d v="2009-04-16T00:00:00"/>
        <d v="2009-04-17T00:00:00"/>
        <d v="2009-04-18T00:00:00"/>
        <d v="2009-04-19T00:00:00"/>
        <d v="2009-04-20T00:00:00"/>
        <d v="2009-04-21T00:00:00"/>
        <d v="2009-04-22T00:00:00"/>
        <d v="2009-04-23T00:00:00"/>
        <d v="2009-04-24T00:00:00"/>
        <d v="2009-04-25T00:00:00"/>
        <d v="2009-04-26T00:00:00"/>
        <d v="2009-04-27T00:00:00"/>
        <d v="2009-04-28T00:00:00"/>
        <d v="2009-04-29T00:00:00"/>
        <d v="2009-04-30T00:00:00"/>
        <d v="2009-05-01T00:00:00"/>
        <d v="2009-05-02T00:00:00"/>
        <d v="2009-05-03T00:00:00"/>
        <d v="2009-05-04T00:00:00"/>
        <d v="2009-05-05T00:00:00"/>
        <d v="2009-05-06T00:00:00"/>
        <d v="2009-05-07T00:00:00"/>
        <d v="2009-05-08T00:00:00"/>
        <d v="2009-05-09T00:00:00"/>
        <d v="2009-05-10T00:00:00"/>
        <d v="2009-05-11T00:00:00"/>
        <d v="2009-05-12T00:00:00"/>
        <d v="2009-05-13T00:00:00"/>
        <d v="2009-05-14T00:00:00"/>
        <d v="2009-05-15T00:00:00"/>
        <d v="2009-05-16T00:00:00"/>
        <d v="2009-05-17T00:00:00"/>
        <d v="2009-05-18T00:00:00"/>
        <d v="2009-05-19T00:00:00"/>
        <d v="2009-05-20T00:00:00"/>
        <d v="2009-05-21T00:00:00"/>
        <d v="2009-05-22T00:00:00"/>
        <d v="2009-05-23T00:00:00"/>
        <d v="2009-05-24T00:00:00"/>
        <d v="2009-05-25T00:00:00"/>
        <d v="2009-05-26T00:00:00"/>
        <d v="2009-05-27T00:00:00"/>
        <d v="2009-05-28T00:00:00"/>
        <d v="2009-05-29T00:00:00"/>
        <d v="2009-05-30T00:00:00"/>
        <d v="2009-05-31T00:00:00"/>
        <d v="2009-06-01T00:00:00"/>
        <d v="2009-06-02T00:00:00"/>
        <d v="2009-06-03T00:00:00"/>
        <d v="2009-06-04T00:00:00"/>
        <d v="2009-06-05T00:00:00"/>
        <d v="2009-06-06T00:00:00"/>
        <d v="2009-06-07T00:00:00"/>
        <d v="2009-06-08T00:00:00"/>
        <d v="2009-06-09T00:00:00"/>
        <d v="2009-06-10T00:00:00"/>
        <d v="2009-06-11T00:00:00"/>
        <d v="2009-06-12T00:00:00"/>
        <d v="2009-06-13T00:00:00"/>
        <d v="2009-06-14T00:00:00"/>
        <d v="2009-06-15T00:00:00"/>
        <d v="2009-06-16T00:00:00"/>
        <d v="2009-06-17T00:00:00"/>
        <d v="2009-06-18T00:00:00"/>
        <d v="2009-06-19T00:00:00"/>
        <d v="2009-06-20T00:00:00"/>
        <d v="2009-06-21T00:00:00"/>
        <d v="2009-06-22T00:00:00"/>
        <d v="2009-06-23T00:00:00"/>
        <d v="2009-06-24T00:00:00"/>
        <d v="2009-06-25T00:00:00"/>
        <d v="2009-06-26T00:00:00"/>
        <d v="2009-06-27T00:00:00"/>
        <d v="2009-06-28T00:00:00"/>
        <d v="2009-06-29T00:00:00"/>
        <d v="2009-06-30T00:00:00"/>
        <d v="2009-07-01T00:00:00"/>
        <d v="2009-07-02T00:00:00"/>
        <d v="2009-07-03T00:00:00"/>
        <d v="2009-07-04T00:00:00"/>
        <d v="2009-07-05T00:00:00"/>
        <d v="2009-07-06T00:00:00"/>
        <d v="2009-07-07T00:00:00"/>
        <d v="2009-07-08T00:00:00"/>
        <d v="2009-07-09T00:00:00"/>
        <d v="2009-07-10T00:00:00"/>
        <d v="2009-07-11T00:00:00"/>
        <d v="2009-07-12T00:00:00"/>
        <d v="2009-07-13T00:00:00"/>
        <d v="2009-07-14T00:00:00"/>
        <d v="2009-07-15T00:00:00"/>
        <d v="2009-07-16T00:00:00"/>
        <d v="2009-07-17T00:00:00"/>
        <d v="2009-07-18T00:00:00"/>
        <d v="2009-07-19T00:00:00"/>
        <d v="2009-07-20T00:00:00"/>
        <d v="2009-07-21T00:00:00"/>
        <d v="2009-07-22T00:00:00"/>
        <d v="2009-07-23T00:00:00"/>
        <d v="2009-07-24T00:00:00"/>
        <d v="2009-07-25T00:00:00"/>
        <d v="2009-07-26T00:00:00"/>
        <d v="2009-07-27T00:00:00"/>
        <d v="2009-07-28T00:00:00"/>
        <d v="2009-07-29T00:00:00"/>
        <d v="2009-07-30T00:00:00"/>
        <d v="2009-07-31T00:00:00"/>
        <d v="2009-08-01T00:00:00"/>
        <d v="2009-08-02T00:00:00"/>
        <d v="2009-08-03T00:00:00"/>
        <d v="2009-08-04T00:00:00"/>
        <d v="2009-08-05T00:00:00"/>
        <d v="2009-08-06T00:00:00"/>
        <d v="2009-08-07T00:00:00"/>
        <d v="2009-08-08T00:00:00"/>
        <d v="2009-08-09T00:00:00"/>
        <d v="2009-08-10T00:00:00"/>
        <d v="2009-08-11T00:00:00"/>
        <d v="2009-08-12T00:00:00"/>
        <d v="2009-08-13T00:00:00"/>
        <d v="2009-08-14T00:00:00"/>
        <d v="2009-08-15T00:00:00"/>
        <d v="2009-08-16T00:00:00"/>
        <d v="2009-08-17T00:00:00"/>
        <d v="2009-08-18T00:00:00"/>
        <d v="2009-08-19T00:00:00"/>
        <d v="2009-08-20T00:00:00"/>
        <d v="2009-08-21T00:00:00"/>
        <d v="2009-08-22T00:00:00"/>
        <d v="2009-08-23T00:00:00"/>
        <d v="2009-08-24T00:00:00"/>
        <d v="2009-08-25T00:00:00"/>
        <d v="2009-08-26T00:00:00"/>
        <d v="2009-08-27T00:00:00"/>
        <d v="2009-08-28T00:00:00"/>
        <d v="2009-08-29T00:00:00"/>
        <d v="2009-08-30T00:00:00"/>
        <d v="2009-08-31T00:00:00"/>
        <d v="2009-09-01T00:00:00"/>
        <d v="2009-09-02T00:00:00"/>
        <d v="2009-09-03T00:00:00"/>
        <d v="2009-09-04T00:00:00"/>
        <d v="2009-09-05T00:00:00"/>
        <d v="2009-09-06T00:00:00"/>
        <d v="2009-09-07T00:00:00"/>
        <d v="2009-09-08T00:00:00"/>
        <d v="2009-09-09T00:00:00"/>
        <d v="2009-09-10T00:00:00"/>
        <d v="2009-09-11T00:00:00"/>
        <d v="2009-09-12T00:00:00"/>
        <d v="2009-09-13T00:00:00"/>
        <d v="2009-09-14T00:00:00"/>
        <d v="2009-09-15T00:00:00"/>
        <d v="2009-09-16T00:00:00"/>
        <d v="2009-09-17T00:00:00"/>
        <d v="2009-09-18T00:00:00"/>
        <d v="2009-09-19T00:00:00"/>
        <d v="2009-09-20T00:00:00"/>
        <d v="2009-09-21T00:00:00"/>
        <d v="2009-09-22T00:00:00"/>
        <d v="2009-09-23T00:00:00"/>
        <d v="2009-09-24T00:00:00"/>
        <d v="2009-09-25T00:00:00"/>
        <d v="2009-09-26T00:00:00"/>
        <d v="2009-09-27T00:00:00"/>
        <d v="2009-09-28T00:00:00"/>
        <d v="2009-09-29T00:00:00"/>
        <d v="2009-09-30T00:00:00"/>
        <d v="2009-10-01T00:00:00"/>
        <d v="2009-10-02T00:00:00"/>
        <d v="2009-10-03T00:00:00"/>
        <d v="2009-10-04T00:00:00"/>
        <d v="2009-10-05T00:00:00"/>
        <d v="2009-10-06T00:00:00"/>
        <d v="2009-10-07T00:00:00"/>
        <d v="2009-10-08T00:00:00"/>
        <d v="2009-10-09T00:00:00"/>
        <d v="2009-10-10T00:00:00"/>
        <d v="2009-10-11T00:00:00"/>
        <d v="2009-10-12T00:00:00"/>
        <d v="2009-10-13T00:00:00"/>
        <d v="2009-10-14T00:00:00"/>
        <d v="2009-10-15T00:00:00"/>
        <d v="2009-10-16T00:00:00"/>
        <d v="2009-10-17T00:00:00"/>
        <d v="2009-10-18T00:00:00"/>
        <d v="2009-10-19T00:00:00"/>
        <d v="2009-10-20T00:00:00"/>
        <d v="2009-10-21T00:00:00"/>
        <d v="2009-10-22T00:00:00"/>
        <d v="2009-10-23T00:00:00"/>
        <d v="2009-10-24T00:00:00"/>
        <d v="2009-10-25T00:00:00"/>
        <d v="2009-10-26T00:00:00"/>
        <d v="2009-10-27T00:00:00"/>
        <d v="2009-10-28T00:00:00"/>
        <d v="2009-10-29T00:00:00"/>
        <d v="2009-10-30T00:00:00"/>
        <d v="2009-10-31T00:00:00"/>
        <d v="2009-11-01T00:00:00"/>
        <d v="2009-11-02T00:00:00"/>
        <d v="2009-11-03T00:00:00"/>
        <d v="2009-11-04T00:00:00"/>
        <d v="2009-11-05T00:00:00"/>
        <d v="2009-11-06T00:00:00"/>
        <d v="2009-11-07T00:00:00"/>
        <d v="2009-11-08T00:00:00"/>
        <d v="2009-11-09T00:00:00"/>
        <d v="2009-11-10T00:00:00"/>
        <d v="2009-11-11T00:00:00"/>
        <d v="2009-11-12T00:00:00"/>
        <d v="2009-11-13T00:00:00"/>
        <d v="2009-11-14T00:00:00"/>
        <d v="2009-11-15T00:00:00"/>
        <d v="2009-11-16T00:00:00"/>
        <d v="2009-11-17T00:00:00"/>
        <d v="2009-11-18T00:00:00"/>
        <d v="2009-11-19T00:00:00"/>
        <d v="2009-11-20T00:00:00"/>
        <d v="2009-11-21T00:00:00"/>
        <d v="2009-11-22T00:00:00"/>
        <d v="2009-11-23T00:00:00"/>
        <d v="2009-11-24T00:00:00"/>
        <d v="2009-11-25T00:00:00"/>
        <d v="2009-11-26T00:00:00"/>
        <d v="2009-11-27T00:00:00"/>
        <d v="2009-11-28T00:00:00"/>
        <d v="2009-11-29T00:00:00"/>
        <d v="2009-11-30T00:00:00"/>
        <d v="2009-12-01T00:00:00"/>
        <d v="2009-12-02T00:00:00"/>
        <d v="2009-12-03T00:00:00"/>
        <d v="2009-12-04T00:00:00"/>
        <d v="2009-12-05T00:00:00"/>
        <d v="2009-12-06T00:00:00"/>
        <d v="2009-12-07T00:00:00"/>
        <d v="2009-12-08T00:00:00"/>
        <d v="2009-12-09T00:00:00"/>
        <d v="2009-12-10T00:00:00"/>
        <d v="2009-12-11T00:00:00"/>
        <d v="2009-12-12T00:00:00"/>
        <d v="2009-12-13T00:00:00"/>
        <d v="2009-12-14T00:00:00"/>
        <d v="2009-12-15T00:00:00"/>
        <d v="2009-12-16T00:00:00"/>
        <d v="2009-12-17T00:00:00"/>
        <d v="2009-12-18T00:00:00"/>
        <d v="2009-12-19T00:00:00"/>
        <d v="2009-12-20T00:00:00"/>
        <d v="2009-12-21T00:00:00"/>
        <d v="2009-12-22T00:00:00"/>
        <d v="2009-12-23T00:00:00"/>
        <d v="2009-12-24T00:00:00"/>
        <d v="2009-12-25T00:00:00"/>
        <d v="2009-12-26T00:00:00"/>
        <d v="2009-12-27T00:00:00"/>
        <d v="2009-12-28T00:00:00"/>
        <d v="2009-12-29T00:00:00"/>
        <d v="2009-12-30T00:00:00"/>
        <d v="2009-12-31T00:00:00"/>
        <d v="2010-01-01T00:00:00"/>
        <d v="2010-01-02T00:00:00"/>
        <d v="2010-01-03T00:00:00"/>
        <d v="2010-01-04T00:00:00"/>
        <d v="2010-01-05T00:00:00"/>
        <d v="2010-01-06T00:00:00"/>
        <d v="2010-01-07T00:00:00"/>
        <d v="2010-01-08T00:00:00"/>
        <d v="2010-01-09T00:00:00"/>
        <d v="2010-01-10T00:00:00"/>
        <d v="2010-01-11T00:00:00"/>
        <d v="2010-01-12T00:00:00"/>
        <d v="2010-01-13T00:00:00"/>
        <d v="2010-01-14T00:00:00"/>
        <d v="2010-01-15T00:00:00"/>
        <d v="2010-01-16T00:00:00"/>
        <d v="2010-01-17T00:00:00"/>
        <d v="2010-01-18T00:00:00"/>
        <d v="2010-01-19T00:00:00"/>
        <d v="2010-01-20T00:00:00"/>
        <d v="2010-01-21T00:00:00"/>
        <d v="2010-01-22T00:00:00"/>
        <d v="2010-01-23T00:00:00"/>
        <d v="2010-01-24T00:00:00"/>
        <d v="2010-01-25T00:00:00"/>
        <d v="2010-01-26T00:00:00"/>
        <d v="2010-01-27T00:00:00"/>
        <d v="2010-01-28T00:00:00"/>
        <d v="2010-01-29T00:00:00"/>
        <d v="2010-01-30T00:00:00"/>
        <d v="2010-01-31T00:00:00"/>
        <d v="2010-02-01T00:00:00"/>
        <d v="2010-02-02T00:00:00"/>
        <d v="2010-02-03T00:00:00"/>
        <d v="2010-02-04T00:00:00"/>
        <d v="2010-02-05T00:00:00"/>
        <d v="2010-02-06T00:00:00"/>
        <d v="2010-02-07T00:00:00"/>
        <d v="2010-02-08T00:00:00"/>
        <d v="2010-02-09T00:00:00"/>
        <d v="2010-02-10T00:00:00"/>
        <d v="2010-02-11T00:00:00"/>
        <d v="2010-02-12T00:00:00"/>
        <d v="2010-02-13T00:00:00"/>
        <d v="2010-02-14T00:00:00"/>
        <d v="2010-02-15T00:00:00"/>
        <d v="2010-02-16T00:00:00"/>
        <d v="2010-02-17T00:00:00"/>
        <d v="2010-02-18T00:00:00"/>
        <d v="2010-02-19T00:00:00"/>
        <d v="2010-02-20T00:00:00"/>
        <d v="2010-02-21T00:00:00"/>
        <d v="2010-02-22T00:00:00"/>
        <d v="2010-02-23T00:00:00"/>
        <d v="2010-02-24T00:00:00"/>
        <d v="2010-02-25T00:00:00"/>
        <d v="2010-02-26T00:00:00"/>
        <d v="2010-02-27T00:00:00"/>
        <d v="2010-02-28T00:00:00"/>
        <d v="2010-03-01T00:00:00"/>
        <d v="2010-03-02T00:00:00"/>
        <d v="2010-03-03T00:00:00"/>
        <d v="2010-03-04T00:00:00"/>
        <d v="2010-03-05T00:00:00"/>
        <d v="2010-03-06T00:00:00"/>
        <d v="2010-03-07T00:00:00"/>
        <d v="2010-03-08T00:00:00"/>
        <d v="2010-03-09T00:00:00"/>
        <d v="2010-03-10T00:00:00"/>
        <d v="2010-03-11T00:00:00"/>
        <d v="2010-03-12T00:00:00"/>
        <d v="2010-03-13T00:00:00"/>
        <d v="2010-03-14T00:00:00"/>
        <d v="2010-03-15T00:00:00"/>
        <d v="2010-03-16T00:00:00"/>
        <d v="2010-03-17T00:00:00"/>
        <d v="2010-03-18T00:00:00"/>
        <d v="2010-03-19T00:00:00"/>
        <d v="2010-03-20T00:00:00"/>
        <d v="2010-03-21T00:00:00"/>
        <d v="2010-03-22T00:00:00"/>
        <d v="2010-03-23T00:00:00"/>
        <d v="2010-03-24T00:00:00"/>
        <d v="2010-03-25T00:00:00"/>
        <d v="2010-03-26T00:00:00"/>
        <d v="2010-03-27T00:00:00"/>
        <d v="2010-03-28T00:00:00"/>
        <d v="2010-03-29T00:00:00"/>
        <d v="2010-03-30T00:00:00"/>
        <d v="2010-03-31T00:00:00"/>
        <d v="2010-04-01T00:00:00"/>
        <d v="2010-04-02T00:00:00"/>
        <d v="2010-04-03T00:00:00"/>
        <d v="2010-04-04T00:00:00"/>
        <d v="2010-04-05T00:00:00"/>
        <d v="2010-04-06T00:00:00"/>
        <d v="2010-04-07T00:00:00"/>
        <d v="2010-04-08T00:00:00"/>
        <d v="2010-04-09T00:00:00"/>
        <d v="2010-04-10T00:00:00"/>
        <d v="2010-04-11T00:00:00"/>
        <d v="2010-04-12T00:00:00"/>
        <d v="2010-04-13T00:00:00"/>
        <d v="2010-04-14T00:00:00"/>
        <d v="2010-04-15T00:00:00"/>
        <d v="2010-04-16T00:00:00"/>
        <d v="2010-04-17T00:00:00"/>
        <d v="2010-04-18T00:00:00"/>
        <d v="2010-04-19T00:00:00"/>
        <d v="2010-04-20T00:00:00"/>
        <d v="2010-04-21T00:00:00"/>
        <d v="2010-04-22T00:00:00"/>
        <d v="2010-04-23T00:00:00"/>
        <d v="2010-04-24T00:00:00"/>
        <d v="2010-04-25T00:00:00"/>
        <d v="2010-04-26T00:00:00"/>
        <d v="2010-04-27T00:00:00"/>
        <d v="2010-04-28T00:00:00"/>
        <d v="2010-04-29T00:00:00"/>
        <d v="2010-04-30T00:00:00"/>
        <d v="2010-05-01T00:00:00"/>
        <d v="2010-05-02T00:00:00"/>
        <d v="2010-05-03T00:00:00"/>
        <d v="2010-05-04T00:00:00"/>
        <d v="2010-05-05T00:00:00"/>
        <d v="2010-05-06T00:00:00"/>
        <d v="2010-05-07T00:00:00"/>
        <d v="2010-05-08T00:00:00"/>
        <d v="2010-05-09T00:00:00"/>
        <d v="2010-05-10T00:00:00"/>
        <d v="2010-05-11T00:00:00"/>
        <d v="2010-05-12T00:00:00"/>
        <d v="2010-05-13T00:00:00"/>
        <d v="2010-05-14T00:00:00"/>
        <d v="2010-05-15T00:00:00"/>
        <d v="2010-05-16T00:00:00"/>
        <d v="2010-05-17T00:00:00"/>
        <d v="2010-05-18T00:00:00"/>
        <d v="2010-05-19T00:00:00"/>
        <d v="2010-05-20T00:00:00"/>
        <d v="2010-05-21T00:00:00"/>
        <d v="2010-05-22T00:00:00"/>
        <d v="2010-05-23T00:00:00"/>
        <d v="2010-05-24T00:00:00"/>
        <d v="2010-05-25T00:00:00"/>
        <d v="2010-05-26T00:00:00"/>
        <d v="2010-05-27T00:00:00"/>
        <d v="2010-05-28T00:00:00"/>
        <d v="2010-05-29T00:00:00"/>
        <d v="2010-05-30T00:00:00"/>
        <d v="2010-05-31T00:00:00"/>
        <d v="2010-06-01T00:00:00"/>
        <d v="2010-06-02T00:00:00"/>
        <d v="2010-06-03T00:00:00"/>
        <d v="2010-06-04T00:00:00"/>
        <d v="2010-06-05T00:00:00"/>
        <d v="2010-06-06T00:00:00"/>
        <d v="2010-06-07T00:00:00"/>
        <d v="2010-06-08T00:00:00"/>
        <d v="2010-06-09T00:00:00"/>
        <d v="2010-06-10T00:00:00"/>
        <d v="2010-06-11T00:00:00"/>
        <d v="2010-06-12T00:00:00"/>
        <d v="2010-06-13T00:00:00"/>
        <d v="2010-06-14T00:00:00"/>
        <d v="2010-06-15T00:00:00"/>
        <d v="2010-06-16T00:00:00"/>
        <d v="2010-06-17T00:00:00"/>
        <d v="2010-06-18T00:00:00"/>
        <d v="2010-06-19T00:00:00"/>
        <d v="2010-06-20T00:00:00"/>
        <d v="2010-06-21T00:00:00"/>
        <d v="2010-06-22T00:00:00"/>
        <d v="2010-06-23T00:00:00"/>
        <d v="2010-06-24T00:00:00"/>
        <d v="2010-06-25T00:00:00"/>
        <d v="2010-06-26T00:00:00"/>
        <d v="2010-06-27T00:00:00"/>
        <d v="2010-06-28T00:00:00"/>
        <d v="2010-06-29T00:00:00"/>
        <d v="2010-06-30T00:00:00"/>
        <d v="2010-07-01T00:00:00"/>
        <d v="2010-07-02T00:00:00"/>
        <d v="2010-07-03T00:00:00"/>
        <d v="2010-07-04T00:00:00"/>
        <d v="2010-07-05T00:00:00"/>
        <d v="2010-07-06T00:00:00"/>
        <d v="2010-07-07T00:00:00"/>
        <d v="2010-07-08T00:00:00"/>
        <d v="2010-07-09T00:00:00"/>
        <d v="2010-07-10T00:00:00"/>
        <d v="2010-07-11T00:00:00"/>
        <d v="2010-07-12T00:00:00"/>
        <d v="2010-07-13T00:00:00"/>
        <d v="2010-07-14T00:00:00"/>
        <d v="2010-07-15T00:00:00"/>
        <d v="2010-07-16T00:00:00"/>
        <d v="2010-07-17T00:00:00"/>
        <d v="2010-07-18T00:00:00"/>
        <d v="2010-07-19T00:00:00"/>
        <d v="2010-07-20T00:00:00"/>
        <d v="2010-07-21T00:00:00"/>
        <d v="2010-07-22T00:00:00"/>
        <d v="2010-07-23T00:00:00"/>
        <d v="2010-07-24T00:00:00"/>
        <d v="2010-07-25T00:00:00"/>
        <d v="2010-07-26T00:00:00"/>
        <d v="2010-07-27T00:00:00"/>
        <d v="2010-07-28T00:00:00"/>
        <d v="2010-07-29T00:00:00"/>
        <d v="2010-07-30T00:00:00"/>
        <d v="2010-07-31T00:00:00"/>
        <d v="2010-08-01T00:00:00"/>
        <d v="2010-08-02T00:00:00"/>
        <d v="2010-08-03T00:00:00"/>
        <d v="2010-08-04T00:00:00"/>
        <d v="2010-08-05T00:00:00"/>
        <d v="2010-08-06T00:00:00"/>
        <d v="2010-08-07T00:00:00"/>
        <d v="2010-08-08T00:00:00"/>
        <d v="2010-08-09T00:00:00"/>
        <d v="2010-08-10T00:00:00"/>
        <d v="2010-08-11T00:00:00"/>
        <d v="2010-08-12T00:00:00"/>
        <d v="2010-08-13T00:00:00"/>
        <d v="2010-08-14T00:00:00"/>
        <d v="2010-08-15T00:00:00"/>
        <d v="2010-08-16T00:00:00"/>
        <d v="2010-08-17T00:00:00"/>
        <d v="2010-08-18T00:00:00"/>
        <d v="2010-08-19T00:00:00"/>
        <d v="2010-08-20T00:00:00"/>
        <d v="2010-08-21T00:00:00"/>
        <d v="2010-08-22T00:00:00"/>
        <d v="2010-08-23T00:00:00"/>
        <d v="2010-08-24T00:00:00"/>
        <d v="2010-08-25T00:00:00"/>
        <d v="2010-08-26T00:00:00"/>
        <d v="2010-08-27T00:00:00"/>
        <d v="2010-08-28T00:00:00"/>
        <d v="2010-08-29T00:00:00"/>
        <d v="2010-08-30T00:00:00"/>
        <d v="2010-08-31T00:00:00"/>
        <d v="2010-09-01T00:00:00"/>
        <d v="2010-09-02T00:00:00"/>
        <d v="2010-09-03T00:00:00"/>
        <d v="2010-09-04T00:00:00"/>
        <d v="2010-09-05T00:00:00"/>
        <d v="2010-09-06T00:00:00"/>
        <d v="2010-09-07T00:00:00"/>
        <d v="2010-09-08T00:00:00"/>
        <d v="2010-09-09T00:00:00"/>
        <d v="2010-09-10T00:00:00"/>
        <d v="2010-09-11T00:00:00"/>
        <d v="2010-09-12T00:00:00"/>
        <d v="2010-09-13T00:00:00"/>
        <d v="2010-09-14T00:00:00"/>
        <d v="2010-09-15T00:00:00"/>
        <d v="2010-09-16T00:00:00"/>
        <d v="2010-09-17T00:00:00"/>
        <d v="2010-09-18T00:00:00"/>
        <d v="2010-09-19T00:00:00"/>
        <d v="2010-09-20T00:00:00"/>
        <d v="2010-09-21T00:00:00"/>
        <d v="2010-09-22T00:00:00"/>
        <d v="2010-09-23T00:00:00"/>
        <d v="2010-09-24T00:00:00"/>
        <d v="2010-09-25T00:00:00"/>
        <d v="2010-09-26T00:00:00"/>
        <d v="2010-09-27T00:00:00"/>
        <d v="2010-09-28T00:00:00"/>
        <d v="2010-09-29T00:00:00"/>
        <d v="2010-09-30T00:00:00"/>
        <d v="2010-10-01T00:00:00"/>
        <d v="2010-10-02T00:00:00"/>
        <d v="2010-10-03T00:00:00"/>
        <d v="2010-10-04T00:00:00"/>
        <d v="2010-10-05T00:00:00"/>
        <d v="2010-10-06T00:00:00"/>
        <d v="2010-10-07T00:00:00"/>
        <d v="2010-10-08T00:00:00"/>
        <d v="2010-10-09T00:00:00"/>
        <d v="2010-10-10T00:00:00"/>
        <d v="2010-10-11T00:00:00"/>
        <d v="2010-10-12T00:00:00"/>
        <d v="2010-10-13T00:00:00"/>
        <d v="2010-10-14T00:00:00"/>
        <d v="2010-10-15T00:00:00"/>
        <d v="2010-10-16T00:00:00"/>
        <d v="2010-10-17T00:00:00"/>
        <d v="2010-10-18T00:00:00"/>
        <d v="2010-10-19T00:00:00"/>
        <d v="2010-10-20T00:00:00"/>
        <d v="2010-10-21T00:00:00"/>
        <d v="2010-10-22T00:00:00"/>
        <d v="2010-10-23T00:00:00"/>
        <d v="2010-10-24T00:00:00"/>
        <d v="2010-10-25T00:00:00"/>
        <d v="2010-10-26T00:00:00"/>
        <d v="2010-10-27T00:00:00"/>
        <d v="2010-10-28T00:00:00"/>
        <d v="2010-10-29T00:00:00"/>
        <d v="2010-10-30T00:00:00"/>
        <d v="2010-10-31T00:00:00"/>
        <d v="2010-11-01T00:00:00"/>
        <d v="2010-11-02T00:00:00"/>
        <d v="2010-11-03T00:00:00"/>
        <d v="2010-11-04T00:00:00"/>
        <d v="2010-11-05T00:00:00"/>
        <d v="2010-11-06T00:00:00"/>
        <d v="2010-11-07T00:00:00"/>
        <d v="2010-11-08T00:00:00"/>
        <d v="2010-11-09T00:00:00"/>
        <d v="2010-11-10T00:00:00"/>
        <d v="2010-11-11T00:00:00"/>
        <d v="2010-11-12T00:00:00"/>
        <d v="2010-11-13T00:00:00"/>
        <d v="2010-11-14T00:00:00"/>
        <d v="2010-11-15T00:00:00"/>
        <d v="2010-11-16T00:00:00"/>
        <d v="2010-11-17T00:00:00"/>
        <d v="2010-11-18T00:00:00"/>
        <d v="2010-11-19T00:00:00"/>
        <d v="2010-11-20T00:00:00"/>
        <d v="2010-11-21T00:00:00"/>
        <d v="2010-11-22T00:00:00"/>
        <d v="2010-11-23T00:00:00"/>
        <d v="2010-11-24T00:00:00"/>
        <d v="2010-11-25T00:00:00"/>
        <d v="2010-11-26T00:00:00"/>
        <d v="2010-11-27T00:00:00"/>
        <d v="2010-11-28T00:00:00"/>
        <d v="2010-11-29T00:00:00"/>
        <d v="2010-11-30T00:00:00"/>
        <d v="2010-12-01T00:00:00"/>
        <d v="2010-12-02T00:00:00"/>
        <d v="2010-12-03T00:00:00"/>
        <d v="2010-12-04T00:00:00"/>
        <d v="2010-12-05T00:00:00"/>
        <d v="2010-12-06T00:00:00"/>
        <d v="2010-12-07T00:00:00"/>
        <d v="2010-12-08T00:00:00"/>
        <d v="2010-12-09T00:00:00"/>
        <d v="2010-12-10T00:00:00"/>
        <d v="2010-12-11T00:00:00"/>
        <d v="2010-12-12T00:00:00"/>
        <d v="2010-12-13T00:00:00"/>
        <d v="2010-12-14T00:00:00"/>
        <d v="2010-12-15T00:00:00"/>
        <d v="2010-12-16T00:00:00"/>
        <d v="2010-12-17T00:00:00"/>
        <d v="2010-12-18T00:00:00"/>
        <d v="2010-12-19T00:00:00"/>
        <d v="2010-12-20T00:00:00"/>
        <d v="2010-12-21T00:00:00"/>
        <d v="2010-12-22T00:00:00"/>
        <d v="2010-12-23T00:00:00"/>
        <d v="2010-12-24T00:00:00"/>
        <d v="2010-12-25T00:00:00"/>
        <d v="2010-12-26T00:00:00"/>
        <d v="2010-12-27T00:00:00"/>
        <d v="2010-12-28T00:00:00"/>
        <d v="2010-12-29T00:00:00"/>
        <d v="2010-12-30T00:00:00"/>
        <d v="2010-12-31T00:00:00"/>
        <d v="2011-01-01T00:00:00"/>
        <d v="2011-01-02T00:00:00"/>
        <d v="2011-01-03T00:00:00"/>
        <d v="2011-01-04T00:00:00"/>
        <d v="2011-01-05T00:00:00"/>
        <d v="2011-01-06T00:00:00"/>
        <d v="2011-01-07T00:00:00"/>
        <d v="2011-01-08T00:00:00"/>
        <d v="2011-01-09T00:00:00"/>
        <d v="2011-01-10T00:00:00"/>
        <d v="2011-01-11T00:00:00"/>
        <d v="2011-01-12T00:00:00"/>
        <d v="2011-01-13T00:00:00"/>
        <d v="2011-01-14T00:00:00"/>
        <d v="2011-01-15T00:00:00"/>
        <d v="2011-01-16T00:00:00"/>
        <d v="2011-01-17T00:00:00"/>
        <d v="2011-01-18T00:00:00"/>
        <d v="2011-01-19T00:00:00"/>
        <d v="2011-01-20T00:00:00"/>
        <d v="2011-01-21T00:00:00"/>
        <d v="2011-01-22T00:00:00"/>
        <d v="2011-01-23T00:00:00"/>
        <d v="2011-01-24T00:00:00"/>
        <d v="2011-01-25T00:00:00"/>
        <d v="2011-01-26T00:00:00"/>
        <d v="2011-01-27T00:00:00"/>
        <d v="2011-01-28T00:00:00"/>
        <d v="2011-01-29T00:00:00"/>
        <d v="2011-01-30T00:00:00"/>
        <d v="2011-01-31T00:00:00"/>
        <d v="2011-02-01T00:00:00"/>
        <d v="2011-02-02T00:00:00"/>
        <d v="2011-02-03T00:00:00"/>
        <d v="2011-02-04T00:00:00"/>
        <d v="2011-02-05T00:00:00"/>
        <d v="2011-02-06T00:00:00"/>
        <d v="2011-02-07T00:00:00"/>
        <d v="2011-02-08T00:00:00"/>
        <d v="2011-02-09T00:00:00"/>
        <d v="2011-02-10T00:00:00"/>
        <d v="2011-02-11T00:00:00"/>
        <d v="2011-02-12T00:00:00"/>
        <d v="2011-02-13T00:00:00"/>
        <d v="2011-02-14T00:00:00"/>
        <d v="2011-02-15T00:00:00"/>
        <d v="2011-02-16T00:00:00"/>
        <d v="2011-02-17T00:00:00"/>
        <d v="2011-02-18T00:00:00"/>
        <d v="2011-02-19T00:00:00"/>
        <d v="2011-02-20T00:00:00"/>
        <d v="2011-02-21T00:00:00"/>
        <d v="2011-02-22T00:00:00"/>
        <d v="2011-02-23T00:00:00"/>
        <d v="2011-02-24T00:00:00"/>
        <d v="2011-02-25T00:00:00"/>
        <d v="2011-02-26T00:00:00"/>
        <d v="2011-02-27T00:00:00"/>
        <d v="2011-02-28T00:00:00"/>
        <d v="2011-03-01T00:00:00"/>
        <d v="2011-03-02T00:00:00"/>
        <d v="2011-03-03T00:00:00"/>
        <d v="2011-03-04T00:00:00"/>
        <d v="2011-03-05T00:00:00"/>
        <d v="2011-03-06T00:00:00"/>
        <d v="2011-03-07T00:00:00"/>
        <d v="2011-03-08T00:00:00"/>
        <d v="2011-03-09T00:00:00"/>
        <d v="2011-03-10T00:00:00"/>
        <d v="2011-03-11T00:00:00"/>
        <d v="2011-03-12T00:00:00"/>
        <d v="2011-03-13T00:00:00"/>
        <d v="2011-03-14T00:00:00"/>
        <d v="2011-03-15T00:00:00"/>
        <d v="2011-03-16T00:00:00"/>
        <d v="2011-03-17T00:00:00"/>
        <d v="2011-03-18T00:00:00"/>
        <d v="2011-03-19T00:00:00"/>
        <d v="2011-03-20T00:00:00"/>
        <d v="2011-03-21T00:00:00"/>
        <d v="2011-03-22T00:00:00"/>
        <d v="2011-03-23T00:00:00"/>
        <d v="2011-03-24T00:00:00"/>
        <d v="2011-03-25T00:00:00"/>
        <d v="2011-03-26T00:00:00"/>
        <d v="2011-03-27T00:00:00"/>
        <d v="2011-03-28T00:00:00"/>
        <d v="2011-03-29T00:00:00"/>
        <d v="2011-03-30T00:00:00"/>
        <d v="2011-03-31T00:00:00"/>
        <d v="2011-04-01T00:00:00"/>
        <d v="2011-04-02T00:00:00"/>
        <d v="2011-04-03T00:00:00"/>
        <d v="2011-04-04T00:00:00"/>
        <d v="2011-04-05T00:00:00"/>
        <d v="2011-04-06T00:00:00"/>
        <d v="2011-04-07T00:00:00"/>
        <d v="2011-04-08T00:00:00"/>
        <d v="2011-04-09T00:00:00"/>
        <d v="2011-04-10T00:00:00"/>
        <d v="2011-04-11T00:00:00"/>
        <d v="2011-04-12T00:00:00"/>
        <d v="2011-04-13T00:00:00"/>
        <d v="2011-04-14T00:00:00"/>
        <d v="2011-04-15T00:00:00"/>
        <d v="2011-04-16T00:00:00"/>
        <d v="2011-04-17T00:00:00"/>
        <d v="2011-04-18T00:00:00"/>
        <d v="2011-04-19T00:00:00"/>
        <d v="2011-04-20T00:00:00"/>
        <d v="2011-04-21T00:00:00"/>
        <d v="2011-04-22T00:00:00"/>
        <d v="2011-04-23T00:00:00"/>
        <d v="2011-04-24T00:00:00"/>
        <d v="2011-04-25T00:00:00"/>
        <d v="2011-04-26T00:00:00"/>
        <d v="2011-04-27T00:00:00"/>
        <d v="2011-04-28T00:00:00"/>
        <d v="2011-04-29T00:00:00"/>
        <d v="2011-04-30T00:00:00"/>
        <d v="2011-05-01T00:00:00"/>
        <d v="2011-05-02T00:00:00"/>
        <d v="2011-05-03T00:00:00"/>
        <d v="2011-05-04T00:00:00"/>
        <d v="2011-05-05T00:00:00"/>
        <d v="2011-05-06T00:00:00"/>
        <d v="2011-05-07T00:00:00"/>
        <d v="2011-05-08T00:00:00"/>
        <d v="2011-05-09T00:00:00"/>
        <d v="2011-05-10T00:00:00"/>
        <d v="2011-05-11T00:00:00"/>
        <d v="2011-05-12T00:00:00"/>
        <d v="2011-05-13T00:00:00"/>
        <d v="2011-05-14T00:00:00"/>
        <d v="2011-05-15T00:00:00"/>
        <d v="2011-05-16T00:00:00"/>
        <d v="2011-05-17T00:00:00"/>
        <d v="2011-05-18T00:00:00"/>
        <d v="2011-05-19T00:00:00"/>
        <d v="2011-05-20T00:00:00"/>
        <d v="2011-05-21T00:00:00"/>
        <d v="2011-05-22T00:00:00"/>
        <d v="2011-05-23T00:00:00"/>
        <d v="2011-05-24T00:00:00"/>
        <d v="2011-05-25T00:00:00"/>
        <d v="2011-05-26T00:00:00"/>
        <d v="2011-05-27T00:00:00"/>
        <d v="2011-05-28T00:00:00"/>
        <d v="2011-05-29T00:00:00"/>
        <d v="2011-05-30T00:00:00"/>
        <d v="2011-05-31T00:00:00"/>
        <d v="2011-06-01T00:00:00"/>
        <d v="2011-06-02T00:00:00"/>
        <d v="2011-06-03T00:00:00"/>
        <d v="2011-06-04T00:00:00"/>
        <d v="2011-06-05T00:00:00"/>
        <d v="2011-06-06T00:00:00"/>
        <d v="2011-06-07T00:00:00"/>
        <d v="2011-06-08T00:00:00"/>
        <d v="2011-06-09T00:00:00"/>
        <d v="2011-06-10T00:00:00"/>
        <d v="2011-06-11T00:00:00"/>
        <d v="2011-06-12T00:00:00"/>
        <d v="2011-06-13T00:00:00"/>
        <d v="2011-06-14T00:00:00"/>
        <d v="2011-06-15T00:00:00"/>
        <d v="2011-06-16T00:00:00"/>
        <d v="2011-06-17T00:00:00"/>
        <d v="2011-06-18T00:00:00"/>
        <d v="2011-06-19T00:00:00"/>
        <d v="2011-06-20T00:00:00"/>
        <d v="2011-06-21T00:00:00"/>
        <d v="2011-06-22T00:00:00"/>
        <d v="2011-06-23T00:00:00"/>
        <d v="2011-06-24T00:00:00"/>
        <d v="2011-06-25T00:00:00"/>
        <d v="2011-06-26T00:00:00"/>
        <d v="2011-06-27T00:00:00"/>
        <d v="2011-06-28T00:00:00"/>
        <d v="2011-06-29T00:00:00"/>
        <d v="2011-06-30T00:00:00"/>
        <d v="2011-07-01T00:00:00"/>
        <d v="2011-07-02T00:00:00"/>
        <d v="2011-07-03T00:00:00"/>
        <d v="2011-07-04T00:00:00"/>
        <d v="2011-07-05T00:00:00"/>
        <d v="2011-07-06T00:00:00"/>
        <d v="2011-07-07T00:00:00"/>
        <d v="2011-07-08T00:00:00"/>
        <d v="2011-07-09T00:00:00"/>
        <d v="2011-07-10T00:00:00"/>
        <d v="2011-07-11T00:00:00"/>
        <d v="2011-07-12T00:00:00"/>
        <d v="2011-07-13T00:00:00"/>
        <d v="2011-07-14T00:00:00"/>
        <d v="2011-07-15T00:00:00"/>
        <d v="2011-07-16T00:00:00"/>
        <d v="2011-07-17T00:00:00"/>
        <d v="2011-07-18T00:00:00"/>
        <d v="2011-07-19T00:00:00"/>
        <d v="2011-07-20T00:00:00"/>
        <d v="2011-07-21T00:00:00"/>
        <d v="2011-07-22T00:00:00"/>
        <d v="2011-07-23T00:00:00"/>
        <d v="2011-07-24T00:00:00"/>
        <d v="2011-07-25T00:00:00"/>
        <d v="2011-07-26T00:00:00"/>
        <d v="2011-07-27T00:00:00"/>
        <d v="2011-07-28T00:00:00"/>
        <d v="2011-07-29T00:00:00"/>
        <d v="2011-07-30T00:00:00"/>
        <d v="2011-07-31T00:00:00"/>
        <d v="2011-08-01T00:00:00"/>
        <d v="2011-08-02T00:00:00"/>
        <d v="2011-08-03T00:00:00"/>
        <d v="2011-08-04T00:00:00"/>
        <d v="2011-08-05T00:00:00"/>
        <d v="2011-08-06T00:00:00"/>
        <d v="2011-08-07T00:00:00"/>
        <d v="2011-08-08T00:00:00"/>
        <d v="2011-08-09T00:00:00"/>
        <d v="2011-08-10T00:00:00"/>
        <d v="2011-08-11T00:00:00"/>
        <d v="2011-08-12T00:00:00"/>
        <d v="2011-08-13T00:00:00"/>
        <d v="2011-08-14T00:00:00"/>
        <d v="2011-08-15T00:00:00"/>
        <d v="2011-08-16T00:00:00"/>
        <d v="2011-08-17T00:00:00"/>
        <d v="2011-08-18T00:00:00"/>
        <d v="2011-08-19T00:00:00"/>
        <d v="2011-08-20T00:00:00"/>
        <d v="2011-08-21T00:00:00"/>
        <d v="2011-08-22T00:00:00"/>
        <d v="2011-08-23T00:00:00"/>
        <d v="2011-08-24T00:00:00"/>
        <d v="2011-08-25T00:00:00"/>
        <d v="2011-08-26T00:00:00"/>
        <d v="2011-08-27T00:00:00"/>
        <d v="2011-08-28T00:00:00"/>
        <d v="2011-08-29T00:00:00"/>
        <d v="2011-08-30T00:00:00"/>
        <d v="2011-08-31T00:00:00"/>
        <d v="2011-09-01T00:00:00"/>
        <d v="2011-09-02T00:00:00"/>
        <d v="2011-09-03T00:00:00"/>
        <d v="2011-09-04T00:00:00"/>
        <d v="2011-09-05T00:00:00"/>
        <d v="2011-09-06T00:00:00"/>
        <d v="2011-09-07T00:00:00"/>
        <d v="2011-09-08T00:00:00"/>
        <d v="2011-09-09T00:00:00"/>
        <d v="2011-09-10T00:00:00"/>
        <d v="2011-09-11T00:00:00"/>
        <d v="2011-09-12T00:00:00"/>
        <d v="2011-09-13T00:00:00"/>
        <d v="2011-09-14T00:00:00"/>
        <d v="2011-09-15T00:00:00"/>
        <d v="2011-09-16T00:00:00"/>
        <d v="2011-09-17T00:00:00"/>
        <d v="2011-09-18T00:00:00"/>
        <d v="2011-09-19T00:00:00"/>
        <d v="2011-09-20T00:00:00"/>
        <d v="2011-09-21T00:00:00"/>
        <d v="2011-09-22T00:00:00"/>
        <d v="2011-09-23T00:00:00"/>
        <d v="2011-09-24T00:00:00"/>
        <d v="2011-09-25T00:00:00"/>
        <d v="2011-09-26T00:00:00"/>
        <d v="2011-09-27T00:00:00"/>
        <d v="2011-09-28T00:00:00"/>
        <d v="2011-09-29T00:00:00"/>
        <d v="2011-09-30T00:00:00"/>
        <d v="2011-10-01T00:00:00"/>
        <d v="2011-10-02T00:00:00"/>
        <d v="2011-10-03T00:00:00"/>
        <d v="2011-10-04T00:00:00"/>
        <d v="2011-10-05T00:00:00"/>
        <d v="2011-10-06T00:00:00"/>
        <d v="2011-10-07T00:00:00"/>
        <d v="2011-10-08T00:00:00"/>
        <d v="2011-10-09T00:00:00"/>
        <d v="2011-10-10T00:00:00"/>
        <d v="2011-10-11T00:00:00"/>
        <d v="2011-10-12T00:00:00"/>
        <d v="2011-10-13T00:00:00"/>
        <d v="2011-10-14T00:00:00"/>
        <d v="2011-10-15T00:00:00"/>
        <d v="2011-10-16T00:00:00"/>
        <d v="2011-10-17T00:00:00"/>
        <d v="2011-10-18T00:00:00"/>
        <d v="2011-10-19T00:00:00"/>
        <d v="2011-10-20T00:00:00"/>
        <d v="2011-10-21T00:00:00"/>
        <d v="2011-10-22T00:00:00"/>
        <d v="2011-10-23T00:00:00"/>
        <d v="2011-10-24T00:00:00"/>
        <d v="2011-10-25T00:00:00"/>
        <d v="2011-10-26T00:00:00"/>
        <d v="2011-10-27T00:00:00"/>
        <d v="2011-10-28T00:00:00"/>
        <d v="2011-10-29T00:00:00"/>
        <d v="2011-10-30T00:00:00"/>
        <d v="2011-10-31T00:00:00"/>
        <d v="2011-11-01T00:00:00"/>
        <d v="2011-11-02T00:00:00"/>
        <d v="2011-11-03T00:00:00"/>
        <d v="2011-11-04T00:00:00"/>
        <d v="2011-11-05T00:00:00"/>
        <d v="2011-11-06T00:00:00"/>
        <d v="2011-11-07T00:00:00"/>
        <d v="2011-11-08T00:00:00"/>
        <d v="2011-11-09T00:00:00"/>
        <d v="2011-11-10T00:00:00"/>
        <d v="2011-11-11T00:00:00"/>
        <d v="2011-11-12T00:00:00"/>
        <d v="2011-11-13T00:00:00"/>
        <d v="2011-11-14T00:00:00"/>
        <d v="2011-11-15T00:00:00"/>
        <d v="2011-11-16T00:00:00"/>
        <d v="2011-11-17T00:00:00"/>
        <d v="2011-11-18T00:00:00"/>
        <d v="2011-11-19T00:00:00"/>
        <d v="2011-11-20T00:00:00"/>
        <d v="2011-11-21T00:00:00"/>
        <d v="2011-11-22T00:00:00"/>
        <d v="2011-11-23T00:00:00"/>
        <d v="2011-11-24T00:00:00"/>
        <d v="2011-11-25T00:00:00"/>
        <d v="2011-11-26T00:00:00"/>
        <d v="2011-11-27T00:00:00"/>
        <d v="2011-11-28T00:00:00"/>
        <d v="2011-11-29T00:00:00"/>
        <d v="2011-11-30T00:00:00"/>
        <d v="2011-12-01T00:00:00"/>
        <d v="2011-12-02T00:00:00"/>
        <d v="2011-12-03T00:00:00"/>
        <d v="2011-12-04T00:00:00"/>
        <d v="2011-12-05T00:00:00"/>
        <d v="2011-12-06T00:00:00"/>
        <d v="2011-12-07T00:00:00"/>
        <d v="2011-12-08T00:00:00"/>
        <d v="2011-12-09T00:00:00"/>
        <d v="2011-12-10T00:00:00"/>
        <d v="2011-12-11T00:00:00"/>
        <d v="2011-12-12T00:00:00"/>
        <d v="2011-12-13T00:00:00"/>
        <d v="2011-12-14T00:00:00"/>
        <d v="2011-12-15T00:00:00"/>
        <d v="2011-12-16T00:00:00"/>
        <d v="2011-12-17T00:00:00"/>
        <d v="2011-12-18T00:00:00"/>
        <d v="2011-12-19T00:00:00"/>
        <d v="2011-12-20T00:00:00"/>
        <d v="2011-12-21T00:00:00"/>
        <d v="2011-12-22T00:00:00"/>
        <d v="2011-12-23T00:00:00"/>
        <d v="2011-12-24T00:00:00"/>
        <d v="2011-12-25T00:00:00"/>
        <d v="2011-12-26T00:00:00"/>
        <d v="2011-12-27T00:00:00"/>
        <d v="2011-12-28T00:00:00"/>
        <d v="2011-12-29T00:00:00"/>
        <d v="2011-12-30T00:00:00"/>
        <d v="2011-12-31T00:00:00"/>
        <d v="2012-01-01T00:00:00"/>
        <d v="2012-01-02T00:00:00"/>
        <d v="2012-01-03T00:00:00"/>
        <d v="2012-01-04T00:00:00"/>
        <d v="2012-01-05T00:00:00"/>
        <d v="2012-01-06T00:00:00"/>
        <d v="2012-01-07T00:00:00"/>
        <d v="2012-01-08T00:00:00"/>
        <d v="2012-01-09T00:00:00"/>
        <d v="2012-01-10T00:00:00"/>
        <d v="2012-01-11T00:00:00"/>
        <d v="2012-01-12T00:00:00"/>
        <d v="2012-01-13T00:00:00"/>
        <d v="2012-01-14T00:00:00"/>
        <d v="2012-01-15T00:00:00"/>
        <d v="2012-01-16T00:00:00"/>
        <d v="2012-01-17T00:00:00"/>
        <d v="2012-01-18T00:00:00"/>
        <d v="2012-01-19T00:00:00"/>
        <d v="2012-01-20T00:00:00"/>
        <d v="2012-01-21T00:00:00"/>
        <d v="2012-01-22T00:00:00"/>
        <d v="2012-01-23T00:00:00"/>
        <d v="2012-01-24T00:00:00"/>
        <d v="2012-01-25T00:00:00"/>
        <d v="2012-01-26T00:00:00"/>
        <d v="2012-01-27T00:00:00"/>
        <d v="2012-01-28T00:00:00"/>
        <d v="2012-01-29T00:00:00"/>
        <d v="2012-01-30T00:00:00"/>
        <d v="2012-01-31T00:00:00"/>
        <d v="2012-02-01T00:00:00"/>
        <d v="2012-02-02T00:00:00"/>
        <d v="2012-02-03T00:00:00"/>
        <d v="2012-02-04T00:00:00"/>
        <d v="2012-02-05T00:00:00"/>
        <d v="2012-02-06T00:00:00"/>
        <d v="2012-02-07T00:00:00"/>
        <d v="2012-02-08T00:00:00"/>
        <d v="2012-02-09T00:00:00"/>
        <d v="2012-02-10T00:00:00"/>
        <d v="2012-02-11T00:00:00"/>
        <d v="2012-02-12T00:00:00"/>
        <d v="2012-02-13T00:00:00"/>
        <d v="2012-02-14T00:00:00"/>
        <d v="2012-02-15T00:00:00"/>
        <d v="2012-02-16T00:00:00"/>
        <d v="2012-02-17T00:00:00"/>
        <d v="2012-02-18T00:00:00"/>
        <d v="2012-02-19T00:00:00"/>
        <d v="2012-02-20T00:00:00"/>
        <d v="2012-02-21T00:00:00"/>
        <d v="2012-02-22T00:00:00"/>
        <d v="2012-02-23T00:00:00"/>
        <d v="2012-02-24T00:00:00"/>
        <d v="2012-02-25T00:00:00"/>
        <d v="2012-02-26T00:00:00"/>
        <d v="2012-02-27T00:00:00"/>
        <d v="2012-02-28T00:00:00"/>
        <d v="2012-02-29T00:00:00"/>
        <d v="2012-03-01T00:00:00"/>
        <d v="2012-03-02T00:00:00"/>
        <d v="2012-03-03T00:00:00"/>
        <d v="2012-03-04T00:00:00"/>
        <d v="2012-03-05T00:00:00"/>
        <d v="2012-03-06T00:00:00"/>
        <d v="2012-03-07T00:00:00"/>
        <d v="2012-03-08T00:00:00"/>
        <d v="2012-03-09T00:00:00"/>
        <d v="2012-03-10T00:00:00"/>
        <d v="2012-03-11T00:00:00"/>
        <d v="2012-03-12T00:00:00"/>
        <d v="2012-03-13T00:00:00"/>
        <d v="2012-03-14T00:00:00"/>
        <d v="2012-03-15T00:00:00"/>
        <d v="2012-03-16T00:00:00"/>
        <d v="2012-03-17T00:00:00"/>
        <d v="2012-03-18T00:00:00"/>
        <d v="2012-03-19T00:00:00"/>
        <d v="2012-03-20T00:00:00"/>
        <d v="2012-03-21T00:00:00"/>
        <d v="2012-03-22T00:00:00"/>
        <d v="2012-03-23T00:00:00"/>
        <d v="2012-03-24T00:00:00"/>
        <d v="2012-03-25T00:00:00"/>
        <d v="2012-03-26T00:00:00"/>
        <d v="2012-03-27T00:00:00"/>
        <d v="2012-03-28T00:00:00"/>
        <d v="2012-03-29T00:00:00"/>
        <d v="2012-03-30T00:00:00"/>
        <d v="2012-03-31T00:00:00"/>
        <d v="2012-04-01T00:00:00"/>
        <d v="2012-04-02T00:00:00"/>
        <d v="2012-04-03T00:00:00"/>
        <d v="2012-04-04T00:00:00"/>
        <d v="2012-04-05T00:00:00"/>
        <d v="2012-04-06T00:00:00"/>
        <d v="2012-04-07T00:00:00"/>
        <d v="2012-04-08T00:00:00"/>
        <d v="2012-04-09T00:00:00"/>
        <d v="2012-04-10T00:00:00"/>
        <d v="2012-04-11T00:00:00"/>
        <d v="2012-04-12T00:00:00"/>
        <d v="2012-04-13T00:00:00"/>
        <d v="2012-04-14T00:00:00"/>
        <d v="2012-04-15T00:00:00"/>
        <d v="2012-04-16T00:00:00"/>
        <d v="2012-04-17T00:00:00"/>
        <d v="2012-04-18T00:00:00"/>
        <d v="2012-04-19T00:00:00"/>
        <d v="2012-04-20T00:00:00"/>
        <d v="2012-04-21T00:00:00"/>
        <d v="2012-04-22T00:00:00"/>
        <d v="2012-04-23T00:00:00"/>
        <d v="2012-04-24T00:00:00"/>
        <d v="2012-04-25T00:00:00"/>
        <d v="2012-04-26T00:00:00"/>
        <d v="2012-04-27T00:00:00"/>
        <d v="2012-04-28T00:00:00"/>
        <d v="2012-04-29T00:00:00"/>
        <d v="2012-04-30T00:00:00"/>
        <d v="2012-05-01T00:00:00"/>
        <d v="2012-05-02T00:00:00"/>
        <d v="2012-05-03T00:00:00"/>
        <d v="2012-05-04T00:00:00"/>
        <d v="2012-05-05T00:00:00"/>
        <d v="2012-05-06T00:00:00"/>
        <d v="2012-05-07T00:00:00"/>
        <d v="2012-05-08T00:00:00"/>
        <d v="2012-05-09T00:00:00"/>
        <d v="2012-05-10T00:00:00"/>
        <d v="2012-05-11T00:00:00"/>
        <d v="2012-05-12T00:00:00"/>
        <d v="2012-05-13T00:00:00"/>
        <d v="2012-05-14T00:00:00"/>
        <d v="2012-05-15T00:00:00"/>
        <d v="2012-05-16T00:00:00"/>
        <d v="2012-05-17T00:00:00"/>
        <d v="2012-05-18T00:00:00"/>
        <d v="2012-05-19T00:00:00"/>
        <d v="2012-05-20T00:00:00"/>
        <d v="2012-05-21T00:00:00"/>
        <d v="2012-05-22T00:00:00"/>
        <d v="2012-05-23T00:00:00"/>
        <d v="2012-05-24T00:00:00"/>
        <d v="2012-05-25T00:00:00"/>
        <d v="2012-05-26T00:00:00"/>
        <d v="2012-05-27T00:00:00"/>
        <d v="2012-05-28T00:00:00"/>
        <d v="2012-05-29T00:00:00"/>
        <d v="2012-05-30T00:00:00"/>
        <d v="2012-05-31T00:00:00"/>
        <d v="2012-06-01T00:00:00"/>
        <d v="2012-06-02T00:00:00"/>
        <d v="2012-06-03T00:00:00"/>
        <d v="2012-06-04T00:00:00"/>
        <d v="2012-06-05T00:00:00"/>
        <d v="2012-06-06T00:00:00"/>
        <d v="2012-06-07T00:00:00"/>
        <d v="2012-06-08T00:00:00"/>
        <d v="2012-06-09T00:00:00"/>
        <d v="2012-06-10T00:00:00"/>
        <d v="2012-06-11T00:00:00"/>
        <d v="2012-06-12T00:00:00"/>
        <d v="2012-06-13T00:00:00"/>
        <d v="2012-06-14T00:00:00"/>
        <d v="2012-06-15T00:00:00"/>
        <d v="2012-06-16T00:00:00"/>
        <d v="2012-06-17T00:00:00"/>
        <d v="2012-06-18T00:00:00"/>
        <d v="2012-06-19T00:00:00"/>
        <d v="2012-06-20T00:00:00"/>
        <d v="2012-06-21T00:00:00"/>
        <d v="2012-06-22T00:00:00"/>
        <d v="2012-06-23T00:00:00"/>
        <d v="2012-06-24T00:00:00"/>
        <d v="2012-06-25T00:00:00"/>
        <d v="2012-06-26T00:00:00"/>
        <d v="2012-06-27T00:00:00"/>
        <d v="2012-06-28T00:00:00"/>
        <d v="2012-06-29T00:00:00"/>
        <d v="2012-06-30T00:00:00"/>
        <d v="2012-07-01T00:00:00"/>
        <d v="2012-07-02T00:00:00"/>
        <d v="2012-07-03T00:00:00"/>
        <d v="2012-07-04T00:00:00"/>
        <d v="2012-07-05T00:00:00"/>
        <d v="2012-07-06T00:00:00"/>
        <d v="2012-07-07T00:00:00"/>
        <d v="2012-07-08T00:00:00"/>
        <d v="2012-07-09T00:00:00"/>
        <d v="2012-07-10T00:00:00"/>
        <d v="2012-07-11T00:00:00"/>
        <d v="2012-07-12T00:00:00"/>
        <d v="2012-07-13T00:00:00"/>
        <d v="2012-07-14T00:00:00"/>
        <d v="2012-07-15T00:00:00"/>
        <d v="2012-07-16T00:00:00"/>
        <d v="2012-07-17T00:00:00"/>
        <d v="2012-07-18T00:00:00"/>
        <d v="2012-07-19T00:00:00"/>
        <d v="2012-07-20T00:00:00"/>
        <d v="2012-07-21T00:00:00"/>
        <d v="2012-07-22T00:00:00"/>
        <d v="2012-07-23T00:00:00"/>
        <d v="2012-07-24T00:00:00"/>
        <d v="2012-07-25T00:00:00"/>
        <d v="2012-07-26T00:00:00"/>
        <d v="2012-07-27T00:00:00"/>
        <d v="2012-07-28T00:00:00"/>
        <d v="2012-07-29T00:00:00"/>
        <d v="2012-07-30T00:00:00"/>
        <d v="2012-07-31T00:00:00"/>
        <d v="2012-08-01T00:00:00"/>
        <d v="2012-08-02T00:00:00"/>
        <d v="2012-08-03T00:00:00"/>
        <d v="2012-08-04T00:00:00"/>
        <d v="2012-08-05T00:00:00"/>
        <d v="2012-08-06T00:00:00"/>
        <d v="2012-08-07T00:00:00"/>
        <d v="2012-08-08T00:00:00"/>
        <d v="2012-08-09T00:00:00"/>
        <d v="2012-08-10T00:00:00"/>
        <d v="2012-08-11T00:00:00"/>
        <d v="2012-08-12T00:00:00"/>
        <d v="2012-08-13T00:00:00"/>
        <d v="2012-08-14T00:00:00"/>
        <d v="2012-08-15T00:00:00"/>
        <d v="2012-08-16T00:00:00"/>
        <d v="2012-08-17T00:00:00"/>
        <d v="2012-08-18T00:00:00"/>
        <d v="2012-08-19T00:00:00"/>
        <d v="2012-08-20T00:00:00"/>
        <d v="2012-08-21T00:00:00"/>
        <d v="2012-08-22T00:00:00"/>
        <d v="2012-08-23T00:00:00"/>
        <d v="2012-08-24T00:00:00"/>
        <d v="2012-08-25T00:00:00"/>
        <d v="2012-08-26T00:00:00"/>
        <d v="2012-08-27T00:00:00"/>
        <d v="2012-08-28T00:00:00"/>
        <d v="2012-08-29T00:00:00"/>
        <d v="2012-08-30T00:00:00"/>
        <d v="2012-08-31T00:00:00"/>
        <d v="2012-09-01T00:00:00"/>
        <d v="2012-09-02T00:00:00"/>
        <d v="2012-09-03T00:00:00"/>
        <d v="2012-09-04T00:00:00"/>
        <d v="2012-09-05T00:00:00"/>
        <d v="2012-09-06T00:00:00"/>
        <d v="2012-09-07T00:00:00"/>
        <d v="2012-09-08T00:00:00"/>
        <d v="2012-09-09T00:00:00"/>
        <d v="2012-09-10T00:00:00"/>
        <d v="2012-09-11T00:00:00"/>
        <d v="2012-09-12T00:00:00"/>
        <d v="2012-09-13T00:00:00"/>
        <d v="2012-09-14T00:00:00"/>
        <d v="2012-09-15T00:00:00"/>
        <d v="2012-09-16T00:00:00"/>
        <d v="2012-09-17T00:00:00"/>
        <d v="2012-09-18T00:00:00"/>
        <d v="2012-09-19T00:00:00"/>
        <d v="2012-09-20T00:00:00"/>
        <d v="2012-09-21T00:00:00"/>
        <d v="2012-09-22T00:00:00"/>
        <d v="2012-09-23T00:00:00"/>
        <d v="2012-09-24T00:00:00"/>
        <d v="2012-09-25T00:00:00"/>
        <d v="2012-09-26T00:00:00"/>
        <d v="2012-09-27T00:00:00"/>
        <d v="2012-09-28T00:00:00"/>
        <d v="2012-09-29T00:00:00"/>
        <d v="2012-09-30T00:00:00"/>
        <d v="2012-10-01T00:00:00"/>
        <d v="2012-10-02T00:00:00"/>
        <d v="2012-10-03T00:00:00"/>
        <d v="2012-10-04T00:00:00"/>
        <d v="2012-10-05T00:00:00"/>
        <d v="2012-10-06T00:00:00"/>
        <d v="2012-10-07T00:00:00"/>
        <d v="2012-10-08T00:00:00"/>
        <d v="2012-10-09T00:00:00"/>
        <d v="2012-10-10T00:00:00"/>
        <d v="2012-10-11T00:00:00"/>
        <d v="2012-10-12T00:00:00"/>
        <d v="2012-10-13T00:00:00"/>
        <d v="2012-10-14T00:00:00"/>
        <d v="2012-10-15T00:00:00"/>
        <d v="2012-10-16T00:00:00"/>
        <d v="2012-10-17T00:00:00"/>
        <d v="2012-10-18T00:00:00"/>
        <d v="2012-10-19T00:00:00"/>
        <d v="2012-10-20T00:00:00"/>
        <d v="2012-10-21T00:00:00"/>
        <d v="2012-10-22T00:00:00"/>
        <d v="2012-10-23T00:00:00"/>
        <d v="2012-10-24T00:00:00"/>
        <d v="2012-10-25T00:00:00"/>
        <d v="2012-10-26T00:00:00"/>
        <d v="2012-10-27T00:00:00"/>
        <d v="2012-10-28T00:00:00"/>
        <d v="2012-10-29T00:00:00"/>
        <d v="2012-10-30T00:00:00"/>
        <d v="2012-10-31T00:00:00"/>
        <d v="2012-11-01T00:00:00"/>
        <d v="2012-11-02T00:00:00"/>
        <d v="2012-11-03T00:00:00"/>
        <d v="2012-11-04T00:00:00"/>
        <d v="2012-11-05T00:00:00"/>
        <d v="2012-11-06T00:00:00"/>
        <d v="2012-11-07T00:00:00"/>
        <d v="2012-11-08T00:00:00"/>
        <d v="2012-11-09T00:00:00"/>
        <d v="2012-11-10T00:00:00"/>
        <d v="2012-11-11T00:00:00"/>
        <d v="2012-11-12T00:00:00"/>
        <d v="2012-11-13T00:00:00"/>
        <d v="2012-11-14T00:00:00"/>
        <d v="2012-11-15T00:00:00"/>
        <d v="2012-11-16T00:00:00"/>
        <d v="2012-11-17T00:00:00"/>
        <d v="2012-11-18T00:00:00"/>
        <d v="2012-11-19T00:00:00"/>
        <d v="2012-11-20T00:00:00"/>
        <d v="2012-11-21T00:00:00"/>
        <d v="2012-11-22T00:00:00"/>
        <d v="2012-11-23T00:00:00"/>
        <d v="2012-11-24T00:00:00"/>
        <d v="2012-11-25T00:00:00"/>
        <d v="2012-11-26T00:00:00"/>
        <d v="2012-11-27T00:00:00"/>
        <d v="2012-11-28T00:00:00"/>
        <d v="2012-11-29T00:00:00"/>
        <d v="2012-11-30T00:00:00"/>
        <d v="2012-12-01T00:00:00"/>
        <d v="2012-12-02T00:00:00"/>
        <d v="2012-12-03T00:00:00"/>
        <d v="2012-12-04T00:00:00"/>
        <d v="2012-12-05T00:00:00"/>
        <d v="2012-12-06T00:00:00"/>
        <d v="2012-12-07T00:00:00"/>
        <d v="2012-12-08T00:00:00"/>
        <d v="2012-12-09T00:00:00"/>
        <d v="2012-12-10T00:00:00"/>
        <d v="2012-12-11T00:00:00"/>
        <d v="2012-12-12T00:00:00"/>
        <d v="2012-12-13T00:00:00"/>
        <d v="2012-12-14T00:00:00"/>
        <d v="2012-12-15T00:00:00"/>
        <d v="2012-12-16T00:00:00"/>
        <d v="2012-12-17T00:00:00"/>
        <d v="2012-12-18T00:00:00"/>
        <d v="2012-12-19T00:00:00"/>
        <d v="2012-12-20T00:00:00"/>
        <d v="2012-12-21T00:00:00"/>
        <d v="2012-12-22T00:00:00"/>
        <d v="2012-12-23T00:00:00"/>
        <d v="2012-12-24T00:00:00"/>
        <d v="2012-12-25T00:00:00"/>
        <d v="2012-12-26T00:00:00"/>
        <d v="2012-12-27T00:00:00"/>
        <d v="2012-12-28T00:00:00"/>
        <d v="2012-12-29T00:00:00"/>
        <d v="2012-12-30T00:00:00"/>
        <d v="2012-12-31T00:00:00"/>
        <d v="2013-01-01T00:00:00"/>
        <d v="2013-01-02T00:00:00"/>
        <d v="2013-01-03T00:00:00"/>
        <d v="2013-01-04T00:00:00"/>
        <d v="2013-01-05T00:00:00"/>
        <d v="2013-01-06T00:00:00"/>
        <d v="2013-01-07T00:00:00"/>
        <d v="2013-01-08T00:00:00"/>
        <d v="2013-01-09T00:00:00"/>
        <d v="2013-01-10T00:00:00"/>
        <d v="2013-01-11T00:00:00"/>
        <d v="2013-01-12T00:00:00"/>
        <d v="2013-01-13T00:00:00"/>
        <d v="2013-01-14T00:00:00"/>
        <d v="2013-01-15T00:00:00"/>
        <d v="2013-01-16T00:00:00"/>
        <d v="2013-01-17T00:00:00"/>
        <d v="2013-01-18T00:00:00"/>
        <d v="2013-01-19T00:00:00"/>
        <d v="2013-01-20T00:00:00"/>
        <d v="2013-01-21T00:00:00"/>
        <d v="2013-01-22T00:00:00"/>
        <d v="2013-01-23T00:00:00"/>
        <d v="2013-01-24T00:00:00"/>
        <d v="2013-01-25T00:00:00"/>
        <d v="2013-01-26T00:00:00"/>
        <d v="2013-01-27T00:00:00"/>
        <d v="2013-01-28T00:00:00"/>
        <d v="2013-01-29T00:00:00"/>
        <d v="2013-01-30T00:00:00"/>
        <d v="2013-01-31T00:00:00"/>
        <d v="2013-02-01T00:00:00"/>
        <d v="2013-02-02T00:00:00"/>
        <d v="2013-02-03T00:00:00"/>
        <d v="2013-02-04T00:00:00"/>
        <d v="2013-02-05T00:00:00"/>
        <d v="2013-02-06T00:00:00"/>
        <d v="2013-02-07T00:00:00"/>
        <d v="2013-02-08T00:00:00"/>
        <d v="2013-02-09T00:00:00"/>
        <d v="2013-02-10T00:00:00"/>
        <d v="2013-02-11T00:00:00"/>
        <d v="2013-02-12T00:00:00"/>
        <d v="2013-02-13T00:00:00"/>
        <d v="2013-02-14T00:00:00"/>
        <d v="2013-02-15T00:00:00"/>
        <d v="2013-02-16T00:00:00"/>
        <d v="2013-02-17T00:00:00"/>
        <d v="2013-02-18T00:00:00"/>
        <d v="2013-02-19T00:00:00"/>
        <d v="2013-02-20T00:00:00"/>
        <d v="2013-02-21T00:00:00"/>
        <d v="2013-02-22T00:00:00"/>
        <d v="2013-02-23T00:00:00"/>
        <d v="2013-02-24T00:00:00"/>
        <d v="2013-02-25T00:00:00"/>
        <d v="2013-02-26T00:00:00"/>
        <d v="2013-02-27T00:00:00"/>
        <d v="2013-02-28T00:00:00"/>
        <d v="2013-03-01T00:00:00"/>
        <d v="2013-03-02T00:00:00"/>
        <d v="2013-03-03T00:00:00"/>
        <d v="2013-03-04T00:00:00"/>
        <d v="2013-03-05T00:00:00"/>
        <d v="2013-03-06T00:00:00"/>
        <d v="2013-03-07T00:00:00"/>
        <d v="2013-03-08T00:00:00"/>
        <d v="2013-03-09T00:00:00"/>
        <d v="2013-03-10T00:00:00"/>
        <d v="2013-03-11T00:00:00"/>
        <d v="2013-03-12T00:00:00"/>
        <d v="2013-03-13T00:00:00"/>
        <d v="2013-03-14T00:00:00"/>
        <d v="2013-03-15T00:00:00"/>
        <d v="2013-03-16T00:00:00"/>
        <d v="2013-03-17T00:00:00"/>
        <d v="2013-03-18T00:00:00"/>
        <d v="2013-03-19T00:00:00"/>
        <d v="2013-03-20T00:00:00"/>
        <d v="2013-03-21T00:00:00"/>
        <d v="2013-03-22T00:00:00"/>
        <d v="2013-03-23T00:00:00"/>
        <d v="2013-03-24T00:00:00"/>
        <d v="2013-03-25T00:00:00"/>
        <d v="2013-03-26T00:00:00"/>
        <d v="2013-03-27T00:00:00"/>
        <d v="2013-03-28T00:00:00"/>
        <d v="2013-03-29T00:00:00"/>
        <d v="2013-03-30T00:00:00"/>
        <d v="2013-03-31T00:00:00"/>
        <d v="2013-04-01T00:00:00"/>
        <d v="2013-04-02T00:00:00"/>
        <d v="2013-04-03T00:00:00"/>
        <d v="2013-04-04T00:00:00"/>
        <d v="2013-04-05T00:00:00"/>
        <d v="2013-04-06T00:00:00"/>
        <d v="2013-04-07T00:00:00"/>
        <d v="2013-04-08T00:00:00"/>
        <d v="2013-04-09T00:00:00"/>
        <d v="2013-04-10T00:00:00"/>
        <d v="2013-04-11T00:00:00"/>
        <d v="2013-04-12T00:00:00"/>
        <d v="2013-04-13T00:00:00"/>
        <d v="2013-04-14T00:00:00"/>
        <d v="2013-04-15T00:00:00"/>
        <d v="2013-04-16T00:00:00"/>
        <d v="2013-04-17T00:00:00"/>
        <d v="2013-04-18T00:00:00"/>
        <d v="2013-04-19T00:00:00"/>
        <d v="2013-04-20T00:00:00"/>
        <d v="2013-04-21T00:00:00"/>
        <d v="2013-04-22T00:00:00"/>
        <d v="2013-04-23T00:00:00"/>
        <d v="2013-04-24T00:00:00"/>
        <d v="2013-04-25T00:00:00"/>
        <d v="2013-04-26T00:00:00"/>
        <d v="2013-04-27T00:00:00"/>
        <d v="2013-04-28T00:00:00"/>
        <d v="2013-04-29T00:00:00"/>
        <d v="2013-04-30T00:00:00"/>
        <d v="2013-05-01T00:00:00"/>
        <d v="2013-05-02T00:00:00"/>
        <d v="2013-05-03T00:00:00"/>
        <d v="2013-05-04T00:00:00"/>
        <d v="2013-05-05T00:00:00"/>
        <d v="2013-05-06T00:00:00"/>
        <d v="2013-05-07T00:00:00"/>
        <d v="2013-05-08T00:00:00"/>
        <d v="2013-05-09T00:00:00"/>
        <d v="2013-05-10T00:00:00"/>
        <d v="2013-05-11T00:00:00"/>
        <d v="2013-05-12T00:00:00"/>
        <d v="2013-05-13T00:00:00"/>
        <d v="2013-05-14T00:00:00"/>
        <d v="2013-05-15T00:00:00"/>
        <d v="2013-05-16T00:00:00"/>
        <d v="2013-05-17T00:00:00"/>
        <d v="2013-05-18T00:00:00"/>
        <d v="2013-05-19T00:00:00"/>
        <d v="2013-05-20T00:00:00"/>
        <d v="2013-05-21T00:00:00"/>
        <d v="2013-05-22T00:00:00"/>
        <d v="2013-05-23T00:00:00"/>
        <d v="2013-05-24T00:00:00"/>
        <d v="2013-05-25T00:00:00"/>
        <d v="2013-05-26T00:00:00"/>
        <d v="2013-05-27T00:00:00"/>
        <d v="2013-05-28T00:00:00"/>
        <d v="2013-05-29T00:00:00"/>
        <d v="2013-05-30T00:00:00"/>
        <d v="2013-05-31T00:00:00"/>
        <d v="2013-06-01T00:00:00"/>
        <d v="2013-06-02T00:00:00"/>
        <d v="2013-06-03T00:00:00"/>
        <d v="2013-06-04T00:00:00"/>
        <d v="2013-06-05T00:00:00"/>
        <d v="2013-06-06T00:00:00"/>
        <d v="2013-06-07T00:00:00"/>
        <d v="2013-06-08T00:00:00"/>
        <d v="2013-06-09T00:00:00"/>
        <d v="2013-06-10T00:00:00"/>
        <d v="2013-06-11T00:00:00"/>
        <d v="2013-06-12T00:00:00"/>
        <d v="2013-06-13T00:00:00"/>
        <d v="2013-06-14T00:00:00"/>
        <d v="2013-06-15T00:00:00"/>
        <d v="2013-06-16T00:00:00"/>
        <d v="2013-06-17T00:00:00"/>
        <d v="2013-06-18T00:00:00"/>
        <d v="2013-06-19T00:00:00"/>
        <d v="2013-06-20T00:00:00"/>
        <d v="2013-06-21T00:00:00"/>
        <d v="2013-06-22T00:00:00"/>
        <d v="2013-06-23T00:00:00"/>
        <d v="2013-06-24T00:00:00"/>
        <d v="2013-06-25T00:00:00"/>
        <d v="2013-06-26T00:00:00"/>
        <d v="2013-06-27T00:00:00"/>
        <d v="2013-06-28T00:00:00"/>
        <d v="2013-06-29T00:00:00"/>
        <d v="2013-06-30T00:00:00"/>
        <d v="2013-07-01T00:00:00"/>
        <d v="2013-07-02T00:00:00"/>
        <d v="2013-07-03T00:00:00"/>
        <d v="2013-07-04T00:00:00"/>
        <d v="2013-07-05T00:00:00"/>
        <d v="2013-07-06T00:00:00"/>
        <d v="2013-07-07T00:00:00"/>
        <d v="2013-07-08T00:00:00"/>
        <d v="2013-07-09T00:00:00"/>
        <d v="2013-07-10T00:00:00"/>
        <d v="2013-07-11T00:00:00"/>
        <d v="2013-07-12T00:00:00"/>
        <d v="2013-07-13T00:00:00"/>
        <d v="2013-07-14T00:00:00"/>
        <d v="2013-07-15T00:00:00"/>
        <d v="2013-07-16T00:00:00"/>
        <d v="2013-07-17T00:00:00"/>
        <d v="2013-07-18T00:00:00"/>
        <d v="2013-07-19T00:00:00"/>
        <d v="2013-07-20T00:00:00"/>
        <d v="2013-07-21T00:00:00"/>
        <d v="2013-07-22T00:00:00"/>
        <d v="2013-07-23T00:00:00"/>
        <d v="2013-07-24T00:00:00"/>
        <d v="2013-07-25T00:00:00"/>
        <d v="2013-07-26T00:00:00"/>
        <d v="2013-07-27T00:00:00"/>
        <d v="2013-07-28T00:00:00"/>
        <d v="2013-07-29T00:00:00"/>
        <d v="2013-07-30T00:00:00"/>
        <d v="2013-07-31T00:00:00"/>
        <d v="2013-08-01T00:00:00"/>
        <d v="2013-08-02T00:00:00"/>
        <d v="2013-08-03T00:00:00"/>
        <d v="2013-08-04T00:00:00"/>
        <d v="2013-08-05T00:00:00"/>
        <d v="2013-08-06T00:00:00"/>
        <d v="2013-08-07T00:00:00"/>
        <d v="2013-08-08T00:00:00"/>
        <d v="2013-08-09T00:00:00"/>
        <d v="2013-08-10T00:00:00"/>
        <d v="2013-08-11T00:00:00"/>
        <d v="2013-08-12T00:00:00"/>
        <d v="2013-08-13T00:00:00"/>
        <d v="2013-08-14T00:00:00"/>
        <d v="2013-08-15T00:00:00"/>
        <d v="2013-08-16T00:00:00"/>
        <d v="2013-08-17T00:00:00"/>
        <d v="2013-08-18T00:00:00"/>
        <d v="2013-08-19T00:00:00"/>
        <d v="2013-08-20T00:00:00"/>
        <d v="2013-08-21T00:00:00"/>
        <d v="2013-08-22T00:00:00"/>
        <d v="2013-08-23T00:00:00"/>
        <d v="2013-08-24T00:00:00"/>
        <d v="2013-08-25T00:00:00"/>
        <d v="2013-08-26T00:00:00"/>
        <d v="2013-08-27T00:00:00"/>
        <d v="2013-08-28T00:00:00"/>
        <d v="2013-08-29T00:00:00"/>
        <d v="2013-08-30T00:00:00"/>
        <d v="2013-08-31T00:00:00"/>
        <d v="2013-09-01T00:00:00"/>
        <d v="2013-09-02T00:00:00"/>
        <d v="2013-09-03T00:00:00"/>
        <d v="2013-09-04T00:00:00"/>
        <d v="2013-09-05T00:00:00"/>
        <d v="2013-09-06T00:00:00"/>
        <d v="2013-09-07T00:00:00"/>
        <d v="2013-09-08T00:00:00"/>
        <d v="2013-09-09T00:00:00"/>
        <d v="2013-09-10T00:00:00"/>
        <d v="2013-09-11T00:00:00"/>
        <d v="2013-09-12T00:00:00"/>
        <d v="2013-09-13T00:00:00"/>
        <d v="2013-09-14T00:00:00"/>
        <d v="2013-09-15T00:00:00"/>
        <d v="2013-09-16T00:00:00"/>
        <d v="2013-09-17T00:00:00"/>
        <d v="2013-09-18T00:00:00"/>
        <d v="2013-09-19T00:00:00"/>
        <d v="2013-09-20T00:00:00"/>
        <d v="2013-09-21T00:00:00"/>
        <d v="2013-09-22T00:00:00"/>
        <d v="2013-09-23T00:00:00"/>
        <d v="2013-09-24T00:00:00"/>
        <d v="2013-09-25T00:00:00"/>
        <d v="2013-09-26T00:00:00"/>
        <d v="2013-09-27T00:00:00"/>
        <d v="2013-09-28T00:00:00"/>
        <d v="2013-09-29T00:00:00"/>
        <d v="2013-09-30T00:00:00"/>
        <d v="2013-10-01T00:00:00"/>
        <d v="2013-10-02T00:00:00"/>
        <d v="2013-10-03T00:00:00"/>
        <d v="2013-10-04T00:00:00"/>
        <d v="2013-10-05T00:00:00"/>
        <d v="2013-10-06T00:00:00"/>
        <d v="2013-10-07T00:00:00"/>
        <d v="2013-10-08T00:00:00"/>
        <d v="2013-10-09T00:00:00"/>
        <d v="2013-10-10T00:00:00"/>
        <d v="2013-10-11T00:00:00"/>
        <d v="2013-10-12T00:00:00"/>
        <d v="2013-10-13T00:00:00"/>
        <d v="2013-10-14T00:00:00"/>
        <d v="2013-10-15T00:00:00"/>
        <d v="2013-10-16T00:00:00"/>
        <d v="2013-10-17T00:00:00"/>
        <d v="2013-10-18T00:00:00"/>
        <d v="2013-10-19T00:00:00"/>
        <d v="2013-10-20T00:00:00"/>
        <d v="2013-10-21T00:00:00"/>
        <d v="2013-10-22T00:00:00"/>
        <d v="2013-10-23T00:00:00"/>
        <d v="2013-10-24T00:00:00"/>
        <d v="2013-10-25T00:00:00"/>
        <d v="2013-10-26T00:00:00"/>
        <d v="2013-10-27T00:00:00"/>
        <d v="2013-10-28T00:00:00"/>
        <d v="2013-10-29T00:00:00"/>
        <d v="2013-10-30T00:00:00"/>
        <d v="2013-10-31T00:00:00"/>
        <d v="2013-11-01T00:00:00"/>
        <d v="2013-11-02T00:00:00"/>
        <d v="2013-11-03T00:00:00"/>
        <d v="2013-11-04T00:00:00"/>
        <d v="2013-11-05T00:00:00"/>
        <d v="2013-11-06T00:00:00"/>
        <d v="2013-11-07T00:00:00"/>
        <d v="2013-11-08T00:00:00"/>
        <d v="2013-11-09T00:00:00"/>
        <d v="2013-11-10T00:00:00"/>
        <d v="2013-11-11T00:00:00"/>
        <d v="2013-11-12T00:00:00"/>
        <d v="2013-11-13T00:00:00"/>
        <d v="2013-11-14T00:00:00"/>
        <d v="2013-11-15T00:00:00"/>
        <d v="2013-11-16T00:00:00"/>
        <d v="2013-11-17T00:00:00"/>
        <d v="2013-11-18T00:00:00"/>
        <d v="2013-11-19T00:00:00"/>
        <d v="2013-11-20T00:00:00"/>
        <d v="2013-11-21T00:00:00"/>
        <d v="2013-11-22T00:00:00"/>
        <d v="2013-11-23T00:00:00"/>
        <d v="2013-11-24T00:00:00"/>
        <d v="2013-11-25T00:00:00"/>
        <d v="2013-11-26T00:00:00"/>
        <d v="2013-11-27T00:00:00"/>
        <d v="2013-11-28T00:00:00"/>
        <d v="2013-11-29T00:00:00"/>
        <d v="2013-11-30T00:00:00"/>
        <d v="2013-12-01T00:00:00"/>
        <d v="2013-12-02T00:00:00"/>
        <d v="2013-12-03T00:00:00"/>
        <d v="2013-12-04T00:00:00"/>
        <d v="2013-12-05T00:00:00"/>
        <d v="2013-12-06T00:00:00"/>
        <d v="2013-12-07T00:00:00"/>
        <d v="2013-12-08T00:00:00"/>
        <d v="2013-12-09T00:00:00"/>
        <d v="2013-12-10T00:00:00"/>
        <d v="2013-12-11T00:00:00"/>
        <d v="2013-12-12T00:00:00"/>
        <d v="2013-12-13T00:00:00"/>
        <d v="2013-12-14T00:00:00"/>
        <d v="2013-12-15T00:00:00"/>
        <d v="2013-12-16T00:00:00"/>
        <d v="2013-12-17T00:00:00"/>
        <d v="2013-12-18T00:00:00"/>
        <d v="2013-12-19T00:00:00"/>
        <d v="2013-12-20T00:00:00"/>
        <d v="2013-12-21T00:00:00"/>
        <d v="2013-12-22T00:00:00"/>
        <d v="2013-12-23T00:00:00"/>
        <d v="2013-12-24T00:00:00"/>
        <d v="2013-12-25T00:00:00"/>
        <d v="2013-12-26T00:00:00"/>
        <d v="2013-12-27T00:00:00"/>
        <d v="2013-12-28T00:00:00"/>
        <d v="2013-12-29T00:00:00"/>
        <d v="2013-12-30T00:00:00"/>
        <d v="2013-12-31T00:00:00"/>
        <d v="2014-01-01T00:00:00"/>
        <d v="2014-01-02T00:00:00"/>
        <d v="2014-01-03T00:00:00"/>
        <d v="2014-01-04T00:00:00"/>
        <d v="2014-01-05T00:00:00"/>
        <d v="2014-01-06T00:00:00"/>
        <d v="2014-01-07T00:00:00"/>
        <d v="2014-01-08T00:00:00"/>
        <d v="2014-01-09T00:00:00"/>
        <d v="2014-01-10T00:00:00"/>
        <d v="2014-01-11T00:00:00"/>
        <d v="2014-01-12T00:00:00"/>
        <d v="2014-01-13T00:00:00"/>
        <d v="2014-01-14T00:00:00"/>
        <d v="2014-01-15T00:00:00"/>
        <d v="2014-01-16T00:00:00"/>
        <d v="2014-01-17T00:00:00"/>
        <d v="2014-01-18T00:00:00"/>
        <d v="2014-01-19T00:00:00"/>
        <d v="2014-01-20T00:00:00"/>
        <d v="2014-01-21T00:00:00"/>
        <d v="2014-01-22T00:00:00"/>
        <d v="2014-01-23T00:00:00"/>
        <d v="2014-01-24T00:00:00"/>
        <d v="2014-01-25T00:00:00"/>
        <d v="2014-01-26T00:00:00"/>
        <d v="2014-01-27T00:00:00"/>
        <d v="2014-01-28T00:00:00"/>
        <d v="2014-01-29T00:00:00"/>
        <d v="2014-01-30T00:00:00"/>
        <d v="2014-01-31T00:00:00"/>
        <d v="2014-02-01T00:00:00"/>
        <d v="2014-02-02T00:00:00"/>
        <d v="2014-02-03T00:00:00"/>
        <d v="2014-02-04T00:00:00"/>
        <d v="2014-02-05T00:00:00"/>
        <d v="2014-02-06T00:00:00"/>
        <d v="2014-02-07T00:00:00"/>
        <d v="2014-02-08T00:00:00"/>
        <d v="2014-02-09T00:00:00"/>
        <d v="2014-02-10T00:00:00"/>
        <d v="2014-02-11T00:00:00"/>
        <d v="2014-02-12T00:00:00"/>
        <d v="2014-02-13T00:00:00"/>
        <d v="2014-02-14T00:00:00"/>
        <d v="2014-02-15T00:00:00"/>
        <d v="2014-02-16T00:00:00"/>
        <d v="2014-02-17T00:00:00"/>
        <d v="2014-02-18T00:00:00"/>
        <d v="2014-02-19T00:00:00"/>
        <d v="2014-02-20T00:00:00"/>
        <d v="2014-02-21T00:00:00"/>
        <d v="2014-02-22T00:00:00"/>
        <d v="2014-02-23T00:00:00"/>
        <d v="2014-02-24T00:00:00"/>
        <d v="2014-02-25T00:00:00"/>
        <d v="2014-02-26T00:00:00"/>
        <d v="2014-02-27T00:00:00"/>
        <d v="2014-02-28T00:00:00"/>
        <d v="2014-03-01T00:00:00"/>
        <d v="2014-03-02T00:00:00"/>
        <d v="2014-03-03T00:00:00"/>
        <d v="2014-03-04T00:00:00"/>
        <d v="2014-03-05T00:00:00"/>
        <d v="2014-03-06T00:00:00"/>
        <d v="2014-03-07T00:00:00"/>
        <d v="2014-03-08T00:00:00"/>
        <d v="2014-03-09T00:00:00"/>
        <d v="2014-03-10T00:00:00"/>
        <d v="2014-03-11T00:00:00"/>
        <d v="2014-03-12T00:00:00"/>
        <d v="2014-03-13T00:00:00"/>
        <d v="2014-03-14T00:00:00"/>
        <d v="2014-03-15T00:00:00"/>
        <d v="2014-03-16T00:00:00"/>
        <d v="2014-03-17T00:00:00"/>
        <d v="2014-03-18T00:00:00"/>
        <d v="2014-03-19T00:00:00"/>
        <d v="2014-03-20T00:00:00"/>
        <d v="2014-03-21T00:00:00"/>
        <d v="2014-03-22T00:00:00"/>
        <d v="2014-03-23T00:00:00"/>
        <d v="2014-03-24T00:00:00"/>
        <d v="2014-03-25T00:00:00"/>
        <d v="2014-03-26T00:00:00"/>
        <d v="2014-03-27T00:00:00"/>
        <d v="2014-03-28T00:00:00"/>
        <d v="2014-03-29T00:00:00"/>
        <d v="2014-03-30T00:00:00"/>
        <d v="2014-03-31T00:00:00"/>
        <d v="2014-04-01T00:00:00"/>
        <d v="2014-04-02T00:00:00"/>
        <d v="2014-04-03T00:00:00"/>
        <d v="2014-04-04T00:00:00"/>
        <d v="2014-04-05T00:00:00"/>
        <d v="2014-04-06T00:00:00"/>
        <d v="2014-04-07T00:00:00"/>
        <d v="2014-04-08T00:00:00"/>
        <d v="2014-04-09T00:00:00"/>
        <d v="2014-04-10T00:00:00"/>
        <d v="2014-04-11T00:00:00"/>
        <d v="2014-04-12T00:00:00"/>
        <d v="2014-04-13T00:00:00"/>
        <d v="2014-04-14T00:00:00"/>
        <d v="2014-04-15T00:00:00"/>
        <d v="2014-04-16T00:00:00"/>
        <d v="2014-04-17T00:00:00"/>
        <d v="2014-04-18T00:00:00"/>
        <d v="2014-04-19T00:00:00"/>
        <d v="2014-04-20T00:00:00"/>
        <d v="2014-04-21T00:00:00"/>
        <d v="2014-04-22T00:00:00"/>
        <d v="2014-04-23T00:00:00"/>
        <d v="2014-04-24T00:00:00"/>
        <d v="2014-04-25T00:00:00"/>
        <d v="2014-04-26T00:00:00"/>
        <d v="2014-04-27T00:00:00"/>
        <d v="2014-04-28T00:00:00"/>
        <d v="2014-04-29T00:00:00"/>
        <d v="2014-04-30T00:00:00"/>
        <d v="2014-05-01T00:00:00"/>
        <d v="2014-05-02T00:00:00"/>
        <d v="2014-05-03T00:00:00"/>
        <d v="2014-05-04T00:00:00"/>
        <d v="2014-05-05T00:00:00"/>
        <d v="2014-05-06T00:00:00"/>
        <d v="2014-05-07T00:00:00"/>
        <d v="2014-05-08T00:00:00"/>
        <d v="2014-05-09T00:00:00"/>
        <d v="2014-05-10T00:00:00"/>
        <d v="2014-05-11T00:00:00"/>
        <d v="2014-05-12T00:00:00"/>
        <d v="2014-05-13T00:00:00"/>
        <d v="2014-05-14T00:00:00"/>
        <d v="2014-05-15T00:00:00"/>
        <d v="2014-05-16T00:00:00"/>
        <d v="2014-05-17T00:00:00"/>
        <d v="2014-05-18T00:00:00"/>
        <d v="2014-05-19T00:00:00"/>
        <d v="2014-05-20T00:00:00"/>
        <d v="2014-05-21T00:00:00"/>
        <d v="2014-05-22T00:00:00"/>
        <d v="2014-05-23T00:00:00"/>
        <d v="2014-05-24T00:00:00"/>
        <d v="2014-05-25T00:00:00"/>
        <d v="2014-05-26T00:00:00"/>
        <d v="2014-05-27T00:00:00"/>
        <d v="2014-05-28T00:00:00"/>
        <d v="2014-05-29T00:00:00"/>
        <d v="2014-05-30T00:00:00"/>
        <d v="2014-05-31T00:00:00"/>
        <d v="2014-06-01T00:00:00"/>
        <d v="2014-06-02T00:00:00"/>
        <d v="2014-06-03T00:00:00"/>
        <d v="2014-06-04T00:00:00"/>
        <d v="2014-06-05T00:00:00"/>
        <d v="2014-06-06T00:00:00"/>
        <d v="2014-06-07T00:00:00"/>
        <d v="2014-06-08T00:00:00"/>
        <d v="2014-06-09T00:00:00"/>
        <d v="2014-06-10T00:00:00"/>
        <d v="2014-06-11T00:00:00"/>
        <d v="2014-06-12T00:00:00"/>
        <d v="2014-06-13T00:00:00"/>
        <d v="2014-06-14T00:00:00"/>
        <d v="2014-06-15T00:00:00"/>
        <d v="2014-06-16T00:00:00"/>
        <d v="2014-06-17T00:00:00"/>
        <d v="2014-06-18T00:00:00"/>
        <d v="2014-06-19T00:00:00"/>
        <d v="2014-06-20T00:00:00"/>
        <d v="2014-06-21T00:00:00"/>
        <d v="2014-06-22T00:00:00"/>
        <d v="2014-06-23T00:00:00"/>
        <d v="2014-06-24T00:00:00"/>
        <d v="2014-06-25T00:00:00"/>
        <d v="2014-06-26T00:00:00"/>
        <d v="2014-06-27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d v="2014-08-23T00:00:00"/>
        <d v="2014-08-24T00:00:00"/>
        <d v="2014-08-25T00:00:00"/>
        <d v="2014-08-26T00:00:00"/>
        <d v="2014-08-27T00:00:00"/>
        <d v="2014-08-28T00:00:00"/>
        <d v="2014-08-29T00:00:00"/>
        <d v="2014-08-30T00:00:00"/>
        <d v="2014-08-31T00:00:00"/>
        <d v="2014-09-01T00:00:00"/>
        <d v="2014-09-02T00:00:00"/>
        <d v="2014-09-03T00:00:00"/>
        <d v="2014-09-04T00:00:00"/>
        <d v="2014-09-05T00:00:00"/>
        <d v="2014-09-06T00:00:00"/>
        <d v="2014-09-07T00:00:00"/>
        <d v="2014-09-08T00:00:00"/>
        <d v="2014-09-09T00:00:00"/>
        <d v="2014-09-10T00:00:00"/>
        <d v="2014-09-11T00:00:00"/>
        <d v="2014-09-12T00:00:00"/>
        <d v="2014-09-13T00:00:00"/>
        <d v="2014-09-14T00:00:00"/>
        <d v="2014-09-15T00:00:00"/>
        <d v="2014-09-16T00:00:00"/>
        <d v="2014-09-17T00:00:00"/>
        <d v="2014-09-18T00:00:00"/>
        <d v="2014-09-19T00:00:00"/>
        <d v="2014-09-20T00:00:00"/>
        <d v="2014-09-21T00:00:00"/>
        <d v="2014-09-22T00:00:00"/>
        <d v="2014-09-23T00:00:00"/>
        <d v="2014-09-24T00:00:00"/>
        <d v="2014-09-25T00:00:00"/>
        <d v="2014-09-26T00:00:00"/>
        <d v="2014-09-27T00:00:00"/>
        <d v="2014-09-28T00:00:00"/>
        <d v="2014-09-29T00:00:00"/>
        <d v="2014-09-30T00:00:00"/>
        <d v="2014-10-01T00:00:00"/>
        <d v="2014-10-02T00:00:00"/>
        <d v="2014-10-03T00:00:00"/>
        <d v="2014-10-04T00:00:00"/>
        <d v="2014-10-05T00:00:00"/>
        <d v="2014-10-06T00:00:00"/>
        <d v="2014-10-07T00:00:00"/>
        <d v="2014-10-08T00:00:00"/>
        <d v="2014-10-09T00:00:00"/>
        <d v="2014-10-10T00:00:00"/>
        <d v="2014-10-11T00:00:00"/>
        <d v="2014-10-12T00:00:00"/>
        <d v="2014-10-13T00:00:00"/>
        <d v="2014-10-14T00:00:00"/>
        <d v="2014-10-15T00:00:00"/>
        <d v="2014-10-16T00:00:00"/>
        <d v="2014-10-17T00:00:00"/>
        <d v="2014-10-18T00:00:00"/>
        <d v="2014-10-19T00:00:00"/>
        <d v="2014-10-20T00:00:00"/>
        <d v="2014-10-21T00:00:00"/>
        <d v="2014-10-22T00:00:00"/>
        <d v="2014-10-23T00:00:00"/>
        <d v="2014-10-24T00:00:00"/>
        <d v="2014-10-25T00:00:00"/>
        <d v="2014-10-26T00:00:00"/>
        <d v="2014-10-27T00:00:00"/>
        <d v="2014-10-28T00:00:00"/>
        <d v="2014-10-29T00:00:00"/>
        <d v="2014-10-30T00:00:00"/>
        <d v="2014-10-31T00:00:00"/>
        <d v="2014-11-01T00:00:00"/>
        <d v="2014-11-02T00:00:00"/>
        <d v="2014-11-03T00:00:00"/>
        <d v="2014-11-04T00:00:00"/>
        <d v="2014-11-05T00:00:00"/>
        <d v="2014-11-06T00:00:00"/>
        <d v="2014-11-07T00:00:00"/>
        <d v="2014-11-08T00:00:00"/>
        <d v="2014-11-09T00:00:00"/>
        <d v="2014-11-10T00:00:00"/>
        <d v="2014-11-11T00:00:00"/>
        <d v="2014-11-12T00:00:00"/>
        <d v="2014-11-13T00:00:00"/>
        <d v="2014-11-14T00:00:00"/>
        <d v="2014-11-15T00:00:00"/>
        <d v="2014-11-16T00:00:00"/>
        <d v="2014-11-17T00:00:00"/>
        <d v="2014-11-18T00:00:00"/>
        <d v="2014-11-19T00:00:00"/>
        <d v="2014-11-20T00:00:00"/>
        <d v="2014-11-21T00:00:00"/>
        <d v="2014-11-22T00:00:00"/>
        <d v="2014-11-23T00:00:00"/>
        <d v="2014-11-24T00:00:00"/>
        <d v="2014-11-25T00:00:00"/>
        <d v="2014-11-26T00:00:00"/>
        <d v="2014-11-27T00:00:00"/>
        <d v="2014-11-28T00:00:00"/>
        <d v="2014-11-29T00:00:00"/>
        <d v="2014-11-30T00:00:00"/>
        <d v="2014-12-01T00:00:00"/>
        <d v="2014-12-02T00:00:00"/>
        <d v="2014-12-03T00:00:00"/>
        <d v="2014-12-04T00:00:00"/>
        <d v="2014-12-05T00:00:00"/>
        <d v="2014-12-06T00:00:00"/>
        <d v="2014-12-07T00:00:00"/>
        <d v="2014-12-08T00:00:00"/>
        <d v="2014-12-09T00:00:00"/>
        <d v="2014-12-10T00:00:00"/>
        <d v="2014-12-11T00:00:00"/>
        <d v="2014-12-12T00:00:00"/>
        <d v="2014-12-13T00:00:00"/>
        <d v="2014-12-14T00:00:00"/>
        <d v="2014-12-15T00:00:00"/>
        <d v="2014-12-16T00:00:00"/>
        <d v="2014-12-17T00:00:00"/>
        <d v="2014-12-18T00:00:00"/>
        <d v="2014-12-19T00:00:00"/>
        <d v="2014-12-20T00:00:00"/>
        <d v="2014-12-21T00:00:00"/>
        <d v="2014-12-22T00:00:00"/>
        <d v="2014-12-23T00:00:00"/>
        <d v="2014-12-24T00:00:00"/>
        <d v="2014-12-25T00:00:00"/>
        <d v="2014-12-26T00:00:00"/>
        <d v="2014-12-27T00:00:00"/>
        <d v="2014-12-28T00:00:00"/>
        <d v="2014-12-29T00:00:00"/>
        <d v="2014-12-30T00:00:00"/>
        <d v="2014-12-31T00:00:00"/>
        <d v="2015-01-01T00:00:00"/>
        <d v="2015-01-02T00:00:00"/>
        <d v="2015-01-03T00:00:00"/>
        <d v="2015-01-04T00:00:00"/>
        <d v="2015-01-05T00:00:00"/>
        <d v="2015-01-06T00:00:00"/>
        <d v="2015-01-07T00:00:00"/>
        <d v="2015-01-08T00:00:00"/>
        <d v="2015-01-09T00:00:00"/>
        <d v="2015-01-10T00:00:00"/>
        <d v="2015-01-11T00:00:00"/>
        <d v="2015-01-12T00:00:00"/>
        <d v="2015-01-13T00:00:00"/>
        <d v="2015-01-14T00:00:00"/>
        <d v="2015-01-15T00:00:00"/>
        <d v="2015-01-16T00:00:00"/>
        <d v="2015-01-17T00:00:00"/>
        <d v="2015-01-18T00:00:00"/>
        <d v="2015-01-19T00:00:00"/>
        <d v="2015-01-20T00:00:00"/>
        <d v="2015-01-21T00:00:00"/>
        <d v="2015-01-22T00:00:00"/>
        <d v="2015-01-23T00:00:00"/>
        <d v="2015-01-24T00:00:00"/>
        <d v="2015-01-25T00:00:00"/>
        <d v="2015-01-26T00:00:00"/>
        <d v="2015-01-27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6T00:00:00"/>
        <d v="2015-02-17T00:00:00"/>
        <d v="2015-02-18T00:00:00"/>
        <d v="2015-02-19T00:00:00"/>
        <d v="2015-02-20T00:00:00"/>
        <d v="2015-02-21T00:00:00"/>
        <d v="2015-02-22T00:00:00"/>
        <d v="2015-02-23T00:00:00"/>
        <d v="2015-02-24T00:00:00"/>
        <d v="2015-02-25T00:00:00"/>
        <d v="2015-02-26T00:00:00"/>
        <d v="2015-02-27T00:00:00"/>
        <d v="2015-02-28T00:00:00"/>
        <d v="2015-03-01T00:00:00"/>
        <d v="2015-03-02T00:00:00"/>
        <d v="2015-03-03T00:00:00"/>
        <d v="2015-03-04T00:00:00"/>
        <d v="2015-03-05T00:00:00"/>
        <d v="2015-03-06T00:00:00"/>
        <d v="2015-03-07T00:00:00"/>
        <d v="2015-03-08T00:00:00"/>
        <d v="2015-03-09T00:00:00"/>
        <d v="2015-03-10T00:00:00"/>
        <d v="2015-03-11T00:00:00"/>
        <d v="2015-03-12T00:00:00"/>
        <d v="2015-03-13T00:00:00"/>
        <d v="2015-03-14T00:00:00"/>
        <d v="2015-03-15T00:00:00"/>
        <d v="2015-03-16T00:00:00"/>
        <d v="2015-03-17T00:00:00"/>
        <d v="2015-03-18T00:00:00"/>
        <d v="2015-03-19T00:00:00"/>
        <d v="2015-03-20T00:00:00"/>
        <d v="2015-03-21T00:00:00"/>
        <d v="2015-03-22T00:00:00"/>
        <d v="2015-03-23T00:00:00"/>
        <d v="2015-03-24T00:00:00"/>
        <d v="2015-03-25T00:00:00"/>
        <d v="2015-03-26T00:00:00"/>
        <d v="2015-03-27T00:00:00"/>
        <d v="2015-03-28T00:00:00"/>
        <d v="2015-03-29T00:00:00"/>
        <d v="2015-03-30T00:00:00"/>
        <d v="2015-03-31T00:00:00"/>
        <d v="2015-04-01T00:00:00"/>
        <d v="2015-04-02T00:00:00"/>
        <d v="2015-04-03T00:00:00"/>
        <d v="2015-04-04T00:00:00"/>
        <d v="2015-04-05T00:00:00"/>
        <d v="2015-04-06T00:00:00"/>
        <d v="2015-04-07T00:00:00"/>
        <d v="2015-04-08T00:00:00"/>
        <d v="2015-04-09T00:00:00"/>
        <d v="2015-04-10T00:00:00"/>
        <d v="2015-04-11T00:00:00"/>
        <d v="2015-04-12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4T00:00:00"/>
        <d v="2015-06-05T00:00:00"/>
        <d v="2015-06-06T00:00:00"/>
        <d v="2015-06-07T00:00:00"/>
        <d v="2015-06-08T00:00:00"/>
        <d v="2015-06-09T00:00:00"/>
        <d v="2015-06-10T00:00:00"/>
        <d v="2015-06-11T00:00:00"/>
        <d v="2015-06-12T00:00:00"/>
        <d v="2015-06-13T00:00:00"/>
        <d v="2015-06-14T00:00:00"/>
        <d v="2015-06-15T00:00:00"/>
        <d v="2015-06-16T00:00:00"/>
        <d v="2015-06-17T00:00:00"/>
        <d v="2015-06-18T00:00:00"/>
        <d v="2015-06-19T00:00:00"/>
        <d v="2015-06-20T00:00:00"/>
        <d v="2015-06-21T00:00:00"/>
        <d v="2015-06-22T00:00:00"/>
        <d v="2015-06-23T00:00:00"/>
        <d v="2015-06-24T00:00:00"/>
        <d v="2015-06-25T00:00:00"/>
        <d v="2015-06-26T00:00:00"/>
        <d v="2015-06-27T00:00:00"/>
        <d v="2015-06-28T00:00:00"/>
        <d v="2015-06-29T00:00:00"/>
        <d v="2015-06-30T00:00:00"/>
        <d v="2015-07-01T00:00:00"/>
        <d v="2015-07-02T00:00:00"/>
        <d v="2015-07-03T00:00:00"/>
        <d v="2015-07-04T00:00:00"/>
        <d v="2015-07-05T00:00:00"/>
        <d v="2015-07-06T00:00:00"/>
        <d v="2015-07-07T00:00:00"/>
        <d v="2015-07-08T00:00:00"/>
        <d v="2015-07-09T00:00:00"/>
        <d v="2015-07-10T00:00:00"/>
        <d v="2015-07-11T00:00:00"/>
        <d v="2015-07-12T00:00:00"/>
        <d v="2015-07-13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1T00:00:00"/>
        <d v="2015-08-02T00:00:00"/>
        <d v="2015-08-03T00:00:00"/>
        <d v="2015-08-04T00:00:00"/>
        <d v="2015-08-05T00:00:00"/>
        <d v="2015-08-06T00:00:00"/>
        <d v="2015-08-07T00:00:00"/>
        <d v="2015-08-08T00:00:00"/>
        <d v="2015-08-09T00:00:00"/>
        <d v="2015-08-10T00:00:00"/>
        <d v="2015-08-11T00:00:00"/>
        <d v="2015-08-12T00:00:00"/>
        <d v="2015-08-13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8T00:00:00"/>
        <d v="2015-09-09T00:00:00"/>
        <d v="2015-09-10T00:00:00"/>
        <d v="2015-09-11T00:00:00"/>
        <d v="2015-09-12T00:00:00"/>
        <d v="2015-09-13T00:00:00"/>
        <d v="2015-09-14T00:00:00"/>
        <d v="2015-09-15T00:00:00"/>
        <d v="2015-09-16T00:00:00"/>
        <d v="2015-09-17T00:00:00"/>
        <d v="2015-09-18T00:00:00"/>
        <d v="2015-09-19T00:00:00"/>
        <d v="2015-09-20T00:00:00"/>
        <d v="2015-09-21T00:00:00"/>
        <d v="2015-09-22T00:00:00"/>
        <d v="2015-09-23T00:00:00"/>
        <d v="2015-09-24T00:00:00"/>
        <d v="2015-09-25T00:00:00"/>
        <d v="2015-09-26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0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7T00:00:00"/>
        <d v="2017-12-18T00:00:00"/>
        <d v="2017-12-19T00:00:00"/>
        <d v="2017-12-20T00:00:00"/>
        <d v="2017-12-21T00:00:00"/>
        <d v="2017-12-22T00:00:00"/>
        <d v="2017-12-23T00:00:00"/>
        <d v="2017-12-24T00:00:00"/>
        <d v="2017-12-25T00:00:00"/>
        <d v="2017-12-26T00:00:00"/>
        <d v="2017-12-27T00:00:00"/>
        <d v="2017-12-28T00:00:00"/>
        <d v="2017-12-29T00:00:00"/>
        <d v="2017-12-30T00:00:00"/>
        <d v="2017-12-31T00:00:00"/>
        <d v="2018-01-0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2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sharedItems>
    </cacheField>
    <cacheField name="Tasa de cambio representativa del mercado (TRM)" numFmtId="168">
      <sharedItems containsSemiMixedTypes="0" containsString="0" containsNumber="1" minValue="620.62" maxValue="3434.89"/>
    </cacheField>
    <cacheField name="Año" numFmtId="0">
      <sharedItems containsSemiMixedTypes="0" containsString="0" containsNumber="1" containsInteger="1" minValue="1991" maxValue="2018" count="28">
        <n v="1991"/>
        <n v="1992"/>
        <n v="1993"/>
        <n v="1994"/>
        <n v="1995"/>
        <n v="1996"/>
        <n v="1997"/>
        <n v="1998"/>
        <n v="1999"/>
        <n v="2000"/>
        <n v="2001"/>
        <n v="2002"/>
        <n v="2003"/>
        <n v="2004"/>
        <n v="2005"/>
        <n v="2006"/>
        <n v="2007"/>
        <n v="2008"/>
        <n v="2009"/>
        <n v="2010"/>
        <n v="2011"/>
        <n v="2012"/>
        <n v="2013"/>
        <n v="2014"/>
        <n v="2015"/>
        <n v="2016"/>
        <n v="2017"/>
        <n v="2018"/>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uan Restrepo Montoya" refreshedDate="43551.771289351855" createdVersion="6" refreshedVersion="6" minRefreshableVersion="3" recordCount="15">
  <cacheSource type="worksheet">
    <worksheetSource name="IndicadoresEstrategicos"/>
  </cacheSource>
  <cacheFields count="31">
    <cacheField name="Orden" numFmtId="0">
      <sharedItems/>
    </cacheField>
    <cacheField name="INDICADOR FINANCIERO" numFmtId="0">
      <sharedItems/>
    </cacheField>
    <cacheField name="Tendencia" numFmtId="10">
      <sharedItems containsNonDate="0" containsString="0" containsBlank="1"/>
    </cacheField>
    <cacheField name="2013" numFmtId="0">
      <sharedItems containsSemiMixedTypes="0" containsString="0" containsNumber="1" minValue="-92311" maxValue="3432871"/>
    </cacheField>
    <cacheField name="2014" numFmtId="0">
      <sharedItems containsSemiMixedTypes="0" containsString="0" containsNumber="1" minValue="-134401" maxValue="3166508"/>
    </cacheField>
    <cacheField name="2015" numFmtId="0">
      <sharedItems containsSemiMixedTypes="0" containsString="0" containsNumber="1" minValue="-186628" maxValue="2869547"/>
    </cacheField>
    <cacheField name="2016" numFmtId="0">
      <sharedItems containsSemiMixedTypes="0" containsString="0" containsNumber="1" minValue="-187408" maxValue="2960858"/>
    </cacheField>
    <cacheField name="2017" numFmtId="0">
      <sharedItems containsSemiMixedTypes="0" containsString="0" containsNumber="1" minValue="-68878" maxValue="2895399"/>
    </cacheField>
    <cacheField name="2018" numFmtId="0">
      <sharedItems containsSemiMixedTypes="0" containsString="0" containsNumber="1" minValue="-32212" maxValue="2690179"/>
    </cacheField>
    <cacheField name="2019" numFmtId="0">
      <sharedItems containsSemiMixedTypes="0" containsString="0" containsNumber="1" minValue="-44914.386591802584" maxValue="2653933.5664300588"/>
    </cacheField>
    <cacheField name="2020" numFmtId="0">
      <sharedItems containsSemiMixedTypes="0" containsString="0" containsNumber="1" minValue="-53092.90866269343" maxValue="2565339.2489266815"/>
    </cacheField>
    <cacheField name="2021" numFmtId="0">
      <sharedItems containsSemiMixedTypes="0" containsString="0" containsNumber="1" minValue="-46137.573475246136" maxValue="2502349.0658104895"/>
    </cacheField>
    <cacheField name="2022" numFmtId="0">
      <sharedItems containsSemiMixedTypes="0" containsString="0" containsNumber="1" minValue="-47003.233273414982" maxValue="2430869.6473678388"/>
    </cacheField>
    <cacheField name="2023" numFmtId="0">
      <sharedItems containsSemiMixedTypes="0" containsString="0" containsNumber="1" minValue="-49495.169360580505" maxValue="2362210.725561745"/>
    </cacheField>
    <cacheField name="Variación 2013vs2014" numFmtId="0">
      <sharedItems containsSemiMixedTypes="0" containsString="0" containsNumber="1" minValue="-266363" maxValue="2.5181077338721443E-2"/>
    </cacheField>
    <cacheField name="Variación 2014vs2015" numFmtId="0">
      <sharedItems containsSemiMixedTypes="0" containsString="0" containsNumber="1" minValue="-296961" maxValue="5.2851422455256883E-2"/>
    </cacheField>
    <cacheField name="Variación 2015vs2016" numFmtId="0">
      <sharedItems containsSemiMixedTypes="0" containsString="0" containsNumber="1" minValue="-37676" maxValue="91311"/>
    </cacheField>
    <cacheField name="Variación 2016vs2017" numFmtId="0">
      <sharedItems containsSemiMixedTypes="0" containsString="0" containsNumber="1" minValue="-109542" maxValue="118530"/>
    </cacheField>
    <cacheField name="Variación 2017vs2018" numFmtId="0">
      <sharedItems containsSemiMixedTypes="0" containsString="0" containsNumber="1" minValue="-205220" maxValue="65928"/>
    </cacheField>
    <cacheField name="% Var. 2013 vs 2014" numFmtId="166">
      <sharedItems containsSemiMixedTypes="0" containsString="0" containsNumber="1" minValue="-0.59464662544889113" maxValue="0.47740579505946013"/>
    </cacheField>
    <cacheField name="% Var. 2014 vs 2015" numFmtId="166">
      <sharedItems containsSemiMixedTypes="0" containsString="0" containsNumber="1" minValue="-2.7426628166353999" maxValue="0.67821948365567297"/>
    </cacheField>
    <cacheField name="% Var. 2015 vs 2016" numFmtId="166">
      <sharedItems containsSemiMixedTypes="0" containsString="0" containsNumber="1" minValue="-0.42483310984484446" maxValue="1.1312708019968918"/>
    </cacheField>
    <cacheField name="% Var. 2016 vs 2017" numFmtId="166">
      <sharedItems containsSemiMixedTypes="0" containsString="0" containsNumber="1" minValue="-0.68498181148498571" maxValue="0.83328575540337946"/>
    </cacheField>
    <cacheField name="% Var. 2017 vs 2018" numFmtId="166">
      <sharedItems containsSemiMixedTypes="0" containsString="0" containsNumber="1" minValue="-0.95717064955428444" maxValue="0.4714307315394366"/>
    </cacheField>
    <cacheField name="% Var. 2018 vs 2019" numFmtId="166">
      <sharedItems containsSemiMixedTypes="0" containsString="0" containsNumber="1" minValue="-0.27722628770376034" maxValue="15.549147601990637"/>
    </cacheField>
    <cacheField name="% Var. 2019 vs 2020" numFmtId="166">
      <sharedItems containsSemiMixedTypes="0" containsString="0" containsNumber="1" minValue="-0.30821234137419951" maxValue="0.37700723922944901"/>
    </cacheField>
    <cacheField name="% Var. 2020 vs 2021" numFmtId="166">
      <sharedItems containsSemiMixedTypes="0" containsString="0" containsNumber="1" minValue="-0.41128608044704351" maxValue="0.89910137941036683"/>
    </cacheField>
    <cacheField name="% Var. 2021 vs 2022" numFmtId="166">
      <sharedItems containsSemiMixedTypes="0" containsString="0" containsNumber="1" minValue="-4.3770092415769568E-2" maxValue="6.7490763737628745E-2"/>
    </cacheField>
    <cacheField name="% Var. 2022 vs 2023" numFmtId="166">
      <sharedItems containsSemiMixedTypes="0" containsString="0" containsNumber="1" minValue="-2.8244592169077487E-2" maxValue="0.22801502852334887"/>
    </cacheField>
    <cacheField name="Tendencia Variación" numFmtId="10">
      <sharedItems containsNonDate="0" containsString="0" containsBlank="1"/>
    </cacheField>
    <cacheField name="Formula Descriptiva" numFmtId="10">
      <sharedItems containsBlank="1" longText="1"/>
    </cacheField>
  </cacheFields>
  <extLst>
    <ext xmlns:x14="http://schemas.microsoft.com/office/spreadsheetml/2009/9/main" uri="{725AE2AE-9491-48be-B2B4-4EB974FC3084}">
      <x14:pivotCacheDefinition pivotCacheId="1539515825"/>
    </ext>
  </extLst>
</pivotCacheDefinition>
</file>

<file path=xl/pivotCache/pivotCacheDefinition7.xml><?xml version="1.0" encoding="utf-8"?>
<pivotCacheDefinition xmlns="http://schemas.openxmlformats.org/spreadsheetml/2006/main" xmlns:r="http://schemas.openxmlformats.org/officeDocument/2006/relationships" r:id="rId1" refreshedBy="Juan Restrepo Montoya" refreshedDate="43551.813498611111" createdVersion="6" refreshedVersion="6" minRefreshableVersion="3" recordCount="130">
  <cacheSource type="worksheet">
    <worksheetSource name="IndicadoresEstrategicos_2"/>
  </cacheSource>
  <cacheFields count="5">
    <cacheField name="Orden" numFmtId="0">
      <sharedItems/>
    </cacheField>
    <cacheField name="INDICADOR FINANCIERO" numFmtId="0">
      <sharedItems count="13">
        <s v="EBITDA"/>
        <s v="Margen Ebitda"/>
        <s v="KTNO"/>
        <s v="PKT"/>
        <s v="Gastos Financieros"/>
        <s v="Deuda Financiera"/>
        <s v="Endeudamiento"/>
        <s v="UODI - NOPLAT"/>
        <s v="Activo de operación inicial"/>
        <s v="Rentabilidad del activo neto"/>
        <s v="ROIC"/>
        <s v="ROE"/>
        <s v="ROA"/>
      </sharedItems>
    </cacheField>
    <cacheField name="Variacion" numFmtId="0">
      <sharedItems count="10">
        <s v="Variación 2013vs2014"/>
        <s v="Variación 2014vs2015"/>
        <s v="Variación 2015vs2016"/>
        <s v="Variación 2016vs2017"/>
        <s v="% Var. 2017 vs 2018"/>
        <s v="% Var. 2013 vs 2014"/>
        <s v="% Var. 2014 vs 2015"/>
        <s v="% Var. 2015 vs 2016"/>
        <s v="% Var. 2016 vs 2017"/>
        <s v="Variación 2017vs2018"/>
      </sharedItems>
    </cacheField>
    <cacheField name="Value" numFmtId="0">
      <sharedItems containsSemiMixedTypes="0" containsString="0" containsNumber="1" minValue="-296961" maxValue="91311"/>
    </cacheField>
    <cacheField name="Tipo Variacion" numFmtId="0">
      <sharedItems count="2">
        <s v="Absoluta"/>
        <s v="Relativa"/>
      </sharedItems>
    </cacheField>
  </cacheFields>
  <extLst>
    <ext xmlns:x14="http://schemas.microsoft.com/office/spreadsheetml/2009/9/main" uri="{725AE2AE-9491-48be-B2B4-4EB974FC3084}">
      <x14:pivotCacheDefinition pivotCacheId="402579389"/>
    </ext>
  </extLst>
</pivotCacheDefinition>
</file>

<file path=xl/pivotCache/pivotCacheDefinition8.xml><?xml version="1.0" encoding="utf-8"?>
<pivotCacheDefinition xmlns="http://schemas.openxmlformats.org/spreadsheetml/2006/main" xmlns:r="http://schemas.openxmlformats.org/officeDocument/2006/relationships" r:id="rId1" refreshedBy="Juan Restrepo" refreshedDate="43557.880747337964" createdVersion="6" refreshedVersion="6" minRefreshableVersion="3" recordCount="27">
  <cacheSource type="worksheet">
    <worksheetSource ref="A46:H73" sheet="Analisis Produccion Vs Ventas"/>
  </cacheSource>
  <cacheFields count="8">
    <cacheField name="Pais" numFmtId="0">
      <sharedItems count="7">
        <s v="Colombia"/>
        <s v="Costa Rica"/>
        <s v="Guatemala"/>
        <s v="Resto CLH"/>
        <s v="Nicaragua"/>
        <s v="Panamá"/>
        <s v="Salvador"/>
      </sharedItems>
    </cacheField>
    <cacheField name="Concepto" numFmtId="0">
      <sharedItems count="5">
        <s v="PIB"/>
        <s v="PIB SECTOR"/>
        <s v="IPC"/>
        <s v="Variacion Tasa Cambio"/>
        <s v="Ventas"/>
      </sharedItems>
    </cacheField>
    <cacheField name="2013" numFmtId="0">
      <sharedItems containsString="0" containsBlank="1" containsNumber="1" minValue="-0.14610000000000001" maxValue="1025201" count="24">
        <n v="5.8999999999999997E-2"/>
        <n v="5.3999999999999999E-2"/>
        <n v="1.9400000000000001E-2"/>
        <n v="8.9700000000000002E-2"/>
        <n v="1025201"/>
        <n v="2.3E-2"/>
        <n v="-9.5000000000000001E-2"/>
        <n v="3.6799999999999999E-2"/>
        <n v="-1.2699999999999999E-2"/>
        <n v="154819"/>
        <n v="3.1E-2"/>
        <n v="5.0999999999999997E-2"/>
        <n v="4.3900000000000002E-2"/>
        <n v="259981"/>
        <n v="4.9000000000000002E-2"/>
        <n v="-0.14610000000000001"/>
        <n v="5.67E-2"/>
        <n v="8.4000000000000005E-2"/>
        <m/>
        <n v="3.6999999999999998E-2"/>
        <n v="310115"/>
        <n v="2.9000000000000001E-2"/>
        <n v="8.8999999999999996E-2"/>
        <n v="7.9000000000000008E-3"/>
      </sharedItems>
    </cacheField>
    <cacheField name="2014" numFmtId="0">
      <sharedItems containsSemiMixedTypes="0" containsString="0" containsNumber="1" minValue="-0.152" maxValue="993323"/>
    </cacheField>
    <cacheField name="2015" numFmtId="0">
      <sharedItems containsSemiMixedTypes="0" containsString="0" containsNumber="1" minValue="-8.0999999999999996E-3" maxValue="724709"/>
    </cacheField>
    <cacheField name="2016" numFmtId="0">
      <sharedItems containsSemiMixedTypes="0" containsString="0" containsNumber="1" minValue="-5.0900000000000001E-2" maxValue="665072"/>
    </cacheField>
    <cacheField name="2017" numFmtId="0">
      <sharedItems containsSemiMixedTypes="0" containsString="0" containsNumber="1" minValue="-5.5E-2" maxValue="565645"/>
    </cacheField>
    <cacheField name="2018" numFmtId="0">
      <sharedItems containsString="0" containsBlank="1" containsNumber="1" minValue="-7.7700000000000005E-2" maxValue="52433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Juan Restrepo Montoya" refreshedDate="43568.538540393522" createdVersion="6" refreshedVersion="6" minRefreshableVersion="3" recordCount="21">
  <cacheSource type="worksheet">
    <worksheetSource ref="A3:D24" sheet="Accionistas"/>
  </cacheSource>
  <cacheFields count="4">
    <cacheField name="TIPO" numFmtId="0">
      <sharedItems containsBlank="1" count="4">
        <s v="CEMEX ESPAÑA S.A."/>
        <s v="Fondo Pensiones Y Cesantias Colombianas"/>
        <s v="Otros"/>
        <m u="1"/>
      </sharedItems>
    </cacheField>
    <cacheField name="Accionistas" numFmtId="0">
      <sharedItems/>
    </cacheField>
    <cacheField name="Numero de acciones poseidas" numFmtId="41">
      <sharedItems containsSemiMixedTypes="0" containsString="0" containsNumber="1" containsInteger="1" minValue="1329266" maxValue="407890342"/>
    </cacheField>
    <cacheField name="% Particiación" numFmtId="10">
      <sharedItems containsSemiMixedTypes="0" containsString="0" containsNumber="1" minValue="2.3999999999999998E-3" maxValue="0.7321999999999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0">
  <r>
    <x v="0"/>
    <x v="0"/>
    <n v="591.5"/>
    <n v="593.79999999999995"/>
    <n v="582"/>
    <n v="1E-4"/>
    <x v="0"/>
  </r>
  <r>
    <x v="1"/>
    <x v="1"/>
    <n v="592.92999999999995"/>
    <n v="592.92999999999995"/>
    <n v="592.92999999999995"/>
    <n v="-2.0000000000000001E-4"/>
    <x v="0"/>
  </r>
  <r>
    <x v="2"/>
    <x v="2"/>
    <n v="591.83000000000004"/>
    <n v="595.14"/>
    <n v="589.91999999999996"/>
    <n v="0"/>
    <x v="0"/>
  </r>
  <r>
    <x v="3"/>
    <x v="2"/>
    <n v="592.41999999999996"/>
    <n v="593.33000000000004"/>
    <n v="589.91999999999996"/>
    <n v="-4.1000000000000003E-3"/>
    <x v="0"/>
  </r>
  <r>
    <x v="4"/>
    <x v="3"/>
    <n v="593.70000000000005"/>
    <n v="595.51"/>
    <n v="590.20000000000005"/>
    <n v="3.0000000000000001E-3"/>
    <x v="0"/>
  </r>
  <r>
    <x v="5"/>
    <x v="4"/>
    <n v="594.25"/>
    <n v="594.25"/>
    <n v="590.25"/>
    <n v="-4.0000000000000002E-4"/>
    <x v="0"/>
  </r>
  <r>
    <x v="6"/>
    <x v="5"/>
    <n v="592.70000000000005"/>
    <n v="594"/>
    <n v="591"/>
    <n v="0"/>
    <x v="0"/>
  </r>
  <r>
    <x v="7"/>
    <x v="6"/>
    <n v="593.98"/>
    <n v="593.98"/>
    <n v="593.98"/>
    <n v="0"/>
    <x v="0"/>
  </r>
  <r>
    <x v="8"/>
    <x v="5"/>
    <n v="594.35"/>
    <n v="594.35"/>
    <n v="590.4"/>
    <n v="-2.9999999999999997E-4"/>
    <x v="0"/>
  </r>
  <r>
    <x v="9"/>
    <x v="7"/>
    <n v="592.02"/>
    <n v="594.16999999999996"/>
    <n v="581.62"/>
    <n v="3.5000000000000001E-3"/>
    <x v="0"/>
  </r>
  <r>
    <x v="10"/>
    <x v="8"/>
    <n v="590.75"/>
    <n v="592.1"/>
    <n v="586.5"/>
    <n v="2.8E-3"/>
    <x v="0"/>
  </r>
  <r>
    <x v="11"/>
    <x v="9"/>
    <n v="587.52"/>
    <n v="590.41999999999996"/>
    <n v="577.16999999999996"/>
    <n v="7.3000000000000001E-3"/>
    <x v="0"/>
  </r>
  <r>
    <x v="12"/>
    <x v="10"/>
    <n v="587.08000000000004"/>
    <n v="590.02"/>
    <n v="586.16999999999996"/>
    <n v="6.3E-3"/>
    <x v="0"/>
  </r>
  <r>
    <x v="13"/>
    <x v="11"/>
    <n v="582.49"/>
    <n v="582.49"/>
    <n v="582.49"/>
    <n v="-7.1000000000000004E-3"/>
    <x v="0"/>
  </r>
  <r>
    <x v="14"/>
    <x v="12"/>
    <n v="581.11"/>
    <n v="588.59"/>
    <n v="581.08000000000004"/>
    <n v="1.1000000000000001E-3"/>
    <x v="0"/>
  </r>
  <r>
    <x v="15"/>
    <x v="13"/>
    <n v="587"/>
    <n v="591.34"/>
    <n v="584.02"/>
    <n v="6.0000000000000001E-3"/>
    <x v="0"/>
  </r>
  <r>
    <x v="16"/>
    <x v="14"/>
    <n v="582.45000000000005"/>
    <n v="583"/>
    <n v="572.5"/>
    <n v="0"/>
    <x v="0"/>
  </r>
  <r>
    <x v="17"/>
    <x v="15"/>
    <n v="581.91999999999996"/>
    <n v="582.48"/>
    <n v="573.52"/>
    <n v="5.0000000000000001E-4"/>
    <x v="0"/>
  </r>
  <r>
    <x v="18"/>
    <x v="16"/>
    <n v="578"/>
    <n v="582.20000000000005"/>
    <n v="578"/>
    <n v="5.1000000000000004E-3"/>
    <x v="0"/>
  </r>
  <r>
    <x v="19"/>
    <x v="17"/>
    <n v="579.26"/>
    <n v="579.26"/>
    <n v="579.26"/>
    <n v="2.9999999999999997E-4"/>
    <x v="0"/>
  </r>
  <r>
    <x v="20"/>
    <x v="18"/>
    <n v="579.1"/>
    <n v="585.09"/>
    <n v="574.9"/>
    <n v="1.6999999999999999E-3"/>
    <x v="0"/>
  </r>
  <r>
    <x v="21"/>
    <x v="19"/>
    <n v="580.27"/>
    <n v="584.5"/>
    <n v="576.08000000000004"/>
    <n v="0"/>
    <x v="0"/>
  </r>
  <r>
    <x v="22"/>
    <x v="20"/>
    <n v="580.83000000000004"/>
    <n v="582.75"/>
    <n v="576.08000000000004"/>
    <n v="-2.2000000000000001E-3"/>
    <x v="0"/>
  </r>
  <r>
    <x v="23"/>
    <x v="21"/>
    <n v="578.38"/>
    <n v="579.38"/>
    <n v="573.62"/>
    <n v="8.9999999999999998E-4"/>
    <x v="0"/>
  </r>
  <r>
    <x v="24"/>
    <x v="22"/>
    <n v="579.16999999999996"/>
    <n v="581.79"/>
    <n v="575.12"/>
    <n v="8.0000000000000004E-4"/>
    <x v="0"/>
  </r>
  <r>
    <x v="25"/>
    <x v="23"/>
    <n v="578.41999999999996"/>
    <n v="578.41999999999996"/>
    <n v="578.41999999999996"/>
    <n v="-1E-3"/>
    <x v="0"/>
  </r>
  <r>
    <x v="26"/>
    <x v="24"/>
    <n v="578.58000000000004"/>
    <n v="581.64"/>
    <n v="575.98"/>
    <n v="2.8E-3"/>
    <x v="0"/>
  </r>
  <r>
    <x v="27"/>
    <x v="25"/>
    <n v="579.73"/>
    <n v="582.04"/>
    <n v="576.08000000000004"/>
    <n v="-2.5000000000000001E-3"/>
    <x v="0"/>
  </r>
  <r>
    <x v="28"/>
    <x v="26"/>
    <n v="578.38"/>
    <n v="580.75"/>
    <n v="575.16999999999996"/>
    <n v="4.0000000000000002E-4"/>
    <x v="0"/>
  </r>
  <r>
    <x v="29"/>
    <x v="27"/>
    <n v="577.35"/>
    <n v="580.87"/>
    <n v="575.4"/>
    <n v="1.1000000000000001E-3"/>
    <x v="0"/>
  </r>
  <r>
    <x v="30"/>
    <x v="28"/>
    <n v="579.91999999999996"/>
    <n v="581.45000000000005"/>
    <n v="575.52"/>
    <n v="-4.0000000000000001E-3"/>
    <x v="0"/>
  </r>
  <r>
    <x v="31"/>
    <x v="29"/>
    <n v="580.28"/>
    <n v="580.28"/>
    <n v="580.28"/>
    <n v="4.7999999999999996E-3"/>
    <x v="0"/>
  </r>
  <r>
    <x v="32"/>
    <x v="30"/>
    <n v="580.58000000000004"/>
    <n v="580.58000000000004"/>
    <n v="569.4"/>
    <n v="-4.7000000000000002E-3"/>
    <x v="0"/>
  </r>
  <r>
    <x v="33"/>
    <x v="31"/>
    <n v="578.52"/>
    <n v="580.69000000000005"/>
    <n v="576.75"/>
    <n v="2.3999999999999998E-3"/>
    <x v="0"/>
  </r>
  <r>
    <x v="34"/>
    <x v="32"/>
    <n v="579.77"/>
    <n v="582.33000000000004"/>
    <n v="578.08000000000004"/>
    <n v="-1.6000000000000001E-3"/>
    <x v="0"/>
  </r>
  <r>
    <x v="35"/>
    <x v="33"/>
    <n v="583.58000000000004"/>
    <n v="583.58000000000004"/>
    <n v="579.08000000000004"/>
    <n v="-4.5999999999999999E-3"/>
    <x v="0"/>
  </r>
  <r>
    <x v="36"/>
    <x v="34"/>
    <n v="584.52"/>
    <n v="585.5"/>
    <n v="582.08000000000004"/>
    <n v="-4.1999999999999997E-3"/>
    <x v="0"/>
  </r>
  <r>
    <x v="37"/>
    <x v="35"/>
    <n v="584.91999999999996"/>
    <n v="584.91999999999996"/>
    <n v="584.91999999999996"/>
    <n v="3.5999999999999999E-3"/>
    <x v="0"/>
  </r>
  <r>
    <x v="38"/>
    <x v="36"/>
    <n v="585.54999999999995"/>
    <n v="585.54999999999995"/>
    <n v="580.29999999999995"/>
    <n v="-2.7000000000000001E-3"/>
    <x v="0"/>
  </r>
  <r>
    <x v="39"/>
    <x v="37"/>
    <n v="581.98"/>
    <n v="584.38"/>
    <n v="576.91999999999996"/>
    <n v="3.5000000000000001E-3"/>
    <x v="0"/>
  </r>
  <r>
    <x v="40"/>
    <x v="38"/>
    <n v="579.75"/>
    <n v="588.41"/>
    <n v="574.4"/>
    <n v="3.0000000000000001E-3"/>
    <x v="0"/>
  </r>
  <r>
    <x v="41"/>
    <x v="39"/>
    <n v="577.33000000000004"/>
    <n v="585.14"/>
    <n v="567.71"/>
    <n v="6.3E-3"/>
    <x v="0"/>
  </r>
  <r>
    <x v="42"/>
    <x v="40"/>
    <n v="573.38"/>
    <n v="576.98"/>
    <n v="570.58000000000004"/>
    <n v="8.3999999999999995E-3"/>
    <x v="0"/>
  </r>
  <r>
    <x v="43"/>
    <x v="41"/>
    <n v="572.16"/>
    <n v="572.16"/>
    <n v="572.16"/>
    <n v="-2.5999999999999999E-3"/>
    <x v="0"/>
  </r>
  <r>
    <x v="44"/>
    <x v="42"/>
    <n v="572.12"/>
    <n v="577.82000000000005"/>
    <n v="568.38"/>
    <n v="3.0999999999999999E-3"/>
    <x v="0"/>
  </r>
  <r>
    <x v="45"/>
    <x v="43"/>
    <n v="570.1"/>
    <n v="577.16999999999996"/>
    <n v="567.15"/>
    <n v="3.3E-3"/>
    <x v="0"/>
  </r>
  <r>
    <x v="46"/>
    <x v="44"/>
    <n v="569"/>
    <n v="573.67999999999995"/>
    <n v="566.9"/>
    <n v="1.8E-3"/>
    <x v="0"/>
  </r>
  <r>
    <x v="47"/>
    <x v="45"/>
    <n v="569"/>
    <n v="572.48"/>
    <n v="566"/>
    <n v="0"/>
    <x v="0"/>
  </r>
  <r>
    <x v="48"/>
    <x v="45"/>
    <n v="568.9"/>
    <n v="572.19000000000005"/>
    <n v="566.25"/>
    <n v="4.8999999999999998E-3"/>
    <x v="0"/>
  </r>
  <r>
    <x v="49"/>
    <x v="46"/>
    <n v="566.23"/>
    <n v="566.23"/>
    <n v="566.23"/>
    <n v="-4.7000000000000002E-3"/>
    <x v="0"/>
  </r>
  <r>
    <x v="50"/>
    <x v="47"/>
    <n v="564.88"/>
    <n v="570.65"/>
    <n v="564.83000000000004"/>
    <n v="1E-3"/>
    <x v="0"/>
  </r>
  <r>
    <x v="51"/>
    <x v="48"/>
    <n v="568.29999999999995"/>
    <n v="571.03"/>
    <n v="565.20000000000005"/>
    <n v="2.9999999999999997E-4"/>
    <x v="0"/>
  </r>
  <r>
    <x v="52"/>
    <x v="49"/>
    <n v="567.98"/>
    <n v="570.86"/>
    <n v="564.23"/>
    <n v="2.9999999999999997E-4"/>
    <x v="0"/>
  </r>
  <r>
    <x v="53"/>
    <x v="50"/>
    <n v="567.33000000000004"/>
    <n v="567.98"/>
    <n v="564.52"/>
    <n v="8.0000000000000004E-4"/>
    <x v="0"/>
  </r>
  <r>
    <x v="54"/>
    <x v="51"/>
    <n v="565.52"/>
    <n v="570.38"/>
    <n v="564.45000000000005"/>
    <n v="5.9999999999999995E-4"/>
    <x v="0"/>
  </r>
  <r>
    <x v="55"/>
    <x v="52"/>
    <n v="567.21"/>
    <n v="567.21"/>
    <n v="567.21"/>
    <n v="-1.6999999999999999E-3"/>
    <x v="0"/>
  </r>
  <r>
    <x v="56"/>
    <x v="53"/>
    <n v="569.82000000000005"/>
    <n v="571.70000000000005"/>
    <n v="567.78"/>
    <n v="1.1999999999999999E-3"/>
    <x v="0"/>
  </r>
  <r>
    <x v="57"/>
    <x v="54"/>
    <n v="567.41999999999996"/>
    <n v="569.15"/>
    <n v="564.52"/>
    <n v="1E-4"/>
    <x v="0"/>
  </r>
  <r>
    <x v="58"/>
    <x v="55"/>
    <n v="566.02"/>
    <n v="567.45000000000005"/>
    <n v="565.54999999999995"/>
    <n v="0"/>
    <x v="0"/>
  </r>
  <r>
    <x v="59"/>
    <x v="55"/>
    <n v="567.25"/>
    <n v="567.5"/>
    <n v="565.54999999999995"/>
    <n v="2.0000000000000001E-4"/>
    <x v="0"/>
  </r>
  <r>
    <x v="60"/>
    <x v="56"/>
    <n v="567.35"/>
    <n v="567.45000000000005"/>
    <n v="564.65"/>
    <n v="0"/>
    <x v="0"/>
  </r>
  <r>
    <x v="61"/>
    <x v="57"/>
    <n v="567.36"/>
    <n v="567.36"/>
    <n v="567.36"/>
    <n v="0"/>
    <x v="0"/>
  </r>
  <r>
    <x v="62"/>
    <x v="56"/>
    <n v="567.5"/>
    <n v="569.28"/>
    <n v="563.65"/>
    <n v="-1E-4"/>
    <x v="0"/>
  </r>
  <r>
    <x v="63"/>
    <x v="58"/>
    <n v="567.08000000000004"/>
    <n v="569"/>
    <n v="564.58000000000004"/>
    <n v="2.9999999999999997E-4"/>
    <x v="0"/>
  </r>
  <r>
    <x v="64"/>
    <x v="59"/>
    <n v="567.65"/>
    <n v="569.42999999999995"/>
    <n v="563.75"/>
    <n v="-4.0000000000000002E-4"/>
    <x v="0"/>
  </r>
  <r>
    <x v="65"/>
    <x v="55"/>
    <n v="567.25"/>
    <n v="569.17999999999995"/>
    <n v="562.54999999999995"/>
    <n v="2.0000000000000001E-4"/>
    <x v="0"/>
  </r>
  <r>
    <x v="66"/>
    <x v="60"/>
    <n v="567.41999999999996"/>
    <n v="569.5"/>
    <n v="563.62"/>
    <n v="2.9999999999999997E-4"/>
    <x v="0"/>
  </r>
  <r>
    <x v="67"/>
    <x v="61"/>
    <n v="567.16999999999996"/>
    <n v="567.16999999999996"/>
    <n v="567.16999999999996"/>
    <n v="-4.0000000000000002E-4"/>
    <x v="0"/>
  </r>
  <r>
    <x v="68"/>
    <x v="62"/>
    <n v="567.52"/>
    <n v="569.46"/>
    <n v="563.58000000000004"/>
    <n v="-1E-4"/>
    <x v="0"/>
  </r>
  <r>
    <x v="69"/>
    <x v="55"/>
    <n v="567.45000000000005"/>
    <n v="567.45000000000005"/>
    <n v="563.5"/>
    <n v="0"/>
    <x v="0"/>
  </r>
  <r>
    <x v="70"/>
    <x v="55"/>
    <n v="567"/>
    <n v="569.38"/>
    <n v="563.5"/>
    <n v="5.0000000000000001E-4"/>
    <x v="0"/>
  </r>
  <r>
    <x v="71"/>
    <x v="61"/>
    <n v="567.08000000000004"/>
    <n v="567.16999999999996"/>
    <n v="563.66999999999996"/>
    <n v="0"/>
    <x v="0"/>
  </r>
  <r>
    <x v="72"/>
    <x v="63"/>
    <n v="566.70000000000005"/>
    <n v="568.64"/>
    <n v="563.75"/>
    <n v="-1E-4"/>
    <x v="0"/>
  </r>
  <r>
    <x v="73"/>
    <x v="64"/>
    <n v="567.22"/>
    <n v="567.22"/>
    <n v="567.22"/>
    <n v="5.0000000000000001E-4"/>
    <x v="0"/>
  </r>
  <r>
    <x v="74"/>
    <x v="65"/>
    <n v="567.29999999999995"/>
    <n v="568.33000000000004"/>
    <n v="565.62"/>
    <n v="-4.0000000000000002E-4"/>
    <x v="0"/>
  </r>
  <r>
    <x v="75"/>
    <x v="63"/>
    <n v="567.85"/>
    <n v="568.38"/>
    <n v="565.65"/>
    <n v="-5.9999999999999995E-4"/>
    <x v="0"/>
  </r>
  <r>
    <x v="76"/>
    <x v="66"/>
    <n v="567.5"/>
    <n v="567.83000000000004"/>
    <n v="565.4"/>
    <n v="0"/>
    <x v="0"/>
  </r>
  <r>
    <x v="77"/>
    <x v="66"/>
    <n v="567.54999999999995"/>
    <n v="568.42999999999995"/>
    <n v="565.09"/>
    <n v="0"/>
    <x v="0"/>
  </r>
  <r>
    <x v="78"/>
    <x v="67"/>
    <n v="566.48"/>
    <n v="567.79999999999995"/>
    <n v="565.52"/>
    <n v="7.1999999999999998E-3"/>
    <x v="0"/>
  </r>
  <r>
    <x v="79"/>
    <x v="68"/>
    <n v="563.46"/>
    <n v="563.46"/>
    <n v="563.46"/>
    <n v="-6.3E-3"/>
    <x v="0"/>
  </r>
  <r>
    <x v="80"/>
    <x v="69"/>
    <n v="567.65"/>
    <n v="567.65"/>
    <n v="563"/>
    <n v="-5.9999999999999995E-4"/>
    <x v="0"/>
  </r>
  <r>
    <x v="81"/>
    <x v="60"/>
    <n v="567.02"/>
    <n v="567.33000000000004"/>
    <n v="564.66999999999996"/>
    <n v="2.9999999999999997E-4"/>
    <x v="0"/>
  </r>
  <r>
    <x v="82"/>
    <x v="61"/>
    <n v="566.73"/>
    <n v="567.38"/>
    <n v="563.83000000000004"/>
    <n v="4.0000000000000002E-4"/>
    <x v="0"/>
  </r>
  <r>
    <x v="83"/>
    <x v="65"/>
    <n v="566.75"/>
    <n v="567.6"/>
    <n v="564.04999999999995"/>
    <n v="2.0000000000000001E-4"/>
    <x v="0"/>
  </r>
  <r>
    <x v="84"/>
    <x v="70"/>
    <n v="566.45000000000005"/>
    <n v="567"/>
    <n v="564.15"/>
    <n v="-4.0000000000000002E-4"/>
    <x v="0"/>
  </r>
  <r>
    <x v="85"/>
    <x v="71"/>
    <n v="567.05999999999995"/>
    <n v="567.05999999999995"/>
    <n v="567.05999999999995"/>
    <n v="2.0000000000000001E-4"/>
    <x v="0"/>
  </r>
  <r>
    <x v="86"/>
    <x v="72"/>
    <n v="567.58000000000004"/>
    <n v="568.4"/>
    <n v="566.08000000000004"/>
    <n v="-5.9999999999999995E-4"/>
    <x v="0"/>
  </r>
  <r>
    <x v="87"/>
    <x v="59"/>
    <n v="567.20000000000005"/>
    <n v="569.08000000000004"/>
    <n v="563.75"/>
    <n v="0"/>
    <x v="0"/>
  </r>
  <r>
    <x v="88"/>
    <x v="73"/>
    <n v="567.33000000000004"/>
    <n v="568.91"/>
    <n v="563.77"/>
    <n v="1E-3"/>
    <x v="0"/>
  </r>
  <r>
    <x v="89"/>
    <x v="74"/>
    <n v="569.02"/>
    <n v="570.4"/>
    <n v="565.08000000000004"/>
    <n v="-1.4E-3"/>
    <x v="0"/>
  </r>
  <r>
    <x v="90"/>
    <x v="54"/>
    <n v="566.61"/>
    <n v="568.99"/>
    <n v="562.52"/>
    <n v="4.3E-3"/>
    <x v="0"/>
  </r>
  <r>
    <x v="91"/>
    <x v="75"/>
    <n v="565.03"/>
    <n v="565.03"/>
    <n v="565.03"/>
    <n v="-4.1999999999999997E-3"/>
    <x v="0"/>
  </r>
  <r>
    <x v="92"/>
    <x v="76"/>
    <n v="567.25"/>
    <n v="569.13"/>
    <n v="564.6"/>
    <n v="1E-4"/>
    <x v="0"/>
  </r>
  <r>
    <x v="93"/>
    <x v="60"/>
    <n v="566.83000000000004"/>
    <n v="569.36"/>
    <n v="563.66999999999996"/>
    <n v="4.0000000000000002E-4"/>
    <x v="0"/>
  </r>
  <r>
    <x v="94"/>
    <x v="77"/>
    <n v="567.23"/>
    <n v="567.23"/>
    <n v="564.38"/>
    <n v="-1E-4"/>
    <x v="0"/>
  </r>
  <r>
    <x v="95"/>
    <x v="63"/>
    <n v="567.04999999999995"/>
    <n v="568.88"/>
    <n v="563.85"/>
    <n v="1E-4"/>
    <x v="0"/>
  </r>
  <r>
    <x v="96"/>
    <x v="78"/>
    <n v="567.20000000000005"/>
    <n v="569.08000000000004"/>
    <n v="565.34"/>
    <n v="-1E-4"/>
    <x v="0"/>
  </r>
  <r>
    <x v="97"/>
    <x v="79"/>
    <n v="567.14"/>
    <n v="567.14"/>
    <n v="567.14"/>
    <n v="0"/>
    <x v="0"/>
  </r>
  <r>
    <x v="98"/>
    <x v="63"/>
    <n v="567.9"/>
    <n v="568.28"/>
    <n v="565.85"/>
    <n v="-6.9999999999999999E-4"/>
    <x v="0"/>
  </r>
  <r>
    <x v="99"/>
    <x v="67"/>
    <n v="567.52"/>
    <n v="568.9"/>
    <n v="565.48"/>
    <n v="0"/>
    <x v="0"/>
  </r>
  <r>
    <x v="100"/>
    <x v="67"/>
    <n v="567.77"/>
    <n v="567.77"/>
    <n v="565.16999999999996"/>
    <n v="-2.0000000000000001E-4"/>
    <x v="0"/>
  </r>
  <r>
    <x v="101"/>
    <x v="80"/>
    <n v="567.1"/>
    <n v="567.65"/>
    <n v="563.35"/>
    <n v="5.0000000000000001E-4"/>
    <x v="0"/>
  </r>
  <r>
    <x v="102"/>
    <x v="62"/>
    <n v="565.62"/>
    <n v="567.38"/>
    <n v="565.41999999999996"/>
    <n v="2.0000000000000001E-4"/>
    <x v="0"/>
  </r>
  <r>
    <x v="103"/>
    <x v="81"/>
    <n v="567.26"/>
    <n v="567.26"/>
    <n v="567.26"/>
    <n v="1.2999999999999999E-3"/>
    <x v="0"/>
  </r>
  <r>
    <x v="104"/>
    <x v="82"/>
    <n v="568.15"/>
    <n v="570.23"/>
    <n v="564.5"/>
    <n v="-1.5E-3"/>
    <x v="0"/>
  </r>
  <r>
    <x v="105"/>
    <x v="60"/>
    <n v="566.98"/>
    <n v="569.11"/>
    <n v="562.66999999999996"/>
    <n v="2.9999999999999997E-4"/>
    <x v="0"/>
  </r>
  <r>
    <x v="106"/>
    <x v="63"/>
    <n v="567.15"/>
    <n v="569.28"/>
    <n v="564.85"/>
    <n v="0"/>
    <x v="0"/>
  </r>
  <r>
    <x v="107"/>
    <x v="63"/>
    <n v="567.29999999999995"/>
    <n v="568.78"/>
    <n v="565.85"/>
    <n v="-1E-4"/>
    <x v="0"/>
  </r>
  <r>
    <x v="108"/>
    <x v="73"/>
    <n v="567.27"/>
    <n v="569.21"/>
    <n v="566.33000000000004"/>
    <n v="-5.9999999999999995E-4"/>
    <x v="0"/>
  </r>
  <r>
    <x v="109"/>
    <x v="51"/>
    <n v="567.54999999999995"/>
    <n v="567.54999999999995"/>
    <n v="567.54999999999995"/>
    <n v="5.0000000000000001E-4"/>
    <x v="0"/>
  </r>
  <r>
    <x v="110"/>
    <x v="59"/>
    <n v="567.25"/>
    <n v="569.17999999999995"/>
    <n v="565.4"/>
    <n v="0"/>
    <x v="0"/>
  </r>
  <r>
    <x v="111"/>
    <x v="59"/>
    <n v="568.20000000000005"/>
    <n v="568.20000000000005"/>
    <n v="565.75"/>
    <n v="-8.0000000000000004E-4"/>
    <x v="0"/>
  </r>
  <r>
    <x v="112"/>
    <x v="83"/>
    <n v="567.73"/>
    <n v="568.71"/>
    <n v="563.27"/>
    <n v="0"/>
    <x v="0"/>
  </r>
  <r>
    <x v="113"/>
    <x v="83"/>
    <n v="567.77"/>
    <n v="568.70000000000005"/>
    <n v="564.27"/>
    <n v="0"/>
    <x v="0"/>
  </r>
  <r>
    <x v="114"/>
    <x v="84"/>
    <n v="565.75"/>
    <n v="567.75"/>
    <n v="565.5"/>
    <n v="4.4999999999999997E-3"/>
    <x v="0"/>
  </r>
  <r>
    <x v="115"/>
    <x v="85"/>
    <n v="565.21"/>
    <n v="565.21"/>
    <n v="565.21"/>
    <n v="-4.3E-3"/>
    <x v="0"/>
  </r>
  <r>
    <x v="116"/>
    <x v="80"/>
    <n v="567.1"/>
    <n v="569.54"/>
    <n v="565.35"/>
    <n v="5.0000000000000001E-4"/>
    <x v="0"/>
  </r>
  <r>
    <x v="117"/>
    <x v="62"/>
    <n v="567.38"/>
    <n v="569.36"/>
    <n v="562.62"/>
    <n v="2.8E-3"/>
    <x v="0"/>
  </r>
  <r>
    <x v="118"/>
    <x v="86"/>
    <n v="568.08000000000004"/>
    <n v="568.83000000000004"/>
    <n v="563.08000000000004"/>
    <n v="-2.0999999999999999E-3"/>
    <x v="0"/>
  </r>
  <r>
    <x v="119"/>
    <x v="69"/>
    <n v="567.25"/>
    <n v="569.63"/>
    <n v="564"/>
    <n v="-2.0000000000000001E-4"/>
    <x v="0"/>
  </r>
  <r>
    <x v="120"/>
    <x v="87"/>
    <n v="566.02"/>
    <n v="569.04999999999995"/>
    <n v="563.88"/>
    <n v="-2.3E-3"/>
    <x v="0"/>
  </r>
  <r>
    <x v="121"/>
    <x v="88"/>
    <n v="568.42999999999995"/>
    <n v="568.42999999999995"/>
    <n v="568.42999999999995"/>
    <n v="1.2999999999999999E-3"/>
    <x v="0"/>
  </r>
  <r>
    <x v="122"/>
    <x v="89"/>
    <n v="566.25"/>
    <n v="567.70000000000005"/>
    <n v="562.15"/>
    <n v="2.2000000000000001E-3"/>
    <x v="0"/>
  </r>
  <r>
    <x v="123"/>
    <x v="90"/>
    <n v="565.83000000000004"/>
    <n v="568.71"/>
    <n v="562.77"/>
    <n v="3.2000000000000002E-3"/>
    <x v="0"/>
  </r>
  <r>
    <x v="124"/>
    <x v="91"/>
    <n v="567.48"/>
    <n v="569"/>
    <n v="564.08000000000004"/>
    <n v="-3.0000000000000001E-3"/>
    <x v="0"/>
  </r>
  <r>
    <x v="125"/>
    <x v="92"/>
    <n v="567.30999999999995"/>
    <n v="569.74"/>
    <n v="563.80999999999995"/>
    <n v="1E-3"/>
    <x v="0"/>
  </r>
  <r>
    <x v="126"/>
    <x v="93"/>
    <n v="564.66999999999996"/>
    <n v="565.75"/>
    <n v="564.04999999999995"/>
    <n v="0"/>
    <x v="0"/>
  </r>
  <r>
    <x v="127"/>
    <x v="94"/>
    <n v="565.74"/>
    <n v="565.74"/>
    <n v="565.74"/>
    <n v="1.2999999999999999E-3"/>
    <x v="0"/>
  </r>
  <r>
    <x v="128"/>
    <x v="95"/>
    <n v="567.1"/>
    <n v="568.92999999999995"/>
    <n v="564"/>
    <n v="-1E-3"/>
    <x v="0"/>
  </r>
  <r>
    <x v="129"/>
    <x v="96"/>
    <n v="562.95000000000005"/>
    <n v="566.98"/>
    <n v="562.45000000000005"/>
    <n v="8.0000000000000004E-4"/>
    <x v="0"/>
  </r>
  <r>
    <x v="130"/>
    <x v="97"/>
    <n v="564.29"/>
    <n v="568.52"/>
    <n v="563.84"/>
    <n v="1.6999999999999999E-3"/>
    <x v="0"/>
  </r>
  <r>
    <x v="131"/>
    <x v="98"/>
    <n v="566.30999999999995"/>
    <n v="567.4"/>
    <n v="563.80999999999995"/>
    <n v="-1.9E-3"/>
    <x v="0"/>
  </r>
  <r>
    <x v="132"/>
    <x v="99"/>
    <n v="564.5"/>
    <n v="566.19000000000005"/>
    <n v="562.66999999999996"/>
    <n v="0"/>
    <x v="0"/>
  </r>
  <r>
    <x v="133"/>
    <x v="99"/>
    <n v="565.4"/>
    <n v="565.63"/>
    <n v="564.28"/>
    <n v="-1E-4"/>
    <x v="0"/>
  </r>
  <r>
    <x v="134"/>
    <x v="100"/>
    <n v="566.66999999999996"/>
    <n v="566.66999999999996"/>
    <n v="564.89"/>
    <n v="-1.1999999999999999E-3"/>
    <x v="0"/>
  </r>
  <r>
    <x v="135"/>
    <x v="101"/>
    <n v="564.22"/>
    <n v="566.34"/>
    <n v="563.67999999999995"/>
    <n v="1.1000000000000001E-3"/>
    <x v="0"/>
  </r>
  <r>
    <x v="136"/>
    <x v="102"/>
    <n v="566.45000000000005"/>
    <n v="568.4"/>
    <n v="565.14"/>
    <n v="-8.0000000000000004E-4"/>
    <x v="0"/>
  </r>
  <r>
    <x v="137"/>
    <x v="103"/>
    <n v="567.83000000000004"/>
    <n v="567.83000000000004"/>
    <n v="565.08000000000004"/>
    <n v="-1E-3"/>
    <x v="0"/>
  </r>
  <r>
    <x v="138"/>
    <x v="104"/>
    <n v="566.38"/>
    <n v="566.38"/>
    <n v="564.62"/>
    <n v="0"/>
    <x v="0"/>
  </r>
  <r>
    <x v="139"/>
    <x v="104"/>
    <n v="566.38"/>
    <n v="566.38"/>
    <n v="564.52"/>
    <n v="0"/>
    <x v="0"/>
  </r>
  <r>
    <x v="140"/>
    <x v="104"/>
    <n v="566.38"/>
    <n v="568.04999999999995"/>
    <n v="563.62"/>
    <n v="0"/>
    <x v="0"/>
  </r>
  <r>
    <x v="141"/>
    <x v="104"/>
    <n v="566.66999999999996"/>
    <n v="566.66999999999996"/>
    <n v="563.62"/>
    <n v="1E-3"/>
    <x v="0"/>
  </r>
  <r>
    <x v="142"/>
    <x v="103"/>
    <n v="567.33000000000004"/>
    <n v="569.5"/>
    <n v="564.58000000000004"/>
    <n v="-5.0000000000000001E-4"/>
    <x v="0"/>
  </r>
  <r>
    <x v="143"/>
    <x v="105"/>
    <n v="565.88"/>
    <n v="566.23"/>
    <n v="562.27"/>
    <n v="2.0000000000000001E-4"/>
    <x v="0"/>
  </r>
  <r>
    <x v="144"/>
    <x v="101"/>
    <n v="565.9"/>
    <n v="568.08000000000004"/>
    <n v="562"/>
    <n v="1E-4"/>
    <x v="0"/>
  </r>
  <r>
    <x v="145"/>
    <x v="106"/>
    <n v="564.79999999999995"/>
    <n v="565.95000000000005"/>
    <n v="564.04999999999995"/>
    <n v="1E-3"/>
    <x v="0"/>
  </r>
  <r>
    <x v="146"/>
    <x v="107"/>
    <n v="565.38"/>
    <n v="565.62"/>
    <n v="564.62"/>
    <n v="0"/>
    <x v="0"/>
  </r>
  <r>
    <x v="147"/>
    <x v="107"/>
    <n v="565.62"/>
    <n v="570.62"/>
    <n v="564.64"/>
    <n v="-2.0000000000000001E-4"/>
    <x v="0"/>
  </r>
  <r>
    <x v="148"/>
    <x v="108"/>
    <n v="565.45000000000005"/>
    <n v="566.22"/>
    <n v="563.69000000000005"/>
    <n v="0"/>
    <x v="0"/>
  </r>
  <r>
    <x v="149"/>
    <x v="109"/>
    <n v="565.23"/>
    <n v="565.48"/>
    <n v="562.52"/>
    <n v="2.0000000000000001E-4"/>
    <x v="0"/>
  </r>
  <r>
    <x v="150"/>
    <x v="110"/>
    <n v="565.5"/>
    <n v="565.5"/>
    <n v="562.65"/>
    <n v="-1E-4"/>
    <x v="0"/>
  </r>
  <r>
    <x v="151"/>
    <x v="111"/>
    <n v="565.73"/>
    <n v="565.73"/>
    <n v="561.58000000000004"/>
    <n v="-2.9999999999999997E-4"/>
    <x v="0"/>
  </r>
  <r>
    <x v="152"/>
    <x v="112"/>
    <n v="564.91999999999996"/>
    <n v="566.86"/>
    <n v="563.41999999999996"/>
    <n v="5.9999999999999995E-4"/>
    <x v="0"/>
  </r>
  <r>
    <x v="153"/>
    <x v="99"/>
    <n v="563.35"/>
    <n v="565.25"/>
    <n v="563.29999999999995"/>
    <n v="1E-4"/>
    <x v="0"/>
  </r>
  <r>
    <x v="154"/>
    <x v="113"/>
    <n v="565"/>
    <n v="567.04"/>
    <n v="562.79999999999995"/>
    <n v="2.0000000000000001E-4"/>
    <x v="0"/>
  </r>
  <r>
    <x v="155"/>
    <x v="114"/>
    <n v="565.15"/>
    <n v="565.15"/>
    <n v="562.9"/>
    <n v="0"/>
    <x v="0"/>
  </r>
  <r>
    <x v="156"/>
    <x v="97"/>
    <n v="564.91999999999996"/>
    <n v="566.38"/>
    <n v="562.88"/>
    <n v="-1.1000000000000001E-3"/>
    <x v="0"/>
  </r>
  <r>
    <x v="157"/>
    <x v="93"/>
    <n v="564.92999999999995"/>
    <n v="565.95000000000005"/>
    <n v="564.25"/>
    <n v="4.0000000000000002E-4"/>
    <x v="0"/>
  </r>
  <r>
    <x v="158"/>
    <x v="108"/>
    <n v="566.20000000000005"/>
    <n v="567.13"/>
    <n v="564.94000000000005"/>
    <n v="-2.3999999999999998E-3"/>
    <x v="0"/>
  </r>
  <r>
    <x v="159"/>
    <x v="70"/>
    <n v="567.4"/>
    <n v="567.88"/>
    <n v="566.15"/>
    <n v="-5.0000000000000001E-4"/>
    <x v="0"/>
  </r>
  <r>
    <x v="160"/>
    <x v="87"/>
    <n v="567.12"/>
    <n v="567.12"/>
    <n v="565.27"/>
    <n v="0"/>
    <x v="0"/>
  </r>
  <r>
    <x v="161"/>
    <x v="87"/>
    <n v="568.08000000000004"/>
    <n v="568.29999999999995"/>
    <n v="564.78"/>
    <n v="-8.0000000000000004E-4"/>
    <x v="0"/>
  </r>
  <r>
    <x v="162"/>
    <x v="115"/>
    <n v="568.29999999999995"/>
    <n v="568.29999999999995"/>
    <n v="566.32000000000005"/>
    <n v="-5.9999999999999995E-4"/>
    <x v="0"/>
  </r>
  <r>
    <x v="163"/>
    <x v="116"/>
    <n v="566.95000000000005"/>
    <n v="569.24"/>
    <n v="564.54999999999995"/>
    <n v="8.9999999999999998E-4"/>
    <x v="0"/>
  </r>
  <r>
    <x v="164"/>
    <x v="55"/>
    <n v="566.75"/>
    <n v="570.67999999999995"/>
    <n v="564.04999999999995"/>
    <n v="5.9999999999999995E-4"/>
    <x v="0"/>
  </r>
  <r>
    <x v="165"/>
    <x v="78"/>
    <n v="566.5"/>
    <n v="570.08000000000004"/>
    <n v="562.9"/>
    <n v="5.0000000000000001E-4"/>
    <x v="0"/>
  </r>
  <r>
    <x v="166"/>
    <x v="117"/>
    <n v="566.35"/>
    <n v="566.79999999999995"/>
    <n v="564.20000000000005"/>
    <n v="-5.0000000000000001E-4"/>
    <x v="0"/>
  </r>
  <r>
    <x v="167"/>
    <x v="77"/>
    <n v="566.33000000000004"/>
    <n v="568.61"/>
    <n v="565.91999999999996"/>
    <n v="0"/>
    <x v="0"/>
  </r>
  <r>
    <x v="168"/>
    <x v="77"/>
    <n v="566.29999999999995"/>
    <n v="571.11"/>
    <n v="565.76"/>
    <n v="0"/>
    <x v="0"/>
  </r>
  <r>
    <x v="169"/>
    <x v="77"/>
    <n v="567.08000000000004"/>
    <n v="571.52"/>
    <n v="565.76"/>
    <n v="0"/>
    <x v="0"/>
  </r>
  <r>
    <x v="170"/>
    <x v="77"/>
    <n v="567.08000000000004"/>
    <n v="570.25"/>
    <n v="565.91999999999996"/>
    <n v="0"/>
    <x v="0"/>
  </r>
  <r>
    <x v="171"/>
    <x v="77"/>
    <n v="566.02"/>
    <n v="571.11"/>
    <n v="565.91999999999996"/>
    <n v="0"/>
    <x v="0"/>
  </r>
  <r>
    <x v="172"/>
    <x v="78"/>
    <n v="567.77"/>
    <n v="573.4"/>
    <n v="566.59"/>
    <n v="5.9999999999999995E-4"/>
    <x v="0"/>
  </r>
  <r>
    <x v="173"/>
    <x v="118"/>
    <n v="566.41999999999996"/>
    <n v="571.4"/>
    <n v="566.41999999999996"/>
    <n v="-2.0000000000000001E-4"/>
    <x v="0"/>
  </r>
  <r>
    <x v="174"/>
    <x v="119"/>
    <n v="565.85"/>
    <n v="571.28"/>
    <n v="565.79999999999995"/>
    <n v="0"/>
    <x v="0"/>
  </r>
  <r>
    <x v="175"/>
    <x v="72"/>
    <n v="565.73"/>
    <n v="571.25"/>
    <n v="565.32000000000005"/>
    <n v="-1E-4"/>
    <x v="0"/>
  </r>
  <r>
    <x v="176"/>
    <x v="120"/>
    <n v="567.48"/>
    <n v="567.48"/>
    <n v="565.66999999999996"/>
    <n v="-1.6999999999999999E-3"/>
    <x v="0"/>
  </r>
  <r>
    <x v="177"/>
    <x v="121"/>
    <n v="567.80999999999995"/>
    <n v="571.66"/>
    <n v="567.13"/>
    <n v="-2.0000000000000001E-4"/>
    <x v="0"/>
  </r>
  <r>
    <x v="178"/>
    <x v="122"/>
    <n v="569.78"/>
    <n v="571.55999999999995"/>
    <n v="567.47"/>
    <n v="-1.5E-3"/>
    <x v="0"/>
  </r>
  <r>
    <x v="179"/>
    <x v="123"/>
    <n v="568.88"/>
    <n v="569.9"/>
    <n v="568.28"/>
    <n v="-8.9999999999999998E-4"/>
    <x v="0"/>
  </r>
  <r>
    <x v="180"/>
    <x v="124"/>
    <n v="568.83000000000004"/>
    <n v="569.96"/>
    <n v="567.84"/>
    <n v="-2.5000000000000001E-3"/>
    <x v="0"/>
  </r>
  <r>
    <x v="181"/>
    <x v="125"/>
    <n v="571.58000000000004"/>
    <n v="573.92999999999995"/>
    <n v="569.61"/>
    <n v="1.8E-3"/>
    <x v="0"/>
  </r>
  <r>
    <x v="182"/>
    <x v="126"/>
    <n v="569.78"/>
    <n v="569.98"/>
    <n v="569.03"/>
    <n v="0"/>
    <x v="0"/>
  </r>
  <r>
    <x v="183"/>
    <x v="126"/>
    <n v="569.98"/>
    <n v="569.98"/>
    <n v="569.01"/>
    <n v="-2.0000000000000001E-4"/>
    <x v="0"/>
  </r>
  <r>
    <x v="184"/>
    <x v="127"/>
    <n v="569.15"/>
    <n v="571.46"/>
    <n v="568.91"/>
    <n v="0"/>
    <x v="0"/>
  </r>
  <r>
    <x v="185"/>
    <x v="127"/>
    <n v="569.88"/>
    <n v="571.65"/>
    <n v="568.83000000000004"/>
    <n v="0"/>
    <x v="0"/>
  </r>
  <r>
    <x v="186"/>
    <x v="127"/>
    <n v="569.92999999999995"/>
    <n v="571.51"/>
    <n v="568.83000000000004"/>
    <n v="0"/>
    <x v="0"/>
  </r>
  <r>
    <x v="187"/>
    <x v="128"/>
    <n v="569.11"/>
    <n v="571.67999999999995"/>
    <n v="568.79999999999995"/>
    <n v="1E-4"/>
    <x v="0"/>
  </r>
  <r>
    <x v="188"/>
    <x v="129"/>
    <n v="569.15"/>
    <n v="570.11"/>
    <n v="569.15"/>
    <n v="-3.0000000000000001E-3"/>
    <x v="0"/>
  </r>
  <r>
    <x v="189"/>
    <x v="130"/>
    <n v="572.85"/>
    <n v="572.85"/>
    <n v="571.03"/>
    <n v="2.5999999999999999E-3"/>
    <x v="0"/>
  </r>
  <r>
    <x v="190"/>
    <x v="131"/>
    <n v="568.96"/>
    <n v="570.13"/>
    <n v="568.96"/>
    <n v="2.0000000000000001E-4"/>
    <x v="0"/>
  </r>
  <r>
    <x v="191"/>
    <x v="44"/>
    <n v="568.96"/>
    <n v="571.84"/>
    <n v="568.38"/>
    <n v="-2.7000000000000001E-3"/>
    <x v="0"/>
  </r>
  <r>
    <x v="192"/>
    <x v="132"/>
    <n v="571.79999999999995"/>
    <n v="572.9"/>
    <n v="570.99"/>
    <n v="-5.0000000000000001E-4"/>
    <x v="0"/>
  </r>
  <r>
    <x v="193"/>
    <x v="133"/>
    <n v="571.15"/>
    <n v="574.13"/>
    <n v="571.15"/>
    <n v="2.8999999999999998E-3"/>
    <x v="0"/>
  </r>
  <r>
    <x v="194"/>
    <x v="134"/>
    <n v="568.5"/>
    <n v="570.75"/>
    <n v="568.4"/>
    <n v="-5.0000000000000001E-4"/>
    <x v="0"/>
  </r>
  <r>
    <x v="195"/>
    <x v="135"/>
    <n v="567.99"/>
    <n v="570.46"/>
    <n v="567.99"/>
    <n v="6.9999999999999999E-4"/>
    <x v="0"/>
  </r>
  <r>
    <x v="196"/>
    <x v="136"/>
    <n v="568.96"/>
    <n v="570.08000000000004"/>
    <n v="568.36"/>
    <n v="-2.7000000000000001E-3"/>
    <x v="0"/>
  </r>
  <r>
    <x v="197"/>
    <x v="137"/>
    <n v="571.83000000000004"/>
    <n v="572.04999999999995"/>
    <n v="571.63"/>
    <n v="-2.9999999999999997E-4"/>
    <x v="0"/>
  </r>
  <r>
    <x v="198"/>
    <x v="138"/>
    <n v="571.5"/>
    <n v="572"/>
    <n v="571.5"/>
    <n v="2.5000000000000001E-3"/>
    <x v="0"/>
  </r>
  <r>
    <x v="199"/>
    <x v="139"/>
    <n v="570.66999999999996"/>
    <n v="571.11"/>
    <n v="570.02"/>
    <n v="-2.0000000000000001E-4"/>
    <x v="0"/>
  </r>
  <r>
    <x v="200"/>
    <x v="140"/>
    <n v="571.04999999999995"/>
    <n v="571.52"/>
    <n v="569.82000000000005"/>
    <n v="-8.9999999999999998E-4"/>
    <x v="0"/>
  </r>
  <r>
    <x v="201"/>
    <x v="141"/>
    <n v="572.29"/>
    <n v="572.91999999999996"/>
    <n v="569.88"/>
    <n v="-5.8999999999999999E-3"/>
    <x v="0"/>
  </r>
  <r>
    <x v="202"/>
    <x v="142"/>
    <n v="576.45000000000005"/>
    <n v="577.25"/>
    <n v="574.1"/>
    <n v="-3.5000000000000001E-3"/>
    <x v="0"/>
  </r>
  <r>
    <x v="203"/>
    <x v="143"/>
    <n v="576.67999999999995"/>
    <n v="577.25"/>
    <n v="573.25"/>
    <n v="5.8999999999999999E-3"/>
    <x v="0"/>
  </r>
  <r>
    <x v="204"/>
    <x v="144"/>
    <n v="570.6"/>
    <n v="574.08000000000004"/>
    <n v="570.6"/>
    <n v="1E-4"/>
    <x v="0"/>
  </r>
  <r>
    <x v="205"/>
    <x v="145"/>
    <n v="568.78"/>
    <n v="573"/>
    <n v="568.78"/>
    <n v="-3.0000000000000001E-3"/>
    <x v="0"/>
  </r>
  <r>
    <x v="206"/>
    <x v="146"/>
    <n v="571.35"/>
    <n v="575.26"/>
    <n v="571.35"/>
    <n v="5.1999999999999998E-3"/>
    <x v="0"/>
  </r>
  <r>
    <x v="207"/>
    <x v="147"/>
    <n v="569.75"/>
    <n v="571.73"/>
    <n v="568.75"/>
    <n v="-2.2000000000000001E-3"/>
    <x v="0"/>
  </r>
  <r>
    <x v="208"/>
    <x v="148"/>
    <n v="572.66"/>
    <n v="574.5"/>
    <n v="570.33000000000004"/>
    <n v="2.8999999999999998E-3"/>
    <x v="0"/>
  </r>
  <r>
    <x v="209"/>
    <x v="149"/>
    <n v="571"/>
    <n v="574.5"/>
    <n v="570.33000000000004"/>
    <n v="-1E-4"/>
    <x v="0"/>
  </r>
  <r>
    <x v="210"/>
    <x v="150"/>
    <n v="570.91999999999996"/>
    <n v="572.63"/>
    <n v="570.33000000000004"/>
    <n v="1.6000000000000001E-3"/>
    <x v="0"/>
  </r>
  <r>
    <x v="211"/>
    <x v="151"/>
    <n v="569.85"/>
    <n v="570.82000000000005"/>
    <n v="569.14"/>
    <n v="-1E-3"/>
    <x v="0"/>
  </r>
  <r>
    <x v="212"/>
    <x v="152"/>
    <n v="571"/>
    <n v="572"/>
    <n v="570.33000000000004"/>
    <n v="1E-4"/>
    <x v="0"/>
  </r>
  <r>
    <x v="213"/>
    <x v="153"/>
    <n v="570.07000000000005"/>
    <n v="572"/>
    <n v="570.07000000000005"/>
    <n v="6.9999999999999999E-4"/>
    <x v="0"/>
  </r>
  <r>
    <x v="214"/>
    <x v="154"/>
    <n v="572"/>
    <n v="572"/>
    <n v="570.07000000000005"/>
    <n v="-1.1000000000000001E-3"/>
    <x v="0"/>
  </r>
  <r>
    <x v="215"/>
    <x v="155"/>
    <n v="571.02"/>
    <n v="572"/>
    <n v="570"/>
    <n v="8.9999999999999998E-4"/>
    <x v="0"/>
  </r>
  <r>
    <x v="216"/>
    <x v="156"/>
    <n v="571.09"/>
    <n v="571.52"/>
    <n v="570.49"/>
    <n v="6.8999999999999999E-3"/>
    <x v="0"/>
  </r>
  <r>
    <x v="217"/>
    <x v="117"/>
    <n v="567.67999999999995"/>
    <n v="567.67999999999995"/>
    <n v="566.79999999999995"/>
    <n v="-7.1000000000000004E-3"/>
    <x v="0"/>
  </r>
  <r>
    <x v="218"/>
    <x v="157"/>
    <n v="570"/>
    <n v="570.9"/>
    <n v="569.71"/>
    <n v="7.1999999999999998E-3"/>
    <x v="0"/>
  </r>
  <r>
    <x v="219"/>
    <x v="117"/>
    <n v="566.79999999999995"/>
    <n v="567.65"/>
    <n v="566.51"/>
    <n v="-5.1999999999999998E-3"/>
    <x v="0"/>
  </r>
  <r>
    <x v="220"/>
    <x v="158"/>
    <n v="571.03"/>
    <n v="571.25"/>
    <n v="569.77"/>
    <n v="-8.9999999999999998E-4"/>
    <x v="0"/>
  </r>
  <r>
    <x v="221"/>
    <x v="159"/>
    <n v="571"/>
    <n v="571"/>
    <n v="569.6"/>
    <n v="-1.2999999999999999E-3"/>
    <x v="0"/>
  </r>
  <r>
    <x v="222"/>
    <x v="153"/>
    <n v="571.78"/>
    <n v="571.78"/>
    <n v="570"/>
    <n v="-1.4E-3"/>
    <x v="0"/>
  </r>
  <r>
    <x v="223"/>
    <x v="160"/>
    <n v="571.85"/>
    <n v="572.16999999999996"/>
    <n v="570"/>
    <n v="-1E-4"/>
    <x v="0"/>
  </r>
  <r>
    <x v="224"/>
    <x v="161"/>
    <n v="570"/>
    <n v="571.98"/>
    <n v="570"/>
    <n v="-2.0000000000000001E-4"/>
    <x v="0"/>
  </r>
  <r>
    <x v="225"/>
    <x v="162"/>
    <n v="570.83000000000004"/>
    <n v="571.99"/>
    <n v="570"/>
    <n v="9.1000000000000004E-3"/>
    <x v="0"/>
  </r>
  <r>
    <x v="226"/>
    <x v="117"/>
    <n v="567.82000000000005"/>
    <n v="567.82000000000005"/>
    <n v="566.79999999999995"/>
    <n v="0"/>
    <x v="0"/>
  </r>
  <r>
    <x v="227"/>
    <x v="117"/>
    <n v="568.48"/>
    <n v="568.48"/>
    <n v="566.79999999999995"/>
    <n v="-8.5000000000000006E-3"/>
    <x v="0"/>
  </r>
  <r>
    <x v="228"/>
    <x v="163"/>
    <n v="571.75"/>
    <n v="573.03"/>
    <n v="570"/>
    <n v="8.6E-3"/>
    <x v="0"/>
  </r>
  <r>
    <x v="229"/>
    <x v="117"/>
    <n v="567.85"/>
    <n v="568.55999999999995"/>
    <n v="566.79999999999995"/>
    <n v="0"/>
    <x v="0"/>
  </r>
  <r>
    <x v="230"/>
    <x v="117"/>
    <n v="568.20000000000005"/>
    <n v="568.20000000000005"/>
    <n v="566.79999999999995"/>
    <n v="0"/>
    <x v="0"/>
  </r>
  <r>
    <x v="231"/>
    <x v="117"/>
    <n v="568.20000000000005"/>
    <n v="571.08000000000004"/>
    <n v="565.79999999999995"/>
    <n v="-8.0999999999999996E-3"/>
    <x v="0"/>
  </r>
  <r>
    <x v="232"/>
    <x v="164"/>
    <n v="571.4"/>
    <n v="571.41999999999996"/>
    <n v="571.4"/>
    <n v="0"/>
    <x v="0"/>
  </r>
  <r>
    <x v="233"/>
    <x v="164"/>
    <n v="571.5"/>
    <n v="571.5"/>
    <n v="567.13"/>
    <n v="8.9999999999999993E-3"/>
    <x v="1"/>
  </r>
  <r>
    <x v="234"/>
    <x v="165"/>
    <n v="567.54999999999995"/>
    <n v="568.82000000000005"/>
    <n v="565.29999999999995"/>
    <n v="-6.8999999999999999E-3"/>
    <x v="1"/>
  </r>
  <r>
    <x v="235"/>
    <x v="166"/>
    <n v="568.67999999999995"/>
    <n v="570.26"/>
    <n v="568"/>
    <n v="7.9000000000000008E-3"/>
    <x v="1"/>
  </r>
  <r>
    <x v="236"/>
    <x v="167"/>
    <n v="565.79999999999995"/>
    <n v="567.79999999999995"/>
    <n v="565.79999999999995"/>
    <n v="-7.4000000000000003E-3"/>
    <x v="1"/>
  </r>
  <r>
    <x v="237"/>
    <x v="44"/>
    <n v="568.70000000000005"/>
    <n v="570"/>
    <n v="568.70000000000005"/>
    <n v="0"/>
    <x v="1"/>
  </r>
  <r>
    <x v="238"/>
    <x v="44"/>
    <n v="568.80999999999995"/>
    <n v="570.01"/>
    <n v="567.36"/>
    <n v="7.4000000000000003E-3"/>
    <x v="1"/>
  </r>
  <r>
    <x v="239"/>
    <x v="167"/>
    <n v="566.77"/>
    <n v="567.65"/>
    <n v="565.16"/>
    <n v="-4.1000000000000003E-3"/>
    <x v="1"/>
  </r>
  <r>
    <x v="240"/>
    <x v="168"/>
    <n v="567.91999999999996"/>
    <n v="568.97"/>
    <n v="567.36"/>
    <n v="4.5999999999999999E-3"/>
    <x v="1"/>
  </r>
  <r>
    <x v="241"/>
    <x v="96"/>
    <n v="566.07000000000005"/>
    <n v="566.07000000000005"/>
    <n v="565.26"/>
    <n v="-4.0000000000000002E-4"/>
    <x v="1"/>
  </r>
  <r>
    <x v="242"/>
    <x v="167"/>
    <n v="566.5"/>
    <n v="566.5"/>
    <n v="564.74"/>
    <n v="-5.1000000000000004E-3"/>
    <x v="1"/>
  </r>
  <r>
    <x v="243"/>
    <x v="169"/>
    <n v="567.13"/>
    <n v="568.72"/>
    <n v="567"/>
    <n v="2.8E-3"/>
    <x v="1"/>
  </r>
  <r>
    <x v="244"/>
    <x v="170"/>
    <n v="567"/>
    <n v="570.42999999999995"/>
    <n v="567"/>
    <n v="-1.2999999999999999E-3"/>
    <x v="1"/>
  </r>
  <r>
    <x v="245"/>
    <x v="171"/>
    <n v="567"/>
    <n v="567.9"/>
    <n v="567"/>
    <n v="2.9999999999999997E-4"/>
    <x v="1"/>
  </r>
  <r>
    <x v="246"/>
    <x v="172"/>
    <n v="567.33000000000004"/>
    <n v="568"/>
    <n v="567"/>
    <n v="6.9999999999999999E-4"/>
    <x v="1"/>
  </r>
  <r>
    <x v="247"/>
    <x v="60"/>
    <n v="568.82000000000005"/>
    <n v="568.82000000000005"/>
    <n v="567.33000000000004"/>
    <n v="-2.5999999999999999E-3"/>
    <x v="1"/>
  </r>
  <r>
    <x v="248"/>
    <x v="173"/>
    <n v="568.52"/>
    <n v="568.83000000000004"/>
    <n v="568"/>
    <n v="5.0000000000000001E-4"/>
    <x v="1"/>
  </r>
  <r>
    <x v="249"/>
    <x v="174"/>
    <n v="568.08000000000004"/>
    <n v="568.72"/>
    <n v="567.13"/>
    <n v="6.9999999999999999E-4"/>
    <x v="1"/>
  </r>
  <r>
    <x v="250"/>
    <x v="175"/>
    <n v="568.54"/>
    <n v="570.5"/>
    <n v="568.12"/>
    <n v="1E-4"/>
    <x v="1"/>
  </r>
  <r>
    <x v="251"/>
    <x v="176"/>
    <n v="567.22"/>
    <n v="569.5"/>
    <n v="567.22"/>
    <n v="3.0999999999999999E-3"/>
    <x v="1"/>
  </r>
  <r>
    <x v="252"/>
    <x v="92"/>
    <n v="566.48"/>
    <n v="566.48"/>
    <n v="565.29999999999995"/>
    <n v="-3.5999999999999999E-3"/>
    <x v="1"/>
  </r>
  <r>
    <x v="253"/>
    <x v="177"/>
    <n v="567.74"/>
    <n v="569.21"/>
    <n v="567.11"/>
    <n v="2.0000000000000001E-4"/>
    <x v="1"/>
  </r>
  <r>
    <x v="254"/>
    <x v="178"/>
    <n v="567.79999999999995"/>
    <n v="570.73"/>
    <n v="567.19000000000005"/>
    <n v="4.0000000000000002E-4"/>
    <x v="1"/>
  </r>
  <r>
    <x v="255"/>
    <x v="179"/>
    <n v="569"/>
    <n v="569"/>
    <n v="568.01"/>
    <n v="-1E-4"/>
    <x v="1"/>
  </r>
  <r>
    <x v="256"/>
    <x v="180"/>
    <n v="568.6"/>
    <n v="568.6"/>
    <n v="566.70000000000005"/>
    <n v="-8.9999999999999998E-4"/>
    <x v="1"/>
  </r>
  <r>
    <x v="257"/>
    <x v="181"/>
    <n v="567.63"/>
    <n v="568.6"/>
    <n v="566.57000000000005"/>
    <n v="1.6999999999999999E-3"/>
    <x v="1"/>
  </r>
  <r>
    <x v="258"/>
    <x v="182"/>
    <n v="566.57000000000005"/>
    <n v="570.92999999999995"/>
    <n v="566.57000000000005"/>
    <n v="3.7000000000000002E-3"/>
    <x v="1"/>
  </r>
  <r>
    <x v="259"/>
    <x v="183"/>
    <n v="566.6"/>
    <n v="566.6"/>
    <n v="565.54"/>
    <n v="-1E-4"/>
    <x v="1"/>
  </r>
  <r>
    <x v="260"/>
    <x v="184"/>
    <n v="565.69000000000005"/>
    <n v="570.21"/>
    <n v="564.69000000000005"/>
    <n v="5.0000000000000001E-4"/>
    <x v="1"/>
  </r>
  <r>
    <x v="261"/>
    <x v="185"/>
    <n v="567.98"/>
    <n v="568.28"/>
    <n v="565.27"/>
    <n v="-5.5999999999999999E-3"/>
    <x v="1"/>
  </r>
  <r>
    <x v="262"/>
    <x v="186"/>
    <n v="569.75"/>
    <n v="569.75"/>
    <n v="566.73"/>
    <n v="-2.3E-3"/>
    <x v="1"/>
  </r>
  <r>
    <x v="263"/>
    <x v="187"/>
    <n v="565.94000000000005"/>
    <n v="570.28"/>
    <n v="565.94000000000005"/>
    <n v="-8.9999999999999998E-4"/>
    <x v="1"/>
  </r>
  <r>
    <x v="264"/>
    <x v="159"/>
    <n v="570.95000000000005"/>
    <n v="570.95000000000005"/>
    <n v="565.94000000000005"/>
    <n v="2.3999999999999998E-3"/>
    <x v="1"/>
  </r>
  <r>
    <x v="265"/>
    <x v="123"/>
    <n v="570.17999999999995"/>
    <n v="570.17999999999995"/>
    <n v="566.73"/>
    <n v="-8.0000000000000004E-4"/>
    <x v="1"/>
  </r>
  <r>
    <x v="266"/>
    <x v="188"/>
    <n v="567.54999999999995"/>
    <n v="570.37"/>
    <n v="566.25"/>
    <n v="-4.4000000000000003E-3"/>
    <x v="1"/>
  </r>
  <r>
    <x v="267"/>
    <x v="43"/>
    <n v="571.4"/>
    <n v="572.4"/>
    <n v="569.09"/>
    <n v="-8.9999999999999998E-4"/>
    <x v="1"/>
  </r>
  <r>
    <x v="268"/>
    <x v="189"/>
    <n v="572.07000000000005"/>
    <n v="574.17999999999995"/>
    <n v="568.82000000000005"/>
    <n v="4.1999999999999997E-3"/>
    <x v="1"/>
  </r>
  <r>
    <x v="269"/>
    <x v="190"/>
    <n v="573.27"/>
    <n v="573.45000000000005"/>
    <n v="570.03"/>
    <n v="-3.3E-3"/>
    <x v="1"/>
  </r>
  <r>
    <x v="270"/>
    <x v="43"/>
    <n v="570.75"/>
    <n v="571.91"/>
    <n v="568.82000000000005"/>
    <n v="2.8E-3"/>
    <x v="1"/>
  </r>
  <r>
    <x v="271"/>
    <x v="191"/>
    <n v="571.5"/>
    <n v="572.58000000000004"/>
    <n v="569.97"/>
    <n v="-1.8E-3"/>
    <x v="1"/>
  </r>
  <r>
    <x v="272"/>
    <x v="192"/>
    <n v="572.64"/>
    <n v="572.64"/>
    <n v="568.82000000000005"/>
    <n v="-2.3E-3"/>
    <x v="1"/>
  </r>
  <r>
    <x v="273"/>
    <x v="193"/>
    <n v="571.27"/>
    <n v="574.64"/>
    <n v="568.82000000000005"/>
    <n v="5.8999999999999999E-3"/>
    <x v="1"/>
  </r>
  <r>
    <x v="274"/>
    <x v="194"/>
    <n v="569.65"/>
    <n v="570.4"/>
    <n v="567.02"/>
    <n v="-3.3999999999999998E-3"/>
    <x v="1"/>
  </r>
  <r>
    <x v="275"/>
    <x v="155"/>
    <n v="571.63"/>
    <n v="571.65"/>
    <n v="568.4"/>
    <n v="2.5999999999999999E-3"/>
    <x v="1"/>
  </r>
  <r>
    <x v="276"/>
    <x v="187"/>
    <n v="566.89"/>
    <n v="572.28"/>
    <n v="566.61"/>
    <n v="-2.0000000000000001E-4"/>
    <x v="1"/>
  </r>
  <r>
    <x v="277"/>
    <x v="195"/>
    <n v="569.83000000000004"/>
    <n v="571.01"/>
    <n v="566.20000000000005"/>
    <n v="-3.5000000000000001E-3"/>
    <x v="1"/>
  </r>
  <r>
    <x v="278"/>
    <x v="133"/>
    <n v="572.20000000000005"/>
    <n v="572.20000000000005"/>
    <n v="567.92999999999995"/>
    <n v="-6.9999999999999999E-4"/>
    <x v="1"/>
  </r>
  <r>
    <x v="279"/>
    <x v="196"/>
    <n v="571.39"/>
    <n v="572.21"/>
    <n v="567.92999999999995"/>
    <n v="4.4999999999999997E-3"/>
    <x v="1"/>
  </r>
  <r>
    <x v="280"/>
    <x v="197"/>
    <n v="569.73"/>
    <n v="569.75"/>
    <n v="566.38"/>
    <n v="-4.0000000000000002E-4"/>
    <x v="1"/>
  </r>
  <r>
    <x v="281"/>
    <x v="198"/>
    <n v="573.82000000000005"/>
    <n v="573.82000000000005"/>
    <n v="569.87"/>
    <n v="-3.8999999999999998E-3"/>
    <x v="1"/>
  </r>
  <r>
    <x v="282"/>
    <x v="199"/>
    <n v="572.29"/>
    <n v="572.29"/>
    <n v="568.76"/>
    <n v="-2.9999999999999997E-4"/>
    <x v="1"/>
  </r>
  <r>
    <x v="283"/>
    <x v="200"/>
    <n v="569.4"/>
    <n v="572.29999999999995"/>
    <n v="569"/>
    <n v="6.7999999999999996E-3"/>
    <x v="1"/>
  </r>
  <r>
    <x v="284"/>
    <x v="201"/>
    <n v="571.11"/>
    <n v="571.66"/>
    <n v="568.41999999999996"/>
    <n v="-5.7000000000000002E-3"/>
    <x v="1"/>
  </r>
  <r>
    <x v="285"/>
    <x v="163"/>
    <n v="573.12"/>
    <n v="573.12"/>
    <n v="568.44000000000005"/>
    <n v="-2.5000000000000001E-3"/>
    <x v="1"/>
  </r>
  <r>
    <x v="286"/>
    <x v="202"/>
    <n v="573.13"/>
    <n v="573.13"/>
    <n v="570.29"/>
    <n v="0"/>
    <x v="1"/>
  </r>
  <r>
    <x v="287"/>
    <x v="202"/>
    <n v="575.4"/>
    <n v="575.4"/>
    <n v="570.28"/>
    <n v="-4.0000000000000001E-3"/>
    <x v="1"/>
  </r>
  <r>
    <x v="288"/>
    <x v="203"/>
    <n v="576.32000000000005"/>
    <n v="576.32000000000005"/>
    <n v="572.57000000000005"/>
    <n v="-1.6000000000000001E-3"/>
    <x v="1"/>
  </r>
  <r>
    <x v="289"/>
    <x v="204"/>
    <n v="576.67999999999995"/>
    <n v="576.67999999999995"/>
    <n v="572.54999999999995"/>
    <n v="-5.9999999999999995E-4"/>
    <x v="1"/>
  </r>
  <r>
    <x v="290"/>
    <x v="205"/>
    <n v="576.35"/>
    <n v="576.70000000000005"/>
    <n v="573.84"/>
    <n v="2.5999999999999999E-3"/>
    <x v="1"/>
  </r>
  <r>
    <x v="291"/>
    <x v="206"/>
    <n v="577.99"/>
    <n v="578.09"/>
    <n v="575.17999999999995"/>
    <n v="-1.9E-3"/>
    <x v="1"/>
  </r>
  <r>
    <x v="292"/>
    <x v="207"/>
    <n v="576.72"/>
    <n v="576.72"/>
    <n v="576.27"/>
    <n v="-8.0000000000000004E-4"/>
    <x v="1"/>
  </r>
  <r>
    <x v="293"/>
    <x v="208"/>
    <n v="575.6"/>
    <n v="576.73"/>
    <n v="573.14"/>
    <n v="1.9E-3"/>
    <x v="1"/>
  </r>
  <r>
    <x v="294"/>
    <x v="209"/>
    <n v="574.55999999999995"/>
    <n v="575.62"/>
    <n v="572.77"/>
    <n v="3.8999999999999998E-3"/>
    <x v="1"/>
  </r>
  <r>
    <x v="295"/>
    <x v="210"/>
    <n v="573.32000000000005"/>
    <n v="575.86"/>
    <n v="573.32000000000005"/>
    <n v="-6.6E-3"/>
    <x v="1"/>
  </r>
  <r>
    <x v="296"/>
    <x v="211"/>
    <n v="575.14"/>
    <n v="579.25"/>
    <n v="573.4"/>
    <n v="6.7000000000000002E-3"/>
    <x v="1"/>
  </r>
  <r>
    <x v="297"/>
    <x v="212"/>
    <n v="574.6"/>
    <n v="574.6"/>
    <n v="573.32000000000005"/>
    <n v="-1.8E-3"/>
    <x v="1"/>
  </r>
  <r>
    <x v="298"/>
    <x v="213"/>
    <n v="575.86"/>
    <n v="575.86"/>
    <n v="574.38"/>
    <n v="-2E-3"/>
    <x v="1"/>
  </r>
  <r>
    <x v="299"/>
    <x v="214"/>
    <n v="575.73"/>
    <n v="575.73"/>
    <n v="575.51"/>
    <n v="-4.0000000000000002E-4"/>
    <x v="1"/>
  </r>
  <r>
    <x v="300"/>
    <x v="215"/>
    <n v="575.35"/>
    <n v="575.74"/>
    <n v="575.35"/>
    <n v="-2.5000000000000001E-3"/>
    <x v="1"/>
  </r>
  <r>
    <x v="301"/>
    <x v="211"/>
    <n v="578.27"/>
    <n v="581.02"/>
    <n v="576.62"/>
    <n v="1.6000000000000001E-3"/>
    <x v="1"/>
  </r>
  <r>
    <x v="302"/>
    <x v="216"/>
    <n v="577.87"/>
    <n v="577.87"/>
    <n v="575.91999999999996"/>
    <n v="-2.3E-3"/>
    <x v="1"/>
  </r>
  <r>
    <x v="303"/>
    <x v="217"/>
    <n v="577.9"/>
    <n v="579.38"/>
    <n v="575.9"/>
    <n v="-5.9999999999999995E-4"/>
    <x v="1"/>
  </r>
  <r>
    <x v="304"/>
    <x v="218"/>
    <n v="577.09"/>
    <n v="578.41999999999996"/>
    <n v="576.47"/>
    <n v="-8.9999999999999998E-4"/>
    <x v="1"/>
  </r>
  <r>
    <x v="305"/>
    <x v="23"/>
    <n v="577.92999999999995"/>
    <n v="578.5"/>
    <n v="577.09"/>
    <n v="-1E-4"/>
    <x v="1"/>
  </r>
  <r>
    <x v="306"/>
    <x v="219"/>
    <n v="579.20000000000005"/>
    <n v="579.20000000000005"/>
    <n v="578.5"/>
    <n v="-1.1999999999999999E-3"/>
    <x v="1"/>
  </r>
  <r>
    <x v="307"/>
    <x v="220"/>
    <n v="579.20000000000005"/>
    <n v="579.22"/>
    <n v="577.87"/>
    <n v="0"/>
    <x v="1"/>
  </r>
  <r>
    <x v="308"/>
    <x v="220"/>
    <n v="579.91999999999996"/>
    <n v="579.91999999999996"/>
    <n v="578.65"/>
    <n v="-1.1999999999999999E-3"/>
    <x v="1"/>
  </r>
  <r>
    <x v="309"/>
    <x v="221"/>
    <n v="580.1"/>
    <n v="581.62"/>
    <n v="578.97"/>
    <n v="-2.9999999999999997E-4"/>
    <x v="1"/>
  </r>
  <r>
    <x v="310"/>
    <x v="222"/>
    <n v="579.4"/>
    <n v="580.12"/>
    <n v="578.95000000000005"/>
    <n v="-8.9999999999999998E-4"/>
    <x v="1"/>
  </r>
  <r>
    <x v="311"/>
    <x v="223"/>
    <n v="579.91999999999996"/>
    <n v="581.21"/>
    <n v="579.91"/>
    <n v="2.3E-3"/>
    <x v="1"/>
  </r>
  <r>
    <x v="312"/>
    <x v="224"/>
    <n v="581.15"/>
    <n v="581.15"/>
    <n v="579.28"/>
    <n v="-3.2000000000000002E-3"/>
    <x v="1"/>
  </r>
  <r>
    <x v="313"/>
    <x v="225"/>
    <n v="580.5"/>
    <n v="581.16999999999996"/>
    <n v="579.66"/>
    <n v="3.5000000000000001E-3"/>
    <x v="1"/>
  </r>
  <r>
    <x v="314"/>
    <x v="226"/>
    <n v="578.66"/>
    <n v="579.85"/>
    <n v="578.66"/>
    <n v="-5.0000000000000001E-4"/>
    <x v="1"/>
  </r>
  <r>
    <x v="315"/>
    <x v="227"/>
    <n v="575.21"/>
    <n v="579.41999999999996"/>
    <n v="575.21"/>
    <n v="2.2000000000000001E-3"/>
    <x v="1"/>
  </r>
  <r>
    <x v="316"/>
    <x v="228"/>
    <n v="576.54"/>
    <n v="578.16999999999996"/>
    <n v="575.16999999999996"/>
    <n v="8.0000000000000004E-4"/>
    <x v="1"/>
  </r>
  <r>
    <x v="317"/>
    <x v="229"/>
    <n v="577.80999999999995"/>
    <n v="577.80999999999995"/>
    <n v="577.67999999999995"/>
    <n v="-2.0000000000000001E-4"/>
    <x v="1"/>
  </r>
  <r>
    <x v="318"/>
    <x v="230"/>
    <n v="576.91"/>
    <n v="577.80999999999995"/>
    <n v="576.9"/>
    <n v="1.2999999999999999E-3"/>
    <x v="1"/>
  </r>
  <r>
    <x v="319"/>
    <x v="231"/>
    <n v="575.39"/>
    <n v="577.07000000000005"/>
    <n v="575.37"/>
    <n v="1.4E-3"/>
    <x v="1"/>
  </r>
  <r>
    <x v="320"/>
    <x v="232"/>
    <n v="576.03"/>
    <n v="576.49"/>
    <n v="576.02"/>
    <n v="2.9999999999999997E-4"/>
    <x v="1"/>
  </r>
  <r>
    <x v="321"/>
    <x v="233"/>
    <n v="576.38"/>
    <n v="578.92999999999995"/>
    <n v="575.48"/>
    <n v="-5.9999999999999995E-4"/>
    <x v="1"/>
  </r>
  <r>
    <x v="322"/>
    <x v="234"/>
    <n v="577.34"/>
    <n v="577.34"/>
    <n v="576.38"/>
    <n v="-6.9999999999999999E-4"/>
    <x v="1"/>
  </r>
  <r>
    <x v="323"/>
    <x v="235"/>
    <n v="577.95000000000005"/>
    <n v="577.95000000000005"/>
    <n v="576.80999999999995"/>
    <n v="-1.5E-3"/>
    <x v="1"/>
  </r>
  <r>
    <x v="324"/>
    <x v="236"/>
    <n v="577.08000000000004"/>
    <n v="577.65"/>
    <n v="576.17999999999995"/>
    <n v="2E-3"/>
    <x v="1"/>
  </r>
  <r>
    <x v="325"/>
    <x v="237"/>
    <n v="576.73"/>
    <n v="577.41999999999996"/>
    <n v="576.02"/>
    <n v="5.0000000000000001E-4"/>
    <x v="1"/>
  </r>
  <r>
    <x v="326"/>
    <x v="238"/>
    <n v="577.11"/>
    <n v="577.11"/>
    <n v="576.22"/>
    <n v="-2.0000000000000001E-4"/>
    <x v="1"/>
  </r>
  <r>
    <x v="327"/>
    <x v="239"/>
    <n v="576.36"/>
    <n v="576.88"/>
    <n v="576.28"/>
    <n v="5.0000000000000001E-4"/>
    <x v="1"/>
  </r>
  <r>
    <x v="328"/>
    <x v="240"/>
    <n v="577.29999999999995"/>
    <n v="577.29999999999995"/>
    <n v="576"/>
    <n v="1E-4"/>
    <x v="1"/>
  </r>
  <r>
    <x v="329"/>
    <x v="241"/>
    <n v="578.07000000000005"/>
    <n v="578.07000000000005"/>
    <n v="576"/>
    <n v="-1.1999999999999999E-3"/>
    <x v="1"/>
  </r>
  <r>
    <x v="330"/>
    <x v="242"/>
    <n v="577.24"/>
    <n v="577.6"/>
    <n v="576.66999999999996"/>
    <n v="-2.0999999999999999E-3"/>
    <x v="1"/>
  </r>
  <r>
    <x v="331"/>
    <x v="243"/>
    <n v="576.88"/>
    <n v="577.95000000000005"/>
    <n v="576.88"/>
    <n v="2.3E-3"/>
    <x v="1"/>
  </r>
  <r>
    <x v="332"/>
    <x v="244"/>
    <n v="573.53"/>
    <n v="578"/>
    <n v="572.09"/>
    <n v="-3.3999999999999998E-3"/>
    <x v="1"/>
  </r>
  <r>
    <x v="333"/>
    <x v="245"/>
    <n v="573.69000000000005"/>
    <n v="578.69000000000005"/>
    <n v="573.53"/>
    <n v="-2.9999999999999997E-4"/>
    <x v="1"/>
  </r>
  <r>
    <x v="334"/>
    <x v="246"/>
    <n v="572.22"/>
    <n v="578.70000000000005"/>
    <n v="572.22"/>
    <n v="2.5000000000000001E-3"/>
    <x v="1"/>
  </r>
  <r>
    <x v="335"/>
    <x v="247"/>
    <n v="570.41999999999996"/>
    <n v="577.25"/>
    <n v="570.41999999999996"/>
    <n v="2.9999999999999997E-4"/>
    <x v="1"/>
  </r>
  <r>
    <x v="336"/>
    <x v="248"/>
    <n v="571.48"/>
    <n v="577.08000000000004"/>
    <n v="570.36"/>
    <n v="1E-3"/>
    <x v="1"/>
  </r>
  <r>
    <x v="337"/>
    <x v="249"/>
    <n v="571.54"/>
    <n v="576.78"/>
    <n v="570.92999999999995"/>
    <n v="-1E-4"/>
    <x v="1"/>
  </r>
  <r>
    <x v="338"/>
    <x v="250"/>
    <n v="570.34"/>
    <n v="576.78"/>
    <n v="570.34"/>
    <n v="6.9999999999999999E-4"/>
    <x v="1"/>
  </r>
  <r>
    <x v="339"/>
    <x v="251"/>
    <n v="569.77"/>
    <n v="576.12"/>
    <n v="569.77"/>
    <n v="1.4E-3"/>
    <x v="1"/>
  </r>
  <r>
    <x v="340"/>
    <x v="252"/>
    <n v="568.94000000000005"/>
    <n v="576.38"/>
    <n v="568.94000000000005"/>
    <n v="2.3999999999999998E-3"/>
    <x v="1"/>
  </r>
  <r>
    <x v="341"/>
    <x v="253"/>
    <n v="568.86"/>
    <n v="576.38"/>
    <n v="568.39"/>
    <n v="1E-4"/>
    <x v="1"/>
  </r>
  <r>
    <x v="342"/>
    <x v="254"/>
    <n v="569.66999999999996"/>
    <n v="574.66999999999996"/>
    <n v="568.86"/>
    <n v="-1.4E-3"/>
    <x v="1"/>
  </r>
  <r>
    <x v="343"/>
    <x v="255"/>
    <n v="568.75"/>
    <n v="574.67999999999995"/>
    <n v="568.75"/>
    <n v="1.2999999999999999E-3"/>
    <x v="1"/>
  </r>
  <r>
    <x v="344"/>
    <x v="256"/>
    <n v="568.75"/>
    <n v="573.95000000000005"/>
    <n v="568.75"/>
    <n v="1E-4"/>
    <x v="1"/>
  </r>
  <r>
    <x v="345"/>
    <x v="257"/>
    <n v="568.87"/>
    <n v="573.91999999999996"/>
    <n v="568.62"/>
    <n v="5.9999999999999995E-4"/>
    <x v="1"/>
  </r>
  <r>
    <x v="346"/>
    <x v="258"/>
    <n v="568.88"/>
    <n v="574.51"/>
    <n v="568.05999999999995"/>
    <n v="-6.9999999999999999E-4"/>
    <x v="1"/>
  </r>
  <r>
    <x v="347"/>
    <x v="259"/>
    <n v="569.72"/>
    <n v="574.73"/>
    <n v="568.88"/>
    <n v="-1.2999999999999999E-3"/>
    <x v="1"/>
  </r>
  <r>
    <x v="348"/>
    <x v="146"/>
    <n v="569.66999999999996"/>
    <n v="574.73"/>
    <n v="569.66999999999996"/>
    <n v="5.0000000000000001E-4"/>
    <x v="1"/>
  </r>
  <r>
    <x v="349"/>
    <x v="260"/>
    <n v="569.32000000000005"/>
    <n v="575.03"/>
    <n v="569.13"/>
    <n v="1E-4"/>
    <x v="1"/>
  </r>
  <r>
    <x v="350"/>
    <x v="261"/>
    <n v="568.39"/>
    <n v="574.41"/>
    <n v="568.39"/>
    <n v="1.8E-3"/>
    <x v="1"/>
  </r>
  <r>
    <x v="351"/>
    <x v="262"/>
    <n v="568.17999999999995"/>
    <n v="573.63"/>
    <n v="568.17999999999995"/>
    <n v="4.0000000000000002E-4"/>
    <x v="1"/>
  </r>
  <r>
    <x v="352"/>
    <x v="263"/>
    <n v="568.47"/>
    <n v="573.58000000000004"/>
    <n v="568.17999999999995"/>
    <n v="-1E-4"/>
    <x v="1"/>
  </r>
  <r>
    <x v="353"/>
    <x v="264"/>
    <n v="569.82000000000005"/>
    <n v="575.16"/>
    <n v="567.91"/>
    <n v="-2.7000000000000001E-3"/>
    <x v="1"/>
  </r>
  <r>
    <x v="354"/>
    <x v="265"/>
    <n v="569.98"/>
    <n v="574.98"/>
    <n v="569.82000000000005"/>
    <n v="-2.9999999999999997E-4"/>
    <x v="1"/>
  </r>
  <r>
    <x v="355"/>
    <x v="266"/>
    <n v="567.99"/>
    <n v="574.99"/>
    <n v="563.52"/>
    <n v="1.6999999999999999E-3"/>
    <x v="1"/>
  </r>
  <r>
    <x v="356"/>
    <x v="267"/>
    <n v="569.28"/>
    <n v="574.73"/>
    <n v="563.87"/>
    <n v="-5.0000000000000001E-4"/>
    <x v="1"/>
  </r>
  <r>
    <x v="357"/>
    <x v="268"/>
    <n v="569.21"/>
    <n v="574.47"/>
    <n v="563.91999999999996"/>
    <n v="5.0000000000000001E-4"/>
    <x v="1"/>
  </r>
  <r>
    <x v="358"/>
    <x v="259"/>
    <n v="569.66999999999996"/>
    <n v="575.01"/>
    <n v="563.91999999999996"/>
    <n v="-1.1999999999999999E-3"/>
    <x v="1"/>
  </r>
  <r>
    <x v="359"/>
    <x v="255"/>
    <n v="568.87"/>
    <n v="574.66999999999996"/>
    <n v="563.57000000000005"/>
    <n v="3.2000000000000002E-3"/>
    <x v="1"/>
  </r>
  <r>
    <x v="360"/>
    <x v="269"/>
    <n v="568.30999999999995"/>
    <n v="573.4"/>
    <n v="563.36"/>
    <n v="-8.0000000000000004E-4"/>
    <x v="1"/>
  </r>
  <r>
    <x v="361"/>
    <x v="270"/>
    <n v="561.12"/>
    <n v="573.30999999999995"/>
    <n v="561.11"/>
    <n v="0.01"/>
    <x v="1"/>
  </r>
  <r>
    <x v="362"/>
    <x v="182"/>
    <n v="562.30999999999995"/>
    <n v="572.52"/>
    <n v="561.12"/>
    <n v="-7.7999999999999996E-3"/>
    <x v="1"/>
  </r>
  <r>
    <x v="363"/>
    <x v="271"/>
    <n v="562.28"/>
    <n v="574.03"/>
    <n v="561.57000000000005"/>
    <n v="4.1000000000000003E-3"/>
    <x v="1"/>
  </r>
  <r>
    <x v="364"/>
    <x v="272"/>
    <n v="564.54"/>
    <n v="576.67999999999995"/>
    <n v="561.57000000000005"/>
    <n v="4.0000000000000002E-4"/>
    <x v="1"/>
  </r>
  <r>
    <x v="365"/>
    <x v="273"/>
    <n v="564.58000000000004"/>
    <n v="569.58000000000004"/>
    <n v="561.6"/>
    <n v="-3.2000000000000002E-3"/>
    <x v="1"/>
  </r>
  <r>
    <x v="366"/>
    <x v="274"/>
    <n v="564.5"/>
    <n v="571.79"/>
    <n v="561.6"/>
    <n v="-8.0000000000000004E-4"/>
    <x v="1"/>
  </r>
  <r>
    <x v="367"/>
    <x v="138"/>
    <n v="564.6"/>
    <n v="572.48"/>
    <n v="562.1"/>
    <n v="3.8999999999999998E-3"/>
    <x v="1"/>
  </r>
  <r>
    <x v="368"/>
    <x v="275"/>
    <n v="569.03"/>
    <n v="574.03"/>
    <n v="562.13"/>
    <n v="-6.0000000000000001E-3"/>
    <x v="1"/>
  </r>
  <r>
    <x v="369"/>
    <x v="276"/>
    <n v="564.6"/>
    <n v="573.02"/>
    <n v="562.12"/>
    <n v="6.0000000000000001E-3"/>
    <x v="1"/>
  </r>
  <r>
    <x v="370"/>
    <x v="275"/>
    <n v="561.34"/>
    <n v="569.62"/>
    <n v="560.65"/>
    <n v="8.0000000000000004E-4"/>
    <x v="1"/>
  </r>
  <r>
    <x v="371"/>
    <x v="277"/>
    <n v="564.11"/>
    <n v="573.03"/>
    <n v="560.65"/>
    <n v="-1.8E-3"/>
    <x v="1"/>
  </r>
  <r>
    <x v="372"/>
    <x v="278"/>
    <n v="564.66999999999996"/>
    <n v="573.07000000000005"/>
    <n v="561.01"/>
    <n v="8.9999999999999998E-4"/>
    <x v="1"/>
  </r>
  <r>
    <x v="373"/>
    <x v="279"/>
    <n v="564.64"/>
    <n v="572.54"/>
    <n v="563.08000000000004"/>
    <n v="-4.1000000000000003E-3"/>
    <x v="1"/>
  </r>
  <r>
    <x v="374"/>
    <x v="280"/>
    <n v="564.70000000000005"/>
    <n v="573.12"/>
    <n v="563.08000000000004"/>
    <n v="1.8E-3"/>
    <x v="1"/>
  </r>
  <r>
    <x v="375"/>
    <x v="281"/>
    <n v="563.08000000000004"/>
    <n v="572.52"/>
    <n v="563.04999999999995"/>
    <n v="5.1000000000000004E-3"/>
    <x v="1"/>
  </r>
  <r>
    <x v="376"/>
    <x v="282"/>
    <n v="561.88"/>
    <n v="573.67999999999995"/>
    <n v="561.88"/>
    <n v="-7.7000000000000002E-3"/>
    <x v="1"/>
  </r>
  <r>
    <x v="377"/>
    <x v="283"/>
    <n v="563.62"/>
    <n v="572.5"/>
    <n v="561.88"/>
    <n v="6.7999999999999996E-3"/>
    <x v="1"/>
  </r>
  <r>
    <x v="378"/>
    <x v="284"/>
    <n v="562.87"/>
    <n v="572.28"/>
    <n v="562.1"/>
    <n v="1.2999999999999999E-3"/>
    <x v="1"/>
  </r>
  <r>
    <x v="379"/>
    <x v="285"/>
    <n v="562.76"/>
    <n v="571.53"/>
    <n v="562.15"/>
    <n v="2.0000000000000001E-4"/>
    <x v="1"/>
  </r>
  <r>
    <x v="380"/>
    <x v="286"/>
    <n v="562.78"/>
    <n v="570.88"/>
    <n v="562.15"/>
    <n v="0"/>
    <x v="1"/>
  </r>
  <r>
    <x v="381"/>
    <x v="287"/>
    <n v="562.73"/>
    <n v="567.85"/>
    <n v="562.15"/>
    <n v="1E-4"/>
    <x v="1"/>
  </r>
  <r>
    <x v="382"/>
    <x v="83"/>
    <n v="564.65"/>
    <n v="570.28"/>
    <n v="562.54999999999995"/>
    <n v="0"/>
    <x v="1"/>
  </r>
  <r>
    <x v="383"/>
    <x v="84"/>
    <n v="563.34"/>
    <n v="569.88"/>
    <n v="562.20000000000005"/>
    <n v="-3.3E-3"/>
    <x v="1"/>
  </r>
  <r>
    <x v="384"/>
    <x v="288"/>
    <n v="566.78"/>
    <n v="572.35"/>
    <n v="563.34"/>
    <n v="-4.7000000000000002E-3"/>
    <x v="1"/>
  </r>
  <r>
    <x v="385"/>
    <x v="289"/>
    <n v="571.32000000000005"/>
    <n v="576.32000000000005"/>
    <n v="566.12"/>
    <n v="-1.6999999999999999E-3"/>
    <x v="1"/>
  </r>
  <r>
    <x v="386"/>
    <x v="290"/>
    <n v="581.70000000000005"/>
    <n v="587.01"/>
    <n v="566.85"/>
    <n v="-2.2800000000000001E-2"/>
    <x v="1"/>
  </r>
  <r>
    <x v="387"/>
    <x v="291"/>
    <n v="581.70000000000005"/>
    <n v="586.70000000000005"/>
    <n v="572.4"/>
    <n v="0"/>
    <x v="1"/>
  </r>
  <r>
    <x v="388"/>
    <x v="291"/>
    <n v="585.55999999999995"/>
    <n v="590.55999999999995"/>
    <n v="573.30999999999995"/>
    <n v="-6.4999999999999997E-3"/>
    <x v="1"/>
  </r>
  <r>
    <x v="389"/>
    <x v="292"/>
    <n v="577.98"/>
    <n v="590.55999999999995"/>
    <n v="576.5"/>
    <n v="5.9999999999999995E-4"/>
    <x v="1"/>
  </r>
  <r>
    <x v="390"/>
    <x v="293"/>
    <n v="577.98"/>
    <n v="590.17999999999995"/>
    <n v="576.5"/>
    <n v="1.24E-2"/>
    <x v="1"/>
  </r>
  <r>
    <x v="391"/>
    <x v="294"/>
    <n v="568.54"/>
    <n v="582.98"/>
    <n v="568.54"/>
    <n v="5.4000000000000003E-3"/>
    <x v="1"/>
  </r>
  <r>
    <x v="392"/>
    <x v="295"/>
    <n v="570.70000000000005"/>
    <n v="580.44000000000005"/>
    <n v="568.66999999999996"/>
    <n v="7.1999999999999998E-3"/>
    <x v="1"/>
  </r>
  <r>
    <x v="393"/>
    <x v="296"/>
    <n v="565.34"/>
    <n v="584.37"/>
    <n v="563.65"/>
    <n v="1.24E-2"/>
    <x v="1"/>
  </r>
  <r>
    <x v="394"/>
    <x v="297"/>
    <n v="573.13"/>
    <n v="578.13"/>
    <n v="563.65"/>
    <n v="-4.5999999999999999E-3"/>
    <x v="1"/>
  </r>
  <r>
    <x v="395"/>
    <x v="149"/>
    <n v="564.85"/>
    <n v="571.30999999999995"/>
    <n v="560.67999999999995"/>
    <n v="-8.0999999999999996E-3"/>
    <x v="1"/>
  </r>
  <r>
    <x v="396"/>
    <x v="298"/>
    <n v="559.35"/>
    <n v="575.95000000000005"/>
    <n v="558.71"/>
    <n v="1.15E-2"/>
    <x v="1"/>
  </r>
  <r>
    <x v="397"/>
    <x v="299"/>
    <n v="564.13"/>
    <n v="569.42999999999995"/>
    <n v="556.70000000000005"/>
    <n v="5.0000000000000001E-4"/>
    <x v="1"/>
  </r>
  <r>
    <x v="398"/>
    <x v="300"/>
    <n v="564.16999999999996"/>
    <n v="569.16999999999996"/>
    <n v="556.70000000000005"/>
    <n v="-1E-4"/>
    <x v="1"/>
  </r>
  <r>
    <x v="399"/>
    <x v="277"/>
    <n v="563.78"/>
    <n v="569.17999999999995"/>
    <n v="556.70000000000005"/>
    <n v="1.0999999999999999E-2"/>
    <x v="1"/>
  </r>
  <r>
    <x v="400"/>
    <x v="301"/>
    <n v="561.84"/>
    <n v="569.42999999999995"/>
    <n v="556.69000000000005"/>
    <n v="-6.7999999999999996E-3"/>
    <x v="1"/>
  </r>
  <r>
    <x v="401"/>
    <x v="302"/>
    <n v="556.35"/>
    <n v="574.58000000000004"/>
    <n v="553.67999999999995"/>
    <n v="1.46E-2"/>
    <x v="1"/>
  </r>
  <r>
    <x v="402"/>
    <x v="303"/>
    <n v="559.41999999999996"/>
    <n v="565.91999999999996"/>
    <n v="553.67999999999995"/>
    <n v="-1.8599999999999998E-2"/>
    <x v="1"/>
  </r>
  <r>
    <x v="403"/>
    <x v="304"/>
    <n v="558.83000000000004"/>
    <n v="569.25"/>
    <n v="553.65"/>
    <n v="9.5999999999999992E-3"/>
    <x v="1"/>
  </r>
  <r>
    <x v="404"/>
    <x v="305"/>
    <n v="558.48"/>
    <n v="563.84"/>
    <n v="552.17999999999995"/>
    <n v="-1.2999999999999999E-3"/>
    <x v="1"/>
  </r>
  <r>
    <x v="405"/>
    <x v="306"/>
    <n v="557.88"/>
    <n v="565.12"/>
    <n v="552.1"/>
    <n v="3.0000000000000001E-3"/>
    <x v="1"/>
  </r>
  <r>
    <x v="406"/>
    <x v="307"/>
    <n v="557.88"/>
    <n v="569.04"/>
    <n v="552.08000000000004"/>
    <n v="0"/>
    <x v="1"/>
  </r>
  <r>
    <x v="407"/>
    <x v="307"/>
    <n v="552.08000000000004"/>
    <n v="562.9"/>
    <n v="550.87"/>
    <n v="7.7999999999999996E-3"/>
    <x v="1"/>
  </r>
  <r>
    <x v="408"/>
    <x v="308"/>
    <n v="552.80999999999995"/>
    <n v="563.54999999999995"/>
    <n v="551.07000000000005"/>
    <n v="4.4000000000000003E-3"/>
    <x v="1"/>
  </r>
  <r>
    <x v="409"/>
    <x v="309"/>
    <n v="555.75"/>
    <n v="561.79"/>
    <n v="551.07000000000005"/>
    <n v="-8.3000000000000001E-3"/>
    <x v="1"/>
  </r>
  <r>
    <x v="410"/>
    <x v="310"/>
    <n v="555.15"/>
    <n v="560.75"/>
    <n v="550.6"/>
    <n v="6.7000000000000002E-3"/>
    <x v="1"/>
  </r>
  <r>
    <x v="411"/>
    <x v="311"/>
    <n v="551.25"/>
    <n v="561.20000000000005"/>
    <n v="550.57000000000005"/>
    <n v="1.2999999999999999E-3"/>
    <x v="1"/>
  </r>
  <r>
    <x v="412"/>
    <x v="312"/>
    <n v="550.54999999999995"/>
    <n v="564.69000000000005"/>
    <n v="549.33000000000004"/>
    <n v="1.2999999999999999E-3"/>
    <x v="1"/>
  </r>
  <r>
    <x v="413"/>
    <x v="313"/>
    <n v="559.69000000000005"/>
    <n v="564.69000000000005"/>
    <n v="550.41999999999996"/>
    <n v="-7.6E-3"/>
    <x v="1"/>
  </r>
  <r>
    <x v="414"/>
    <x v="314"/>
    <n v="551.27"/>
    <n v="564.69000000000005"/>
    <n v="550.58000000000004"/>
    <n v="-2.2000000000000001E-3"/>
    <x v="1"/>
  </r>
  <r>
    <x v="415"/>
    <x v="315"/>
    <n v="555.1"/>
    <n v="564.76"/>
    <n v="550.65"/>
    <n v="2.0000000000000001E-4"/>
    <x v="1"/>
  </r>
  <r>
    <x v="416"/>
    <x v="316"/>
    <n v="551.9"/>
    <n v="560.9"/>
    <n v="550.59"/>
    <n v="4.5999999999999999E-3"/>
    <x v="1"/>
  </r>
  <r>
    <x v="417"/>
    <x v="317"/>
    <n v="555.35"/>
    <n v="562.89"/>
    <n v="551.6"/>
    <n v="-3.5999999999999999E-3"/>
    <x v="1"/>
  </r>
  <r>
    <x v="418"/>
    <x v="318"/>
    <n v="551.41"/>
    <n v="560.36"/>
    <n v="551.41"/>
    <n v="-2.2000000000000001E-3"/>
    <x v="1"/>
  </r>
  <r>
    <x v="419"/>
    <x v="319"/>
    <n v="556.54999999999995"/>
    <n v="563.30999999999995"/>
    <n v="551.61"/>
    <n v="0"/>
    <x v="1"/>
  </r>
  <r>
    <x v="420"/>
    <x v="320"/>
    <n v="556.54999999999995"/>
    <n v="563.24"/>
    <n v="551.65"/>
    <n v="-2E-3"/>
    <x v="1"/>
  </r>
  <r>
    <x v="421"/>
    <x v="321"/>
    <n v="556.5"/>
    <n v="563.24"/>
    <n v="551.65"/>
    <n v="2.0999999999999999E-3"/>
    <x v="1"/>
  </r>
  <r>
    <x v="422"/>
    <x v="322"/>
    <n v="552.29999999999995"/>
    <n v="565.64"/>
    <n v="551.65"/>
    <n v="7.4999999999999997E-3"/>
    <x v="1"/>
  </r>
  <r>
    <x v="423"/>
    <x v="323"/>
    <n v="551.52"/>
    <n v="561.36"/>
    <n v="551.52"/>
    <n v="-8.8000000000000005E-3"/>
    <x v="1"/>
  </r>
  <r>
    <x v="424"/>
    <x v="324"/>
    <n v="551.04"/>
    <n v="567.52"/>
    <n v="550.13"/>
    <n v="1.2800000000000001E-2"/>
    <x v="1"/>
  </r>
  <r>
    <x v="425"/>
    <x v="325"/>
    <n v="555.04999999999995"/>
    <n v="560.46"/>
    <n v="550.13"/>
    <n v="-1.52E-2"/>
    <x v="1"/>
  </r>
  <r>
    <x v="426"/>
    <x v="326"/>
    <n v="554.45000000000005"/>
    <n v="563.70000000000005"/>
    <n v="550.15"/>
    <n v="1.2999999999999999E-3"/>
    <x v="1"/>
  </r>
  <r>
    <x v="427"/>
    <x v="327"/>
    <n v="554.41999999999996"/>
    <n v="562.96"/>
    <n v="550.03"/>
    <n v="6.3E-3"/>
    <x v="1"/>
  </r>
  <r>
    <x v="428"/>
    <x v="328"/>
    <n v="553.88"/>
    <n v="564.14"/>
    <n v="550.04999999999995"/>
    <n v="2.0999999999999999E-3"/>
    <x v="1"/>
  </r>
  <r>
    <x v="429"/>
    <x v="329"/>
    <n v="551.14"/>
    <n v="564.64"/>
    <n v="550.1"/>
    <n v="1.1000000000000001E-3"/>
    <x v="1"/>
  </r>
  <r>
    <x v="430"/>
    <x v="330"/>
    <n v="552.45000000000005"/>
    <n v="564.64"/>
    <n v="549.38"/>
    <n v="4.0000000000000002E-4"/>
    <x v="1"/>
  </r>
  <r>
    <x v="431"/>
    <x v="331"/>
    <n v="549.33000000000004"/>
    <n v="562.64"/>
    <n v="549.33000000000004"/>
    <n v="-1.5E-3"/>
    <x v="1"/>
  </r>
  <r>
    <x v="432"/>
    <x v="332"/>
    <n v="552.1"/>
    <n v="564.33000000000004"/>
    <n v="546.25"/>
    <n v="2.0999999999999999E-3"/>
    <x v="1"/>
  </r>
  <r>
    <x v="433"/>
    <x v="333"/>
    <n v="551.62"/>
    <n v="557.11"/>
    <n v="549.4"/>
    <n v="-6.0000000000000001E-3"/>
    <x v="1"/>
  </r>
  <r>
    <x v="434"/>
    <x v="334"/>
    <n v="551.42999999999995"/>
    <n v="560.45000000000005"/>
    <n v="549.4"/>
    <n v="7.1999999999999998E-3"/>
    <x v="1"/>
  </r>
  <r>
    <x v="435"/>
    <x v="335"/>
    <n v="551.54999999999995"/>
    <n v="562.19000000000005"/>
    <n v="549.5"/>
    <n v="-2.0000000000000001E-4"/>
    <x v="1"/>
  </r>
  <r>
    <x v="436"/>
    <x v="336"/>
    <n v="551.79999999999995"/>
    <n v="556.79999999999995"/>
    <n v="549.45000000000005"/>
    <n v="-4.0000000000000002E-4"/>
    <x v="1"/>
  </r>
  <r>
    <x v="437"/>
    <x v="337"/>
    <n v="552.88"/>
    <n v="559.74"/>
    <n v="550.09"/>
    <n v="-1.9E-3"/>
    <x v="1"/>
  </r>
  <r>
    <x v="438"/>
    <x v="338"/>
    <n v="553.54"/>
    <n v="558.54"/>
    <n v="550.4"/>
    <n v="-1.1999999999999999E-3"/>
    <x v="1"/>
  </r>
  <r>
    <x v="439"/>
    <x v="339"/>
    <n v="550.1"/>
    <n v="560.79"/>
    <n v="545.6"/>
    <n v="-3.7000000000000002E-3"/>
    <x v="1"/>
  </r>
  <r>
    <x v="440"/>
    <x v="340"/>
    <n v="555"/>
    <n v="561.65"/>
    <n v="550.91999999999996"/>
    <n v="1.1000000000000001E-3"/>
    <x v="1"/>
  </r>
  <r>
    <x v="441"/>
    <x v="341"/>
    <n v="555.08000000000004"/>
    <n v="563.54999999999995"/>
    <n v="551.54999999999995"/>
    <n v="-1E-4"/>
    <x v="1"/>
  </r>
  <r>
    <x v="442"/>
    <x v="342"/>
    <n v="555.38"/>
    <n v="565.11"/>
    <n v="550.91999999999996"/>
    <n v="-5.0000000000000001E-4"/>
    <x v="1"/>
  </r>
  <r>
    <x v="443"/>
    <x v="343"/>
    <n v="551.66999999999996"/>
    <n v="566.23"/>
    <n v="550.9"/>
    <n v="-7.1999999999999998E-3"/>
    <x v="1"/>
  </r>
  <r>
    <x v="444"/>
    <x v="344"/>
    <n v="556.44000000000005"/>
    <n v="565.01"/>
    <n v="550.87"/>
    <n v="8.3000000000000001E-3"/>
    <x v="1"/>
  </r>
  <r>
    <x v="445"/>
    <x v="345"/>
    <n v="557.14"/>
    <n v="566.79"/>
    <n v="550.92999999999995"/>
    <n v="-7.7999999999999996E-3"/>
    <x v="1"/>
  </r>
  <r>
    <x v="446"/>
    <x v="346"/>
    <n v="554.58000000000004"/>
    <n v="564.20000000000005"/>
    <n v="550.92999999999995"/>
    <n v="1.1999999999999999E-3"/>
    <x v="1"/>
  </r>
  <r>
    <x v="447"/>
    <x v="347"/>
    <n v="554.54999999999995"/>
    <n v="563.5"/>
    <n v="551.15"/>
    <n v="7.1000000000000004E-3"/>
    <x v="1"/>
  </r>
  <r>
    <x v="448"/>
    <x v="348"/>
    <n v="554.62"/>
    <n v="565.54"/>
    <n v="551.29999999999995"/>
    <n v="-6.7999999999999996E-3"/>
    <x v="1"/>
  </r>
  <r>
    <x v="449"/>
    <x v="349"/>
    <n v="552.5"/>
    <n v="563.36"/>
    <n v="551.17999999999995"/>
    <n v="6.1000000000000004E-3"/>
    <x v="1"/>
  </r>
  <r>
    <x v="450"/>
    <x v="350"/>
    <n v="555.16999999999996"/>
    <n v="565.54"/>
    <n v="551.15"/>
    <n v="-4.0000000000000002E-4"/>
    <x v="1"/>
  </r>
  <r>
    <x v="451"/>
    <x v="351"/>
    <n v="555.28"/>
    <n v="565.54"/>
    <n v="551.35"/>
    <n v="-2.0000000000000001E-4"/>
    <x v="1"/>
  </r>
  <r>
    <x v="452"/>
    <x v="352"/>
    <n v="555.75"/>
    <n v="560.75"/>
    <n v="551.15"/>
    <n v="-8.0000000000000004E-4"/>
    <x v="1"/>
  </r>
  <r>
    <x v="453"/>
    <x v="310"/>
    <n v="552.5"/>
    <n v="565.54"/>
    <n v="551.5"/>
    <n v="-2.9999999999999997E-4"/>
    <x v="1"/>
  </r>
  <r>
    <x v="454"/>
    <x v="353"/>
    <n v="555.91999999999996"/>
    <n v="565.54"/>
    <n v="551.02"/>
    <n v="-4.3E-3"/>
    <x v="1"/>
  </r>
  <r>
    <x v="455"/>
    <x v="349"/>
    <n v="556.04999999999995"/>
    <n v="568.84"/>
    <n v="551.6"/>
    <n v="4.1000000000000003E-3"/>
    <x v="1"/>
  </r>
  <r>
    <x v="456"/>
    <x v="354"/>
    <n v="555.98"/>
    <n v="567.19000000000005"/>
    <n v="552.5"/>
    <n v="1E-4"/>
    <x v="1"/>
  </r>
  <r>
    <x v="457"/>
    <x v="355"/>
    <n v="555.79999999999995"/>
    <n v="560.98"/>
    <n v="551.4"/>
    <n v="2.9999999999999997E-4"/>
    <x v="1"/>
  </r>
  <r>
    <x v="458"/>
    <x v="356"/>
    <n v="552.5"/>
    <n v="567.19000000000005"/>
    <n v="550.22"/>
    <n v="2.3999999999999998E-3"/>
    <x v="1"/>
  </r>
  <r>
    <x v="459"/>
    <x v="357"/>
    <n v="552"/>
    <n v="559.5"/>
    <n v="550.48"/>
    <n v="8.9999999999999998E-4"/>
    <x v="1"/>
  </r>
  <r>
    <x v="460"/>
    <x v="358"/>
    <n v="547.08000000000004"/>
    <n v="563.78"/>
    <n v="544.52"/>
    <n v="-8.5000000000000006E-3"/>
    <x v="1"/>
  </r>
  <r>
    <x v="461"/>
    <x v="359"/>
    <n v="554.07000000000005"/>
    <n v="563.73"/>
    <n v="544.70000000000005"/>
    <n v="5.9999999999999995E-4"/>
    <x v="1"/>
  </r>
  <r>
    <x v="462"/>
    <x v="360"/>
    <n v="553.63"/>
    <n v="563.41"/>
    <n v="544.08000000000004"/>
    <n v="8.6E-3"/>
    <x v="1"/>
  </r>
  <r>
    <x v="463"/>
    <x v="361"/>
    <n v="547.26"/>
    <n v="565.19000000000005"/>
    <n v="544.62"/>
    <n v="1E-4"/>
    <x v="1"/>
  </r>
  <r>
    <x v="464"/>
    <x v="362"/>
    <n v="543.16999999999996"/>
    <n v="564.54"/>
    <n v="543.16999999999996"/>
    <n v="1.1999999999999999E-3"/>
    <x v="1"/>
  </r>
  <r>
    <x v="465"/>
    <x v="363"/>
    <n v="551.91999999999996"/>
    <n v="558.42999999999995"/>
    <n v="544.79999999999995"/>
    <n v="1.6999999999999999E-3"/>
    <x v="1"/>
  </r>
  <r>
    <x v="466"/>
    <x v="364"/>
    <n v="551.62"/>
    <n v="556.92999999999995"/>
    <n v="545.02"/>
    <n v="1.0699999999999999E-2"/>
    <x v="1"/>
  </r>
  <r>
    <x v="467"/>
    <x v="365"/>
    <n v="550.98"/>
    <n v="556.78"/>
    <n v="544.54"/>
    <n v="-8.9999999999999993E-3"/>
    <x v="1"/>
  </r>
  <r>
    <x v="468"/>
    <x v="366"/>
    <n v="546"/>
    <n v="555.99"/>
    <n v="544.66999999999996"/>
    <n v="1.5E-3"/>
    <x v="1"/>
  </r>
  <r>
    <x v="469"/>
    <x v="325"/>
    <n v="550.07000000000005"/>
    <n v="555.14"/>
    <n v="544.66999999999996"/>
    <n v="1E-4"/>
    <x v="1"/>
  </r>
  <r>
    <x v="470"/>
    <x v="367"/>
    <n v="543.80999999999995"/>
    <n v="555.08000000000004"/>
    <n v="543.80999999999995"/>
    <n v="2.3999999999999998E-3"/>
    <x v="1"/>
  </r>
  <r>
    <x v="471"/>
    <x v="368"/>
    <n v="553.79999999999995"/>
    <n v="560.44000000000005"/>
    <n v="544.82000000000005"/>
    <n v="-6.1000000000000004E-3"/>
    <x v="1"/>
  </r>
  <r>
    <x v="472"/>
    <x v="369"/>
    <n v="548.22"/>
    <n v="557.15"/>
    <n v="544.41999999999996"/>
    <n v="7.1000000000000004E-3"/>
    <x v="1"/>
  </r>
  <r>
    <x v="473"/>
    <x v="370"/>
    <n v="547.85"/>
    <n v="559.35"/>
    <n v="544.97"/>
    <n v="8.0000000000000004E-4"/>
    <x v="1"/>
  </r>
  <r>
    <x v="474"/>
    <x v="371"/>
    <n v="547.89"/>
    <n v="553.32000000000005"/>
    <n v="544.67999999999995"/>
    <n v="0"/>
    <x v="1"/>
  </r>
  <r>
    <x v="475"/>
    <x v="371"/>
    <n v="545.69000000000005"/>
    <n v="553.45000000000005"/>
    <n v="544.95000000000005"/>
    <n v="0"/>
    <x v="1"/>
  </r>
  <r>
    <x v="476"/>
    <x v="371"/>
    <n v="547.95000000000005"/>
    <n v="553.34"/>
    <n v="544.85"/>
    <n v="3.2000000000000002E-3"/>
    <x v="1"/>
  </r>
  <r>
    <x v="477"/>
    <x v="365"/>
    <n v="548"/>
    <n v="553.25"/>
    <n v="541.66"/>
    <n v="-3.5999999999999999E-3"/>
    <x v="1"/>
  </r>
  <r>
    <x v="478"/>
    <x v="372"/>
    <n v="545.78"/>
    <n v="553.03"/>
    <n v="544.85"/>
    <n v="1E-4"/>
    <x v="1"/>
  </r>
  <r>
    <x v="479"/>
    <x v="373"/>
    <n v="544.66999999999996"/>
    <n v="553.49"/>
    <n v="544.65"/>
    <n v="5.8999999999999999E-3"/>
    <x v="1"/>
  </r>
  <r>
    <x v="480"/>
    <x v="374"/>
    <n v="547.53"/>
    <n v="553.27"/>
    <n v="544.66999999999996"/>
    <n v="-6.1999999999999998E-3"/>
    <x v="1"/>
  </r>
  <r>
    <x v="481"/>
    <x v="375"/>
    <n v="548.1"/>
    <n v="558.65"/>
    <n v="544.89"/>
    <n v="0"/>
    <x v="1"/>
  </r>
  <r>
    <x v="482"/>
    <x v="376"/>
    <n v="548.6"/>
    <n v="553.6"/>
    <n v="544.51"/>
    <n v="-8.9999999999999998E-4"/>
    <x v="1"/>
  </r>
  <r>
    <x v="483"/>
    <x v="377"/>
    <n v="549.1"/>
    <n v="554.1"/>
    <n v="544.85"/>
    <n v="-8.9999999999999998E-4"/>
    <x v="1"/>
  </r>
  <r>
    <x v="484"/>
    <x v="378"/>
    <n v="549.32000000000005"/>
    <n v="554.32000000000005"/>
    <n v="544.4"/>
    <n v="-4.0000000000000002E-4"/>
    <x v="1"/>
  </r>
  <r>
    <x v="485"/>
    <x v="379"/>
    <n v="549.38"/>
    <n v="558.65"/>
    <n v="544.85"/>
    <n v="-4.1000000000000003E-3"/>
    <x v="1"/>
  </r>
  <r>
    <x v="486"/>
    <x v="380"/>
    <n v="547.08000000000004"/>
    <n v="556.58000000000004"/>
    <n v="542.52"/>
    <n v="-4.0000000000000002E-4"/>
    <x v="1"/>
  </r>
  <r>
    <x v="487"/>
    <x v="381"/>
    <n v="546"/>
    <n v="556.78"/>
    <n v="544.97"/>
    <n v="1.0500000000000001E-2"/>
    <x v="1"/>
  </r>
  <r>
    <x v="488"/>
    <x v="365"/>
    <n v="548.78"/>
    <n v="559.49"/>
    <n v="545.12"/>
    <n v="-5.0000000000000001E-3"/>
    <x v="1"/>
  </r>
  <r>
    <x v="489"/>
    <x v="382"/>
    <n v="545.85"/>
    <n v="559.4"/>
    <n v="540.39"/>
    <n v="1.6000000000000001E-3"/>
    <x v="1"/>
  </r>
  <r>
    <x v="490"/>
    <x v="383"/>
    <n v="548.12"/>
    <n v="559.11"/>
    <n v="544.96"/>
    <n v="1E-4"/>
    <x v="1"/>
  </r>
  <r>
    <x v="491"/>
    <x v="384"/>
    <n v="548.17999999999995"/>
    <n v="552.83000000000004"/>
    <n v="545.26"/>
    <n v="-5.9999999999999995E-4"/>
    <x v="1"/>
  </r>
  <r>
    <x v="492"/>
    <x v="385"/>
    <n v="548.16999999999996"/>
    <n v="553.17999999999995"/>
    <n v="545.27"/>
    <n v="0"/>
    <x v="1"/>
  </r>
  <r>
    <x v="493"/>
    <x v="386"/>
    <n v="548.25"/>
    <n v="554.75"/>
    <n v="540.99"/>
    <n v="-2.0000000000000001E-4"/>
    <x v="2"/>
  </r>
  <r>
    <x v="494"/>
    <x v="387"/>
    <n v="546"/>
    <n v="554.75"/>
    <n v="545.15"/>
    <n v="-1E-4"/>
    <x v="2"/>
  </r>
  <r>
    <x v="495"/>
    <x v="388"/>
    <n v="547.91999999999996"/>
    <n v="554.75"/>
    <n v="544.67999999999995"/>
    <n v="4.1999999999999997E-3"/>
    <x v="2"/>
  </r>
  <r>
    <x v="496"/>
    <x v="365"/>
    <n v="548.05999999999995"/>
    <n v="552.83000000000004"/>
    <n v="544.67999999999995"/>
    <n v="-3.7000000000000002E-3"/>
    <x v="2"/>
  </r>
  <r>
    <x v="497"/>
    <x v="389"/>
    <n v="549.04999999999995"/>
    <n v="554.04999999999995"/>
    <n v="545.92999999999995"/>
    <n v="-1.8E-3"/>
    <x v="2"/>
  </r>
  <r>
    <x v="498"/>
    <x v="390"/>
    <n v="548.29999999999995"/>
    <n v="554.75"/>
    <n v="543"/>
    <n v="1.4E-3"/>
    <x v="2"/>
  </r>
  <r>
    <x v="499"/>
    <x v="388"/>
    <n v="546"/>
    <n v="554.75"/>
    <n v="544.48"/>
    <n v="3.3999999999999998E-3"/>
    <x v="2"/>
  </r>
  <r>
    <x v="500"/>
    <x v="391"/>
    <n v="545.32000000000005"/>
    <n v="554.75"/>
    <n v="545.32000000000005"/>
    <n v="1.6999999999999999E-3"/>
    <x v="2"/>
  </r>
  <r>
    <x v="501"/>
    <x v="392"/>
    <n v="547.55999999999995"/>
    <n v="554.75"/>
    <n v="545.04999999999995"/>
    <n v="6.9999999999999999E-4"/>
    <x v="2"/>
  </r>
  <r>
    <x v="502"/>
    <x v="393"/>
    <n v="545.08000000000004"/>
    <n v="554.75"/>
    <n v="543.35"/>
    <n v="0"/>
    <x v="2"/>
  </r>
  <r>
    <x v="503"/>
    <x v="394"/>
    <n v="545.79"/>
    <n v="554.75"/>
    <n v="545.08000000000004"/>
    <n v="1E-4"/>
    <x v="2"/>
  </r>
  <r>
    <x v="504"/>
    <x v="395"/>
    <n v="552.1"/>
    <n v="559.51"/>
    <n v="544.57000000000005"/>
    <n v="-1E-4"/>
    <x v="2"/>
  </r>
  <r>
    <x v="505"/>
    <x v="393"/>
    <n v="545.07000000000005"/>
    <n v="554.75"/>
    <n v="545.05999999999995"/>
    <n v="-5.0000000000000001E-3"/>
    <x v="2"/>
  </r>
  <r>
    <x v="506"/>
    <x v="384"/>
    <n v="546"/>
    <n v="552.83000000000004"/>
    <n v="543"/>
    <n v="5.1000000000000004E-3"/>
    <x v="2"/>
  </r>
  <r>
    <x v="507"/>
    <x v="396"/>
    <n v="545.03"/>
    <n v="554.75"/>
    <n v="544.67999999999995"/>
    <n v="-1E-4"/>
    <x v="2"/>
  </r>
  <r>
    <x v="508"/>
    <x v="397"/>
    <n v="545.09"/>
    <n v="554.75"/>
    <n v="545.03"/>
    <n v="-5.1000000000000004E-3"/>
    <x v="2"/>
  </r>
  <r>
    <x v="509"/>
    <x v="384"/>
    <n v="546"/>
    <n v="552.83000000000004"/>
    <n v="542.35"/>
    <n v="4.8999999999999998E-3"/>
    <x v="2"/>
  </r>
  <r>
    <x v="510"/>
    <x v="398"/>
    <n v="546"/>
    <n v="554.75"/>
    <n v="545.11"/>
    <n v="-2.0000000000000001E-4"/>
    <x v="2"/>
  </r>
  <r>
    <x v="511"/>
    <x v="399"/>
    <n v="546.96"/>
    <n v="551.96"/>
    <n v="543.48"/>
    <n v="-4.7999999999999996E-3"/>
    <x v="2"/>
  </r>
  <r>
    <x v="512"/>
    <x v="384"/>
    <n v="545.15"/>
    <n v="553.80999999999995"/>
    <n v="544.85"/>
    <n v="4.8999999999999998E-3"/>
    <x v="2"/>
  </r>
  <r>
    <x v="513"/>
    <x v="400"/>
    <n v="545.5"/>
    <n v="553.75"/>
    <n v="543.33000000000004"/>
    <n v="-2.0000000000000001E-4"/>
    <x v="2"/>
  </r>
  <r>
    <x v="514"/>
    <x v="401"/>
    <n v="546.22"/>
    <n v="551.22"/>
    <n v="544.79999999999995"/>
    <n v="-3.7000000000000002E-3"/>
    <x v="2"/>
  </r>
  <r>
    <x v="515"/>
    <x v="402"/>
    <n v="545.48"/>
    <n v="553.4"/>
    <n v="542.80999999999995"/>
    <n v="-8.0000000000000004E-4"/>
    <x v="2"/>
  </r>
  <r>
    <x v="516"/>
    <x v="403"/>
    <n v="545.09"/>
    <n v="552.79999999999995"/>
    <n v="542.85"/>
    <n v="1.8E-3"/>
    <x v="2"/>
  </r>
  <r>
    <x v="517"/>
    <x v="404"/>
    <n v="547.04999999999995"/>
    <n v="554.9"/>
    <n v="543.12"/>
    <n v="-5.0000000000000001E-4"/>
    <x v="2"/>
  </r>
  <r>
    <x v="518"/>
    <x v="405"/>
    <n v="549.05999999999995"/>
    <n v="554.15"/>
    <n v="545.82000000000005"/>
    <n v="1.1000000000000001E-3"/>
    <x v="2"/>
  </r>
  <r>
    <x v="519"/>
    <x v="406"/>
    <n v="546.48"/>
    <n v="557.9"/>
    <n v="545.86"/>
    <n v="-1E-4"/>
    <x v="2"/>
  </r>
  <r>
    <x v="520"/>
    <x v="407"/>
    <n v="547.48"/>
    <n v="556.88"/>
    <n v="545.17999999999995"/>
    <n v="-5.1999999999999998E-3"/>
    <x v="2"/>
  </r>
  <r>
    <x v="521"/>
    <x v="408"/>
    <n v="548.03"/>
    <n v="554.39"/>
    <n v="545.78"/>
    <n v="2.5000000000000001E-3"/>
    <x v="2"/>
  </r>
  <r>
    <x v="522"/>
    <x v="409"/>
    <n v="546.33000000000004"/>
    <n v="556.61"/>
    <n v="545.82000000000005"/>
    <n v="3.0999999999999999E-3"/>
    <x v="2"/>
  </r>
  <r>
    <x v="523"/>
    <x v="410"/>
    <n v="549.08000000000004"/>
    <n v="557.77"/>
    <n v="545.78"/>
    <n v="-8.5000000000000006E-3"/>
    <x v="2"/>
  </r>
  <r>
    <x v="524"/>
    <x v="411"/>
    <n v="546.09"/>
    <n v="556.04999999999995"/>
    <n v="545.82000000000005"/>
    <n v="3.8E-3"/>
    <x v="2"/>
  </r>
  <r>
    <x v="525"/>
    <x v="412"/>
    <n v="548.74"/>
    <n v="554.54"/>
    <n v="545.16999999999996"/>
    <n v="4.4999999999999997E-3"/>
    <x v="2"/>
  </r>
  <r>
    <x v="526"/>
    <x v="413"/>
    <n v="549.41999999999996"/>
    <n v="554.41999999999996"/>
    <n v="545.84"/>
    <n v="-4.3E-3"/>
    <x v="2"/>
  </r>
  <r>
    <x v="527"/>
    <x v="414"/>
    <n v="549.33000000000004"/>
    <n v="556.23"/>
    <n v="546.5"/>
    <n v="-8.0000000000000004E-4"/>
    <x v="2"/>
  </r>
  <r>
    <x v="528"/>
    <x v="415"/>
    <n v="549"/>
    <n v="555.94000000000005"/>
    <n v="546.83000000000004"/>
    <n v="1E-3"/>
    <x v="2"/>
  </r>
  <r>
    <x v="529"/>
    <x v="382"/>
    <n v="548.65"/>
    <n v="554.46"/>
    <n v="546.17999999999995"/>
    <n v="5.9999999999999995E-4"/>
    <x v="2"/>
  </r>
  <r>
    <x v="530"/>
    <x v="416"/>
    <n v="548.67999999999995"/>
    <n v="554.02"/>
    <n v="546.84"/>
    <n v="-4.0000000000000002E-4"/>
    <x v="2"/>
  </r>
  <r>
    <x v="531"/>
    <x v="417"/>
    <n v="548.39"/>
    <n v="559.15"/>
    <n v="547.36"/>
    <n v="-5.3E-3"/>
    <x v="2"/>
  </r>
  <r>
    <x v="532"/>
    <x v="418"/>
    <n v="547.9"/>
    <n v="556.9"/>
    <n v="547.33000000000004"/>
    <n v="6.7999999999999996E-3"/>
    <x v="2"/>
  </r>
  <r>
    <x v="533"/>
    <x v="419"/>
    <n v="548.6"/>
    <n v="558.15"/>
    <n v="546.87"/>
    <n v="-5.5999999999999999E-3"/>
    <x v="2"/>
  </r>
  <r>
    <x v="534"/>
    <x v="420"/>
    <n v="548.84"/>
    <n v="555.96"/>
    <n v="546.85"/>
    <n v="6.3E-3"/>
    <x v="2"/>
  </r>
  <r>
    <x v="535"/>
    <x v="421"/>
    <n v="548.58000000000004"/>
    <n v="557.79999999999995"/>
    <n v="546.15"/>
    <n v="-5.4000000000000003E-3"/>
    <x v="2"/>
  </r>
  <r>
    <x v="536"/>
    <x v="422"/>
    <n v="547.27"/>
    <n v="555.49"/>
    <n v="546.6"/>
    <n v="5.7999999999999996E-3"/>
    <x v="2"/>
  </r>
  <r>
    <x v="537"/>
    <x v="423"/>
    <n v="547.54999999999995"/>
    <n v="557.9"/>
    <n v="542.67999999999995"/>
    <n v="-5.0000000000000001E-4"/>
    <x v="2"/>
  </r>
  <r>
    <x v="538"/>
    <x v="424"/>
    <n v="547.4"/>
    <n v="558"/>
    <n v="544.83000000000004"/>
    <n v="2.9999999999999997E-4"/>
    <x v="2"/>
  </r>
  <r>
    <x v="539"/>
    <x v="425"/>
    <n v="547.38"/>
    <n v="553.5"/>
    <n v="547.38"/>
    <n v="-5.7999999999999996E-3"/>
    <x v="2"/>
  </r>
  <r>
    <x v="540"/>
    <x v="426"/>
    <n v="547.83000000000004"/>
    <n v="556"/>
    <n v="547.38"/>
    <n v="5.1000000000000004E-3"/>
    <x v="2"/>
  </r>
  <r>
    <x v="541"/>
    <x v="384"/>
    <n v="547.23"/>
    <n v="558.1"/>
    <n v="547.20000000000005"/>
    <n v="1.1000000000000001E-3"/>
    <x v="2"/>
  </r>
  <r>
    <x v="542"/>
    <x v="427"/>
    <n v="547.25"/>
    <n v="557.45000000000005"/>
    <n v="547.23"/>
    <n v="0"/>
    <x v="2"/>
  </r>
  <r>
    <x v="543"/>
    <x v="428"/>
    <n v="548.25"/>
    <n v="557.45000000000005"/>
    <n v="547.25"/>
    <n v="0"/>
    <x v="2"/>
  </r>
  <r>
    <x v="544"/>
    <x v="429"/>
    <n v="547.32000000000005"/>
    <n v="557.45000000000005"/>
    <n v="547.26"/>
    <n v="-2.7000000000000001E-3"/>
    <x v="2"/>
  </r>
  <r>
    <x v="545"/>
    <x v="430"/>
    <n v="547.26"/>
    <n v="554.29999999999995"/>
    <n v="547.26"/>
    <n v="2.7000000000000001E-3"/>
    <x v="2"/>
  </r>
  <r>
    <x v="546"/>
    <x v="429"/>
    <n v="547.26"/>
    <n v="557.04999999999995"/>
    <n v="547.25"/>
    <n v="0"/>
    <x v="2"/>
  </r>
  <r>
    <x v="547"/>
    <x v="429"/>
    <n v="547.24"/>
    <n v="555.54"/>
    <n v="547.20000000000005"/>
    <n v="0"/>
    <x v="2"/>
  </r>
  <r>
    <x v="548"/>
    <x v="431"/>
    <n v="549.6"/>
    <n v="557.04999999999995"/>
    <n v="547.19000000000005"/>
    <n v="-4.7000000000000002E-3"/>
    <x v="2"/>
  </r>
  <r>
    <x v="549"/>
    <x v="432"/>
    <n v="550.20000000000005"/>
    <n v="554.86"/>
    <n v="547.16"/>
    <n v="-2.0000000000000001E-4"/>
    <x v="2"/>
  </r>
  <r>
    <x v="550"/>
    <x v="433"/>
    <n v="548.75"/>
    <n v="554.95000000000005"/>
    <n v="547.15"/>
    <n v="4.8999999999999998E-3"/>
    <x v="2"/>
  </r>
  <r>
    <x v="551"/>
    <x v="434"/>
    <n v="548.87"/>
    <n v="557"/>
    <n v="546.1"/>
    <n v="0"/>
    <x v="2"/>
  </r>
  <r>
    <x v="552"/>
    <x v="435"/>
    <n v="547.23"/>
    <n v="552.5"/>
    <n v="544.54"/>
    <n v="0"/>
    <x v="2"/>
  </r>
  <r>
    <x v="553"/>
    <x v="427"/>
    <n v="549.02"/>
    <n v="557.1"/>
    <n v="546.22"/>
    <n v="0"/>
    <x v="2"/>
  </r>
  <r>
    <x v="554"/>
    <x v="427"/>
    <n v="547.70000000000005"/>
    <n v="557.70000000000005"/>
    <n v="546.35"/>
    <n v="5.9999999999999995E-4"/>
    <x v="2"/>
  </r>
  <r>
    <x v="555"/>
    <x v="436"/>
    <n v="546.33000000000004"/>
    <n v="552"/>
    <n v="546.33000000000004"/>
    <n v="-4.7999999999999996E-3"/>
    <x v="2"/>
  </r>
  <r>
    <x v="556"/>
    <x v="437"/>
    <n v="546.35"/>
    <n v="554.57000000000005"/>
    <n v="545.75"/>
    <n v="5.7999999999999996E-3"/>
    <x v="2"/>
  </r>
  <r>
    <x v="557"/>
    <x v="438"/>
    <n v="546.33000000000004"/>
    <n v="552.5"/>
    <n v="546.33000000000004"/>
    <n v="0"/>
    <x v="2"/>
  </r>
  <r>
    <x v="558"/>
    <x v="410"/>
    <n v="548.58000000000004"/>
    <n v="556.04999999999995"/>
    <n v="545.92999999999995"/>
    <n v="-6.3E-3"/>
    <x v="2"/>
  </r>
  <r>
    <x v="559"/>
    <x v="439"/>
    <n v="547.5"/>
    <n v="554.84"/>
    <n v="545.91999999999996"/>
    <n v="7.1000000000000004E-3"/>
    <x v="2"/>
  </r>
  <r>
    <x v="560"/>
    <x v="440"/>
    <n v="545.97"/>
    <n v="557.15"/>
    <n v="545.79999999999995"/>
    <n v="-1E-4"/>
    <x v="2"/>
  </r>
  <r>
    <x v="561"/>
    <x v="441"/>
    <n v="545.91999999999996"/>
    <n v="556.5"/>
    <n v="545.91999999999996"/>
    <n v="1E-4"/>
    <x v="2"/>
  </r>
  <r>
    <x v="562"/>
    <x v="440"/>
    <n v="545.91999999999996"/>
    <n v="556.25"/>
    <n v="545.84"/>
    <n v="0"/>
    <x v="2"/>
  </r>
  <r>
    <x v="563"/>
    <x v="440"/>
    <n v="545.35"/>
    <n v="556.6"/>
    <n v="545.35"/>
    <n v="-5.4999999999999997E-3"/>
    <x v="2"/>
  </r>
  <r>
    <x v="564"/>
    <x v="442"/>
    <n v="545.17999999999995"/>
    <n v="553.99"/>
    <n v="544.70000000000005"/>
    <n v="2.9999999999999997E-4"/>
    <x v="2"/>
  </r>
  <r>
    <x v="565"/>
    <x v="443"/>
    <n v="547.5"/>
    <n v="553.83000000000004"/>
    <n v="545.1"/>
    <n v="6.7999999999999996E-3"/>
    <x v="2"/>
  </r>
  <r>
    <x v="566"/>
    <x v="444"/>
    <n v="545.25"/>
    <n v="554.4"/>
    <n v="545.1"/>
    <n v="-2.9999999999999997E-4"/>
    <x v="2"/>
  </r>
  <r>
    <x v="567"/>
    <x v="401"/>
    <n v="545.49"/>
    <n v="554.25"/>
    <n v="545.25"/>
    <n v="-4.0000000000000002E-4"/>
    <x v="2"/>
  </r>
  <r>
    <x v="568"/>
    <x v="445"/>
    <n v="545.49"/>
    <n v="554.5"/>
    <n v="545.48"/>
    <n v="0"/>
    <x v="2"/>
  </r>
  <r>
    <x v="569"/>
    <x v="445"/>
    <n v="546.16"/>
    <n v="554.5"/>
    <n v="545.49"/>
    <n v="-4.3E-3"/>
    <x v="2"/>
  </r>
  <r>
    <x v="570"/>
    <x v="446"/>
    <n v="546.5"/>
    <n v="554.11"/>
    <n v="545.83000000000004"/>
    <n v="2.5000000000000001E-3"/>
    <x v="2"/>
  </r>
  <r>
    <x v="571"/>
    <x v="407"/>
    <n v="546.37"/>
    <n v="554.95000000000005"/>
    <n v="545.86"/>
    <n v="2.0000000000000001E-4"/>
    <x v="2"/>
  </r>
  <r>
    <x v="572"/>
    <x v="447"/>
    <n v="546.35"/>
    <n v="556.15"/>
    <n v="545.84"/>
    <n v="0"/>
    <x v="2"/>
  </r>
  <r>
    <x v="573"/>
    <x v="438"/>
    <n v="546.20000000000005"/>
    <n v="556.1"/>
    <n v="545.79999999999995"/>
    <n v="-4.7000000000000002E-3"/>
    <x v="2"/>
  </r>
  <r>
    <x v="574"/>
    <x v="412"/>
    <n v="545.92999999999995"/>
    <n v="553.97"/>
    <n v="545.34"/>
    <n v="5.4999999999999997E-3"/>
    <x v="2"/>
  </r>
  <r>
    <x v="575"/>
    <x v="448"/>
    <n v="546"/>
    <n v="556.1"/>
    <n v="545.83000000000004"/>
    <n v="-4.5999999999999999E-3"/>
    <x v="2"/>
  </r>
  <r>
    <x v="576"/>
    <x v="449"/>
    <n v="545.99"/>
    <n v="553.5"/>
    <n v="545"/>
    <n v="4.5999999999999999E-3"/>
    <x v="2"/>
  </r>
  <r>
    <x v="577"/>
    <x v="450"/>
    <n v="545.99"/>
    <n v="553.47"/>
    <n v="545.85"/>
    <n v="0"/>
    <x v="2"/>
  </r>
  <r>
    <x v="578"/>
    <x v="450"/>
    <n v="546"/>
    <n v="552.25"/>
    <n v="544.99"/>
    <n v="-2.3E-3"/>
    <x v="2"/>
  </r>
  <r>
    <x v="579"/>
    <x v="428"/>
    <n v="545.98"/>
    <n v="552.5"/>
    <n v="545.45000000000005"/>
    <n v="2.3E-3"/>
    <x v="2"/>
  </r>
  <r>
    <x v="580"/>
    <x v="451"/>
    <n v="546.5"/>
    <n v="552.5"/>
    <n v="545.83000000000004"/>
    <n v="0"/>
    <x v="2"/>
  </r>
  <r>
    <x v="581"/>
    <x v="365"/>
    <n v="546.11"/>
    <n v="556.04999999999995"/>
    <n v="545"/>
    <n v="-2.0000000000000001E-4"/>
    <x v="2"/>
  </r>
  <r>
    <x v="582"/>
    <x v="452"/>
    <n v="546.02"/>
    <n v="555.35"/>
    <n v="544.65"/>
    <n v="2.0000000000000001E-4"/>
    <x v="2"/>
  </r>
  <r>
    <x v="583"/>
    <x v="453"/>
    <n v="545.85"/>
    <n v="555.35"/>
    <n v="545"/>
    <n v="1.8E-3"/>
    <x v="2"/>
  </r>
  <r>
    <x v="584"/>
    <x v="395"/>
    <n v="545.02"/>
    <n v="555.79999999999995"/>
    <n v="544.85"/>
    <n v="0"/>
    <x v="2"/>
  </r>
  <r>
    <x v="585"/>
    <x v="395"/>
    <n v="545.01"/>
    <n v="555.79999999999995"/>
    <n v="544.58000000000004"/>
    <n v="-2.8E-3"/>
    <x v="2"/>
  </r>
  <r>
    <x v="586"/>
    <x v="454"/>
    <n v="545.11"/>
    <n v="552.66"/>
    <n v="544.12"/>
    <n v="2.7000000000000001E-3"/>
    <x v="2"/>
  </r>
  <r>
    <x v="587"/>
    <x v="398"/>
    <n v="544.66"/>
    <n v="555.1"/>
    <n v="544.66"/>
    <n v="8.0000000000000004E-4"/>
    <x v="2"/>
  </r>
  <r>
    <x v="588"/>
    <x v="455"/>
    <n v="543.97"/>
    <n v="555.15"/>
    <n v="543.97"/>
    <n v="1.2999999999999999E-3"/>
    <x v="2"/>
  </r>
  <r>
    <x v="589"/>
    <x v="456"/>
    <n v="546.52"/>
    <n v="554.95000000000005"/>
    <n v="543.92999999999995"/>
    <n v="-5.4000000000000003E-3"/>
    <x v="2"/>
  </r>
  <r>
    <x v="590"/>
    <x v="457"/>
    <n v="545.5"/>
    <n v="552.21"/>
    <n v="543.38"/>
    <n v="6.3E-3"/>
    <x v="2"/>
  </r>
  <r>
    <x v="591"/>
    <x v="458"/>
    <n v="545.78"/>
    <n v="550.78"/>
    <n v="543.38"/>
    <n v="-4.7999999999999996E-3"/>
    <x v="2"/>
  </r>
  <r>
    <x v="592"/>
    <x v="459"/>
    <n v="543.64"/>
    <n v="552.24"/>
    <n v="543.5"/>
    <n v="1.1999999999999999E-3"/>
    <x v="2"/>
  </r>
  <r>
    <x v="593"/>
    <x v="460"/>
    <n v="547.79999999999995"/>
    <n v="552.79999999999995"/>
    <n v="543.61"/>
    <n v="-2E-3"/>
    <x v="2"/>
  </r>
  <r>
    <x v="594"/>
    <x v="461"/>
    <n v="544"/>
    <n v="552.20000000000005"/>
    <n v="543.32000000000005"/>
    <n v="5.4999999999999997E-3"/>
    <x v="2"/>
  </r>
  <r>
    <x v="595"/>
    <x v="462"/>
    <n v="543.22"/>
    <n v="554.5"/>
    <n v="541.47"/>
    <n v="6.9999999999999999E-4"/>
    <x v="2"/>
  </r>
  <r>
    <x v="596"/>
    <x v="463"/>
    <n v="543.30999999999995"/>
    <n v="554.5"/>
    <n v="543.22"/>
    <n v="-5.1999999999999998E-3"/>
    <x v="2"/>
  </r>
  <r>
    <x v="597"/>
    <x v="464"/>
    <n v="543.26"/>
    <n v="551.05999999999995"/>
    <n v="543.26"/>
    <n v="5.1000000000000004E-3"/>
    <x v="2"/>
  </r>
  <r>
    <x v="598"/>
    <x v="465"/>
    <n v="543.5"/>
    <n v="548.5"/>
    <n v="542.79999999999995"/>
    <n v="1E-4"/>
    <x v="2"/>
  </r>
  <r>
    <x v="599"/>
    <x v="466"/>
    <n v="546.66"/>
    <n v="551.66"/>
    <n v="543.15"/>
    <n v="0"/>
    <x v="2"/>
  </r>
  <r>
    <x v="600"/>
    <x v="467"/>
    <n v="544.25"/>
    <n v="553.20000000000005"/>
    <n v="542.96"/>
    <n v="0"/>
    <x v="2"/>
  </r>
  <r>
    <x v="601"/>
    <x v="468"/>
    <n v="544.5"/>
    <n v="550.4"/>
    <n v="542.64"/>
    <n v="-2.0000000000000001E-4"/>
    <x v="2"/>
  </r>
  <r>
    <x v="602"/>
    <x v="469"/>
    <n v="542.80999999999995"/>
    <n v="552.15"/>
    <n v="542.80999999999995"/>
    <n v="8.9999999999999998E-4"/>
    <x v="2"/>
  </r>
  <r>
    <x v="603"/>
    <x v="470"/>
    <n v="542"/>
    <n v="553.65"/>
    <n v="541.28"/>
    <n v="2.7000000000000001E-3"/>
    <x v="2"/>
  </r>
  <r>
    <x v="604"/>
    <x v="471"/>
    <n v="539.98"/>
    <n v="552.65"/>
    <n v="539.98"/>
    <n v="-2.0000000000000001E-4"/>
    <x v="2"/>
  </r>
  <r>
    <x v="605"/>
    <x v="472"/>
    <n v="541.36"/>
    <n v="550"/>
    <n v="540.45000000000005"/>
    <n v="-3.8E-3"/>
    <x v="2"/>
  </r>
  <r>
    <x v="606"/>
    <x v="458"/>
    <n v="540.96"/>
    <n v="548.70000000000005"/>
    <n v="540.77"/>
    <n v="4.4000000000000003E-3"/>
    <x v="2"/>
  </r>
  <r>
    <x v="607"/>
    <x v="473"/>
    <n v="541.41999999999996"/>
    <n v="550.6"/>
    <n v="540.76"/>
    <n v="-5.0000000000000001E-4"/>
    <x v="2"/>
  </r>
  <r>
    <x v="608"/>
    <x v="472"/>
    <n v="541.39"/>
    <n v="551.35"/>
    <n v="540.65"/>
    <n v="-5.7999999999999996E-3"/>
    <x v="2"/>
  </r>
  <r>
    <x v="609"/>
    <x v="474"/>
    <n v="541.38"/>
    <n v="549.63"/>
    <n v="541.33000000000004"/>
    <n v="1E-4"/>
    <x v="2"/>
  </r>
  <r>
    <x v="610"/>
    <x v="475"/>
    <n v="541.48"/>
    <n v="549.58000000000004"/>
    <n v="541.33000000000004"/>
    <n v="5.7000000000000002E-3"/>
    <x v="2"/>
  </r>
  <r>
    <x v="611"/>
    <x v="476"/>
    <n v="540.16"/>
    <n v="550"/>
    <n v="540.16"/>
    <n v="1E-4"/>
    <x v="2"/>
  </r>
  <r>
    <x v="612"/>
    <x v="477"/>
    <n v="541.51"/>
    <n v="550.48"/>
    <n v="540.84"/>
    <n v="-3.5999999999999999E-3"/>
    <x v="2"/>
  </r>
  <r>
    <x v="613"/>
    <x v="478"/>
    <n v="542.87"/>
    <n v="548.38"/>
    <n v="541.5"/>
    <n v="-1E-4"/>
    <x v="2"/>
  </r>
  <r>
    <x v="614"/>
    <x v="479"/>
    <n v="542.54999999999995"/>
    <n v="549.47"/>
    <n v="541.67999999999995"/>
    <n v="1.6000000000000001E-3"/>
    <x v="2"/>
  </r>
  <r>
    <x v="615"/>
    <x v="480"/>
    <n v="542.6"/>
    <n v="550.85"/>
    <n v="540.92999999999995"/>
    <n v="-1E-4"/>
    <x v="2"/>
  </r>
  <r>
    <x v="616"/>
    <x v="481"/>
    <n v="542.49"/>
    <n v="551.65"/>
    <n v="541.86"/>
    <n v="-3.5999999999999999E-3"/>
    <x v="2"/>
  </r>
  <r>
    <x v="617"/>
    <x v="482"/>
    <n v="542.16999999999996"/>
    <n v="549.75"/>
    <n v="542.16999999999996"/>
    <n v="-1E-4"/>
    <x v="2"/>
  </r>
  <r>
    <x v="618"/>
    <x v="455"/>
    <n v="542.1"/>
    <n v="549.72"/>
    <n v="541.63"/>
    <n v="2.0000000000000001E-4"/>
    <x v="2"/>
  </r>
  <r>
    <x v="619"/>
    <x v="483"/>
    <n v="545.13"/>
    <n v="549.54"/>
    <n v="540.29999999999995"/>
    <n v="-2.0999999999999999E-3"/>
    <x v="2"/>
  </r>
  <r>
    <x v="620"/>
    <x v="484"/>
    <n v="545.70000000000005"/>
    <n v="550.72"/>
    <n v="540.82000000000005"/>
    <n v="7.6E-3"/>
    <x v="2"/>
  </r>
  <r>
    <x v="621"/>
    <x v="485"/>
    <n v="540.4"/>
    <n v="546.75"/>
    <n v="540.4"/>
    <n v="0"/>
    <x v="2"/>
  </r>
  <r>
    <x v="622"/>
    <x v="486"/>
    <n v="541.59"/>
    <n v="546.75"/>
    <n v="541.12"/>
    <n v="0"/>
    <x v="2"/>
  </r>
  <r>
    <x v="623"/>
    <x v="486"/>
    <n v="541.66999999999996"/>
    <n v="551.05999999999995"/>
    <n v="541.35"/>
    <n v="-1E-4"/>
    <x v="2"/>
  </r>
  <r>
    <x v="624"/>
    <x v="487"/>
    <n v="542"/>
    <n v="552.15"/>
    <n v="541.36"/>
    <n v="1E-4"/>
    <x v="2"/>
  </r>
  <r>
    <x v="625"/>
    <x v="488"/>
    <n v="540.47"/>
    <n v="552.15"/>
    <n v="539.87"/>
    <n v="2.0999999999999999E-3"/>
    <x v="2"/>
  </r>
  <r>
    <x v="626"/>
    <x v="489"/>
    <n v="539.66999999999996"/>
    <n v="552.70000000000005"/>
    <n v="539.66999999999996"/>
    <n v="2.9999999999999997E-4"/>
    <x v="2"/>
  </r>
  <r>
    <x v="627"/>
    <x v="490"/>
    <n v="540.49"/>
    <n v="549.70000000000005"/>
    <n v="539.36"/>
    <n v="-2.9999999999999997E-4"/>
    <x v="2"/>
  </r>
  <r>
    <x v="628"/>
    <x v="491"/>
    <n v="540.13"/>
    <n v="550.25"/>
    <n v="540"/>
    <n v="6.9999999999999999E-4"/>
    <x v="2"/>
  </r>
  <r>
    <x v="629"/>
    <x v="492"/>
    <n v="540"/>
    <n v="550.79999999999995"/>
    <n v="539.33000000000004"/>
    <n v="5.0000000000000001E-4"/>
    <x v="2"/>
  </r>
  <r>
    <x v="630"/>
    <x v="493"/>
    <n v="539.79999999999995"/>
    <n v="550.9"/>
    <n v="536.94000000000005"/>
    <n v="1E-4"/>
    <x v="2"/>
  </r>
  <r>
    <x v="631"/>
    <x v="494"/>
    <n v="536.6"/>
    <n v="550.79999999999995"/>
    <n v="534.62"/>
    <n v="4.8999999999999998E-3"/>
    <x v="2"/>
  </r>
  <r>
    <x v="632"/>
    <x v="495"/>
    <n v="536.14"/>
    <n v="550.70000000000005"/>
    <n v="536"/>
    <n v="1.8E-3"/>
    <x v="2"/>
  </r>
  <r>
    <x v="633"/>
    <x v="496"/>
    <n v="536.17999999999995"/>
    <n v="548.96"/>
    <n v="535.98"/>
    <n v="-4.3E-3"/>
    <x v="2"/>
  </r>
  <r>
    <x v="634"/>
    <x v="497"/>
    <n v="536.17999999999995"/>
    <n v="543.45000000000005"/>
    <n v="536.17999999999995"/>
    <n v="5.3E-3"/>
    <x v="2"/>
  </r>
  <r>
    <x v="635"/>
    <x v="498"/>
    <n v="538.59"/>
    <n v="545.61"/>
    <n v="535.61"/>
    <n v="-5.0000000000000001E-3"/>
    <x v="2"/>
  </r>
  <r>
    <x v="636"/>
    <x v="499"/>
    <n v="536.48"/>
    <n v="543.33000000000004"/>
    <n v="536.29999999999995"/>
    <n v="3.8E-3"/>
    <x v="2"/>
  </r>
  <r>
    <x v="637"/>
    <x v="500"/>
    <n v="537.5"/>
    <n v="542.82000000000005"/>
    <n v="535.94000000000005"/>
    <n v="-2.9999999999999997E-4"/>
    <x v="2"/>
  </r>
  <r>
    <x v="638"/>
    <x v="501"/>
    <n v="539.1"/>
    <n v="544.54"/>
    <n v="535.88"/>
    <n v="-8.3000000000000001E-3"/>
    <x v="2"/>
  </r>
  <r>
    <x v="639"/>
    <x v="502"/>
    <n v="535.87"/>
    <n v="540.79999999999995"/>
    <n v="530"/>
    <n v="9.4000000000000004E-3"/>
    <x v="2"/>
  </r>
  <r>
    <x v="640"/>
    <x v="503"/>
    <n v="535"/>
    <n v="541.53"/>
    <n v="530"/>
    <n v="6.7000000000000002E-3"/>
    <x v="2"/>
  </r>
  <r>
    <x v="641"/>
    <x v="504"/>
    <n v="534.33000000000004"/>
    <n v="540.27"/>
    <n v="532.27"/>
    <n v="-3.8E-3"/>
    <x v="2"/>
  </r>
  <r>
    <x v="642"/>
    <x v="505"/>
    <n v="532.51"/>
    <n v="545.41"/>
    <n v="532.51"/>
    <n v="3.3999999999999998E-3"/>
    <x v="2"/>
  </r>
  <r>
    <x v="643"/>
    <x v="506"/>
    <n v="532.12"/>
    <n v="545.41"/>
    <n v="531.66999999999996"/>
    <n v="6.9999999999999999E-4"/>
    <x v="2"/>
  </r>
  <r>
    <x v="644"/>
    <x v="507"/>
    <n v="531.97"/>
    <n v="543.26"/>
    <n v="530"/>
    <n v="-5.8999999999999999E-3"/>
    <x v="2"/>
  </r>
  <r>
    <x v="645"/>
    <x v="508"/>
    <n v="532.25"/>
    <n v="540.30999999999995"/>
    <n v="529.87"/>
    <n v="-1.6000000000000001E-3"/>
    <x v="2"/>
  </r>
  <r>
    <x v="646"/>
    <x v="509"/>
    <n v="531.85"/>
    <n v="541.20000000000005"/>
    <n v="529.98"/>
    <n v="8.0999999999999996E-3"/>
    <x v="2"/>
  </r>
  <r>
    <x v="647"/>
    <x v="510"/>
    <n v="530.75"/>
    <n v="536.85"/>
    <n v="530.13"/>
    <n v="0"/>
    <x v="2"/>
  </r>
  <r>
    <x v="648"/>
    <x v="510"/>
    <n v="532.04"/>
    <n v="541.05999999999995"/>
    <n v="531"/>
    <n v="-4.0000000000000002E-4"/>
    <x v="2"/>
  </r>
  <r>
    <x v="649"/>
    <x v="511"/>
    <n v="529.78"/>
    <n v="542.26"/>
    <n v="529.78"/>
    <n v="4.1999999999999997E-3"/>
    <x v="2"/>
  </r>
  <r>
    <x v="650"/>
    <x v="512"/>
    <n v="531.32000000000005"/>
    <n v="537.16999999999996"/>
    <n v="529.25"/>
    <n v="-9.7999999999999997E-3"/>
    <x v="2"/>
  </r>
  <r>
    <x v="651"/>
    <x v="513"/>
    <n v="531.1"/>
    <n v="540.05999999999995"/>
    <n v="529.76"/>
    <n v="5.0000000000000001E-4"/>
    <x v="2"/>
  </r>
  <r>
    <x v="652"/>
    <x v="514"/>
    <n v="531.09"/>
    <n v="539.80999999999995"/>
    <n v="529.59"/>
    <n v="1E-3"/>
    <x v="2"/>
  </r>
  <r>
    <x v="653"/>
    <x v="515"/>
    <n v="530.85"/>
    <n v="539.28"/>
    <n v="529.70000000000005"/>
    <n v="6.4000000000000003E-3"/>
    <x v="2"/>
  </r>
  <r>
    <x v="654"/>
    <x v="516"/>
    <n v="530.82000000000005"/>
    <n v="536.07000000000005"/>
    <n v="529.61"/>
    <n v="1E-4"/>
    <x v="2"/>
  </r>
  <r>
    <x v="655"/>
    <x v="517"/>
    <n v="530.76"/>
    <n v="535.83000000000004"/>
    <n v="529.44000000000005"/>
    <n v="1E-4"/>
    <x v="2"/>
  </r>
  <r>
    <x v="656"/>
    <x v="518"/>
    <n v="530.80999999999995"/>
    <n v="536.29999999999995"/>
    <n v="530"/>
    <n v="-1E-4"/>
    <x v="2"/>
  </r>
  <r>
    <x v="657"/>
    <x v="519"/>
    <n v="530.80999999999995"/>
    <n v="537.6"/>
    <n v="530.24"/>
    <n v="0"/>
    <x v="2"/>
  </r>
  <r>
    <x v="658"/>
    <x v="519"/>
    <n v="531.25"/>
    <n v="536.25"/>
    <n v="530"/>
    <n v="-4.0000000000000002E-4"/>
    <x v="2"/>
  </r>
  <r>
    <x v="659"/>
    <x v="520"/>
    <n v="531.13"/>
    <n v="536.25"/>
    <n v="529.21"/>
    <n v="2.0000000000000001E-4"/>
    <x v="2"/>
  </r>
  <r>
    <x v="660"/>
    <x v="521"/>
    <n v="530.15"/>
    <n v="536.47"/>
    <n v="530"/>
    <n v="-1.8E-3"/>
    <x v="2"/>
  </r>
  <r>
    <x v="661"/>
    <x v="510"/>
    <n v="531.14"/>
    <n v="537.38"/>
    <n v="530"/>
    <n v="1.2999999999999999E-3"/>
    <x v="2"/>
  </r>
  <r>
    <x v="662"/>
    <x v="522"/>
    <n v="531.16999999999996"/>
    <n v="536.16999999999996"/>
    <n v="530"/>
    <n v="4.0000000000000002E-4"/>
    <x v="2"/>
  </r>
  <r>
    <x v="663"/>
    <x v="523"/>
    <n v="531.17999999999995"/>
    <n v="536.47"/>
    <n v="530"/>
    <n v="0"/>
    <x v="2"/>
  </r>
  <r>
    <x v="664"/>
    <x v="524"/>
    <n v="531.17999999999995"/>
    <n v="536.49"/>
    <n v="530"/>
    <n v="-4.0000000000000002E-4"/>
    <x v="2"/>
  </r>
  <r>
    <x v="665"/>
    <x v="525"/>
    <n v="531.4"/>
    <n v="536.4"/>
    <n v="530"/>
    <n v="-4.0000000000000002E-4"/>
    <x v="2"/>
  </r>
  <r>
    <x v="666"/>
    <x v="526"/>
    <n v="531.48"/>
    <n v="536.48"/>
    <n v="530"/>
    <n v="-1E-4"/>
    <x v="2"/>
  </r>
  <r>
    <x v="667"/>
    <x v="527"/>
    <n v="531"/>
    <n v="541.05999999999995"/>
    <n v="530"/>
    <n v="-6.1000000000000004E-3"/>
    <x v="2"/>
  </r>
  <r>
    <x v="668"/>
    <x v="528"/>
    <n v="530.83000000000004"/>
    <n v="539.75"/>
    <n v="530"/>
    <n v="7.3000000000000001E-3"/>
    <x v="2"/>
  </r>
  <r>
    <x v="669"/>
    <x v="529"/>
    <n v="530.01"/>
    <n v="541.76"/>
    <n v="530"/>
    <n v="1.5E-3"/>
    <x v="2"/>
  </r>
  <r>
    <x v="670"/>
    <x v="530"/>
    <n v="529.33000000000004"/>
    <n v="540.51"/>
    <n v="528.92999999999995"/>
    <n v="-7.1999999999999998E-3"/>
    <x v="2"/>
  </r>
  <r>
    <x v="671"/>
    <x v="531"/>
    <n v="529.23"/>
    <n v="538.9"/>
    <n v="529.23"/>
    <n v="8.6999999999999994E-3"/>
    <x v="2"/>
  </r>
  <r>
    <x v="672"/>
    <x v="532"/>
    <n v="529.26"/>
    <n v="540.96"/>
    <n v="528.70000000000005"/>
    <n v="-1.4E-3"/>
    <x v="2"/>
  </r>
  <r>
    <x v="673"/>
    <x v="533"/>
    <n v="529.32000000000005"/>
    <n v="540.61"/>
    <n v="529.09"/>
    <n v="1.1999999999999999E-3"/>
    <x v="2"/>
  </r>
  <r>
    <x v="674"/>
    <x v="534"/>
    <n v="529.33000000000004"/>
    <n v="540.30999999999995"/>
    <n v="528.78"/>
    <n v="0"/>
    <x v="2"/>
  </r>
  <r>
    <x v="675"/>
    <x v="535"/>
    <n v="529.08000000000004"/>
    <n v="540.36"/>
    <n v="528.54999999999995"/>
    <n v="5.0000000000000001E-4"/>
    <x v="2"/>
  </r>
  <r>
    <x v="676"/>
    <x v="536"/>
    <n v="529.15"/>
    <n v="539.86"/>
    <n v="529.08000000000004"/>
    <n v="-6.1000000000000004E-3"/>
    <x v="2"/>
  </r>
  <r>
    <x v="677"/>
    <x v="537"/>
    <n v="529.42999999999995"/>
    <n v="537.37"/>
    <n v="529.09"/>
    <n v="5.4999999999999997E-3"/>
    <x v="2"/>
  </r>
  <r>
    <x v="678"/>
    <x v="538"/>
    <n v="529.62"/>
    <n v="539.80999999999995"/>
    <n v="529.08000000000004"/>
    <n v="-4.0000000000000002E-4"/>
    <x v="2"/>
  </r>
  <r>
    <x v="679"/>
    <x v="539"/>
    <n v="530.08000000000004"/>
    <n v="540.91"/>
    <n v="529.09"/>
    <n v="-5.4000000000000003E-3"/>
    <x v="2"/>
  </r>
  <r>
    <x v="680"/>
    <x v="540"/>
    <n v="530.20000000000005"/>
    <n v="538.04999999999995"/>
    <n v="530"/>
    <n v="4.3E-3"/>
    <x v="2"/>
  </r>
  <r>
    <x v="681"/>
    <x v="541"/>
    <n v="530.17999999999995"/>
    <n v="540.96"/>
    <n v="530"/>
    <n v="0"/>
    <x v="2"/>
  </r>
  <r>
    <x v="682"/>
    <x v="542"/>
    <n v="530.27"/>
    <n v="535.27"/>
    <n v="530"/>
    <n v="-2.0000000000000001E-4"/>
    <x v="2"/>
  </r>
  <r>
    <x v="683"/>
    <x v="543"/>
    <n v="530.25"/>
    <n v="535.27"/>
    <n v="530"/>
    <n v="0"/>
    <x v="2"/>
  </r>
  <r>
    <x v="684"/>
    <x v="544"/>
    <n v="530.29999999999995"/>
    <n v="535.29999999999995"/>
    <n v="530"/>
    <n v="-1E-4"/>
    <x v="2"/>
  </r>
  <r>
    <x v="685"/>
    <x v="545"/>
    <n v="529.95000000000005"/>
    <n v="535.29999999999995"/>
    <n v="529.95000000000005"/>
    <n v="6.9999999999999999E-4"/>
    <x v="2"/>
  </r>
  <r>
    <x v="686"/>
    <x v="546"/>
    <n v="529.6"/>
    <n v="540.91"/>
    <n v="529.6"/>
    <n v="6.9999999999999999E-4"/>
    <x v="2"/>
  </r>
  <r>
    <x v="687"/>
    <x v="547"/>
    <n v="529.6"/>
    <n v="541.51"/>
    <n v="529.58000000000004"/>
    <n v="0"/>
    <x v="2"/>
  </r>
  <r>
    <x v="688"/>
    <x v="547"/>
    <n v="529.58000000000004"/>
    <n v="540.96"/>
    <n v="529.58000000000004"/>
    <n v="0"/>
    <x v="2"/>
  </r>
  <r>
    <x v="689"/>
    <x v="548"/>
    <n v="528.76"/>
    <n v="541.11"/>
    <n v="528.76"/>
    <n v="-5.1999999999999998E-3"/>
    <x v="2"/>
  </r>
  <r>
    <x v="690"/>
    <x v="549"/>
    <n v="528.70000000000005"/>
    <n v="537.55999999999995"/>
    <n v="528.70000000000005"/>
    <n v="1E-4"/>
    <x v="2"/>
  </r>
  <r>
    <x v="691"/>
    <x v="550"/>
    <n v="528.67999999999995"/>
    <n v="537.33000000000004"/>
    <n v="528.66999999999996"/>
    <n v="6.7999999999999996E-3"/>
    <x v="2"/>
  </r>
  <r>
    <x v="692"/>
    <x v="551"/>
    <n v="528.70000000000005"/>
    <n v="539.07000000000005"/>
    <n v="528.67999999999995"/>
    <n v="0"/>
    <x v="2"/>
  </r>
  <r>
    <x v="693"/>
    <x v="552"/>
    <n v="528.70000000000005"/>
    <n v="533.70000000000005"/>
    <n v="528.67999999999995"/>
    <n v="0"/>
    <x v="2"/>
  </r>
  <r>
    <x v="694"/>
    <x v="552"/>
    <n v="528.86"/>
    <n v="536.72"/>
    <n v="528.33000000000004"/>
    <n v="-2.9999999999999997E-4"/>
    <x v="2"/>
  </r>
  <r>
    <x v="695"/>
    <x v="553"/>
    <n v="528.95000000000005"/>
    <n v="536.72"/>
    <n v="528.33000000000004"/>
    <n v="-2.0000000000000001E-4"/>
    <x v="2"/>
  </r>
  <r>
    <x v="696"/>
    <x v="554"/>
    <n v="528.88"/>
    <n v="535"/>
    <n v="528.87"/>
    <n v="1E-4"/>
    <x v="2"/>
  </r>
  <r>
    <x v="697"/>
    <x v="555"/>
    <n v="528.96"/>
    <n v="535"/>
    <n v="528.41999999999996"/>
    <n v="-1E-4"/>
    <x v="2"/>
  </r>
  <r>
    <x v="698"/>
    <x v="556"/>
    <n v="528.94000000000005"/>
    <n v="538.91999999999996"/>
    <n v="528.94000000000005"/>
    <n v="0"/>
    <x v="2"/>
  </r>
  <r>
    <x v="699"/>
    <x v="557"/>
    <n v="528.92999999999995"/>
    <n v="539.07000000000005"/>
    <n v="528.91999999999996"/>
    <n v="0"/>
    <x v="2"/>
  </r>
  <r>
    <x v="700"/>
    <x v="558"/>
    <n v="528.99"/>
    <n v="535"/>
    <n v="528.91999999999996"/>
    <n v="-1E-4"/>
    <x v="2"/>
  </r>
  <r>
    <x v="701"/>
    <x v="559"/>
    <n v="529.08000000000004"/>
    <n v="535"/>
    <n v="528.99"/>
    <n v="-2.0000000000000001E-4"/>
    <x v="2"/>
  </r>
  <r>
    <x v="702"/>
    <x v="536"/>
    <n v="529.07000000000005"/>
    <n v="539.32000000000005"/>
    <n v="529.07000000000005"/>
    <n v="0"/>
    <x v="2"/>
  </r>
  <r>
    <x v="703"/>
    <x v="560"/>
    <n v="529.42999999999995"/>
    <n v="539.32000000000005"/>
    <n v="529.07000000000005"/>
    <n v="-6.9999999999999999E-4"/>
    <x v="2"/>
  </r>
  <r>
    <x v="704"/>
    <x v="538"/>
    <n v="529.4"/>
    <n v="539.32000000000005"/>
    <n v="528.9"/>
    <n v="1E-4"/>
    <x v="2"/>
  </r>
  <r>
    <x v="705"/>
    <x v="561"/>
    <n v="529.52"/>
    <n v="534.52"/>
    <n v="528.87"/>
    <n v="-2.0000000000000001E-4"/>
    <x v="2"/>
  </r>
  <r>
    <x v="706"/>
    <x v="562"/>
    <n v="529.42999999999995"/>
    <n v="538.84"/>
    <n v="529.42999999999995"/>
    <n v="-4.7000000000000002E-3"/>
    <x v="2"/>
  </r>
  <r>
    <x v="707"/>
    <x v="511"/>
    <n v="529.33000000000004"/>
    <n v="537.1"/>
    <n v="529.33000000000004"/>
    <n v="5.1000000000000004E-3"/>
    <x v="2"/>
  </r>
  <r>
    <x v="708"/>
    <x v="535"/>
    <n v="529.58000000000004"/>
    <n v="539.76"/>
    <n v="529.32000000000005"/>
    <n v="-5.0000000000000001E-4"/>
    <x v="2"/>
  </r>
  <r>
    <x v="709"/>
    <x v="548"/>
    <n v="529.58000000000004"/>
    <n v="540.01"/>
    <n v="529.47"/>
    <n v="0"/>
    <x v="2"/>
  </r>
  <r>
    <x v="710"/>
    <x v="548"/>
    <n v="529.67999999999995"/>
    <n v="535"/>
    <n v="529.58000000000004"/>
    <n v="-2.0000000000000001E-4"/>
    <x v="2"/>
  </r>
  <r>
    <x v="711"/>
    <x v="563"/>
    <n v="529.66999999999996"/>
    <n v="535"/>
    <n v="529.66999999999996"/>
    <n v="-6.6E-3"/>
    <x v="2"/>
  </r>
  <r>
    <x v="712"/>
    <x v="564"/>
    <n v="529.22"/>
    <n v="538.34"/>
    <n v="529.22"/>
    <n v="7.4999999999999997E-3"/>
    <x v="2"/>
  </r>
  <r>
    <x v="713"/>
    <x v="565"/>
    <n v="529.22"/>
    <n v="539.61"/>
    <n v="529.22"/>
    <n v="0"/>
    <x v="2"/>
  </r>
  <r>
    <x v="714"/>
    <x v="565"/>
    <n v="529.16"/>
    <n v="540.05999999999995"/>
    <n v="529.16"/>
    <n v="1E-4"/>
    <x v="2"/>
  </r>
  <r>
    <x v="715"/>
    <x v="566"/>
    <n v="529.28"/>
    <n v="539.37"/>
    <n v="529.16"/>
    <n v="-2.0000000000000001E-4"/>
    <x v="2"/>
  </r>
  <r>
    <x v="716"/>
    <x v="567"/>
    <n v="529.17999999999995"/>
    <n v="539.37"/>
    <n v="529.17999999999995"/>
    <n v="-4.1999999999999997E-3"/>
    <x v="2"/>
  </r>
  <r>
    <x v="717"/>
    <x v="568"/>
    <n v="529.45000000000005"/>
    <n v="537.04"/>
    <n v="529.17999999999995"/>
    <n v="3.8999999999999998E-3"/>
    <x v="2"/>
  </r>
  <r>
    <x v="718"/>
    <x v="569"/>
    <n v="529.58000000000004"/>
    <n v="538.62"/>
    <n v="528.91999999999996"/>
    <n v="-2.0000000000000001E-4"/>
    <x v="2"/>
  </r>
  <r>
    <x v="719"/>
    <x v="548"/>
    <n v="529.36"/>
    <n v="538.87"/>
    <n v="529.36"/>
    <n v="4.0000000000000002E-4"/>
    <x v="2"/>
  </r>
  <r>
    <x v="720"/>
    <x v="570"/>
    <n v="529.47"/>
    <n v="539.41999999999996"/>
    <n v="529.36"/>
    <n v="-2.0000000000000001E-4"/>
    <x v="2"/>
  </r>
  <r>
    <x v="721"/>
    <x v="571"/>
    <n v="529.41"/>
    <n v="539.07000000000005"/>
    <n v="528.94000000000005"/>
    <n v="1E-4"/>
    <x v="2"/>
  </r>
  <r>
    <x v="722"/>
    <x v="572"/>
    <n v="530.22"/>
    <n v="535.22"/>
    <n v="529.41"/>
    <n v="-1.5E-3"/>
    <x v="2"/>
  </r>
  <r>
    <x v="723"/>
    <x v="573"/>
    <n v="531.16999999999996"/>
    <n v="538.87"/>
    <n v="529.47"/>
    <n v="-1.8E-3"/>
    <x v="2"/>
  </r>
  <r>
    <x v="724"/>
    <x v="574"/>
    <n v="531.44000000000005"/>
    <n v="538.82000000000005"/>
    <n v="530"/>
    <n v="-5.0000000000000001E-4"/>
    <x v="2"/>
  </r>
  <r>
    <x v="725"/>
    <x v="575"/>
    <n v="531.97"/>
    <n v="540.16"/>
    <n v="530"/>
    <n v="-1E-3"/>
    <x v="2"/>
  </r>
  <r>
    <x v="726"/>
    <x v="576"/>
    <n v="532.08000000000004"/>
    <n v="540.01"/>
    <n v="530"/>
    <n v="-2.0000000000000001E-4"/>
    <x v="2"/>
  </r>
  <r>
    <x v="727"/>
    <x v="577"/>
    <n v="532.22"/>
    <n v="540.16"/>
    <n v="530"/>
    <n v="-2.9999999999999997E-4"/>
    <x v="2"/>
  </r>
  <r>
    <x v="728"/>
    <x v="578"/>
    <n v="533.20000000000005"/>
    <n v="540.05999999999995"/>
    <n v="530"/>
    <n v="-1.8E-3"/>
    <x v="2"/>
  </r>
  <r>
    <x v="729"/>
    <x v="579"/>
    <n v="532.19000000000005"/>
    <n v="538.21"/>
    <n v="530"/>
    <n v="1.9E-3"/>
    <x v="2"/>
  </r>
  <r>
    <x v="730"/>
    <x v="580"/>
    <n v="531.99"/>
    <n v="540.05999999999995"/>
    <n v="530"/>
    <n v="4.0000000000000002E-4"/>
    <x v="2"/>
  </r>
  <r>
    <x v="731"/>
    <x v="581"/>
    <n v="531.86"/>
    <n v="540.05999999999995"/>
    <n v="530"/>
    <n v="2.0000000000000001E-4"/>
    <x v="2"/>
  </r>
  <r>
    <x v="732"/>
    <x v="582"/>
    <n v="531.29"/>
    <n v="539.12"/>
    <n v="530"/>
    <n v="1.1000000000000001E-3"/>
    <x v="2"/>
  </r>
  <r>
    <x v="733"/>
    <x v="583"/>
    <n v="530.53"/>
    <n v="538.82000000000005"/>
    <n v="530.48"/>
    <n v="1.4E-3"/>
    <x v="2"/>
  </r>
  <r>
    <x v="734"/>
    <x v="584"/>
    <n v="530.08000000000004"/>
    <n v="538.57000000000005"/>
    <n v="530"/>
    <n v="8.0000000000000004E-4"/>
    <x v="2"/>
  </r>
  <r>
    <x v="735"/>
    <x v="585"/>
    <n v="529.89"/>
    <n v="538.02"/>
    <n v="529.89"/>
    <n v="4.0000000000000002E-4"/>
    <x v="2"/>
  </r>
  <r>
    <x v="736"/>
    <x v="586"/>
    <n v="529.77"/>
    <n v="540.01"/>
    <n v="529.77"/>
    <n v="2.0000000000000001E-4"/>
    <x v="2"/>
  </r>
  <r>
    <x v="737"/>
    <x v="587"/>
    <n v="529.5"/>
    <n v="538.12"/>
    <n v="529.22"/>
    <n v="5.0000000000000001E-4"/>
    <x v="2"/>
  </r>
  <r>
    <x v="738"/>
    <x v="588"/>
    <n v="529"/>
    <n v="538.97"/>
    <n v="529"/>
    <n v="8.9999999999999998E-4"/>
    <x v="2"/>
  </r>
  <r>
    <x v="739"/>
    <x v="589"/>
    <n v="529"/>
    <n v="539.16999999999996"/>
    <n v="529"/>
    <n v="0"/>
    <x v="2"/>
  </r>
  <r>
    <x v="740"/>
    <x v="589"/>
    <n v="528.79999999999995"/>
    <n v="539.22"/>
    <n v="528.79999999999995"/>
    <n v="4.0000000000000002E-4"/>
    <x v="2"/>
  </r>
  <r>
    <x v="741"/>
    <x v="590"/>
    <n v="528.74"/>
    <n v="538.47"/>
    <n v="528.74"/>
    <n v="1E-4"/>
    <x v="2"/>
  </r>
  <r>
    <x v="742"/>
    <x v="591"/>
    <n v="528.74"/>
    <n v="533.74"/>
    <n v="528.73"/>
    <n v="0"/>
    <x v="2"/>
  </r>
  <r>
    <x v="743"/>
    <x v="591"/>
    <n v="528.74"/>
    <n v="538.02"/>
    <n v="528.73"/>
    <n v="-3.5999999999999999E-3"/>
    <x v="2"/>
  </r>
  <r>
    <x v="744"/>
    <x v="592"/>
    <n v="528.70000000000005"/>
    <n v="536.13"/>
    <n v="528.70000000000005"/>
    <n v="3.7000000000000002E-3"/>
    <x v="2"/>
  </r>
  <r>
    <x v="745"/>
    <x v="552"/>
    <n v="529.32000000000005"/>
    <n v="538.02"/>
    <n v="528.70000000000005"/>
    <n v="-1.1999999999999999E-3"/>
    <x v="2"/>
  </r>
  <r>
    <x v="746"/>
    <x v="534"/>
    <n v="529.75"/>
    <n v="538.02"/>
    <n v="529.32000000000005"/>
    <n v="-8.0000000000000004E-4"/>
    <x v="2"/>
  </r>
  <r>
    <x v="747"/>
    <x v="593"/>
    <n v="530.45000000000005"/>
    <n v="536.77"/>
    <n v="529.22"/>
    <n v="-1.2999999999999999E-3"/>
    <x v="2"/>
  </r>
  <r>
    <x v="748"/>
    <x v="594"/>
    <n v="530.48"/>
    <n v="536.77"/>
    <n v="529.91999999999996"/>
    <n v="-1E-4"/>
    <x v="2"/>
  </r>
  <r>
    <x v="749"/>
    <x v="595"/>
    <n v="530.25"/>
    <n v="536.77"/>
    <n v="530.25"/>
    <n v="4.0000000000000002E-4"/>
    <x v="2"/>
  </r>
  <r>
    <x v="750"/>
    <x v="544"/>
    <n v="530.76"/>
    <n v="535.76"/>
    <n v="530"/>
    <n v="-1E-3"/>
    <x v="2"/>
  </r>
  <r>
    <x v="751"/>
    <x v="596"/>
    <n v="531.92999999999995"/>
    <n v="536.92999999999995"/>
    <n v="530"/>
    <n v="-2.2000000000000001E-3"/>
    <x v="2"/>
  </r>
  <r>
    <x v="752"/>
    <x v="597"/>
    <n v="532.29999999999995"/>
    <n v="537.29999999999995"/>
    <n v="530"/>
    <n v="-2.7000000000000001E-3"/>
    <x v="2"/>
  </r>
  <r>
    <x v="753"/>
    <x v="598"/>
    <n v="532.29999999999995"/>
    <n v="538.76"/>
    <n v="531.94000000000005"/>
    <n v="2E-3"/>
    <x v="2"/>
  </r>
  <r>
    <x v="754"/>
    <x v="599"/>
    <n v="532.29999999999995"/>
    <n v="537.29999999999995"/>
    <n v="531.94000000000005"/>
    <n v="0"/>
    <x v="3"/>
  </r>
  <r>
    <x v="755"/>
    <x v="599"/>
    <n v="532.33000000000004"/>
    <n v="537.33000000000004"/>
    <n v="520.66"/>
    <n v="-1E-4"/>
    <x v="3"/>
  </r>
  <r>
    <x v="756"/>
    <x v="550"/>
    <n v="531.29999999999995"/>
    <n v="537.33000000000004"/>
    <n v="530"/>
    <n v="1.9E-3"/>
    <x v="3"/>
  </r>
  <r>
    <x v="757"/>
    <x v="600"/>
    <n v="530.42999999999995"/>
    <n v="536.30999999999995"/>
    <n v="520.65"/>
    <n v="1.6000000000000001E-3"/>
    <x v="3"/>
  </r>
  <r>
    <x v="758"/>
    <x v="601"/>
    <n v="531.30999999999995"/>
    <n v="536.30999999999995"/>
    <n v="530.42999999999995"/>
    <n v="0"/>
    <x v="3"/>
  </r>
  <r>
    <x v="759"/>
    <x v="601"/>
    <n v="530.25"/>
    <n v="535.42999999999995"/>
    <n v="530"/>
    <n v="2.9999999999999997E-4"/>
    <x v="3"/>
  </r>
  <r>
    <x v="760"/>
    <x v="544"/>
    <n v="530.04999999999995"/>
    <n v="535.25"/>
    <n v="520.66"/>
    <n v="4.0000000000000002E-4"/>
    <x v="3"/>
  </r>
  <r>
    <x v="761"/>
    <x v="602"/>
    <n v="528.4"/>
    <n v="535.12"/>
    <n v="528.35"/>
    <n v="3.0999999999999999E-3"/>
    <x v="3"/>
  </r>
  <r>
    <x v="762"/>
    <x v="603"/>
    <n v="526.32000000000005"/>
    <n v="535"/>
    <n v="520.66"/>
    <n v="3.8999999999999998E-3"/>
    <x v="3"/>
  </r>
  <r>
    <x v="763"/>
    <x v="604"/>
    <n v="526.20000000000005"/>
    <n v="535"/>
    <n v="525.79"/>
    <n v="2.0000000000000001E-4"/>
    <x v="3"/>
  </r>
  <r>
    <x v="764"/>
    <x v="605"/>
    <n v="526.17999999999995"/>
    <n v="535"/>
    <n v="520.66"/>
    <n v="0"/>
    <x v="3"/>
  </r>
  <r>
    <x v="765"/>
    <x v="606"/>
    <n v="520.99"/>
    <n v="535"/>
    <n v="520.99"/>
    <n v="4.7999999999999996E-3"/>
    <x v="3"/>
  </r>
  <r>
    <x v="766"/>
    <x v="607"/>
    <n v="526.22"/>
    <n v="533.91999999999996"/>
    <n v="520.66"/>
    <n v="0"/>
    <x v="3"/>
  </r>
  <r>
    <x v="767"/>
    <x v="608"/>
    <n v="526.25"/>
    <n v="537.65"/>
    <n v="520.66"/>
    <n v="-5.0000000000000001E-3"/>
    <x v="3"/>
  </r>
  <r>
    <x v="768"/>
    <x v="609"/>
    <n v="520.65"/>
    <n v="535"/>
    <n v="520.65"/>
    <n v="1.0699999999999999E-2"/>
    <x v="3"/>
  </r>
  <r>
    <x v="769"/>
    <x v="610"/>
    <n v="526.28"/>
    <n v="535"/>
    <n v="520.65"/>
    <n v="-1.06E-2"/>
    <x v="3"/>
  </r>
  <r>
    <x v="770"/>
    <x v="611"/>
    <n v="525.91999999999996"/>
    <n v="535"/>
    <n v="520.66"/>
    <n v="6.9999999999999999E-4"/>
    <x v="3"/>
  </r>
  <r>
    <x v="771"/>
    <x v="612"/>
    <n v="526"/>
    <n v="535"/>
    <n v="520.66"/>
    <n v="-2.0000000000000001E-4"/>
    <x v="3"/>
  </r>
  <r>
    <x v="772"/>
    <x v="613"/>
    <n v="526.35"/>
    <n v="535"/>
    <n v="523.41999999999996"/>
    <n v="-6.9999999999999999E-4"/>
    <x v="3"/>
  </r>
  <r>
    <x v="773"/>
    <x v="614"/>
    <n v="526.17999999999995"/>
    <n v="535"/>
    <n v="521.09"/>
    <n v="5.1999999999999998E-3"/>
    <x v="3"/>
  </r>
  <r>
    <x v="774"/>
    <x v="615"/>
    <n v="526.25"/>
    <n v="537.65"/>
    <n v="520.91999999999996"/>
    <n v="-2.0000000000000001E-4"/>
    <x v="3"/>
  </r>
  <r>
    <x v="775"/>
    <x v="616"/>
    <n v="526.27"/>
    <n v="537.67999999999995"/>
    <n v="520.99"/>
    <n v="-8.3999999999999995E-3"/>
    <x v="3"/>
  </r>
  <r>
    <x v="776"/>
    <x v="617"/>
    <n v="526.04999999999995"/>
    <n v="533.13"/>
    <n v="520.75"/>
    <n v="3.8999999999999998E-3"/>
    <x v="3"/>
  </r>
  <r>
    <x v="777"/>
    <x v="618"/>
    <n v="526.35"/>
    <n v="535"/>
    <n v="520.79"/>
    <n v="-6.9999999999999999E-4"/>
    <x v="3"/>
  </r>
  <r>
    <x v="778"/>
    <x v="619"/>
    <n v="526.4"/>
    <n v="531.44000000000005"/>
    <n v="521.14"/>
    <n v="0"/>
    <x v="3"/>
  </r>
  <r>
    <x v="779"/>
    <x v="619"/>
    <n v="526.4"/>
    <n v="531.45000000000005"/>
    <n v="526.4"/>
    <n v="0"/>
    <x v="3"/>
  </r>
  <r>
    <x v="780"/>
    <x v="619"/>
    <n v="526.42999999999995"/>
    <n v="535"/>
    <n v="521.14"/>
    <n v="-1E-4"/>
    <x v="3"/>
  </r>
  <r>
    <x v="781"/>
    <x v="620"/>
    <n v="526.4"/>
    <n v="535"/>
    <n v="525.85"/>
    <n v="1E-4"/>
    <x v="3"/>
  </r>
  <r>
    <x v="782"/>
    <x v="619"/>
    <n v="526.42999999999995"/>
    <n v="535"/>
    <n v="521.15"/>
    <n v="-1E-4"/>
    <x v="3"/>
  </r>
  <r>
    <x v="783"/>
    <x v="620"/>
    <n v="526.58000000000004"/>
    <n v="535"/>
    <n v="523.79999999999995"/>
    <n v="-2.9999999999999997E-4"/>
    <x v="3"/>
  </r>
  <r>
    <x v="784"/>
    <x v="621"/>
    <n v="526.6"/>
    <n v="535"/>
    <n v="522.66999999999996"/>
    <n v="0"/>
    <x v="3"/>
  </r>
  <r>
    <x v="785"/>
    <x v="622"/>
    <n v="527.1"/>
    <n v="535"/>
    <n v="522.66999999999996"/>
    <n v="-5.9999999999999995E-4"/>
    <x v="3"/>
  </r>
  <r>
    <x v="786"/>
    <x v="623"/>
    <n v="524.6"/>
    <n v="535.24"/>
    <n v="522.66999999999996"/>
    <n v="4.4000000000000003E-3"/>
    <x v="3"/>
  </r>
  <r>
    <x v="787"/>
    <x v="624"/>
    <n v="527.91999999999996"/>
    <n v="535"/>
    <n v="524.6"/>
    <n v="-6.1999999999999998E-3"/>
    <x v="3"/>
  </r>
  <r>
    <x v="788"/>
    <x v="625"/>
    <n v="527.88"/>
    <n v="535"/>
    <n v="527.88"/>
    <n v="1E-4"/>
    <x v="3"/>
  </r>
  <r>
    <x v="789"/>
    <x v="626"/>
    <n v="527.87"/>
    <n v="535"/>
    <n v="527.87"/>
    <n v="0"/>
    <x v="3"/>
  </r>
  <r>
    <x v="790"/>
    <x v="627"/>
    <n v="527.88"/>
    <n v="535"/>
    <n v="527.87"/>
    <n v="0"/>
    <x v="3"/>
  </r>
  <r>
    <x v="791"/>
    <x v="626"/>
    <n v="527.9"/>
    <n v="535"/>
    <n v="527.88"/>
    <n v="0"/>
    <x v="3"/>
  </r>
  <r>
    <x v="792"/>
    <x v="628"/>
    <n v="527.95000000000005"/>
    <n v="535"/>
    <n v="522.66999999999996"/>
    <n v="-1E-4"/>
    <x v="3"/>
  </r>
  <r>
    <x v="793"/>
    <x v="629"/>
    <n v="527.97"/>
    <n v="538.54999999999995"/>
    <n v="522.66999999999996"/>
    <n v="-5.5999999999999999E-3"/>
    <x v="3"/>
  </r>
  <r>
    <x v="794"/>
    <x v="630"/>
    <n v="528.03"/>
    <n v="536.15"/>
    <n v="527.97"/>
    <n v="5.4999999999999997E-3"/>
    <x v="3"/>
  </r>
  <r>
    <x v="795"/>
    <x v="631"/>
    <n v="528.04999999999995"/>
    <n v="538.6"/>
    <n v="528.01"/>
    <n v="-5.4000000000000003E-3"/>
    <x v="3"/>
  </r>
  <r>
    <x v="796"/>
    <x v="632"/>
    <n v="527.95000000000005"/>
    <n v="536.04999999999995"/>
    <n v="527.95000000000005"/>
    <n v="-2.9999999999999997E-4"/>
    <x v="3"/>
  </r>
  <r>
    <x v="797"/>
    <x v="633"/>
    <n v="527.98"/>
    <n v="536.04999999999995"/>
    <n v="527.95000000000005"/>
    <n v="-4.0000000000000002E-4"/>
    <x v="3"/>
  </r>
  <r>
    <x v="798"/>
    <x v="634"/>
    <n v="527.88"/>
    <n v="536.25"/>
    <n v="527.87"/>
    <n v="6.3E-3"/>
    <x v="3"/>
  </r>
  <r>
    <x v="799"/>
    <x v="626"/>
    <n v="533.15"/>
    <n v="538.15"/>
    <n v="527.88"/>
    <n v="-9.7999999999999997E-3"/>
    <x v="3"/>
  </r>
  <r>
    <x v="800"/>
    <x v="635"/>
    <n v="528.1"/>
    <n v="538.15"/>
    <n v="528"/>
    <n v="9.4999999999999998E-3"/>
    <x v="3"/>
  </r>
  <r>
    <x v="801"/>
    <x v="636"/>
    <n v="528.04999999999995"/>
    <n v="537.45000000000005"/>
    <n v="528"/>
    <n v="-4.4000000000000003E-3"/>
    <x v="3"/>
  </r>
  <r>
    <x v="802"/>
    <x v="595"/>
    <n v="528.04999999999995"/>
    <n v="535.48"/>
    <n v="528"/>
    <n v="4.5999999999999999E-3"/>
    <x v="3"/>
  </r>
  <r>
    <x v="803"/>
    <x v="637"/>
    <n v="528.04999999999995"/>
    <n v="538.25"/>
    <n v="528"/>
    <n v="-4.5999999999999999E-3"/>
    <x v="3"/>
  </r>
  <r>
    <x v="804"/>
    <x v="584"/>
    <n v="528.08000000000004"/>
    <n v="535.83000000000004"/>
    <n v="528.04999999999995"/>
    <n v="-1E-4"/>
    <x v="3"/>
  </r>
  <r>
    <x v="805"/>
    <x v="638"/>
    <n v="528"/>
    <n v="535.82000000000005"/>
    <n v="528"/>
    <n v="2.9999999999999997E-4"/>
    <x v="3"/>
  </r>
  <r>
    <x v="806"/>
    <x v="639"/>
    <n v="528"/>
    <n v="535.88"/>
    <n v="528"/>
    <n v="4.4999999999999997E-3"/>
    <x v="3"/>
  </r>
  <r>
    <x v="807"/>
    <x v="640"/>
    <n v="528.04999999999995"/>
    <n v="538.25"/>
    <n v="528"/>
    <n v="-3.8999999999999998E-3"/>
    <x v="3"/>
  </r>
  <r>
    <x v="808"/>
    <x v="641"/>
    <n v="528.04999999999995"/>
    <n v="536.20000000000005"/>
    <n v="528"/>
    <n v="-1.9E-3"/>
    <x v="3"/>
  </r>
  <r>
    <x v="809"/>
    <x v="642"/>
    <n v="533.29999999999995"/>
    <n v="536.26"/>
    <n v="528.04999999999995"/>
    <n v="5.0000000000000001E-3"/>
    <x v="3"/>
  </r>
  <r>
    <x v="810"/>
    <x v="643"/>
    <n v="528.45000000000005"/>
    <n v="535"/>
    <n v="528.13"/>
    <n v="-4.1999999999999997E-3"/>
    <x v="3"/>
  </r>
  <r>
    <x v="811"/>
    <x v="644"/>
    <n v="528.47"/>
    <n v="536.15"/>
    <n v="528.45000000000005"/>
    <n v="4.1000000000000003E-3"/>
    <x v="3"/>
  </r>
  <r>
    <x v="812"/>
    <x v="645"/>
    <n v="528.99"/>
    <n v="533.99"/>
    <n v="528.47"/>
    <n v="-1E-3"/>
    <x v="3"/>
  </r>
  <r>
    <x v="813"/>
    <x v="559"/>
    <n v="528.87"/>
    <n v="538.29999999999995"/>
    <n v="528.85"/>
    <n v="2.0000000000000001E-4"/>
    <x v="3"/>
  </r>
  <r>
    <x v="814"/>
    <x v="646"/>
    <n v="528.91999999999996"/>
    <n v="539.1"/>
    <n v="528.87"/>
    <n v="-4.0000000000000002E-4"/>
    <x v="3"/>
  </r>
  <r>
    <x v="815"/>
    <x v="647"/>
    <n v="533.38"/>
    <n v="538.69000000000005"/>
    <n v="528.86"/>
    <n v="-8.0000000000000002E-3"/>
    <x v="3"/>
  </r>
  <r>
    <x v="816"/>
    <x v="648"/>
    <n v="529.91999999999996"/>
    <n v="538.5"/>
    <n v="528.96"/>
    <n v="6.4999999999999997E-3"/>
    <x v="3"/>
  </r>
  <r>
    <x v="817"/>
    <x v="649"/>
    <n v="529.95000000000005"/>
    <n v="535"/>
    <n v="528.91999999999996"/>
    <n v="-1E-4"/>
    <x v="3"/>
  </r>
  <r>
    <x v="818"/>
    <x v="546"/>
    <n v="533.5"/>
    <n v="538.5"/>
    <n v="528.92999999999995"/>
    <n v="1E-3"/>
    <x v="3"/>
  </r>
  <r>
    <x v="819"/>
    <x v="538"/>
    <n v="529.95000000000005"/>
    <n v="539.07000000000005"/>
    <n v="528.16"/>
    <n v="-1E-3"/>
    <x v="3"/>
  </r>
  <r>
    <x v="820"/>
    <x v="546"/>
    <n v="527.70000000000005"/>
    <n v="538.5"/>
    <n v="527.70000000000005"/>
    <n v="4.1999999999999997E-3"/>
    <x v="3"/>
  </r>
  <r>
    <x v="821"/>
    <x v="650"/>
    <n v="527.70000000000005"/>
    <n v="538.91999999999996"/>
    <n v="527.6"/>
    <n v="-6.4000000000000003E-3"/>
    <x v="3"/>
  </r>
  <r>
    <x v="822"/>
    <x v="651"/>
    <n v="527.63"/>
    <n v="536.15"/>
    <n v="527.6"/>
    <n v="6.6E-3"/>
    <x v="3"/>
  </r>
  <r>
    <x v="823"/>
    <x v="652"/>
    <n v="527.38"/>
    <n v="538.5"/>
    <n v="527.35"/>
    <n v="5.0000000000000001E-4"/>
    <x v="3"/>
  </r>
  <r>
    <x v="824"/>
    <x v="653"/>
    <n v="533.45000000000005"/>
    <n v="538.85"/>
    <n v="527.38"/>
    <n v="-1.1900000000000001E-2"/>
    <x v="3"/>
  </r>
  <r>
    <x v="825"/>
    <x v="654"/>
    <n v="533.4"/>
    <n v="538.79999999999995"/>
    <n v="527.38"/>
    <n v="6.9999999999999999E-4"/>
    <x v="3"/>
  </r>
  <r>
    <x v="826"/>
    <x v="598"/>
    <n v="527.29999999999995"/>
    <n v="538.54999999999995"/>
    <n v="527.29999999999995"/>
    <n v="1.15E-2"/>
    <x v="3"/>
  </r>
  <r>
    <x v="827"/>
    <x v="655"/>
    <n v="527.29999999999995"/>
    <n v="538.54999999999995"/>
    <n v="524"/>
    <n v="-1E-4"/>
    <x v="3"/>
  </r>
  <r>
    <x v="828"/>
    <x v="656"/>
    <n v="527.38"/>
    <n v="537.95000000000005"/>
    <n v="527.35"/>
    <n v="-1E-4"/>
    <x v="3"/>
  </r>
  <r>
    <x v="829"/>
    <x v="653"/>
    <n v="527.52"/>
    <n v="537.1"/>
    <n v="527.38"/>
    <n v="-2.9999999999999997E-4"/>
    <x v="3"/>
  </r>
  <r>
    <x v="830"/>
    <x v="657"/>
    <n v="527.54999999999995"/>
    <n v="537.04999999999995"/>
    <n v="527.52"/>
    <n v="-1E-4"/>
    <x v="3"/>
  </r>
  <r>
    <x v="831"/>
    <x v="658"/>
    <n v="530"/>
    <n v="535.04999999999995"/>
    <n v="527.5"/>
    <n v="-3.3999999999999998E-3"/>
    <x v="3"/>
  </r>
  <r>
    <x v="832"/>
    <x v="659"/>
    <n v="529.85"/>
    <n v="540.6"/>
    <n v="528.15"/>
    <n v="-8.9999999999999998E-4"/>
    <x v="3"/>
  </r>
  <r>
    <x v="833"/>
    <x v="660"/>
    <n v="533.95000000000005"/>
    <n v="541.25"/>
    <n v="529.85"/>
    <n v="-2.5000000000000001E-3"/>
    <x v="3"/>
  </r>
  <r>
    <x v="834"/>
    <x v="661"/>
    <n v="536.25"/>
    <n v="541.25"/>
    <n v="530"/>
    <n v="-4.0000000000000002E-4"/>
    <x v="3"/>
  </r>
  <r>
    <x v="835"/>
    <x v="575"/>
    <n v="531.48"/>
    <n v="536.48"/>
    <n v="530"/>
    <n v="-4.4999999999999997E-3"/>
    <x v="3"/>
  </r>
  <r>
    <x v="836"/>
    <x v="662"/>
    <n v="531.02"/>
    <n v="538.89"/>
    <n v="530"/>
    <n v="5.4000000000000003E-3"/>
    <x v="3"/>
  </r>
  <r>
    <x v="837"/>
    <x v="520"/>
    <n v="531.04999999999995"/>
    <n v="536.04999999999995"/>
    <n v="531.02"/>
    <n v="-1E-4"/>
    <x v="3"/>
  </r>
  <r>
    <x v="838"/>
    <x v="633"/>
    <n v="529.45000000000005"/>
    <n v="536.08000000000004"/>
    <n v="529.4"/>
    <n v="3.0000000000000001E-3"/>
    <x v="3"/>
  </r>
  <r>
    <x v="839"/>
    <x v="569"/>
    <n v="529.35"/>
    <n v="535"/>
    <n v="529.29999999999995"/>
    <n v="2.0000000000000001E-4"/>
    <x v="3"/>
  </r>
  <r>
    <x v="840"/>
    <x v="659"/>
    <n v="529.12"/>
    <n v="535"/>
    <n v="529.1"/>
    <n v="4.0000000000000002E-4"/>
    <x v="3"/>
  </r>
  <r>
    <x v="841"/>
    <x v="663"/>
    <n v="529"/>
    <n v="535"/>
    <n v="528.9"/>
    <n v="2.0000000000000001E-4"/>
    <x v="3"/>
  </r>
  <r>
    <x v="842"/>
    <x v="589"/>
    <n v="527.4"/>
    <n v="535"/>
    <n v="527.38"/>
    <n v="3.0000000000000001E-3"/>
    <x v="3"/>
  </r>
  <r>
    <x v="843"/>
    <x v="664"/>
    <n v="533.54999999999995"/>
    <n v="538.54999999999995"/>
    <n v="527.35"/>
    <n v="0"/>
    <x v="3"/>
  </r>
  <r>
    <x v="844"/>
    <x v="653"/>
    <n v="527.33000000000004"/>
    <n v="537.9"/>
    <n v="527.32000000000005"/>
    <n v="1E-4"/>
    <x v="3"/>
  </r>
  <r>
    <x v="845"/>
    <x v="665"/>
    <n v="527.29999999999995"/>
    <n v="536.65"/>
    <n v="527.28"/>
    <n v="1E-4"/>
    <x v="3"/>
  </r>
  <r>
    <x v="846"/>
    <x v="655"/>
    <n v="527.28"/>
    <n v="538"/>
    <n v="527.25"/>
    <n v="0"/>
    <x v="3"/>
  </r>
  <r>
    <x v="847"/>
    <x v="666"/>
    <n v="527.29999999999995"/>
    <n v="536.75"/>
    <n v="527.22"/>
    <n v="0"/>
    <x v="3"/>
  </r>
  <r>
    <x v="848"/>
    <x v="655"/>
    <n v="527.35"/>
    <n v="537.75"/>
    <n v="527.29999999999995"/>
    <n v="-4.4999999999999997E-3"/>
    <x v="3"/>
  </r>
  <r>
    <x v="849"/>
    <x v="667"/>
    <n v="527.35"/>
    <n v="534.73"/>
    <n v="527.29999999999995"/>
    <n v="4.4999999999999997E-3"/>
    <x v="3"/>
  </r>
  <r>
    <x v="850"/>
    <x v="656"/>
    <n v="527.5"/>
    <n v="536.6"/>
    <n v="527.35"/>
    <n v="-2.9999999999999997E-4"/>
    <x v="3"/>
  </r>
  <r>
    <x v="851"/>
    <x v="668"/>
    <n v="527.25"/>
    <n v="538.79999999999995"/>
    <n v="527.25"/>
    <n v="5.0000000000000001E-4"/>
    <x v="3"/>
  </r>
  <r>
    <x v="852"/>
    <x v="669"/>
    <n v="528.33000000000004"/>
    <n v="536.79999999999995"/>
    <n v="527.25"/>
    <n v="-2E-3"/>
    <x v="3"/>
  </r>
  <r>
    <x v="853"/>
    <x v="670"/>
    <n v="528.4"/>
    <n v="537.35"/>
    <n v="528.33000000000004"/>
    <n v="-1E-4"/>
    <x v="3"/>
  </r>
  <r>
    <x v="854"/>
    <x v="603"/>
    <n v="528.29999999999995"/>
    <n v="538.79999999999995"/>
    <n v="528.28"/>
    <n v="2.0000000000000001E-4"/>
    <x v="3"/>
  </r>
  <r>
    <x v="855"/>
    <x v="671"/>
    <n v="528.38"/>
    <n v="538.20000000000005"/>
    <n v="528.29999999999995"/>
    <n v="-4.7999999999999996E-3"/>
    <x v="3"/>
  </r>
  <r>
    <x v="856"/>
    <x v="672"/>
    <n v="528.29999999999995"/>
    <n v="536.37"/>
    <n v="528.29999999999995"/>
    <n v="4.7999999999999996E-3"/>
    <x v="3"/>
  </r>
  <r>
    <x v="857"/>
    <x v="671"/>
    <n v="528.25"/>
    <n v="538.79999999999995"/>
    <n v="528.25"/>
    <n v="-4.8999999999999998E-3"/>
    <x v="3"/>
  </r>
  <r>
    <x v="858"/>
    <x v="630"/>
    <n v="528.25"/>
    <n v="536.15"/>
    <n v="528.20000000000005"/>
    <n v="-6.9999999999999999E-4"/>
    <x v="3"/>
  </r>
  <r>
    <x v="859"/>
    <x v="673"/>
    <n v="528.29999999999995"/>
    <n v="536.35"/>
    <n v="528.25"/>
    <n v="5.7000000000000002E-3"/>
    <x v="3"/>
  </r>
  <r>
    <x v="860"/>
    <x v="671"/>
    <n v="528.38"/>
    <n v="539.1"/>
    <n v="528.29999999999995"/>
    <n v="-2.0000000000000001E-4"/>
    <x v="3"/>
  </r>
  <r>
    <x v="861"/>
    <x v="674"/>
    <n v="528.29999999999995"/>
    <n v="539.1"/>
    <n v="528.22"/>
    <n v="2.0000000000000001E-4"/>
    <x v="3"/>
  </r>
  <r>
    <x v="862"/>
    <x v="671"/>
    <n v="528.4"/>
    <n v="536.88"/>
    <n v="528.29999999999995"/>
    <n v="-2.0000000000000001E-4"/>
    <x v="3"/>
  </r>
  <r>
    <x v="863"/>
    <x v="603"/>
    <n v="528.38"/>
    <n v="535.97"/>
    <n v="528.36"/>
    <n v="0"/>
    <x v="3"/>
  </r>
  <r>
    <x v="864"/>
    <x v="674"/>
    <n v="528.35"/>
    <n v="538.6"/>
    <n v="528.35"/>
    <n v="-5.1999999999999998E-3"/>
    <x v="3"/>
  </r>
  <r>
    <x v="865"/>
    <x v="651"/>
    <n v="528.29999999999995"/>
    <n v="536.29999999999995"/>
    <n v="528.28"/>
    <n v="5.3E-3"/>
    <x v="3"/>
  </r>
  <r>
    <x v="866"/>
    <x v="671"/>
    <n v="532.58000000000004"/>
    <n v="539.1"/>
    <n v="528.29999999999995"/>
    <n v="-8.9999999999999993E-3"/>
    <x v="3"/>
  </r>
  <r>
    <x v="867"/>
    <x v="675"/>
    <n v="531.17999999999995"/>
    <n v="538.57000000000005"/>
    <n v="528.29"/>
    <n v="3.5999999999999999E-3"/>
    <x v="3"/>
  </r>
  <r>
    <x v="868"/>
    <x v="634"/>
    <n v="530.38"/>
    <n v="539.1"/>
    <n v="528.30999999999995"/>
    <n v="1.6000000000000001E-3"/>
    <x v="3"/>
  </r>
  <r>
    <x v="869"/>
    <x v="676"/>
    <n v="530.4"/>
    <n v="538.9"/>
    <n v="528.25"/>
    <n v="0"/>
    <x v="3"/>
  </r>
  <r>
    <x v="870"/>
    <x v="677"/>
    <n v="528.35"/>
    <n v="538.85"/>
    <n v="528.29999999999995"/>
    <n v="3.8E-3"/>
    <x v="3"/>
  </r>
  <r>
    <x v="871"/>
    <x v="678"/>
    <n v="528.25"/>
    <n v="538.75"/>
    <n v="528.25"/>
    <n v="2.0000000000000001E-4"/>
    <x v="3"/>
  </r>
  <r>
    <x v="872"/>
    <x v="679"/>
    <n v="528.29999999999995"/>
    <n v="538.45000000000005"/>
    <n v="528.25"/>
    <n v="-1E-4"/>
    <x v="3"/>
  </r>
  <r>
    <x v="873"/>
    <x v="671"/>
    <n v="533.29999999999995"/>
    <n v="538.4"/>
    <n v="528.29999999999995"/>
    <n v="0"/>
    <x v="3"/>
  </r>
  <r>
    <x v="874"/>
    <x v="671"/>
    <n v="528.29999999999995"/>
    <n v="538.35"/>
    <n v="528.29999999999995"/>
    <n v="0"/>
    <x v="3"/>
  </r>
  <r>
    <x v="875"/>
    <x v="671"/>
    <n v="528.29999999999995"/>
    <n v="538.85"/>
    <n v="528.29999999999995"/>
    <n v="0"/>
    <x v="3"/>
  </r>
  <r>
    <x v="876"/>
    <x v="671"/>
    <n v="528.22"/>
    <n v="540.65"/>
    <n v="528.22"/>
    <n v="2.0000000000000001E-4"/>
    <x v="3"/>
  </r>
  <r>
    <x v="877"/>
    <x v="680"/>
    <n v="528.25"/>
    <n v="539.25"/>
    <n v="528.22"/>
    <n v="-1E-4"/>
    <x v="3"/>
  </r>
  <r>
    <x v="878"/>
    <x v="679"/>
    <n v="531.45000000000005"/>
    <n v="538.85"/>
    <n v="528.25"/>
    <n v="-6.0000000000000001E-3"/>
    <x v="3"/>
  </r>
  <r>
    <x v="879"/>
    <x v="681"/>
    <n v="531.4"/>
    <n v="539.35"/>
    <n v="528.28"/>
    <n v="-2.5999999999999999E-3"/>
    <x v="3"/>
  </r>
  <r>
    <x v="880"/>
    <x v="682"/>
    <n v="528.42999999999995"/>
    <n v="537.85"/>
    <n v="528.34"/>
    <n v="8.3000000000000001E-3"/>
    <x v="3"/>
  </r>
  <r>
    <x v="881"/>
    <x v="683"/>
    <n v="528.35"/>
    <n v="539"/>
    <n v="528.35"/>
    <n v="-1.4E-3"/>
    <x v="3"/>
  </r>
  <r>
    <x v="882"/>
    <x v="684"/>
    <n v="528.48"/>
    <n v="541.62"/>
    <n v="528.29999999999995"/>
    <n v="1.2999999999999999E-3"/>
    <x v="3"/>
  </r>
  <r>
    <x v="883"/>
    <x v="685"/>
    <n v="528.48"/>
    <n v="536.25"/>
    <n v="528.48"/>
    <n v="0"/>
    <x v="3"/>
  </r>
  <r>
    <x v="884"/>
    <x v="685"/>
    <n v="533.85"/>
    <n v="540.08000000000004"/>
    <n v="528.45000000000005"/>
    <n v="-5.5999999999999999E-3"/>
    <x v="3"/>
  </r>
  <r>
    <x v="885"/>
    <x v="686"/>
    <n v="528.70000000000005"/>
    <n v="536.98"/>
    <n v="528"/>
    <n v="5.1999999999999998E-3"/>
    <x v="3"/>
  </r>
  <r>
    <x v="886"/>
    <x v="552"/>
    <n v="528.6"/>
    <n v="538.45000000000005"/>
    <n v="527.53"/>
    <n v="2.0000000000000001E-4"/>
    <x v="3"/>
  </r>
  <r>
    <x v="887"/>
    <x v="687"/>
    <n v="528.78"/>
    <n v="547.51"/>
    <n v="528"/>
    <n v="-2.9999999999999997E-4"/>
    <x v="3"/>
  </r>
  <r>
    <x v="888"/>
    <x v="688"/>
    <n v="528.77"/>
    <n v="538.20000000000005"/>
    <n v="528"/>
    <n v="0"/>
    <x v="3"/>
  </r>
  <r>
    <x v="889"/>
    <x v="689"/>
    <n v="528.75"/>
    <n v="539.35"/>
    <n v="528"/>
    <n v="0"/>
    <x v="3"/>
  </r>
  <r>
    <x v="890"/>
    <x v="690"/>
    <n v="528.87"/>
    <n v="538.85"/>
    <n v="528.75"/>
    <n v="-2.0000000000000001E-4"/>
    <x v="3"/>
  </r>
  <r>
    <x v="891"/>
    <x v="646"/>
    <n v="529.25"/>
    <n v="538.65"/>
    <n v="528.87"/>
    <n v="-7.9000000000000008E-3"/>
    <x v="3"/>
  </r>
  <r>
    <x v="892"/>
    <x v="691"/>
    <n v="529.30999999999995"/>
    <n v="538.16999999999996"/>
    <n v="529.25"/>
    <n v="7.0000000000000001E-3"/>
    <x v="3"/>
  </r>
  <r>
    <x v="893"/>
    <x v="692"/>
    <n v="529.87"/>
    <n v="536.91"/>
    <n v="529.38"/>
    <n v="-8.9999999999999998E-4"/>
    <x v="3"/>
  </r>
  <r>
    <x v="894"/>
    <x v="693"/>
    <n v="529.88"/>
    <n v="535.75"/>
    <n v="528"/>
    <n v="-1.6000000000000001E-3"/>
    <x v="3"/>
  </r>
  <r>
    <x v="895"/>
    <x v="694"/>
    <n v="530.75"/>
    <n v="535.75"/>
    <n v="529.85"/>
    <n v="1.6999999999999999E-3"/>
    <x v="3"/>
  </r>
  <r>
    <x v="896"/>
    <x v="660"/>
    <n v="529.88"/>
    <n v="536"/>
    <n v="528"/>
    <n v="-1E-4"/>
    <x v="3"/>
  </r>
  <r>
    <x v="897"/>
    <x v="695"/>
    <n v="529.9"/>
    <n v="536.19000000000005"/>
    <n v="528"/>
    <n v="0"/>
    <x v="3"/>
  </r>
  <r>
    <x v="898"/>
    <x v="696"/>
    <n v="531"/>
    <n v="536"/>
    <n v="528"/>
    <n v="-2.0999999999999999E-3"/>
    <x v="3"/>
  </r>
  <r>
    <x v="899"/>
    <x v="697"/>
    <n v="530"/>
    <n v="536"/>
    <n v="530"/>
    <n v="1.9E-3"/>
    <x v="3"/>
  </r>
  <r>
    <x v="900"/>
    <x v="698"/>
    <n v="530.38"/>
    <n v="536"/>
    <n v="530"/>
    <n v="-6.9999999999999999E-4"/>
    <x v="3"/>
  </r>
  <r>
    <x v="901"/>
    <x v="676"/>
    <n v="530.44000000000005"/>
    <n v="536.5"/>
    <n v="528"/>
    <n v="-2.0999999999999999E-3"/>
    <x v="3"/>
  </r>
  <r>
    <x v="902"/>
    <x v="686"/>
    <n v="530.25"/>
    <n v="536.5"/>
    <n v="528"/>
    <n v="2.3E-3"/>
    <x v="3"/>
  </r>
  <r>
    <x v="903"/>
    <x v="544"/>
    <n v="530.35"/>
    <n v="535.4"/>
    <n v="530.25"/>
    <n v="-2.0000000000000001E-4"/>
    <x v="3"/>
  </r>
  <r>
    <x v="904"/>
    <x v="699"/>
    <n v="530.4"/>
    <n v="535.41999999999996"/>
    <n v="528"/>
    <n v="-1E-4"/>
    <x v="3"/>
  </r>
  <r>
    <x v="905"/>
    <x v="677"/>
    <n v="530.04999999999995"/>
    <n v="535.47"/>
    <n v="528"/>
    <n v="6.9999999999999999E-4"/>
    <x v="3"/>
  </r>
  <r>
    <x v="906"/>
    <x v="602"/>
    <n v="530.20000000000005"/>
    <n v="535.45000000000005"/>
    <n v="530.04999999999995"/>
    <n v="-2.9999999999999997E-4"/>
    <x v="3"/>
  </r>
  <r>
    <x v="907"/>
    <x v="541"/>
    <n v="526.4"/>
    <n v="535.25"/>
    <n v="526.35"/>
    <n v="7.1999999999999998E-3"/>
    <x v="3"/>
  </r>
  <r>
    <x v="908"/>
    <x v="619"/>
    <n v="526.5"/>
    <n v="533"/>
    <n v="526.4"/>
    <n v="-2.0000000000000001E-4"/>
    <x v="3"/>
  </r>
  <r>
    <x v="909"/>
    <x v="700"/>
    <n v="526.58000000000004"/>
    <n v="533"/>
    <n v="526.5"/>
    <n v="-2.0000000000000001E-4"/>
    <x v="3"/>
  </r>
  <r>
    <x v="910"/>
    <x v="622"/>
    <n v="526.65"/>
    <n v="533"/>
    <n v="526.6"/>
    <n v="-1E-4"/>
    <x v="3"/>
  </r>
  <r>
    <x v="911"/>
    <x v="701"/>
    <n v="526.67999999999995"/>
    <n v="533"/>
    <n v="526.65"/>
    <n v="-1E-4"/>
    <x v="3"/>
  </r>
  <r>
    <x v="912"/>
    <x v="702"/>
    <n v="526.69000000000005"/>
    <n v="531.69000000000005"/>
    <n v="526.67999999999995"/>
    <n v="0"/>
    <x v="3"/>
  </r>
  <r>
    <x v="913"/>
    <x v="702"/>
    <n v="526.70000000000005"/>
    <n v="531.71"/>
    <n v="526.65"/>
    <n v="0"/>
    <x v="3"/>
  </r>
  <r>
    <x v="914"/>
    <x v="703"/>
    <n v="526.75"/>
    <n v="533"/>
    <n v="526.70000000000005"/>
    <n v="-1E-4"/>
    <x v="3"/>
  </r>
  <r>
    <x v="915"/>
    <x v="704"/>
    <n v="526.79999999999995"/>
    <n v="533"/>
    <n v="526.75"/>
    <n v="-1E-4"/>
    <x v="3"/>
  </r>
  <r>
    <x v="916"/>
    <x v="705"/>
    <n v="526.75"/>
    <n v="533"/>
    <n v="526.75"/>
    <n v="1E-4"/>
    <x v="3"/>
  </r>
  <r>
    <x v="917"/>
    <x v="704"/>
    <n v="526.75"/>
    <n v="533"/>
    <n v="526.75"/>
    <n v="0"/>
    <x v="3"/>
  </r>
  <r>
    <x v="918"/>
    <x v="704"/>
    <n v="526.6"/>
    <n v="533"/>
    <n v="526.54999999999995"/>
    <n v="2.9999999999999997E-4"/>
    <x v="3"/>
  </r>
  <r>
    <x v="919"/>
    <x v="622"/>
    <n v="526.70000000000005"/>
    <n v="533"/>
    <n v="526.6"/>
    <n v="-2.0000000000000001E-4"/>
    <x v="3"/>
  </r>
  <r>
    <x v="920"/>
    <x v="703"/>
    <n v="526.75"/>
    <n v="533"/>
    <n v="526.70000000000005"/>
    <n v="-1E-4"/>
    <x v="3"/>
  </r>
  <r>
    <x v="921"/>
    <x v="704"/>
    <n v="526.6"/>
    <n v="534.22"/>
    <n v="526.54999999999995"/>
    <n v="2.9999999999999997E-4"/>
    <x v="3"/>
  </r>
  <r>
    <x v="922"/>
    <x v="622"/>
    <n v="526.17999999999995"/>
    <n v="533"/>
    <n v="526.15"/>
    <n v="8.0000000000000004E-4"/>
    <x v="3"/>
  </r>
  <r>
    <x v="923"/>
    <x v="606"/>
    <n v="526.20000000000005"/>
    <n v="533"/>
    <n v="526.17999999999995"/>
    <n v="0"/>
    <x v="3"/>
  </r>
  <r>
    <x v="924"/>
    <x v="605"/>
    <n v="526.20000000000005"/>
    <n v="533"/>
    <n v="526.20000000000005"/>
    <n v="0"/>
    <x v="3"/>
  </r>
  <r>
    <x v="925"/>
    <x v="605"/>
    <n v="526.25"/>
    <n v="533"/>
    <n v="526.20000000000005"/>
    <n v="-1E-4"/>
    <x v="3"/>
  </r>
  <r>
    <x v="926"/>
    <x v="609"/>
    <n v="526.25"/>
    <n v="531.25"/>
    <n v="526.25"/>
    <n v="0"/>
    <x v="3"/>
  </r>
  <r>
    <x v="927"/>
    <x v="609"/>
    <n v="526.29999999999995"/>
    <n v="533"/>
    <n v="526.25"/>
    <n v="-1E-4"/>
    <x v="3"/>
  </r>
  <r>
    <x v="928"/>
    <x v="706"/>
    <n v="526.30999999999995"/>
    <n v="533"/>
    <n v="526.1"/>
    <n v="-1.5E-3"/>
    <x v="3"/>
  </r>
  <r>
    <x v="929"/>
    <x v="707"/>
    <n v="526.20000000000005"/>
    <n v="532.08000000000004"/>
    <n v="526.15"/>
    <n v="1.6999999999999999E-3"/>
    <x v="3"/>
  </r>
  <r>
    <x v="930"/>
    <x v="605"/>
    <n v="526.20000000000005"/>
    <n v="537.75"/>
    <n v="526.15"/>
    <n v="0"/>
    <x v="3"/>
  </r>
  <r>
    <x v="931"/>
    <x v="605"/>
    <n v="525.9"/>
    <n v="533"/>
    <n v="525.79999999999995"/>
    <n v="-1.4E-3"/>
    <x v="3"/>
  </r>
  <r>
    <x v="932"/>
    <x v="708"/>
    <n v="525.88"/>
    <n v="531.91999999999996"/>
    <n v="525.85"/>
    <n v="2E-3"/>
    <x v="3"/>
  </r>
  <r>
    <x v="933"/>
    <x v="709"/>
    <n v="525.1"/>
    <n v="533"/>
    <n v="525.1"/>
    <n v="1.5E-3"/>
    <x v="3"/>
  </r>
  <r>
    <x v="934"/>
    <x v="710"/>
    <n v="525.20000000000005"/>
    <n v="533"/>
    <n v="525.1"/>
    <n v="-2.0000000000000001E-4"/>
    <x v="3"/>
  </r>
  <r>
    <x v="935"/>
    <x v="711"/>
    <n v="525.25"/>
    <n v="530.82000000000005"/>
    <n v="525.20000000000005"/>
    <n v="-1E-4"/>
    <x v="3"/>
  </r>
  <r>
    <x v="936"/>
    <x v="712"/>
    <n v="525.29999999999995"/>
    <n v="533"/>
    <n v="525.25"/>
    <n v="-1E-4"/>
    <x v="3"/>
  </r>
  <r>
    <x v="937"/>
    <x v="713"/>
    <n v="525.4"/>
    <n v="533"/>
    <n v="525.29999999999995"/>
    <n v="-2.0000000000000001E-4"/>
    <x v="3"/>
  </r>
  <r>
    <x v="938"/>
    <x v="714"/>
    <n v="525.75"/>
    <n v="533"/>
    <n v="525.4"/>
    <n v="-6.9999999999999999E-4"/>
    <x v="3"/>
  </r>
  <r>
    <x v="939"/>
    <x v="715"/>
    <n v="526"/>
    <n v="533"/>
    <n v="525.75"/>
    <n v="-5.0000000000000001E-4"/>
    <x v="3"/>
  </r>
  <r>
    <x v="940"/>
    <x v="613"/>
    <n v="526.29999999999995"/>
    <n v="533"/>
    <n v="526"/>
    <n v="-6.7999999999999996E-3"/>
    <x v="3"/>
  </r>
  <r>
    <x v="941"/>
    <x v="716"/>
    <n v="526.25"/>
    <n v="534.65"/>
    <n v="526.25"/>
    <n v="1.6999999999999999E-3"/>
    <x v="3"/>
  </r>
  <r>
    <x v="942"/>
    <x v="690"/>
    <n v="526.45000000000005"/>
    <n v="535.5"/>
    <n v="526.25"/>
    <n v="-4.0000000000000002E-4"/>
    <x v="3"/>
  </r>
  <r>
    <x v="943"/>
    <x v="554"/>
    <n v="526.4"/>
    <n v="535.5"/>
    <n v="526.4"/>
    <n v="1E-4"/>
    <x v="3"/>
  </r>
  <r>
    <x v="944"/>
    <x v="717"/>
    <n v="526.45000000000005"/>
    <n v="535.5"/>
    <n v="526.4"/>
    <n v="-1E-4"/>
    <x v="3"/>
  </r>
  <r>
    <x v="945"/>
    <x v="554"/>
    <n v="526.54999999999995"/>
    <n v="535.5"/>
    <n v="526.45000000000005"/>
    <n v="-2.0000000000000001E-4"/>
    <x v="3"/>
  </r>
  <r>
    <x v="946"/>
    <x v="718"/>
    <n v="526.65"/>
    <n v="548.5"/>
    <n v="526.54999999999995"/>
    <n v="-2.0000000000000001E-4"/>
    <x v="3"/>
  </r>
  <r>
    <x v="947"/>
    <x v="719"/>
    <n v="527.1"/>
    <n v="548.5"/>
    <n v="526.65"/>
    <n v="-8.0000000000000004E-4"/>
    <x v="3"/>
  </r>
  <r>
    <x v="948"/>
    <x v="547"/>
    <n v="527.20000000000005"/>
    <n v="548.5"/>
    <n v="527.1"/>
    <n v="-2.0000000000000001E-4"/>
    <x v="3"/>
  </r>
  <r>
    <x v="949"/>
    <x v="720"/>
    <n v="527.29999999999995"/>
    <n v="534.79999999999995"/>
    <n v="526.65"/>
    <n v="-2.0000000000000001E-4"/>
    <x v="3"/>
  </r>
  <r>
    <x v="950"/>
    <x v="721"/>
    <n v="527.29999999999995"/>
    <n v="534.85"/>
    <n v="527.25"/>
    <n v="0"/>
    <x v="3"/>
  </r>
  <r>
    <x v="951"/>
    <x v="721"/>
    <n v="526.4"/>
    <n v="548.5"/>
    <n v="526.4"/>
    <n v="1.6999999999999999E-3"/>
    <x v="3"/>
  </r>
  <r>
    <x v="952"/>
    <x v="717"/>
    <n v="526.4"/>
    <n v="548.5"/>
    <n v="526.29999999999995"/>
    <n v="0"/>
    <x v="3"/>
  </r>
  <r>
    <x v="953"/>
    <x v="717"/>
    <n v="526.35"/>
    <n v="533.95000000000005"/>
    <n v="526.29999999999995"/>
    <n v="1E-4"/>
    <x v="3"/>
  </r>
  <r>
    <x v="954"/>
    <x v="722"/>
    <n v="526.4"/>
    <n v="533.91999999999996"/>
    <n v="526.29999999999995"/>
    <n v="-1E-4"/>
    <x v="3"/>
  </r>
  <r>
    <x v="955"/>
    <x v="717"/>
    <n v="526.20000000000005"/>
    <n v="533.95000000000005"/>
    <n v="526.15"/>
    <n v="4.0000000000000002E-4"/>
    <x v="3"/>
  </r>
  <r>
    <x v="956"/>
    <x v="552"/>
    <n v="526.35"/>
    <n v="534.04"/>
    <n v="526.20000000000005"/>
    <n v="-2.9999999999999997E-4"/>
    <x v="3"/>
  </r>
  <r>
    <x v="957"/>
    <x v="722"/>
    <n v="526.54999999999995"/>
    <n v="548.5"/>
    <n v="526.35"/>
    <n v="-4.0000000000000002E-4"/>
    <x v="3"/>
  </r>
  <r>
    <x v="958"/>
    <x v="718"/>
    <n v="526.6"/>
    <n v="534.1"/>
    <n v="526.48"/>
    <n v="-1E-4"/>
    <x v="3"/>
  </r>
  <r>
    <x v="959"/>
    <x v="723"/>
    <n v="526.6"/>
    <n v="548.5"/>
    <n v="526.54999999999995"/>
    <n v="-1.3299999999999999E-2"/>
    <x v="3"/>
  </r>
  <r>
    <x v="960"/>
    <x v="724"/>
    <n v="526.85"/>
    <n v="541.29999999999995"/>
    <n v="526.6"/>
    <n v="1.2999999999999999E-2"/>
    <x v="3"/>
  </r>
  <r>
    <x v="961"/>
    <x v="659"/>
    <n v="526.79999999999995"/>
    <n v="534.41999999999996"/>
    <n v="526.75"/>
    <n v="1E-4"/>
    <x v="3"/>
  </r>
  <r>
    <x v="962"/>
    <x v="725"/>
    <n v="527.54999999999995"/>
    <n v="535.04999999999995"/>
    <n v="526.79999999999995"/>
    <n v="-1.4E-3"/>
    <x v="3"/>
  </r>
  <r>
    <x v="963"/>
    <x v="602"/>
    <n v="528.54999999999995"/>
    <n v="548.5"/>
    <n v="527.54999999999995"/>
    <n v="-1.9E-3"/>
    <x v="3"/>
  </r>
  <r>
    <x v="964"/>
    <x v="633"/>
    <n v="528.65"/>
    <n v="548.5"/>
    <n v="528.54999999999995"/>
    <n v="-2.0000000000000001E-4"/>
    <x v="3"/>
  </r>
  <r>
    <x v="965"/>
    <x v="651"/>
    <n v="528.75"/>
    <n v="548.5"/>
    <n v="528.65"/>
    <n v="-2.0000000000000001E-4"/>
    <x v="3"/>
  </r>
  <r>
    <x v="966"/>
    <x v="634"/>
    <n v="528.65"/>
    <n v="548.5"/>
    <n v="528.65"/>
    <n v="2.0000000000000001E-4"/>
    <x v="3"/>
  </r>
  <r>
    <x v="967"/>
    <x v="651"/>
    <n v="528.4"/>
    <n v="548.5"/>
    <n v="528.35"/>
    <n v="5.0000000000000001E-4"/>
    <x v="3"/>
  </r>
  <r>
    <x v="968"/>
    <x v="632"/>
    <n v="528.5"/>
    <n v="548.5"/>
    <n v="528.4"/>
    <n v="-2.0000000000000001E-4"/>
    <x v="3"/>
  </r>
  <r>
    <x v="969"/>
    <x v="697"/>
    <n v="527.20000000000005"/>
    <n v="548.5"/>
    <n v="526"/>
    <n v="2.3999999999999998E-3"/>
    <x v="3"/>
  </r>
  <r>
    <x v="970"/>
    <x v="720"/>
    <n v="528.54999999999995"/>
    <n v="536.04999999999995"/>
    <n v="527.20000000000005"/>
    <n v="-2.5000000000000001E-3"/>
    <x v="3"/>
  </r>
  <r>
    <x v="971"/>
    <x v="633"/>
    <n v="528.65"/>
    <n v="548.5"/>
    <n v="528.54999999999995"/>
    <n v="-2.0000000000000001E-4"/>
    <x v="3"/>
  </r>
  <r>
    <x v="972"/>
    <x v="651"/>
    <n v="529.5"/>
    <n v="548.5"/>
    <n v="528.65"/>
    <n v="-1.6000000000000001E-3"/>
    <x v="3"/>
  </r>
  <r>
    <x v="973"/>
    <x v="726"/>
    <n v="529.6"/>
    <n v="537.1"/>
    <n v="529.5"/>
    <n v="-2.0000000000000001E-4"/>
    <x v="3"/>
  </r>
  <r>
    <x v="974"/>
    <x v="727"/>
    <n v="529.70000000000005"/>
    <n v="548.5"/>
    <n v="528.72"/>
    <n v="-2.0000000000000001E-4"/>
    <x v="3"/>
  </r>
  <r>
    <x v="975"/>
    <x v="728"/>
    <n v="529.75"/>
    <n v="537.25"/>
    <n v="529.70000000000005"/>
    <n v="-1E-4"/>
    <x v="3"/>
  </r>
  <r>
    <x v="976"/>
    <x v="729"/>
    <n v="529.79999999999995"/>
    <n v="548.5"/>
    <n v="529.75"/>
    <n v="-1E-4"/>
    <x v="3"/>
  </r>
  <r>
    <x v="977"/>
    <x v="599"/>
    <n v="530.25"/>
    <n v="537.75"/>
    <n v="529.79999999999995"/>
    <n v="-8.0000000000000004E-4"/>
    <x v="3"/>
  </r>
  <r>
    <x v="978"/>
    <x v="730"/>
    <n v="530.45000000000005"/>
    <n v="537.95000000000005"/>
    <n v="530.25"/>
    <n v="-4.0000000000000002E-4"/>
    <x v="3"/>
  </r>
  <r>
    <x v="979"/>
    <x v="731"/>
    <n v="530.75"/>
    <n v="548.5"/>
    <n v="530.45000000000005"/>
    <n v="-5.9999999999999995E-4"/>
    <x v="3"/>
  </r>
  <r>
    <x v="980"/>
    <x v="732"/>
    <n v="530.79999999999995"/>
    <n v="548.5"/>
    <n v="530.75"/>
    <n v="-1E-4"/>
    <x v="3"/>
  </r>
  <r>
    <x v="981"/>
    <x v="733"/>
    <n v="531.04999999999995"/>
    <n v="548.5"/>
    <n v="530.79999999999995"/>
    <n v="-5.0000000000000001E-4"/>
    <x v="3"/>
  </r>
  <r>
    <x v="982"/>
    <x v="734"/>
    <n v="531.20000000000005"/>
    <n v="538.70000000000005"/>
    <n v="531.04999999999995"/>
    <n v="-2.9999999999999997E-4"/>
    <x v="3"/>
  </r>
  <r>
    <x v="983"/>
    <x v="735"/>
    <n v="532.04999999999995"/>
    <n v="548.5"/>
    <n v="531.20000000000005"/>
    <n v="-1.6000000000000001E-3"/>
    <x v="3"/>
  </r>
  <r>
    <x v="984"/>
    <x v="736"/>
    <n v="532.1"/>
    <n v="539.6"/>
    <n v="532.04999999999995"/>
    <n v="-8.3000000000000001E-3"/>
    <x v="3"/>
  </r>
  <r>
    <x v="985"/>
    <x v="737"/>
    <n v="532.29999999999995"/>
    <n v="544.04999999999995"/>
    <n v="532.1"/>
    <n v="-2.0000000000000001E-4"/>
    <x v="3"/>
  </r>
  <r>
    <x v="986"/>
    <x v="738"/>
    <n v="532.4"/>
    <n v="544.15"/>
    <n v="532.29999999999995"/>
    <n v="7.9000000000000008E-3"/>
    <x v="3"/>
  </r>
  <r>
    <x v="987"/>
    <x v="739"/>
    <n v="532.45000000000005"/>
    <n v="540.09"/>
    <n v="532.4"/>
    <n v="-1E-4"/>
    <x v="3"/>
  </r>
  <r>
    <x v="988"/>
    <x v="740"/>
    <n v="531.5"/>
    <n v="539.95000000000005"/>
    <n v="531.5"/>
    <n v="1.8E-3"/>
    <x v="3"/>
  </r>
  <r>
    <x v="989"/>
    <x v="741"/>
    <n v="530.79999999999995"/>
    <n v="539.08000000000004"/>
    <n v="530.70000000000005"/>
    <n v="1.2999999999999999E-3"/>
    <x v="3"/>
  </r>
  <r>
    <x v="990"/>
    <x v="733"/>
    <n v="530.95000000000005"/>
    <n v="538.45000000000005"/>
    <n v="530.79999999999995"/>
    <n v="-2.9999999999999997E-4"/>
    <x v="3"/>
  </r>
  <r>
    <x v="991"/>
    <x v="742"/>
    <n v="530.85"/>
    <n v="538.48"/>
    <n v="530.79999999999995"/>
    <n v="2.0000000000000001E-4"/>
    <x v="3"/>
  </r>
  <r>
    <x v="992"/>
    <x v="743"/>
    <n v="530.4"/>
    <n v="538.35"/>
    <n v="529.87"/>
    <n v="8.0000000000000004E-4"/>
    <x v="3"/>
  </r>
  <r>
    <x v="993"/>
    <x v="744"/>
    <n v="529.75"/>
    <n v="538"/>
    <n v="529.70000000000005"/>
    <n v="1.1999999999999999E-3"/>
    <x v="3"/>
  </r>
  <r>
    <x v="994"/>
    <x v="729"/>
    <n v="529.87"/>
    <n v="548.5"/>
    <n v="529.75"/>
    <n v="-2.01E-2"/>
    <x v="3"/>
  </r>
  <r>
    <x v="995"/>
    <x v="745"/>
    <n v="529.9"/>
    <n v="548.25"/>
    <n v="529.79999999999995"/>
    <n v="2.0199999999999999E-2"/>
    <x v="3"/>
  </r>
  <r>
    <x v="996"/>
    <x v="549"/>
    <n v="529.79999999999995"/>
    <n v="537.48"/>
    <n v="529.70000000000005"/>
    <n v="2.0000000000000001E-4"/>
    <x v="3"/>
  </r>
  <r>
    <x v="997"/>
    <x v="599"/>
    <n v="530.04999999999995"/>
    <n v="537.54999999999995"/>
    <n v="529.79999999999995"/>
    <n v="-5.0000000000000001E-4"/>
    <x v="3"/>
  </r>
  <r>
    <x v="998"/>
    <x v="746"/>
    <n v="530"/>
    <n v="537.6"/>
    <n v="530"/>
    <n v="1E-4"/>
    <x v="3"/>
  </r>
  <r>
    <x v="999"/>
    <x v="506"/>
    <n v="530.07000000000005"/>
    <n v="537.65"/>
    <n v="530"/>
    <n v="-2.9999999999999997E-4"/>
    <x v="3"/>
  </r>
  <r>
    <x v="1000"/>
    <x v="747"/>
    <n v="530.15"/>
    <n v="537.65"/>
    <n v="530.15"/>
    <n v="0"/>
    <x v="3"/>
  </r>
  <r>
    <x v="1001"/>
    <x v="747"/>
    <n v="530.15"/>
    <n v="537.65"/>
    <n v="530.15"/>
    <n v="2.9999999999999997E-4"/>
    <x v="3"/>
  </r>
  <r>
    <x v="1002"/>
    <x v="506"/>
    <n v="530"/>
    <n v="537.54"/>
    <n v="530"/>
    <n v="0"/>
    <x v="3"/>
  </r>
  <r>
    <x v="1003"/>
    <x v="506"/>
    <n v="530.5"/>
    <n v="548.5"/>
    <n v="530"/>
    <n v="-8.9999999999999998E-4"/>
    <x v="3"/>
  </r>
  <r>
    <x v="1004"/>
    <x v="748"/>
    <n v="533.04999999999995"/>
    <n v="548.5"/>
    <n v="530.5"/>
    <n v="-4.7000000000000002E-3"/>
    <x v="3"/>
  </r>
  <r>
    <x v="1005"/>
    <x v="749"/>
    <n v="533.04999999999995"/>
    <n v="548.5"/>
    <n v="533.04999999999995"/>
    <n v="0"/>
    <x v="3"/>
  </r>
  <r>
    <x v="1006"/>
    <x v="749"/>
    <n v="533.1"/>
    <n v="540.70000000000005"/>
    <n v="533.04999999999995"/>
    <n v="-1E-4"/>
    <x v="3"/>
  </r>
  <r>
    <x v="1007"/>
    <x v="750"/>
    <n v="533"/>
    <n v="548.5"/>
    <n v="533"/>
    <n v="2.0000000000000001E-4"/>
    <x v="3"/>
  </r>
  <r>
    <x v="1008"/>
    <x v="751"/>
    <n v="533"/>
    <n v="548.5"/>
    <n v="533"/>
    <n v="0"/>
    <x v="3"/>
  </r>
  <r>
    <x v="1009"/>
    <x v="751"/>
    <n v="532.75"/>
    <n v="540.6"/>
    <n v="532.65"/>
    <n v="5.0000000000000001E-4"/>
    <x v="3"/>
  </r>
  <r>
    <x v="1010"/>
    <x v="752"/>
    <n v="533.20000000000005"/>
    <n v="548.5"/>
    <n v="532.75"/>
    <n v="-5.9999999999999995E-4"/>
    <x v="3"/>
  </r>
  <r>
    <x v="1011"/>
    <x v="749"/>
    <n v="533.20000000000005"/>
    <n v="540.70000000000005"/>
    <n v="533.04999999999995"/>
    <n v="-2.9999999999999997E-4"/>
    <x v="3"/>
  </r>
  <r>
    <x v="1012"/>
    <x v="753"/>
    <n v="540"/>
    <n v="548.5"/>
    <n v="533.20000000000005"/>
    <n v="-1.24E-2"/>
    <x v="3"/>
  </r>
  <r>
    <x v="1013"/>
    <x v="754"/>
    <n v="533.29999999999995"/>
    <n v="548.5"/>
    <n v="533.20000000000005"/>
    <n v="1.24E-2"/>
    <x v="3"/>
  </r>
  <r>
    <x v="1014"/>
    <x v="755"/>
    <n v="533.29999999999995"/>
    <n v="540.80999999999995"/>
    <n v="533.29999999999995"/>
    <n v="0"/>
    <x v="3"/>
  </r>
  <r>
    <x v="1015"/>
    <x v="755"/>
    <n v="533.25"/>
    <n v="540.80999999999995"/>
    <n v="533.25"/>
    <n v="-7.0000000000000001E-3"/>
    <x v="4"/>
  </r>
  <r>
    <x v="1016"/>
    <x v="756"/>
    <n v="532.75"/>
    <n v="544.62"/>
    <n v="532.70000000000005"/>
    <n v="8.0999999999999996E-3"/>
    <x v="4"/>
  </r>
  <r>
    <x v="1017"/>
    <x v="752"/>
    <n v="532.65"/>
    <n v="540.33000000000004"/>
    <n v="532.6"/>
    <n v="2.0000000000000001E-4"/>
    <x v="4"/>
  </r>
  <r>
    <x v="1018"/>
    <x v="757"/>
    <n v="532.67999999999995"/>
    <n v="540.25"/>
    <n v="532.65"/>
    <n v="-2.0000000000000001E-4"/>
    <x v="4"/>
  </r>
  <r>
    <x v="1019"/>
    <x v="752"/>
    <n v="532.75"/>
    <n v="540.25"/>
    <n v="532.67999999999995"/>
    <n v="0"/>
    <x v="4"/>
  </r>
  <r>
    <x v="1020"/>
    <x v="752"/>
    <n v="530.4"/>
    <n v="540.26"/>
    <n v="530.29999999999995"/>
    <n v="4.4000000000000003E-3"/>
    <x v="4"/>
  </r>
  <r>
    <x v="1021"/>
    <x v="744"/>
    <n v="527.04999999999995"/>
    <n v="548.5"/>
    <n v="527.04999999999995"/>
    <n v="6.3E-3"/>
    <x v="4"/>
  </r>
  <r>
    <x v="1022"/>
    <x v="758"/>
    <n v="527.1"/>
    <n v="548.5"/>
    <n v="526.99"/>
    <n v="-1E-4"/>
    <x v="4"/>
  </r>
  <r>
    <x v="1023"/>
    <x v="547"/>
    <n v="527.1"/>
    <n v="534.70000000000005"/>
    <n v="527.1"/>
    <n v="0"/>
    <x v="4"/>
  </r>
  <r>
    <x v="1024"/>
    <x v="547"/>
    <n v="528.1"/>
    <n v="535.6"/>
    <n v="527.1"/>
    <n v="-1.9E-3"/>
    <x v="4"/>
  </r>
  <r>
    <x v="1025"/>
    <x v="759"/>
    <n v="528.15"/>
    <n v="535.65"/>
    <n v="527.72"/>
    <n v="-1E-4"/>
    <x v="4"/>
  </r>
  <r>
    <x v="1026"/>
    <x v="644"/>
    <n v="528.15"/>
    <n v="535.72"/>
    <n v="528.1"/>
    <n v="0"/>
    <x v="4"/>
  </r>
  <r>
    <x v="1027"/>
    <x v="644"/>
    <n v="528.20000000000005"/>
    <n v="548.5"/>
    <n v="528.04999999999995"/>
    <n v="0"/>
    <x v="4"/>
  </r>
  <r>
    <x v="1028"/>
    <x v="644"/>
    <n v="528.20000000000005"/>
    <n v="535.70000000000005"/>
    <n v="528.14"/>
    <n v="-1E-4"/>
    <x v="4"/>
  </r>
  <r>
    <x v="1029"/>
    <x v="760"/>
    <n v="528.1"/>
    <n v="535.71"/>
    <n v="528"/>
    <n v="2.0000000000000001E-4"/>
    <x v="4"/>
  </r>
  <r>
    <x v="1030"/>
    <x v="759"/>
    <n v="527.70000000000005"/>
    <n v="535.74"/>
    <n v="527.54999999999995"/>
    <n v="6.9999999999999999E-4"/>
    <x v="4"/>
  </r>
  <r>
    <x v="1031"/>
    <x v="541"/>
    <n v="527.79999999999995"/>
    <n v="535.29999999999995"/>
    <n v="527.70000000000005"/>
    <n v="-2.0000000000000001E-4"/>
    <x v="4"/>
  </r>
  <r>
    <x v="1032"/>
    <x v="545"/>
    <n v="528"/>
    <n v="548.5"/>
    <n v="527.79999999999995"/>
    <n v="-4.0000000000000002E-4"/>
    <x v="4"/>
  </r>
  <r>
    <x v="1033"/>
    <x v="761"/>
    <n v="528.1"/>
    <n v="548.5"/>
    <n v="528"/>
    <n v="-2.0000000000000001E-4"/>
    <x v="4"/>
  </r>
  <r>
    <x v="1034"/>
    <x v="759"/>
    <n v="528.25"/>
    <n v="535.75"/>
    <n v="528.1"/>
    <n v="-2.9999999999999997E-4"/>
    <x v="4"/>
  </r>
  <r>
    <x v="1035"/>
    <x v="694"/>
    <n v="528.65"/>
    <n v="536.15"/>
    <n v="528.25"/>
    <n v="-6.9999999999999999E-4"/>
    <x v="4"/>
  </r>
  <r>
    <x v="1036"/>
    <x v="651"/>
    <n v="528.74"/>
    <n v="537.04999999999995"/>
    <n v="528.65"/>
    <n v="-1.6999999999999999E-3"/>
    <x v="4"/>
  </r>
  <r>
    <x v="1037"/>
    <x v="762"/>
    <n v="529.85"/>
    <n v="537.35"/>
    <n v="529.54999999999995"/>
    <n v="-5.9999999999999995E-4"/>
    <x v="4"/>
  </r>
  <r>
    <x v="1038"/>
    <x v="763"/>
    <n v="529.89"/>
    <n v="537.5"/>
    <n v="529.85"/>
    <n v="-2.9999999999999997E-4"/>
    <x v="4"/>
  </r>
  <r>
    <x v="1039"/>
    <x v="506"/>
    <n v="529.83000000000004"/>
    <n v="537.5"/>
    <n v="529.83000000000004"/>
    <n v="0"/>
    <x v="4"/>
  </r>
  <r>
    <x v="1040"/>
    <x v="506"/>
    <n v="530.29999999999995"/>
    <n v="548.5"/>
    <n v="530"/>
    <n v="-5.9999999999999995E-4"/>
    <x v="4"/>
  </r>
  <r>
    <x v="1041"/>
    <x v="764"/>
    <n v="530.29999999999995"/>
    <n v="548.5"/>
    <n v="530.20000000000005"/>
    <n v="0"/>
    <x v="4"/>
  </r>
  <r>
    <x v="1042"/>
    <x v="764"/>
    <n v="530.29999999999995"/>
    <n v="548.5"/>
    <n v="530.1"/>
    <n v="0"/>
    <x v="4"/>
  </r>
  <r>
    <x v="1043"/>
    <x v="764"/>
    <n v="530.35"/>
    <n v="548.5"/>
    <n v="530.29999999999995"/>
    <n v="-1E-4"/>
    <x v="4"/>
  </r>
  <r>
    <x v="1044"/>
    <x v="682"/>
    <n v="530.35"/>
    <n v="548.5"/>
    <n v="530.35"/>
    <n v="0"/>
    <x v="4"/>
  </r>
  <r>
    <x v="1045"/>
    <x v="682"/>
    <n v="530.79999999999995"/>
    <n v="548.5"/>
    <n v="530.35"/>
    <n v="-8.0000000000000004E-4"/>
    <x v="4"/>
  </r>
  <r>
    <x v="1046"/>
    <x v="733"/>
    <n v="531.04999999999995"/>
    <n v="548.5"/>
    <n v="530.75"/>
    <n v="-5.0000000000000001E-4"/>
    <x v="4"/>
  </r>
  <r>
    <x v="1047"/>
    <x v="734"/>
    <n v="531.82000000000005"/>
    <n v="548.5"/>
    <n v="531.04999999999995"/>
    <n v="-1.4E-3"/>
    <x v="4"/>
  </r>
  <r>
    <x v="1048"/>
    <x v="765"/>
    <n v="531.85"/>
    <n v="548.5"/>
    <n v="531.79999999999995"/>
    <n v="-1E-4"/>
    <x v="4"/>
  </r>
  <r>
    <x v="1049"/>
    <x v="766"/>
    <n v="531.75"/>
    <n v="548.5"/>
    <n v="531.6"/>
    <n v="2.0000000000000001E-4"/>
    <x v="4"/>
  </r>
  <r>
    <x v="1050"/>
    <x v="767"/>
    <n v="531.95000000000005"/>
    <n v="548.5"/>
    <n v="531.75"/>
    <n v="-4.0000000000000002E-4"/>
    <x v="4"/>
  </r>
  <r>
    <x v="1051"/>
    <x v="768"/>
    <n v="532"/>
    <n v="539.5"/>
    <n v="531.95000000000005"/>
    <n v="-1E-4"/>
    <x v="4"/>
  </r>
  <r>
    <x v="1052"/>
    <x v="769"/>
    <n v="532.4"/>
    <n v="548.5"/>
    <n v="532"/>
    <n v="-6.9999999999999999E-4"/>
    <x v="4"/>
  </r>
  <r>
    <x v="1053"/>
    <x v="739"/>
    <n v="533.35"/>
    <n v="540.85"/>
    <n v="532.4"/>
    <n v="-1.8E-3"/>
    <x v="4"/>
  </r>
  <r>
    <x v="1054"/>
    <x v="770"/>
    <n v="533"/>
    <n v="548.5"/>
    <n v="533"/>
    <n v="5.9999999999999995E-4"/>
    <x v="4"/>
  </r>
  <r>
    <x v="1055"/>
    <x v="751"/>
    <n v="533.29999999999995"/>
    <n v="548.5"/>
    <n v="533"/>
    <n v="-5.9999999999999995E-4"/>
    <x v="4"/>
  </r>
  <r>
    <x v="1056"/>
    <x v="755"/>
    <n v="533.20000000000005"/>
    <n v="548.5"/>
    <n v="533.1"/>
    <n v="2.0000000000000001E-4"/>
    <x v="4"/>
  </r>
  <r>
    <x v="1057"/>
    <x v="753"/>
    <n v="533.04999999999995"/>
    <n v="548.5"/>
    <n v="533"/>
    <n v="2.9999999999999997E-4"/>
    <x v="4"/>
  </r>
  <r>
    <x v="1058"/>
    <x v="749"/>
    <n v="533.20000000000005"/>
    <n v="548.5"/>
    <n v="533.04999999999995"/>
    <n v="-2.9999999999999997E-4"/>
    <x v="4"/>
  </r>
  <r>
    <x v="1059"/>
    <x v="753"/>
    <n v="533"/>
    <n v="548.5"/>
    <n v="533"/>
    <n v="4.0000000000000002E-4"/>
    <x v="4"/>
  </r>
  <r>
    <x v="1060"/>
    <x v="751"/>
    <n v="533.1"/>
    <n v="548.5"/>
    <n v="533"/>
    <n v="-2.0000000000000001E-4"/>
    <x v="4"/>
  </r>
  <r>
    <x v="1061"/>
    <x v="750"/>
    <n v="533.14"/>
    <n v="548.5"/>
    <n v="533.1"/>
    <n v="-4.4000000000000003E-3"/>
    <x v="4"/>
  </r>
  <r>
    <x v="1062"/>
    <x v="771"/>
    <n v="533.48"/>
    <n v="543.01"/>
    <n v="533.48"/>
    <n v="6.3E-3"/>
    <x v="4"/>
  </r>
  <r>
    <x v="1063"/>
    <x v="772"/>
    <n v="533.94000000000005"/>
    <n v="539.75"/>
    <n v="533.82000000000005"/>
    <n v="-2.0000000000000001E-4"/>
    <x v="4"/>
  </r>
  <r>
    <x v="1064"/>
    <x v="528"/>
    <n v="533.97"/>
    <n v="539.75"/>
    <n v="533.97"/>
    <n v="0"/>
    <x v="4"/>
  </r>
  <r>
    <x v="1065"/>
    <x v="528"/>
    <n v="533.97"/>
    <n v="539.75"/>
    <n v="533.97"/>
    <n v="-6.4999999999999997E-3"/>
    <x v="4"/>
  </r>
  <r>
    <x v="1066"/>
    <x v="773"/>
    <n v="534.02"/>
    <n v="543.26"/>
    <n v="534.02"/>
    <n v="8.3000000000000001E-3"/>
    <x v="4"/>
  </r>
  <r>
    <x v="1067"/>
    <x v="774"/>
    <n v="534"/>
    <n v="540.79"/>
    <n v="532"/>
    <n v="0"/>
    <x v="4"/>
  </r>
  <r>
    <x v="1068"/>
    <x v="654"/>
    <n v="533.99"/>
    <n v="540.79"/>
    <n v="532"/>
    <n v="-1.8E-3"/>
    <x v="4"/>
  </r>
  <r>
    <x v="1069"/>
    <x v="775"/>
    <n v="533.97"/>
    <n v="539.76"/>
    <n v="533.97"/>
    <n v="1.8E-3"/>
    <x v="4"/>
  </r>
  <r>
    <x v="1070"/>
    <x v="776"/>
    <n v="533.98"/>
    <n v="540.76"/>
    <n v="532"/>
    <n v="-1.8E-3"/>
    <x v="4"/>
  </r>
  <r>
    <x v="1071"/>
    <x v="775"/>
    <n v="534.03"/>
    <n v="539.76"/>
    <n v="534.03"/>
    <n v="1E-4"/>
    <x v="4"/>
  </r>
  <r>
    <x v="1072"/>
    <x v="777"/>
    <n v="533.98"/>
    <n v="539.73"/>
    <n v="533.98"/>
    <n v="0"/>
    <x v="4"/>
  </r>
  <r>
    <x v="1073"/>
    <x v="778"/>
    <n v="533.95000000000005"/>
    <n v="539.71"/>
    <n v="533.95000000000005"/>
    <n v="0"/>
    <x v="4"/>
  </r>
  <r>
    <x v="1074"/>
    <x v="777"/>
    <n v="533.97"/>
    <n v="539.73"/>
    <n v="533.97"/>
    <n v="0"/>
    <x v="4"/>
  </r>
  <r>
    <x v="1075"/>
    <x v="528"/>
    <n v="533.98"/>
    <n v="539.75"/>
    <n v="533.98"/>
    <n v="-1E-4"/>
    <x v="4"/>
  </r>
  <r>
    <x v="1076"/>
    <x v="779"/>
    <n v="534.03"/>
    <n v="539.79"/>
    <n v="534.03"/>
    <n v="0"/>
    <x v="4"/>
  </r>
  <r>
    <x v="1077"/>
    <x v="780"/>
    <n v="534.04"/>
    <n v="539.79999999999995"/>
    <n v="534.04"/>
    <n v="0"/>
    <x v="4"/>
  </r>
  <r>
    <x v="1078"/>
    <x v="780"/>
    <n v="532"/>
    <n v="539.79999999999995"/>
    <n v="532"/>
    <n v="-1E-4"/>
    <x v="4"/>
  </r>
  <r>
    <x v="1079"/>
    <x v="781"/>
    <n v="534.08000000000004"/>
    <n v="539.83000000000004"/>
    <n v="534.08000000000004"/>
    <n v="2E-3"/>
    <x v="4"/>
  </r>
  <r>
    <x v="1080"/>
    <x v="782"/>
    <n v="534.02"/>
    <n v="540.78"/>
    <n v="532"/>
    <n v="0"/>
    <x v="4"/>
  </r>
  <r>
    <x v="1081"/>
    <x v="782"/>
    <n v="534.02"/>
    <n v="540.78"/>
    <n v="532"/>
    <n v="-1.8E-3"/>
    <x v="4"/>
  </r>
  <r>
    <x v="1082"/>
    <x v="783"/>
    <n v="533.92999999999995"/>
    <n v="539.72"/>
    <n v="533.92999999999995"/>
    <n v="1.8E-3"/>
    <x v="4"/>
  </r>
  <r>
    <x v="1083"/>
    <x v="784"/>
    <n v="533.91999999999996"/>
    <n v="540.66"/>
    <n v="532"/>
    <n v="0"/>
    <x v="4"/>
  </r>
  <r>
    <x v="1084"/>
    <x v="782"/>
    <n v="534"/>
    <n v="540.76"/>
    <n v="532"/>
    <n v="-1.9E-3"/>
    <x v="4"/>
  </r>
  <r>
    <x v="1085"/>
    <x v="785"/>
    <n v="534.04"/>
    <n v="539.77"/>
    <n v="534.04"/>
    <n v="-1E-4"/>
    <x v="4"/>
  </r>
  <r>
    <x v="1086"/>
    <x v="781"/>
    <n v="534.12"/>
    <n v="539.83000000000004"/>
    <n v="534.12"/>
    <n v="0"/>
    <x v="4"/>
  </r>
  <r>
    <x v="1087"/>
    <x v="781"/>
    <n v="534.13"/>
    <n v="539.83000000000004"/>
    <n v="534.13"/>
    <n v="0"/>
    <x v="4"/>
  </r>
  <r>
    <x v="1088"/>
    <x v="781"/>
    <n v="534.14"/>
    <n v="539.83000000000004"/>
    <n v="534.14"/>
    <n v="-1E-4"/>
    <x v="4"/>
  </r>
  <r>
    <x v="1089"/>
    <x v="786"/>
    <n v="534.22"/>
    <n v="539.89"/>
    <n v="534.22"/>
    <n v="0"/>
    <x v="4"/>
  </r>
  <r>
    <x v="1090"/>
    <x v="787"/>
    <n v="534.49"/>
    <n v="539.87"/>
    <n v="534.49"/>
    <n v="0"/>
    <x v="4"/>
  </r>
  <r>
    <x v="1091"/>
    <x v="787"/>
    <n v="534.47"/>
    <n v="539.87"/>
    <n v="534.47"/>
    <n v="0"/>
    <x v="4"/>
  </r>
  <r>
    <x v="1092"/>
    <x v="787"/>
    <n v="534.47"/>
    <n v="539.87"/>
    <n v="534.47"/>
    <n v="1E-4"/>
    <x v="4"/>
  </r>
  <r>
    <x v="1093"/>
    <x v="788"/>
    <n v="534.36"/>
    <n v="539.82000000000005"/>
    <n v="534.36"/>
    <n v="-1E-4"/>
    <x v="4"/>
  </r>
  <r>
    <x v="1094"/>
    <x v="789"/>
    <n v="534.39"/>
    <n v="539.86"/>
    <n v="534.39"/>
    <n v="-6.1000000000000004E-3"/>
    <x v="4"/>
  </r>
  <r>
    <x v="1095"/>
    <x v="790"/>
    <n v="534.4"/>
    <n v="543.17999999999995"/>
    <n v="534.4"/>
    <n v="0"/>
    <x v="4"/>
  </r>
  <r>
    <x v="1096"/>
    <x v="791"/>
    <n v="534.44000000000005"/>
    <n v="543.16999999999996"/>
    <n v="534.44000000000005"/>
    <n v="0"/>
    <x v="4"/>
  </r>
  <r>
    <x v="1097"/>
    <x v="790"/>
    <n v="534.36"/>
    <n v="543.17999999999995"/>
    <n v="534.36"/>
    <n v="6.1000000000000004E-3"/>
    <x v="4"/>
  </r>
  <r>
    <x v="1098"/>
    <x v="786"/>
    <n v="534.45000000000005"/>
    <n v="539.89"/>
    <n v="534.45000000000005"/>
    <n v="-6.0000000000000001E-3"/>
    <x v="4"/>
  </r>
  <r>
    <x v="1099"/>
    <x v="792"/>
    <n v="534.44000000000005"/>
    <n v="543.16"/>
    <n v="534.44000000000005"/>
    <n v="0"/>
    <x v="4"/>
  </r>
  <r>
    <x v="1100"/>
    <x v="791"/>
    <n v="534.45000000000005"/>
    <n v="543.16999999999996"/>
    <n v="534.45000000000005"/>
    <n v="0"/>
    <x v="4"/>
  </r>
  <r>
    <x v="1101"/>
    <x v="792"/>
    <n v="541"/>
    <n v="543.16"/>
    <n v="541"/>
    <n v="6.1999999999999998E-3"/>
    <x v="4"/>
  </r>
  <r>
    <x v="1102"/>
    <x v="514"/>
    <n v="534.28"/>
    <n v="539.80999999999995"/>
    <n v="534.28"/>
    <n v="-6.1999999999999998E-3"/>
    <x v="4"/>
  </r>
  <r>
    <x v="1103"/>
    <x v="792"/>
    <n v="534.26"/>
    <n v="543.16"/>
    <n v="534.26"/>
    <n v="6.1999999999999998E-3"/>
    <x v="4"/>
  </r>
  <r>
    <x v="1104"/>
    <x v="514"/>
    <n v="534.27"/>
    <n v="539.80999999999995"/>
    <n v="534.27"/>
    <n v="-6.1000000000000004E-3"/>
    <x v="4"/>
  </r>
  <r>
    <x v="1105"/>
    <x v="793"/>
    <n v="534.33000000000004"/>
    <n v="543.15"/>
    <n v="534.33000000000004"/>
    <n v="6.0000000000000001E-3"/>
    <x v="4"/>
  </r>
  <r>
    <x v="1106"/>
    <x v="739"/>
    <n v="534.42999999999995"/>
    <n v="539.9"/>
    <n v="534.42999999999995"/>
    <n v="-6.1000000000000004E-3"/>
    <x v="4"/>
  </r>
  <r>
    <x v="1107"/>
    <x v="794"/>
    <n v="534.33000000000004"/>
    <n v="543.19000000000005"/>
    <n v="534.33000000000004"/>
    <n v="0"/>
    <x v="4"/>
  </r>
  <r>
    <x v="1108"/>
    <x v="791"/>
    <n v="534.41"/>
    <n v="543.16999999999996"/>
    <n v="534.41"/>
    <n v="2.0000000000000001E-4"/>
    <x v="4"/>
  </r>
  <r>
    <x v="1109"/>
    <x v="795"/>
    <n v="534.28"/>
    <n v="543.07000000000005"/>
    <n v="534.28"/>
    <n v="6.3E-3"/>
    <x v="4"/>
  </r>
  <r>
    <x v="1110"/>
    <x v="796"/>
    <n v="534.29999999999995"/>
    <n v="539.69000000000005"/>
    <n v="534.29999999999995"/>
    <n v="-6.1999999999999998E-3"/>
    <x v="4"/>
  </r>
  <r>
    <x v="1111"/>
    <x v="797"/>
    <n v="534.30999999999995"/>
    <n v="543.04999999999995"/>
    <n v="534.30999999999995"/>
    <n v="0"/>
    <x v="4"/>
  </r>
  <r>
    <x v="1112"/>
    <x v="797"/>
    <n v="534.34"/>
    <n v="543.04999999999995"/>
    <n v="534.34"/>
    <n v="6.1999999999999998E-3"/>
    <x v="4"/>
  </r>
  <r>
    <x v="1113"/>
    <x v="783"/>
    <n v="534.34"/>
    <n v="539.72"/>
    <n v="534.34"/>
    <n v="1E-4"/>
    <x v="4"/>
  </r>
  <r>
    <x v="1114"/>
    <x v="798"/>
    <n v="534.32000000000005"/>
    <n v="539.66"/>
    <n v="534.32000000000005"/>
    <n v="0"/>
    <x v="4"/>
  </r>
  <r>
    <x v="1115"/>
    <x v="799"/>
    <n v="534.27"/>
    <n v="539.65"/>
    <n v="534.27"/>
    <n v="-1E-4"/>
    <x v="4"/>
  </r>
  <r>
    <x v="1116"/>
    <x v="777"/>
    <n v="534.37"/>
    <n v="539.73"/>
    <n v="534.37"/>
    <n v="-2.0000000000000001E-4"/>
    <x v="4"/>
  </r>
  <r>
    <x v="1117"/>
    <x v="788"/>
    <n v="534.38"/>
    <n v="539.82000000000005"/>
    <n v="534.38"/>
    <n v="-6.1999999999999998E-3"/>
    <x v="4"/>
  </r>
  <r>
    <x v="1118"/>
    <x v="800"/>
    <n v="534.46"/>
    <n v="543.20000000000005"/>
    <n v="534.46"/>
    <n v="5.8999999999999999E-3"/>
    <x v="4"/>
  </r>
  <r>
    <x v="1119"/>
    <x v="801"/>
    <n v="534.54"/>
    <n v="540.03"/>
    <n v="534.54"/>
    <n v="-5.5999999999999999E-3"/>
    <x v="4"/>
  </r>
  <r>
    <x v="1120"/>
    <x v="802"/>
    <n v="534.26"/>
    <n v="543.09"/>
    <n v="534.26"/>
    <n v="4.0000000000000002E-4"/>
    <x v="4"/>
  </r>
  <r>
    <x v="1121"/>
    <x v="803"/>
    <n v="534.03"/>
    <n v="542.87"/>
    <n v="534.03"/>
    <n v="6.9999999999999999E-4"/>
    <x v="4"/>
  </r>
  <r>
    <x v="1122"/>
    <x v="804"/>
    <n v="533.12"/>
    <n v="542.48"/>
    <n v="533.12"/>
    <n v="1E-4"/>
    <x v="4"/>
  </r>
  <r>
    <x v="1123"/>
    <x v="805"/>
    <n v="533.07000000000005"/>
    <n v="542.42999999999995"/>
    <n v="533.07000000000005"/>
    <n v="-1E-4"/>
    <x v="4"/>
  </r>
  <r>
    <x v="1124"/>
    <x v="806"/>
    <n v="533"/>
    <n v="542.46"/>
    <n v="533"/>
    <n v="7.1999999999999998E-3"/>
    <x v="4"/>
  </r>
  <r>
    <x v="1125"/>
    <x v="807"/>
    <n v="533.16999999999996"/>
    <n v="538.58000000000004"/>
    <n v="533.16999999999996"/>
    <n v="1.2999999999999999E-3"/>
    <x v="4"/>
  </r>
  <r>
    <x v="1126"/>
    <x v="744"/>
    <n v="532.44000000000005"/>
    <n v="537.9"/>
    <n v="532.44000000000005"/>
    <n v="0"/>
    <x v="4"/>
  </r>
  <r>
    <x v="1127"/>
    <x v="744"/>
    <n v="532.41"/>
    <n v="537.9"/>
    <n v="532.41"/>
    <n v="-1E-4"/>
    <x v="4"/>
  </r>
  <r>
    <x v="1128"/>
    <x v="731"/>
    <n v="532.41"/>
    <n v="537.95000000000005"/>
    <n v="532.41"/>
    <n v="0"/>
    <x v="4"/>
  </r>
  <r>
    <x v="1129"/>
    <x v="808"/>
    <n v="532.52"/>
    <n v="537.97"/>
    <n v="532.52"/>
    <n v="1.1999999999999999E-3"/>
    <x v="4"/>
  </r>
  <r>
    <x v="1130"/>
    <x v="599"/>
    <n v="531.9"/>
    <n v="537.29999999999995"/>
    <n v="531.9"/>
    <n v="-1E-4"/>
    <x v="4"/>
  </r>
  <r>
    <x v="1131"/>
    <x v="537"/>
    <n v="532.03"/>
    <n v="537.37"/>
    <n v="532.03"/>
    <n v="1E-4"/>
    <x v="4"/>
  </r>
  <r>
    <x v="1132"/>
    <x v="809"/>
    <n v="531.97"/>
    <n v="537.32000000000005"/>
    <n v="531.97"/>
    <n v="1E-4"/>
    <x v="4"/>
  </r>
  <r>
    <x v="1133"/>
    <x v="810"/>
    <n v="531.79999999999995"/>
    <n v="537.24"/>
    <n v="531.79999999999995"/>
    <n v="0"/>
    <x v="4"/>
  </r>
  <r>
    <x v="1134"/>
    <x v="729"/>
    <n v="531.79999999999995"/>
    <n v="537.25"/>
    <n v="531.79999999999995"/>
    <n v="-8.6999999999999994E-3"/>
    <x v="4"/>
  </r>
  <r>
    <x v="1135"/>
    <x v="811"/>
    <n v="531.88"/>
    <n v="541.96"/>
    <n v="531.88"/>
    <n v="8.6999999999999994E-3"/>
    <x v="4"/>
  </r>
  <r>
    <x v="1136"/>
    <x v="812"/>
    <n v="531.92999999999995"/>
    <n v="537.28"/>
    <n v="531.92999999999995"/>
    <n v="-7.7999999999999996E-3"/>
    <x v="4"/>
  </r>
  <r>
    <x v="1137"/>
    <x v="813"/>
    <n v="538"/>
    <n v="541.5"/>
    <n v="538"/>
    <n v="3.7000000000000002E-3"/>
    <x v="4"/>
  </r>
  <r>
    <x v="1138"/>
    <x v="769"/>
    <n v="533.99"/>
    <n v="539.5"/>
    <n v="533.99"/>
    <n v="0"/>
    <x v="4"/>
  </r>
  <r>
    <x v="1139"/>
    <x v="769"/>
    <n v="533.99"/>
    <n v="539.5"/>
    <n v="533.99"/>
    <n v="0"/>
    <x v="4"/>
  </r>
  <r>
    <x v="1140"/>
    <x v="814"/>
    <n v="534.03"/>
    <n v="539.51"/>
    <n v="534.03"/>
    <n v="-1E-4"/>
    <x v="4"/>
  </r>
  <r>
    <x v="1141"/>
    <x v="815"/>
    <n v="534.11"/>
    <n v="539.58000000000004"/>
    <n v="534.11"/>
    <n v="1E-4"/>
    <x v="4"/>
  </r>
  <r>
    <x v="1142"/>
    <x v="816"/>
    <n v="534.08000000000004"/>
    <n v="539.52"/>
    <n v="534.08000000000004"/>
    <n v="0"/>
    <x v="4"/>
  </r>
  <r>
    <x v="1143"/>
    <x v="816"/>
    <n v="534.08000000000004"/>
    <n v="539.52"/>
    <n v="534.08000000000004"/>
    <n v="-1.6000000000000001E-3"/>
    <x v="4"/>
  </r>
  <r>
    <x v="1144"/>
    <x v="817"/>
    <n v="534.91999999999996"/>
    <n v="540.38"/>
    <n v="534.91999999999996"/>
    <n v="-2.5000000000000001E-3"/>
    <x v="4"/>
  </r>
  <r>
    <x v="1145"/>
    <x v="818"/>
    <n v="536.32000000000005"/>
    <n v="541.76"/>
    <n v="536.32000000000005"/>
    <n v="-2.2000000000000001E-3"/>
    <x v="4"/>
  </r>
  <r>
    <x v="1146"/>
    <x v="819"/>
    <n v="537.48"/>
    <n v="542.97"/>
    <n v="537.48"/>
    <n v="-2.9999999999999997E-4"/>
    <x v="4"/>
  </r>
  <r>
    <x v="1147"/>
    <x v="820"/>
    <n v="537.58000000000004"/>
    <n v="543.12"/>
    <n v="537.58000000000004"/>
    <n v="-2.5999999999999999E-3"/>
    <x v="4"/>
  </r>
  <r>
    <x v="1148"/>
    <x v="821"/>
    <n v="538"/>
    <n v="544.51"/>
    <n v="538"/>
    <n v="0"/>
    <x v="4"/>
  </r>
  <r>
    <x v="1149"/>
    <x v="821"/>
    <n v="540"/>
    <n v="546.62"/>
    <n v="537"/>
    <n v="-5.4999999999999997E-3"/>
    <x v="4"/>
  </r>
  <r>
    <x v="1150"/>
    <x v="754"/>
    <n v="540"/>
    <n v="547.54"/>
    <n v="540"/>
    <n v="0"/>
    <x v="4"/>
  </r>
  <r>
    <x v="1151"/>
    <x v="754"/>
    <n v="540.1"/>
    <n v="547.6"/>
    <n v="539.94000000000005"/>
    <n v="-2.0000000000000001E-4"/>
    <x v="4"/>
  </r>
  <r>
    <x v="1152"/>
    <x v="481"/>
    <n v="544.45000000000005"/>
    <n v="551.95000000000005"/>
    <n v="540.1"/>
    <n v="-1.0200000000000001E-2"/>
    <x v="4"/>
  </r>
  <r>
    <x v="1153"/>
    <x v="822"/>
    <n v="546.1"/>
    <n v="553.23"/>
    <n v="544.45000000000005"/>
    <n v="-6.9999999999999999E-4"/>
    <x v="4"/>
  </r>
  <r>
    <x v="1154"/>
    <x v="377"/>
    <n v="547.5"/>
    <n v="555"/>
    <n v="546.1"/>
    <n v="-2.5000000000000001E-3"/>
    <x v="4"/>
  </r>
  <r>
    <x v="1155"/>
    <x v="823"/>
    <n v="547.4"/>
    <n v="555.15"/>
    <n v="546.95000000000005"/>
    <n v="2.0000000000000001E-4"/>
    <x v="4"/>
  </r>
  <r>
    <x v="1156"/>
    <x v="824"/>
    <n v="549.75"/>
    <n v="557.25"/>
    <n v="547.4"/>
    <n v="-4.1999999999999997E-3"/>
    <x v="4"/>
  </r>
  <r>
    <x v="1157"/>
    <x v="825"/>
    <n v="549.79999999999995"/>
    <n v="557.29999999999995"/>
    <n v="548.78"/>
    <n v="-1E-4"/>
    <x v="4"/>
  </r>
  <r>
    <x v="1158"/>
    <x v="323"/>
    <n v="550.04999999999995"/>
    <n v="557.54999999999995"/>
    <n v="549.79999999999995"/>
    <n v="-4.0000000000000002E-4"/>
    <x v="4"/>
  </r>
  <r>
    <x v="1159"/>
    <x v="826"/>
    <n v="547.9"/>
    <n v="557.57000000000005"/>
    <n v="547.85"/>
    <n v="3.8999999999999998E-3"/>
    <x v="4"/>
  </r>
  <r>
    <x v="1160"/>
    <x v="827"/>
    <n v="547"/>
    <n v="555.49"/>
    <n v="546.95000000000005"/>
    <n v="1.6000000000000001E-3"/>
    <x v="4"/>
  </r>
  <r>
    <x v="1161"/>
    <x v="828"/>
    <n v="546.70000000000005"/>
    <n v="554.59"/>
    <n v="546.6"/>
    <n v="5.0000000000000001E-4"/>
    <x v="4"/>
  </r>
  <r>
    <x v="1162"/>
    <x v="829"/>
    <n v="546.79999999999995"/>
    <n v="554.5"/>
    <n v="546.70000000000005"/>
    <n v="-2.0000000000000001E-4"/>
    <x v="4"/>
  </r>
  <r>
    <x v="1163"/>
    <x v="830"/>
    <n v="546.95000000000005"/>
    <n v="554.54999999999995"/>
    <n v="546.79999999999995"/>
    <n v="-2.9999999999999997E-4"/>
    <x v="4"/>
  </r>
  <r>
    <x v="1164"/>
    <x v="831"/>
    <n v="546.79999999999995"/>
    <n v="554.54"/>
    <n v="546.77"/>
    <n v="2.9999999999999997E-4"/>
    <x v="4"/>
  </r>
  <r>
    <x v="1165"/>
    <x v="830"/>
    <n v="546.6"/>
    <n v="554.37"/>
    <n v="546.5"/>
    <n v="4.0000000000000002E-4"/>
    <x v="4"/>
  </r>
  <r>
    <x v="1166"/>
    <x v="378"/>
    <n v="545.45000000000005"/>
    <n v="554.17999999999995"/>
    <n v="545.4"/>
    <n v="2.0999999999999999E-3"/>
    <x v="4"/>
  </r>
  <r>
    <x v="1167"/>
    <x v="832"/>
    <n v="545.5"/>
    <n v="553.85"/>
    <n v="545.45000000000005"/>
    <n v="-5.9999999999999995E-4"/>
    <x v="4"/>
  </r>
  <r>
    <x v="1168"/>
    <x v="388"/>
    <n v="545"/>
    <n v="553.35"/>
    <n v="545"/>
    <n v="1.4E-3"/>
    <x v="4"/>
  </r>
  <r>
    <x v="1169"/>
    <x v="833"/>
    <n v="545"/>
    <n v="555.5"/>
    <n v="545"/>
    <n v="0"/>
    <x v="4"/>
  </r>
  <r>
    <x v="1170"/>
    <x v="833"/>
    <n v="545.20000000000005"/>
    <n v="552.70000000000005"/>
    <n v="545"/>
    <n v="-4.0000000000000002E-4"/>
    <x v="4"/>
  </r>
  <r>
    <x v="1171"/>
    <x v="834"/>
    <n v="545"/>
    <n v="552.73"/>
    <n v="544.5"/>
    <n v="4.0000000000000002E-4"/>
    <x v="4"/>
  </r>
  <r>
    <x v="1172"/>
    <x v="833"/>
    <n v="545"/>
    <n v="553.64"/>
    <n v="545"/>
    <n v="0"/>
    <x v="4"/>
  </r>
  <r>
    <x v="1173"/>
    <x v="833"/>
    <n v="545"/>
    <n v="555.38"/>
    <n v="545"/>
    <n v="0"/>
    <x v="4"/>
  </r>
  <r>
    <x v="1174"/>
    <x v="833"/>
    <n v="545.4"/>
    <n v="554.67999999999995"/>
    <n v="545"/>
    <n v="-6.9999999999999999E-4"/>
    <x v="4"/>
  </r>
  <r>
    <x v="1175"/>
    <x v="383"/>
    <n v="544.6"/>
    <n v="552.91"/>
    <n v="544.5"/>
    <n v="1.4E-3"/>
    <x v="4"/>
  </r>
  <r>
    <x v="1176"/>
    <x v="835"/>
    <n v="544.4"/>
    <n v="552.23"/>
    <n v="544.29999999999995"/>
    <n v="4.0000000000000002E-4"/>
    <x v="4"/>
  </r>
  <r>
    <x v="1177"/>
    <x v="836"/>
    <n v="544.29999999999995"/>
    <n v="551.91999999999996"/>
    <n v="544.25"/>
    <n v="2.0000000000000001E-4"/>
    <x v="4"/>
  </r>
  <r>
    <x v="1178"/>
    <x v="837"/>
    <n v="545.29999999999995"/>
    <n v="552.79999999999995"/>
    <n v="544.29999999999995"/>
    <n v="-1.8E-3"/>
    <x v="4"/>
  </r>
  <r>
    <x v="1179"/>
    <x v="838"/>
    <n v="545.6"/>
    <n v="553.1"/>
    <n v="545.29999999999995"/>
    <n v="-5.0000000000000001E-4"/>
    <x v="4"/>
  </r>
  <r>
    <x v="1180"/>
    <x v="376"/>
    <n v="546.6"/>
    <n v="554.1"/>
    <n v="545.6"/>
    <n v="-1.8E-3"/>
    <x v="4"/>
  </r>
  <r>
    <x v="1181"/>
    <x v="378"/>
    <n v="546.6"/>
    <n v="557.6"/>
    <n v="546.6"/>
    <n v="0"/>
    <x v="4"/>
  </r>
  <r>
    <x v="1182"/>
    <x v="378"/>
    <n v="546.6"/>
    <n v="554.20000000000005"/>
    <n v="546.5"/>
    <n v="0"/>
    <x v="4"/>
  </r>
  <r>
    <x v="1183"/>
    <x v="378"/>
    <n v="546.70000000000005"/>
    <n v="554.20000000000005"/>
    <n v="546.6"/>
    <n v="-2.0000000000000001E-4"/>
    <x v="4"/>
  </r>
  <r>
    <x v="1184"/>
    <x v="829"/>
    <n v="546.85"/>
    <n v="554.39"/>
    <n v="546.70000000000005"/>
    <n v="-2.9999999999999997E-4"/>
    <x v="4"/>
  </r>
  <r>
    <x v="1185"/>
    <x v="839"/>
    <n v="546.20000000000005"/>
    <n v="554.39"/>
    <n v="546.1"/>
    <n v="1.1999999999999999E-3"/>
    <x v="4"/>
  </r>
  <r>
    <x v="1186"/>
    <x v="840"/>
    <n v="544.79999999999995"/>
    <n v="553.82000000000005"/>
    <n v="544.70000000000005"/>
    <n v="2.5000000000000001E-3"/>
    <x v="4"/>
  </r>
  <r>
    <x v="1187"/>
    <x v="402"/>
    <n v="544.5"/>
    <n v="552.32000000000005"/>
    <n v="544.45000000000005"/>
    <n v="5.0000000000000001E-4"/>
    <x v="4"/>
  </r>
  <r>
    <x v="1188"/>
    <x v="841"/>
    <n v="544.65"/>
    <n v="552.15"/>
    <n v="544.5"/>
    <n v="-2.9999999999999997E-4"/>
    <x v="4"/>
  </r>
  <r>
    <x v="1189"/>
    <x v="842"/>
    <n v="540.5"/>
    <n v="552.15"/>
    <n v="540.4"/>
    <n v="7.6E-3"/>
    <x v="4"/>
  </r>
  <r>
    <x v="1190"/>
    <x v="843"/>
    <n v="540.54999999999995"/>
    <n v="548.16999999999996"/>
    <n v="540.5"/>
    <n v="-1E-4"/>
    <x v="4"/>
  </r>
  <r>
    <x v="1191"/>
    <x v="844"/>
    <n v="540.6"/>
    <n v="548.33000000000004"/>
    <n v="540.54999999999995"/>
    <n v="-1E-4"/>
    <x v="4"/>
  </r>
  <r>
    <x v="1192"/>
    <x v="845"/>
    <n v="541"/>
    <n v="548.5"/>
    <n v="540.6"/>
    <n v="-6.9999999999999999E-4"/>
    <x v="4"/>
  </r>
  <r>
    <x v="1193"/>
    <x v="458"/>
    <n v="541"/>
    <n v="548.5"/>
    <n v="540.36"/>
    <n v="0"/>
    <x v="4"/>
  </r>
  <r>
    <x v="1194"/>
    <x v="458"/>
    <n v="541"/>
    <n v="548.5"/>
    <n v="540.65"/>
    <n v="0"/>
    <x v="4"/>
  </r>
  <r>
    <x v="1195"/>
    <x v="458"/>
    <n v="541"/>
    <n v="548.5"/>
    <n v="540.59"/>
    <n v="0"/>
    <x v="4"/>
  </r>
  <r>
    <x v="1196"/>
    <x v="458"/>
    <n v="541.75"/>
    <n v="549.25"/>
    <n v="537.5"/>
    <n v="-1.4E-3"/>
    <x v="4"/>
  </r>
  <r>
    <x v="1197"/>
    <x v="846"/>
    <n v="541.79999999999995"/>
    <n v="549.29999999999995"/>
    <n v="535.17999999999995"/>
    <n v="-1E-4"/>
    <x v="4"/>
  </r>
  <r>
    <x v="1198"/>
    <x v="847"/>
    <n v="542"/>
    <n v="549.5"/>
    <n v="535.17999999999995"/>
    <n v="-4.0000000000000002E-4"/>
    <x v="4"/>
  </r>
  <r>
    <x v="1199"/>
    <x v="848"/>
    <n v="542"/>
    <n v="549.5"/>
    <n v="535.17999999999995"/>
    <n v="0"/>
    <x v="4"/>
  </r>
  <r>
    <x v="1200"/>
    <x v="848"/>
    <n v="542"/>
    <n v="549.5"/>
    <n v="535.79"/>
    <n v="0"/>
    <x v="4"/>
  </r>
  <r>
    <x v="1201"/>
    <x v="848"/>
    <n v="542"/>
    <n v="549.5"/>
    <n v="536.29"/>
    <n v="0"/>
    <x v="4"/>
  </r>
  <r>
    <x v="1202"/>
    <x v="848"/>
    <n v="542.1"/>
    <n v="549.72"/>
    <n v="542"/>
    <n v="-2.0000000000000001E-4"/>
    <x v="4"/>
  </r>
  <r>
    <x v="1203"/>
    <x v="482"/>
    <n v="542.4"/>
    <n v="549.9"/>
    <n v="542.1"/>
    <n v="-5.0000000000000001E-4"/>
    <x v="4"/>
  </r>
  <r>
    <x v="1204"/>
    <x v="849"/>
    <n v="542.5"/>
    <n v="550.29999999999995"/>
    <n v="542.4"/>
    <n v="-2.0000000000000001E-4"/>
    <x v="4"/>
  </r>
  <r>
    <x v="1205"/>
    <x v="396"/>
    <n v="544.29999999999995"/>
    <n v="551.79999999999995"/>
    <n v="542.5"/>
    <n v="-3.3E-3"/>
    <x v="4"/>
  </r>
  <r>
    <x v="1206"/>
    <x v="837"/>
    <n v="544.45000000000005"/>
    <n v="551.95000000000005"/>
    <n v="542.89"/>
    <n v="-2.9999999999999997E-4"/>
    <x v="4"/>
  </r>
  <r>
    <x v="1207"/>
    <x v="850"/>
    <n v="537.5"/>
    <n v="552"/>
    <n v="537.5"/>
    <n v="1.2800000000000001E-2"/>
    <x v="4"/>
  </r>
  <r>
    <x v="1208"/>
    <x v="851"/>
    <n v="537.9"/>
    <n v="545.4"/>
    <n v="537.5"/>
    <n v="-6.9999999999999999E-4"/>
    <x v="4"/>
  </r>
  <r>
    <x v="1209"/>
    <x v="852"/>
    <n v="538"/>
    <n v="551.51"/>
    <n v="537.9"/>
    <n v="-2.0000000000000001E-4"/>
    <x v="4"/>
  </r>
  <r>
    <x v="1210"/>
    <x v="853"/>
    <n v="538.1"/>
    <n v="547.63"/>
    <n v="538"/>
    <n v="-2.0000000000000001E-4"/>
    <x v="4"/>
  </r>
  <r>
    <x v="1211"/>
    <x v="854"/>
    <n v="538.29999999999995"/>
    <n v="546.09"/>
    <n v="538.1"/>
    <n v="-4.0000000000000002E-4"/>
    <x v="4"/>
  </r>
  <r>
    <x v="1212"/>
    <x v="855"/>
    <n v="538"/>
    <n v="545.84"/>
    <n v="537.95000000000005"/>
    <n v="5.0000000000000001E-4"/>
    <x v="4"/>
  </r>
  <r>
    <x v="1213"/>
    <x v="853"/>
    <n v="528.04999999999995"/>
    <n v="545.94000000000005"/>
    <n v="528"/>
    <n v="1.8599999999999998E-2"/>
    <x v="4"/>
  </r>
  <r>
    <x v="1214"/>
    <x v="856"/>
    <n v="528.20000000000005"/>
    <n v="545.33000000000004"/>
    <n v="528.04999999999995"/>
    <n v="-2.9999999999999997E-4"/>
    <x v="4"/>
  </r>
  <r>
    <x v="1215"/>
    <x v="760"/>
    <n v="528.4"/>
    <n v="545.91999999999996"/>
    <n v="528.20000000000005"/>
    <n v="-4.0000000000000002E-4"/>
    <x v="4"/>
  </r>
  <r>
    <x v="1216"/>
    <x v="632"/>
    <n v="529"/>
    <n v="546.27"/>
    <n v="528.4"/>
    <n v="-1.1000000000000001E-3"/>
    <x v="4"/>
  </r>
  <r>
    <x v="1217"/>
    <x v="686"/>
    <n v="529.75"/>
    <n v="537.25"/>
    <n v="529"/>
    <n v="-1.4E-3"/>
    <x v="4"/>
  </r>
  <r>
    <x v="1218"/>
    <x v="729"/>
    <n v="529.85"/>
    <n v="542.88"/>
    <n v="529.75"/>
    <n v="-2.0000000000000001E-4"/>
    <x v="4"/>
  </r>
  <r>
    <x v="1219"/>
    <x v="763"/>
    <n v="530"/>
    <n v="540.54999999999995"/>
    <n v="529.85"/>
    <n v="-2.9999999999999997E-4"/>
    <x v="4"/>
  </r>
  <r>
    <x v="1220"/>
    <x v="506"/>
    <n v="530"/>
    <n v="537.5"/>
    <n v="530"/>
    <n v="0"/>
    <x v="4"/>
  </r>
  <r>
    <x v="1221"/>
    <x v="506"/>
    <n v="531"/>
    <n v="538.5"/>
    <n v="530"/>
    <n v="-1.9E-3"/>
    <x v="4"/>
  </r>
  <r>
    <x v="1222"/>
    <x v="857"/>
    <n v="550.5"/>
    <n v="558"/>
    <n v="531"/>
    <n v="-3.49E-2"/>
    <x v="4"/>
  </r>
  <r>
    <x v="1223"/>
    <x v="858"/>
    <n v="550.6"/>
    <n v="558.1"/>
    <n v="550.5"/>
    <n v="-2.0000000000000001E-4"/>
    <x v="4"/>
  </r>
  <r>
    <x v="1224"/>
    <x v="859"/>
    <n v="550.79999999999995"/>
    <n v="562.78"/>
    <n v="550.6"/>
    <n v="-4.0000000000000002E-4"/>
    <x v="4"/>
  </r>
  <r>
    <x v="1225"/>
    <x v="860"/>
    <n v="551"/>
    <n v="565.12"/>
    <n v="550.79999999999995"/>
    <n v="-4.0000000000000002E-4"/>
    <x v="4"/>
  </r>
  <r>
    <x v="1226"/>
    <x v="308"/>
    <n v="552"/>
    <n v="564.66"/>
    <n v="551"/>
    <n v="-1.8E-3"/>
    <x v="4"/>
  </r>
  <r>
    <x v="1227"/>
    <x v="861"/>
    <n v="552"/>
    <n v="559.5"/>
    <n v="552"/>
    <n v="9.9000000000000008E-3"/>
    <x v="4"/>
  </r>
  <r>
    <x v="1228"/>
    <x v="862"/>
    <n v="552"/>
    <n v="554"/>
    <n v="552"/>
    <n v="1.6500000000000001E-2"/>
    <x v="4"/>
  </r>
  <r>
    <x v="1229"/>
    <x v="851"/>
    <n v="542"/>
    <n v="545"/>
    <n v="542"/>
    <n v="0"/>
    <x v="4"/>
  </r>
  <r>
    <x v="1230"/>
    <x v="851"/>
    <n v="542"/>
    <n v="545"/>
    <n v="542"/>
    <n v="0"/>
    <x v="4"/>
  </r>
  <r>
    <x v="1231"/>
    <x v="851"/>
    <n v="538"/>
    <n v="545"/>
    <n v="537"/>
    <n v="2.8E-3"/>
    <x v="4"/>
  </r>
  <r>
    <x v="1232"/>
    <x v="863"/>
    <n v="502"/>
    <n v="544.5"/>
    <n v="501"/>
    <n v="7.0900000000000005E-2"/>
    <x v="4"/>
  </r>
  <r>
    <x v="1233"/>
    <x v="864"/>
    <n v="502"/>
    <n v="507.5"/>
    <n v="502"/>
    <n v="0"/>
    <x v="4"/>
  </r>
  <r>
    <x v="1234"/>
    <x v="864"/>
    <n v="502"/>
    <n v="507.5"/>
    <n v="502"/>
    <n v="0"/>
    <x v="4"/>
  </r>
  <r>
    <x v="1235"/>
    <x v="864"/>
    <n v="502"/>
    <n v="507.5"/>
    <n v="502"/>
    <n v="0"/>
    <x v="4"/>
  </r>
  <r>
    <x v="1236"/>
    <x v="864"/>
    <n v="502"/>
    <n v="507.5"/>
    <n v="502"/>
    <n v="0"/>
    <x v="4"/>
  </r>
  <r>
    <x v="1237"/>
    <x v="864"/>
    <n v="502.2"/>
    <n v="507.7"/>
    <n v="502"/>
    <n v="-4.0000000000000002E-4"/>
    <x v="4"/>
  </r>
  <r>
    <x v="1238"/>
    <x v="865"/>
    <n v="502.5"/>
    <n v="508"/>
    <n v="502.2"/>
    <n v="-5.9999999999999995E-4"/>
    <x v="4"/>
  </r>
  <r>
    <x v="1239"/>
    <x v="866"/>
    <n v="502.8"/>
    <n v="508.3"/>
    <n v="502.5"/>
    <n v="-5.9999999999999995E-4"/>
    <x v="4"/>
  </r>
  <r>
    <x v="1240"/>
    <x v="867"/>
    <n v="502.95"/>
    <n v="508.45"/>
    <n v="502.8"/>
    <n v="-2.9999999999999997E-4"/>
    <x v="4"/>
  </r>
  <r>
    <x v="1241"/>
    <x v="868"/>
    <n v="503.2"/>
    <n v="508.7"/>
    <n v="502.95"/>
    <n v="-5.0000000000000001E-4"/>
    <x v="4"/>
  </r>
  <r>
    <x v="1242"/>
    <x v="869"/>
    <n v="503.4"/>
    <n v="508.9"/>
    <n v="503.2"/>
    <n v="-4.0000000000000002E-4"/>
    <x v="4"/>
  </r>
  <r>
    <x v="1243"/>
    <x v="870"/>
    <n v="503.45"/>
    <n v="508.95"/>
    <n v="503.4"/>
    <n v="-1E-4"/>
    <x v="4"/>
  </r>
  <r>
    <x v="1244"/>
    <x v="871"/>
    <n v="503.7"/>
    <n v="509.2"/>
    <n v="503.45"/>
    <n v="-5.0000000000000001E-4"/>
    <x v="4"/>
  </r>
  <r>
    <x v="1245"/>
    <x v="872"/>
    <n v="503.9"/>
    <n v="509.4"/>
    <n v="503.7"/>
    <n v="-4.0000000000000002E-4"/>
    <x v="4"/>
  </r>
  <r>
    <x v="1246"/>
    <x v="873"/>
    <n v="504"/>
    <n v="509.5"/>
    <n v="503.9"/>
    <n v="-2.0000000000000001E-4"/>
    <x v="4"/>
  </r>
  <r>
    <x v="1247"/>
    <x v="874"/>
    <n v="504.1"/>
    <n v="509.6"/>
    <n v="504"/>
    <n v="-2.0000000000000001E-4"/>
    <x v="4"/>
  </r>
  <r>
    <x v="1248"/>
    <x v="875"/>
    <n v="504.4"/>
    <n v="509.9"/>
    <n v="504.1"/>
    <n v="-5.9999999999999995E-4"/>
    <x v="4"/>
  </r>
  <r>
    <x v="1249"/>
    <x v="876"/>
    <n v="504.5"/>
    <n v="510"/>
    <n v="504.4"/>
    <n v="-2.0000000000000001E-4"/>
    <x v="4"/>
  </r>
  <r>
    <x v="1250"/>
    <x v="877"/>
    <n v="504.55"/>
    <n v="510.05"/>
    <n v="504.5"/>
    <n v="-1E-4"/>
    <x v="4"/>
  </r>
  <r>
    <x v="1251"/>
    <x v="878"/>
    <n v="504.7"/>
    <n v="510.2"/>
    <n v="504.55"/>
    <n v="-2.9999999999999997E-4"/>
    <x v="4"/>
  </r>
  <r>
    <x v="1252"/>
    <x v="879"/>
    <n v="504.8"/>
    <n v="510.3"/>
    <n v="504.7"/>
    <n v="-2.0000000000000001E-4"/>
    <x v="4"/>
  </r>
  <r>
    <x v="1253"/>
    <x v="880"/>
    <n v="505"/>
    <n v="510.5"/>
    <n v="504.8"/>
    <n v="-4.0000000000000002E-4"/>
    <x v="4"/>
  </r>
  <r>
    <x v="1254"/>
    <x v="881"/>
    <n v="498.5"/>
    <n v="510.62"/>
    <n v="498.5"/>
    <n v="1.29E-2"/>
    <x v="4"/>
  </r>
  <r>
    <x v="1255"/>
    <x v="882"/>
    <n v="497.6"/>
    <n v="504.08"/>
    <n v="497.6"/>
    <n v="1.8E-3"/>
    <x v="4"/>
  </r>
  <r>
    <x v="1256"/>
    <x v="883"/>
    <n v="497.9"/>
    <n v="503.4"/>
    <n v="497.6"/>
    <n v="-5.9999999999999995E-4"/>
    <x v="4"/>
  </r>
  <r>
    <x v="1257"/>
    <x v="884"/>
    <n v="495"/>
    <n v="503.42"/>
    <n v="495"/>
    <n v="5.7999999999999996E-3"/>
    <x v="4"/>
  </r>
  <r>
    <x v="1258"/>
    <x v="885"/>
    <n v="495.2"/>
    <n v="503.42"/>
    <n v="495"/>
    <n v="-4.0000000000000002E-4"/>
    <x v="4"/>
  </r>
  <r>
    <x v="1259"/>
    <x v="886"/>
    <n v="495.5"/>
    <n v="503.03"/>
    <n v="495.2"/>
    <n v="-5.9999999999999995E-4"/>
    <x v="4"/>
  </r>
  <r>
    <x v="1260"/>
    <x v="887"/>
    <n v="494.4"/>
    <n v="501.05"/>
    <n v="494.4"/>
    <n v="2.2000000000000001E-3"/>
    <x v="4"/>
  </r>
  <r>
    <x v="1261"/>
    <x v="888"/>
    <n v="494.7"/>
    <n v="500.52"/>
    <n v="494.4"/>
    <n v="-5.9999999999999995E-4"/>
    <x v="4"/>
  </r>
  <r>
    <x v="1262"/>
    <x v="889"/>
    <n v="493.5"/>
    <n v="500.24"/>
    <n v="493.5"/>
    <n v="2.3999999999999998E-3"/>
    <x v="4"/>
  </r>
  <r>
    <x v="1263"/>
    <x v="890"/>
    <n v="494"/>
    <n v="500.35"/>
    <n v="493.5"/>
    <n v="-1E-3"/>
    <x v="4"/>
  </r>
  <r>
    <x v="1264"/>
    <x v="891"/>
    <n v="494.1"/>
    <n v="500.36"/>
    <n v="494"/>
    <n v="-2.0000000000000001E-4"/>
    <x v="4"/>
  </r>
  <r>
    <x v="1265"/>
    <x v="892"/>
    <n v="494.3"/>
    <n v="500.34"/>
    <n v="494.1"/>
    <n v="-4.0000000000000002E-4"/>
    <x v="4"/>
  </r>
  <r>
    <x v="1266"/>
    <x v="893"/>
    <n v="494.5"/>
    <n v="500"/>
    <n v="494.3"/>
    <n v="-4.0000000000000002E-4"/>
    <x v="4"/>
  </r>
  <r>
    <x v="1267"/>
    <x v="894"/>
    <n v="494.7"/>
    <n v="500.2"/>
    <n v="494.5"/>
    <n v="-5.9999999999999995E-4"/>
    <x v="4"/>
  </r>
  <r>
    <x v="1268"/>
    <x v="895"/>
    <n v="494.9"/>
    <n v="500.4"/>
    <n v="493.62"/>
    <n v="-2.0000000000000001E-4"/>
    <x v="4"/>
  </r>
  <r>
    <x v="1269"/>
    <x v="896"/>
    <n v="495"/>
    <n v="500.5"/>
    <n v="493.82"/>
    <n v="-2.0000000000000001E-4"/>
    <x v="4"/>
  </r>
  <r>
    <x v="1270"/>
    <x v="885"/>
    <n v="495.1"/>
    <n v="501.78"/>
    <n v="495"/>
    <n v="-2.0000000000000001E-4"/>
    <x v="4"/>
  </r>
  <r>
    <x v="1271"/>
    <x v="897"/>
    <n v="495.3"/>
    <n v="502.14"/>
    <n v="495.1"/>
    <n v="-4.0000000000000002E-4"/>
    <x v="4"/>
  </r>
  <r>
    <x v="1272"/>
    <x v="898"/>
    <n v="494.8"/>
    <n v="500.95"/>
    <n v="494.8"/>
    <n v="1E-3"/>
    <x v="4"/>
  </r>
  <r>
    <x v="1273"/>
    <x v="895"/>
    <n v="495"/>
    <n v="500.5"/>
    <n v="494.8"/>
    <n v="-4.0000000000000002E-4"/>
    <x v="4"/>
  </r>
  <r>
    <x v="1274"/>
    <x v="885"/>
    <n v="495.15"/>
    <n v="500.65"/>
    <n v="495"/>
    <n v="-2.9999999999999997E-4"/>
    <x v="4"/>
  </r>
  <r>
    <x v="1275"/>
    <x v="899"/>
    <n v="495.15"/>
    <n v="500.65"/>
    <n v="495.15"/>
    <n v="0"/>
    <x v="4"/>
  </r>
  <r>
    <x v="1276"/>
    <x v="899"/>
    <n v="495.2"/>
    <n v="500.7"/>
    <n v="495.15"/>
    <n v="-1E-4"/>
    <x v="5"/>
  </r>
  <r>
    <x v="1277"/>
    <x v="886"/>
    <n v="495.25"/>
    <n v="500.75"/>
    <n v="494.92"/>
    <n v="-1E-4"/>
    <x v="5"/>
  </r>
  <r>
    <x v="1278"/>
    <x v="900"/>
    <n v="495.4"/>
    <n v="501.09"/>
    <n v="495.25"/>
    <n v="-2.9999999999999997E-4"/>
    <x v="5"/>
  </r>
  <r>
    <x v="1279"/>
    <x v="901"/>
    <n v="490.4"/>
    <n v="500.95"/>
    <n v="490.4"/>
    <n v="1.01E-2"/>
    <x v="5"/>
  </r>
  <r>
    <x v="1280"/>
    <x v="902"/>
    <n v="490.4"/>
    <n v="500.95"/>
    <n v="490.4"/>
    <n v="0"/>
    <x v="5"/>
  </r>
  <r>
    <x v="1281"/>
    <x v="902"/>
    <n v="494.46"/>
    <n v="499.96"/>
    <n v="490.4"/>
    <n v="-2.0000000000000001E-4"/>
    <x v="5"/>
  </r>
  <r>
    <x v="1282"/>
    <x v="903"/>
    <n v="490.7"/>
    <n v="498.99"/>
    <n v="490.5"/>
    <n v="-4.0000000000000002E-4"/>
    <x v="5"/>
  </r>
  <r>
    <x v="1283"/>
    <x v="904"/>
    <n v="490.9"/>
    <n v="498.79"/>
    <n v="490.7"/>
    <n v="-4.0000000000000002E-4"/>
    <x v="5"/>
  </r>
  <r>
    <x v="1284"/>
    <x v="905"/>
    <n v="491.05"/>
    <n v="498.8"/>
    <n v="490.9"/>
    <n v="-2.9999999999999997E-4"/>
    <x v="5"/>
  </r>
  <r>
    <x v="1285"/>
    <x v="906"/>
    <n v="491.3"/>
    <n v="498.78"/>
    <n v="491.05"/>
    <n v="-5.0000000000000001E-4"/>
    <x v="5"/>
  </r>
  <r>
    <x v="1286"/>
    <x v="907"/>
    <n v="491.38"/>
    <n v="498.22"/>
    <n v="491.3"/>
    <n v="-2.0000000000000001E-4"/>
    <x v="5"/>
  </r>
  <r>
    <x v="1287"/>
    <x v="908"/>
    <n v="491.5"/>
    <n v="498.12"/>
    <n v="491.38"/>
    <n v="-2.0000000000000001E-4"/>
    <x v="5"/>
  </r>
  <r>
    <x v="1288"/>
    <x v="909"/>
    <n v="491.7"/>
    <n v="498.12"/>
    <n v="491.5"/>
    <n v="-4.0000000000000002E-4"/>
    <x v="5"/>
  </r>
  <r>
    <x v="1289"/>
    <x v="910"/>
    <n v="492.63"/>
    <n v="498.13"/>
    <n v="491.7"/>
    <n v="-2.0000000000000001E-4"/>
    <x v="5"/>
  </r>
  <r>
    <x v="1290"/>
    <x v="911"/>
    <n v="492"/>
    <n v="498.33"/>
    <n v="491.8"/>
    <n v="-4.0000000000000002E-4"/>
    <x v="5"/>
  </r>
  <r>
    <x v="1291"/>
    <x v="912"/>
    <n v="492.05"/>
    <n v="497.55"/>
    <n v="492"/>
    <n v="-1E-4"/>
    <x v="5"/>
  </r>
  <r>
    <x v="1292"/>
    <x v="913"/>
    <n v="492.2"/>
    <n v="498.35"/>
    <n v="492.05"/>
    <n v="-1E-4"/>
    <x v="5"/>
  </r>
  <r>
    <x v="1293"/>
    <x v="914"/>
    <n v="492.3"/>
    <n v="498.38"/>
    <n v="492.1"/>
    <n v="-4.0000000000000002E-4"/>
    <x v="5"/>
  </r>
  <r>
    <x v="1294"/>
    <x v="915"/>
    <n v="492.5"/>
    <n v="498.37"/>
    <n v="492.3"/>
    <n v="-4.0000000000000002E-4"/>
    <x v="5"/>
  </r>
  <r>
    <x v="1295"/>
    <x v="916"/>
    <n v="492.75"/>
    <n v="498.42"/>
    <n v="492.5"/>
    <n v="-5.0000000000000001E-4"/>
    <x v="5"/>
  </r>
  <r>
    <x v="1296"/>
    <x v="917"/>
    <n v="492.8"/>
    <n v="498.5"/>
    <n v="492.75"/>
    <n v="-1E-4"/>
    <x v="5"/>
  </r>
  <r>
    <x v="1297"/>
    <x v="918"/>
    <n v="492.9"/>
    <n v="498.4"/>
    <n v="492.8"/>
    <n v="-2.0000000000000001E-4"/>
    <x v="5"/>
  </r>
  <r>
    <x v="1298"/>
    <x v="919"/>
    <n v="492.96"/>
    <n v="498.46"/>
    <n v="492.9"/>
    <n v="1.9300000000000001E-2"/>
    <x v="5"/>
  </r>
  <r>
    <x v="1299"/>
    <x v="920"/>
    <n v="493.14"/>
    <n v="498.64"/>
    <n v="483.45"/>
    <n v="-1.9699999999999999E-2"/>
    <x v="5"/>
  </r>
  <r>
    <x v="1300"/>
    <x v="921"/>
    <n v="492.8"/>
    <n v="498.85"/>
    <n v="492.8"/>
    <n v="1E-3"/>
    <x v="5"/>
  </r>
  <r>
    <x v="1301"/>
    <x v="918"/>
    <n v="492.9"/>
    <n v="498.95"/>
    <n v="492.8"/>
    <n v="-2.0000000000000001E-4"/>
    <x v="5"/>
  </r>
  <r>
    <x v="1302"/>
    <x v="919"/>
    <n v="493"/>
    <n v="498.84"/>
    <n v="492.9"/>
    <n v="-2.0000000000000001E-4"/>
    <x v="5"/>
  </r>
  <r>
    <x v="1303"/>
    <x v="922"/>
    <n v="493.1"/>
    <n v="498.6"/>
    <n v="492.86"/>
    <n v="-2.0000000000000001E-4"/>
    <x v="5"/>
  </r>
  <r>
    <x v="1304"/>
    <x v="923"/>
    <n v="493.3"/>
    <n v="498.8"/>
    <n v="493.1"/>
    <n v="-4.0000000000000002E-4"/>
    <x v="5"/>
  </r>
  <r>
    <x v="1305"/>
    <x v="921"/>
    <n v="493.4"/>
    <n v="499.13"/>
    <n v="493.3"/>
    <n v="-2.0000000000000001E-4"/>
    <x v="5"/>
  </r>
  <r>
    <x v="1306"/>
    <x v="924"/>
    <n v="492.2"/>
    <n v="499.2"/>
    <n v="492.2"/>
    <n v="2.3999999999999998E-3"/>
    <x v="5"/>
  </r>
  <r>
    <x v="1307"/>
    <x v="925"/>
    <n v="492.4"/>
    <n v="499.11"/>
    <n v="492.2"/>
    <n v="-4.0000000000000002E-4"/>
    <x v="5"/>
  </r>
  <r>
    <x v="1308"/>
    <x v="926"/>
    <n v="499"/>
    <n v="504.5"/>
    <n v="492.4"/>
    <n v="-1.3100000000000001E-2"/>
    <x v="5"/>
  </r>
  <r>
    <x v="1309"/>
    <x v="927"/>
    <n v="499"/>
    <n v="504.5"/>
    <n v="499"/>
    <n v="0"/>
    <x v="5"/>
  </r>
  <r>
    <x v="1310"/>
    <x v="927"/>
    <n v="499"/>
    <n v="504.5"/>
    <n v="493.61"/>
    <n v="8.9999999999999993E-3"/>
    <x v="5"/>
  </r>
  <r>
    <x v="1311"/>
    <x v="894"/>
    <n v="499"/>
    <n v="500"/>
    <n v="499"/>
    <n v="-8.8999999999999999E-3"/>
    <x v="5"/>
  </r>
  <r>
    <x v="1312"/>
    <x v="927"/>
    <n v="499"/>
    <n v="504.5"/>
    <n v="494.07"/>
    <n v="0"/>
    <x v="5"/>
  </r>
  <r>
    <x v="1313"/>
    <x v="927"/>
    <n v="499.05"/>
    <n v="504.55"/>
    <n v="494.43"/>
    <n v="-1E-4"/>
    <x v="5"/>
  </r>
  <r>
    <x v="1314"/>
    <x v="928"/>
    <n v="499.2"/>
    <n v="504.7"/>
    <n v="499.05"/>
    <n v="-2.9999999999999997E-4"/>
    <x v="5"/>
  </r>
  <r>
    <x v="1315"/>
    <x v="929"/>
    <n v="499.3"/>
    <n v="504.8"/>
    <n v="494.23"/>
    <n v="-2.0000000000000001E-4"/>
    <x v="5"/>
  </r>
  <r>
    <x v="1316"/>
    <x v="930"/>
    <n v="499.5"/>
    <n v="505"/>
    <n v="494.15"/>
    <n v="-4.0000000000000002E-4"/>
    <x v="5"/>
  </r>
  <r>
    <x v="1317"/>
    <x v="931"/>
    <n v="499.5"/>
    <n v="505.2"/>
    <n v="499.5"/>
    <n v="0"/>
    <x v="5"/>
  </r>
  <r>
    <x v="1318"/>
    <x v="931"/>
    <n v="499.6"/>
    <n v="505.2"/>
    <n v="499.5"/>
    <n v="-2.0000000000000001E-4"/>
    <x v="5"/>
  </r>
  <r>
    <x v="1319"/>
    <x v="932"/>
    <n v="499"/>
    <n v="505.2"/>
    <n v="493.64"/>
    <n v="1.1999999999999999E-3"/>
    <x v="5"/>
  </r>
  <r>
    <x v="1320"/>
    <x v="927"/>
    <n v="499"/>
    <n v="505.2"/>
    <n v="493.61"/>
    <n v="0"/>
    <x v="5"/>
  </r>
  <r>
    <x v="1321"/>
    <x v="927"/>
    <n v="499.2"/>
    <n v="504.7"/>
    <n v="493.71"/>
    <n v="-4.0000000000000002E-4"/>
    <x v="5"/>
  </r>
  <r>
    <x v="1322"/>
    <x v="929"/>
    <n v="499.3"/>
    <n v="505.2"/>
    <n v="493.6"/>
    <n v="-2.0000000000000001E-4"/>
    <x v="5"/>
  </r>
  <r>
    <x v="1323"/>
    <x v="930"/>
    <n v="499.5"/>
    <n v="505"/>
    <n v="493.7"/>
    <n v="-4.0000000000000002E-4"/>
    <x v="5"/>
  </r>
  <r>
    <x v="1324"/>
    <x v="931"/>
    <n v="499.5"/>
    <n v="505"/>
    <n v="499.5"/>
    <n v="0"/>
    <x v="5"/>
  </r>
  <r>
    <x v="1325"/>
    <x v="931"/>
    <n v="499.5"/>
    <n v="505.2"/>
    <n v="493.86"/>
    <n v="0"/>
    <x v="5"/>
  </r>
  <r>
    <x v="1326"/>
    <x v="931"/>
    <n v="493"/>
    <n v="505.2"/>
    <n v="493"/>
    <n v="1.2999999999999999E-2"/>
    <x v="5"/>
  </r>
  <r>
    <x v="1327"/>
    <x v="922"/>
    <n v="493.4"/>
    <n v="507.2"/>
    <n v="493"/>
    <n v="-8.0000000000000004E-4"/>
    <x v="5"/>
  </r>
  <r>
    <x v="1328"/>
    <x v="924"/>
    <n v="493.5"/>
    <n v="499.42"/>
    <n v="493.4"/>
    <n v="-2.0000000000000001E-4"/>
    <x v="5"/>
  </r>
  <r>
    <x v="1329"/>
    <x v="890"/>
    <n v="493.5"/>
    <n v="499.44"/>
    <n v="493.5"/>
    <n v="0"/>
    <x v="5"/>
  </r>
  <r>
    <x v="1330"/>
    <x v="890"/>
    <n v="493.85"/>
    <n v="499.35"/>
    <n v="493.5"/>
    <n v="-6.9999999999999999E-4"/>
    <x v="5"/>
  </r>
  <r>
    <x v="1331"/>
    <x v="933"/>
    <n v="501.5"/>
    <n v="507"/>
    <n v="493"/>
    <n v="-2.8E-3"/>
    <x v="5"/>
  </r>
  <r>
    <x v="1332"/>
    <x v="934"/>
    <n v="501.6"/>
    <n v="507.65"/>
    <n v="494.71"/>
    <n v="-1.2500000000000001E-2"/>
    <x v="5"/>
  </r>
  <r>
    <x v="1333"/>
    <x v="935"/>
    <n v="501.5"/>
    <n v="507.2"/>
    <n v="494.72"/>
    <n v="2.0000000000000001E-4"/>
    <x v="5"/>
  </r>
  <r>
    <x v="1334"/>
    <x v="936"/>
    <n v="501.6"/>
    <n v="507.2"/>
    <n v="494.79"/>
    <n v="-2.0000000000000001E-4"/>
    <x v="5"/>
  </r>
  <r>
    <x v="1335"/>
    <x v="935"/>
    <n v="501.7"/>
    <n v="507.2"/>
    <n v="494.99"/>
    <n v="8.3000000000000001E-3"/>
    <x v="5"/>
  </r>
  <r>
    <x v="1336"/>
    <x v="937"/>
    <n v="493.5"/>
    <n v="502.95"/>
    <n v="493.5"/>
    <n v="7.9000000000000008E-3"/>
    <x v="5"/>
  </r>
  <r>
    <x v="1337"/>
    <x v="890"/>
    <n v="499.5"/>
    <n v="505"/>
    <n v="493.5"/>
    <n v="-1.1900000000000001E-2"/>
    <x v="5"/>
  </r>
  <r>
    <x v="1338"/>
    <x v="931"/>
    <n v="500.5"/>
    <n v="506"/>
    <n v="499.2"/>
    <n v="7.0000000000000001E-3"/>
    <x v="5"/>
  </r>
  <r>
    <x v="1339"/>
    <x v="938"/>
    <n v="500.6"/>
    <n v="501.7"/>
    <n v="493.69"/>
    <n v="-9.1000000000000004E-3"/>
    <x v="5"/>
  </r>
  <r>
    <x v="1340"/>
    <x v="939"/>
    <n v="499.05"/>
    <n v="506.2"/>
    <n v="493.48"/>
    <n v="3.0999999999999999E-3"/>
    <x v="5"/>
  </r>
  <r>
    <x v="1341"/>
    <x v="928"/>
    <n v="499.05"/>
    <n v="504.7"/>
    <n v="493.57"/>
    <n v="0"/>
    <x v="5"/>
  </r>
  <r>
    <x v="1342"/>
    <x v="928"/>
    <n v="499.1"/>
    <n v="504.7"/>
    <n v="493.51"/>
    <n v="-1E-4"/>
    <x v="5"/>
  </r>
  <r>
    <x v="1343"/>
    <x v="940"/>
    <n v="499.05"/>
    <n v="504.7"/>
    <n v="499.05"/>
    <n v="1E-4"/>
    <x v="5"/>
  </r>
  <r>
    <x v="1344"/>
    <x v="928"/>
    <n v="501.1"/>
    <n v="506.6"/>
    <n v="494.32"/>
    <n v="-4.0000000000000001E-3"/>
    <x v="5"/>
  </r>
  <r>
    <x v="1345"/>
    <x v="941"/>
    <n v="498.8"/>
    <n v="506.7"/>
    <n v="494.52"/>
    <n v="4.5999999999999999E-3"/>
    <x v="5"/>
  </r>
  <r>
    <x v="1346"/>
    <x v="942"/>
    <n v="498.9"/>
    <n v="506.7"/>
    <n v="494.43"/>
    <n v="-2.0000000000000001E-4"/>
    <x v="5"/>
  </r>
  <r>
    <x v="1347"/>
    <x v="943"/>
    <n v="493.75"/>
    <n v="504.45"/>
    <n v="493.75"/>
    <n v="9.1999999999999998E-3"/>
    <x v="5"/>
  </r>
  <r>
    <x v="1348"/>
    <x v="944"/>
    <n v="499.6"/>
    <n v="505.66"/>
    <n v="493.76"/>
    <n v="-1.0500000000000001E-2"/>
    <x v="5"/>
  </r>
  <r>
    <x v="1349"/>
    <x v="932"/>
    <n v="495.8"/>
    <n v="505.2"/>
    <n v="495.35"/>
    <n v="7.6E-3"/>
    <x v="5"/>
  </r>
  <r>
    <x v="1350"/>
    <x v="945"/>
    <n v="499"/>
    <n v="509.2"/>
    <n v="495.8"/>
    <n v="-6.3E-3"/>
    <x v="5"/>
  </r>
  <r>
    <x v="1351"/>
    <x v="927"/>
    <n v="499.1"/>
    <n v="507.2"/>
    <n v="494.16"/>
    <n v="-2.0000000000000001E-4"/>
    <x v="5"/>
  </r>
  <r>
    <x v="1352"/>
    <x v="940"/>
    <n v="494.95"/>
    <n v="504.95"/>
    <n v="494.82"/>
    <n v="6.8999999999999999E-3"/>
    <x v="5"/>
  </r>
  <r>
    <x v="1353"/>
    <x v="946"/>
    <n v="499.1"/>
    <n v="505.35"/>
    <n v="494.97"/>
    <n v="-6.8999999999999999E-3"/>
    <x v="5"/>
  </r>
  <r>
    <x v="1354"/>
    <x v="940"/>
    <n v="501.5"/>
    <n v="507"/>
    <n v="495.12"/>
    <n v="-4.7000000000000002E-3"/>
    <x v="5"/>
  </r>
  <r>
    <x v="1355"/>
    <x v="936"/>
    <n v="501.6"/>
    <n v="507.2"/>
    <n v="499.2"/>
    <n v="-2.0000000000000001E-4"/>
    <x v="5"/>
  </r>
  <r>
    <x v="1356"/>
    <x v="935"/>
    <n v="507.2"/>
    <n v="512.70000000000005"/>
    <n v="501.6"/>
    <n v="-1.09E-2"/>
    <x v="5"/>
  </r>
  <r>
    <x v="1357"/>
    <x v="947"/>
    <n v="501.5"/>
    <n v="512.79999999999995"/>
    <n v="501.5"/>
    <n v="1.12E-2"/>
    <x v="5"/>
  </r>
  <r>
    <x v="1358"/>
    <x v="936"/>
    <n v="503"/>
    <n v="508.5"/>
    <n v="501.5"/>
    <n v="-2.8999999999999998E-3"/>
    <x v="5"/>
  </r>
  <r>
    <x v="1359"/>
    <x v="948"/>
    <n v="503"/>
    <n v="508.5"/>
    <n v="495.58"/>
    <n v="8.3999999999999995E-3"/>
    <x v="5"/>
  </r>
  <r>
    <x v="1360"/>
    <x v="949"/>
    <n v="505.5"/>
    <n v="510.6"/>
    <n v="495.24"/>
    <n v="-1.32E-2"/>
    <x v="5"/>
  </r>
  <r>
    <x v="1361"/>
    <x v="950"/>
    <n v="501.8"/>
    <n v="511.2"/>
    <n v="497.2"/>
    <n v="7.3000000000000001E-3"/>
    <x v="5"/>
  </r>
  <r>
    <x v="1362"/>
    <x v="951"/>
    <n v="501.7"/>
    <n v="507.4"/>
    <n v="497.14"/>
    <n v="2.0000000000000001E-4"/>
    <x v="5"/>
  </r>
  <r>
    <x v="1363"/>
    <x v="952"/>
    <n v="501.5"/>
    <n v="508.95"/>
    <n v="494.56"/>
    <n v="4.0000000000000002E-4"/>
    <x v="5"/>
  </r>
  <r>
    <x v="1364"/>
    <x v="936"/>
    <n v="499"/>
    <n v="507.4"/>
    <n v="493"/>
    <n v="5.0000000000000001E-3"/>
    <x v="5"/>
  </r>
  <r>
    <x v="1365"/>
    <x v="927"/>
    <n v="499.1"/>
    <n v="504.7"/>
    <n v="492.96"/>
    <n v="-2.0000000000000001E-4"/>
    <x v="5"/>
  </r>
  <r>
    <x v="1366"/>
    <x v="940"/>
    <n v="499.1"/>
    <n v="504.7"/>
    <n v="492.99"/>
    <n v="0"/>
    <x v="5"/>
  </r>
  <r>
    <x v="1367"/>
    <x v="940"/>
    <n v="499.1"/>
    <n v="504.7"/>
    <n v="493.03"/>
    <n v="8.3000000000000001E-3"/>
    <x v="5"/>
  </r>
  <r>
    <x v="1368"/>
    <x v="953"/>
    <n v="499.05"/>
    <n v="500.45"/>
    <n v="492.94"/>
    <n v="-8.0999999999999996E-3"/>
    <x v="5"/>
  </r>
  <r>
    <x v="1369"/>
    <x v="928"/>
    <n v="499"/>
    <n v="504.7"/>
    <n v="499"/>
    <n v="1E-4"/>
    <x v="5"/>
  </r>
  <r>
    <x v="1370"/>
    <x v="927"/>
    <n v="499.1"/>
    <n v="504.7"/>
    <n v="492.94"/>
    <n v="-2.0000000000000001E-4"/>
    <x v="5"/>
  </r>
  <r>
    <x v="1371"/>
    <x v="940"/>
    <n v="499.1"/>
    <n v="504.7"/>
    <n v="492.93"/>
    <n v="0"/>
    <x v="5"/>
  </r>
  <r>
    <x v="1372"/>
    <x v="940"/>
    <n v="499.1"/>
    <n v="504.7"/>
    <n v="492.96"/>
    <n v="0"/>
    <x v="5"/>
  </r>
  <r>
    <x v="1373"/>
    <x v="940"/>
    <n v="499"/>
    <n v="504.7"/>
    <n v="492.94"/>
    <n v="2.0000000000000001E-4"/>
    <x v="5"/>
  </r>
  <r>
    <x v="1374"/>
    <x v="927"/>
    <n v="492.8"/>
    <n v="504.7"/>
    <n v="492.8"/>
    <n v="1.24E-2"/>
    <x v="5"/>
  </r>
  <r>
    <x v="1375"/>
    <x v="918"/>
    <n v="493"/>
    <n v="504.7"/>
    <n v="492.8"/>
    <n v="-4.0000000000000002E-4"/>
    <x v="5"/>
  </r>
  <r>
    <x v="1376"/>
    <x v="922"/>
    <n v="499"/>
    <n v="504.7"/>
    <n v="493"/>
    <n v="-1.09E-2"/>
    <x v="5"/>
  </r>
  <r>
    <x v="1377"/>
    <x v="882"/>
    <n v="499.1"/>
    <n v="504.2"/>
    <n v="492.89"/>
    <n v="-2.0000000000000001E-4"/>
    <x v="5"/>
  </r>
  <r>
    <x v="1378"/>
    <x v="954"/>
    <n v="498.4"/>
    <n v="504.2"/>
    <n v="492.89"/>
    <n v="1.4E-3"/>
    <x v="5"/>
  </r>
  <r>
    <x v="1379"/>
    <x v="884"/>
    <n v="498.5"/>
    <n v="503.5"/>
    <n v="492.9"/>
    <n v="-2.0000000000000001E-4"/>
    <x v="5"/>
  </r>
  <r>
    <x v="1380"/>
    <x v="955"/>
    <n v="498.8"/>
    <n v="503.8"/>
    <n v="492.9"/>
    <n v="-5.9999999999999995E-4"/>
    <x v="5"/>
  </r>
  <r>
    <x v="1381"/>
    <x v="956"/>
    <n v="499"/>
    <n v="504"/>
    <n v="492.98"/>
    <n v="-4.0000000000000002E-4"/>
    <x v="5"/>
  </r>
  <r>
    <x v="1382"/>
    <x v="882"/>
    <n v="498.6"/>
    <n v="504.2"/>
    <n v="492.98"/>
    <n v="8.0000000000000004E-4"/>
    <x v="5"/>
  </r>
  <r>
    <x v="1383"/>
    <x v="957"/>
    <n v="498.8"/>
    <n v="503.8"/>
    <n v="492.98"/>
    <n v="-4.0000000000000002E-4"/>
    <x v="5"/>
  </r>
  <r>
    <x v="1384"/>
    <x v="956"/>
    <n v="498.9"/>
    <n v="503.9"/>
    <n v="492.99"/>
    <n v="-2.0000000000000001E-4"/>
    <x v="5"/>
  </r>
  <r>
    <x v="1385"/>
    <x v="958"/>
    <n v="499"/>
    <n v="504"/>
    <n v="498.9"/>
    <n v="-2.0000000000000001E-4"/>
    <x v="5"/>
  </r>
  <r>
    <x v="1386"/>
    <x v="882"/>
    <n v="499.1"/>
    <n v="504.1"/>
    <n v="499"/>
    <n v="-2.0000000000000001E-4"/>
    <x v="5"/>
  </r>
  <r>
    <x v="1387"/>
    <x v="954"/>
    <n v="499.1"/>
    <n v="504.2"/>
    <n v="499.1"/>
    <n v="0"/>
    <x v="5"/>
  </r>
  <r>
    <x v="1388"/>
    <x v="954"/>
    <n v="499.1"/>
    <n v="504.2"/>
    <n v="499.1"/>
    <n v="0"/>
    <x v="5"/>
  </r>
  <r>
    <x v="1389"/>
    <x v="954"/>
    <n v="499.2"/>
    <n v="504.2"/>
    <n v="499.1"/>
    <n v="7.3000000000000001E-3"/>
    <x v="5"/>
  </r>
  <r>
    <x v="1390"/>
    <x v="953"/>
    <n v="499.2"/>
    <n v="500.45"/>
    <n v="499.2"/>
    <n v="0"/>
    <x v="5"/>
  </r>
  <r>
    <x v="1391"/>
    <x v="953"/>
    <n v="499.2"/>
    <n v="500.45"/>
    <n v="499.2"/>
    <n v="0"/>
    <x v="5"/>
  </r>
  <r>
    <x v="1392"/>
    <x v="953"/>
    <n v="499.2"/>
    <n v="500.45"/>
    <n v="496.7"/>
    <n v="0"/>
    <x v="5"/>
  </r>
  <r>
    <x v="1393"/>
    <x v="953"/>
    <n v="499.2"/>
    <n v="500.45"/>
    <n v="499.2"/>
    <n v="0"/>
    <x v="5"/>
  </r>
  <r>
    <x v="1394"/>
    <x v="953"/>
    <n v="499.2"/>
    <n v="500.45"/>
    <n v="499.2"/>
    <n v="5.0000000000000001E-4"/>
    <x v="5"/>
  </r>
  <r>
    <x v="1395"/>
    <x v="889"/>
    <n v="499.2"/>
    <n v="500.2"/>
    <n v="499.2"/>
    <n v="0"/>
    <x v="5"/>
  </r>
  <r>
    <x v="1396"/>
    <x v="889"/>
    <n v="499.1"/>
    <n v="500.2"/>
    <n v="499.1"/>
    <n v="2.0000000000000001E-4"/>
    <x v="5"/>
  </r>
  <r>
    <x v="1397"/>
    <x v="959"/>
    <n v="499.1"/>
    <n v="500.2"/>
    <n v="499.1"/>
    <n v="0"/>
    <x v="5"/>
  </r>
  <r>
    <x v="1398"/>
    <x v="959"/>
    <n v="499"/>
    <n v="500.2"/>
    <n v="499"/>
    <n v="2.0000000000000001E-4"/>
    <x v="5"/>
  </r>
  <r>
    <x v="1399"/>
    <x v="894"/>
    <n v="499.1"/>
    <n v="500.2"/>
    <n v="499"/>
    <n v="-2.0000000000000001E-4"/>
    <x v="5"/>
  </r>
  <r>
    <x v="1400"/>
    <x v="959"/>
    <n v="499.1"/>
    <n v="500.2"/>
    <n v="499.1"/>
    <n v="-6.9999999999999999E-4"/>
    <x v="5"/>
  </r>
  <r>
    <x v="1401"/>
    <x v="953"/>
    <n v="499"/>
    <n v="500.45"/>
    <n v="499"/>
    <n v="8.9999999999999998E-4"/>
    <x v="5"/>
  </r>
  <r>
    <x v="1402"/>
    <x v="894"/>
    <n v="499.6"/>
    <n v="500.6"/>
    <n v="499"/>
    <n v="-8.9999999999999998E-4"/>
    <x v="5"/>
  </r>
  <r>
    <x v="1403"/>
    <x v="953"/>
    <n v="499.7"/>
    <n v="500.95"/>
    <n v="499.2"/>
    <n v="-1E-4"/>
    <x v="5"/>
  </r>
  <r>
    <x v="1404"/>
    <x v="885"/>
    <n v="499.5"/>
    <n v="500.5"/>
    <n v="499.5"/>
    <n v="0"/>
    <x v="5"/>
  </r>
  <r>
    <x v="1405"/>
    <x v="885"/>
    <n v="498.9"/>
    <n v="500.7"/>
    <n v="498.9"/>
    <n v="1.1999999999999999E-3"/>
    <x v="5"/>
  </r>
  <r>
    <x v="1406"/>
    <x v="888"/>
    <n v="498.8"/>
    <n v="500.7"/>
    <n v="498.8"/>
    <n v="2.0000000000000001E-4"/>
    <x v="5"/>
  </r>
  <r>
    <x v="1407"/>
    <x v="893"/>
    <n v="498.5"/>
    <n v="499.95"/>
    <n v="498.5"/>
    <n v="5.9999999999999995E-4"/>
    <x v="5"/>
  </r>
  <r>
    <x v="1408"/>
    <x v="891"/>
    <n v="498.7"/>
    <n v="499.7"/>
    <n v="498.5"/>
    <n v="-4.0000000000000002E-4"/>
    <x v="5"/>
  </r>
  <r>
    <x v="1409"/>
    <x v="960"/>
    <n v="498.4"/>
    <n v="499.95"/>
    <n v="498.4"/>
    <n v="5.9999999999999995E-4"/>
    <x v="5"/>
  </r>
  <r>
    <x v="1410"/>
    <x v="961"/>
    <n v="499.5"/>
    <n v="500.95"/>
    <n v="498.4"/>
    <n v="-2.2000000000000001E-3"/>
    <x v="5"/>
  </r>
  <r>
    <x v="1411"/>
    <x v="885"/>
    <n v="499.2"/>
    <n v="500.95"/>
    <n v="499"/>
    <n v="5.9999999999999995E-4"/>
    <x v="5"/>
  </r>
  <r>
    <x v="1412"/>
    <x v="889"/>
    <n v="499.3"/>
    <n v="500.45"/>
    <n v="499.2"/>
    <n v="-2.0000000000000001E-4"/>
    <x v="5"/>
  </r>
  <r>
    <x v="1413"/>
    <x v="895"/>
    <n v="499.4"/>
    <n v="500.45"/>
    <n v="499.3"/>
    <n v="-2.0000000000000001E-4"/>
    <x v="5"/>
  </r>
  <r>
    <x v="1414"/>
    <x v="896"/>
    <n v="498.6"/>
    <n v="500.45"/>
    <n v="498.6"/>
    <n v="1.6000000000000001E-3"/>
    <x v="5"/>
  </r>
  <r>
    <x v="1415"/>
    <x v="892"/>
    <n v="498.5"/>
    <n v="499.7"/>
    <n v="498.5"/>
    <n v="2.0000000000000001E-4"/>
    <x v="5"/>
  </r>
  <r>
    <x v="1416"/>
    <x v="891"/>
    <n v="498.4"/>
    <n v="499.7"/>
    <n v="498.4"/>
    <n v="2.0000000000000001E-4"/>
    <x v="5"/>
  </r>
  <r>
    <x v="1417"/>
    <x v="961"/>
    <n v="499.8"/>
    <n v="500.8"/>
    <n v="498.4"/>
    <n v="-2.8E-3"/>
    <x v="5"/>
  </r>
  <r>
    <x v="1418"/>
    <x v="898"/>
    <n v="499.9"/>
    <n v="500.95"/>
    <n v="498.7"/>
    <n v="-2.0000000000000001E-4"/>
    <x v="5"/>
  </r>
  <r>
    <x v="1419"/>
    <x v="901"/>
    <n v="499.8"/>
    <n v="500.95"/>
    <n v="499.8"/>
    <n v="2.0000000000000001E-4"/>
    <x v="5"/>
  </r>
  <r>
    <x v="1420"/>
    <x v="898"/>
    <n v="500"/>
    <n v="501"/>
    <n v="499.8"/>
    <n v="-8.0000000000000004E-4"/>
    <x v="5"/>
  </r>
  <r>
    <x v="1421"/>
    <x v="962"/>
    <n v="500.05"/>
    <n v="501.3"/>
    <n v="499.45"/>
    <n v="2.0000000000000001E-4"/>
    <x v="5"/>
  </r>
  <r>
    <x v="1422"/>
    <x v="963"/>
    <n v="500.1"/>
    <n v="501.23"/>
    <n v="500.05"/>
    <n v="-6.9999999999999999E-4"/>
    <x v="5"/>
  </r>
  <r>
    <x v="1423"/>
    <x v="964"/>
    <n v="499.1"/>
    <n v="501.45"/>
    <n v="499.1"/>
    <n v="2.7000000000000001E-3"/>
    <x v="5"/>
  </r>
  <r>
    <x v="1424"/>
    <x v="959"/>
    <n v="499.2"/>
    <n v="501.2"/>
    <n v="499.1"/>
    <n v="-2.0000000000000001E-4"/>
    <x v="5"/>
  </r>
  <r>
    <x v="1425"/>
    <x v="889"/>
    <n v="499.2"/>
    <n v="500.3"/>
    <n v="499.2"/>
    <n v="0"/>
    <x v="5"/>
  </r>
  <r>
    <x v="1426"/>
    <x v="889"/>
    <n v="498"/>
    <n v="500.3"/>
    <n v="498"/>
    <n v="2.3999999999999998E-3"/>
    <x v="5"/>
  </r>
  <r>
    <x v="1427"/>
    <x v="890"/>
    <n v="498"/>
    <n v="500.3"/>
    <n v="498"/>
    <n v="0"/>
    <x v="5"/>
  </r>
  <r>
    <x v="1428"/>
    <x v="890"/>
    <n v="498.9"/>
    <n v="500.3"/>
    <n v="498"/>
    <n v="-3.0999999999999999E-3"/>
    <x v="5"/>
  </r>
  <r>
    <x v="1429"/>
    <x v="965"/>
    <n v="498.5"/>
    <n v="500.55"/>
    <n v="498.5"/>
    <n v="1.6999999999999999E-3"/>
    <x v="5"/>
  </r>
  <r>
    <x v="1430"/>
    <x v="960"/>
    <n v="498.9"/>
    <n v="500.15"/>
    <n v="498.5"/>
    <n v="-4.0000000000000002E-4"/>
    <x v="5"/>
  </r>
  <r>
    <x v="1431"/>
    <x v="888"/>
    <n v="498.9"/>
    <n v="499.95"/>
    <n v="498.9"/>
    <n v="0"/>
    <x v="5"/>
  </r>
  <r>
    <x v="1432"/>
    <x v="888"/>
    <n v="498.8"/>
    <n v="499.95"/>
    <n v="498.8"/>
    <n v="2.0000000000000001E-4"/>
    <x v="5"/>
  </r>
  <r>
    <x v="1433"/>
    <x v="893"/>
    <n v="498.9"/>
    <n v="499.95"/>
    <n v="498.8"/>
    <n v="-2.0000000000000001E-4"/>
    <x v="5"/>
  </r>
  <r>
    <x v="1434"/>
    <x v="888"/>
    <n v="498.9"/>
    <n v="499.95"/>
    <n v="498.9"/>
    <n v="0"/>
    <x v="5"/>
  </r>
  <r>
    <x v="1435"/>
    <x v="888"/>
    <n v="498.4"/>
    <n v="499.95"/>
    <n v="498.4"/>
    <n v="1E-3"/>
    <x v="5"/>
  </r>
  <r>
    <x v="1436"/>
    <x v="961"/>
    <n v="498.6"/>
    <n v="499.95"/>
    <n v="498.4"/>
    <n v="-4.0000000000000002E-4"/>
    <x v="5"/>
  </r>
  <r>
    <x v="1437"/>
    <x v="892"/>
    <n v="498.7"/>
    <n v="499.8"/>
    <n v="498.6"/>
    <n v="-2.0000000000000001E-4"/>
    <x v="5"/>
  </r>
  <r>
    <x v="1438"/>
    <x v="960"/>
    <n v="498.6"/>
    <n v="499.8"/>
    <n v="498.6"/>
    <n v="2.0000000000000001E-4"/>
    <x v="5"/>
  </r>
  <r>
    <x v="1439"/>
    <x v="892"/>
    <n v="498.5"/>
    <n v="499.8"/>
    <n v="498.5"/>
    <n v="2.0000000000000001E-4"/>
    <x v="5"/>
  </r>
  <r>
    <x v="1440"/>
    <x v="891"/>
    <n v="498.3"/>
    <n v="499.8"/>
    <n v="498.3"/>
    <n v="4.0000000000000002E-4"/>
    <x v="5"/>
  </r>
  <r>
    <x v="1441"/>
    <x v="966"/>
    <n v="494"/>
    <n v="499.8"/>
    <n v="494"/>
    <n v="3.5999999999999999E-3"/>
    <x v="5"/>
  </r>
  <r>
    <x v="1442"/>
    <x v="912"/>
    <n v="499.4"/>
    <n v="502.9"/>
    <n v="494"/>
    <n v="-6.0000000000000001E-3"/>
    <x v="5"/>
  </r>
  <r>
    <x v="1443"/>
    <x v="885"/>
    <n v="499.3"/>
    <n v="500.5"/>
    <n v="498.8"/>
    <n v="4.0000000000000002E-4"/>
    <x v="5"/>
  </r>
  <r>
    <x v="1444"/>
    <x v="895"/>
    <n v="500.2"/>
    <n v="501.2"/>
    <n v="499.3"/>
    <n v="-1.8E-3"/>
    <x v="5"/>
  </r>
  <r>
    <x v="1445"/>
    <x v="962"/>
    <n v="500.4"/>
    <n v="501.45"/>
    <n v="499.45"/>
    <n v="-1E-3"/>
    <x v="5"/>
  </r>
  <r>
    <x v="1446"/>
    <x v="967"/>
    <n v="499"/>
    <n v="501.7"/>
    <n v="499"/>
    <n v="3.3999999999999998E-3"/>
    <x v="5"/>
  </r>
  <r>
    <x v="1447"/>
    <x v="894"/>
    <n v="499.15"/>
    <n v="500.2"/>
    <n v="499"/>
    <n v="-2.9999999999999997E-4"/>
    <x v="5"/>
  </r>
  <r>
    <x v="1448"/>
    <x v="968"/>
    <n v="499.1"/>
    <n v="500.2"/>
    <n v="499.1"/>
    <n v="1E-4"/>
    <x v="5"/>
  </r>
  <r>
    <x v="1449"/>
    <x v="959"/>
    <n v="499.05"/>
    <n v="500.2"/>
    <n v="499.05"/>
    <n v="1E-4"/>
    <x v="5"/>
  </r>
  <r>
    <x v="1450"/>
    <x v="969"/>
    <n v="498.5"/>
    <n v="500.2"/>
    <n v="498.5"/>
    <n v="1.1000000000000001E-3"/>
    <x v="5"/>
  </r>
  <r>
    <x v="1451"/>
    <x v="891"/>
    <n v="498.6"/>
    <n v="500.2"/>
    <n v="498.5"/>
    <n v="-2.0000000000000001E-4"/>
    <x v="5"/>
  </r>
  <r>
    <x v="1452"/>
    <x v="892"/>
    <n v="498.5"/>
    <n v="499.7"/>
    <n v="498.5"/>
    <n v="2.0000000000000001E-4"/>
    <x v="5"/>
  </r>
  <r>
    <x v="1453"/>
    <x v="891"/>
    <n v="498.4"/>
    <n v="499.7"/>
    <n v="498.4"/>
    <n v="2.0000000000000001E-4"/>
    <x v="5"/>
  </r>
  <r>
    <x v="1454"/>
    <x v="961"/>
    <n v="498.4"/>
    <n v="499.7"/>
    <n v="498.4"/>
    <n v="0"/>
    <x v="5"/>
  </r>
  <r>
    <x v="1455"/>
    <x v="961"/>
    <n v="498.6"/>
    <n v="499.6"/>
    <n v="498.4"/>
    <n v="-4.0000000000000002E-4"/>
    <x v="5"/>
  </r>
  <r>
    <x v="1456"/>
    <x v="892"/>
    <n v="498.4"/>
    <n v="499.7"/>
    <n v="498.4"/>
    <n v="4.0000000000000002E-4"/>
    <x v="5"/>
  </r>
  <r>
    <x v="1457"/>
    <x v="961"/>
    <n v="498.5"/>
    <n v="499.7"/>
    <n v="498.4"/>
    <n v="-2.0000000000000001E-4"/>
    <x v="5"/>
  </r>
  <r>
    <x v="1458"/>
    <x v="891"/>
    <n v="498"/>
    <n v="499.7"/>
    <n v="498"/>
    <n v="1E-3"/>
    <x v="5"/>
  </r>
  <r>
    <x v="1459"/>
    <x v="890"/>
    <n v="498.4"/>
    <n v="499.7"/>
    <n v="498"/>
    <n v="-8.0000000000000004E-4"/>
    <x v="5"/>
  </r>
  <r>
    <x v="1460"/>
    <x v="961"/>
    <n v="498.5"/>
    <n v="499.7"/>
    <n v="498.4"/>
    <n v="-2.0000000000000001E-4"/>
    <x v="5"/>
  </r>
  <r>
    <x v="1461"/>
    <x v="891"/>
    <n v="498.4"/>
    <n v="499.7"/>
    <n v="498.4"/>
    <n v="2.0000000000000001E-4"/>
    <x v="5"/>
  </r>
  <r>
    <x v="1462"/>
    <x v="961"/>
    <n v="498.5"/>
    <n v="499.7"/>
    <n v="498.4"/>
    <n v="-2.0000000000000001E-4"/>
    <x v="5"/>
  </r>
  <r>
    <x v="1463"/>
    <x v="891"/>
    <n v="498.5"/>
    <n v="499.7"/>
    <n v="498.5"/>
    <n v="0"/>
    <x v="5"/>
  </r>
  <r>
    <x v="1464"/>
    <x v="891"/>
    <n v="499"/>
    <n v="500"/>
    <n v="498.5"/>
    <n v="-1E-3"/>
    <x v="5"/>
  </r>
  <r>
    <x v="1465"/>
    <x v="894"/>
    <n v="499"/>
    <n v="500.3"/>
    <n v="498.7"/>
    <n v="0"/>
    <x v="5"/>
  </r>
  <r>
    <x v="1466"/>
    <x v="894"/>
    <n v="500"/>
    <n v="501"/>
    <n v="499"/>
    <n v="-2E-3"/>
    <x v="5"/>
  </r>
  <r>
    <x v="1467"/>
    <x v="970"/>
    <n v="500.1"/>
    <n v="501.2"/>
    <n v="499.3"/>
    <n v="-2.0000000000000001E-4"/>
    <x v="5"/>
  </r>
  <r>
    <x v="1468"/>
    <x v="971"/>
    <n v="500.5"/>
    <n v="501.5"/>
    <n v="500.1"/>
    <n v="-8.0000000000000004E-4"/>
    <x v="5"/>
  </r>
  <r>
    <x v="1469"/>
    <x v="938"/>
    <n v="498.4"/>
    <n v="501.7"/>
    <n v="498.4"/>
    <n v="4.1999999999999997E-3"/>
    <x v="5"/>
  </r>
  <r>
    <x v="1470"/>
    <x v="961"/>
    <n v="498.5"/>
    <n v="501.7"/>
    <n v="498.4"/>
    <n v="-2.0000000000000001E-4"/>
    <x v="5"/>
  </r>
  <r>
    <x v="1471"/>
    <x v="891"/>
    <n v="498.4"/>
    <n v="499.7"/>
    <n v="498.4"/>
    <n v="2.0000000000000001E-4"/>
    <x v="5"/>
  </r>
  <r>
    <x v="1472"/>
    <x v="961"/>
    <n v="498.4"/>
    <n v="499.7"/>
    <n v="498.4"/>
    <n v="0"/>
    <x v="5"/>
  </r>
  <r>
    <x v="1473"/>
    <x v="961"/>
    <n v="498.6"/>
    <n v="499.7"/>
    <n v="498.4"/>
    <n v="-4.0000000000000002E-4"/>
    <x v="5"/>
  </r>
  <r>
    <x v="1474"/>
    <x v="892"/>
    <n v="498.5"/>
    <n v="499.7"/>
    <n v="498.5"/>
    <n v="2.0000000000000001E-4"/>
    <x v="5"/>
  </r>
  <r>
    <x v="1475"/>
    <x v="891"/>
    <n v="498.4"/>
    <n v="499.7"/>
    <n v="498.4"/>
    <n v="2.0000000000000001E-4"/>
    <x v="5"/>
  </r>
  <r>
    <x v="1476"/>
    <x v="961"/>
    <n v="498"/>
    <n v="499.7"/>
    <n v="498"/>
    <n v="8.0000000000000004E-4"/>
    <x v="5"/>
  </r>
  <r>
    <x v="1477"/>
    <x v="890"/>
    <n v="498.5"/>
    <n v="499.7"/>
    <n v="498"/>
    <n v="-1E-3"/>
    <x v="5"/>
  </r>
  <r>
    <x v="1478"/>
    <x v="891"/>
    <n v="498.6"/>
    <n v="499.7"/>
    <n v="498.5"/>
    <n v="-2.0000000000000001E-4"/>
    <x v="5"/>
  </r>
  <r>
    <x v="1479"/>
    <x v="892"/>
    <n v="498.5"/>
    <n v="499.7"/>
    <n v="498.5"/>
    <n v="2.0000000000000001E-4"/>
    <x v="5"/>
  </r>
  <r>
    <x v="1480"/>
    <x v="891"/>
    <n v="498.6"/>
    <n v="499.7"/>
    <n v="498.5"/>
    <n v="-2.0000000000000001E-4"/>
    <x v="5"/>
  </r>
  <r>
    <x v="1481"/>
    <x v="892"/>
    <n v="498.4"/>
    <n v="499.7"/>
    <n v="498.4"/>
    <n v="4.0000000000000002E-4"/>
    <x v="5"/>
  </r>
  <r>
    <x v="1482"/>
    <x v="961"/>
    <n v="498.4"/>
    <n v="499.7"/>
    <n v="498.4"/>
    <n v="0"/>
    <x v="5"/>
  </r>
  <r>
    <x v="1483"/>
    <x v="961"/>
    <n v="498.4"/>
    <n v="499.7"/>
    <n v="498.4"/>
    <n v="0"/>
    <x v="5"/>
  </r>
  <r>
    <x v="1484"/>
    <x v="961"/>
    <n v="498.4"/>
    <n v="499.7"/>
    <n v="498.4"/>
    <n v="0"/>
    <x v="5"/>
  </r>
  <r>
    <x v="1485"/>
    <x v="961"/>
    <n v="498.2"/>
    <n v="499.7"/>
    <n v="498.2"/>
    <n v="4.0000000000000002E-4"/>
    <x v="5"/>
  </r>
  <r>
    <x v="1486"/>
    <x v="972"/>
    <n v="498.5"/>
    <n v="499.5"/>
    <n v="498.2"/>
    <n v="-5.9999999999999995E-4"/>
    <x v="5"/>
  </r>
  <r>
    <x v="1487"/>
    <x v="891"/>
    <n v="498.2"/>
    <n v="499.7"/>
    <n v="498.2"/>
    <n v="5.9999999999999995E-4"/>
    <x v="5"/>
  </r>
  <r>
    <x v="1488"/>
    <x v="972"/>
    <n v="498.3"/>
    <n v="499.7"/>
    <n v="498.2"/>
    <n v="-2.0000000000000001E-4"/>
    <x v="5"/>
  </r>
  <r>
    <x v="1489"/>
    <x v="966"/>
    <n v="498.3"/>
    <n v="499.7"/>
    <n v="498.3"/>
    <n v="0"/>
    <x v="5"/>
  </r>
  <r>
    <x v="1490"/>
    <x v="966"/>
    <n v="498.2"/>
    <n v="499.7"/>
    <n v="498.2"/>
    <n v="-5.9999999999999995E-4"/>
    <x v="5"/>
  </r>
  <r>
    <x v="1491"/>
    <x v="892"/>
    <n v="498.5"/>
    <n v="499.7"/>
    <n v="498.5"/>
    <n v="2.0000000000000001E-4"/>
    <x v="5"/>
  </r>
  <r>
    <x v="1492"/>
    <x v="891"/>
    <n v="498"/>
    <n v="499.7"/>
    <n v="498"/>
    <n v="1E-3"/>
    <x v="5"/>
  </r>
  <r>
    <x v="1493"/>
    <x v="890"/>
    <n v="498.1"/>
    <n v="499.1"/>
    <n v="498"/>
    <n v="-2.0000000000000001E-4"/>
    <x v="5"/>
  </r>
  <r>
    <x v="1494"/>
    <x v="973"/>
    <n v="498.2"/>
    <n v="499.2"/>
    <n v="498.1"/>
    <n v="-2.0000000000000001E-4"/>
    <x v="5"/>
  </r>
  <r>
    <x v="1495"/>
    <x v="972"/>
    <n v="498.3"/>
    <n v="499.3"/>
    <n v="498.2"/>
    <n v="-2.0000000000000001E-4"/>
    <x v="5"/>
  </r>
  <r>
    <x v="1496"/>
    <x v="966"/>
    <n v="498.4"/>
    <n v="499.4"/>
    <n v="498.3"/>
    <n v="-2.0000000000000001E-4"/>
    <x v="5"/>
  </r>
  <r>
    <x v="1497"/>
    <x v="961"/>
    <n v="498.4"/>
    <n v="499.7"/>
    <n v="498.4"/>
    <n v="0"/>
    <x v="5"/>
  </r>
  <r>
    <x v="1498"/>
    <x v="961"/>
    <n v="498.5"/>
    <n v="499.5"/>
    <n v="498.4"/>
    <n v="-2.0000000000000001E-4"/>
    <x v="5"/>
  </r>
  <r>
    <x v="1499"/>
    <x v="891"/>
    <n v="498.6"/>
    <n v="499.6"/>
    <n v="498.5"/>
    <n v="-2.0000000000000001E-4"/>
    <x v="5"/>
  </r>
  <r>
    <x v="1500"/>
    <x v="892"/>
    <n v="498.58"/>
    <n v="499.7"/>
    <n v="498.58"/>
    <n v="0"/>
    <x v="5"/>
  </r>
  <r>
    <x v="1501"/>
    <x v="974"/>
    <n v="498.5"/>
    <n v="499.7"/>
    <n v="498.5"/>
    <n v="2.0000000000000001E-4"/>
    <x v="5"/>
  </r>
  <r>
    <x v="1502"/>
    <x v="891"/>
    <n v="499.5"/>
    <n v="500.5"/>
    <n v="498.5"/>
    <n v="0"/>
    <x v="5"/>
  </r>
  <r>
    <x v="1503"/>
    <x v="891"/>
    <n v="499.5"/>
    <n v="500.5"/>
    <n v="497.2"/>
    <n v="-2E-3"/>
    <x v="5"/>
  </r>
  <r>
    <x v="1504"/>
    <x v="885"/>
    <n v="499.6"/>
    <n v="500.7"/>
    <n v="498.7"/>
    <n v="-2.0000000000000001E-4"/>
    <x v="5"/>
  </r>
  <r>
    <x v="1505"/>
    <x v="897"/>
    <n v="498.4"/>
    <n v="500.7"/>
    <n v="498.4"/>
    <n v="2.3999999999999998E-3"/>
    <x v="5"/>
  </r>
  <r>
    <x v="1506"/>
    <x v="961"/>
    <n v="498.5"/>
    <n v="500.7"/>
    <n v="498.4"/>
    <n v="-2.0000000000000001E-4"/>
    <x v="5"/>
  </r>
  <r>
    <x v="1507"/>
    <x v="891"/>
    <n v="498"/>
    <n v="500.6"/>
    <n v="498"/>
    <n v="1E-3"/>
    <x v="5"/>
  </r>
  <r>
    <x v="1508"/>
    <x v="890"/>
    <n v="498.2"/>
    <n v="499.2"/>
    <n v="498"/>
    <n v="-4.0000000000000002E-4"/>
    <x v="5"/>
  </r>
  <r>
    <x v="1509"/>
    <x v="972"/>
    <n v="500"/>
    <n v="501"/>
    <n v="498.2"/>
    <n v="-3.5999999999999999E-3"/>
    <x v="5"/>
  </r>
  <r>
    <x v="1510"/>
    <x v="970"/>
    <n v="499.2"/>
    <n v="501.2"/>
    <n v="499.2"/>
    <n v="1.6000000000000001E-3"/>
    <x v="5"/>
  </r>
  <r>
    <x v="1511"/>
    <x v="889"/>
    <n v="499.3"/>
    <n v="501.2"/>
    <n v="499.2"/>
    <n v="-2.0000000000000001E-4"/>
    <x v="5"/>
  </r>
  <r>
    <x v="1512"/>
    <x v="895"/>
    <n v="500.3"/>
    <n v="501.3"/>
    <n v="499.3"/>
    <n v="-2.8E-3"/>
    <x v="5"/>
  </r>
  <r>
    <x v="1513"/>
    <x v="967"/>
    <n v="500.5"/>
    <n v="502"/>
    <n v="499.45"/>
    <n v="4.0000000000000002E-4"/>
    <x v="5"/>
  </r>
  <r>
    <x v="1514"/>
    <x v="938"/>
    <n v="498.2"/>
    <n v="503.2"/>
    <n v="498.2"/>
    <n v="4.5999999999999999E-3"/>
    <x v="5"/>
  </r>
  <r>
    <x v="1515"/>
    <x v="972"/>
    <n v="499"/>
    <n v="502.7"/>
    <n v="498.2"/>
    <n v="-1.6000000000000001E-3"/>
    <x v="5"/>
  </r>
  <r>
    <x v="1516"/>
    <x v="894"/>
    <n v="497.2"/>
    <n v="500.1"/>
    <n v="497.2"/>
    <n v="3.5999999999999999E-3"/>
    <x v="5"/>
  </r>
  <r>
    <x v="1517"/>
    <x v="975"/>
    <n v="502.4"/>
    <n v="503.4"/>
    <n v="497.2"/>
    <n v="-1.03E-2"/>
    <x v="5"/>
  </r>
  <r>
    <x v="1518"/>
    <x v="884"/>
    <n v="503.1"/>
    <n v="504.1"/>
    <n v="497.7"/>
    <n v="-1.4E-3"/>
    <x v="5"/>
  </r>
  <r>
    <x v="1519"/>
    <x v="954"/>
    <n v="500"/>
    <n v="504.2"/>
    <n v="500"/>
    <n v="6.1999999999999998E-3"/>
    <x v="5"/>
  </r>
  <r>
    <x v="1520"/>
    <x v="970"/>
    <n v="497.5"/>
    <n v="504.2"/>
    <n v="497.5"/>
    <n v="5.0000000000000001E-3"/>
    <x v="5"/>
  </r>
  <r>
    <x v="1521"/>
    <x v="922"/>
    <n v="499.2"/>
    <n v="501.2"/>
    <n v="497.5"/>
    <n v="-3.3999999999999998E-3"/>
    <x v="5"/>
  </r>
  <r>
    <x v="1522"/>
    <x v="889"/>
    <n v="497.6"/>
    <n v="500.5"/>
    <n v="497.6"/>
    <n v="3.2000000000000002E-3"/>
    <x v="5"/>
  </r>
  <r>
    <x v="1523"/>
    <x v="923"/>
    <n v="497.5"/>
    <n v="498.7"/>
    <n v="497.5"/>
    <n v="2.0000000000000001E-4"/>
    <x v="5"/>
  </r>
  <r>
    <x v="1524"/>
    <x v="922"/>
    <n v="497.5"/>
    <n v="498.7"/>
    <n v="497.5"/>
    <n v="0"/>
    <x v="5"/>
  </r>
  <r>
    <x v="1525"/>
    <x v="922"/>
    <n v="497.6"/>
    <n v="498.7"/>
    <n v="497.5"/>
    <n v="-2.0000000000000001E-4"/>
    <x v="5"/>
  </r>
  <r>
    <x v="1526"/>
    <x v="923"/>
    <n v="497.6"/>
    <n v="498.7"/>
    <n v="497.6"/>
    <n v="0"/>
    <x v="5"/>
  </r>
  <r>
    <x v="1527"/>
    <x v="923"/>
    <n v="497.6"/>
    <n v="498.7"/>
    <n v="497.6"/>
    <n v="0"/>
    <x v="5"/>
  </r>
  <r>
    <x v="1528"/>
    <x v="923"/>
    <n v="497.6"/>
    <n v="498.7"/>
    <n v="497.6"/>
    <n v="0"/>
    <x v="5"/>
  </r>
  <r>
    <x v="1529"/>
    <x v="923"/>
    <n v="497.5"/>
    <n v="498.7"/>
    <n v="497.5"/>
    <n v="2.0000000000000001E-4"/>
    <x v="5"/>
  </r>
  <r>
    <x v="1530"/>
    <x v="922"/>
    <n v="498.7"/>
    <n v="499.7"/>
    <n v="497.5"/>
    <n v="-2.3999999999999998E-3"/>
    <x v="5"/>
  </r>
  <r>
    <x v="1531"/>
    <x v="960"/>
    <n v="498.5"/>
    <n v="499.7"/>
    <n v="497.7"/>
    <n v="4.0000000000000002E-4"/>
    <x v="5"/>
  </r>
  <r>
    <x v="1532"/>
    <x v="891"/>
    <n v="500.4"/>
    <n v="504.2"/>
    <n v="498.5"/>
    <n v="-3.8E-3"/>
    <x v="5"/>
  </r>
  <r>
    <x v="1533"/>
    <x v="976"/>
    <n v="500.5"/>
    <n v="504.2"/>
    <n v="500.4"/>
    <n v="-2.0000000000000001E-4"/>
    <x v="5"/>
  </r>
  <r>
    <x v="1534"/>
    <x v="938"/>
    <n v="500.6"/>
    <n v="501.7"/>
    <n v="499.2"/>
    <n v="-2.0000000000000001E-4"/>
    <x v="5"/>
  </r>
  <r>
    <x v="1535"/>
    <x v="977"/>
    <n v="511.5"/>
    <n v="512.70000000000005"/>
    <n v="497.7"/>
    <n v="-2.1499999999999998E-2"/>
    <x v="5"/>
  </r>
  <r>
    <x v="1536"/>
    <x v="978"/>
    <n v="511.6"/>
    <n v="512.6"/>
    <n v="511.6"/>
    <n v="0"/>
    <x v="5"/>
  </r>
  <r>
    <x v="1537"/>
    <x v="978"/>
    <n v="509.7"/>
    <n v="512.70000000000005"/>
    <n v="509.7"/>
    <n v="3.7000000000000002E-3"/>
    <x v="6"/>
  </r>
  <r>
    <x v="1538"/>
    <x v="979"/>
    <n v="506.5"/>
    <n v="512.70000000000005"/>
    <n v="505.7"/>
    <n v="6.3E-3"/>
    <x v="6"/>
  </r>
  <r>
    <x v="1539"/>
    <x v="864"/>
    <n v="503"/>
    <n v="510.7"/>
    <n v="503"/>
    <n v="6.8999999999999999E-3"/>
    <x v="6"/>
  </r>
  <r>
    <x v="1540"/>
    <x v="882"/>
    <n v="501.2"/>
    <n v="505.7"/>
    <n v="501.2"/>
    <n v="8.2000000000000007E-3"/>
    <x v="6"/>
  </r>
  <r>
    <x v="1541"/>
    <x v="888"/>
    <n v="498.9"/>
    <n v="499.9"/>
    <n v="498.9"/>
    <n v="0"/>
    <x v="6"/>
  </r>
  <r>
    <x v="1542"/>
    <x v="888"/>
    <n v="498.5"/>
    <n v="499.95"/>
    <n v="498.5"/>
    <n v="0"/>
    <x v="6"/>
  </r>
  <r>
    <x v="1543"/>
    <x v="888"/>
    <n v="498.9"/>
    <n v="499.9"/>
    <n v="498.9"/>
    <n v="0"/>
    <x v="6"/>
  </r>
  <r>
    <x v="1544"/>
    <x v="888"/>
    <n v="498.4"/>
    <n v="499.95"/>
    <n v="498.4"/>
    <n v="1E-3"/>
    <x v="6"/>
  </r>
  <r>
    <x v="1545"/>
    <x v="961"/>
    <n v="499.2"/>
    <n v="500.2"/>
    <n v="498.4"/>
    <n v="-1.6000000000000001E-3"/>
    <x v="6"/>
  </r>
  <r>
    <x v="1546"/>
    <x v="889"/>
    <n v="499.2"/>
    <n v="500.45"/>
    <n v="498.95"/>
    <n v="0"/>
    <x v="6"/>
  </r>
  <r>
    <x v="1547"/>
    <x v="889"/>
    <n v="498.5"/>
    <n v="500.25"/>
    <n v="498.5"/>
    <n v="1.4E-3"/>
    <x v="6"/>
  </r>
  <r>
    <x v="1548"/>
    <x v="891"/>
    <n v="498.5"/>
    <n v="500.25"/>
    <n v="498.5"/>
    <n v="0"/>
    <x v="6"/>
  </r>
  <r>
    <x v="1549"/>
    <x v="891"/>
    <n v="498.9"/>
    <n v="499.9"/>
    <n v="498.5"/>
    <n v="-8.0000000000000004E-4"/>
    <x v="6"/>
  </r>
  <r>
    <x v="1550"/>
    <x v="888"/>
    <n v="498.9"/>
    <n v="500.35"/>
    <n v="498.9"/>
    <n v="0"/>
    <x v="6"/>
  </r>
  <r>
    <x v="1551"/>
    <x v="888"/>
    <n v="498.9"/>
    <n v="499.95"/>
    <n v="498.9"/>
    <n v="0"/>
    <x v="6"/>
  </r>
  <r>
    <x v="1552"/>
    <x v="888"/>
    <n v="498.5"/>
    <n v="499.95"/>
    <n v="498.5"/>
    <n v="8.0000000000000004E-4"/>
    <x v="6"/>
  </r>
  <r>
    <x v="1553"/>
    <x v="891"/>
    <n v="498.6"/>
    <n v="499.95"/>
    <n v="498.5"/>
    <n v="-2.0000000000000001E-4"/>
    <x v="6"/>
  </r>
  <r>
    <x v="1554"/>
    <x v="892"/>
    <n v="498.6"/>
    <n v="499.95"/>
    <n v="498.6"/>
    <n v="0"/>
    <x v="6"/>
  </r>
  <r>
    <x v="1555"/>
    <x v="892"/>
    <n v="498.6"/>
    <n v="499.95"/>
    <n v="498.6"/>
    <n v="0"/>
    <x v="6"/>
  </r>
  <r>
    <x v="1556"/>
    <x v="892"/>
    <n v="498.6"/>
    <n v="499.7"/>
    <n v="498.6"/>
    <n v="0"/>
    <x v="6"/>
  </r>
  <r>
    <x v="1557"/>
    <x v="892"/>
    <n v="498.6"/>
    <n v="499.7"/>
    <n v="498.6"/>
    <n v="0"/>
    <x v="6"/>
  </r>
  <r>
    <x v="1558"/>
    <x v="892"/>
    <n v="498.7"/>
    <n v="499.7"/>
    <n v="498.6"/>
    <n v="-2.0000000000000001E-4"/>
    <x v="6"/>
  </r>
  <r>
    <x v="1559"/>
    <x v="960"/>
    <n v="498.7"/>
    <n v="499.7"/>
    <n v="498.7"/>
    <n v="0"/>
    <x v="6"/>
  </r>
  <r>
    <x v="1560"/>
    <x v="960"/>
    <n v="498.5"/>
    <n v="499.7"/>
    <n v="498.5"/>
    <n v="-1.5E-3"/>
    <x v="6"/>
  </r>
  <r>
    <x v="1561"/>
    <x v="953"/>
    <n v="498.6"/>
    <n v="500.45"/>
    <n v="498.5"/>
    <n v="1.6999999999999999E-3"/>
    <x v="6"/>
  </r>
  <r>
    <x v="1562"/>
    <x v="892"/>
    <n v="498.5"/>
    <n v="499.7"/>
    <n v="498.5"/>
    <n v="2.0000000000000001E-4"/>
    <x v="6"/>
  </r>
  <r>
    <x v="1563"/>
    <x v="891"/>
    <n v="498.5"/>
    <n v="499.7"/>
    <n v="498.5"/>
    <n v="0"/>
    <x v="6"/>
  </r>
  <r>
    <x v="1564"/>
    <x v="891"/>
    <n v="498.5"/>
    <n v="499.5"/>
    <n v="498.5"/>
    <n v="0"/>
    <x v="6"/>
  </r>
  <r>
    <x v="1565"/>
    <x v="891"/>
    <n v="498.5"/>
    <n v="499.7"/>
    <n v="498.5"/>
    <n v="0"/>
    <x v="6"/>
  </r>
  <r>
    <x v="1566"/>
    <x v="891"/>
    <n v="498.4"/>
    <n v="499.7"/>
    <n v="498.4"/>
    <n v="2.0000000000000001E-4"/>
    <x v="6"/>
  </r>
  <r>
    <x v="1567"/>
    <x v="961"/>
    <n v="498.5"/>
    <n v="499.5"/>
    <n v="498.4"/>
    <n v="-2.0000000000000001E-4"/>
    <x v="6"/>
  </r>
  <r>
    <x v="1568"/>
    <x v="891"/>
    <n v="498.5"/>
    <n v="499.7"/>
    <n v="498.5"/>
    <n v="0"/>
    <x v="6"/>
  </r>
  <r>
    <x v="1569"/>
    <x v="891"/>
    <n v="498.7"/>
    <n v="499.7"/>
    <n v="498.5"/>
    <n v="-4.0000000000000002E-4"/>
    <x v="6"/>
  </r>
  <r>
    <x v="1570"/>
    <x v="960"/>
    <n v="498.6"/>
    <n v="499.7"/>
    <n v="498.6"/>
    <n v="2.0000000000000001E-4"/>
    <x v="6"/>
  </r>
  <r>
    <x v="1571"/>
    <x v="892"/>
    <n v="498.6"/>
    <n v="499.7"/>
    <n v="498.6"/>
    <n v="0"/>
    <x v="6"/>
  </r>
  <r>
    <x v="1572"/>
    <x v="892"/>
    <n v="498.6"/>
    <n v="499.7"/>
    <n v="498.6"/>
    <n v="0"/>
    <x v="6"/>
  </r>
  <r>
    <x v="1573"/>
    <x v="892"/>
    <n v="498.6"/>
    <n v="499.7"/>
    <n v="498.6"/>
    <n v="0"/>
    <x v="6"/>
  </r>
  <r>
    <x v="1574"/>
    <x v="892"/>
    <n v="498.6"/>
    <n v="499.7"/>
    <n v="498.6"/>
    <n v="0"/>
    <x v="6"/>
  </r>
  <r>
    <x v="1575"/>
    <x v="892"/>
    <n v="498.7"/>
    <n v="500.7"/>
    <n v="498.6"/>
    <n v="-2.0000000000000001E-4"/>
    <x v="6"/>
  </r>
  <r>
    <x v="1576"/>
    <x v="960"/>
    <n v="498.7"/>
    <n v="499.7"/>
    <n v="498.7"/>
    <n v="0"/>
    <x v="6"/>
  </r>
  <r>
    <x v="1577"/>
    <x v="960"/>
    <n v="498.6"/>
    <n v="499.7"/>
    <n v="498.6"/>
    <n v="2.0000000000000001E-4"/>
    <x v="6"/>
  </r>
  <r>
    <x v="1578"/>
    <x v="892"/>
    <n v="498.5"/>
    <n v="499.7"/>
    <n v="498.5"/>
    <n v="2.0000000000000001E-4"/>
    <x v="6"/>
  </r>
  <r>
    <x v="1579"/>
    <x v="891"/>
    <n v="498.2"/>
    <n v="499.7"/>
    <n v="498.2"/>
    <n v="5.9999999999999995E-4"/>
    <x v="6"/>
  </r>
  <r>
    <x v="1580"/>
    <x v="972"/>
    <n v="498.4"/>
    <n v="499.4"/>
    <n v="498.2"/>
    <n v="-4.0000000000000002E-4"/>
    <x v="6"/>
  </r>
  <r>
    <x v="1581"/>
    <x v="961"/>
    <n v="498.4"/>
    <n v="499.4"/>
    <n v="498.4"/>
    <n v="0"/>
    <x v="6"/>
  </r>
  <r>
    <x v="1582"/>
    <x v="961"/>
    <n v="498.5"/>
    <n v="499.5"/>
    <n v="498.4"/>
    <n v="-2.0000000000000001E-4"/>
    <x v="6"/>
  </r>
  <r>
    <x v="1583"/>
    <x v="891"/>
    <n v="498.5"/>
    <n v="499.7"/>
    <n v="498.5"/>
    <n v="0"/>
    <x v="6"/>
  </r>
  <r>
    <x v="1584"/>
    <x v="891"/>
    <n v="498.5"/>
    <n v="499.7"/>
    <n v="498.5"/>
    <n v="0"/>
    <x v="6"/>
  </r>
  <r>
    <x v="1585"/>
    <x v="891"/>
    <n v="498.5"/>
    <n v="499.7"/>
    <n v="498.5"/>
    <n v="0"/>
    <x v="6"/>
  </r>
  <r>
    <x v="1586"/>
    <x v="891"/>
    <n v="498.5"/>
    <n v="499.7"/>
    <n v="498.5"/>
    <n v="0"/>
    <x v="6"/>
  </r>
  <r>
    <x v="1587"/>
    <x v="891"/>
    <n v="498.5"/>
    <n v="499.7"/>
    <n v="498.5"/>
    <n v="0"/>
    <x v="6"/>
  </r>
  <r>
    <x v="1588"/>
    <x v="891"/>
    <n v="498.5"/>
    <n v="499.7"/>
    <n v="498.5"/>
    <n v="0"/>
    <x v="6"/>
  </r>
  <r>
    <x v="1589"/>
    <x v="891"/>
    <n v="498.5"/>
    <n v="499.7"/>
    <n v="498.5"/>
    <n v="0"/>
    <x v="6"/>
  </r>
  <r>
    <x v="1590"/>
    <x v="891"/>
    <n v="498.5"/>
    <n v="499.7"/>
    <n v="498.5"/>
    <n v="0"/>
    <x v="6"/>
  </r>
  <r>
    <x v="1591"/>
    <x v="891"/>
    <n v="498.5"/>
    <n v="499.7"/>
    <n v="498.5"/>
    <n v="0"/>
    <x v="6"/>
  </r>
  <r>
    <x v="1592"/>
    <x v="891"/>
    <n v="498.5"/>
    <n v="499.7"/>
    <n v="498.5"/>
    <n v="0"/>
    <x v="6"/>
  </r>
  <r>
    <x v="1593"/>
    <x v="891"/>
    <n v="498.5"/>
    <n v="499.7"/>
    <n v="498.5"/>
    <n v="0"/>
    <x v="6"/>
  </r>
  <r>
    <x v="1594"/>
    <x v="891"/>
    <n v="498"/>
    <n v="499.7"/>
    <n v="498"/>
    <n v="1E-3"/>
    <x v="6"/>
  </r>
  <r>
    <x v="1595"/>
    <x v="890"/>
    <n v="498"/>
    <n v="499.7"/>
    <n v="498"/>
    <n v="0"/>
    <x v="6"/>
  </r>
  <r>
    <x v="1596"/>
    <x v="890"/>
    <n v="498.5"/>
    <n v="499.5"/>
    <n v="498"/>
    <n v="-1E-3"/>
    <x v="6"/>
  </r>
  <r>
    <x v="1597"/>
    <x v="891"/>
    <n v="498.5"/>
    <n v="500.7"/>
    <n v="498.5"/>
    <n v="0"/>
    <x v="6"/>
  </r>
  <r>
    <x v="1598"/>
    <x v="891"/>
    <n v="498.5"/>
    <n v="499.7"/>
    <n v="498.5"/>
    <n v="0"/>
    <x v="6"/>
  </r>
  <r>
    <x v="1599"/>
    <x v="891"/>
    <n v="498.5"/>
    <n v="499.7"/>
    <n v="498.5"/>
    <n v="0"/>
    <x v="6"/>
  </r>
  <r>
    <x v="1600"/>
    <x v="891"/>
    <n v="498.5"/>
    <n v="499.7"/>
    <n v="498.5"/>
    <n v="0"/>
    <x v="6"/>
  </r>
  <r>
    <x v="1601"/>
    <x v="891"/>
    <n v="498.5"/>
    <n v="499.7"/>
    <n v="498.5"/>
    <n v="0"/>
    <x v="6"/>
  </r>
  <r>
    <x v="1602"/>
    <x v="891"/>
    <n v="498.5"/>
    <n v="499.7"/>
    <n v="498.5"/>
    <n v="0"/>
    <x v="6"/>
  </r>
  <r>
    <x v="1603"/>
    <x v="891"/>
    <n v="498.5"/>
    <n v="499.7"/>
    <n v="498.5"/>
    <n v="0"/>
    <x v="6"/>
  </r>
  <r>
    <x v="1604"/>
    <x v="891"/>
    <n v="498.7"/>
    <n v="499.7"/>
    <n v="498.5"/>
    <n v="-4.0000000000000002E-4"/>
    <x v="6"/>
  </r>
  <r>
    <x v="1605"/>
    <x v="960"/>
    <n v="498.7"/>
    <n v="499.7"/>
    <n v="498.5"/>
    <n v="4.0000000000000002E-4"/>
    <x v="6"/>
  </r>
  <r>
    <x v="1606"/>
    <x v="891"/>
    <n v="498.5"/>
    <n v="499.5"/>
    <n v="498.5"/>
    <n v="0"/>
    <x v="6"/>
  </r>
  <r>
    <x v="1607"/>
    <x v="891"/>
    <n v="498.5"/>
    <n v="499.7"/>
    <n v="498.5"/>
    <n v="0"/>
    <x v="6"/>
  </r>
  <r>
    <x v="1608"/>
    <x v="891"/>
    <n v="498.5"/>
    <n v="499.7"/>
    <n v="498.5"/>
    <n v="0"/>
    <x v="6"/>
  </r>
  <r>
    <x v="1609"/>
    <x v="891"/>
    <n v="498.5"/>
    <n v="499.5"/>
    <n v="498.5"/>
    <n v="0"/>
    <x v="6"/>
  </r>
  <r>
    <x v="1610"/>
    <x v="891"/>
    <n v="498.5"/>
    <n v="499.7"/>
    <n v="498.5"/>
    <n v="0"/>
    <x v="6"/>
  </r>
  <r>
    <x v="1611"/>
    <x v="891"/>
    <n v="498.5"/>
    <n v="499.7"/>
    <n v="498.5"/>
    <n v="0"/>
    <x v="6"/>
  </r>
  <r>
    <x v="1612"/>
    <x v="891"/>
    <n v="498.5"/>
    <n v="499.7"/>
    <n v="498.5"/>
    <n v="0"/>
    <x v="6"/>
  </r>
  <r>
    <x v="1613"/>
    <x v="891"/>
    <n v="498"/>
    <n v="499.7"/>
    <n v="498"/>
    <n v="1E-3"/>
    <x v="6"/>
  </r>
  <r>
    <x v="1614"/>
    <x v="890"/>
    <n v="498.5"/>
    <n v="499.7"/>
    <n v="498"/>
    <n v="-1E-3"/>
    <x v="6"/>
  </r>
  <r>
    <x v="1615"/>
    <x v="891"/>
    <n v="498.5"/>
    <n v="499.7"/>
    <n v="498.5"/>
    <n v="0"/>
    <x v="6"/>
  </r>
  <r>
    <x v="1616"/>
    <x v="891"/>
    <n v="501.7"/>
    <n v="502.7"/>
    <n v="498.5"/>
    <n v="-6.4000000000000003E-3"/>
    <x v="6"/>
  </r>
  <r>
    <x v="1617"/>
    <x v="980"/>
    <n v="498.5"/>
    <n v="502.7"/>
    <n v="498.5"/>
    <n v="6.4000000000000003E-3"/>
    <x v="6"/>
  </r>
  <r>
    <x v="1618"/>
    <x v="891"/>
    <n v="498.5"/>
    <n v="499.7"/>
    <n v="498.5"/>
    <n v="0"/>
    <x v="6"/>
  </r>
  <r>
    <x v="1619"/>
    <x v="891"/>
    <n v="498.7"/>
    <n v="499.7"/>
    <n v="498.5"/>
    <n v="0"/>
    <x v="6"/>
  </r>
  <r>
    <x v="1620"/>
    <x v="891"/>
    <n v="498.5"/>
    <n v="499.7"/>
    <n v="498.5"/>
    <n v="0"/>
    <x v="6"/>
  </r>
  <r>
    <x v="1621"/>
    <x v="891"/>
    <n v="498.7"/>
    <n v="499.7"/>
    <n v="498.5"/>
    <n v="-4.0000000000000002E-4"/>
    <x v="6"/>
  </r>
  <r>
    <x v="1622"/>
    <x v="960"/>
    <n v="498.5"/>
    <n v="499.7"/>
    <n v="498.5"/>
    <n v="4.0000000000000002E-4"/>
    <x v="6"/>
  </r>
  <r>
    <x v="1623"/>
    <x v="891"/>
    <n v="498.5"/>
    <n v="499.7"/>
    <n v="498.5"/>
    <n v="0"/>
    <x v="6"/>
  </r>
  <r>
    <x v="1624"/>
    <x v="891"/>
    <n v="498.5"/>
    <n v="499.7"/>
    <n v="498.5"/>
    <n v="0"/>
    <x v="6"/>
  </r>
  <r>
    <x v="1625"/>
    <x v="891"/>
    <n v="498.5"/>
    <n v="499.7"/>
    <n v="498.5"/>
    <n v="0"/>
    <x v="6"/>
  </r>
  <r>
    <x v="1626"/>
    <x v="891"/>
    <n v="498"/>
    <n v="499.7"/>
    <n v="498"/>
    <n v="1E-3"/>
    <x v="6"/>
  </r>
  <r>
    <x v="1627"/>
    <x v="890"/>
    <n v="498.5"/>
    <n v="499.7"/>
    <n v="498"/>
    <n v="-1E-3"/>
    <x v="6"/>
  </r>
  <r>
    <x v="1628"/>
    <x v="891"/>
    <n v="498.6"/>
    <n v="499.7"/>
    <n v="498.5"/>
    <n v="-2.0000000000000001E-4"/>
    <x v="6"/>
  </r>
  <r>
    <x v="1629"/>
    <x v="892"/>
    <n v="498.7"/>
    <n v="499.7"/>
    <n v="498.6"/>
    <n v="-2.0000000000000001E-4"/>
    <x v="6"/>
  </r>
  <r>
    <x v="1630"/>
    <x v="960"/>
    <n v="498.5"/>
    <n v="499.7"/>
    <n v="498.5"/>
    <n v="4.0000000000000002E-4"/>
    <x v="6"/>
  </r>
  <r>
    <x v="1631"/>
    <x v="891"/>
    <n v="498.6"/>
    <n v="499.7"/>
    <n v="498.5"/>
    <n v="-2.0000000000000001E-4"/>
    <x v="6"/>
  </r>
  <r>
    <x v="1632"/>
    <x v="892"/>
    <n v="498.5"/>
    <n v="499.7"/>
    <n v="498.5"/>
    <n v="2.0000000000000001E-4"/>
    <x v="6"/>
  </r>
  <r>
    <x v="1633"/>
    <x v="891"/>
    <n v="498.5"/>
    <n v="499.7"/>
    <n v="498.5"/>
    <n v="0"/>
    <x v="6"/>
  </r>
  <r>
    <x v="1634"/>
    <x v="891"/>
    <n v="498.4"/>
    <n v="499.7"/>
    <n v="498.4"/>
    <n v="2.0000000000000001E-4"/>
    <x v="6"/>
  </r>
  <r>
    <x v="1635"/>
    <x v="961"/>
    <n v="498.5"/>
    <n v="499.7"/>
    <n v="498.4"/>
    <n v="-2.0000000000000001E-4"/>
    <x v="6"/>
  </r>
  <r>
    <x v="1636"/>
    <x v="891"/>
    <n v="498.6"/>
    <n v="499.7"/>
    <n v="498.5"/>
    <n v="-2.0000000000000001E-4"/>
    <x v="6"/>
  </r>
  <r>
    <x v="1637"/>
    <x v="892"/>
    <n v="498"/>
    <n v="499.7"/>
    <n v="498"/>
    <n v="1.1999999999999999E-3"/>
    <x v="6"/>
  </r>
  <r>
    <x v="1638"/>
    <x v="890"/>
    <n v="498.5"/>
    <n v="499.7"/>
    <n v="498"/>
    <n v="-1E-3"/>
    <x v="6"/>
  </r>
  <r>
    <x v="1639"/>
    <x v="891"/>
    <n v="500.5"/>
    <n v="501.5"/>
    <n v="498.5"/>
    <n v="-4.0000000000000001E-3"/>
    <x v="6"/>
  </r>
  <r>
    <x v="1640"/>
    <x v="938"/>
    <n v="500.6"/>
    <n v="501.7"/>
    <n v="498.7"/>
    <n v="-2.0000000000000001E-4"/>
    <x v="6"/>
  </r>
  <r>
    <x v="1641"/>
    <x v="977"/>
    <n v="500.7"/>
    <n v="501.7"/>
    <n v="500.6"/>
    <n v="5.1999999999999998E-3"/>
    <x v="6"/>
  </r>
  <r>
    <x v="1642"/>
    <x v="890"/>
    <n v="498"/>
    <n v="501.7"/>
    <n v="498"/>
    <n v="0"/>
    <x v="6"/>
  </r>
  <r>
    <x v="1643"/>
    <x v="890"/>
    <n v="498"/>
    <n v="499.7"/>
    <n v="498"/>
    <n v="0"/>
    <x v="6"/>
  </r>
  <r>
    <x v="1644"/>
    <x v="890"/>
    <n v="498.4"/>
    <n v="499.7"/>
    <n v="498"/>
    <n v="-8.0000000000000004E-4"/>
    <x v="6"/>
  </r>
  <r>
    <x v="1645"/>
    <x v="961"/>
    <n v="498.5"/>
    <n v="499.7"/>
    <n v="498.4"/>
    <n v="-2.0000000000000001E-4"/>
    <x v="6"/>
  </r>
  <r>
    <x v="1646"/>
    <x v="891"/>
    <n v="499"/>
    <n v="500"/>
    <n v="498.5"/>
    <n v="-2.8999999999999998E-3"/>
    <x v="6"/>
  </r>
  <r>
    <x v="1647"/>
    <x v="981"/>
    <n v="498.7"/>
    <n v="500.95"/>
    <n v="498.7"/>
    <n v="1E-3"/>
    <x v="6"/>
  </r>
  <r>
    <x v="1648"/>
    <x v="953"/>
    <n v="498.6"/>
    <n v="502.45"/>
    <n v="498.6"/>
    <n v="1.6999999999999999E-3"/>
    <x v="6"/>
  </r>
  <r>
    <x v="1649"/>
    <x v="892"/>
    <n v="498.6"/>
    <n v="502.7"/>
    <n v="498.6"/>
    <n v="0"/>
    <x v="6"/>
  </r>
  <r>
    <x v="1650"/>
    <x v="892"/>
    <n v="498.6"/>
    <n v="502.7"/>
    <n v="498.6"/>
    <n v="0"/>
    <x v="6"/>
  </r>
  <r>
    <x v="1651"/>
    <x v="892"/>
    <n v="498.6"/>
    <n v="502.7"/>
    <n v="498.6"/>
    <n v="0"/>
    <x v="6"/>
  </r>
  <r>
    <x v="1652"/>
    <x v="892"/>
    <n v="498.6"/>
    <n v="501.7"/>
    <n v="498.6"/>
    <n v="0"/>
    <x v="6"/>
  </r>
  <r>
    <x v="1653"/>
    <x v="892"/>
    <n v="498.6"/>
    <n v="500.7"/>
    <n v="498.6"/>
    <n v="0"/>
    <x v="6"/>
  </r>
  <r>
    <x v="1654"/>
    <x v="892"/>
    <n v="498.6"/>
    <n v="499.7"/>
    <n v="498.6"/>
    <n v="0"/>
    <x v="6"/>
  </r>
  <r>
    <x v="1655"/>
    <x v="892"/>
    <n v="498.6"/>
    <n v="499.7"/>
    <n v="498.6"/>
    <n v="0"/>
    <x v="6"/>
  </r>
  <r>
    <x v="1656"/>
    <x v="892"/>
    <n v="498.6"/>
    <n v="499.7"/>
    <n v="498.6"/>
    <n v="0"/>
    <x v="6"/>
  </r>
  <r>
    <x v="1657"/>
    <x v="892"/>
    <n v="498.6"/>
    <n v="499.7"/>
    <n v="498.6"/>
    <n v="0"/>
    <x v="6"/>
  </r>
  <r>
    <x v="1658"/>
    <x v="892"/>
    <n v="498.5"/>
    <n v="499.7"/>
    <n v="498.5"/>
    <n v="2.0000000000000001E-4"/>
    <x v="6"/>
  </r>
  <r>
    <x v="1659"/>
    <x v="891"/>
    <n v="503.05"/>
    <n v="504.05"/>
    <n v="498.5"/>
    <n v="-8.9999999999999993E-3"/>
    <x v="6"/>
  </r>
  <r>
    <x v="1660"/>
    <x v="982"/>
    <n v="503.1"/>
    <n v="504.1"/>
    <n v="498.7"/>
    <n v="-1E-4"/>
    <x v="6"/>
  </r>
  <r>
    <x v="1661"/>
    <x v="954"/>
    <n v="503.6"/>
    <n v="505.2"/>
    <n v="498.7"/>
    <n v="-1E-3"/>
    <x v="6"/>
  </r>
  <r>
    <x v="1662"/>
    <x v="940"/>
    <n v="502.5"/>
    <n v="505.2"/>
    <n v="502.5"/>
    <n v="2.2000000000000001E-3"/>
    <x v="6"/>
  </r>
  <r>
    <x v="1663"/>
    <x v="955"/>
    <n v="498.6"/>
    <n v="503.7"/>
    <n v="498.6"/>
    <n v="7.7999999999999996E-3"/>
    <x v="6"/>
  </r>
  <r>
    <x v="1664"/>
    <x v="892"/>
    <n v="498.6"/>
    <n v="503.7"/>
    <n v="498.6"/>
    <n v="0"/>
    <x v="6"/>
  </r>
  <r>
    <x v="1665"/>
    <x v="892"/>
    <n v="498.7"/>
    <n v="499.7"/>
    <n v="498.6"/>
    <n v="-2.0000000000000001E-4"/>
    <x v="6"/>
  </r>
  <r>
    <x v="1666"/>
    <x v="960"/>
    <n v="498.7"/>
    <n v="499.7"/>
    <n v="498.7"/>
    <n v="0"/>
    <x v="6"/>
  </r>
  <r>
    <x v="1667"/>
    <x v="960"/>
    <n v="498.7"/>
    <n v="499.7"/>
    <n v="498.7"/>
    <n v="0"/>
    <x v="6"/>
  </r>
  <r>
    <x v="1668"/>
    <x v="960"/>
    <n v="498.5"/>
    <n v="499.7"/>
    <n v="498.5"/>
    <n v="4.0000000000000002E-4"/>
    <x v="6"/>
  </r>
  <r>
    <x v="1669"/>
    <x v="891"/>
    <n v="498.5"/>
    <n v="499.7"/>
    <n v="498.5"/>
    <n v="0"/>
    <x v="6"/>
  </r>
  <r>
    <x v="1670"/>
    <x v="891"/>
    <n v="498.5"/>
    <n v="499.7"/>
    <n v="498.5"/>
    <n v="0"/>
    <x v="6"/>
  </r>
  <r>
    <x v="1671"/>
    <x v="891"/>
    <n v="498.6"/>
    <n v="499.7"/>
    <n v="498.5"/>
    <n v="-2.0000000000000001E-4"/>
    <x v="6"/>
  </r>
  <r>
    <x v="1672"/>
    <x v="892"/>
    <n v="498.1"/>
    <n v="499.7"/>
    <n v="498.05"/>
    <n v="1E-3"/>
    <x v="6"/>
  </r>
  <r>
    <x v="1673"/>
    <x v="973"/>
    <n v="498.1"/>
    <n v="499.2"/>
    <n v="498.1"/>
    <n v="0"/>
    <x v="6"/>
  </r>
  <r>
    <x v="1674"/>
    <x v="973"/>
    <n v="498.1"/>
    <n v="499.2"/>
    <n v="498.1"/>
    <n v="0"/>
    <x v="6"/>
  </r>
  <r>
    <x v="1675"/>
    <x v="973"/>
    <n v="497.2"/>
    <n v="499.2"/>
    <n v="497.2"/>
    <n v="-5.9999999999999995E-4"/>
    <x v="6"/>
  </r>
  <r>
    <x v="1676"/>
    <x v="961"/>
    <n v="497"/>
    <n v="499.7"/>
    <n v="497"/>
    <n v="2.8E-3"/>
    <x v="6"/>
  </r>
  <r>
    <x v="1677"/>
    <x v="916"/>
    <n v="497"/>
    <n v="499.7"/>
    <n v="497"/>
    <n v="0"/>
    <x v="6"/>
  </r>
  <r>
    <x v="1678"/>
    <x v="916"/>
    <n v="497"/>
    <n v="498.2"/>
    <n v="497"/>
    <n v="0"/>
    <x v="6"/>
  </r>
  <r>
    <x v="1679"/>
    <x v="916"/>
    <n v="500.6"/>
    <n v="501.6"/>
    <n v="497"/>
    <n v="-7.1999999999999998E-3"/>
    <x v="6"/>
  </r>
  <r>
    <x v="1680"/>
    <x v="977"/>
    <n v="500.6"/>
    <n v="501.7"/>
    <n v="497.2"/>
    <n v="0"/>
    <x v="6"/>
  </r>
  <r>
    <x v="1681"/>
    <x v="977"/>
    <n v="502.1"/>
    <n v="503.1"/>
    <n v="500.6"/>
    <n v="-3.0000000000000001E-3"/>
    <x v="6"/>
  </r>
  <r>
    <x v="1682"/>
    <x v="883"/>
    <n v="502.1"/>
    <n v="503.2"/>
    <n v="500.7"/>
    <n v="0"/>
    <x v="6"/>
  </r>
  <r>
    <x v="1683"/>
    <x v="883"/>
    <n v="503.6"/>
    <n v="504.6"/>
    <n v="502.1"/>
    <n v="-1.6999999999999999E-3"/>
    <x v="6"/>
  </r>
  <r>
    <x v="1684"/>
    <x v="983"/>
    <n v="503.5"/>
    <n v="505.45"/>
    <n v="502.2"/>
    <n v="-1.1000000000000001E-3"/>
    <x v="6"/>
  </r>
  <r>
    <x v="1685"/>
    <x v="927"/>
    <n v="500.5"/>
    <n v="504.7"/>
    <n v="500.5"/>
    <n v="6.0000000000000001E-3"/>
    <x v="6"/>
  </r>
  <r>
    <x v="1686"/>
    <x v="938"/>
    <n v="500.6"/>
    <n v="504.7"/>
    <n v="500.5"/>
    <n v="-2.0000000000000001E-4"/>
    <x v="6"/>
  </r>
  <r>
    <x v="1687"/>
    <x v="977"/>
    <n v="500.6"/>
    <n v="503.7"/>
    <n v="500.6"/>
    <n v="0"/>
    <x v="6"/>
  </r>
  <r>
    <x v="1688"/>
    <x v="977"/>
    <n v="500.7"/>
    <n v="501.7"/>
    <n v="500.6"/>
    <n v="-2.0000000000000001E-4"/>
    <x v="6"/>
  </r>
  <r>
    <x v="1689"/>
    <x v="967"/>
    <n v="499.4"/>
    <n v="501.7"/>
    <n v="499.4"/>
    <n v="2.5999999999999999E-3"/>
    <x v="6"/>
  </r>
  <r>
    <x v="1690"/>
    <x v="896"/>
    <n v="501.5"/>
    <n v="502.5"/>
    <n v="499.4"/>
    <n v="-4.1999999999999997E-3"/>
    <x v="6"/>
  </r>
  <r>
    <x v="1691"/>
    <x v="984"/>
    <n v="504.1"/>
    <n v="505.1"/>
    <n v="499.7"/>
    <n v="-5.1000000000000004E-3"/>
    <x v="6"/>
  </r>
  <r>
    <x v="1692"/>
    <x v="932"/>
    <n v="504.1"/>
    <n v="505.2"/>
    <n v="504.1"/>
    <n v="0"/>
    <x v="6"/>
  </r>
  <r>
    <x v="1693"/>
    <x v="932"/>
    <n v="504.1"/>
    <n v="505.2"/>
    <n v="504.1"/>
    <n v="0"/>
    <x v="6"/>
  </r>
  <r>
    <x v="1694"/>
    <x v="932"/>
    <n v="501.6"/>
    <n v="505.2"/>
    <n v="501.6"/>
    <n v="5.0000000000000001E-3"/>
    <x v="6"/>
  </r>
  <r>
    <x v="1695"/>
    <x v="985"/>
    <n v="503.2"/>
    <n v="504.2"/>
    <n v="501.6"/>
    <n v="-3.2000000000000002E-3"/>
    <x v="6"/>
  </r>
  <r>
    <x v="1696"/>
    <x v="986"/>
    <n v="501.6"/>
    <n v="504.2"/>
    <n v="501.6"/>
    <n v="3.2000000000000002E-3"/>
    <x v="6"/>
  </r>
  <r>
    <x v="1697"/>
    <x v="985"/>
    <n v="501.6"/>
    <n v="504.2"/>
    <n v="501.6"/>
    <n v="0"/>
    <x v="6"/>
  </r>
  <r>
    <x v="1698"/>
    <x v="985"/>
    <n v="501.6"/>
    <n v="504.2"/>
    <n v="501.6"/>
    <n v="0"/>
    <x v="6"/>
  </r>
  <r>
    <x v="1699"/>
    <x v="985"/>
    <n v="502.6"/>
    <n v="503.6"/>
    <n v="501.6"/>
    <n v="-2E-3"/>
    <x v="6"/>
  </r>
  <r>
    <x v="1700"/>
    <x v="957"/>
    <n v="502.6"/>
    <n v="505.2"/>
    <n v="501.7"/>
    <n v="0"/>
    <x v="6"/>
  </r>
  <r>
    <x v="1701"/>
    <x v="957"/>
    <n v="502.6"/>
    <n v="505.2"/>
    <n v="502.6"/>
    <n v="0"/>
    <x v="6"/>
  </r>
  <r>
    <x v="1702"/>
    <x v="957"/>
    <n v="502.6"/>
    <n v="503.7"/>
    <n v="502.6"/>
    <n v="0"/>
    <x v="6"/>
  </r>
  <r>
    <x v="1703"/>
    <x v="957"/>
    <n v="502.7"/>
    <n v="503.7"/>
    <n v="502.6"/>
    <n v="-2.0000000000000001E-4"/>
    <x v="6"/>
  </r>
  <r>
    <x v="1704"/>
    <x v="987"/>
    <n v="509"/>
    <n v="510"/>
    <n v="502.7"/>
    <n v="-1.24E-2"/>
    <x v="6"/>
  </r>
  <r>
    <x v="1705"/>
    <x v="877"/>
    <n v="507.6"/>
    <n v="510.2"/>
    <n v="502.7"/>
    <n v="2.8E-3"/>
    <x v="6"/>
  </r>
  <r>
    <x v="1706"/>
    <x v="988"/>
    <n v="506.1"/>
    <n v="508.7"/>
    <n v="505.7"/>
    <n v="3.0000000000000001E-3"/>
    <x v="6"/>
  </r>
  <r>
    <x v="1707"/>
    <x v="935"/>
    <n v="506.5"/>
    <n v="509.2"/>
    <n v="506.1"/>
    <n v="-8.0000000000000004E-4"/>
    <x v="6"/>
  </r>
  <r>
    <x v="1708"/>
    <x v="864"/>
    <n v="506.7"/>
    <n v="509.2"/>
    <n v="505.7"/>
    <n v="-4.0000000000000002E-4"/>
    <x v="6"/>
  </r>
  <r>
    <x v="1709"/>
    <x v="865"/>
    <n v="503.7"/>
    <n v="507.7"/>
    <n v="503.7"/>
    <n v="5.8999999999999999E-3"/>
    <x v="6"/>
  </r>
  <r>
    <x v="1710"/>
    <x v="929"/>
    <n v="503.7"/>
    <n v="504.7"/>
    <n v="503.7"/>
    <n v="0"/>
    <x v="6"/>
  </r>
  <r>
    <x v="1711"/>
    <x v="929"/>
    <n v="503.5"/>
    <n v="504.7"/>
    <n v="503.5"/>
    <n v="4.0000000000000002E-4"/>
    <x v="6"/>
  </r>
  <r>
    <x v="1712"/>
    <x v="927"/>
    <n v="503.6"/>
    <n v="504.7"/>
    <n v="503.5"/>
    <n v="-2.0000000000000001E-4"/>
    <x v="6"/>
  </r>
  <r>
    <x v="1713"/>
    <x v="940"/>
    <n v="503.7"/>
    <n v="504.7"/>
    <n v="503.6"/>
    <n v="-2.0000000000000001E-4"/>
    <x v="6"/>
  </r>
  <r>
    <x v="1714"/>
    <x v="929"/>
    <n v="504.7"/>
    <n v="505.7"/>
    <n v="503.7"/>
    <n v="-2E-3"/>
    <x v="6"/>
  </r>
  <r>
    <x v="1715"/>
    <x v="989"/>
    <n v="504.6"/>
    <n v="505.7"/>
    <n v="503.7"/>
    <n v="2.0000000000000001E-4"/>
    <x v="6"/>
  </r>
  <r>
    <x v="1716"/>
    <x v="990"/>
    <n v="500.7"/>
    <n v="505.7"/>
    <n v="500.7"/>
    <n v="7.7999999999999996E-3"/>
    <x v="6"/>
  </r>
  <r>
    <x v="1717"/>
    <x v="967"/>
    <n v="500.7"/>
    <n v="502.7"/>
    <n v="500.7"/>
    <n v="-1.5E-3"/>
    <x v="6"/>
  </r>
  <r>
    <x v="1718"/>
    <x v="991"/>
    <n v="502.6"/>
    <n v="504.45"/>
    <n v="500.7"/>
    <n v="-2.3E-3"/>
    <x v="6"/>
  </r>
  <r>
    <x v="1719"/>
    <x v="957"/>
    <n v="501"/>
    <n v="503.7"/>
    <n v="501"/>
    <n v="3.2000000000000002E-3"/>
    <x v="6"/>
  </r>
  <r>
    <x v="1720"/>
    <x v="992"/>
    <n v="503.6"/>
    <n v="504.7"/>
    <n v="501"/>
    <n v="-5.1999999999999998E-3"/>
    <x v="6"/>
  </r>
  <r>
    <x v="1721"/>
    <x v="940"/>
    <n v="503.6"/>
    <n v="504.7"/>
    <n v="503.6"/>
    <n v="0"/>
    <x v="6"/>
  </r>
  <r>
    <x v="1722"/>
    <x v="940"/>
    <n v="503.6"/>
    <n v="504.7"/>
    <n v="503.6"/>
    <n v="0"/>
    <x v="6"/>
  </r>
  <r>
    <x v="1723"/>
    <x v="940"/>
    <n v="506.6"/>
    <n v="507.6"/>
    <n v="503.6"/>
    <n v="-5.8999999999999999E-3"/>
    <x v="6"/>
  </r>
  <r>
    <x v="1724"/>
    <x v="993"/>
    <n v="506.6"/>
    <n v="507.7"/>
    <n v="503.7"/>
    <n v="0"/>
    <x v="6"/>
  </r>
  <r>
    <x v="1725"/>
    <x v="993"/>
    <n v="507.6"/>
    <n v="508.6"/>
    <n v="506.6"/>
    <n v="-2E-3"/>
    <x v="6"/>
  </r>
  <r>
    <x v="1726"/>
    <x v="988"/>
    <n v="504.6"/>
    <n v="508.7"/>
    <n v="504.6"/>
    <n v="5.8999999999999999E-3"/>
    <x v="6"/>
  </r>
  <r>
    <x v="1727"/>
    <x v="990"/>
    <n v="504.5"/>
    <n v="505.7"/>
    <n v="504.5"/>
    <n v="2.0000000000000001E-4"/>
    <x v="6"/>
  </r>
  <r>
    <x v="1728"/>
    <x v="994"/>
    <n v="504.5"/>
    <n v="505.7"/>
    <n v="504.5"/>
    <n v="0"/>
    <x v="6"/>
  </r>
  <r>
    <x v="1729"/>
    <x v="994"/>
    <n v="506"/>
    <n v="507.4"/>
    <n v="504.5"/>
    <n v="-3.0000000000000001E-3"/>
    <x v="6"/>
  </r>
  <r>
    <x v="1730"/>
    <x v="936"/>
    <n v="506.6"/>
    <n v="507.6"/>
    <n v="504.2"/>
    <n v="-1.1999999999999999E-3"/>
    <x v="6"/>
  </r>
  <r>
    <x v="1731"/>
    <x v="993"/>
    <n v="505"/>
    <n v="507.7"/>
    <n v="503.2"/>
    <n v="3.2000000000000002E-3"/>
    <x v="6"/>
  </r>
  <r>
    <x v="1732"/>
    <x v="995"/>
    <n v="505"/>
    <n v="506"/>
    <n v="503.2"/>
    <n v="-2.0000000000000001E-4"/>
    <x v="6"/>
  </r>
  <r>
    <x v="1733"/>
    <x v="939"/>
    <n v="502.6"/>
    <n v="506.2"/>
    <n v="502.6"/>
    <n v="5.0000000000000001E-3"/>
    <x v="6"/>
  </r>
  <r>
    <x v="1734"/>
    <x v="957"/>
    <n v="505"/>
    <n v="506.2"/>
    <n v="502.6"/>
    <n v="-4.7000000000000002E-3"/>
    <x v="6"/>
  </r>
  <r>
    <x v="1735"/>
    <x v="995"/>
    <n v="509.2"/>
    <n v="510.2"/>
    <n v="502.7"/>
    <n v="2.8E-3"/>
    <x v="6"/>
  </r>
  <r>
    <x v="1736"/>
    <x v="940"/>
    <n v="503.5"/>
    <n v="506.2"/>
    <n v="503.5"/>
    <n v="2.0000000000000001E-4"/>
    <x v="6"/>
  </r>
  <r>
    <x v="1737"/>
    <x v="927"/>
    <n v="504.7"/>
    <n v="505.7"/>
    <n v="503.5"/>
    <n v="-2.3999999999999998E-3"/>
    <x v="6"/>
  </r>
  <r>
    <x v="1738"/>
    <x v="989"/>
    <n v="509.2"/>
    <n v="510.2"/>
    <n v="503.7"/>
    <n v="-8.8000000000000005E-3"/>
    <x v="6"/>
  </r>
  <r>
    <x v="1739"/>
    <x v="879"/>
    <n v="508"/>
    <n v="510.2"/>
    <n v="504.7"/>
    <n v="2.3999999999999998E-3"/>
    <x v="6"/>
  </r>
  <r>
    <x v="1740"/>
    <x v="996"/>
    <n v="505.5"/>
    <n v="509.2"/>
    <n v="505.5"/>
    <n v="4.8999999999999998E-3"/>
    <x v="6"/>
  </r>
  <r>
    <x v="1741"/>
    <x v="997"/>
    <n v="505.5"/>
    <n v="509.2"/>
    <n v="505.5"/>
    <n v="0"/>
    <x v="6"/>
  </r>
  <r>
    <x v="1742"/>
    <x v="997"/>
    <n v="506.6"/>
    <n v="507.6"/>
    <n v="504.7"/>
    <n v="-2.2000000000000001E-3"/>
    <x v="6"/>
  </r>
  <r>
    <x v="1743"/>
    <x v="993"/>
    <n v="506.6"/>
    <n v="507.7"/>
    <n v="504.7"/>
    <n v="0"/>
    <x v="6"/>
  </r>
  <r>
    <x v="1744"/>
    <x v="993"/>
    <n v="506.05"/>
    <n v="507.7"/>
    <n v="506.05"/>
    <n v="1.1000000000000001E-3"/>
    <x v="6"/>
  </r>
  <r>
    <x v="1745"/>
    <x v="998"/>
    <n v="506.1"/>
    <n v="507.1"/>
    <n v="506.05"/>
    <n v="-1E-4"/>
    <x v="6"/>
  </r>
  <r>
    <x v="1746"/>
    <x v="935"/>
    <n v="509"/>
    <n v="510"/>
    <n v="506.1"/>
    <n v="-5.7000000000000002E-3"/>
    <x v="6"/>
  </r>
  <r>
    <x v="1747"/>
    <x v="877"/>
    <n v="509.05"/>
    <n v="510.2"/>
    <n v="506.2"/>
    <n v="-1E-4"/>
    <x v="6"/>
  </r>
  <r>
    <x v="1748"/>
    <x v="878"/>
    <n v="509.1"/>
    <n v="510.2"/>
    <n v="509.05"/>
    <n v="-1E-4"/>
    <x v="6"/>
  </r>
  <r>
    <x v="1749"/>
    <x v="999"/>
    <n v="511.6"/>
    <n v="512.6"/>
    <n v="509.1"/>
    <n v="-4.8999999999999998E-3"/>
    <x v="6"/>
  </r>
  <r>
    <x v="1750"/>
    <x v="978"/>
    <n v="511.6"/>
    <n v="512.70000000000005"/>
    <n v="511.6"/>
    <n v="0"/>
    <x v="6"/>
  </r>
  <r>
    <x v="1751"/>
    <x v="978"/>
    <n v="511.6"/>
    <n v="512.70000000000005"/>
    <n v="511.6"/>
    <n v="0"/>
    <x v="6"/>
  </r>
  <r>
    <x v="1752"/>
    <x v="978"/>
    <n v="511.7"/>
    <n v="512.70000000000005"/>
    <n v="511.6"/>
    <n v="-2.0000000000000001E-4"/>
    <x v="6"/>
  </r>
  <r>
    <x v="1753"/>
    <x v="947"/>
    <n v="511.6"/>
    <n v="512.70000000000005"/>
    <n v="511.6"/>
    <n v="2.0000000000000001E-4"/>
    <x v="6"/>
  </r>
  <r>
    <x v="1754"/>
    <x v="978"/>
    <n v="511.6"/>
    <n v="512.70000000000005"/>
    <n v="511.6"/>
    <n v="0"/>
    <x v="6"/>
  </r>
  <r>
    <x v="1755"/>
    <x v="978"/>
    <n v="511.7"/>
    <n v="512.70000000000005"/>
    <n v="511.6"/>
    <n v="-2.0000000000000001E-4"/>
    <x v="6"/>
  </r>
  <r>
    <x v="1756"/>
    <x v="947"/>
    <n v="511.65"/>
    <n v="512.70000000000005"/>
    <n v="511.65"/>
    <n v="1E-4"/>
    <x v="6"/>
  </r>
  <r>
    <x v="1757"/>
    <x v="1000"/>
    <n v="511.6"/>
    <n v="512.70000000000005"/>
    <n v="511.6"/>
    <n v="1E-4"/>
    <x v="6"/>
  </r>
  <r>
    <x v="1758"/>
    <x v="978"/>
    <n v="511.7"/>
    <n v="512.70000000000005"/>
    <n v="511.6"/>
    <n v="-2.0000000000000001E-4"/>
    <x v="6"/>
  </r>
  <r>
    <x v="1759"/>
    <x v="947"/>
    <n v="511.6"/>
    <n v="512.70000000000005"/>
    <n v="511.6"/>
    <n v="2.0000000000000001E-4"/>
    <x v="6"/>
  </r>
  <r>
    <x v="1760"/>
    <x v="978"/>
    <n v="509.2"/>
    <n v="512.70000000000005"/>
    <n v="509.2"/>
    <n v="4.7000000000000002E-3"/>
    <x v="6"/>
  </r>
  <r>
    <x v="1761"/>
    <x v="879"/>
    <n v="508.2"/>
    <n v="512.70000000000005"/>
    <n v="508.2"/>
    <n v="2E-3"/>
    <x v="6"/>
  </r>
  <r>
    <x v="1762"/>
    <x v="872"/>
    <n v="508"/>
    <n v="510.2"/>
    <n v="508"/>
    <n v="-1.5E-3"/>
    <x v="6"/>
  </r>
  <r>
    <x v="1763"/>
    <x v="1001"/>
    <n v="508.1"/>
    <n v="509.95"/>
    <n v="508"/>
    <n v="1.6999999999999999E-3"/>
    <x v="6"/>
  </r>
  <r>
    <x v="1764"/>
    <x v="1002"/>
    <n v="508.1"/>
    <n v="509.2"/>
    <n v="508.1"/>
    <n v="0"/>
    <x v="6"/>
  </r>
  <r>
    <x v="1765"/>
    <x v="1002"/>
    <n v="508.1"/>
    <n v="509.2"/>
    <n v="508.1"/>
    <n v="0"/>
    <x v="6"/>
  </r>
  <r>
    <x v="1766"/>
    <x v="1002"/>
    <n v="506.7"/>
    <n v="509.7"/>
    <n v="506.7"/>
    <n v="-1.1999999999999999E-3"/>
    <x v="6"/>
  </r>
  <r>
    <x v="1767"/>
    <x v="1003"/>
    <n v="508.7"/>
    <n v="509.7"/>
    <n v="506.7"/>
    <n v="-1.5E-3"/>
    <x v="6"/>
  </r>
  <r>
    <x v="1768"/>
    <x v="1004"/>
    <n v="508.7"/>
    <n v="512.25"/>
    <n v="508.7"/>
    <n v="-2.0999999999999999E-3"/>
    <x v="6"/>
  </r>
  <r>
    <x v="1769"/>
    <x v="1005"/>
    <n v="510.7"/>
    <n v="511.7"/>
    <n v="508.7"/>
    <n v="-4.0000000000000002E-4"/>
    <x v="6"/>
  </r>
  <r>
    <x v="1770"/>
    <x v="1006"/>
    <n v="507.05"/>
    <n v="511.7"/>
    <n v="507.05"/>
    <n v="-1.5E-3"/>
    <x v="6"/>
  </r>
  <r>
    <x v="1771"/>
    <x v="1007"/>
    <n v="507.1"/>
    <n v="512.45000000000005"/>
    <n v="507.05"/>
    <n v="8.6E-3"/>
    <x v="6"/>
  </r>
  <r>
    <x v="1772"/>
    <x v="1008"/>
    <n v="509.05"/>
    <n v="510.05"/>
    <n v="507.1"/>
    <n v="-3.8E-3"/>
    <x v="6"/>
  </r>
  <r>
    <x v="1773"/>
    <x v="878"/>
    <n v="512.6"/>
    <n v="513.6"/>
    <n v="507.2"/>
    <n v="-6.8999999999999999E-3"/>
    <x v="6"/>
  </r>
  <r>
    <x v="1774"/>
    <x v="1009"/>
    <n v="507.6"/>
    <n v="513.70000000000005"/>
    <n v="507.6"/>
    <n v="9.7999999999999997E-3"/>
    <x v="6"/>
  </r>
  <r>
    <x v="1775"/>
    <x v="988"/>
    <n v="507.7"/>
    <n v="513.70000000000005"/>
    <n v="505.15"/>
    <n v="4.7999999999999996E-3"/>
    <x v="6"/>
  </r>
  <r>
    <x v="1776"/>
    <x v="1010"/>
    <n v="505.1"/>
    <n v="508.7"/>
    <n v="505.1"/>
    <n v="1E-4"/>
    <x v="6"/>
  </r>
  <r>
    <x v="1777"/>
    <x v="939"/>
    <n v="502.1"/>
    <n v="506.2"/>
    <n v="502.1"/>
    <n v="6.0000000000000001E-3"/>
    <x v="6"/>
  </r>
  <r>
    <x v="1778"/>
    <x v="883"/>
    <n v="508.6"/>
    <n v="509.6"/>
    <n v="502.1"/>
    <n v="-1.2800000000000001E-2"/>
    <x v="6"/>
  </r>
  <r>
    <x v="1779"/>
    <x v="875"/>
    <n v="511.7"/>
    <n v="512.70000000000005"/>
    <n v="502.2"/>
    <n v="-6.0000000000000001E-3"/>
    <x v="6"/>
  </r>
  <r>
    <x v="1780"/>
    <x v="947"/>
    <n v="507.2"/>
    <n v="512.70000000000005"/>
    <n v="507.2"/>
    <n v="8.8999999999999999E-3"/>
    <x v="6"/>
  </r>
  <r>
    <x v="1781"/>
    <x v="1011"/>
    <n v="507.1"/>
    <n v="512.70000000000005"/>
    <n v="507.1"/>
    <n v="2.0000000000000001E-4"/>
    <x v="6"/>
  </r>
  <r>
    <x v="1782"/>
    <x v="1008"/>
    <n v="506.1"/>
    <n v="508.2"/>
    <n v="506.1"/>
    <n v="1.8E-3"/>
    <x v="6"/>
  </r>
  <r>
    <x v="1783"/>
    <x v="952"/>
    <n v="506.1"/>
    <n v="508.2"/>
    <n v="506.1"/>
    <n v="2.0000000000000001E-4"/>
    <x v="6"/>
  </r>
  <r>
    <x v="1784"/>
    <x v="935"/>
    <n v="503.6"/>
    <n v="507.2"/>
    <n v="503.6"/>
    <n v="5.0000000000000001E-3"/>
    <x v="6"/>
  </r>
  <r>
    <x v="1785"/>
    <x v="940"/>
    <n v="503.6"/>
    <n v="507.2"/>
    <n v="503.6"/>
    <n v="0"/>
    <x v="6"/>
  </r>
  <r>
    <x v="1786"/>
    <x v="940"/>
    <n v="503.6"/>
    <n v="504.7"/>
    <n v="503.6"/>
    <n v="0"/>
    <x v="6"/>
  </r>
  <r>
    <x v="1787"/>
    <x v="940"/>
    <n v="503.7"/>
    <n v="504.7"/>
    <n v="503.6"/>
    <n v="-2.0000000000000001E-4"/>
    <x v="6"/>
  </r>
  <r>
    <x v="1788"/>
    <x v="929"/>
    <n v="508.1"/>
    <n v="509.1"/>
    <n v="503.7"/>
    <n v="-8.6E-3"/>
    <x v="6"/>
  </r>
  <r>
    <x v="1789"/>
    <x v="1002"/>
    <n v="508.2"/>
    <n v="509.2"/>
    <n v="503.7"/>
    <n v="-2.0000000000000001E-4"/>
    <x v="6"/>
  </r>
  <r>
    <x v="1790"/>
    <x v="872"/>
    <n v="508.2"/>
    <n v="509.2"/>
    <n v="508.2"/>
    <n v="0"/>
    <x v="6"/>
  </r>
  <r>
    <x v="1791"/>
    <x v="872"/>
    <n v="510.6"/>
    <n v="511.6"/>
    <n v="508.2"/>
    <n v="-4.7000000000000002E-3"/>
    <x v="6"/>
  </r>
  <r>
    <x v="1792"/>
    <x v="1012"/>
    <n v="512.1"/>
    <n v="513.1"/>
    <n v="508.2"/>
    <n v="-2.8999999999999998E-3"/>
    <x v="6"/>
  </r>
  <r>
    <x v="1793"/>
    <x v="1013"/>
    <n v="510.6"/>
    <n v="513.20000000000005"/>
    <n v="510.6"/>
    <n v="2.7000000000000001E-3"/>
    <x v="6"/>
  </r>
  <r>
    <x v="1794"/>
    <x v="1006"/>
    <n v="508.2"/>
    <n v="511.7"/>
    <n v="508.2"/>
    <n v="4.8999999999999998E-3"/>
    <x v="6"/>
  </r>
  <r>
    <x v="1795"/>
    <x v="872"/>
    <n v="504.7"/>
    <n v="509.2"/>
    <n v="504.7"/>
    <n v="6.8999999999999999E-3"/>
    <x v="6"/>
  </r>
  <r>
    <x v="1796"/>
    <x v="989"/>
    <n v="504.7"/>
    <n v="505.7"/>
    <n v="504.7"/>
    <n v="0"/>
    <x v="6"/>
  </r>
  <r>
    <x v="1797"/>
    <x v="989"/>
    <n v="504.7"/>
    <n v="505.7"/>
    <n v="504.7"/>
    <n v="0"/>
    <x v="6"/>
  </r>
  <r>
    <x v="1798"/>
    <x v="989"/>
    <n v="501.7"/>
    <n v="505.7"/>
    <n v="501.7"/>
    <n v="6.0000000000000001E-3"/>
    <x v="7"/>
  </r>
  <r>
    <x v="1799"/>
    <x v="980"/>
    <n v="501.7"/>
    <n v="505.7"/>
    <n v="501.7"/>
    <n v="0"/>
    <x v="7"/>
  </r>
  <r>
    <x v="1800"/>
    <x v="980"/>
    <n v="501.7"/>
    <n v="502.7"/>
    <n v="501.7"/>
    <n v="0"/>
    <x v="7"/>
  </r>
  <r>
    <x v="1801"/>
    <x v="980"/>
    <n v="503.65"/>
    <n v="504.65"/>
    <n v="501.7"/>
    <n v="-3.8999999999999998E-3"/>
    <x v="7"/>
  </r>
  <r>
    <x v="1802"/>
    <x v="1014"/>
    <n v="503.65"/>
    <n v="504.65"/>
    <n v="503.65"/>
    <n v="-1E-4"/>
    <x v="7"/>
  </r>
  <r>
    <x v="1803"/>
    <x v="929"/>
    <n v="501.2"/>
    <n v="504.7"/>
    <n v="501.2"/>
    <n v="5.0000000000000001E-3"/>
    <x v="7"/>
  </r>
  <r>
    <x v="1804"/>
    <x v="1015"/>
    <n v="501.1"/>
    <n v="504.7"/>
    <n v="501.1"/>
    <n v="2.0000000000000001E-4"/>
    <x v="7"/>
  </r>
  <r>
    <x v="1805"/>
    <x v="1016"/>
    <n v="499.2"/>
    <n v="502.2"/>
    <n v="499.2"/>
    <n v="3.8E-3"/>
    <x v="7"/>
  </r>
  <r>
    <x v="1806"/>
    <x v="889"/>
    <n v="497.1"/>
    <n v="502.2"/>
    <n v="497.1"/>
    <n v="4.1999999999999997E-3"/>
    <x v="7"/>
  </r>
  <r>
    <x v="1807"/>
    <x v="1017"/>
    <n v="497.1"/>
    <n v="500.2"/>
    <n v="497.1"/>
    <n v="0"/>
    <x v="7"/>
  </r>
  <r>
    <x v="1808"/>
    <x v="1017"/>
    <n v="503.2"/>
    <n v="504.2"/>
    <n v="497.1"/>
    <n v="-1.21E-2"/>
    <x v="7"/>
  </r>
  <r>
    <x v="1809"/>
    <x v="986"/>
    <n v="503.1"/>
    <n v="504.2"/>
    <n v="497.2"/>
    <n v="2.0000000000000001E-4"/>
    <x v="7"/>
  </r>
  <r>
    <x v="1810"/>
    <x v="954"/>
    <n v="499.7"/>
    <n v="504.2"/>
    <n v="499.6"/>
    <n v="6.7999999999999996E-3"/>
    <x v="7"/>
  </r>
  <r>
    <x v="1811"/>
    <x v="886"/>
    <n v="499.6"/>
    <n v="500.7"/>
    <n v="499.6"/>
    <n v="2.0000000000000001E-4"/>
    <x v="7"/>
  </r>
  <r>
    <x v="1812"/>
    <x v="897"/>
    <n v="501.6"/>
    <n v="502.6"/>
    <n v="499.6"/>
    <n v="-4.0000000000000001E-3"/>
    <x v="7"/>
  </r>
  <r>
    <x v="1813"/>
    <x v="985"/>
    <n v="501.7"/>
    <n v="502.7"/>
    <n v="499.7"/>
    <n v="-2.0000000000000001E-4"/>
    <x v="7"/>
  </r>
  <r>
    <x v="1814"/>
    <x v="980"/>
    <n v="499.7"/>
    <n v="502.7"/>
    <n v="499.7"/>
    <n v="4.0000000000000001E-3"/>
    <x v="7"/>
  </r>
  <r>
    <x v="1815"/>
    <x v="886"/>
    <n v="499.3"/>
    <n v="502.7"/>
    <n v="499.3"/>
    <n v="8.0000000000000004E-4"/>
    <x v="7"/>
  </r>
  <r>
    <x v="1816"/>
    <x v="895"/>
    <n v="499.4"/>
    <n v="500.7"/>
    <n v="499.3"/>
    <n v="-2.0000000000000001E-4"/>
    <x v="7"/>
  </r>
  <r>
    <x v="1817"/>
    <x v="896"/>
    <n v="499.5"/>
    <n v="500.5"/>
    <n v="499.4"/>
    <n v="-2.0000000000000001E-4"/>
    <x v="7"/>
  </r>
  <r>
    <x v="1818"/>
    <x v="885"/>
    <n v="499.65"/>
    <n v="500.7"/>
    <n v="499.5"/>
    <n v="-2.9999999999999997E-4"/>
    <x v="7"/>
  </r>
  <r>
    <x v="1819"/>
    <x v="899"/>
    <n v="497.7"/>
    <n v="500.7"/>
    <n v="497.7"/>
    <n v="3.8999999999999998E-3"/>
    <x v="7"/>
  </r>
  <r>
    <x v="1820"/>
    <x v="1018"/>
    <n v="497.5"/>
    <n v="500.7"/>
    <n v="497.5"/>
    <n v="4.0000000000000002E-4"/>
    <x v="7"/>
  </r>
  <r>
    <x v="1821"/>
    <x v="922"/>
    <n v="497.65"/>
    <n v="498.7"/>
    <n v="497.5"/>
    <n v="-2.9999999999999997E-4"/>
    <x v="7"/>
  </r>
  <r>
    <x v="1822"/>
    <x v="1019"/>
    <n v="497.6"/>
    <n v="498.7"/>
    <n v="497.6"/>
    <n v="1E-4"/>
    <x v="7"/>
  </r>
  <r>
    <x v="1823"/>
    <x v="923"/>
    <n v="499.7"/>
    <n v="500.7"/>
    <n v="497.6"/>
    <n v="-4.1999999999999997E-3"/>
    <x v="7"/>
  </r>
  <r>
    <x v="1824"/>
    <x v="886"/>
    <n v="499.7"/>
    <n v="500.7"/>
    <n v="499.7"/>
    <n v="0"/>
    <x v="7"/>
  </r>
  <r>
    <x v="1825"/>
    <x v="886"/>
    <n v="499.7"/>
    <n v="500.7"/>
    <n v="497.7"/>
    <n v="0"/>
    <x v="7"/>
  </r>
  <r>
    <x v="1826"/>
    <x v="886"/>
    <n v="499.7"/>
    <n v="500.7"/>
    <n v="497.7"/>
    <n v="0"/>
    <x v="7"/>
  </r>
  <r>
    <x v="1827"/>
    <x v="886"/>
    <n v="501.2"/>
    <n v="502.2"/>
    <n v="499.7"/>
    <n v="-3.0000000000000001E-3"/>
    <x v="7"/>
  </r>
  <r>
    <x v="1828"/>
    <x v="1015"/>
    <n v="503.6"/>
    <n v="504.6"/>
    <n v="499.7"/>
    <n v="-4.7999999999999996E-3"/>
    <x v="7"/>
  </r>
  <r>
    <x v="1829"/>
    <x v="940"/>
    <n v="503.7"/>
    <n v="504.7"/>
    <n v="501.2"/>
    <n v="-2.0000000000000001E-4"/>
    <x v="7"/>
  </r>
  <r>
    <x v="1830"/>
    <x v="929"/>
    <n v="502.7"/>
    <n v="504.7"/>
    <n v="502.7"/>
    <n v="2E-3"/>
    <x v="7"/>
  </r>
  <r>
    <x v="1831"/>
    <x v="987"/>
    <n v="504.6"/>
    <n v="505.6"/>
    <n v="502.7"/>
    <n v="-3.8E-3"/>
    <x v="7"/>
  </r>
  <r>
    <x v="1832"/>
    <x v="990"/>
    <n v="507.6"/>
    <n v="508.6"/>
    <n v="502.7"/>
    <n v="-5.8999999999999999E-3"/>
    <x v="7"/>
  </r>
  <r>
    <x v="1833"/>
    <x v="988"/>
    <n v="509.7"/>
    <n v="510.7"/>
    <n v="504.7"/>
    <n v="-4.1000000000000003E-3"/>
    <x v="7"/>
  </r>
  <r>
    <x v="1834"/>
    <x v="979"/>
    <n v="509.7"/>
    <n v="510.7"/>
    <n v="507.7"/>
    <n v="0"/>
    <x v="7"/>
  </r>
  <r>
    <x v="1835"/>
    <x v="979"/>
    <n v="508.1"/>
    <n v="510.7"/>
    <n v="508.1"/>
    <n v="3.0999999999999999E-3"/>
    <x v="7"/>
  </r>
  <r>
    <x v="1836"/>
    <x v="1002"/>
    <n v="509"/>
    <n v="510.7"/>
    <n v="508.1"/>
    <n v="-1.8E-3"/>
    <x v="7"/>
  </r>
  <r>
    <x v="1837"/>
    <x v="877"/>
    <n v="512"/>
    <n v="513"/>
    <n v="508.2"/>
    <n v="-5.7999999999999996E-3"/>
    <x v="7"/>
  </r>
  <r>
    <x v="1838"/>
    <x v="1020"/>
    <n v="510.6"/>
    <n v="513.70000000000005"/>
    <n v="509.7"/>
    <n v="2.7000000000000001E-3"/>
    <x v="7"/>
  </r>
  <r>
    <x v="1839"/>
    <x v="1012"/>
    <n v="510.6"/>
    <n v="513.70000000000005"/>
    <n v="510.6"/>
    <n v="0"/>
    <x v="7"/>
  </r>
  <r>
    <x v="1840"/>
    <x v="1012"/>
    <n v="511.7"/>
    <n v="512.70000000000005"/>
    <n v="510.6"/>
    <n v="-2.0999999999999999E-3"/>
    <x v="7"/>
  </r>
  <r>
    <x v="1841"/>
    <x v="947"/>
    <n v="511.7"/>
    <n v="512.70000000000005"/>
    <n v="510.7"/>
    <n v="0"/>
    <x v="7"/>
  </r>
  <r>
    <x v="1842"/>
    <x v="947"/>
    <n v="505.6"/>
    <n v="512.70000000000005"/>
    <n v="505.6"/>
    <n v="1.2E-2"/>
    <x v="7"/>
  </r>
  <r>
    <x v="1843"/>
    <x v="941"/>
    <n v="505.7"/>
    <n v="506.7"/>
    <n v="505.6"/>
    <n v="-2.0000000000000001E-4"/>
    <x v="7"/>
  </r>
  <r>
    <x v="1844"/>
    <x v="1021"/>
    <n v="505.6"/>
    <n v="506.7"/>
    <n v="505.6"/>
    <n v="2.0000000000000001E-4"/>
    <x v="7"/>
  </r>
  <r>
    <x v="1845"/>
    <x v="941"/>
    <n v="509.7"/>
    <n v="510.7"/>
    <n v="505.6"/>
    <n v="-8.0000000000000002E-3"/>
    <x v="7"/>
  </r>
  <r>
    <x v="1846"/>
    <x v="979"/>
    <n v="509.7"/>
    <n v="510.7"/>
    <n v="505.7"/>
    <n v="0"/>
    <x v="7"/>
  </r>
  <r>
    <x v="1847"/>
    <x v="979"/>
    <n v="509.6"/>
    <n v="510.7"/>
    <n v="509.6"/>
    <n v="2.0000000000000001E-4"/>
    <x v="7"/>
  </r>
  <r>
    <x v="1848"/>
    <x v="1022"/>
    <n v="509.6"/>
    <n v="510.7"/>
    <n v="509.6"/>
    <n v="0"/>
    <x v="7"/>
  </r>
  <r>
    <x v="1849"/>
    <x v="1022"/>
    <n v="509.5"/>
    <n v="510.7"/>
    <n v="509.5"/>
    <n v="2.0000000000000001E-4"/>
    <x v="7"/>
  </r>
  <r>
    <x v="1850"/>
    <x v="881"/>
    <n v="509.5"/>
    <n v="510.7"/>
    <n v="509.5"/>
    <n v="0"/>
    <x v="7"/>
  </r>
  <r>
    <x v="1851"/>
    <x v="881"/>
    <n v="509.5"/>
    <n v="510.5"/>
    <n v="509.5"/>
    <n v="0"/>
    <x v="7"/>
  </r>
  <r>
    <x v="1852"/>
    <x v="881"/>
    <n v="509.6"/>
    <n v="510.6"/>
    <n v="509.5"/>
    <n v="-2.0000000000000001E-4"/>
    <x v="7"/>
  </r>
  <r>
    <x v="1853"/>
    <x v="1022"/>
    <n v="509.6"/>
    <n v="510.7"/>
    <n v="509.6"/>
    <n v="0"/>
    <x v="7"/>
  </r>
  <r>
    <x v="1854"/>
    <x v="1022"/>
    <n v="511.7"/>
    <n v="512.70000000000005"/>
    <n v="509.6"/>
    <n v="-4.1000000000000003E-3"/>
    <x v="7"/>
  </r>
  <r>
    <x v="1855"/>
    <x v="947"/>
    <n v="517"/>
    <n v="518"/>
    <n v="509.7"/>
    <n v="-2.3999999999999998E-3"/>
    <x v="7"/>
  </r>
  <r>
    <x v="1856"/>
    <x v="1023"/>
    <n v="517.20000000000005"/>
    <n v="519.45000000000005"/>
    <n v="511.7"/>
    <n v="-8.2000000000000007E-3"/>
    <x v="7"/>
  </r>
  <r>
    <x v="1857"/>
    <x v="1024"/>
    <n v="517.20000000000005"/>
    <n v="518.20000000000005"/>
    <n v="517.20000000000005"/>
    <n v="5.0000000000000001E-3"/>
    <x v="7"/>
  </r>
  <r>
    <x v="1858"/>
    <x v="1025"/>
    <n v="514.70000000000005"/>
    <n v="518.20000000000005"/>
    <n v="514.6"/>
    <n v="-2.0000000000000001E-4"/>
    <x v="7"/>
  </r>
  <r>
    <x v="1859"/>
    <x v="1026"/>
    <n v="512.20000000000005"/>
    <n v="518.20000000000005"/>
    <n v="512.20000000000005"/>
    <n v="4.8999999999999998E-3"/>
    <x v="7"/>
  </r>
  <r>
    <x v="1860"/>
    <x v="1027"/>
    <n v="512.20000000000005"/>
    <n v="515.70000000000005"/>
    <n v="512.20000000000005"/>
    <n v="0"/>
    <x v="7"/>
  </r>
  <r>
    <x v="1861"/>
    <x v="1027"/>
    <n v="509.6"/>
    <n v="513.20000000000005"/>
    <n v="509.6"/>
    <n v="5.1000000000000004E-3"/>
    <x v="7"/>
  </r>
  <r>
    <x v="1862"/>
    <x v="1022"/>
    <n v="507.7"/>
    <n v="513.20000000000005"/>
    <n v="507.6"/>
    <n v="3.7000000000000002E-3"/>
    <x v="7"/>
  </r>
  <r>
    <x v="1863"/>
    <x v="869"/>
    <n v="507.7"/>
    <n v="508.7"/>
    <n v="507.7"/>
    <n v="0"/>
    <x v="7"/>
  </r>
  <r>
    <x v="1864"/>
    <x v="869"/>
    <n v="507.6"/>
    <n v="508.7"/>
    <n v="507.6"/>
    <n v="2.0000000000000001E-4"/>
    <x v="7"/>
  </r>
  <r>
    <x v="1865"/>
    <x v="988"/>
    <n v="510.6"/>
    <n v="511.6"/>
    <n v="507.6"/>
    <n v="-5.8999999999999999E-3"/>
    <x v="7"/>
  </r>
  <r>
    <x v="1866"/>
    <x v="1012"/>
    <n v="508.7"/>
    <n v="511.7"/>
    <n v="507.7"/>
    <n v="3.7000000000000002E-3"/>
    <x v="7"/>
  </r>
  <r>
    <x v="1867"/>
    <x v="1003"/>
    <n v="508.7"/>
    <n v="511.7"/>
    <n v="508.7"/>
    <n v="-2.3999999999999998E-3"/>
    <x v="7"/>
  </r>
  <r>
    <x v="1868"/>
    <x v="1028"/>
    <n v="504.6"/>
    <n v="510.95"/>
    <n v="504.4"/>
    <n v="1.06E-2"/>
    <x v="7"/>
  </r>
  <r>
    <x v="1869"/>
    <x v="990"/>
    <n v="500.6"/>
    <n v="508.7"/>
    <n v="500.6"/>
    <n v="8.0000000000000002E-3"/>
    <x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x v="0"/>
    <x v="0"/>
    <n v="11408"/>
    <n v="12193"/>
    <n v="10899"/>
    <n v="11960"/>
  </r>
  <r>
    <x v="1"/>
    <x v="1"/>
    <n v="3340"/>
    <n v="3720"/>
    <n v="4020"/>
    <n v="4580"/>
  </r>
  <r>
    <x v="2"/>
    <x v="2"/>
    <n v="71254"/>
    <n v="65283"/>
    <n v="57557"/>
    <n v="53800"/>
  </r>
  <r>
    <x v="3"/>
    <x v="3"/>
    <n v="4220"/>
    <n v="4320"/>
    <n v="4240"/>
    <n v="4280"/>
  </r>
  <r>
    <x v="4"/>
    <x v="4"/>
    <n v="12404"/>
    <n v="13047"/>
    <n v="12495"/>
    <n v="12302"/>
  </r>
  <r>
    <x v="5"/>
    <x v="5"/>
    <n v="1470"/>
    <n v="1550"/>
    <n v="1620"/>
    <n v="1840"/>
  </r>
  <r>
    <x v="6"/>
    <x v="6"/>
    <n v="1580"/>
    <n v="1520"/>
    <n v="1520"/>
    <n v="1550"/>
  </r>
  <r>
    <x v="7"/>
    <x v="7"/>
    <n v="4830"/>
    <n v="5860"/>
    <n v="5550"/>
    <n v="5690"/>
  </r>
  <r>
    <x v="8"/>
    <x v="8"/>
    <n v="954"/>
    <n v="998"/>
    <n v="990"/>
    <n v="990"/>
  </r>
  <r>
    <x v="9"/>
    <x v="9"/>
    <n v="2861"/>
    <n v="3004"/>
    <n v="2900"/>
    <n v="3180"/>
  </r>
  <r>
    <x v="10"/>
    <x v="10"/>
    <n v="1540"/>
    <n v="1700"/>
    <n v="1680"/>
    <n v="1760"/>
  </r>
  <r>
    <x v="11"/>
    <x v="11"/>
    <n v="36600"/>
    <n v="39600"/>
    <n v="40600"/>
    <n v="41810"/>
  </r>
  <r>
    <x v="12"/>
    <x v="12"/>
    <n v="640"/>
    <n v="740"/>
    <n v="810"/>
    <n v="870"/>
  </r>
  <r>
    <x v="13"/>
    <x v="13"/>
    <n v="2031"/>
    <n v="1845"/>
    <n v="1865"/>
    <n v="1910"/>
  </r>
  <r>
    <x v="14"/>
    <x v="14"/>
    <n v="1030"/>
    <n v="1250"/>
    <n v="1300"/>
    <n v="1360"/>
  </r>
  <r>
    <x v="15"/>
    <x v="15"/>
    <n v="11058"/>
    <n v="10764"/>
    <n v="10441"/>
    <n v="10368"/>
  </r>
  <r>
    <x v="16"/>
    <x v="16"/>
    <n v="580"/>
    <n v="510"/>
    <n v="460"/>
    <n v="510"/>
  </r>
  <r>
    <x v="17"/>
    <x v="17"/>
    <n v="5018"/>
    <n v="5181"/>
    <n v="5171"/>
    <n v="5254"/>
  </r>
  <r>
    <x v="18"/>
    <x v="18"/>
    <n v="830"/>
    <n v="860"/>
    <n v="920"/>
    <n v="940"/>
  </r>
  <r>
    <x v="19"/>
    <x v="19"/>
    <n v="7940"/>
    <n v="8210"/>
    <n v="8100"/>
    <n v="8150"/>
  </r>
  <r>
    <x v="20"/>
    <x v="20"/>
    <n v="1162"/>
    <n v="999"/>
    <n v="1009"/>
    <n v="926"/>
  </r>
  <r>
    <x v="21"/>
    <x v="21"/>
    <n v="182750"/>
    <n v="183154"/>
    <n v="174147"/>
    <n v="17403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x v="0"/>
    <n v="11688"/>
    <n v="11274"/>
    <n v="12125"/>
    <n v="10827"/>
    <n v="12124"/>
  </r>
  <r>
    <x v="1"/>
    <n v="3270"/>
    <n v="3560"/>
    <n v="4050"/>
    <n v="4470"/>
    <n v="4750"/>
  </r>
  <r>
    <x v="2"/>
    <n v="70966"/>
    <n v="71703"/>
    <n v="65316"/>
    <n v="57784"/>
    <n v="54170"/>
  </r>
  <r>
    <x v="3"/>
    <n v="5430"/>
    <n v="5300"/>
    <n v="5570"/>
    <n v="5430"/>
    <n v="5380"/>
  </r>
  <r>
    <x v="4"/>
    <n v="10866"/>
    <n v="11970"/>
    <n v="12807"/>
    <n v="12101"/>
    <n v="11983"/>
  </r>
  <r>
    <x v="5"/>
    <n v="1400"/>
    <n v="1380"/>
    <n v="1410"/>
    <n v="1450"/>
    <n v="1560"/>
  </r>
  <r>
    <x v="6"/>
    <n v="1450"/>
    <n v="1440"/>
    <n v="1430"/>
    <n v="1420"/>
    <n v="1470"/>
  </r>
  <r>
    <x v="7"/>
    <n v="6600"/>
    <n v="6516"/>
    <n v="5848"/>
    <n v="5430"/>
    <n v="5560"/>
  </r>
  <r>
    <x v="8"/>
    <n v="1029"/>
    <n v="941"/>
    <n v="945"/>
    <n v="956"/>
    <n v="1034"/>
  </r>
  <r>
    <x v="9"/>
    <n v="2769"/>
    <n v="2874"/>
    <n v="2954"/>
    <n v="3000"/>
    <n v="3240"/>
  </r>
  <r>
    <x v="10"/>
    <n v="1500"/>
    <n v="1470"/>
    <n v="1590"/>
    <n v="1680"/>
    <n v="1760"/>
  </r>
  <r>
    <x v="11"/>
    <n v="33700"/>
    <n v="35900"/>
    <n v="39100"/>
    <n v="40100"/>
    <n v="40870"/>
  </r>
  <r>
    <x v="12"/>
    <n v="760"/>
    <n v="740"/>
    <n v="760"/>
    <n v="820"/>
    <n v="870"/>
  </r>
  <r>
    <x v="13"/>
    <n v="2184"/>
    <n v="2033"/>
    <n v="1848"/>
    <n v="1903"/>
    <n v="1960"/>
  </r>
  <r>
    <x v="14"/>
    <n v="1390"/>
    <n v="1490"/>
    <n v="1520"/>
    <n v="1590"/>
    <n v="1610"/>
  </r>
  <r>
    <x v="15"/>
    <n v="11027"/>
    <n v="11220"/>
    <n v="10850"/>
    <n v="10499"/>
    <n v="10555"/>
  </r>
  <r>
    <x v="16"/>
    <n v="680"/>
    <n v="640"/>
    <n v="580"/>
    <n v="520"/>
    <n v="480"/>
  </r>
  <r>
    <x v="17"/>
    <n v="3000"/>
    <n v="3740"/>
    <n v="3970"/>
    <n v="4247"/>
    <n v="4183"/>
  </r>
  <r>
    <x v="18"/>
    <n v="910"/>
    <n v="810"/>
    <n v="800"/>
    <n v="850"/>
    <n v="880"/>
  </r>
  <r>
    <x v="19"/>
    <n v="8610"/>
    <n v="7910"/>
    <n v="8140"/>
    <n v="8030"/>
    <n v="8080"/>
  </r>
  <r>
    <x v="20"/>
    <n v="6000"/>
    <n v="6550"/>
    <n v="6770"/>
    <n v="6880"/>
    <n v="6950"/>
  </r>
  <r>
    <x v="21"/>
    <n v="185229"/>
    <n v="189461"/>
    <n v="188382"/>
    <n v="179987"/>
    <n v="17946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s v="Ventas netas"/>
    <x v="0"/>
    <n v="993323"/>
  </r>
  <r>
    <x v="0"/>
    <s v="Flujo de operación (Op, EBITDA)"/>
    <x v="0"/>
    <n v="363"/>
  </r>
  <r>
    <x v="0"/>
    <s v="Margen flujo de operación"/>
    <x v="0"/>
    <n v="0.36499999999999999"/>
  </r>
  <r>
    <x v="1"/>
    <s v="Ventas netas"/>
    <x v="0"/>
    <n v="315244"/>
  </r>
  <r>
    <x v="1"/>
    <s v="Flujo de operación (Op, EBITDA)"/>
    <x v="0"/>
    <n v="140"/>
  </r>
  <r>
    <x v="1"/>
    <s v="Margen flujo de operación"/>
    <x v="0"/>
    <n v="0.443"/>
  </r>
  <r>
    <x v="2"/>
    <s v="Ventas netas"/>
    <x v="0"/>
    <n v="152503"/>
  </r>
  <r>
    <x v="2"/>
    <s v="Flujo de operación (Op, EBITDA)"/>
    <x v="0"/>
    <n v="69"/>
  </r>
  <r>
    <x v="2"/>
    <s v="Margen flujo de operación"/>
    <x v="0"/>
    <n v="0.45400000000000001"/>
  </r>
  <r>
    <x v="3"/>
    <s v="Ventas netas"/>
    <x v="0"/>
    <n v="263640"/>
  </r>
  <r>
    <x v="3"/>
    <s v="Flujo de operación (Op, EBITDA)"/>
    <x v="0"/>
    <n v="78"/>
  </r>
  <r>
    <x v="3"/>
    <s v="Margen flujo de operación"/>
    <x v="0"/>
    <n v="0.28299999999999997"/>
  </r>
  <r>
    <x v="0"/>
    <s v="Ventas netas"/>
    <x v="1"/>
    <n v="724709"/>
  </r>
  <r>
    <x v="0"/>
    <s v="Flujo de operación (Op, EBITDA)"/>
    <x v="1"/>
    <n v="248"/>
  </r>
  <r>
    <x v="0"/>
    <s v="Margen flujo de operación"/>
    <x v="1"/>
    <n v="0.34200000000000003"/>
  </r>
  <r>
    <x v="1"/>
    <s v="Ventas netas"/>
    <x v="1"/>
    <n v="284527"/>
  </r>
  <r>
    <x v="1"/>
    <s v="Flujo de operación (Op, EBITDA)"/>
    <x v="1"/>
    <n v="117"/>
  </r>
  <r>
    <x v="1"/>
    <s v="Margen flujo de operación"/>
    <x v="1"/>
    <n v="0.41199999999999998"/>
  </r>
  <r>
    <x v="2"/>
    <s v="Ventas netas"/>
    <x v="1"/>
    <n v="166931"/>
  </r>
  <r>
    <x v="2"/>
    <s v="Flujo de operación (Op, EBITDA)"/>
    <x v="1"/>
    <n v="69"/>
  </r>
  <r>
    <x v="2"/>
    <s v="Margen flujo de operación"/>
    <x v="1"/>
    <n v="0.41299999999999998"/>
  </r>
  <r>
    <x v="3"/>
    <s v="Ventas netas"/>
    <x v="1"/>
    <n v="250891"/>
  </r>
  <r>
    <x v="3"/>
    <s v="Flujo de operación (Op, EBITDA)"/>
    <x v="1"/>
    <n v="73"/>
  </r>
  <r>
    <x v="3"/>
    <s v="Margen flujo de operación"/>
    <x v="1"/>
    <n v="0.27100000000000002"/>
  </r>
  <r>
    <x v="0"/>
    <s v="Ventas netas"/>
    <x v="2"/>
    <n v="665072"/>
  </r>
  <r>
    <x v="0"/>
    <s v="Flujo de operación (Op, EBITDA)"/>
    <x v="2"/>
    <n v="214"/>
  </r>
  <r>
    <x v="0"/>
    <s v="Margen flujo de operación"/>
    <x v="2"/>
    <n v="0.32100000000000001"/>
  </r>
  <r>
    <x v="1"/>
    <s v="Ventas netas"/>
    <x v="2"/>
    <n v="256301"/>
  </r>
  <r>
    <x v="1"/>
    <s v="Flujo de operación (Op, EBITDA)"/>
    <x v="2"/>
    <n v="116"/>
  </r>
  <r>
    <x v="1"/>
    <s v="Margen flujo de operación"/>
    <x v="2"/>
    <n v="0.45300000000000001"/>
  </r>
  <r>
    <x v="2"/>
    <s v="Ventas netas"/>
    <x v="2"/>
    <n v="132528"/>
  </r>
  <r>
    <x v="2"/>
    <s v="Flujo de operación (Op, EBITDA)"/>
    <x v="2"/>
    <n v="61"/>
  </r>
  <r>
    <x v="2"/>
    <s v="Margen flujo de operación"/>
    <x v="2"/>
    <n v="0.40100000000000002"/>
  </r>
  <r>
    <x v="3"/>
    <s v="Ventas netas"/>
    <x v="2"/>
    <n v="261425"/>
  </r>
  <r>
    <x v="3"/>
    <s v="Flujo de operación (Op, EBITDA)"/>
    <x v="2"/>
    <n v="84"/>
  </r>
  <r>
    <x v="3"/>
    <s v="Margen flujo de operación"/>
    <x v="2"/>
    <n v="0.32"/>
  </r>
  <r>
    <x v="0"/>
    <s v="Ventas netas"/>
    <x v="3"/>
    <n v="565645"/>
  </r>
  <r>
    <x v="0"/>
    <s v="Flujo de operación (Op, EBITDA)"/>
    <x v="3"/>
    <n v="113"/>
  </r>
  <r>
    <x v="0"/>
    <s v="Margen flujo de operación"/>
    <x v="3"/>
    <n v="0.19900000000000001"/>
  </r>
  <r>
    <x v="1"/>
    <s v="Ventas netas"/>
    <x v="3"/>
    <n v="266081"/>
  </r>
  <r>
    <x v="1"/>
    <s v="Flujo de operación (Op, EBITDA)"/>
    <x v="3"/>
    <n v="108"/>
  </r>
  <r>
    <x v="1"/>
    <s v="Margen flujo de operación"/>
    <x v="3"/>
    <n v="0.40699999999999997"/>
  </r>
  <r>
    <x v="2"/>
    <s v="Ventas netas"/>
    <x v="3"/>
    <n v="128794"/>
  </r>
  <r>
    <x v="2"/>
    <s v="Flujo de operación (Op, EBITDA)"/>
    <x v="3"/>
    <n v="53"/>
  </r>
  <r>
    <x v="2"/>
    <s v="Margen flujo de operación"/>
    <x v="3"/>
    <n v="0.35699999999999998"/>
  </r>
  <r>
    <x v="3"/>
    <s v="Ventas netas"/>
    <x v="3"/>
    <n v="282377"/>
  </r>
  <r>
    <x v="3"/>
    <s v="Flujo de operación (Op, EBITDA)"/>
    <x v="3"/>
    <n v="85"/>
  </r>
  <r>
    <x v="3"/>
    <s v="Margen flujo de operación"/>
    <x v="3"/>
    <n v="0.2969999999999999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97">
  <r>
    <x v="0"/>
    <n v="693.32"/>
    <x v="0"/>
  </r>
  <r>
    <x v="1"/>
    <n v="693.99"/>
    <x v="0"/>
  </r>
  <r>
    <x v="2"/>
    <n v="694.7"/>
    <x v="0"/>
  </r>
  <r>
    <x v="3"/>
    <n v="694.7"/>
    <x v="0"/>
  </r>
  <r>
    <x v="4"/>
    <n v="643.41999999999996"/>
    <x v="0"/>
  </r>
  <r>
    <x v="5"/>
    <n v="643.41999999999996"/>
    <x v="0"/>
  </r>
  <r>
    <x v="6"/>
    <n v="639.22"/>
    <x v="0"/>
  </r>
  <r>
    <x v="7"/>
    <n v="635.70000000000005"/>
    <x v="0"/>
  </r>
  <r>
    <x v="8"/>
    <n v="631.51"/>
    <x v="0"/>
  </r>
  <r>
    <x v="9"/>
    <n v="627.16"/>
    <x v="0"/>
  </r>
  <r>
    <x v="10"/>
    <n v="638.05999999999995"/>
    <x v="0"/>
  </r>
  <r>
    <x v="11"/>
    <n v="638.05999999999995"/>
    <x v="0"/>
  </r>
  <r>
    <x v="12"/>
    <n v="638.05999999999995"/>
    <x v="0"/>
  </r>
  <r>
    <x v="13"/>
    <n v="622.91999999999996"/>
    <x v="0"/>
  </r>
  <r>
    <x v="14"/>
    <n v="627.46"/>
    <x v="0"/>
  </r>
  <r>
    <x v="15"/>
    <n v="633.09"/>
    <x v="0"/>
  </r>
  <r>
    <x v="16"/>
    <n v="632.35"/>
    <x v="0"/>
  </r>
  <r>
    <x v="17"/>
    <n v="630.91"/>
    <x v="0"/>
  </r>
  <r>
    <x v="18"/>
    <n v="630.91"/>
    <x v="0"/>
  </r>
  <r>
    <x v="19"/>
    <n v="630.91"/>
    <x v="0"/>
  </r>
  <r>
    <x v="20"/>
    <n v="626.23"/>
    <x v="0"/>
  </r>
  <r>
    <x v="21"/>
    <n v="626.52"/>
    <x v="0"/>
  </r>
  <r>
    <x v="22"/>
    <n v="633.35"/>
    <x v="0"/>
  </r>
  <r>
    <x v="23"/>
    <n v="621.71"/>
    <x v="0"/>
  </r>
  <r>
    <x v="24"/>
    <n v="620.62"/>
    <x v="0"/>
  </r>
  <r>
    <x v="25"/>
    <n v="620.62"/>
    <x v="0"/>
  </r>
  <r>
    <x v="26"/>
    <n v="620.62"/>
    <x v="0"/>
  </r>
  <r>
    <x v="27"/>
    <n v="622.95000000000005"/>
    <x v="0"/>
  </r>
  <r>
    <x v="28"/>
    <n v="622.95000000000005"/>
    <x v="0"/>
  </r>
  <r>
    <x v="29"/>
    <n v="622.95000000000005"/>
    <x v="0"/>
  </r>
  <r>
    <x v="30"/>
    <n v="631.63"/>
    <x v="0"/>
  </r>
  <r>
    <x v="31"/>
    <n v="632.37"/>
    <x v="0"/>
  </r>
  <r>
    <x v="32"/>
    <n v="632.37"/>
    <x v="0"/>
  </r>
  <r>
    <x v="33"/>
    <n v="632.37"/>
    <x v="0"/>
  </r>
  <r>
    <x v="34"/>
    <n v="632.37"/>
    <x v="0"/>
  </r>
  <r>
    <x v="35"/>
    <n v="632.37"/>
    <x v="1"/>
  </r>
  <r>
    <x v="36"/>
    <n v="638.61"/>
    <x v="1"/>
  </r>
  <r>
    <x v="37"/>
    <n v="632.58000000000004"/>
    <x v="1"/>
  </r>
  <r>
    <x v="38"/>
    <n v="638.07000000000005"/>
    <x v="1"/>
  </r>
  <r>
    <x v="39"/>
    <n v="638.07000000000005"/>
    <x v="1"/>
  </r>
  <r>
    <x v="40"/>
    <n v="638.07000000000005"/>
    <x v="1"/>
  </r>
  <r>
    <x v="41"/>
    <n v="638.07000000000005"/>
    <x v="1"/>
  </r>
  <r>
    <x v="42"/>
    <n v="638.16999999999996"/>
    <x v="1"/>
  </r>
  <r>
    <x v="43"/>
    <n v="638.61"/>
    <x v="1"/>
  </r>
  <r>
    <x v="44"/>
    <n v="637.86"/>
    <x v="1"/>
  </r>
  <r>
    <x v="45"/>
    <n v="645.04"/>
    <x v="1"/>
  </r>
  <r>
    <x v="46"/>
    <n v="645.04"/>
    <x v="1"/>
  </r>
  <r>
    <x v="47"/>
    <n v="645.04"/>
    <x v="1"/>
  </r>
  <r>
    <x v="48"/>
    <n v="659.74"/>
    <x v="1"/>
  </r>
  <r>
    <x v="49"/>
    <n v="657.49"/>
    <x v="1"/>
  </r>
  <r>
    <x v="50"/>
    <n v="653.45000000000005"/>
    <x v="1"/>
  </r>
  <r>
    <x v="51"/>
    <n v="652.91"/>
    <x v="1"/>
  </r>
  <r>
    <x v="52"/>
    <n v="645.35"/>
    <x v="1"/>
  </r>
  <r>
    <x v="53"/>
    <n v="645.35"/>
    <x v="1"/>
  </r>
  <r>
    <x v="54"/>
    <n v="645.35"/>
    <x v="1"/>
  </r>
  <r>
    <x v="55"/>
    <n v="645.97"/>
    <x v="1"/>
  </r>
  <r>
    <x v="56"/>
    <n v="647.04"/>
    <x v="1"/>
  </r>
  <r>
    <x v="57"/>
    <n v="647.01"/>
    <x v="1"/>
  </r>
  <r>
    <x v="58"/>
    <n v="647.01"/>
    <x v="1"/>
  </r>
  <r>
    <x v="59"/>
    <n v="644.83000000000004"/>
    <x v="1"/>
  </r>
  <r>
    <x v="60"/>
    <n v="644.83000000000004"/>
    <x v="1"/>
  </r>
  <r>
    <x v="61"/>
    <n v="644.83000000000004"/>
    <x v="1"/>
  </r>
  <r>
    <x v="62"/>
    <n v="645.53"/>
    <x v="1"/>
  </r>
  <r>
    <x v="63"/>
    <n v="645.20000000000005"/>
    <x v="1"/>
  </r>
  <r>
    <x v="64"/>
    <n v="644.04"/>
    <x v="1"/>
  </r>
  <r>
    <x v="65"/>
    <n v="644.27"/>
    <x v="1"/>
  </r>
  <r>
    <x v="66"/>
    <n v="640.52"/>
    <x v="1"/>
  </r>
  <r>
    <x v="67"/>
    <n v="640.52"/>
    <x v="1"/>
  </r>
  <r>
    <x v="68"/>
    <n v="640.52"/>
    <x v="1"/>
  </r>
  <r>
    <x v="69"/>
    <n v="640.52"/>
    <x v="1"/>
  </r>
  <r>
    <x v="70"/>
    <n v="638.01"/>
    <x v="1"/>
  </r>
  <r>
    <x v="71"/>
    <n v="637.65"/>
    <x v="1"/>
  </r>
  <r>
    <x v="72"/>
    <n v="636.9"/>
    <x v="1"/>
  </r>
  <r>
    <x v="73"/>
    <n v="635.34"/>
    <x v="1"/>
  </r>
  <r>
    <x v="74"/>
    <n v="635.34"/>
    <x v="1"/>
  </r>
  <r>
    <x v="75"/>
    <n v="635.34"/>
    <x v="1"/>
  </r>
  <r>
    <x v="76"/>
    <n v="634.74"/>
    <x v="1"/>
  </r>
  <r>
    <x v="77"/>
    <n v="634.59"/>
    <x v="1"/>
  </r>
  <r>
    <x v="78"/>
    <n v="634.66999999999996"/>
    <x v="1"/>
  </r>
  <r>
    <x v="79"/>
    <n v="635.6"/>
    <x v="1"/>
  </r>
  <r>
    <x v="80"/>
    <n v="634.74"/>
    <x v="1"/>
  </r>
  <r>
    <x v="81"/>
    <n v="634.74"/>
    <x v="1"/>
  </r>
  <r>
    <x v="82"/>
    <n v="634.74"/>
    <x v="1"/>
  </r>
  <r>
    <x v="83"/>
    <n v="635.66"/>
    <x v="1"/>
  </r>
  <r>
    <x v="84"/>
    <n v="635.21"/>
    <x v="1"/>
  </r>
  <r>
    <x v="85"/>
    <n v="634.92999999999995"/>
    <x v="1"/>
  </r>
  <r>
    <x v="86"/>
    <n v="633.30999999999995"/>
    <x v="1"/>
  </r>
  <r>
    <x v="87"/>
    <n v="633.03"/>
    <x v="1"/>
  </r>
  <r>
    <x v="88"/>
    <n v="633.03"/>
    <x v="1"/>
  </r>
  <r>
    <x v="89"/>
    <n v="633.03"/>
    <x v="1"/>
  </r>
  <r>
    <x v="90"/>
    <n v="633.54999999999995"/>
    <x v="1"/>
  </r>
  <r>
    <x v="91"/>
    <n v="633.74"/>
    <x v="1"/>
  </r>
  <r>
    <x v="92"/>
    <n v="634.05999999999995"/>
    <x v="1"/>
  </r>
  <r>
    <x v="93"/>
    <n v="633.91"/>
    <x v="1"/>
  </r>
  <r>
    <x v="94"/>
    <n v="636.54"/>
    <x v="1"/>
  </r>
  <r>
    <x v="95"/>
    <n v="636.54"/>
    <x v="1"/>
  </r>
  <r>
    <x v="96"/>
    <n v="636.54"/>
    <x v="1"/>
  </r>
  <r>
    <x v="97"/>
    <n v="640.95000000000005"/>
    <x v="1"/>
  </r>
  <r>
    <x v="98"/>
    <n v="636.04999999999995"/>
    <x v="1"/>
  </r>
  <r>
    <x v="99"/>
    <n v="635.86"/>
    <x v="1"/>
  </r>
  <r>
    <x v="100"/>
    <n v="636.73"/>
    <x v="1"/>
  </r>
  <r>
    <x v="101"/>
    <n v="636.22"/>
    <x v="1"/>
  </r>
  <r>
    <x v="102"/>
    <n v="636.22"/>
    <x v="1"/>
  </r>
  <r>
    <x v="103"/>
    <n v="636.22"/>
    <x v="1"/>
  </r>
  <r>
    <x v="104"/>
    <n v="635.88"/>
    <x v="1"/>
  </r>
  <r>
    <x v="105"/>
    <n v="639.78"/>
    <x v="1"/>
  </r>
  <r>
    <x v="106"/>
    <n v="639.38"/>
    <x v="1"/>
  </r>
  <r>
    <x v="107"/>
    <n v="641.29"/>
    <x v="1"/>
  </r>
  <r>
    <x v="108"/>
    <n v="642"/>
    <x v="1"/>
  </r>
  <r>
    <x v="109"/>
    <n v="642"/>
    <x v="1"/>
  </r>
  <r>
    <x v="110"/>
    <n v="642"/>
    <x v="1"/>
  </r>
  <r>
    <x v="111"/>
    <n v="644.13"/>
    <x v="1"/>
  </r>
  <r>
    <x v="112"/>
    <n v="643.83000000000004"/>
    <x v="1"/>
  </r>
  <r>
    <x v="113"/>
    <n v="642.59"/>
    <x v="1"/>
  </r>
  <r>
    <x v="114"/>
    <n v="641.53"/>
    <x v="1"/>
  </r>
  <r>
    <x v="115"/>
    <n v="640.37"/>
    <x v="1"/>
  </r>
  <r>
    <x v="116"/>
    <n v="640.37"/>
    <x v="1"/>
  </r>
  <r>
    <x v="117"/>
    <n v="640.37"/>
    <x v="1"/>
  </r>
  <r>
    <x v="118"/>
    <n v="640.37"/>
    <x v="1"/>
  </r>
  <r>
    <x v="119"/>
    <n v="642"/>
    <x v="1"/>
  </r>
  <r>
    <x v="120"/>
    <n v="641.80999999999995"/>
    <x v="1"/>
  </r>
  <r>
    <x v="121"/>
    <n v="641.22"/>
    <x v="1"/>
  </r>
  <r>
    <x v="122"/>
    <n v="647.24"/>
    <x v="1"/>
  </r>
  <r>
    <x v="123"/>
    <n v="647.24"/>
    <x v="1"/>
  </r>
  <r>
    <x v="124"/>
    <n v="647.24"/>
    <x v="1"/>
  </r>
  <r>
    <x v="125"/>
    <n v="641.59"/>
    <x v="1"/>
  </r>
  <r>
    <x v="126"/>
    <n v="641.98"/>
    <x v="1"/>
  </r>
  <r>
    <x v="127"/>
    <n v="645.14"/>
    <x v="1"/>
  </r>
  <r>
    <x v="128"/>
    <n v="644.77"/>
    <x v="1"/>
  </r>
  <r>
    <x v="129"/>
    <n v="643.11"/>
    <x v="1"/>
  </r>
  <r>
    <x v="130"/>
    <n v="643.11"/>
    <x v="1"/>
  </r>
  <r>
    <x v="131"/>
    <n v="643.11"/>
    <x v="1"/>
  </r>
  <r>
    <x v="132"/>
    <n v="645.73"/>
    <x v="1"/>
  </r>
  <r>
    <x v="133"/>
    <n v="643.98"/>
    <x v="1"/>
  </r>
  <r>
    <x v="134"/>
    <n v="644.61"/>
    <x v="1"/>
  </r>
  <r>
    <x v="135"/>
    <n v="646.5"/>
    <x v="1"/>
  </r>
  <r>
    <x v="136"/>
    <n v="647.28"/>
    <x v="1"/>
  </r>
  <r>
    <x v="137"/>
    <n v="647.28"/>
    <x v="1"/>
  </r>
  <r>
    <x v="138"/>
    <n v="647.28"/>
    <x v="1"/>
  </r>
  <r>
    <x v="139"/>
    <n v="649.48"/>
    <x v="1"/>
  </r>
  <r>
    <x v="140"/>
    <n v="655.66"/>
    <x v="1"/>
  </r>
  <r>
    <x v="141"/>
    <n v="657.97"/>
    <x v="1"/>
  </r>
  <r>
    <x v="142"/>
    <n v="657.97"/>
    <x v="1"/>
  </r>
  <r>
    <x v="143"/>
    <n v="657.97"/>
    <x v="1"/>
  </r>
  <r>
    <x v="144"/>
    <n v="657.97"/>
    <x v="1"/>
  </r>
  <r>
    <x v="145"/>
    <n v="657.97"/>
    <x v="1"/>
  </r>
  <r>
    <x v="146"/>
    <n v="655.32000000000005"/>
    <x v="1"/>
  </r>
  <r>
    <x v="147"/>
    <n v="652.57000000000005"/>
    <x v="1"/>
  </r>
  <r>
    <x v="148"/>
    <n v="651.48"/>
    <x v="1"/>
  </r>
  <r>
    <x v="149"/>
    <n v="650.24"/>
    <x v="1"/>
  </r>
  <r>
    <x v="150"/>
    <n v="651.36"/>
    <x v="1"/>
  </r>
  <r>
    <x v="151"/>
    <n v="651.36"/>
    <x v="1"/>
  </r>
  <r>
    <x v="152"/>
    <n v="651.36"/>
    <x v="1"/>
  </r>
  <r>
    <x v="153"/>
    <n v="650.30999999999995"/>
    <x v="1"/>
  </r>
  <r>
    <x v="154"/>
    <n v="651.95000000000005"/>
    <x v="1"/>
  </r>
  <r>
    <x v="155"/>
    <n v="653.83000000000004"/>
    <x v="1"/>
  </r>
  <r>
    <x v="156"/>
    <n v="653.58000000000004"/>
    <x v="1"/>
  </r>
  <r>
    <x v="157"/>
    <n v="653.58000000000004"/>
    <x v="1"/>
  </r>
  <r>
    <x v="158"/>
    <n v="653.58000000000004"/>
    <x v="1"/>
  </r>
  <r>
    <x v="159"/>
    <n v="653.58000000000004"/>
    <x v="1"/>
  </r>
  <r>
    <x v="160"/>
    <n v="653.1"/>
    <x v="1"/>
  </r>
  <r>
    <x v="161"/>
    <n v="653.70000000000005"/>
    <x v="1"/>
  </r>
  <r>
    <x v="162"/>
    <n v="654.74"/>
    <x v="1"/>
  </r>
  <r>
    <x v="163"/>
    <n v="656.4"/>
    <x v="1"/>
  </r>
  <r>
    <x v="164"/>
    <n v="657.91"/>
    <x v="1"/>
  </r>
  <r>
    <x v="165"/>
    <n v="657.91"/>
    <x v="1"/>
  </r>
  <r>
    <x v="166"/>
    <n v="657.91"/>
    <x v="1"/>
  </r>
  <r>
    <x v="167"/>
    <n v="658.52"/>
    <x v="1"/>
  </r>
  <r>
    <x v="168"/>
    <n v="660.57"/>
    <x v="1"/>
  </r>
  <r>
    <x v="169"/>
    <n v="660.88"/>
    <x v="1"/>
  </r>
  <r>
    <x v="170"/>
    <n v="663.43"/>
    <x v="1"/>
  </r>
  <r>
    <x v="171"/>
    <n v="663.58"/>
    <x v="1"/>
  </r>
  <r>
    <x v="172"/>
    <n v="663.58"/>
    <x v="1"/>
  </r>
  <r>
    <x v="173"/>
    <n v="663.58"/>
    <x v="1"/>
  </r>
  <r>
    <x v="174"/>
    <n v="663.75"/>
    <x v="1"/>
  </r>
  <r>
    <x v="175"/>
    <n v="664.5"/>
    <x v="1"/>
  </r>
  <r>
    <x v="176"/>
    <n v="663.1"/>
    <x v="1"/>
  </r>
  <r>
    <x v="177"/>
    <n v="662.6"/>
    <x v="1"/>
  </r>
  <r>
    <x v="178"/>
    <n v="662.11"/>
    <x v="1"/>
  </r>
  <r>
    <x v="179"/>
    <n v="662.11"/>
    <x v="1"/>
  </r>
  <r>
    <x v="180"/>
    <n v="662.11"/>
    <x v="1"/>
  </r>
  <r>
    <x v="181"/>
    <n v="662.15"/>
    <x v="1"/>
  </r>
  <r>
    <x v="182"/>
    <n v="660.46"/>
    <x v="1"/>
  </r>
  <r>
    <x v="183"/>
    <n v="660.16"/>
    <x v="1"/>
  </r>
  <r>
    <x v="184"/>
    <n v="660.99"/>
    <x v="1"/>
  </r>
  <r>
    <x v="185"/>
    <n v="664.37"/>
    <x v="1"/>
  </r>
  <r>
    <x v="186"/>
    <n v="664.37"/>
    <x v="1"/>
  </r>
  <r>
    <x v="187"/>
    <n v="664.37"/>
    <x v="1"/>
  </r>
  <r>
    <x v="188"/>
    <n v="664.37"/>
    <x v="1"/>
  </r>
  <r>
    <x v="189"/>
    <n v="666.11"/>
    <x v="1"/>
  </r>
  <r>
    <x v="190"/>
    <n v="664.3"/>
    <x v="1"/>
  </r>
  <r>
    <x v="191"/>
    <n v="666.47"/>
    <x v="1"/>
  </r>
  <r>
    <x v="192"/>
    <n v="664.36"/>
    <x v="1"/>
  </r>
  <r>
    <x v="193"/>
    <n v="664.36"/>
    <x v="1"/>
  </r>
  <r>
    <x v="194"/>
    <n v="664.36"/>
    <x v="1"/>
  </r>
  <r>
    <x v="195"/>
    <n v="665.91"/>
    <x v="1"/>
  </r>
  <r>
    <x v="196"/>
    <n v="665.92"/>
    <x v="1"/>
  </r>
  <r>
    <x v="197"/>
    <n v="667.96"/>
    <x v="1"/>
  </r>
  <r>
    <x v="198"/>
    <n v="667.52"/>
    <x v="1"/>
  </r>
  <r>
    <x v="199"/>
    <n v="669.55"/>
    <x v="1"/>
  </r>
  <r>
    <x v="200"/>
    <n v="669.55"/>
    <x v="1"/>
  </r>
  <r>
    <x v="201"/>
    <n v="669.55"/>
    <x v="1"/>
  </r>
  <r>
    <x v="202"/>
    <n v="671.36"/>
    <x v="1"/>
  </r>
  <r>
    <x v="203"/>
    <n v="675.76"/>
    <x v="1"/>
  </r>
  <r>
    <x v="204"/>
    <n v="680.17"/>
    <x v="1"/>
  </r>
  <r>
    <x v="205"/>
    <n v="678.25"/>
    <x v="1"/>
  </r>
  <r>
    <x v="206"/>
    <n v="683.37"/>
    <x v="1"/>
  </r>
  <r>
    <x v="207"/>
    <n v="683.37"/>
    <x v="1"/>
  </r>
  <r>
    <x v="208"/>
    <n v="683.37"/>
    <x v="1"/>
  </r>
  <r>
    <x v="209"/>
    <n v="683.37"/>
    <x v="1"/>
  </r>
  <r>
    <x v="210"/>
    <n v="690.08"/>
    <x v="1"/>
  </r>
  <r>
    <x v="211"/>
    <n v="699.09"/>
    <x v="1"/>
  </r>
  <r>
    <x v="212"/>
    <n v="701.83"/>
    <x v="1"/>
  </r>
  <r>
    <x v="213"/>
    <n v="697.57"/>
    <x v="1"/>
  </r>
  <r>
    <x v="214"/>
    <n v="697.57"/>
    <x v="1"/>
  </r>
  <r>
    <x v="215"/>
    <n v="697.57"/>
    <x v="1"/>
  </r>
  <r>
    <x v="216"/>
    <n v="697.57"/>
    <x v="1"/>
  </r>
  <r>
    <x v="217"/>
    <n v="695.36"/>
    <x v="1"/>
  </r>
  <r>
    <x v="218"/>
    <n v="694.43"/>
    <x v="1"/>
  </r>
  <r>
    <x v="219"/>
    <n v="693.71"/>
    <x v="1"/>
  </r>
  <r>
    <x v="220"/>
    <n v="693.4"/>
    <x v="1"/>
  </r>
  <r>
    <x v="221"/>
    <n v="693.4"/>
    <x v="1"/>
  </r>
  <r>
    <x v="222"/>
    <n v="693.4"/>
    <x v="1"/>
  </r>
  <r>
    <x v="223"/>
    <n v="696.12"/>
    <x v="1"/>
  </r>
  <r>
    <x v="224"/>
    <n v="695.65"/>
    <x v="1"/>
  </r>
  <r>
    <x v="225"/>
    <n v="699.01"/>
    <x v="1"/>
  </r>
  <r>
    <x v="226"/>
    <n v="703.74"/>
    <x v="1"/>
  </r>
  <r>
    <x v="227"/>
    <n v="708.72"/>
    <x v="1"/>
  </r>
  <r>
    <x v="228"/>
    <n v="708.72"/>
    <x v="1"/>
  </r>
  <r>
    <x v="229"/>
    <n v="708.72"/>
    <x v="1"/>
  </r>
  <r>
    <x v="230"/>
    <n v="720.47"/>
    <x v="1"/>
  </r>
  <r>
    <x v="231"/>
    <n v="719.15"/>
    <x v="1"/>
  </r>
  <r>
    <x v="232"/>
    <n v="717.45"/>
    <x v="1"/>
  </r>
  <r>
    <x v="233"/>
    <n v="717.7"/>
    <x v="1"/>
  </r>
  <r>
    <x v="234"/>
    <n v="715.11"/>
    <x v="1"/>
  </r>
  <r>
    <x v="235"/>
    <n v="715.11"/>
    <x v="1"/>
  </r>
  <r>
    <x v="236"/>
    <n v="715.11"/>
    <x v="1"/>
  </r>
  <r>
    <x v="237"/>
    <n v="715.11"/>
    <x v="1"/>
  </r>
  <r>
    <x v="238"/>
    <n v="710.91"/>
    <x v="1"/>
  </r>
  <r>
    <x v="239"/>
    <n v="707.96"/>
    <x v="1"/>
  </r>
  <r>
    <x v="240"/>
    <n v="699.73"/>
    <x v="1"/>
  </r>
  <r>
    <x v="241"/>
    <n v="699.68"/>
    <x v="1"/>
  </r>
  <r>
    <x v="242"/>
    <n v="699.68"/>
    <x v="1"/>
  </r>
  <r>
    <x v="243"/>
    <n v="699.68"/>
    <x v="1"/>
  </r>
  <r>
    <x v="244"/>
    <n v="701.66"/>
    <x v="1"/>
  </r>
  <r>
    <x v="245"/>
    <n v="701.89"/>
    <x v="1"/>
  </r>
  <r>
    <x v="246"/>
    <n v="702.02"/>
    <x v="1"/>
  </r>
  <r>
    <x v="247"/>
    <n v="705.14"/>
    <x v="1"/>
  </r>
  <r>
    <x v="248"/>
    <n v="702.52"/>
    <x v="1"/>
  </r>
  <r>
    <x v="249"/>
    <n v="702.52"/>
    <x v="1"/>
  </r>
  <r>
    <x v="250"/>
    <n v="702.52"/>
    <x v="1"/>
  </r>
  <r>
    <x v="251"/>
    <n v="701.82"/>
    <x v="1"/>
  </r>
  <r>
    <x v="252"/>
    <n v="698.84"/>
    <x v="1"/>
  </r>
  <r>
    <x v="253"/>
    <n v="695.32"/>
    <x v="1"/>
  </r>
  <r>
    <x v="254"/>
    <n v="694.25"/>
    <x v="1"/>
  </r>
  <r>
    <x v="255"/>
    <n v="694.25"/>
    <x v="1"/>
  </r>
  <r>
    <x v="256"/>
    <n v="694.25"/>
    <x v="1"/>
  </r>
  <r>
    <x v="257"/>
    <n v="694.25"/>
    <x v="1"/>
  </r>
  <r>
    <x v="258"/>
    <n v="692.72"/>
    <x v="1"/>
  </r>
  <r>
    <x v="259"/>
    <n v="692.25"/>
    <x v="1"/>
  </r>
  <r>
    <x v="260"/>
    <n v="694.28"/>
    <x v="1"/>
  </r>
  <r>
    <x v="261"/>
    <n v="692.51"/>
    <x v="1"/>
  </r>
  <r>
    <x v="262"/>
    <n v="693.25"/>
    <x v="1"/>
  </r>
  <r>
    <x v="263"/>
    <n v="693.25"/>
    <x v="1"/>
  </r>
  <r>
    <x v="264"/>
    <n v="693.25"/>
    <x v="1"/>
  </r>
  <r>
    <x v="265"/>
    <n v="693.25"/>
    <x v="1"/>
  </r>
  <r>
    <x v="266"/>
    <n v="693.69"/>
    <x v="1"/>
  </r>
  <r>
    <x v="267"/>
    <n v="692.48"/>
    <x v="1"/>
  </r>
  <r>
    <x v="268"/>
    <n v="692.56"/>
    <x v="1"/>
  </r>
  <r>
    <x v="269"/>
    <n v="693.94"/>
    <x v="1"/>
  </r>
  <r>
    <x v="270"/>
    <n v="693.94"/>
    <x v="1"/>
  </r>
  <r>
    <x v="271"/>
    <n v="693.94"/>
    <x v="1"/>
  </r>
  <r>
    <x v="272"/>
    <n v="689.56"/>
    <x v="1"/>
  </r>
  <r>
    <x v="273"/>
    <n v="689.21"/>
    <x v="1"/>
  </r>
  <r>
    <x v="274"/>
    <n v="689.45"/>
    <x v="1"/>
  </r>
  <r>
    <x v="275"/>
    <n v="690.3"/>
    <x v="1"/>
  </r>
  <r>
    <x v="276"/>
    <n v="691.68"/>
    <x v="1"/>
  </r>
  <r>
    <x v="277"/>
    <n v="691.68"/>
    <x v="1"/>
  </r>
  <r>
    <x v="278"/>
    <n v="691.68"/>
    <x v="1"/>
  </r>
  <r>
    <x v="279"/>
    <n v="691.9"/>
    <x v="1"/>
  </r>
  <r>
    <x v="280"/>
    <n v="692.89"/>
    <x v="1"/>
  </r>
  <r>
    <x v="281"/>
    <n v="693.02"/>
    <x v="1"/>
  </r>
  <r>
    <x v="282"/>
    <n v="695.62"/>
    <x v="1"/>
  </r>
  <r>
    <x v="283"/>
    <n v="696.77"/>
    <x v="1"/>
  </r>
  <r>
    <x v="284"/>
    <n v="696.77"/>
    <x v="1"/>
  </r>
  <r>
    <x v="285"/>
    <n v="696.77"/>
    <x v="1"/>
  </r>
  <r>
    <x v="286"/>
    <n v="697.69"/>
    <x v="1"/>
  </r>
  <r>
    <x v="287"/>
    <n v="698.28"/>
    <x v="1"/>
  </r>
  <r>
    <x v="288"/>
    <n v="695.38"/>
    <x v="1"/>
  </r>
  <r>
    <x v="289"/>
    <n v="695.54"/>
    <x v="1"/>
  </r>
  <r>
    <x v="290"/>
    <n v="696.39"/>
    <x v="1"/>
  </r>
  <r>
    <x v="291"/>
    <n v="696.39"/>
    <x v="1"/>
  </r>
  <r>
    <x v="292"/>
    <n v="696.39"/>
    <x v="1"/>
  </r>
  <r>
    <x v="293"/>
    <n v="696.29"/>
    <x v="1"/>
  </r>
  <r>
    <x v="294"/>
    <n v="696.84"/>
    <x v="1"/>
  </r>
  <r>
    <x v="295"/>
    <n v="695.7"/>
    <x v="1"/>
  </r>
  <r>
    <x v="296"/>
    <n v="696.66"/>
    <x v="1"/>
  </r>
  <r>
    <x v="297"/>
    <n v="696.42"/>
    <x v="1"/>
  </r>
  <r>
    <x v="298"/>
    <n v="696.42"/>
    <x v="1"/>
  </r>
  <r>
    <x v="299"/>
    <n v="696.42"/>
    <x v="1"/>
  </r>
  <r>
    <x v="300"/>
    <n v="699.16"/>
    <x v="1"/>
  </r>
  <r>
    <x v="301"/>
    <n v="697.77"/>
    <x v="1"/>
  </r>
  <r>
    <x v="302"/>
    <n v="698.4"/>
    <x v="1"/>
  </r>
  <r>
    <x v="303"/>
    <n v="697.01"/>
    <x v="1"/>
  </r>
  <r>
    <x v="304"/>
    <n v="704.8"/>
    <x v="1"/>
  </r>
  <r>
    <x v="305"/>
    <n v="704.8"/>
    <x v="1"/>
  </r>
  <r>
    <x v="306"/>
    <n v="704.8"/>
    <x v="1"/>
  </r>
  <r>
    <x v="307"/>
    <n v="701"/>
    <x v="1"/>
  </r>
  <r>
    <x v="308"/>
    <n v="702.81"/>
    <x v="1"/>
  </r>
  <r>
    <x v="309"/>
    <n v="699.7"/>
    <x v="1"/>
  </r>
  <r>
    <x v="310"/>
    <n v="703.08"/>
    <x v="1"/>
  </r>
  <r>
    <x v="311"/>
    <n v="710.22"/>
    <x v="1"/>
  </r>
  <r>
    <x v="312"/>
    <n v="710.22"/>
    <x v="1"/>
  </r>
  <r>
    <x v="313"/>
    <n v="710.22"/>
    <x v="1"/>
  </r>
  <r>
    <x v="314"/>
    <n v="704.52"/>
    <x v="1"/>
  </r>
  <r>
    <x v="315"/>
    <n v="703.66"/>
    <x v="1"/>
  </r>
  <r>
    <x v="316"/>
    <n v="702.71"/>
    <x v="1"/>
  </r>
  <r>
    <x v="317"/>
    <n v="704.06"/>
    <x v="1"/>
  </r>
  <r>
    <x v="318"/>
    <n v="701.88"/>
    <x v="1"/>
  </r>
  <r>
    <x v="319"/>
    <n v="701.88"/>
    <x v="1"/>
  </r>
  <r>
    <x v="320"/>
    <n v="701.88"/>
    <x v="1"/>
  </r>
  <r>
    <x v="321"/>
    <n v="701.88"/>
    <x v="1"/>
  </r>
  <r>
    <x v="322"/>
    <n v="702.48"/>
    <x v="1"/>
  </r>
  <r>
    <x v="323"/>
    <n v="705.52"/>
    <x v="1"/>
  </r>
  <r>
    <x v="324"/>
    <n v="708.21"/>
    <x v="1"/>
  </r>
  <r>
    <x v="325"/>
    <n v="707.13"/>
    <x v="1"/>
  </r>
  <r>
    <x v="326"/>
    <n v="707.13"/>
    <x v="1"/>
  </r>
  <r>
    <x v="327"/>
    <n v="707.13"/>
    <x v="1"/>
  </r>
  <r>
    <x v="328"/>
    <n v="707.35"/>
    <x v="1"/>
  </r>
  <r>
    <x v="329"/>
    <n v="706.06"/>
    <x v="1"/>
  </r>
  <r>
    <x v="330"/>
    <n v="709.22"/>
    <x v="1"/>
  </r>
  <r>
    <x v="331"/>
    <n v="710.19"/>
    <x v="1"/>
  </r>
  <r>
    <x v="332"/>
    <n v="712.04"/>
    <x v="1"/>
  </r>
  <r>
    <x v="333"/>
    <n v="712.04"/>
    <x v="1"/>
  </r>
  <r>
    <x v="334"/>
    <n v="712.04"/>
    <x v="1"/>
  </r>
  <r>
    <x v="335"/>
    <n v="713.55"/>
    <x v="1"/>
  </r>
  <r>
    <x v="336"/>
    <n v="716.39"/>
    <x v="1"/>
  </r>
  <r>
    <x v="337"/>
    <n v="715.31"/>
    <x v="1"/>
  </r>
  <r>
    <x v="338"/>
    <n v="717.37"/>
    <x v="1"/>
  </r>
  <r>
    <x v="339"/>
    <n v="716.88"/>
    <x v="1"/>
  </r>
  <r>
    <x v="340"/>
    <n v="716.88"/>
    <x v="1"/>
  </r>
  <r>
    <x v="341"/>
    <n v="716.88"/>
    <x v="1"/>
  </r>
  <r>
    <x v="342"/>
    <n v="716.88"/>
    <x v="1"/>
  </r>
  <r>
    <x v="343"/>
    <n v="718.98"/>
    <x v="1"/>
  </r>
  <r>
    <x v="344"/>
    <n v="719.21"/>
    <x v="1"/>
  </r>
  <r>
    <x v="345"/>
    <n v="720.96"/>
    <x v="1"/>
  </r>
  <r>
    <x v="346"/>
    <n v="722.57"/>
    <x v="1"/>
  </r>
  <r>
    <x v="347"/>
    <n v="722.57"/>
    <x v="1"/>
  </r>
  <r>
    <x v="348"/>
    <n v="722.57"/>
    <x v="1"/>
  </r>
  <r>
    <x v="349"/>
    <n v="720.48"/>
    <x v="1"/>
  </r>
  <r>
    <x v="350"/>
    <n v="722.37"/>
    <x v="1"/>
  </r>
  <r>
    <x v="351"/>
    <n v="723.72"/>
    <x v="1"/>
  </r>
  <r>
    <x v="352"/>
    <n v="722.72"/>
    <x v="1"/>
  </r>
  <r>
    <x v="353"/>
    <n v="724.07"/>
    <x v="1"/>
  </r>
  <r>
    <x v="354"/>
    <n v="724.07"/>
    <x v="1"/>
  </r>
  <r>
    <x v="355"/>
    <n v="724.07"/>
    <x v="1"/>
  </r>
  <r>
    <x v="356"/>
    <n v="724.07"/>
    <x v="1"/>
  </r>
  <r>
    <x v="357"/>
    <n v="730.11"/>
    <x v="1"/>
  </r>
  <r>
    <x v="358"/>
    <n v="724.97"/>
    <x v="1"/>
  </r>
  <r>
    <x v="359"/>
    <n v="724.9"/>
    <x v="1"/>
  </r>
  <r>
    <x v="360"/>
    <n v="721.98"/>
    <x v="1"/>
  </r>
  <r>
    <x v="361"/>
    <n v="721.98"/>
    <x v="1"/>
  </r>
  <r>
    <x v="362"/>
    <n v="721.98"/>
    <x v="1"/>
  </r>
  <r>
    <x v="363"/>
    <n v="726.97"/>
    <x v="1"/>
  </r>
  <r>
    <x v="364"/>
    <n v="720.63"/>
    <x v="1"/>
  </r>
  <r>
    <x v="365"/>
    <n v="721.47"/>
    <x v="1"/>
  </r>
  <r>
    <x v="366"/>
    <n v="722.61"/>
    <x v="1"/>
  </r>
  <r>
    <x v="367"/>
    <n v="725.45"/>
    <x v="1"/>
  </r>
  <r>
    <x v="368"/>
    <n v="725.45"/>
    <x v="1"/>
  </r>
  <r>
    <x v="369"/>
    <n v="725.45"/>
    <x v="1"/>
  </r>
  <r>
    <x v="370"/>
    <n v="729.42"/>
    <x v="1"/>
  </r>
  <r>
    <x v="371"/>
    <n v="725.75"/>
    <x v="1"/>
  </r>
  <r>
    <x v="372"/>
    <n v="729.74"/>
    <x v="1"/>
  </r>
  <r>
    <x v="373"/>
    <n v="738.19"/>
    <x v="1"/>
  </r>
  <r>
    <x v="374"/>
    <n v="736.29"/>
    <x v="1"/>
  </r>
  <r>
    <x v="375"/>
    <n v="736.29"/>
    <x v="1"/>
  </r>
  <r>
    <x v="376"/>
    <n v="736.29"/>
    <x v="1"/>
  </r>
  <r>
    <x v="377"/>
    <n v="732.11"/>
    <x v="1"/>
  </r>
  <r>
    <x v="378"/>
    <n v="732.11"/>
    <x v="1"/>
  </r>
  <r>
    <x v="379"/>
    <n v="732.4"/>
    <x v="1"/>
  </r>
  <r>
    <x v="380"/>
    <n v="727.21"/>
    <x v="1"/>
  </r>
  <r>
    <x v="381"/>
    <n v="729.8"/>
    <x v="1"/>
  </r>
  <r>
    <x v="382"/>
    <n v="729.8"/>
    <x v="1"/>
  </r>
  <r>
    <x v="383"/>
    <n v="729.8"/>
    <x v="1"/>
  </r>
  <r>
    <x v="384"/>
    <n v="732.69"/>
    <x v="1"/>
  </r>
  <r>
    <x v="385"/>
    <n v="736.2"/>
    <x v="1"/>
  </r>
  <r>
    <x v="386"/>
    <n v="734.98"/>
    <x v="1"/>
  </r>
  <r>
    <x v="387"/>
    <n v="732.54"/>
    <x v="1"/>
  </r>
  <r>
    <x v="388"/>
    <n v="735.31"/>
    <x v="1"/>
  </r>
  <r>
    <x v="389"/>
    <n v="735.31"/>
    <x v="1"/>
  </r>
  <r>
    <x v="390"/>
    <n v="735.31"/>
    <x v="1"/>
  </r>
  <r>
    <x v="391"/>
    <n v="736.82"/>
    <x v="1"/>
  </r>
  <r>
    <x v="392"/>
    <n v="735"/>
    <x v="1"/>
  </r>
  <r>
    <x v="393"/>
    <n v="735.19"/>
    <x v="1"/>
  </r>
  <r>
    <x v="394"/>
    <n v="735.19"/>
    <x v="1"/>
  </r>
  <r>
    <x v="395"/>
    <n v="735.19"/>
    <x v="1"/>
  </r>
  <r>
    <x v="396"/>
    <n v="735.19"/>
    <x v="1"/>
  </r>
  <r>
    <x v="397"/>
    <n v="735.19"/>
    <x v="1"/>
  </r>
  <r>
    <x v="398"/>
    <n v="737.44"/>
    <x v="1"/>
  </r>
  <r>
    <x v="399"/>
    <n v="737.98"/>
    <x v="1"/>
  </r>
  <r>
    <x v="400"/>
    <n v="737.98"/>
    <x v="1"/>
  </r>
  <r>
    <x v="401"/>
    <n v="737.98"/>
    <x v="2"/>
  </r>
  <r>
    <x v="402"/>
    <n v="737.98"/>
    <x v="2"/>
  </r>
  <r>
    <x v="403"/>
    <n v="737.98"/>
    <x v="2"/>
  </r>
  <r>
    <x v="404"/>
    <n v="737.98"/>
    <x v="2"/>
  </r>
  <r>
    <x v="405"/>
    <n v="737.55"/>
    <x v="2"/>
  </r>
  <r>
    <x v="406"/>
    <n v="738.65"/>
    <x v="2"/>
  </r>
  <r>
    <x v="407"/>
    <n v="740.08"/>
    <x v="2"/>
  </r>
  <r>
    <x v="408"/>
    <n v="742.61"/>
    <x v="2"/>
  </r>
  <r>
    <x v="409"/>
    <n v="746.63"/>
    <x v="2"/>
  </r>
  <r>
    <x v="410"/>
    <n v="746.63"/>
    <x v="2"/>
  </r>
  <r>
    <x v="411"/>
    <n v="746.63"/>
    <x v="2"/>
  </r>
  <r>
    <x v="412"/>
    <n v="746.63"/>
    <x v="2"/>
  </r>
  <r>
    <x v="413"/>
    <n v="749.63"/>
    <x v="2"/>
  </r>
  <r>
    <x v="414"/>
    <n v="748.98"/>
    <x v="2"/>
  </r>
  <r>
    <x v="415"/>
    <n v="746.71"/>
    <x v="2"/>
  </r>
  <r>
    <x v="416"/>
    <n v="746.39"/>
    <x v="2"/>
  </r>
  <r>
    <x v="417"/>
    <n v="746.39"/>
    <x v="2"/>
  </r>
  <r>
    <x v="418"/>
    <n v="746.39"/>
    <x v="2"/>
  </r>
  <r>
    <x v="419"/>
    <n v="747.2"/>
    <x v="2"/>
  </r>
  <r>
    <x v="420"/>
    <n v="748.07"/>
    <x v="2"/>
  </r>
  <r>
    <x v="421"/>
    <n v="750.06"/>
    <x v="2"/>
  </r>
  <r>
    <x v="422"/>
    <n v="750"/>
    <x v="2"/>
  </r>
  <r>
    <x v="423"/>
    <n v="748.56"/>
    <x v="2"/>
  </r>
  <r>
    <x v="424"/>
    <n v="748.56"/>
    <x v="2"/>
  </r>
  <r>
    <x v="425"/>
    <n v="748.56"/>
    <x v="2"/>
  </r>
  <r>
    <x v="426"/>
    <n v="747.25"/>
    <x v="2"/>
  </r>
  <r>
    <x v="427"/>
    <n v="747.13"/>
    <x v="2"/>
  </r>
  <r>
    <x v="428"/>
    <n v="746.21"/>
    <x v="2"/>
  </r>
  <r>
    <x v="429"/>
    <n v="745.14"/>
    <x v="2"/>
  </r>
  <r>
    <x v="430"/>
    <n v="746.05"/>
    <x v="2"/>
  </r>
  <r>
    <x v="431"/>
    <n v="746.05"/>
    <x v="2"/>
  </r>
  <r>
    <x v="432"/>
    <n v="746.05"/>
    <x v="2"/>
  </r>
  <r>
    <x v="433"/>
    <n v="745.27"/>
    <x v="2"/>
  </r>
  <r>
    <x v="434"/>
    <n v="745.64"/>
    <x v="2"/>
  </r>
  <r>
    <x v="435"/>
    <n v="745.73"/>
    <x v="2"/>
  </r>
  <r>
    <x v="436"/>
    <n v="745.79"/>
    <x v="2"/>
  </r>
  <r>
    <x v="437"/>
    <n v="746.56"/>
    <x v="2"/>
  </r>
  <r>
    <x v="438"/>
    <n v="746.56"/>
    <x v="2"/>
  </r>
  <r>
    <x v="439"/>
    <n v="746.56"/>
    <x v="2"/>
  </r>
  <r>
    <x v="440"/>
    <n v="745.45"/>
    <x v="2"/>
  </r>
  <r>
    <x v="441"/>
    <n v="745.49"/>
    <x v="2"/>
  </r>
  <r>
    <x v="442"/>
    <n v="745.38"/>
    <x v="2"/>
  </r>
  <r>
    <x v="443"/>
    <n v="748.22"/>
    <x v="2"/>
  </r>
  <r>
    <x v="444"/>
    <n v="748.88"/>
    <x v="2"/>
  </r>
  <r>
    <x v="445"/>
    <n v="748.88"/>
    <x v="2"/>
  </r>
  <r>
    <x v="446"/>
    <n v="748.88"/>
    <x v="2"/>
  </r>
  <r>
    <x v="447"/>
    <n v="748.18"/>
    <x v="2"/>
  </r>
  <r>
    <x v="448"/>
    <n v="749.69"/>
    <x v="2"/>
  </r>
  <r>
    <x v="449"/>
    <n v="750.75"/>
    <x v="2"/>
  </r>
  <r>
    <x v="450"/>
    <n v="752.47"/>
    <x v="2"/>
  </r>
  <r>
    <x v="451"/>
    <n v="751.96"/>
    <x v="2"/>
  </r>
  <r>
    <x v="452"/>
    <n v="751.96"/>
    <x v="2"/>
  </r>
  <r>
    <x v="453"/>
    <n v="751.96"/>
    <x v="2"/>
  </r>
  <r>
    <x v="454"/>
    <n v="752.52"/>
    <x v="2"/>
  </r>
  <r>
    <x v="455"/>
    <n v="753.33"/>
    <x v="2"/>
  </r>
  <r>
    <x v="456"/>
    <n v="755.07"/>
    <x v="2"/>
  </r>
  <r>
    <x v="457"/>
    <n v="759.2"/>
    <x v="2"/>
  </r>
  <r>
    <x v="458"/>
    <n v="758.03"/>
    <x v="2"/>
  </r>
  <r>
    <x v="459"/>
    <n v="758.03"/>
    <x v="2"/>
  </r>
  <r>
    <x v="460"/>
    <n v="758.03"/>
    <x v="2"/>
  </r>
  <r>
    <x v="461"/>
    <n v="757.89"/>
    <x v="2"/>
  </r>
  <r>
    <x v="462"/>
    <n v="760.71"/>
    <x v="2"/>
  </r>
  <r>
    <x v="463"/>
    <n v="762.68"/>
    <x v="2"/>
  </r>
  <r>
    <x v="464"/>
    <n v="762.04"/>
    <x v="2"/>
  </r>
  <r>
    <x v="465"/>
    <n v="762.2"/>
    <x v="2"/>
  </r>
  <r>
    <x v="466"/>
    <n v="762.2"/>
    <x v="2"/>
  </r>
  <r>
    <x v="467"/>
    <n v="762.2"/>
    <x v="2"/>
  </r>
  <r>
    <x v="468"/>
    <n v="763.38"/>
    <x v="2"/>
  </r>
  <r>
    <x v="469"/>
    <n v="763.9"/>
    <x v="2"/>
  </r>
  <r>
    <x v="470"/>
    <n v="764.74"/>
    <x v="2"/>
  </r>
  <r>
    <x v="471"/>
    <n v="765.19"/>
    <x v="2"/>
  </r>
  <r>
    <x v="472"/>
    <n v="764.79"/>
    <x v="2"/>
  </r>
  <r>
    <x v="473"/>
    <n v="764.79"/>
    <x v="2"/>
  </r>
  <r>
    <x v="474"/>
    <n v="764.79"/>
    <x v="2"/>
  </r>
  <r>
    <x v="475"/>
    <n v="764.29"/>
    <x v="2"/>
  </r>
  <r>
    <x v="476"/>
    <n v="765.06"/>
    <x v="2"/>
  </r>
  <r>
    <x v="477"/>
    <n v="766.12"/>
    <x v="2"/>
  </r>
  <r>
    <x v="478"/>
    <n v="766.42"/>
    <x v="2"/>
  </r>
  <r>
    <x v="479"/>
    <n v="766.84"/>
    <x v="2"/>
  </r>
  <r>
    <x v="480"/>
    <n v="766.84"/>
    <x v="2"/>
  </r>
  <r>
    <x v="481"/>
    <n v="766.84"/>
    <x v="2"/>
  </r>
  <r>
    <x v="482"/>
    <n v="766.84"/>
    <x v="2"/>
  </r>
  <r>
    <x v="483"/>
    <n v="766.63"/>
    <x v="2"/>
  </r>
  <r>
    <x v="484"/>
    <n v="766.91"/>
    <x v="2"/>
  </r>
  <r>
    <x v="485"/>
    <n v="767.99"/>
    <x v="2"/>
  </r>
  <r>
    <x v="486"/>
    <n v="767.4"/>
    <x v="2"/>
  </r>
  <r>
    <x v="487"/>
    <n v="767.4"/>
    <x v="2"/>
  </r>
  <r>
    <x v="488"/>
    <n v="767.4"/>
    <x v="2"/>
  </r>
  <r>
    <x v="489"/>
    <n v="766.79"/>
    <x v="2"/>
  </r>
  <r>
    <x v="490"/>
    <n v="766.41"/>
    <x v="2"/>
  </r>
  <r>
    <x v="491"/>
    <n v="766.44"/>
    <x v="2"/>
  </r>
  <r>
    <x v="492"/>
    <n v="767.98"/>
    <x v="2"/>
  </r>
  <r>
    <x v="493"/>
    <n v="768.46"/>
    <x v="2"/>
  </r>
  <r>
    <x v="494"/>
    <n v="768.46"/>
    <x v="2"/>
  </r>
  <r>
    <x v="495"/>
    <n v="768.46"/>
    <x v="2"/>
  </r>
  <r>
    <x v="496"/>
    <n v="768.31"/>
    <x v="2"/>
  </r>
  <r>
    <x v="497"/>
    <n v="768.52"/>
    <x v="2"/>
  </r>
  <r>
    <x v="498"/>
    <n v="768.6"/>
    <x v="2"/>
  </r>
  <r>
    <x v="499"/>
    <n v="768.6"/>
    <x v="2"/>
  </r>
  <r>
    <x v="500"/>
    <n v="768.6"/>
    <x v="2"/>
  </r>
  <r>
    <x v="501"/>
    <n v="768.6"/>
    <x v="2"/>
  </r>
  <r>
    <x v="502"/>
    <n v="768.6"/>
    <x v="2"/>
  </r>
  <r>
    <x v="503"/>
    <n v="769.34"/>
    <x v="2"/>
  </r>
  <r>
    <x v="504"/>
    <n v="769.8"/>
    <x v="2"/>
  </r>
  <r>
    <x v="505"/>
    <n v="771.56"/>
    <x v="2"/>
  </r>
  <r>
    <x v="506"/>
    <n v="772.71"/>
    <x v="2"/>
  </r>
  <r>
    <x v="507"/>
    <n v="773.22"/>
    <x v="2"/>
  </r>
  <r>
    <x v="508"/>
    <n v="773.22"/>
    <x v="2"/>
  </r>
  <r>
    <x v="509"/>
    <n v="773.22"/>
    <x v="2"/>
  </r>
  <r>
    <x v="510"/>
    <n v="773.7"/>
    <x v="2"/>
  </r>
  <r>
    <x v="511"/>
    <n v="773.97"/>
    <x v="2"/>
  </r>
  <r>
    <x v="512"/>
    <n v="774.34"/>
    <x v="2"/>
  </r>
  <r>
    <x v="513"/>
    <n v="775.05"/>
    <x v="2"/>
  </r>
  <r>
    <x v="514"/>
    <n v="775.32"/>
    <x v="2"/>
  </r>
  <r>
    <x v="515"/>
    <n v="775.32"/>
    <x v="2"/>
  </r>
  <r>
    <x v="516"/>
    <n v="775.32"/>
    <x v="2"/>
  </r>
  <r>
    <x v="517"/>
    <n v="775.2"/>
    <x v="2"/>
  </r>
  <r>
    <x v="518"/>
    <n v="774.52"/>
    <x v="2"/>
  </r>
  <r>
    <x v="519"/>
    <n v="773.78"/>
    <x v="2"/>
  </r>
  <r>
    <x v="520"/>
    <n v="774.94"/>
    <x v="2"/>
  </r>
  <r>
    <x v="521"/>
    <n v="773.82"/>
    <x v="2"/>
  </r>
  <r>
    <x v="522"/>
    <n v="773.82"/>
    <x v="2"/>
  </r>
  <r>
    <x v="523"/>
    <n v="773.82"/>
    <x v="2"/>
  </r>
  <r>
    <x v="524"/>
    <n v="775.53"/>
    <x v="2"/>
  </r>
  <r>
    <x v="525"/>
    <n v="776.99"/>
    <x v="2"/>
  </r>
  <r>
    <x v="526"/>
    <n v="777.88"/>
    <x v="2"/>
  </r>
  <r>
    <x v="527"/>
    <n v="778.17"/>
    <x v="2"/>
  </r>
  <r>
    <x v="528"/>
    <n v="777.17"/>
    <x v="2"/>
  </r>
  <r>
    <x v="529"/>
    <n v="777.17"/>
    <x v="2"/>
  </r>
  <r>
    <x v="530"/>
    <n v="777.17"/>
    <x v="2"/>
  </r>
  <r>
    <x v="531"/>
    <n v="777.75"/>
    <x v="2"/>
  </r>
  <r>
    <x v="532"/>
    <n v="779.41"/>
    <x v="2"/>
  </r>
  <r>
    <x v="533"/>
    <n v="780.49"/>
    <x v="2"/>
  </r>
  <r>
    <x v="534"/>
    <n v="780.8"/>
    <x v="2"/>
  </r>
  <r>
    <x v="535"/>
    <n v="780.79"/>
    <x v="2"/>
  </r>
  <r>
    <x v="536"/>
    <n v="780.79"/>
    <x v="2"/>
  </r>
  <r>
    <x v="537"/>
    <n v="780.79"/>
    <x v="2"/>
  </r>
  <r>
    <x v="538"/>
    <n v="781.42"/>
    <x v="2"/>
  </r>
  <r>
    <x v="539"/>
    <n v="781.8"/>
    <x v="2"/>
  </r>
  <r>
    <x v="540"/>
    <n v="781.84"/>
    <x v="2"/>
  </r>
  <r>
    <x v="541"/>
    <n v="781.94"/>
    <x v="2"/>
  </r>
  <r>
    <x v="542"/>
    <n v="782"/>
    <x v="2"/>
  </r>
  <r>
    <x v="543"/>
    <n v="782"/>
    <x v="2"/>
  </r>
  <r>
    <x v="544"/>
    <n v="782"/>
    <x v="2"/>
  </r>
  <r>
    <x v="545"/>
    <n v="782"/>
    <x v="2"/>
  </r>
  <r>
    <x v="546"/>
    <n v="783.15"/>
    <x v="2"/>
  </r>
  <r>
    <x v="547"/>
    <n v="782.85"/>
    <x v="2"/>
  </r>
  <r>
    <x v="548"/>
    <n v="780.78"/>
    <x v="2"/>
  </r>
  <r>
    <x v="549"/>
    <n v="779.56"/>
    <x v="2"/>
  </r>
  <r>
    <x v="550"/>
    <n v="779.56"/>
    <x v="2"/>
  </r>
  <r>
    <x v="551"/>
    <n v="779.56"/>
    <x v="2"/>
  </r>
  <r>
    <x v="552"/>
    <n v="779"/>
    <x v="2"/>
  </r>
  <r>
    <x v="553"/>
    <n v="779.01"/>
    <x v="2"/>
  </r>
  <r>
    <x v="554"/>
    <n v="777.82"/>
    <x v="2"/>
  </r>
  <r>
    <x v="555"/>
    <n v="778.12"/>
    <x v="2"/>
  </r>
  <r>
    <x v="556"/>
    <n v="780.6"/>
    <x v="2"/>
  </r>
  <r>
    <x v="557"/>
    <n v="780.6"/>
    <x v="2"/>
  </r>
  <r>
    <x v="558"/>
    <n v="780.6"/>
    <x v="2"/>
  </r>
  <r>
    <x v="559"/>
    <n v="782.29"/>
    <x v="2"/>
  </r>
  <r>
    <x v="560"/>
    <n v="784.62"/>
    <x v="2"/>
  </r>
  <r>
    <x v="561"/>
    <n v="784.95"/>
    <x v="2"/>
  </r>
  <r>
    <x v="562"/>
    <n v="785.79"/>
    <x v="2"/>
  </r>
  <r>
    <x v="563"/>
    <n v="784.8"/>
    <x v="2"/>
  </r>
  <r>
    <x v="564"/>
    <n v="784.8"/>
    <x v="2"/>
  </r>
  <r>
    <x v="565"/>
    <n v="784.8"/>
    <x v="2"/>
  </r>
  <r>
    <x v="566"/>
    <n v="784.8"/>
    <x v="2"/>
  </r>
  <r>
    <x v="567"/>
    <n v="785.9"/>
    <x v="2"/>
  </r>
  <r>
    <x v="568"/>
    <n v="786.64"/>
    <x v="2"/>
  </r>
  <r>
    <x v="569"/>
    <n v="787.49"/>
    <x v="2"/>
  </r>
  <r>
    <x v="570"/>
    <n v="786.77"/>
    <x v="2"/>
  </r>
  <r>
    <x v="571"/>
    <n v="786.77"/>
    <x v="2"/>
  </r>
  <r>
    <x v="572"/>
    <n v="786.77"/>
    <x v="2"/>
  </r>
  <r>
    <x v="573"/>
    <n v="786.77"/>
    <x v="2"/>
  </r>
  <r>
    <x v="574"/>
    <n v="787.06"/>
    <x v="2"/>
  </r>
  <r>
    <x v="575"/>
    <n v="786.42"/>
    <x v="2"/>
  </r>
  <r>
    <x v="576"/>
    <n v="786.72"/>
    <x v="2"/>
  </r>
  <r>
    <x v="577"/>
    <n v="786.96"/>
    <x v="2"/>
  </r>
  <r>
    <x v="578"/>
    <n v="786.96"/>
    <x v="2"/>
  </r>
  <r>
    <x v="579"/>
    <n v="786.96"/>
    <x v="2"/>
  </r>
  <r>
    <x v="580"/>
    <n v="786.8"/>
    <x v="2"/>
  </r>
  <r>
    <x v="581"/>
    <n v="787.12"/>
    <x v="2"/>
  </r>
  <r>
    <x v="582"/>
    <n v="786.1"/>
    <x v="2"/>
  </r>
  <r>
    <x v="583"/>
    <n v="787.51"/>
    <x v="2"/>
  </r>
  <r>
    <x v="584"/>
    <n v="788.65"/>
    <x v="2"/>
  </r>
  <r>
    <x v="585"/>
    <n v="788.65"/>
    <x v="2"/>
  </r>
  <r>
    <x v="586"/>
    <n v="788.65"/>
    <x v="2"/>
  </r>
  <r>
    <x v="587"/>
    <n v="788.65"/>
    <x v="2"/>
  </r>
  <r>
    <x v="588"/>
    <n v="789.47"/>
    <x v="2"/>
  </r>
  <r>
    <x v="589"/>
    <n v="790.58"/>
    <x v="2"/>
  </r>
  <r>
    <x v="590"/>
    <n v="791.73"/>
    <x v="2"/>
  </r>
  <r>
    <x v="591"/>
    <n v="793.18"/>
    <x v="2"/>
  </r>
  <r>
    <x v="592"/>
    <n v="793.18"/>
    <x v="2"/>
  </r>
  <r>
    <x v="593"/>
    <n v="793.18"/>
    <x v="2"/>
  </r>
  <r>
    <x v="594"/>
    <n v="794.67"/>
    <x v="2"/>
  </r>
  <r>
    <x v="595"/>
    <n v="795.66"/>
    <x v="2"/>
  </r>
  <r>
    <x v="596"/>
    <n v="797"/>
    <x v="2"/>
  </r>
  <r>
    <x v="597"/>
    <n v="797.06"/>
    <x v="2"/>
  </r>
  <r>
    <x v="598"/>
    <n v="797.31"/>
    <x v="2"/>
  </r>
  <r>
    <x v="599"/>
    <n v="797.31"/>
    <x v="2"/>
  </r>
  <r>
    <x v="600"/>
    <n v="797.31"/>
    <x v="2"/>
  </r>
  <r>
    <x v="601"/>
    <n v="797.41"/>
    <x v="2"/>
  </r>
  <r>
    <x v="602"/>
    <n v="797.41"/>
    <x v="2"/>
  </r>
  <r>
    <x v="603"/>
    <n v="797.63"/>
    <x v="2"/>
  </r>
  <r>
    <x v="604"/>
    <n v="798.17"/>
    <x v="2"/>
  </r>
  <r>
    <x v="605"/>
    <n v="798.83"/>
    <x v="2"/>
  </r>
  <r>
    <x v="606"/>
    <n v="798.83"/>
    <x v="2"/>
  </r>
  <r>
    <x v="607"/>
    <n v="798.83"/>
    <x v="2"/>
  </r>
  <r>
    <x v="608"/>
    <n v="799.17"/>
    <x v="2"/>
  </r>
  <r>
    <x v="609"/>
    <n v="799.96"/>
    <x v="2"/>
  </r>
  <r>
    <x v="610"/>
    <n v="800.42"/>
    <x v="2"/>
  </r>
  <r>
    <x v="611"/>
    <n v="801.04"/>
    <x v="2"/>
  </r>
  <r>
    <x v="612"/>
    <n v="801.35"/>
    <x v="2"/>
  </r>
  <r>
    <x v="613"/>
    <n v="801.35"/>
    <x v="2"/>
  </r>
  <r>
    <x v="614"/>
    <n v="801.35"/>
    <x v="2"/>
  </r>
  <r>
    <x v="615"/>
    <n v="801.15"/>
    <x v="2"/>
  </r>
  <r>
    <x v="616"/>
    <n v="801.86"/>
    <x v="2"/>
  </r>
  <r>
    <x v="617"/>
    <n v="801.82"/>
    <x v="2"/>
  </r>
  <r>
    <x v="618"/>
    <n v="801.86"/>
    <x v="2"/>
  </r>
  <r>
    <x v="619"/>
    <n v="801.78"/>
    <x v="2"/>
  </r>
  <r>
    <x v="620"/>
    <n v="801.78"/>
    <x v="2"/>
  </r>
  <r>
    <x v="621"/>
    <n v="801.78"/>
    <x v="2"/>
  </r>
  <r>
    <x v="622"/>
    <n v="802.3"/>
    <x v="2"/>
  </r>
  <r>
    <x v="623"/>
    <n v="803.22"/>
    <x v="2"/>
  </r>
  <r>
    <x v="624"/>
    <n v="804.48"/>
    <x v="2"/>
  </r>
  <r>
    <x v="625"/>
    <n v="804.93"/>
    <x v="2"/>
  </r>
  <r>
    <x v="626"/>
    <n v="804.51"/>
    <x v="2"/>
  </r>
  <r>
    <x v="627"/>
    <n v="804.51"/>
    <x v="2"/>
  </r>
  <r>
    <x v="628"/>
    <n v="804.51"/>
    <x v="2"/>
  </r>
  <r>
    <x v="629"/>
    <n v="804.51"/>
    <x v="2"/>
  </r>
  <r>
    <x v="630"/>
    <n v="804.76"/>
    <x v="2"/>
  </r>
  <r>
    <x v="631"/>
    <n v="805.62"/>
    <x v="2"/>
  </r>
  <r>
    <x v="632"/>
    <n v="806.15"/>
    <x v="2"/>
  </r>
  <r>
    <x v="633"/>
    <n v="806.72"/>
    <x v="2"/>
  </r>
  <r>
    <x v="634"/>
    <n v="806.72"/>
    <x v="2"/>
  </r>
  <r>
    <x v="635"/>
    <n v="806.72"/>
    <x v="2"/>
  </r>
  <r>
    <x v="636"/>
    <n v="807.04"/>
    <x v="2"/>
  </r>
  <r>
    <x v="637"/>
    <n v="807.57"/>
    <x v="2"/>
  </r>
  <r>
    <x v="638"/>
    <n v="807.77"/>
    <x v="2"/>
  </r>
  <r>
    <x v="639"/>
    <n v="807.55"/>
    <x v="2"/>
  </r>
  <r>
    <x v="640"/>
    <n v="807.53"/>
    <x v="2"/>
  </r>
  <r>
    <x v="641"/>
    <n v="807.53"/>
    <x v="2"/>
  </r>
  <r>
    <x v="642"/>
    <n v="807.53"/>
    <x v="2"/>
  </r>
  <r>
    <x v="643"/>
    <n v="806.86"/>
    <x v="2"/>
  </r>
  <r>
    <x v="644"/>
    <n v="806.83"/>
    <x v="2"/>
  </r>
  <r>
    <x v="645"/>
    <n v="808.04"/>
    <x v="2"/>
  </r>
  <r>
    <x v="646"/>
    <n v="807.96"/>
    <x v="2"/>
  </r>
  <r>
    <x v="647"/>
    <n v="807.68"/>
    <x v="2"/>
  </r>
  <r>
    <x v="648"/>
    <n v="807.68"/>
    <x v="2"/>
  </r>
  <r>
    <x v="649"/>
    <n v="807.68"/>
    <x v="2"/>
  </r>
  <r>
    <x v="650"/>
    <n v="807.62"/>
    <x v="2"/>
  </r>
  <r>
    <x v="651"/>
    <n v="808.24"/>
    <x v="2"/>
  </r>
  <r>
    <x v="652"/>
    <n v="809.33"/>
    <x v="2"/>
  </r>
  <r>
    <x v="653"/>
    <n v="810.25"/>
    <x v="2"/>
  </r>
  <r>
    <x v="654"/>
    <n v="810.03"/>
    <x v="2"/>
  </r>
  <r>
    <x v="655"/>
    <n v="810.03"/>
    <x v="2"/>
  </r>
  <r>
    <x v="656"/>
    <n v="810.03"/>
    <x v="2"/>
  </r>
  <r>
    <x v="657"/>
    <n v="810.09"/>
    <x v="2"/>
  </r>
  <r>
    <x v="658"/>
    <n v="810.81"/>
    <x v="2"/>
  </r>
  <r>
    <x v="659"/>
    <n v="811.75"/>
    <x v="2"/>
  </r>
  <r>
    <x v="660"/>
    <n v="811.93"/>
    <x v="2"/>
  </r>
  <r>
    <x v="661"/>
    <n v="811.18"/>
    <x v="2"/>
  </r>
  <r>
    <x v="662"/>
    <n v="811.18"/>
    <x v="2"/>
  </r>
  <r>
    <x v="663"/>
    <n v="811.18"/>
    <x v="2"/>
  </r>
  <r>
    <x v="664"/>
    <n v="810.88"/>
    <x v="2"/>
  </r>
  <r>
    <x v="665"/>
    <n v="809.75"/>
    <x v="2"/>
  </r>
  <r>
    <x v="666"/>
    <n v="810.04"/>
    <x v="2"/>
  </r>
  <r>
    <x v="667"/>
    <n v="810.55"/>
    <x v="2"/>
  </r>
  <r>
    <x v="668"/>
    <n v="809.93"/>
    <x v="2"/>
  </r>
  <r>
    <x v="669"/>
    <n v="809.93"/>
    <x v="2"/>
  </r>
  <r>
    <x v="670"/>
    <n v="809.93"/>
    <x v="2"/>
  </r>
  <r>
    <x v="671"/>
    <n v="809.55"/>
    <x v="2"/>
  </r>
  <r>
    <x v="672"/>
    <n v="809.69"/>
    <x v="2"/>
  </r>
  <r>
    <x v="673"/>
    <n v="810.84"/>
    <x v="2"/>
  </r>
  <r>
    <x v="674"/>
    <n v="811.31"/>
    <x v="2"/>
  </r>
  <r>
    <x v="675"/>
    <n v="812.29"/>
    <x v="2"/>
  </r>
  <r>
    <x v="676"/>
    <n v="812.29"/>
    <x v="2"/>
  </r>
  <r>
    <x v="677"/>
    <n v="812.29"/>
    <x v="2"/>
  </r>
  <r>
    <x v="678"/>
    <n v="812.27"/>
    <x v="2"/>
  </r>
  <r>
    <x v="679"/>
    <n v="812.75"/>
    <x v="2"/>
  </r>
  <r>
    <x v="680"/>
    <n v="812.54"/>
    <x v="2"/>
  </r>
  <r>
    <x v="681"/>
    <n v="811.91"/>
    <x v="2"/>
  </r>
  <r>
    <x v="682"/>
    <n v="811.28"/>
    <x v="2"/>
  </r>
  <r>
    <x v="683"/>
    <n v="811.28"/>
    <x v="2"/>
  </r>
  <r>
    <x v="684"/>
    <n v="811.28"/>
    <x v="2"/>
  </r>
  <r>
    <x v="685"/>
    <n v="811.19"/>
    <x v="2"/>
  </r>
  <r>
    <x v="686"/>
    <n v="811.47"/>
    <x v="2"/>
  </r>
  <r>
    <x v="687"/>
    <n v="811.46"/>
    <x v="2"/>
  </r>
  <r>
    <x v="688"/>
    <n v="812.41"/>
    <x v="2"/>
  </r>
  <r>
    <x v="689"/>
    <n v="813.28"/>
    <x v="2"/>
  </r>
  <r>
    <x v="690"/>
    <n v="813.28"/>
    <x v="2"/>
  </r>
  <r>
    <x v="691"/>
    <n v="813.28"/>
    <x v="2"/>
  </r>
  <r>
    <x v="692"/>
    <n v="813.28"/>
    <x v="2"/>
  </r>
  <r>
    <x v="693"/>
    <n v="813.79"/>
    <x v="2"/>
  </r>
  <r>
    <x v="694"/>
    <n v="816.41"/>
    <x v="2"/>
  </r>
  <r>
    <x v="695"/>
    <n v="819.26"/>
    <x v="2"/>
  </r>
  <r>
    <x v="696"/>
    <n v="819.41"/>
    <x v="2"/>
  </r>
  <r>
    <x v="697"/>
    <n v="819.41"/>
    <x v="2"/>
  </r>
  <r>
    <x v="698"/>
    <n v="819.41"/>
    <x v="2"/>
  </r>
  <r>
    <x v="699"/>
    <n v="819.44"/>
    <x v="2"/>
  </r>
  <r>
    <x v="700"/>
    <n v="819.55"/>
    <x v="2"/>
  </r>
  <r>
    <x v="701"/>
    <n v="818.98"/>
    <x v="2"/>
  </r>
  <r>
    <x v="702"/>
    <n v="818.06"/>
    <x v="2"/>
  </r>
  <r>
    <x v="703"/>
    <n v="817.03"/>
    <x v="2"/>
  </r>
  <r>
    <x v="704"/>
    <n v="817.03"/>
    <x v="2"/>
  </r>
  <r>
    <x v="705"/>
    <n v="817.03"/>
    <x v="2"/>
  </r>
  <r>
    <x v="706"/>
    <n v="817.03"/>
    <x v="2"/>
  </r>
  <r>
    <x v="707"/>
    <n v="816.7"/>
    <x v="2"/>
  </r>
  <r>
    <x v="708"/>
    <n v="817.01"/>
    <x v="2"/>
  </r>
  <r>
    <x v="709"/>
    <n v="816.79"/>
    <x v="2"/>
  </r>
  <r>
    <x v="710"/>
    <n v="815.7"/>
    <x v="2"/>
  </r>
  <r>
    <x v="711"/>
    <n v="815.7"/>
    <x v="2"/>
  </r>
  <r>
    <x v="712"/>
    <n v="815.7"/>
    <x v="2"/>
  </r>
  <r>
    <x v="713"/>
    <n v="814.26"/>
    <x v="2"/>
  </r>
  <r>
    <x v="714"/>
    <n v="813.95"/>
    <x v="2"/>
  </r>
  <r>
    <x v="715"/>
    <n v="811.07"/>
    <x v="2"/>
  </r>
  <r>
    <x v="716"/>
    <n v="809.87"/>
    <x v="2"/>
  </r>
  <r>
    <x v="717"/>
    <n v="809.95"/>
    <x v="2"/>
  </r>
  <r>
    <x v="718"/>
    <n v="809.95"/>
    <x v="2"/>
  </r>
  <r>
    <x v="719"/>
    <n v="809.95"/>
    <x v="2"/>
  </r>
  <r>
    <x v="720"/>
    <n v="809.95"/>
    <x v="2"/>
  </r>
  <r>
    <x v="721"/>
    <n v="815.18"/>
    <x v="2"/>
  </r>
  <r>
    <x v="722"/>
    <n v="816.32"/>
    <x v="2"/>
  </r>
  <r>
    <x v="723"/>
    <n v="816.62"/>
    <x v="2"/>
  </r>
  <r>
    <x v="724"/>
    <n v="817.06"/>
    <x v="2"/>
  </r>
  <r>
    <x v="725"/>
    <n v="817.06"/>
    <x v="2"/>
  </r>
  <r>
    <x v="726"/>
    <n v="817.06"/>
    <x v="2"/>
  </r>
  <r>
    <x v="727"/>
    <n v="814.48"/>
    <x v="2"/>
  </r>
  <r>
    <x v="728"/>
    <n v="812.12"/>
    <x v="2"/>
  </r>
  <r>
    <x v="729"/>
    <n v="811.67"/>
    <x v="2"/>
  </r>
  <r>
    <x v="730"/>
    <n v="812.04"/>
    <x v="2"/>
  </r>
  <r>
    <x v="731"/>
    <n v="812.11"/>
    <x v="2"/>
  </r>
  <r>
    <x v="732"/>
    <n v="812.11"/>
    <x v="2"/>
  </r>
  <r>
    <x v="733"/>
    <n v="812.11"/>
    <x v="2"/>
  </r>
  <r>
    <x v="734"/>
    <n v="811.73"/>
    <x v="2"/>
  </r>
  <r>
    <x v="735"/>
    <n v="812.21"/>
    <x v="2"/>
  </r>
  <r>
    <x v="736"/>
    <n v="811.78"/>
    <x v="2"/>
  </r>
  <r>
    <x v="737"/>
    <n v="809.63"/>
    <x v="2"/>
  </r>
  <r>
    <x v="738"/>
    <n v="806.49"/>
    <x v="2"/>
  </r>
  <r>
    <x v="739"/>
    <n v="806.49"/>
    <x v="2"/>
  </r>
  <r>
    <x v="740"/>
    <n v="806.49"/>
    <x v="2"/>
  </r>
  <r>
    <x v="741"/>
    <n v="803.1"/>
    <x v="2"/>
  </r>
  <r>
    <x v="742"/>
    <n v="800.6"/>
    <x v="2"/>
  </r>
  <r>
    <x v="743"/>
    <n v="800.6"/>
    <x v="2"/>
  </r>
  <r>
    <x v="744"/>
    <n v="798.51"/>
    <x v="2"/>
  </r>
  <r>
    <x v="745"/>
    <n v="797.53"/>
    <x v="2"/>
  </r>
  <r>
    <x v="746"/>
    <n v="797.53"/>
    <x v="2"/>
  </r>
  <r>
    <x v="747"/>
    <n v="797.53"/>
    <x v="2"/>
  </r>
  <r>
    <x v="748"/>
    <n v="798.2"/>
    <x v="2"/>
  </r>
  <r>
    <x v="749"/>
    <n v="798.12"/>
    <x v="2"/>
  </r>
  <r>
    <x v="750"/>
    <n v="799.43"/>
    <x v="2"/>
  </r>
  <r>
    <x v="751"/>
    <n v="804.89"/>
    <x v="2"/>
  </r>
  <r>
    <x v="752"/>
    <n v="806.5"/>
    <x v="2"/>
  </r>
  <r>
    <x v="753"/>
    <n v="806.5"/>
    <x v="2"/>
  </r>
  <r>
    <x v="754"/>
    <n v="806.5"/>
    <x v="2"/>
  </r>
  <r>
    <x v="755"/>
    <n v="803.81"/>
    <x v="2"/>
  </r>
  <r>
    <x v="756"/>
    <n v="802.46"/>
    <x v="2"/>
  </r>
  <r>
    <x v="757"/>
    <n v="801.4"/>
    <x v="2"/>
  </r>
  <r>
    <x v="758"/>
    <n v="801.69"/>
    <x v="2"/>
  </r>
  <r>
    <x v="759"/>
    <n v="801.69"/>
    <x v="2"/>
  </r>
  <r>
    <x v="760"/>
    <n v="801.69"/>
    <x v="2"/>
  </r>
  <r>
    <x v="761"/>
    <n v="801.69"/>
    <x v="2"/>
  </r>
  <r>
    <x v="762"/>
    <n v="809.13"/>
    <x v="2"/>
  </r>
  <r>
    <x v="763"/>
    <n v="802.33"/>
    <x v="2"/>
  </r>
  <r>
    <x v="764"/>
    <n v="802.71"/>
    <x v="2"/>
  </r>
  <r>
    <x v="765"/>
    <n v="804.33"/>
    <x v="2"/>
  </r>
  <r>
    <x v="766"/>
    <n v="804.33"/>
    <x v="3"/>
  </r>
  <r>
    <x v="767"/>
    <n v="804.33"/>
    <x v="3"/>
  </r>
  <r>
    <x v="768"/>
    <n v="804.33"/>
    <x v="3"/>
  </r>
  <r>
    <x v="769"/>
    <n v="805.91"/>
    <x v="3"/>
  </r>
  <r>
    <x v="770"/>
    <n v="810.01"/>
    <x v="3"/>
  </r>
  <r>
    <x v="771"/>
    <n v="814.21"/>
    <x v="3"/>
  </r>
  <r>
    <x v="772"/>
    <n v="818.83"/>
    <x v="3"/>
  </r>
  <r>
    <x v="773"/>
    <n v="818.89"/>
    <x v="3"/>
  </r>
  <r>
    <x v="774"/>
    <n v="818.89"/>
    <x v="3"/>
  </r>
  <r>
    <x v="775"/>
    <n v="818.89"/>
    <x v="3"/>
  </r>
  <r>
    <x v="776"/>
    <n v="818.89"/>
    <x v="3"/>
  </r>
  <r>
    <x v="777"/>
    <n v="818.5"/>
    <x v="3"/>
  </r>
  <r>
    <x v="778"/>
    <n v="819.81"/>
    <x v="3"/>
  </r>
  <r>
    <x v="779"/>
    <n v="820.1"/>
    <x v="3"/>
  </r>
  <r>
    <x v="780"/>
    <n v="815.81"/>
    <x v="3"/>
  </r>
  <r>
    <x v="781"/>
    <n v="815.81"/>
    <x v="3"/>
  </r>
  <r>
    <x v="782"/>
    <n v="815.81"/>
    <x v="3"/>
  </r>
  <r>
    <x v="783"/>
    <n v="816.91"/>
    <x v="3"/>
  </r>
  <r>
    <x v="784"/>
    <n v="816.15"/>
    <x v="3"/>
  </r>
  <r>
    <x v="785"/>
    <n v="814.56"/>
    <x v="3"/>
  </r>
  <r>
    <x v="786"/>
    <n v="815.91"/>
    <x v="3"/>
  </r>
  <r>
    <x v="787"/>
    <n v="815.65"/>
    <x v="3"/>
  </r>
  <r>
    <x v="788"/>
    <n v="815.65"/>
    <x v="3"/>
  </r>
  <r>
    <x v="789"/>
    <n v="815.65"/>
    <x v="3"/>
  </r>
  <r>
    <x v="790"/>
    <n v="816.69"/>
    <x v="3"/>
  </r>
  <r>
    <x v="791"/>
    <n v="819.1"/>
    <x v="3"/>
  </r>
  <r>
    <x v="792"/>
    <n v="821.52"/>
    <x v="3"/>
  </r>
  <r>
    <x v="793"/>
    <n v="821.72"/>
    <x v="3"/>
  </r>
  <r>
    <x v="794"/>
    <n v="818.38"/>
    <x v="3"/>
  </r>
  <r>
    <x v="795"/>
    <n v="818.38"/>
    <x v="3"/>
  </r>
  <r>
    <x v="796"/>
    <n v="818.38"/>
    <x v="3"/>
  </r>
  <r>
    <x v="797"/>
    <n v="817"/>
    <x v="3"/>
  </r>
  <r>
    <x v="798"/>
    <n v="819.27"/>
    <x v="3"/>
  </r>
  <r>
    <x v="799"/>
    <n v="817.96"/>
    <x v="3"/>
  </r>
  <r>
    <x v="800"/>
    <n v="817.69"/>
    <x v="3"/>
  </r>
  <r>
    <x v="801"/>
    <n v="818"/>
    <x v="3"/>
  </r>
  <r>
    <x v="802"/>
    <n v="818"/>
    <x v="3"/>
  </r>
  <r>
    <x v="803"/>
    <n v="818"/>
    <x v="3"/>
  </r>
  <r>
    <x v="804"/>
    <n v="817.64"/>
    <x v="3"/>
  </r>
  <r>
    <x v="805"/>
    <n v="817.81"/>
    <x v="3"/>
  </r>
  <r>
    <x v="806"/>
    <n v="817.88"/>
    <x v="3"/>
  </r>
  <r>
    <x v="807"/>
    <n v="817.88"/>
    <x v="3"/>
  </r>
  <r>
    <x v="808"/>
    <n v="817.78"/>
    <x v="3"/>
  </r>
  <r>
    <x v="809"/>
    <n v="817.78"/>
    <x v="3"/>
  </r>
  <r>
    <x v="810"/>
    <n v="817.78"/>
    <x v="3"/>
  </r>
  <r>
    <x v="811"/>
    <n v="817.59"/>
    <x v="3"/>
  </r>
  <r>
    <x v="812"/>
    <n v="816.92"/>
    <x v="3"/>
  </r>
  <r>
    <x v="813"/>
    <n v="816.1"/>
    <x v="3"/>
  </r>
  <r>
    <x v="814"/>
    <n v="815.19"/>
    <x v="3"/>
  </r>
  <r>
    <x v="815"/>
    <n v="814.13"/>
    <x v="3"/>
  </r>
  <r>
    <x v="816"/>
    <n v="814.13"/>
    <x v="3"/>
  </r>
  <r>
    <x v="817"/>
    <n v="814.13"/>
    <x v="3"/>
  </r>
  <r>
    <x v="818"/>
    <n v="816.04"/>
    <x v="3"/>
  </r>
  <r>
    <x v="819"/>
    <n v="818.33"/>
    <x v="3"/>
  </r>
  <r>
    <x v="820"/>
    <n v="820.76"/>
    <x v="3"/>
  </r>
  <r>
    <x v="821"/>
    <n v="819.68"/>
    <x v="3"/>
  </r>
  <r>
    <x v="822"/>
    <n v="819.7"/>
    <x v="3"/>
  </r>
  <r>
    <x v="823"/>
    <n v="819.7"/>
    <x v="3"/>
  </r>
  <r>
    <x v="824"/>
    <n v="819.7"/>
    <x v="3"/>
  </r>
  <r>
    <x v="825"/>
    <n v="820.12"/>
    <x v="3"/>
  </r>
  <r>
    <x v="826"/>
    <n v="819.83"/>
    <x v="3"/>
  </r>
  <r>
    <x v="827"/>
    <n v="819.61"/>
    <x v="3"/>
  </r>
  <r>
    <x v="828"/>
    <n v="818.7"/>
    <x v="3"/>
  </r>
  <r>
    <x v="829"/>
    <n v="817.86"/>
    <x v="3"/>
  </r>
  <r>
    <x v="830"/>
    <n v="817.86"/>
    <x v="3"/>
  </r>
  <r>
    <x v="831"/>
    <n v="817.86"/>
    <x v="3"/>
  </r>
  <r>
    <x v="832"/>
    <n v="817.76"/>
    <x v="3"/>
  </r>
  <r>
    <x v="833"/>
    <n v="818.02"/>
    <x v="3"/>
  </r>
  <r>
    <x v="834"/>
    <n v="818.37"/>
    <x v="3"/>
  </r>
  <r>
    <x v="835"/>
    <n v="818.46"/>
    <x v="3"/>
  </r>
  <r>
    <x v="836"/>
    <n v="818.62"/>
    <x v="3"/>
  </r>
  <r>
    <x v="837"/>
    <n v="818.62"/>
    <x v="3"/>
  </r>
  <r>
    <x v="838"/>
    <n v="818.62"/>
    <x v="3"/>
  </r>
  <r>
    <x v="839"/>
    <n v="818.69"/>
    <x v="3"/>
  </r>
  <r>
    <x v="840"/>
    <n v="818.49"/>
    <x v="3"/>
  </r>
  <r>
    <x v="841"/>
    <n v="820.44"/>
    <x v="3"/>
  </r>
  <r>
    <x v="842"/>
    <n v="820.91"/>
    <x v="3"/>
  </r>
  <r>
    <x v="843"/>
    <n v="821.34"/>
    <x v="3"/>
  </r>
  <r>
    <x v="844"/>
    <n v="821.34"/>
    <x v="3"/>
  </r>
  <r>
    <x v="845"/>
    <n v="821.34"/>
    <x v="3"/>
  </r>
  <r>
    <x v="846"/>
    <n v="821.34"/>
    <x v="3"/>
  </r>
  <r>
    <x v="847"/>
    <n v="821.73"/>
    <x v="3"/>
  </r>
  <r>
    <x v="848"/>
    <n v="821.82"/>
    <x v="3"/>
  </r>
  <r>
    <x v="849"/>
    <n v="821.7"/>
    <x v="3"/>
  </r>
  <r>
    <x v="850"/>
    <n v="821.14"/>
    <x v="3"/>
  </r>
  <r>
    <x v="851"/>
    <n v="821.14"/>
    <x v="3"/>
  </r>
  <r>
    <x v="852"/>
    <n v="821.14"/>
    <x v="3"/>
  </r>
  <r>
    <x v="853"/>
    <n v="820.63"/>
    <x v="3"/>
  </r>
  <r>
    <x v="854"/>
    <n v="820.78"/>
    <x v="3"/>
  </r>
  <r>
    <x v="855"/>
    <n v="819.51"/>
    <x v="3"/>
  </r>
  <r>
    <x v="856"/>
    <n v="819.51"/>
    <x v="3"/>
  </r>
  <r>
    <x v="857"/>
    <n v="819.51"/>
    <x v="3"/>
  </r>
  <r>
    <x v="858"/>
    <n v="819.51"/>
    <x v="3"/>
  </r>
  <r>
    <x v="859"/>
    <n v="819.51"/>
    <x v="3"/>
  </r>
  <r>
    <x v="860"/>
    <n v="820.21"/>
    <x v="3"/>
  </r>
  <r>
    <x v="861"/>
    <n v="820.93"/>
    <x v="3"/>
  </r>
  <r>
    <x v="862"/>
    <n v="822.57"/>
    <x v="3"/>
  </r>
  <r>
    <x v="863"/>
    <n v="825.28"/>
    <x v="3"/>
  </r>
  <r>
    <x v="864"/>
    <n v="828.92"/>
    <x v="3"/>
  </r>
  <r>
    <x v="865"/>
    <n v="828.92"/>
    <x v="3"/>
  </r>
  <r>
    <x v="866"/>
    <n v="828.92"/>
    <x v="3"/>
  </r>
  <r>
    <x v="867"/>
    <n v="829.32"/>
    <x v="3"/>
  </r>
  <r>
    <x v="868"/>
    <n v="828.81"/>
    <x v="3"/>
  </r>
  <r>
    <x v="869"/>
    <n v="827.96"/>
    <x v="3"/>
  </r>
  <r>
    <x v="870"/>
    <n v="827.44"/>
    <x v="3"/>
  </r>
  <r>
    <x v="871"/>
    <n v="827.93"/>
    <x v="3"/>
  </r>
  <r>
    <x v="872"/>
    <n v="827.93"/>
    <x v="3"/>
  </r>
  <r>
    <x v="873"/>
    <n v="827.93"/>
    <x v="3"/>
  </r>
  <r>
    <x v="874"/>
    <n v="829.47"/>
    <x v="3"/>
  </r>
  <r>
    <x v="875"/>
    <n v="831.24"/>
    <x v="3"/>
  </r>
  <r>
    <x v="876"/>
    <n v="834.3"/>
    <x v="3"/>
  </r>
  <r>
    <x v="877"/>
    <n v="838.25"/>
    <x v="3"/>
  </r>
  <r>
    <x v="878"/>
    <n v="836.96"/>
    <x v="3"/>
  </r>
  <r>
    <x v="879"/>
    <n v="836.96"/>
    <x v="3"/>
  </r>
  <r>
    <x v="880"/>
    <n v="836.96"/>
    <x v="3"/>
  </r>
  <r>
    <x v="881"/>
    <n v="835.4"/>
    <x v="3"/>
  </r>
  <r>
    <x v="882"/>
    <n v="837.31"/>
    <x v="3"/>
  </r>
  <r>
    <x v="883"/>
    <n v="838.28"/>
    <x v="3"/>
  </r>
  <r>
    <x v="884"/>
    <n v="837.27"/>
    <x v="3"/>
  </r>
  <r>
    <x v="885"/>
    <n v="836.86"/>
    <x v="3"/>
  </r>
  <r>
    <x v="886"/>
    <n v="836.86"/>
    <x v="3"/>
  </r>
  <r>
    <x v="887"/>
    <n v="836.86"/>
    <x v="3"/>
  </r>
  <r>
    <x v="888"/>
    <n v="838.04"/>
    <x v="3"/>
  </r>
  <r>
    <x v="889"/>
    <n v="839.14"/>
    <x v="3"/>
  </r>
  <r>
    <x v="890"/>
    <n v="841"/>
    <x v="3"/>
  </r>
  <r>
    <x v="891"/>
    <n v="841.25"/>
    <x v="3"/>
  </r>
  <r>
    <x v="892"/>
    <n v="841.7"/>
    <x v="3"/>
  </r>
  <r>
    <x v="893"/>
    <n v="841.7"/>
    <x v="3"/>
  </r>
  <r>
    <x v="894"/>
    <n v="841.7"/>
    <x v="3"/>
  </r>
  <r>
    <x v="895"/>
    <n v="841.27"/>
    <x v="3"/>
  </r>
  <r>
    <x v="896"/>
    <n v="841.33"/>
    <x v="3"/>
  </r>
  <r>
    <x v="897"/>
    <n v="841.92"/>
    <x v="3"/>
  </r>
  <r>
    <x v="898"/>
    <n v="843.24"/>
    <x v="3"/>
  </r>
  <r>
    <x v="899"/>
    <n v="842.23"/>
    <x v="3"/>
  </r>
  <r>
    <x v="900"/>
    <n v="842.23"/>
    <x v="3"/>
  </r>
  <r>
    <x v="901"/>
    <n v="842.23"/>
    <x v="3"/>
  </r>
  <r>
    <x v="902"/>
    <n v="842.23"/>
    <x v="3"/>
  </r>
  <r>
    <x v="903"/>
    <n v="842.21"/>
    <x v="3"/>
  </r>
  <r>
    <x v="904"/>
    <n v="842.83"/>
    <x v="3"/>
  </r>
  <r>
    <x v="905"/>
    <n v="842.64"/>
    <x v="3"/>
  </r>
  <r>
    <x v="906"/>
    <n v="842.33"/>
    <x v="3"/>
  </r>
  <r>
    <x v="907"/>
    <n v="842.33"/>
    <x v="3"/>
  </r>
  <r>
    <x v="908"/>
    <n v="842.33"/>
    <x v="3"/>
  </r>
  <r>
    <x v="909"/>
    <n v="842.92"/>
    <x v="3"/>
  </r>
  <r>
    <x v="910"/>
    <n v="843.08"/>
    <x v="3"/>
  </r>
  <r>
    <x v="911"/>
    <n v="842.22"/>
    <x v="3"/>
  </r>
  <r>
    <x v="912"/>
    <n v="841.86"/>
    <x v="3"/>
  </r>
  <r>
    <x v="913"/>
    <n v="840.93"/>
    <x v="3"/>
  </r>
  <r>
    <x v="914"/>
    <n v="840.93"/>
    <x v="3"/>
  </r>
  <r>
    <x v="915"/>
    <n v="840.93"/>
    <x v="3"/>
  </r>
  <r>
    <x v="916"/>
    <n v="841.12"/>
    <x v="3"/>
  </r>
  <r>
    <x v="917"/>
    <n v="841.93"/>
    <x v="3"/>
  </r>
  <r>
    <x v="918"/>
    <n v="842"/>
    <x v="3"/>
  </r>
  <r>
    <x v="919"/>
    <n v="841.44"/>
    <x v="3"/>
  </r>
  <r>
    <x v="920"/>
    <n v="840.37"/>
    <x v="3"/>
  </r>
  <r>
    <x v="921"/>
    <n v="840.37"/>
    <x v="3"/>
  </r>
  <r>
    <x v="922"/>
    <n v="840.37"/>
    <x v="3"/>
  </r>
  <r>
    <x v="923"/>
    <n v="840.37"/>
    <x v="3"/>
  </r>
  <r>
    <x v="924"/>
    <n v="839.56"/>
    <x v="3"/>
  </r>
  <r>
    <x v="925"/>
    <n v="838.03"/>
    <x v="3"/>
  </r>
  <r>
    <x v="926"/>
    <n v="834.96"/>
    <x v="3"/>
  </r>
  <r>
    <x v="927"/>
    <n v="833.19"/>
    <x v="3"/>
  </r>
  <r>
    <x v="928"/>
    <n v="833.19"/>
    <x v="3"/>
  </r>
  <r>
    <x v="929"/>
    <n v="833.19"/>
    <x v="3"/>
  </r>
  <r>
    <x v="930"/>
    <n v="833.19"/>
    <x v="3"/>
  </r>
  <r>
    <x v="931"/>
    <n v="833.16"/>
    <x v="3"/>
  </r>
  <r>
    <x v="932"/>
    <n v="833.35"/>
    <x v="3"/>
  </r>
  <r>
    <x v="933"/>
    <n v="831.28"/>
    <x v="3"/>
  </r>
  <r>
    <x v="934"/>
    <n v="826.61"/>
    <x v="3"/>
  </r>
  <r>
    <x v="935"/>
    <n v="826.61"/>
    <x v="3"/>
  </r>
  <r>
    <x v="936"/>
    <n v="826.61"/>
    <x v="3"/>
  </r>
  <r>
    <x v="937"/>
    <n v="828.94"/>
    <x v="3"/>
  </r>
  <r>
    <x v="938"/>
    <n v="826.9"/>
    <x v="3"/>
  </r>
  <r>
    <x v="939"/>
    <n v="824.76"/>
    <x v="3"/>
  </r>
  <r>
    <x v="940"/>
    <n v="822.87"/>
    <x v="3"/>
  </r>
  <r>
    <x v="941"/>
    <n v="821"/>
    <x v="3"/>
  </r>
  <r>
    <x v="942"/>
    <n v="821"/>
    <x v="3"/>
  </r>
  <r>
    <x v="943"/>
    <n v="821"/>
    <x v="3"/>
  </r>
  <r>
    <x v="944"/>
    <n v="820.13"/>
    <x v="3"/>
  </r>
  <r>
    <x v="945"/>
    <n v="818.73"/>
    <x v="3"/>
  </r>
  <r>
    <x v="946"/>
    <n v="819.64"/>
    <x v="3"/>
  </r>
  <r>
    <x v="947"/>
    <n v="818.05"/>
    <x v="3"/>
  </r>
  <r>
    <x v="948"/>
    <n v="817.92"/>
    <x v="3"/>
  </r>
  <r>
    <x v="949"/>
    <n v="817.92"/>
    <x v="3"/>
  </r>
  <r>
    <x v="950"/>
    <n v="817.92"/>
    <x v="3"/>
  </r>
  <r>
    <x v="951"/>
    <n v="817.92"/>
    <x v="3"/>
  </r>
  <r>
    <x v="952"/>
    <n v="818.45"/>
    <x v="3"/>
  </r>
  <r>
    <x v="953"/>
    <n v="820.42"/>
    <x v="3"/>
  </r>
  <r>
    <x v="954"/>
    <n v="820.24"/>
    <x v="3"/>
  </r>
  <r>
    <x v="955"/>
    <n v="822.34"/>
    <x v="3"/>
  </r>
  <r>
    <x v="956"/>
    <n v="822.34"/>
    <x v="3"/>
  </r>
  <r>
    <x v="957"/>
    <n v="822.34"/>
    <x v="3"/>
  </r>
  <r>
    <x v="958"/>
    <n v="822.14"/>
    <x v="3"/>
  </r>
  <r>
    <x v="959"/>
    <n v="823.12"/>
    <x v="3"/>
  </r>
  <r>
    <x v="960"/>
    <n v="822.79"/>
    <x v="3"/>
  </r>
  <r>
    <x v="961"/>
    <n v="822.28"/>
    <x v="3"/>
  </r>
  <r>
    <x v="962"/>
    <n v="821.04"/>
    <x v="3"/>
  </r>
  <r>
    <x v="963"/>
    <n v="821.04"/>
    <x v="3"/>
  </r>
  <r>
    <x v="964"/>
    <n v="821.04"/>
    <x v="3"/>
  </r>
  <r>
    <x v="965"/>
    <n v="818.44"/>
    <x v="3"/>
  </r>
  <r>
    <x v="966"/>
    <n v="817.49"/>
    <x v="3"/>
  </r>
  <r>
    <x v="967"/>
    <n v="817.49"/>
    <x v="3"/>
  </r>
  <r>
    <x v="968"/>
    <n v="817.18"/>
    <x v="3"/>
  </r>
  <r>
    <x v="969"/>
    <n v="816.68"/>
    <x v="3"/>
  </r>
  <r>
    <x v="970"/>
    <n v="816.68"/>
    <x v="3"/>
  </r>
  <r>
    <x v="971"/>
    <n v="816.68"/>
    <x v="3"/>
  </r>
  <r>
    <x v="972"/>
    <n v="816.34"/>
    <x v="3"/>
  </r>
  <r>
    <x v="973"/>
    <n v="815.75"/>
    <x v="3"/>
  </r>
  <r>
    <x v="974"/>
    <n v="815.8"/>
    <x v="3"/>
  </r>
  <r>
    <x v="975"/>
    <n v="815.62"/>
    <x v="3"/>
  </r>
  <r>
    <x v="976"/>
    <n v="815.62"/>
    <x v="3"/>
  </r>
  <r>
    <x v="977"/>
    <n v="815.62"/>
    <x v="3"/>
  </r>
  <r>
    <x v="978"/>
    <n v="815.62"/>
    <x v="3"/>
  </r>
  <r>
    <x v="979"/>
    <n v="815.89"/>
    <x v="3"/>
  </r>
  <r>
    <x v="980"/>
    <n v="814.53"/>
    <x v="3"/>
  </r>
  <r>
    <x v="981"/>
    <n v="812.69"/>
    <x v="3"/>
  </r>
  <r>
    <x v="982"/>
    <n v="812.57"/>
    <x v="3"/>
  </r>
  <r>
    <x v="983"/>
    <n v="811.91"/>
    <x v="3"/>
  </r>
  <r>
    <x v="984"/>
    <n v="811.91"/>
    <x v="3"/>
  </r>
  <r>
    <x v="985"/>
    <n v="811.91"/>
    <x v="3"/>
  </r>
  <r>
    <x v="986"/>
    <n v="812.39"/>
    <x v="3"/>
  </r>
  <r>
    <x v="987"/>
    <n v="813.64"/>
    <x v="3"/>
  </r>
  <r>
    <x v="988"/>
    <n v="815.4"/>
    <x v="3"/>
  </r>
  <r>
    <x v="989"/>
    <n v="815.84"/>
    <x v="3"/>
  </r>
  <r>
    <x v="990"/>
    <n v="814.94"/>
    <x v="3"/>
  </r>
  <r>
    <x v="991"/>
    <n v="814.94"/>
    <x v="3"/>
  </r>
  <r>
    <x v="992"/>
    <n v="814.94"/>
    <x v="3"/>
  </r>
  <r>
    <x v="993"/>
    <n v="814.94"/>
    <x v="3"/>
  </r>
  <r>
    <x v="994"/>
    <n v="814.4"/>
    <x v="3"/>
  </r>
  <r>
    <x v="995"/>
    <n v="813.93"/>
    <x v="3"/>
  </r>
  <r>
    <x v="996"/>
    <n v="813.88"/>
    <x v="3"/>
  </r>
  <r>
    <x v="997"/>
    <n v="813.76"/>
    <x v="3"/>
  </r>
  <r>
    <x v="998"/>
    <n v="813.76"/>
    <x v="3"/>
  </r>
  <r>
    <x v="999"/>
    <n v="813.76"/>
    <x v="3"/>
  </r>
  <r>
    <x v="1000"/>
    <n v="815.2"/>
    <x v="3"/>
  </r>
  <r>
    <x v="1001"/>
    <n v="816.58"/>
    <x v="3"/>
  </r>
  <r>
    <x v="1002"/>
    <n v="816.77"/>
    <x v="3"/>
  </r>
  <r>
    <x v="1003"/>
    <n v="817.4"/>
    <x v="3"/>
  </r>
  <r>
    <x v="1004"/>
    <n v="816.29"/>
    <x v="3"/>
  </r>
  <r>
    <x v="1005"/>
    <n v="816.29"/>
    <x v="3"/>
  </r>
  <r>
    <x v="1006"/>
    <n v="816.29"/>
    <x v="3"/>
  </r>
  <r>
    <x v="1007"/>
    <n v="816.18"/>
    <x v="3"/>
  </r>
  <r>
    <x v="1008"/>
    <n v="816.3"/>
    <x v="3"/>
  </r>
  <r>
    <x v="1009"/>
    <n v="816.08"/>
    <x v="3"/>
  </r>
  <r>
    <x v="1010"/>
    <n v="817.64"/>
    <x v="3"/>
  </r>
  <r>
    <x v="1011"/>
    <n v="818.81"/>
    <x v="3"/>
  </r>
  <r>
    <x v="1012"/>
    <n v="818.81"/>
    <x v="3"/>
  </r>
  <r>
    <x v="1013"/>
    <n v="818.81"/>
    <x v="3"/>
  </r>
  <r>
    <x v="1014"/>
    <n v="817.8"/>
    <x v="3"/>
  </r>
  <r>
    <x v="1015"/>
    <n v="818.21"/>
    <x v="3"/>
  </r>
  <r>
    <x v="1016"/>
    <n v="819.24"/>
    <x v="3"/>
  </r>
  <r>
    <x v="1017"/>
    <n v="820.02"/>
    <x v="3"/>
  </r>
  <r>
    <x v="1018"/>
    <n v="820.26"/>
    <x v="3"/>
  </r>
  <r>
    <x v="1019"/>
    <n v="820.26"/>
    <x v="3"/>
  </r>
  <r>
    <x v="1020"/>
    <n v="820.26"/>
    <x v="3"/>
  </r>
  <r>
    <x v="1021"/>
    <n v="821.62"/>
    <x v="3"/>
  </r>
  <r>
    <x v="1022"/>
    <n v="824.34"/>
    <x v="3"/>
  </r>
  <r>
    <x v="1023"/>
    <n v="827.86"/>
    <x v="3"/>
  </r>
  <r>
    <x v="1024"/>
    <n v="833.1"/>
    <x v="3"/>
  </r>
  <r>
    <x v="1025"/>
    <n v="837.21"/>
    <x v="3"/>
  </r>
  <r>
    <x v="1026"/>
    <n v="837.21"/>
    <x v="3"/>
  </r>
  <r>
    <x v="1027"/>
    <n v="837.21"/>
    <x v="3"/>
  </r>
  <r>
    <x v="1028"/>
    <n v="838.63"/>
    <x v="3"/>
  </r>
  <r>
    <x v="1029"/>
    <n v="841.82"/>
    <x v="3"/>
  </r>
  <r>
    <x v="1030"/>
    <n v="842.7"/>
    <x v="3"/>
  </r>
  <r>
    <x v="1031"/>
    <n v="841.53"/>
    <x v="3"/>
  </r>
  <r>
    <x v="1032"/>
    <n v="839.46"/>
    <x v="3"/>
  </r>
  <r>
    <x v="1033"/>
    <n v="839.46"/>
    <x v="3"/>
  </r>
  <r>
    <x v="1034"/>
    <n v="839.46"/>
    <x v="3"/>
  </r>
  <r>
    <x v="1035"/>
    <n v="840.23"/>
    <x v="3"/>
  </r>
  <r>
    <x v="1036"/>
    <n v="841.51"/>
    <x v="3"/>
  </r>
  <r>
    <x v="1037"/>
    <n v="841.32"/>
    <x v="3"/>
  </r>
  <r>
    <x v="1038"/>
    <n v="842"/>
    <x v="3"/>
  </r>
  <r>
    <x v="1039"/>
    <n v="843"/>
    <x v="3"/>
  </r>
  <r>
    <x v="1040"/>
    <n v="843"/>
    <x v="3"/>
  </r>
  <r>
    <x v="1041"/>
    <n v="843"/>
    <x v="3"/>
  </r>
  <r>
    <x v="1042"/>
    <n v="843.65"/>
    <x v="3"/>
  </r>
  <r>
    <x v="1043"/>
    <n v="844.4"/>
    <x v="3"/>
  </r>
  <r>
    <x v="1044"/>
    <n v="842.54"/>
    <x v="3"/>
  </r>
  <r>
    <x v="1045"/>
    <n v="840.06"/>
    <x v="3"/>
  </r>
  <r>
    <x v="1046"/>
    <n v="836.8"/>
    <x v="3"/>
  </r>
  <r>
    <x v="1047"/>
    <n v="836.8"/>
    <x v="3"/>
  </r>
  <r>
    <x v="1048"/>
    <n v="836.8"/>
    <x v="3"/>
  </r>
  <r>
    <x v="1049"/>
    <n v="835.59"/>
    <x v="3"/>
  </r>
  <r>
    <x v="1050"/>
    <n v="835.38"/>
    <x v="3"/>
  </r>
  <r>
    <x v="1051"/>
    <n v="836.4"/>
    <x v="3"/>
  </r>
  <r>
    <x v="1052"/>
    <n v="836.01"/>
    <x v="3"/>
  </r>
  <r>
    <x v="1053"/>
    <n v="834.83"/>
    <x v="3"/>
  </r>
  <r>
    <x v="1054"/>
    <n v="834.83"/>
    <x v="3"/>
  </r>
  <r>
    <x v="1055"/>
    <n v="834.83"/>
    <x v="3"/>
  </r>
  <r>
    <x v="1056"/>
    <n v="834.83"/>
    <x v="3"/>
  </r>
  <r>
    <x v="1057"/>
    <n v="835.33"/>
    <x v="3"/>
  </r>
  <r>
    <x v="1058"/>
    <n v="836.72"/>
    <x v="3"/>
  </r>
  <r>
    <x v="1059"/>
    <n v="838.32"/>
    <x v="3"/>
  </r>
  <r>
    <x v="1060"/>
    <n v="841.41"/>
    <x v="3"/>
  </r>
  <r>
    <x v="1061"/>
    <n v="841.41"/>
    <x v="3"/>
  </r>
  <r>
    <x v="1062"/>
    <n v="841.41"/>
    <x v="3"/>
  </r>
  <r>
    <x v="1063"/>
    <n v="842.6"/>
    <x v="3"/>
  </r>
  <r>
    <x v="1064"/>
    <n v="843.48"/>
    <x v="3"/>
  </r>
  <r>
    <x v="1065"/>
    <n v="841.32"/>
    <x v="3"/>
  </r>
  <r>
    <x v="1066"/>
    <n v="840.05"/>
    <x v="3"/>
  </r>
  <r>
    <x v="1067"/>
    <n v="838.55"/>
    <x v="3"/>
  </r>
  <r>
    <x v="1068"/>
    <n v="838.55"/>
    <x v="3"/>
  </r>
  <r>
    <x v="1069"/>
    <n v="838.55"/>
    <x v="3"/>
  </r>
  <r>
    <x v="1070"/>
    <n v="837.62"/>
    <x v="3"/>
  </r>
  <r>
    <x v="1071"/>
    <n v="837.79"/>
    <x v="3"/>
  </r>
  <r>
    <x v="1072"/>
    <n v="836.18"/>
    <x v="3"/>
  </r>
  <r>
    <x v="1073"/>
    <n v="833.19"/>
    <x v="3"/>
  </r>
  <r>
    <x v="1074"/>
    <n v="831.25"/>
    <x v="3"/>
  </r>
  <r>
    <x v="1075"/>
    <n v="831.25"/>
    <x v="3"/>
  </r>
  <r>
    <x v="1076"/>
    <n v="831.25"/>
    <x v="3"/>
  </r>
  <r>
    <x v="1077"/>
    <n v="831.25"/>
    <x v="3"/>
  </r>
  <r>
    <x v="1078"/>
    <n v="829.09"/>
    <x v="3"/>
  </r>
  <r>
    <x v="1079"/>
    <n v="826.84"/>
    <x v="3"/>
  </r>
  <r>
    <x v="1080"/>
    <n v="825.17"/>
    <x v="3"/>
  </r>
  <r>
    <x v="1081"/>
    <n v="825.87"/>
    <x v="3"/>
  </r>
  <r>
    <x v="1082"/>
    <n v="825.87"/>
    <x v="3"/>
  </r>
  <r>
    <x v="1083"/>
    <n v="825.87"/>
    <x v="3"/>
  </r>
  <r>
    <x v="1084"/>
    <n v="825.87"/>
    <x v="3"/>
  </r>
  <r>
    <x v="1085"/>
    <n v="826.45"/>
    <x v="3"/>
  </r>
  <r>
    <x v="1086"/>
    <n v="828.74"/>
    <x v="3"/>
  </r>
  <r>
    <x v="1087"/>
    <n v="830.49"/>
    <x v="3"/>
  </r>
  <r>
    <x v="1088"/>
    <n v="828.46"/>
    <x v="3"/>
  </r>
  <r>
    <x v="1089"/>
    <n v="828.46"/>
    <x v="3"/>
  </r>
  <r>
    <x v="1090"/>
    <n v="828.46"/>
    <x v="3"/>
  </r>
  <r>
    <x v="1091"/>
    <n v="829.08"/>
    <x v="3"/>
  </r>
  <r>
    <x v="1092"/>
    <n v="830.74"/>
    <x v="3"/>
  </r>
  <r>
    <x v="1093"/>
    <n v="828.67"/>
    <x v="3"/>
  </r>
  <r>
    <x v="1094"/>
    <n v="828.76"/>
    <x v="3"/>
  </r>
  <r>
    <x v="1095"/>
    <n v="828.42"/>
    <x v="3"/>
  </r>
  <r>
    <x v="1096"/>
    <n v="828.42"/>
    <x v="3"/>
  </r>
  <r>
    <x v="1097"/>
    <n v="828.42"/>
    <x v="3"/>
  </r>
  <r>
    <x v="1098"/>
    <n v="828.66"/>
    <x v="3"/>
  </r>
  <r>
    <x v="1099"/>
    <n v="829.03"/>
    <x v="3"/>
  </r>
  <r>
    <x v="1100"/>
    <n v="829.29"/>
    <x v="3"/>
  </r>
  <r>
    <x v="1101"/>
    <n v="829.56"/>
    <x v="3"/>
  </r>
  <r>
    <x v="1102"/>
    <n v="830"/>
    <x v="3"/>
  </r>
  <r>
    <x v="1103"/>
    <n v="830"/>
    <x v="3"/>
  </r>
  <r>
    <x v="1104"/>
    <n v="830"/>
    <x v="3"/>
  </r>
  <r>
    <x v="1105"/>
    <n v="830.37"/>
    <x v="3"/>
  </r>
  <r>
    <x v="1106"/>
    <n v="830.85"/>
    <x v="3"/>
  </r>
  <r>
    <x v="1107"/>
    <n v="831.1"/>
    <x v="3"/>
  </r>
  <r>
    <x v="1108"/>
    <n v="831.1"/>
    <x v="3"/>
  </r>
  <r>
    <x v="1109"/>
    <n v="831.49"/>
    <x v="3"/>
  </r>
  <r>
    <x v="1110"/>
    <n v="831.49"/>
    <x v="3"/>
  </r>
  <r>
    <x v="1111"/>
    <n v="831.49"/>
    <x v="3"/>
  </r>
  <r>
    <x v="1112"/>
    <n v="831.91"/>
    <x v="3"/>
  </r>
  <r>
    <x v="1113"/>
    <n v="824.68"/>
    <x v="3"/>
  </r>
  <r>
    <x v="1114"/>
    <n v="825"/>
    <x v="3"/>
  </r>
  <r>
    <x v="1115"/>
    <n v="827.6"/>
    <x v="3"/>
  </r>
  <r>
    <x v="1116"/>
    <n v="829.72"/>
    <x v="3"/>
  </r>
  <r>
    <x v="1117"/>
    <n v="829.72"/>
    <x v="3"/>
  </r>
  <r>
    <x v="1118"/>
    <n v="829.72"/>
    <x v="3"/>
  </r>
  <r>
    <x v="1119"/>
    <n v="831.06"/>
    <x v="3"/>
  </r>
  <r>
    <x v="1120"/>
    <n v="830.16"/>
    <x v="3"/>
  </r>
  <r>
    <x v="1121"/>
    <n v="827.95"/>
    <x v="3"/>
  </r>
  <r>
    <x v="1122"/>
    <n v="827.7"/>
    <x v="3"/>
  </r>
  <r>
    <x v="1123"/>
    <n v="826.47"/>
    <x v="3"/>
  </r>
  <r>
    <x v="1124"/>
    <n v="826.47"/>
    <x v="3"/>
  </r>
  <r>
    <x v="1125"/>
    <n v="826.47"/>
    <x v="3"/>
  </r>
  <r>
    <x v="1126"/>
    <n v="827.33"/>
    <x v="3"/>
  </r>
  <r>
    <x v="1127"/>
    <n v="829.95"/>
    <x v="3"/>
  </r>
  <r>
    <x v="1128"/>
    <n v="831.6"/>
    <x v="3"/>
  </r>
  <r>
    <x v="1129"/>
    <n v="831.27"/>
    <x v="3"/>
  </r>
  <r>
    <x v="1130"/>
    <n v="831.27"/>
    <x v="3"/>
  </r>
  <r>
    <x v="1131"/>
    <n v="831.27"/>
    <x v="4"/>
  </r>
  <r>
    <x v="1132"/>
    <n v="831.27"/>
    <x v="4"/>
  </r>
  <r>
    <x v="1133"/>
    <n v="833.18"/>
    <x v="4"/>
  </r>
  <r>
    <x v="1134"/>
    <n v="835.38"/>
    <x v="4"/>
  </r>
  <r>
    <x v="1135"/>
    <n v="838.33"/>
    <x v="4"/>
  </r>
  <r>
    <x v="1136"/>
    <n v="838.87"/>
    <x v="4"/>
  </r>
  <r>
    <x v="1137"/>
    <n v="837.07"/>
    <x v="4"/>
  </r>
  <r>
    <x v="1138"/>
    <n v="837.07"/>
    <x v="4"/>
  </r>
  <r>
    <x v="1139"/>
    <n v="837.07"/>
    <x v="4"/>
  </r>
  <r>
    <x v="1140"/>
    <n v="837.07"/>
    <x v="4"/>
  </r>
  <r>
    <x v="1141"/>
    <n v="840.36"/>
    <x v="4"/>
  </r>
  <r>
    <x v="1142"/>
    <n v="843.69"/>
    <x v="4"/>
  </r>
  <r>
    <x v="1143"/>
    <n v="841.52"/>
    <x v="4"/>
  </r>
  <r>
    <x v="1144"/>
    <n v="843.7"/>
    <x v="4"/>
  </r>
  <r>
    <x v="1145"/>
    <n v="843.7"/>
    <x v="4"/>
  </r>
  <r>
    <x v="1146"/>
    <n v="843.7"/>
    <x v="4"/>
  </r>
  <r>
    <x v="1147"/>
    <n v="846.61"/>
    <x v="4"/>
  </r>
  <r>
    <x v="1148"/>
    <n v="847.61"/>
    <x v="4"/>
  </r>
  <r>
    <x v="1149"/>
    <n v="850.26"/>
    <x v="4"/>
  </r>
  <r>
    <x v="1150"/>
    <n v="852.68"/>
    <x v="4"/>
  </r>
  <r>
    <x v="1151"/>
    <n v="855.54"/>
    <x v="4"/>
  </r>
  <r>
    <x v="1152"/>
    <n v="855.54"/>
    <x v="4"/>
  </r>
  <r>
    <x v="1153"/>
    <n v="855.54"/>
    <x v="4"/>
  </r>
  <r>
    <x v="1154"/>
    <n v="855.49"/>
    <x v="4"/>
  </r>
  <r>
    <x v="1155"/>
    <n v="856.65"/>
    <x v="4"/>
  </r>
  <r>
    <x v="1156"/>
    <n v="857.56"/>
    <x v="4"/>
  </r>
  <r>
    <x v="1157"/>
    <n v="859.3"/>
    <x v="4"/>
  </r>
  <r>
    <x v="1158"/>
    <n v="857.83"/>
    <x v="4"/>
  </r>
  <r>
    <x v="1159"/>
    <n v="857.83"/>
    <x v="4"/>
  </r>
  <r>
    <x v="1160"/>
    <n v="857.83"/>
    <x v="4"/>
  </r>
  <r>
    <x v="1161"/>
    <n v="856.41"/>
    <x v="4"/>
  </r>
  <r>
    <x v="1162"/>
    <n v="857.16"/>
    <x v="4"/>
  </r>
  <r>
    <x v="1163"/>
    <n v="855.76"/>
    <x v="4"/>
  </r>
  <r>
    <x v="1164"/>
    <n v="852.22"/>
    <x v="4"/>
  </r>
  <r>
    <x v="1165"/>
    <n v="848.82"/>
    <x v="4"/>
  </r>
  <r>
    <x v="1166"/>
    <n v="848.82"/>
    <x v="4"/>
  </r>
  <r>
    <x v="1167"/>
    <n v="848.82"/>
    <x v="4"/>
  </r>
  <r>
    <x v="1168"/>
    <n v="848.27"/>
    <x v="4"/>
  </r>
  <r>
    <x v="1169"/>
    <n v="848.43"/>
    <x v="4"/>
  </r>
  <r>
    <x v="1170"/>
    <n v="847.04"/>
    <x v="4"/>
  </r>
  <r>
    <x v="1171"/>
    <n v="845.73"/>
    <x v="4"/>
  </r>
  <r>
    <x v="1172"/>
    <n v="845.37"/>
    <x v="4"/>
  </r>
  <r>
    <x v="1173"/>
    <n v="845.37"/>
    <x v="4"/>
  </r>
  <r>
    <x v="1174"/>
    <n v="845.37"/>
    <x v="4"/>
  </r>
  <r>
    <x v="1175"/>
    <n v="846.2"/>
    <x v="4"/>
  </r>
  <r>
    <x v="1176"/>
    <n v="848.15"/>
    <x v="4"/>
  </r>
  <r>
    <x v="1177"/>
    <n v="848.52"/>
    <x v="4"/>
  </r>
  <r>
    <x v="1178"/>
    <n v="848.9"/>
    <x v="4"/>
  </r>
  <r>
    <x v="1179"/>
    <n v="849.41"/>
    <x v="4"/>
  </r>
  <r>
    <x v="1180"/>
    <n v="849.41"/>
    <x v="4"/>
  </r>
  <r>
    <x v="1181"/>
    <n v="849.41"/>
    <x v="4"/>
  </r>
  <r>
    <x v="1182"/>
    <n v="851.88"/>
    <x v="4"/>
  </r>
  <r>
    <x v="1183"/>
    <n v="853.63"/>
    <x v="4"/>
  </r>
  <r>
    <x v="1184"/>
    <n v="855.32"/>
    <x v="4"/>
  </r>
  <r>
    <x v="1185"/>
    <n v="855.48"/>
    <x v="4"/>
  </r>
  <r>
    <x v="1186"/>
    <n v="854.71"/>
    <x v="4"/>
  </r>
  <r>
    <x v="1187"/>
    <n v="854.71"/>
    <x v="4"/>
  </r>
  <r>
    <x v="1188"/>
    <n v="854.71"/>
    <x v="4"/>
  </r>
  <r>
    <x v="1189"/>
    <n v="856.99"/>
    <x v="4"/>
  </r>
  <r>
    <x v="1190"/>
    <n v="857.85"/>
    <x v="4"/>
  </r>
  <r>
    <x v="1191"/>
    <n v="858.87"/>
    <x v="4"/>
  </r>
  <r>
    <x v="1192"/>
    <n v="861.33"/>
    <x v="4"/>
  </r>
  <r>
    <x v="1193"/>
    <n v="859.65"/>
    <x v="4"/>
  </r>
  <r>
    <x v="1194"/>
    <n v="859.65"/>
    <x v="4"/>
  </r>
  <r>
    <x v="1195"/>
    <n v="859.65"/>
    <x v="4"/>
  </r>
  <r>
    <x v="1196"/>
    <n v="858.95"/>
    <x v="4"/>
  </r>
  <r>
    <x v="1197"/>
    <n v="861.13"/>
    <x v="4"/>
  </r>
  <r>
    <x v="1198"/>
    <n v="862.41"/>
    <x v="4"/>
  </r>
  <r>
    <x v="1199"/>
    <n v="863.06"/>
    <x v="4"/>
  </r>
  <r>
    <x v="1200"/>
    <n v="865.36"/>
    <x v="4"/>
  </r>
  <r>
    <x v="1201"/>
    <n v="865.36"/>
    <x v="4"/>
  </r>
  <r>
    <x v="1202"/>
    <n v="865.36"/>
    <x v="4"/>
  </r>
  <r>
    <x v="1203"/>
    <n v="865.92"/>
    <x v="4"/>
  </r>
  <r>
    <x v="1204"/>
    <n v="866.96"/>
    <x v="4"/>
  </r>
  <r>
    <x v="1205"/>
    <n v="866.4"/>
    <x v="4"/>
  </r>
  <r>
    <x v="1206"/>
    <n v="865.63"/>
    <x v="4"/>
  </r>
  <r>
    <x v="1207"/>
    <n v="863.77"/>
    <x v="4"/>
  </r>
  <r>
    <x v="1208"/>
    <n v="863.77"/>
    <x v="4"/>
  </r>
  <r>
    <x v="1209"/>
    <n v="863.77"/>
    <x v="4"/>
  </r>
  <r>
    <x v="1210"/>
    <n v="863.77"/>
    <x v="4"/>
  </r>
  <r>
    <x v="1211"/>
    <n v="865.89"/>
    <x v="4"/>
  </r>
  <r>
    <x v="1212"/>
    <n v="867.81"/>
    <x v="4"/>
  </r>
  <r>
    <x v="1213"/>
    <n v="868.95"/>
    <x v="4"/>
  </r>
  <r>
    <x v="1214"/>
    <n v="869.22"/>
    <x v="4"/>
  </r>
  <r>
    <x v="1215"/>
    <n v="869.22"/>
    <x v="4"/>
  </r>
  <r>
    <x v="1216"/>
    <n v="869.22"/>
    <x v="4"/>
  </r>
  <r>
    <x v="1217"/>
    <n v="870.14"/>
    <x v="4"/>
  </r>
  <r>
    <x v="1218"/>
    <n v="872.57"/>
    <x v="4"/>
  </r>
  <r>
    <x v="1219"/>
    <n v="876.21"/>
    <x v="4"/>
  </r>
  <r>
    <x v="1220"/>
    <n v="880.23"/>
    <x v="4"/>
  </r>
  <r>
    <x v="1221"/>
    <n v="878.18"/>
    <x v="4"/>
  </r>
  <r>
    <x v="1222"/>
    <n v="878.18"/>
    <x v="4"/>
  </r>
  <r>
    <x v="1223"/>
    <n v="878.18"/>
    <x v="4"/>
  </r>
  <r>
    <x v="1224"/>
    <n v="876"/>
    <x v="4"/>
  </r>
  <r>
    <x v="1225"/>
    <n v="874.3"/>
    <x v="4"/>
  </r>
  <r>
    <x v="1226"/>
    <n v="871.6"/>
    <x v="4"/>
  </r>
  <r>
    <x v="1227"/>
    <n v="868.96"/>
    <x v="4"/>
  </r>
  <r>
    <x v="1228"/>
    <n v="869.15"/>
    <x v="4"/>
  </r>
  <r>
    <x v="1229"/>
    <n v="869.15"/>
    <x v="4"/>
  </r>
  <r>
    <x v="1230"/>
    <n v="869.15"/>
    <x v="4"/>
  </r>
  <r>
    <x v="1231"/>
    <n v="866.78"/>
    <x v="4"/>
  </r>
  <r>
    <x v="1232"/>
    <n v="868.8"/>
    <x v="4"/>
  </r>
  <r>
    <x v="1233"/>
    <n v="866.25"/>
    <x v="4"/>
  </r>
  <r>
    <x v="1234"/>
    <n v="866.25"/>
    <x v="4"/>
  </r>
  <r>
    <x v="1235"/>
    <n v="866.25"/>
    <x v="4"/>
  </r>
  <r>
    <x v="1236"/>
    <n v="866.25"/>
    <x v="4"/>
  </r>
  <r>
    <x v="1237"/>
    <n v="866.25"/>
    <x v="4"/>
  </r>
  <r>
    <x v="1238"/>
    <n v="871.87"/>
    <x v="4"/>
  </r>
  <r>
    <x v="1239"/>
    <n v="874.37"/>
    <x v="4"/>
  </r>
  <r>
    <x v="1240"/>
    <n v="874.35"/>
    <x v="4"/>
  </r>
  <r>
    <x v="1241"/>
    <n v="877.38"/>
    <x v="4"/>
  </r>
  <r>
    <x v="1242"/>
    <n v="876.55"/>
    <x v="4"/>
  </r>
  <r>
    <x v="1243"/>
    <n v="876.55"/>
    <x v="4"/>
  </r>
  <r>
    <x v="1244"/>
    <n v="876.55"/>
    <x v="4"/>
  </r>
  <r>
    <x v="1245"/>
    <n v="878.2"/>
    <x v="4"/>
  </r>
  <r>
    <x v="1246"/>
    <n v="876.32"/>
    <x v="4"/>
  </r>
  <r>
    <x v="1247"/>
    <n v="875.78"/>
    <x v="4"/>
  </r>
  <r>
    <x v="1248"/>
    <n v="876.21"/>
    <x v="4"/>
  </r>
  <r>
    <x v="1249"/>
    <n v="877.9"/>
    <x v="4"/>
  </r>
  <r>
    <x v="1250"/>
    <n v="877.9"/>
    <x v="4"/>
  </r>
  <r>
    <x v="1251"/>
    <n v="877.9"/>
    <x v="4"/>
  </r>
  <r>
    <x v="1252"/>
    <n v="877.9"/>
    <x v="4"/>
  </r>
  <r>
    <x v="1253"/>
    <n v="880.63"/>
    <x v="4"/>
  </r>
  <r>
    <x v="1254"/>
    <n v="882.97"/>
    <x v="4"/>
  </r>
  <r>
    <x v="1255"/>
    <n v="882.24"/>
    <x v="4"/>
  </r>
  <r>
    <x v="1256"/>
    <n v="881.07"/>
    <x v="4"/>
  </r>
  <r>
    <x v="1257"/>
    <n v="881.07"/>
    <x v="4"/>
  </r>
  <r>
    <x v="1258"/>
    <n v="881.07"/>
    <x v="4"/>
  </r>
  <r>
    <x v="1259"/>
    <n v="881.33"/>
    <x v="4"/>
  </r>
  <r>
    <x v="1260"/>
    <n v="878.87"/>
    <x v="4"/>
  </r>
  <r>
    <x v="1261"/>
    <n v="880.25"/>
    <x v="4"/>
  </r>
  <r>
    <x v="1262"/>
    <n v="881.07"/>
    <x v="4"/>
  </r>
  <r>
    <x v="1263"/>
    <n v="879.35"/>
    <x v="4"/>
  </r>
  <r>
    <x v="1264"/>
    <n v="879.35"/>
    <x v="4"/>
  </r>
  <r>
    <x v="1265"/>
    <n v="879.35"/>
    <x v="4"/>
  </r>
  <r>
    <x v="1266"/>
    <n v="877.45"/>
    <x v="4"/>
  </r>
  <r>
    <x v="1267"/>
    <n v="875.17"/>
    <x v="4"/>
  </r>
  <r>
    <x v="1268"/>
    <n v="874.74"/>
    <x v="4"/>
  </r>
  <r>
    <x v="1269"/>
    <n v="875.75"/>
    <x v="4"/>
  </r>
  <r>
    <x v="1270"/>
    <n v="873.52"/>
    <x v="4"/>
  </r>
  <r>
    <x v="1271"/>
    <n v="873.52"/>
    <x v="4"/>
  </r>
  <r>
    <x v="1272"/>
    <n v="873.52"/>
    <x v="4"/>
  </r>
  <r>
    <x v="1273"/>
    <n v="871.11"/>
    <x v="4"/>
  </r>
  <r>
    <x v="1274"/>
    <n v="869.95"/>
    <x v="4"/>
  </r>
  <r>
    <x v="1275"/>
    <n v="870.55"/>
    <x v="4"/>
  </r>
  <r>
    <x v="1276"/>
    <n v="872.96"/>
    <x v="4"/>
  </r>
  <r>
    <x v="1277"/>
    <n v="872.66"/>
    <x v="4"/>
  </r>
  <r>
    <x v="1278"/>
    <n v="872.66"/>
    <x v="4"/>
  </r>
  <r>
    <x v="1279"/>
    <n v="872.66"/>
    <x v="4"/>
  </r>
  <r>
    <x v="1280"/>
    <n v="872.66"/>
    <x v="4"/>
  </r>
  <r>
    <x v="1281"/>
    <n v="876.36"/>
    <x v="4"/>
  </r>
  <r>
    <x v="1282"/>
    <n v="876.62"/>
    <x v="4"/>
  </r>
  <r>
    <x v="1283"/>
    <n v="877.22"/>
    <x v="4"/>
  </r>
  <r>
    <x v="1284"/>
    <n v="875.99"/>
    <x v="4"/>
  </r>
  <r>
    <x v="1285"/>
    <n v="875.99"/>
    <x v="4"/>
  </r>
  <r>
    <x v="1286"/>
    <n v="875.99"/>
    <x v="4"/>
  </r>
  <r>
    <x v="1287"/>
    <n v="874.81"/>
    <x v="4"/>
  </r>
  <r>
    <x v="1288"/>
    <n v="873.06"/>
    <x v="4"/>
  </r>
  <r>
    <x v="1289"/>
    <n v="871.02"/>
    <x v="4"/>
  </r>
  <r>
    <x v="1290"/>
    <n v="871.93"/>
    <x v="4"/>
  </r>
  <r>
    <x v="1291"/>
    <n v="871.94"/>
    <x v="4"/>
  </r>
  <r>
    <x v="1292"/>
    <n v="871.94"/>
    <x v="4"/>
  </r>
  <r>
    <x v="1293"/>
    <n v="871.94"/>
    <x v="4"/>
  </r>
  <r>
    <x v="1294"/>
    <n v="873.74"/>
    <x v="4"/>
  </r>
  <r>
    <x v="1295"/>
    <n v="875.28"/>
    <x v="4"/>
  </r>
  <r>
    <x v="1296"/>
    <n v="873.78"/>
    <x v="4"/>
  </r>
  <r>
    <x v="1297"/>
    <n v="872.54"/>
    <x v="4"/>
  </r>
  <r>
    <x v="1298"/>
    <n v="873.91"/>
    <x v="4"/>
  </r>
  <r>
    <x v="1299"/>
    <n v="873.91"/>
    <x v="4"/>
  </r>
  <r>
    <x v="1300"/>
    <n v="873.91"/>
    <x v="4"/>
  </r>
  <r>
    <x v="1301"/>
    <n v="873.91"/>
    <x v="4"/>
  </r>
  <r>
    <x v="1302"/>
    <n v="875.59"/>
    <x v="4"/>
  </r>
  <r>
    <x v="1303"/>
    <n v="875.32"/>
    <x v="4"/>
  </r>
  <r>
    <x v="1304"/>
    <n v="874.81"/>
    <x v="4"/>
  </r>
  <r>
    <x v="1305"/>
    <n v="873.64"/>
    <x v="4"/>
  </r>
  <r>
    <x v="1306"/>
    <n v="873.64"/>
    <x v="4"/>
  </r>
  <r>
    <x v="1307"/>
    <n v="873.64"/>
    <x v="4"/>
  </r>
  <r>
    <x v="1308"/>
    <n v="873.64"/>
    <x v="4"/>
  </r>
  <r>
    <x v="1309"/>
    <n v="875.95"/>
    <x v="4"/>
  </r>
  <r>
    <x v="1310"/>
    <n v="878.8"/>
    <x v="4"/>
  </r>
  <r>
    <x v="1311"/>
    <n v="881.23"/>
    <x v="4"/>
  </r>
  <r>
    <x v="1312"/>
    <n v="880.49"/>
    <x v="4"/>
  </r>
  <r>
    <x v="1313"/>
    <n v="880.49"/>
    <x v="4"/>
  </r>
  <r>
    <x v="1314"/>
    <n v="880.49"/>
    <x v="4"/>
  </r>
  <r>
    <x v="1315"/>
    <n v="880.49"/>
    <x v="4"/>
  </r>
  <r>
    <x v="1316"/>
    <n v="883.81"/>
    <x v="4"/>
  </r>
  <r>
    <x v="1317"/>
    <n v="887.3"/>
    <x v="4"/>
  </r>
  <r>
    <x v="1318"/>
    <n v="891.28"/>
    <x v="4"/>
  </r>
  <r>
    <x v="1319"/>
    <n v="891.44"/>
    <x v="4"/>
  </r>
  <r>
    <x v="1320"/>
    <n v="891.44"/>
    <x v="4"/>
  </r>
  <r>
    <x v="1321"/>
    <n v="891.44"/>
    <x v="4"/>
  </r>
  <r>
    <x v="1322"/>
    <n v="897.12"/>
    <x v="4"/>
  </r>
  <r>
    <x v="1323"/>
    <n v="897.51"/>
    <x v="4"/>
  </r>
  <r>
    <x v="1324"/>
    <n v="895.84"/>
    <x v="4"/>
  </r>
  <r>
    <x v="1325"/>
    <n v="892.82"/>
    <x v="4"/>
  </r>
  <r>
    <x v="1326"/>
    <n v="893.36"/>
    <x v="4"/>
  </r>
  <r>
    <x v="1327"/>
    <n v="893.36"/>
    <x v="4"/>
  </r>
  <r>
    <x v="1328"/>
    <n v="893.36"/>
    <x v="4"/>
  </r>
  <r>
    <x v="1329"/>
    <n v="891.76"/>
    <x v="4"/>
  </r>
  <r>
    <x v="1330"/>
    <n v="894.03"/>
    <x v="4"/>
  </r>
  <r>
    <x v="1331"/>
    <n v="894.5"/>
    <x v="4"/>
  </r>
  <r>
    <x v="1332"/>
    <n v="894.5"/>
    <x v="4"/>
  </r>
  <r>
    <x v="1333"/>
    <n v="894.98"/>
    <x v="4"/>
  </r>
  <r>
    <x v="1334"/>
    <n v="894.98"/>
    <x v="4"/>
  </r>
  <r>
    <x v="1335"/>
    <n v="894.98"/>
    <x v="4"/>
  </r>
  <r>
    <x v="1336"/>
    <n v="896.68"/>
    <x v="4"/>
  </r>
  <r>
    <x v="1337"/>
    <n v="897.32"/>
    <x v="4"/>
  </r>
  <r>
    <x v="1338"/>
    <n v="897.77"/>
    <x v="4"/>
  </r>
  <r>
    <x v="1339"/>
    <n v="895.56"/>
    <x v="4"/>
  </r>
  <r>
    <x v="1340"/>
    <n v="897.63"/>
    <x v="4"/>
  </r>
  <r>
    <x v="1341"/>
    <n v="897.63"/>
    <x v="4"/>
  </r>
  <r>
    <x v="1342"/>
    <n v="897.63"/>
    <x v="4"/>
  </r>
  <r>
    <x v="1343"/>
    <n v="898.35"/>
    <x v="4"/>
  </r>
  <r>
    <x v="1344"/>
    <n v="900.78"/>
    <x v="4"/>
  </r>
  <r>
    <x v="1345"/>
    <n v="905.53"/>
    <x v="4"/>
  </r>
  <r>
    <x v="1346"/>
    <n v="917.53"/>
    <x v="4"/>
  </r>
  <r>
    <x v="1347"/>
    <n v="916.14"/>
    <x v="4"/>
  </r>
  <r>
    <x v="1348"/>
    <n v="916.14"/>
    <x v="4"/>
  </r>
  <r>
    <x v="1349"/>
    <n v="916.14"/>
    <x v="4"/>
  </r>
  <r>
    <x v="1350"/>
    <n v="916.14"/>
    <x v="4"/>
  </r>
  <r>
    <x v="1351"/>
    <n v="920.1"/>
    <x v="4"/>
  </r>
  <r>
    <x v="1352"/>
    <n v="919.32"/>
    <x v="4"/>
  </r>
  <r>
    <x v="1353"/>
    <n v="917.13"/>
    <x v="4"/>
  </r>
  <r>
    <x v="1354"/>
    <n v="919.13"/>
    <x v="4"/>
  </r>
  <r>
    <x v="1355"/>
    <n v="919.13"/>
    <x v="4"/>
  </r>
  <r>
    <x v="1356"/>
    <n v="919.13"/>
    <x v="4"/>
  </r>
  <r>
    <x v="1357"/>
    <n v="922.21"/>
    <x v="4"/>
  </r>
  <r>
    <x v="1358"/>
    <n v="928.25"/>
    <x v="4"/>
  </r>
  <r>
    <x v="1359"/>
    <n v="944.55"/>
    <x v="4"/>
  </r>
  <r>
    <x v="1360"/>
    <n v="947.22"/>
    <x v="4"/>
  </r>
  <r>
    <x v="1361"/>
    <n v="946.83"/>
    <x v="4"/>
  </r>
  <r>
    <x v="1362"/>
    <n v="946.83"/>
    <x v="4"/>
  </r>
  <r>
    <x v="1363"/>
    <n v="946.83"/>
    <x v="4"/>
  </r>
  <r>
    <x v="1364"/>
    <n v="946.83"/>
    <x v="4"/>
  </r>
  <r>
    <x v="1365"/>
    <n v="949.51"/>
    <x v="4"/>
  </r>
  <r>
    <x v="1366"/>
    <n v="955.12"/>
    <x v="4"/>
  </r>
  <r>
    <x v="1367"/>
    <n v="962.6"/>
    <x v="4"/>
  </r>
  <r>
    <x v="1368"/>
    <n v="970.65"/>
    <x v="4"/>
  </r>
  <r>
    <x v="1369"/>
    <n v="970.65"/>
    <x v="4"/>
  </r>
  <r>
    <x v="1370"/>
    <n v="970.65"/>
    <x v="4"/>
  </r>
  <r>
    <x v="1371"/>
    <n v="972.03"/>
    <x v="4"/>
  </r>
  <r>
    <x v="1372"/>
    <n v="963.93"/>
    <x v="4"/>
  </r>
  <r>
    <x v="1373"/>
    <n v="960.19"/>
    <x v="4"/>
  </r>
  <r>
    <x v="1374"/>
    <n v="949.35"/>
    <x v="4"/>
  </r>
  <r>
    <x v="1375"/>
    <n v="948.23"/>
    <x v="4"/>
  </r>
  <r>
    <x v="1376"/>
    <n v="948.23"/>
    <x v="4"/>
  </r>
  <r>
    <x v="1377"/>
    <n v="948.23"/>
    <x v="4"/>
  </r>
  <r>
    <x v="1378"/>
    <n v="957.54"/>
    <x v="4"/>
  </r>
  <r>
    <x v="1379"/>
    <n v="958.46"/>
    <x v="4"/>
  </r>
  <r>
    <x v="1380"/>
    <n v="953.63"/>
    <x v="4"/>
  </r>
  <r>
    <x v="1381"/>
    <n v="954.64"/>
    <x v="4"/>
  </r>
  <r>
    <x v="1382"/>
    <n v="958.31"/>
    <x v="4"/>
  </r>
  <r>
    <x v="1383"/>
    <n v="958.31"/>
    <x v="4"/>
  </r>
  <r>
    <x v="1384"/>
    <n v="958.31"/>
    <x v="4"/>
  </r>
  <r>
    <x v="1385"/>
    <n v="958.59"/>
    <x v="4"/>
  </r>
  <r>
    <x v="1386"/>
    <n v="959.18"/>
    <x v="4"/>
  </r>
  <r>
    <x v="1387"/>
    <n v="959.15"/>
    <x v="4"/>
  </r>
  <r>
    <x v="1388"/>
    <n v="960.25"/>
    <x v="4"/>
  </r>
  <r>
    <x v="1389"/>
    <n v="960.91"/>
    <x v="4"/>
  </r>
  <r>
    <x v="1390"/>
    <n v="960.91"/>
    <x v="4"/>
  </r>
  <r>
    <x v="1391"/>
    <n v="960.91"/>
    <x v="4"/>
  </r>
  <r>
    <x v="1392"/>
    <n v="962.5"/>
    <x v="4"/>
  </r>
  <r>
    <x v="1393"/>
    <n v="970.08"/>
    <x v="4"/>
  </r>
  <r>
    <x v="1394"/>
    <n v="974.88"/>
    <x v="4"/>
  </r>
  <r>
    <x v="1395"/>
    <n v="974.23"/>
    <x v="4"/>
  </r>
  <r>
    <x v="1396"/>
    <n v="975.9"/>
    <x v="4"/>
  </r>
  <r>
    <x v="1397"/>
    <n v="975.9"/>
    <x v="4"/>
  </r>
  <r>
    <x v="1398"/>
    <n v="975.9"/>
    <x v="4"/>
  </r>
  <r>
    <x v="1399"/>
    <n v="977.35"/>
    <x v="4"/>
  </r>
  <r>
    <x v="1400"/>
    <n v="980.54"/>
    <x v="4"/>
  </r>
  <r>
    <x v="1401"/>
    <n v="981.09"/>
    <x v="4"/>
  </r>
  <r>
    <x v="1402"/>
    <n v="972.8"/>
    <x v="4"/>
  </r>
  <r>
    <x v="1403"/>
    <n v="966.78"/>
    <x v="4"/>
  </r>
  <r>
    <x v="1404"/>
    <n v="966.78"/>
    <x v="4"/>
  </r>
  <r>
    <x v="1405"/>
    <n v="966.78"/>
    <x v="4"/>
  </r>
  <r>
    <x v="1406"/>
    <n v="971.22"/>
    <x v="4"/>
  </r>
  <r>
    <x v="1407"/>
    <n v="976.76"/>
    <x v="4"/>
  </r>
  <r>
    <x v="1408"/>
    <n v="972.75"/>
    <x v="4"/>
  </r>
  <r>
    <x v="1409"/>
    <n v="972.93"/>
    <x v="4"/>
  </r>
  <r>
    <x v="1410"/>
    <n v="979.16"/>
    <x v="4"/>
  </r>
  <r>
    <x v="1411"/>
    <n v="979.16"/>
    <x v="4"/>
  </r>
  <r>
    <x v="1412"/>
    <n v="979.16"/>
    <x v="4"/>
  </r>
  <r>
    <x v="1413"/>
    <n v="982.84"/>
    <x v="4"/>
  </r>
  <r>
    <x v="1414"/>
    <n v="981.45"/>
    <x v="4"/>
  </r>
  <r>
    <x v="1415"/>
    <n v="981.26"/>
    <x v="4"/>
  </r>
  <r>
    <x v="1416"/>
    <n v="984.88"/>
    <x v="4"/>
  </r>
  <r>
    <x v="1417"/>
    <n v="987"/>
    <x v="4"/>
  </r>
  <r>
    <x v="1418"/>
    <n v="987"/>
    <x v="4"/>
  </r>
  <r>
    <x v="1419"/>
    <n v="987"/>
    <x v="4"/>
  </r>
  <r>
    <x v="1420"/>
    <n v="987"/>
    <x v="4"/>
  </r>
  <r>
    <x v="1421"/>
    <n v="990.52"/>
    <x v="4"/>
  </r>
  <r>
    <x v="1422"/>
    <n v="991.22"/>
    <x v="4"/>
  </r>
  <r>
    <x v="1423"/>
    <n v="991.52"/>
    <x v="4"/>
  </r>
  <r>
    <x v="1424"/>
    <n v="988.96"/>
    <x v="4"/>
  </r>
  <r>
    <x v="1425"/>
    <n v="988.96"/>
    <x v="4"/>
  </r>
  <r>
    <x v="1426"/>
    <n v="988.96"/>
    <x v="4"/>
  </r>
  <r>
    <x v="1427"/>
    <n v="991.98"/>
    <x v="4"/>
  </r>
  <r>
    <x v="1428"/>
    <n v="993.68"/>
    <x v="4"/>
  </r>
  <r>
    <x v="1429"/>
    <n v="994.77"/>
    <x v="4"/>
  </r>
  <r>
    <x v="1430"/>
    <n v="995.01"/>
    <x v="4"/>
  </r>
  <r>
    <x v="1431"/>
    <n v="994.99"/>
    <x v="4"/>
  </r>
  <r>
    <x v="1432"/>
    <n v="994.99"/>
    <x v="4"/>
  </r>
  <r>
    <x v="1433"/>
    <n v="994.99"/>
    <x v="4"/>
  </r>
  <r>
    <x v="1434"/>
    <n v="994.5"/>
    <x v="4"/>
  </r>
  <r>
    <x v="1435"/>
    <n v="996.76"/>
    <x v="4"/>
  </r>
  <r>
    <x v="1436"/>
    <n v="996.96"/>
    <x v="4"/>
  </r>
  <r>
    <x v="1437"/>
    <n v="998.18"/>
    <x v="4"/>
  </r>
  <r>
    <x v="1438"/>
    <n v="998.49"/>
    <x v="4"/>
  </r>
  <r>
    <x v="1439"/>
    <n v="998.49"/>
    <x v="4"/>
  </r>
  <r>
    <x v="1440"/>
    <n v="998.49"/>
    <x v="4"/>
  </r>
  <r>
    <x v="1441"/>
    <n v="998.49"/>
    <x v="4"/>
  </r>
  <r>
    <x v="1442"/>
    <n v="999.51"/>
    <x v="4"/>
  </r>
  <r>
    <x v="1443"/>
    <n v="999.73"/>
    <x v="4"/>
  </r>
  <r>
    <x v="1444"/>
    <n v="1000.13"/>
    <x v="4"/>
  </r>
  <r>
    <x v="1445"/>
    <n v="999.77"/>
    <x v="4"/>
  </r>
  <r>
    <x v="1446"/>
    <n v="999.77"/>
    <x v="4"/>
  </r>
  <r>
    <x v="1447"/>
    <n v="999.77"/>
    <x v="4"/>
  </r>
  <r>
    <x v="1448"/>
    <n v="999.77"/>
    <x v="4"/>
  </r>
  <r>
    <x v="1449"/>
    <n v="1001.14"/>
    <x v="4"/>
  </r>
  <r>
    <x v="1450"/>
    <n v="1001.62"/>
    <x v="4"/>
  </r>
  <r>
    <x v="1451"/>
    <n v="1002.25"/>
    <x v="4"/>
  </r>
  <r>
    <x v="1452"/>
    <n v="1002.63"/>
    <x v="4"/>
  </r>
  <r>
    <x v="1453"/>
    <n v="1002.63"/>
    <x v="4"/>
  </r>
  <r>
    <x v="1454"/>
    <n v="1002.63"/>
    <x v="4"/>
  </r>
  <r>
    <x v="1455"/>
    <n v="1003.44"/>
    <x v="4"/>
  </r>
  <r>
    <x v="1456"/>
    <n v="1003.47"/>
    <x v="4"/>
  </r>
  <r>
    <x v="1457"/>
    <n v="1002.49"/>
    <x v="4"/>
  </r>
  <r>
    <x v="1458"/>
    <n v="1001.23"/>
    <x v="4"/>
  </r>
  <r>
    <x v="1459"/>
    <n v="1000.69"/>
    <x v="4"/>
  </r>
  <r>
    <x v="1460"/>
    <n v="1000.69"/>
    <x v="4"/>
  </r>
  <r>
    <x v="1461"/>
    <n v="1000.69"/>
    <x v="4"/>
  </r>
  <r>
    <x v="1462"/>
    <n v="1003.24"/>
    <x v="4"/>
  </r>
  <r>
    <x v="1463"/>
    <n v="1001.73"/>
    <x v="4"/>
  </r>
  <r>
    <x v="1464"/>
    <n v="998.16"/>
    <x v="4"/>
  </r>
  <r>
    <x v="1465"/>
    <n v="998.15"/>
    <x v="4"/>
  </r>
  <r>
    <x v="1466"/>
    <n v="997.87"/>
    <x v="4"/>
  </r>
  <r>
    <x v="1467"/>
    <n v="997.87"/>
    <x v="4"/>
  </r>
  <r>
    <x v="1468"/>
    <n v="997.87"/>
    <x v="4"/>
  </r>
  <r>
    <x v="1469"/>
    <n v="995.93"/>
    <x v="4"/>
  </r>
  <r>
    <x v="1470"/>
    <n v="990.16"/>
    <x v="4"/>
  </r>
  <r>
    <x v="1471"/>
    <n v="983.29"/>
    <x v="4"/>
  </r>
  <r>
    <x v="1472"/>
    <n v="974.04"/>
    <x v="4"/>
  </r>
  <r>
    <x v="1473"/>
    <n v="974.04"/>
    <x v="4"/>
  </r>
  <r>
    <x v="1474"/>
    <n v="974.04"/>
    <x v="4"/>
  </r>
  <r>
    <x v="1475"/>
    <n v="974.04"/>
    <x v="4"/>
  </r>
  <r>
    <x v="1476"/>
    <n v="979.87"/>
    <x v="4"/>
  </r>
  <r>
    <x v="1477"/>
    <n v="986.17"/>
    <x v="4"/>
  </r>
  <r>
    <x v="1478"/>
    <n v="994.57"/>
    <x v="4"/>
  </r>
  <r>
    <x v="1479"/>
    <n v="992.88"/>
    <x v="4"/>
  </r>
  <r>
    <x v="1480"/>
    <n v="988.94"/>
    <x v="4"/>
  </r>
  <r>
    <x v="1481"/>
    <n v="988.94"/>
    <x v="4"/>
  </r>
  <r>
    <x v="1482"/>
    <n v="988.94"/>
    <x v="4"/>
  </r>
  <r>
    <x v="1483"/>
    <n v="986.71"/>
    <x v="4"/>
  </r>
  <r>
    <x v="1484"/>
    <n v="987.22"/>
    <x v="4"/>
  </r>
  <r>
    <x v="1485"/>
    <n v="985.39"/>
    <x v="4"/>
  </r>
  <r>
    <x v="1486"/>
    <n v="984.06"/>
    <x v="4"/>
  </r>
  <r>
    <x v="1487"/>
    <n v="984.96"/>
    <x v="4"/>
  </r>
  <r>
    <x v="1488"/>
    <n v="984.96"/>
    <x v="4"/>
  </r>
  <r>
    <x v="1489"/>
    <n v="984.96"/>
    <x v="4"/>
  </r>
  <r>
    <x v="1490"/>
    <n v="984.96"/>
    <x v="4"/>
  </r>
  <r>
    <x v="1491"/>
    <n v="990.1"/>
    <x v="4"/>
  </r>
  <r>
    <x v="1492"/>
    <n v="986.96"/>
    <x v="4"/>
  </r>
  <r>
    <x v="1493"/>
    <n v="987.65"/>
    <x v="4"/>
  </r>
  <r>
    <x v="1494"/>
    <n v="987.65"/>
    <x v="4"/>
  </r>
  <r>
    <x v="1495"/>
    <n v="987.65"/>
    <x v="4"/>
  </r>
  <r>
    <x v="1496"/>
    <n v="987.65"/>
    <x v="5"/>
  </r>
  <r>
    <x v="1497"/>
    <n v="987.65"/>
    <x v="5"/>
  </r>
  <r>
    <x v="1498"/>
    <n v="994.31"/>
    <x v="5"/>
  </r>
  <r>
    <x v="1499"/>
    <n v="994.5"/>
    <x v="5"/>
  </r>
  <r>
    <x v="1500"/>
    <n v="998.68"/>
    <x v="5"/>
  </r>
  <r>
    <x v="1501"/>
    <n v="997.06"/>
    <x v="5"/>
  </r>
  <r>
    <x v="1502"/>
    <n v="997.06"/>
    <x v="5"/>
  </r>
  <r>
    <x v="1503"/>
    <n v="997.06"/>
    <x v="5"/>
  </r>
  <r>
    <x v="1504"/>
    <n v="997.06"/>
    <x v="5"/>
  </r>
  <r>
    <x v="1505"/>
    <n v="1003.44"/>
    <x v="5"/>
  </r>
  <r>
    <x v="1506"/>
    <n v="1003.86"/>
    <x v="5"/>
  </r>
  <r>
    <x v="1507"/>
    <n v="1002.59"/>
    <x v="5"/>
  </r>
  <r>
    <x v="1508"/>
    <n v="1005.63"/>
    <x v="5"/>
  </r>
  <r>
    <x v="1509"/>
    <n v="1005.63"/>
    <x v="5"/>
  </r>
  <r>
    <x v="1510"/>
    <n v="1005.63"/>
    <x v="5"/>
  </r>
  <r>
    <x v="1511"/>
    <n v="1011.59"/>
    <x v="5"/>
  </r>
  <r>
    <x v="1512"/>
    <n v="1011.72"/>
    <x v="5"/>
  </r>
  <r>
    <x v="1513"/>
    <n v="1010.34"/>
    <x v="5"/>
  </r>
  <r>
    <x v="1514"/>
    <n v="1015.1"/>
    <x v="5"/>
  </r>
  <r>
    <x v="1515"/>
    <n v="1018.99"/>
    <x v="5"/>
  </r>
  <r>
    <x v="1516"/>
    <n v="1018.99"/>
    <x v="5"/>
  </r>
  <r>
    <x v="1517"/>
    <n v="1018.99"/>
    <x v="5"/>
  </r>
  <r>
    <x v="1518"/>
    <n v="1019.17"/>
    <x v="5"/>
  </r>
  <r>
    <x v="1519"/>
    <n v="1024.8900000000001"/>
    <x v="5"/>
  </r>
  <r>
    <x v="1520"/>
    <n v="1026.08"/>
    <x v="5"/>
  </r>
  <r>
    <x v="1521"/>
    <n v="1026.78"/>
    <x v="5"/>
  </r>
  <r>
    <x v="1522"/>
    <n v="1026.8900000000001"/>
    <x v="5"/>
  </r>
  <r>
    <x v="1523"/>
    <n v="1026.8900000000001"/>
    <x v="5"/>
  </r>
  <r>
    <x v="1524"/>
    <n v="1026.8900000000001"/>
    <x v="5"/>
  </r>
  <r>
    <x v="1525"/>
    <n v="1027.6099999999999"/>
    <x v="5"/>
  </r>
  <r>
    <x v="1526"/>
    <n v="1028.1400000000001"/>
    <x v="5"/>
  </r>
  <r>
    <x v="1527"/>
    <n v="1026.3"/>
    <x v="5"/>
  </r>
  <r>
    <x v="1528"/>
    <n v="1024.8900000000001"/>
    <x v="5"/>
  </r>
  <r>
    <x v="1529"/>
    <n v="1021.29"/>
    <x v="5"/>
  </r>
  <r>
    <x v="1530"/>
    <n v="1021.29"/>
    <x v="5"/>
  </r>
  <r>
    <x v="1531"/>
    <n v="1021.29"/>
    <x v="5"/>
  </r>
  <r>
    <x v="1532"/>
    <n v="1022.93"/>
    <x v="5"/>
  </r>
  <r>
    <x v="1533"/>
    <n v="1021.3"/>
    <x v="5"/>
  </r>
  <r>
    <x v="1534"/>
    <n v="1022.28"/>
    <x v="5"/>
  </r>
  <r>
    <x v="1535"/>
    <n v="1024.17"/>
    <x v="5"/>
  </r>
  <r>
    <x v="1536"/>
    <n v="1023.07"/>
    <x v="5"/>
  </r>
  <r>
    <x v="1537"/>
    <n v="1023.07"/>
    <x v="5"/>
  </r>
  <r>
    <x v="1538"/>
    <n v="1023.07"/>
    <x v="5"/>
  </r>
  <r>
    <x v="1539"/>
    <n v="1027.54"/>
    <x v="5"/>
  </r>
  <r>
    <x v="1540"/>
    <n v="1028.58"/>
    <x v="5"/>
  </r>
  <r>
    <x v="1541"/>
    <n v="1027.57"/>
    <x v="5"/>
  </r>
  <r>
    <x v="1542"/>
    <n v="1030.67"/>
    <x v="5"/>
  </r>
  <r>
    <x v="1543"/>
    <n v="1029.5"/>
    <x v="5"/>
  </r>
  <r>
    <x v="1544"/>
    <n v="1029.5"/>
    <x v="5"/>
  </r>
  <r>
    <x v="1545"/>
    <n v="1029.5"/>
    <x v="5"/>
  </r>
  <r>
    <x v="1546"/>
    <n v="1033.4100000000001"/>
    <x v="5"/>
  </r>
  <r>
    <x v="1547"/>
    <n v="1034.3399999999999"/>
    <x v="5"/>
  </r>
  <r>
    <x v="1548"/>
    <n v="1035.43"/>
    <x v="5"/>
  </r>
  <r>
    <x v="1549"/>
    <n v="1035.04"/>
    <x v="5"/>
  </r>
  <r>
    <x v="1550"/>
    <n v="1036.71"/>
    <x v="5"/>
  </r>
  <r>
    <x v="1551"/>
    <n v="1036.71"/>
    <x v="5"/>
  </r>
  <r>
    <x v="1552"/>
    <n v="1036.71"/>
    <x v="5"/>
  </r>
  <r>
    <x v="1553"/>
    <n v="1038.49"/>
    <x v="5"/>
  </r>
  <r>
    <x v="1554"/>
    <n v="1039.06"/>
    <x v="5"/>
  </r>
  <r>
    <x v="1555"/>
    <n v="1039.81"/>
    <x v="5"/>
  </r>
  <r>
    <x v="1556"/>
    <n v="1039.9000000000001"/>
    <x v="5"/>
  </r>
  <r>
    <x v="1557"/>
    <n v="1040.7"/>
    <x v="5"/>
  </r>
  <r>
    <x v="1558"/>
    <n v="1040.7"/>
    <x v="5"/>
  </r>
  <r>
    <x v="1559"/>
    <n v="1040.7"/>
    <x v="5"/>
  </r>
  <r>
    <x v="1560"/>
    <n v="1041.28"/>
    <x v="5"/>
  </r>
  <r>
    <x v="1561"/>
    <n v="1041.83"/>
    <x v="5"/>
  </r>
  <r>
    <x v="1562"/>
    <n v="1042.03"/>
    <x v="5"/>
  </r>
  <r>
    <x v="1563"/>
    <n v="1042.6099999999999"/>
    <x v="5"/>
  </r>
  <r>
    <x v="1564"/>
    <n v="1042.42"/>
    <x v="5"/>
  </r>
  <r>
    <x v="1565"/>
    <n v="1042.42"/>
    <x v="5"/>
  </r>
  <r>
    <x v="1566"/>
    <n v="1042.42"/>
    <x v="5"/>
  </r>
  <r>
    <x v="1567"/>
    <n v="1043.5"/>
    <x v="5"/>
  </r>
  <r>
    <x v="1568"/>
    <n v="1044.07"/>
    <x v="5"/>
  </r>
  <r>
    <x v="1569"/>
    <n v="1044.99"/>
    <x v="5"/>
  </r>
  <r>
    <x v="1570"/>
    <n v="1045.44"/>
    <x v="5"/>
  </r>
  <r>
    <x v="1571"/>
    <n v="1046.0899999999999"/>
    <x v="5"/>
  </r>
  <r>
    <x v="1572"/>
    <n v="1046.0899999999999"/>
    <x v="5"/>
  </r>
  <r>
    <x v="1573"/>
    <n v="1046.0899999999999"/>
    <x v="5"/>
  </r>
  <r>
    <x v="1574"/>
    <n v="1046.76"/>
    <x v="5"/>
  </r>
  <r>
    <x v="1575"/>
    <n v="1047.24"/>
    <x v="5"/>
  </r>
  <r>
    <x v="1576"/>
    <n v="1047.6500000000001"/>
    <x v="5"/>
  </r>
  <r>
    <x v="1577"/>
    <n v="1048.4000000000001"/>
    <x v="5"/>
  </r>
  <r>
    <x v="1578"/>
    <n v="1048"/>
    <x v="5"/>
  </r>
  <r>
    <x v="1579"/>
    <n v="1048"/>
    <x v="5"/>
  </r>
  <r>
    <x v="1580"/>
    <n v="1048"/>
    <x v="5"/>
  </r>
  <r>
    <x v="1581"/>
    <n v="1048"/>
    <x v="5"/>
  </r>
  <r>
    <x v="1582"/>
    <n v="1049.08"/>
    <x v="5"/>
  </r>
  <r>
    <x v="1583"/>
    <n v="1049.22"/>
    <x v="5"/>
  </r>
  <r>
    <x v="1584"/>
    <n v="1048.42"/>
    <x v="5"/>
  </r>
  <r>
    <x v="1585"/>
    <n v="1046"/>
    <x v="5"/>
  </r>
  <r>
    <x v="1586"/>
    <n v="1046"/>
    <x v="5"/>
  </r>
  <r>
    <x v="1587"/>
    <n v="1046"/>
    <x v="5"/>
  </r>
  <r>
    <x v="1588"/>
    <n v="1042.2"/>
    <x v="5"/>
  </r>
  <r>
    <x v="1589"/>
    <n v="1045.23"/>
    <x v="5"/>
  </r>
  <r>
    <x v="1590"/>
    <n v="1046.92"/>
    <x v="5"/>
  </r>
  <r>
    <x v="1591"/>
    <n v="1046.92"/>
    <x v="5"/>
  </r>
  <r>
    <x v="1592"/>
    <n v="1046.92"/>
    <x v="5"/>
  </r>
  <r>
    <x v="1593"/>
    <n v="1046.92"/>
    <x v="5"/>
  </r>
  <r>
    <x v="1594"/>
    <n v="1046.92"/>
    <x v="5"/>
  </r>
  <r>
    <x v="1595"/>
    <n v="1050.1199999999999"/>
    <x v="5"/>
  </r>
  <r>
    <x v="1596"/>
    <n v="1047.3499999999999"/>
    <x v="5"/>
  </r>
  <r>
    <x v="1597"/>
    <n v="1046.55"/>
    <x v="5"/>
  </r>
  <r>
    <x v="1598"/>
    <n v="1047.48"/>
    <x v="5"/>
  </r>
  <r>
    <x v="1599"/>
    <n v="1048.8900000000001"/>
    <x v="5"/>
  </r>
  <r>
    <x v="1600"/>
    <n v="1048.8900000000001"/>
    <x v="5"/>
  </r>
  <r>
    <x v="1601"/>
    <n v="1048.8900000000001"/>
    <x v="5"/>
  </r>
  <r>
    <x v="1602"/>
    <n v="1050.73"/>
    <x v="5"/>
  </r>
  <r>
    <x v="1603"/>
    <n v="1054.4100000000001"/>
    <x v="5"/>
  </r>
  <r>
    <x v="1604"/>
    <n v="1054.03"/>
    <x v="5"/>
  </r>
  <r>
    <x v="1605"/>
    <n v="1052.9000000000001"/>
    <x v="5"/>
  </r>
  <r>
    <x v="1606"/>
    <n v="1053.5899999999999"/>
    <x v="5"/>
  </r>
  <r>
    <x v="1607"/>
    <n v="1053.5899999999999"/>
    <x v="5"/>
  </r>
  <r>
    <x v="1608"/>
    <n v="1053.5899999999999"/>
    <x v="5"/>
  </r>
  <r>
    <x v="1609"/>
    <n v="1054.43"/>
    <x v="5"/>
  </r>
  <r>
    <x v="1610"/>
    <n v="1055.31"/>
    <x v="5"/>
  </r>
  <r>
    <x v="1611"/>
    <n v="1054.53"/>
    <x v="5"/>
  </r>
  <r>
    <x v="1612"/>
    <n v="1054.29"/>
    <x v="5"/>
  </r>
  <r>
    <x v="1613"/>
    <n v="1054.8"/>
    <x v="5"/>
  </r>
  <r>
    <x v="1614"/>
    <n v="1054.8"/>
    <x v="5"/>
  </r>
  <r>
    <x v="1615"/>
    <n v="1054.8"/>
    <x v="5"/>
  </r>
  <r>
    <x v="1616"/>
    <n v="1058.9000000000001"/>
    <x v="5"/>
  </r>
  <r>
    <x v="1617"/>
    <n v="1061.55"/>
    <x v="5"/>
  </r>
  <r>
    <x v="1618"/>
    <n v="1061.55"/>
    <x v="5"/>
  </r>
  <r>
    <x v="1619"/>
    <n v="1062.56"/>
    <x v="5"/>
  </r>
  <r>
    <x v="1620"/>
    <n v="1062.4000000000001"/>
    <x v="5"/>
  </r>
  <r>
    <x v="1621"/>
    <n v="1062.4000000000001"/>
    <x v="5"/>
  </r>
  <r>
    <x v="1622"/>
    <n v="1062.4000000000001"/>
    <x v="5"/>
  </r>
  <r>
    <x v="1623"/>
    <n v="1063.4100000000001"/>
    <x v="5"/>
  </r>
  <r>
    <x v="1624"/>
    <n v="1063.53"/>
    <x v="5"/>
  </r>
  <r>
    <x v="1625"/>
    <n v="1061.6300000000001"/>
    <x v="5"/>
  </r>
  <r>
    <x v="1626"/>
    <n v="1061.0999999999999"/>
    <x v="5"/>
  </r>
  <r>
    <x v="1627"/>
    <n v="1062.08"/>
    <x v="5"/>
  </r>
  <r>
    <x v="1628"/>
    <n v="1062.08"/>
    <x v="5"/>
  </r>
  <r>
    <x v="1629"/>
    <n v="1062.08"/>
    <x v="5"/>
  </r>
  <r>
    <x v="1630"/>
    <n v="1065.78"/>
    <x v="5"/>
  </r>
  <r>
    <x v="1631"/>
    <n v="1066.24"/>
    <x v="5"/>
  </r>
  <r>
    <x v="1632"/>
    <n v="1066.6099999999999"/>
    <x v="5"/>
  </r>
  <r>
    <x v="1633"/>
    <n v="1065.8800000000001"/>
    <x v="5"/>
  </r>
  <r>
    <x v="1634"/>
    <n v="1066.47"/>
    <x v="5"/>
  </r>
  <r>
    <x v="1635"/>
    <n v="1066.47"/>
    <x v="5"/>
  </r>
  <r>
    <x v="1636"/>
    <n v="1066.47"/>
    <x v="5"/>
  </r>
  <r>
    <x v="1637"/>
    <n v="1066.47"/>
    <x v="5"/>
  </r>
  <r>
    <x v="1638"/>
    <n v="1068.18"/>
    <x v="5"/>
  </r>
  <r>
    <x v="1639"/>
    <n v="1068.9100000000001"/>
    <x v="5"/>
  </r>
  <r>
    <x v="1640"/>
    <n v="1069.47"/>
    <x v="5"/>
  </r>
  <r>
    <x v="1641"/>
    <n v="1068.94"/>
    <x v="5"/>
  </r>
  <r>
    <x v="1642"/>
    <n v="1068.94"/>
    <x v="5"/>
  </r>
  <r>
    <x v="1643"/>
    <n v="1068.94"/>
    <x v="5"/>
  </r>
  <r>
    <x v="1644"/>
    <n v="1069.8"/>
    <x v="5"/>
  </r>
  <r>
    <x v="1645"/>
    <n v="1071.19"/>
    <x v="5"/>
  </r>
  <r>
    <x v="1646"/>
    <n v="1072.24"/>
    <x v="5"/>
  </r>
  <r>
    <x v="1647"/>
    <n v="1073.06"/>
    <x v="5"/>
  </r>
  <r>
    <x v="1648"/>
    <n v="1072.5899999999999"/>
    <x v="5"/>
  </r>
  <r>
    <x v="1649"/>
    <n v="1072.5899999999999"/>
    <x v="5"/>
  </r>
  <r>
    <x v="1650"/>
    <n v="1072.5899999999999"/>
    <x v="5"/>
  </r>
  <r>
    <x v="1651"/>
    <n v="1074.7"/>
    <x v="5"/>
  </r>
  <r>
    <x v="1652"/>
    <n v="1074.72"/>
    <x v="5"/>
  </r>
  <r>
    <x v="1653"/>
    <n v="1074.27"/>
    <x v="5"/>
  </r>
  <r>
    <x v="1654"/>
    <n v="1072.95"/>
    <x v="5"/>
  </r>
  <r>
    <x v="1655"/>
    <n v="1073.06"/>
    <x v="5"/>
  </r>
  <r>
    <x v="1656"/>
    <n v="1073.06"/>
    <x v="5"/>
  </r>
  <r>
    <x v="1657"/>
    <n v="1073.06"/>
    <x v="5"/>
  </r>
  <r>
    <x v="1658"/>
    <n v="1073.06"/>
    <x v="5"/>
  </r>
  <r>
    <x v="1659"/>
    <n v="1073.6500000000001"/>
    <x v="5"/>
  </r>
  <r>
    <x v="1660"/>
    <n v="1070.8"/>
    <x v="5"/>
  </r>
  <r>
    <x v="1661"/>
    <n v="1072.3399999999999"/>
    <x v="5"/>
  </r>
  <r>
    <x v="1662"/>
    <n v="1071.3499999999999"/>
    <x v="5"/>
  </r>
  <r>
    <x v="1663"/>
    <n v="1071.3499999999999"/>
    <x v="5"/>
  </r>
  <r>
    <x v="1664"/>
    <n v="1071.3499999999999"/>
    <x v="5"/>
  </r>
  <r>
    <x v="1665"/>
    <n v="1071.3499999999999"/>
    <x v="5"/>
  </r>
  <r>
    <x v="1666"/>
    <n v="1072.74"/>
    <x v="5"/>
  </r>
  <r>
    <x v="1667"/>
    <n v="1070.94"/>
    <x v="5"/>
  </r>
  <r>
    <x v="1668"/>
    <n v="1070.8599999999999"/>
    <x v="5"/>
  </r>
  <r>
    <x v="1669"/>
    <n v="1068.2"/>
    <x v="5"/>
  </r>
  <r>
    <x v="1670"/>
    <n v="1068.2"/>
    <x v="5"/>
  </r>
  <r>
    <x v="1671"/>
    <n v="1068.2"/>
    <x v="5"/>
  </r>
  <r>
    <x v="1672"/>
    <n v="1070.25"/>
    <x v="5"/>
  </r>
  <r>
    <x v="1673"/>
    <n v="1069.81"/>
    <x v="5"/>
  </r>
  <r>
    <x v="1674"/>
    <n v="1072.3699999999999"/>
    <x v="5"/>
  </r>
  <r>
    <x v="1675"/>
    <n v="1069.73"/>
    <x v="5"/>
  </r>
  <r>
    <x v="1676"/>
    <n v="1069.1099999999999"/>
    <x v="5"/>
  </r>
  <r>
    <x v="1677"/>
    <n v="1069.1099999999999"/>
    <x v="5"/>
  </r>
  <r>
    <x v="1678"/>
    <n v="1069.1099999999999"/>
    <x v="5"/>
  </r>
  <r>
    <x v="1679"/>
    <n v="1069.1099999999999"/>
    <x v="5"/>
  </r>
  <r>
    <x v="1680"/>
    <n v="1070.55"/>
    <x v="5"/>
  </r>
  <r>
    <x v="1681"/>
    <n v="1068.1199999999999"/>
    <x v="5"/>
  </r>
  <r>
    <x v="1682"/>
    <n v="1068.3"/>
    <x v="5"/>
  </r>
  <r>
    <x v="1683"/>
    <n v="1067.3499999999999"/>
    <x v="5"/>
  </r>
  <r>
    <x v="1684"/>
    <n v="1067.3499999999999"/>
    <x v="5"/>
  </r>
  <r>
    <x v="1685"/>
    <n v="1067.3499999999999"/>
    <x v="5"/>
  </r>
  <r>
    <x v="1686"/>
    <n v="1068.17"/>
    <x v="5"/>
  </r>
  <r>
    <x v="1687"/>
    <n v="1067.97"/>
    <x v="5"/>
  </r>
  <r>
    <x v="1688"/>
    <n v="1065.6500000000001"/>
    <x v="5"/>
  </r>
  <r>
    <x v="1689"/>
    <n v="1061.79"/>
    <x v="5"/>
  </r>
  <r>
    <x v="1690"/>
    <n v="1061.99"/>
    <x v="5"/>
  </r>
  <r>
    <x v="1691"/>
    <n v="1061.99"/>
    <x v="5"/>
  </r>
  <r>
    <x v="1692"/>
    <n v="1061.99"/>
    <x v="5"/>
  </r>
  <r>
    <x v="1693"/>
    <n v="1065.58"/>
    <x v="5"/>
  </r>
  <r>
    <x v="1694"/>
    <n v="1064.82"/>
    <x v="5"/>
  </r>
  <r>
    <x v="1695"/>
    <n v="1062.8599999999999"/>
    <x v="5"/>
  </r>
  <r>
    <x v="1696"/>
    <n v="1058.92"/>
    <x v="5"/>
  </r>
  <r>
    <x v="1697"/>
    <n v="1061.02"/>
    <x v="5"/>
  </r>
  <r>
    <x v="1698"/>
    <n v="1061.02"/>
    <x v="5"/>
  </r>
  <r>
    <x v="1699"/>
    <n v="1061.02"/>
    <x v="5"/>
  </r>
  <r>
    <x v="1700"/>
    <n v="1063.53"/>
    <x v="5"/>
  </r>
  <r>
    <x v="1701"/>
    <n v="1064.56"/>
    <x v="5"/>
  </r>
  <r>
    <x v="1702"/>
    <n v="1061.46"/>
    <x v="5"/>
  </r>
  <r>
    <x v="1703"/>
    <n v="1061.03"/>
    <x v="5"/>
  </r>
  <r>
    <x v="1704"/>
    <n v="1061.48"/>
    <x v="5"/>
  </r>
  <r>
    <x v="1705"/>
    <n v="1061.48"/>
    <x v="5"/>
  </r>
  <r>
    <x v="1706"/>
    <n v="1061.48"/>
    <x v="5"/>
  </r>
  <r>
    <x v="1707"/>
    <n v="1059.18"/>
    <x v="5"/>
  </r>
  <r>
    <x v="1708"/>
    <n v="1056.74"/>
    <x v="5"/>
  </r>
  <r>
    <x v="1709"/>
    <n v="1057.47"/>
    <x v="5"/>
  </r>
  <r>
    <x v="1710"/>
    <n v="1054.8699999999999"/>
    <x v="5"/>
  </r>
  <r>
    <x v="1711"/>
    <n v="1054.0999999999999"/>
    <x v="5"/>
  </r>
  <r>
    <x v="1712"/>
    <n v="1054.0999999999999"/>
    <x v="5"/>
  </r>
  <r>
    <x v="1713"/>
    <n v="1054.0999999999999"/>
    <x v="5"/>
  </r>
  <r>
    <x v="1714"/>
    <n v="1051.6099999999999"/>
    <x v="5"/>
  </r>
  <r>
    <x v="1715"/>
    <n v="1049.3699999999999"/>
    <x v="5"/>
  </r>
  <r>
    <x v="1716"/>
    <n v="1049.3699999999999"/>
    <x v="5"/>
  </r>
  <r>
    <x v="1717"/>
    <n v="1044.9000000000001"/>
    <x v="5"/>
  </r>
  <r>
    <x v="1718"/>
    <n v="1040.68"/>
    <x v="5"/>
  </r>
  <r>
    <x v="1719"/>
    <n v="1040.68"/>
    <x v="5"/>
  </r>
  <r>
    <x v="1720"/>
    <n v="1040.68"/>
    <x v="5"/>
  </r>
  <r>
    <x v="1721"/>
    <n v="1035.79"/>
    <x v="5"/>
  </r>
  <r>
    <x v="1722"/>
    <n v="1029.46"/>
    <x v="5"/>
  </r>
  <r>
    <x v="1723"/>
    <n v="1041.76"/>
    <x v="5"/>
  </r>
  <r>
    <x v="1724"/>
    <n v="1051.82"/>
    <x v="5"/>
  </r>
  <r>
    <x v="1725"/>
    <n v="1047.9000000000001"/>
    <x v="5"/>
  </r>
  <r>
    <x v="1726"/>
    <n v="1047.9000000000001"/>
    <x v="5"/>
  </r>
  <r>
    <x v="1727"/>
    <n v="1047.9000000000001"/>
    <x v="5"/>
  </r>
  <r>
    <x v="1728"/>
    <n v="1047.9000000000001"/>
    <x v="5"/>
  </r>
  <r>
    <x v="1729"/>
    <n v="1044.54"/>
    <x v="5"/>
  </r>
  <r>
    <x v="1730"/>
    <n v="1037.43"/>
    <x v="5"/>
  </r>
  <r>
    <x v="1731"/>
    <n v="1040.1500000000001"/>
    <x v="5"/>
  </r>
  <r>
    <x v="1732"/>
    <n v="1037.0999999999999"/>
    <x v="5"/>
  </r>
  <r>
    <x v="1733"/>
    <n v="1037.0999999999999"/>
    <x v="5"/>
  </r>
  <r>
    <x v="1734"/>
    <n v="1037.0999999999999"/>
    <x v="5"/>
  </r>
  <r>
    <x v="1735"/>
    <n v="1041.6400000000001"/>
    <x v="5"/>
  </r>
  <r>
    <x v="1736"/>
    <n v="1044.54"/>
    <x v="5"/>
  </r>
  <r>
    <x v="1737"/>
    <n v="1046.7"/>
    <x v="5"/>
  </r>
  <r>
    <x v="1738"/>
    <n v="1045.02"/>
    <x v="5"/>
  </r>
  <r>
    <x v="1739"/>
    <n v="1042.32"/>
    <x v="5"/>
  </r>
  <r>
    <x v="1740"/>
    <n v="1042.32"/>
    <x v="5"/>
  </r>
  <r>
    <x v="1741"/>
    <n v="1042.32"/>
    <x v="5"/>
  </r>
  <r>
    <x v="1742"/>
    <n v="1044.3800000000001"/>
    <x v="5"/>
  </r>
  <r>
    <x v="1743"/>
    <n v="1045.27"/>
    <x v="5"/>
  </r>
  <r>
    <x v="1744"/>
    <n v="1044.0899999999999"/>
    <x v="5"/>
  </r>
  <r>
    <x v="1745"/>
    <n v="1043.93"/>
    <x v="5"/>
  </r>
  <r>
    <x v="1746"/>
    <n v="1045.8699999999999"/>
    <x v="5"/>
  </r>
  <r>
    <x v="1747"/>
    <n v="1045.8699999999999"/>
    <x v="5"/>
  </r>
  <r>
    <x v="1748"/>
    <n v="1045.8699999999999"/>
    <x v="5"/>
  </r>
  <r>
    <x v="1749"/>
    <n v="1047.95"/>
    <x v="5"/>
  </r>
  <r>
    <x v="1750"/>
    <n v="1051.6400000000001"/>
    <x v="5"/>
  </r>
  <r>
    <x v="1751"/>
    <n v="1047.26"/>
    <x v="5"/>
  </r>
  <r>
    <x v="1752"/>
    <n v="1047.6600000000001"/>
    <x v="5"/>
  </r>
  <r>
    <x v="1753"/>
    <n v="1043.8900000000001"/>
    <x v="5"/>
  </r>
  <r>
    <x v="1754"/>
    <n v="1043.8900000000001"/>
    <x v="5"/>
  </r>
  <r>
    <x v="1755"/>
    <n v="1043.8900000000001"/>
    <x v="5"/>
  </r>
  <r>
    <x v="1756"/>
    <n v="1042.8"/>
    <x v="5"/>
  </r>
  <r>
    <x v="1757"/>
    <n v="1038.9000000000001"/>
    <x v="5"/>
  </r>
  <r>
    <x v="1758"/>
    <n v="1035.94"/>
    <x v="5"/>
  </r>
  <r>
    <x v="1759"/>
    <n v="1037.0999999999999"/>
    <x v="5"/>
  </r>
  <r>
    <x v="1760"/>
    <n v="1037.1099999999999"/>
    <x v="5"/>
  </r>
  <r>
    <x v="1761"/>
    <n v="1037.1099999999999"/>
    <x v="5"/>
  </r>
  <r>
    <x v="1762"/>
    <n v="1037.1099999999999"/>
    <x v="5"/>
  </r>
  <r>
    <x v="1763"/>
    <n v="1038.0899999999999"/>
    <x v="5"/>
  </r>
  <r>
    <x v="1764"/>
    <n v="1040.3599999999999"/>
    <x v="5"/>
  </r>
  <r>
    <x v="1765"/>
    <n v="1030.25"/>
    <x v="5"/>
  </r>
  <r>
    <x v="1766"/>
    <n v="1027.68"/>
    <x v="5"/>
  </r>
  <r>
    <x v="1767"/>
    <n v="1025.06"/>
    <x v="5"/>
  </r>
  <r>
    <x v="1768"/>
    <n v="1025.06"/>
    <x v="5"/>
  </r>
  <r>
    <x v="1769"/>
    <n v="1025.06"/>
    <x v="5"/>
  </r>
  <r>
    <x v="1770"/>
    <n v="1027.08"/>
    <x v="5"/>
  </r>
  <r>
    <x v="1771"/>
    <n v="1030.54"/>
    <x v="5"/>
  </r>
  <r>
    <x v="1772"/>
    <n v="1019.17"/>
    <x v="5"/>
  </r>
  <r>
    <x v="1773"/>
    <n v="1015.24"/>
    <x v="5"/>
  </r>
  <r>
    <x v="1774"/>
    <n v="1014.99"/>
    <x v="5"/>
  </r>
  <r>
    <x v="1775"/>
    <n v="1014.99"/>
    <x v="5"/>
  </r>
  <r>
    <x v="1776"/>
    <n v="1014.99"/>
    <x v="5"/>
  </r>
  <r>
    <x v="1777"/>
    <n v="1012.56"/>
    <x v="5"/>
  </r>
  <r>
    <x v="1778"/>
    <n v="1010.32"/>
    <x v="5"/>
  </r>
  <r>
    <x v="1779"/>
    <n v="1012.27"/>
    <x v="5"/>
  </r>
  <r>
    <x v="1780"/>
    <n v="1013.12"/>
    <x v="5"/>
  </r>
  <r>
    <x v="1781"/>
    <n v="1015.07"/>
    <x v="5"/>
  </r>
  <r>
    <x v="1782"/>
    <n v="1015.07"/>
    <x v="5"/>
  </r>
  <r>
    <x v="1783"/>
    <n v="1015.07"/>
    <x v="5"/>
  </r>
  <r>
    <x v="1784"/>
    <n v="1015.07"/>
    <x v="5"/>
  </r>
  <r>
    <x v="1785"/>
    <n v="1019.22"/>
    <x v="5"/>
  </r>
  <r>
    <x v="1786"/>
    <n v="1018.5"/>
    <x v="5"/>
  </r>
  <r>
    <x v="1787"/>
    <n v="1015.24"/>
    <x v="5"/>
  </r>
  <r>
    <x v="1788"/>
    <n v="1016.87"/>
    <x v="5"/>
  </r>
  <r>
    <x v="1789"/>
    <n v="1016.87"/>
    <x v="5"/>
  </r>
  <r>
    <x v="1790"/>
    <n v="1016.87"/>
    <x v="5"/>
  </r>
  <r>
    <x v="1791"/>
    <n v="1018.33"/>
    <x v="5"/>
  </r>
  <r>
    <x v="1792"/>
    <n v="1018.04"/>
    <x v="5"/>
  </r>
  <r>
    <x v="1793"/>
    <n v="1017.52"/>
    <x v="5"/>
  </r>
  <r>
    <x v="1794"/>
    <n v="1015.49"/>
    <x v="5"/>
  </r>
  <r>
    <x v="1795"/>
    <n v="1011.69"/>
    <x v="5"/>
  </r>
  <r>
    <x v="1796"/>
    <n v="1011.69"/>
    <x v="5"/>
  </r>
  <r>
    <x v="1797"/>
    <n v="1011.69"/>
    <x v="5"/>
  </r>
  <r>
    <x v="1798"/>
    <n v="1012.43"/>
    <x v="5"/>
  </r>
  <r>
    <x v="1799"/>
    <n v="1007.57"/>
    <x v="5"/>
  </r>
  <r>
    <x v="1800"/>
    <n v="1005.83"/>
    <x v="5"/>
  </r>
  <r>
    <x v="1801"/>
    <n v="1000.14"/>
    <x v="5"/>
  </r>
  <r>
    <x v="1802"/>
    <n v="999.49"/>
    <x v="5"/>
  </r>
  <r>
    <x v="1803"/>
    <n v="999.49"/>
    <x v="5"/>
  </r>
  <r>
    <x v="1804"/>
    <n v="999.49"/>
    <x v="5"/>
  </r>
  <r>
    <x v="1805"/>
    <n v="999.49"/>
    <x v="5"/>
  </r>
  <r>
    <x v="1806"/>
    <n v="1006.36"/>
    <x v="5"/>
  </r>
  <r>
    <x v="1807"/>
    <n v="1003.75"/>
    <x v="5"/>
  </r>
  <r>
    <x v="1808"/>
    <n v="999.59"/>
    <x v="5"/>
  </r>
  <r>
    <x v="1809"/>
    <n v="1001.24"/>
    <x v="5"/>
  </r>
  <r>
    <x v="1810"/>
    <n v="1001.24"/>
    <x v="5"/>
  </r>
  <r>
    <x v="1811"/>
    <n v="1001.24"/>
    <x v="5"/>
  </r>
  <r>
    <x v="1812"/>
    <n v="1001.24"/>
    <x v="5"/>
  </r>
  <r>
    <x v="1813"/>
    <n v="1000.22"/>
    <x v="5"/>
  </r>
  <r>
    <x v="1814"/>
    <n v="997.38"/>
    <x v="5"/>
  </r>
  <r>
    <x v="1815"/>
    <n v="1001.68"/>
    <x v="5"/>
  </r>
  <r>
    <x v="1816"/>
    <n v="999.68"/>
    <x v="5"/>
  </r>
  <r>
    <x v="1817"/>
    <n v="999.68"/>
    <x v="5"/>
  </r>
  <r>
    <x v="1818"/>
    <n v="999.68"/>
    <x v="5"/>
  </r>
  <r>
    <x v="1819"/>
    <n v="995.96"/>
    <x v="5"/>
  </r>
  <r>
    <x v="1820"/>
    <n v="994.02"/>
    <x v="5"/>
  </r>
  <r>
    <x v="1821"/>
    <n v="995.2"/>
    <x v="5"/>
  </r>
  <r>
    <x v="1822"/>
    <n v="994.37"/>
    <x v="5"/>
  </r>
  <r>
    <x v="1823"/>
    <n v="995.34"/>
    <x v="5"/>
  </r>
  <r>
    <x v="1824"/>
    <n v="995.34"/>
    <x v="5"/>
  </r>
  <r>
    <x v="1825"/>
    <n v="995.34"/>
    <x v="5"/>
  </r>
  <r>
    <x v="1826"/>
    <n v="995.05"/>
    <x v="5"/>
  </r>
  <r>
    <x v="1827"/>
    <n v="995.05"/>
    <x v="5"/>
  </r>
  <r>
    <x v="1828"/>
    <n v="995.93"/>
    <x v="5"/>
  </r>
  <r>
    <x v="1829"/>
    <n v="994.94"/>
    <x v="5"/>
  </r>
  <r>
    <x v="1830"/>
    <n v="1002.28"/>
    <x v="5"/>
  </r>
  <r>
    <x v="1831"/>
    <n v="1002.28"/>
    <x v="5"/>
  </r>
  <r>
    <x v="1832"/>
    <n v="1002.28"/>
    <x v="5"/>
  </r>
  <r>
    <x v="1833"/>
    <n v="1000.09"/>
    <x v="5"/>
  </r>
  <r>
    <x v="1834"/>
    <n v="995.73"/>
    <x v="5"/>
  </r>
  <r>
    <x v="1835"/>
    <n v="997.4"/>
    <x v="5"/>
  </r>
  <r>
    <x v="1836"/>
    <n v="997.48"/>
    <x v="5"/>
  </r>
  <r>
    <x v="1837"/>
    <n v="1001.82"/>
    <x v="5"/>
  </r>
  <r>
    <x v="1838"/>
    <n v="1001.82"/>
    <x v="5"/>
  </r>
  <r>
    <x v="1839"/>
    <n v="1001.82"/>
    <x v="5"/>
  </r>
  <r>
    <x v="1840"/>
    <n v="997.99"/>
    <x v="5"/>
  </r>
  <r>
    <x v="1841"/>
    <n v="998.17"/>
    <x v="5"/>
  </r>
  <r>
    <x v="1842"/>
    <n v="998.31"/>
    <x v="5"/>
  </r>
  <r>
    <x v="1843"/>
    <n v="999.47"/>
    <x v="5"/>
  </r>
  <r>
    <x v="1844"/>
    <n v="1002.95"/>
    <x v="5"/>
  </r>
  <r>
    <x v="1845"/>
    <n v="1002.95"/>
    <x v="5"/>
  </r>
  <r>
    <x v="1846"/>
    <n v="1002.95"/>
    <x v="5"/>
  </r>
  <r>
    <x v="1847"/>
    <n v="1001.58"/>
    <x v="5"/>
  </r>
  <r>
    <x v="1848"/>
    <n v="1000.4"/>
    <x v="5"/>
  </r>
  <r>
    <x v="1849"/>
    <n v="1001.18"/>
    <x v="5"/>
  </r>
  <r>
    <x v="1850"/>
    <n v="1001.1"/>
    <x v="5"/>
  </r>
  <r>
    <x v="1851"/>
    <n v="1003.15"/>
    <x v="5"/>
  </r>
  <r>
    <x v="1852"/>
    <n v="1003.15"/>
    <x v="5"/>
  </r>
  <r>
    <x v="1853"/>
    <n v="1003.15"/>
    <x v="5"/>
  </r>
  <r>
    <x v="1854"/>
    <n v="1002.51"/>
    <x v="5"/>
  </r>
  <r>
    <x v="1855"/>
    <n v="1002.51"/>
    <x v="5"/>
  </r>
  <r>
    <x v="1856"/>
    <n v="1002.51"/>
    <x v="5"/>
  </r>
  <r>
    <x v="1857"/>
    <n v="1003.49"/>
    <x v="5"/>
  </r>
  <r>
    <x v="1858"/>
    <n v="1005.4"/>
    <x v="5"/>
  </r>
  <r>
    <x v="1859"/>
    <n v="1005.4"/>
    <x v="5"/>
  </r>
  <r>
    <x v="1860"/>
    <n v="1005.4"/>
    <x v="5"/>
  </r>
  <r>
    <x v="1861"/>
    <n v="1005.33"/>
    <x v="5"/>
  </r>
  <r>
    <x v="1862"/>
    <n v="1005.33"/>
    <x v="6"/>
  </r>
  <r>
    <x v="1863"/>
    <n v="1005.33"/>
    <x v="6"/>
  </r>
  <r>
    <x v="1864"/>
    <n v="1007.33"/>
    <x v="6"/>
  </r>
  <r>
    <x v="1865"/>
    <n v="1016.81"/>
    <x v="6"/>
  </r>
  <r>
    <x v="1866"/>
    <n v="1016.81"/>
    <x v="6"/>
  </r>
  <r>
    <x v="1867"/>
    <n v="1016.81"/>
    <x v="6"/>
  </r>
  <r>
    <x v="1868"/>
    <n v="1016.81"/>
    <x v="6"/>
  </r>
  <r>
    <x v="1869"/>
    <n v="1022"/>
    <x v="6"/>
  </r>
  <r>
    <x v="1870"/>
    <n v="1020.16"/>
    <x v="6"/>
  </r>
  <r>
    <x v="1871"/>
    <n v="1013.68"/>
    <x v="6"/>
  </r>
  <r>
    <x v="1872"/>
    <n v="1011.01"/>
    <x v="6"/>
  </r>
  <r>
    <x v="1873"/>
    <n v="1011.01"/>
    <x v="6"/>
  </r>
  <r>
    <x v="1874"/>
    <n v="1011.01"/>
    <x v="6"/>
  </r>
  <r>
    <x v="1875"/>
    <n v="1015.53"/>
    <x v="6"/>
  </r>
  <r>
    <x v="1876"/>
    <n v="1026.53"/>
    <x v="6"/>
  </r>
  <r>
    <x v="1877"/>
    <n v="1023.47"/>
    <x v="6"/>
  </r>
  <r>
    <x v="1878"/>
    <n v="1018.15"/>
    <x v="6"/>
  </r>
  <r>
    <x v="1879"/>
    <n v="1020.9"/>
    <x v="6"/>
  </r>
  <r>
    <x v="1880"/>
    <n v="1020.9"/>
    <x v="6"/>
  </r>
  <r>
    <x v="1881"/>
    <n v="1020.9"/>
    <x v="6"/>
  </r>
  <r>
    <x v="1882"/>
    <n v="1022.75"/>
    <x v="6"/>
  </r>
  <r>
    <x v="1883"/>
    <n v="1023.67"/>
    <x v="6"/>
  </r>
  <r>
    <x v="1884"/>
    <n v="1031.02"/>
    <x v="6"/>
  </r>
  <r>
    <x v="1885"/>
    <n v="1031.51"/>
    <x v="6"/>
  </r>
  <r>
    <x v="1886"/>
    <n v="1032.6199999999999"/>
    <x v="6"/>
  </r>
  <r>
    <x v="1887"/>
    <n v="1032.6199999999999"/>
    <x v="6"/>
  </r>
  <r>
    <x v="1888"/>
    <n v="1032.6199999999999"/>
    <x v="6"/>
  </r>
  <r>
    <x v="1889"/>
    <n v="1040.07"/>
    <x v="6"/>
  </r>
  <r>
    <x v="1890"/>
    <n v="1057"/>
    <x v="6"/>
  </r>
  <r>
    <x v="1891"/>
    <n v="1057.82"/>
    <x v="6"/>
  </r>
  <r>
    <x v="1892"/>
    <n v="1070.97"/>
    <x v="6"/>
  </r>
  <r>
    <x v="1893"/>
    <n v="1064"/>
    <x v="6"/>
  </r>
  <r>
    <x v="1894"/>
    <n v="1064"/>
    <x v="6"/>
  </r>
  <r>
    <x v="1895"/>
    <n v="1064"/>
    <x v="6"/>
  </r>
  <r>
    <x v="1896"/>
    <n v="1065.98"/>
    <x v="6"/>
  </r>
  <r>
    <x v="1897"/>
    <n v="1076.25"/>
    <x v="6"/>
  </r>
  <r>
    <x v="1898"/>
    <n v="1071.8800000000001"/>
    <x v="6"/>
  </r>
  <r>
    <x v="1899"/>
    <n v="1070.08"/>
    <x v="6"/>
  </r>
  <r>
    <x v="1900"/>
    <n v="1066.44"/>
    <x v="6"/>
  </r>
  <r>
    <x v="1901"/>
    <n v="1066.44"/>
    <x v="6"/>
  </r>
  <r>
    <x v="1902"/>
    <n v="1066.44"/>
    <x v="6"/>
  </r>
  <r>
    <x v="1903"/>
    <n v="1074.25"/>
    <x v="6"/>
  </r>
  <r>
    <x v="1904"/>
    <n v="1075.17"/>
    <x v="6"/>
  </r>
  <r>
    <x v="1905"/>
    <n v="1075.51"/>
    <x v="6"/>
  </r>
  <r>
    <x v="1906"/>
    <n v="1073.3599999999999"/>
    <x v="6"/>
  </r>
  <r>
    <x v="1907"/>
    <n v="1075"/>
    <x v="6"/>
  </r>
  <r>
    <x v="1908"/>
    <n v="1075"/>
    <x v="6"/>
  </r>
  <r>
    <x v="1909"/>
    <n v="1075"/>
    <x v="6"/>
  </r>
  <r>
    <x v="1910"/>
    <n v="1076.04"/>
    <x v="6"/>
  </r>
  <r>
    <x v="1911"/>
    <n v="1075.1099999999999"/>
    <x v="6"/>
  </r>
  <r>
    <x v="1912"/>
    <n v="1074.5"/>
    <x v="6"/>
  </r>
  <r>
    <x v="1913"/>
    <n v="1074.0999999999999"/>
    <x v="6"/>
  </r>
  <r>
    <x v="1914"/>
    <n v="1073.42"/>
    <x v="6"/>
  </r>
  <r>
    <x v="1915"/>
    <n v="1073.42"/>
    <x v="6"/>
  </r>
  <r>
    <x v="1916"/>
    <n v="1073.42"/>
    <x v="6"/>
  </r>
  <r>
    <x v="1917"/>
    <n v="1078.23"/>
    <x v="6"/>
  </r>
  <r>
    <x v="1918"/>
    <n v="1084.0899999999999"/>
    <x v="6"/>
  </r>
  <r>
    <x v="1919"/>
    <n v="1080.93"/>
    <x v="6"/>
  </r>
  <r>
    <x v="1920"/>
    <n v="1080.51"/>
    <x v="6"/>
  </r>
  <r>
    <x v="1921"/>
    <n v="1077.07"/>
    <x v="6"/>
  </r>
  <r>
    <x v="1922"/>
    <n v="1077.07"/>
    <x v="6"/>
  </r>
  <r>
    <x v="1923"/>
    <n v="1077.07"/>
    <x v="6"/>
  </r>
  <r>
    <x v="1924"/>
    <n v="1075.8599999999999"/>
    <x v="6"/>
  </r>
  <r>
    <x v="1925"/>
    <n v="1067.77"/>
    <x v="6"/>
  </r>
  <r>
    <x v="1926"/>
    <n v="1063.44"/>
    <x v="6"/>
  </r>
  <r>
    <x v="1927"/>
    <n v="1057.58"/>
    <x v="6"/>
  </r>
  <r>
    <x v="1928"/>
    <n v="1054.05"/>
    <x v="6"/>
  </r>
  <r>
    <x v="1929"/>
    <n v="1054.05"/>
    <x v="6"/>
  </r>
  <r>
    <x v="1930"/>
    <n v="1054.05"/>
    <x v="6"/>
  </r>
  <r>
    <x v="1931"/>
    <n v="1056.92"/>
    <x v="6"/>
  </r>
  <r>
    <x v="1932"/>
    <n v="1062.73"/>
    <x v="6"/>
  </r>
  <r>
    <x v="1933"/>
    <n v="1063.33"/>
    <x v="6"/>
  </r>
  <r>
    <x v="1934"/>
    <n v="1060.3499999999999"/>
    <x v="6"/>
  </r>
  <r>
    <x v="1935"/>
    <n v="1060.8599999999999"/>
    <x v="6"/>
  </r>
  <r>
    <x v="1936"/>
    <n v="1060.8599999999999"/>
    <x v="6"/>
  </r>
  <r>
    <x v="1937"/>
    <n v="1060.8599999999999"/>
    <x v="6"/>
  </r>
  <r>
    <x v="1938"/>
    <n v="1059.8699999999999"/>
    <x v="6"/>
  </r>
  <r>
    <x v="1939"/>
    <n v="1058.6099999999999"/>
    <x v="6"/>
  </r>
  <r>
    <x v="1940"/>
    <n v="1060.31"/>
    <x v="6"/>
  </r>
  <r>
    <x v="1941"/>
    <n v="1060.6600000000001"/>
    <x v="6"/>
  </r>
  <r>
    <x v="1942"/>
    <n v="1060.03"/>
    <x v="6"/>
  </r>
  <r>
    <x v="1943"/>
    <n v="1060.03"/>
    <x v="6"/>
  </r>
  <r>
    <x v="1944"/>
    <n v="1060.03"/>
    <x v="6"/>
  </r>
  <r>
    <x v="1945"/>
    <n v="1060.03"/>
    <x v="6"/>
  </r>
  <r>
    <x v="1946"/>
    <n v="1059.53"/>
    <x v="6"/>
  </r>
  <r>
    <x v="1947"/>
    <n v="1059.8800000000001"/>
    <x v="6"/>
  </r>
  <r>
    <x v="1948"/>
    <n v="1059.8800000000001"/>
    <x v="6"/>
  </r>
  <r>
    <x v="1949"/>
    <n v="1059.8800000000001"/>
    <x v="6"/>
  </r>
  <r>
    <x v="1950"/>
    <n v="1059.8800000000001"/>
    <x v="6"/>
  </r>
  <r>
    <x v="1951"/>
    <n v="1059.8800000000001"/>
    <x v="6"/>
  </r>
  <r>
    <x v="1952"/>
    <n v="1060.93"/>
    <x v="6"/>
  </r>
  <r>
    <x v="1953"/>
    <n v="1061.98"/>
    <x v="6"/>
  </r>
  <r>
    <x v="1954"/>
    <n v="1061.95"/>
    <x v="6"/>
  </r>
  <r>
    <x v="1955"/>
    <n v="1062.46"/>
    <x v="6"/>
  </r>
  <r>
    <x v="1956"/>
    <n v="1062.58"/>
    <x v="6"/>
  </r>
  <r>
    <x v="1957"/>
    <n v="1062.58"/>
    <x v="6"/>
  </r>
  <r>
    <x v="1958"/>
    <n v="1062.58"/>
    <x v="6"/>
  </r>
  <r>
    <x v="1959"/>
    <n v="1063.3"/>
    <x v="6"/>
  </r>
  <r>
    <x v="1960"/>
    <n v="1062.67"/>
    <x v="6"/>
  </r>
  <r>
    <x v="1961"/>
    <n v="1062.78"/>
    <x v="6"/>
  </r>
  <r>
    <x v="1962"/>
    <n v="1060.71"/>
    <x v="6"/>
  </r>
  <r>
    <x v="1963"/>
    <n v="1058.76"/>
    <x v="6"/>
  </r>
  <r>
    <x v="1964"/>
    <n v="1058.76"/>
    <x v="6"/>
  </r>
  <r>
    <x v="1965"/>
    <n v="1058.76"/>
    <x v="6"/>
  </r>
  <r>
    <x v="1966"/>
    <n v="1058.73"/>
    <x v="6"/>
  </r>
  <r>
    <x v="1967"/>
    <n v="1058.97"/>
    <x v="6"/>
  </r>
  <r>
    <x v="1968"/>
    <n v="1056.9100000000001"/>
    <x v="6"/>
  </r>
  <r>
    <x v="1969"/>
    <n v="1054.3499999999999"/>
    <x v="6"/>
  </r>
  <r>
    <x v="1970"/>
    <n v="1051.43"/>
    <x v="6"/>
  </r>
  <r>
    <x v="1971"/>
    <n v="1051.43"/>
    <x v="6"/>
  </r>
  <r>
    <x v="1972"/>
    <n v="1051.43"/>
    <x v="6"/>
  </r>
  <r>
    <x v="1973"/>
    <n v="1054.94"/>
    <x v="6"/>
  </r>
  <r>
    <x v="1974"/>
    <n v="1057.6400000000001"/>
    <x v="6"/>
  </r>
  <r>
    <x v="1975"/>
    <n v="1065.48"/>
    <x v="6"/>
  </r>
  <r>
    <x v="1976"/>
    <n v="1066.77"/>
    <x v="6"/>
  </r>
  <r>
    <x v="1977"/>
    <n v="1063.83"/>
    <x v="6"/>
  </r>
  <r>
    <x v="1978"/>
    <n v="1063.83"/>
    <x v="6"/>
  </r>
  <r>
    <x v="1979"/>
    <n v="1063.83"/>
    <x v="6"/>
  </r>
  <r>
    <x v="1980"/>
    <n v="1064"/>
    <x v="6"/>
  </r>
  <r>
    <x v="1981"/>
    <n v="1063.1099999999999"/>
    <x v="6"/>
  </r>
  <r>
    <x v="1982"/>
    <n v="1064.01"/>
    <x v="6"/>
  </r>
  <r>
    <x v="1983"/>
    <n v="1064.01"/>
    <x v="6"/>
  </r>
  <r>
    <x v="1984"/>
    <n v="1068.53"/>
    <x v="6"/>
  </r>
  <r>
    <x v="1985"/>
    <n v="1068.53"/>
    <x v="6"/>
  </r>
  <r>
    <x v="1986"/>
    <n v="1068.53"/>
    <x v="6"/>
  </r>
  <r>
    <x v="1987"/>
    <n v="1076.3900000000001"/>
    <x v="6"/>
  </r>
  <r>
    <x v="1988"/>
    <n v="1080.48"/>
    <x v="6"/>
  </r>
  <r>
    <x v="1989"/>
    <n v="1075.05"/>
    <x v="6"/>
  </r>
  <r>
    <x v="1990"/>
    <n v="1073.77"/>
    <x v="6"/>
  </r>
  <r>
    <x v="1991"/>
    <n v="1076.93"/>
    <x v="6"/>
  </r>
  <r>
    <x v="1992"/>
    <n v="1076.93"/>
    <x v="6"/>
  </r>
  <r>
    <x v="1993"/>
    <n v="1076.93"/>
    <x v="6"/>
  </r>
  <r>
    <x v="1994"/>
    <n v="1076.93"/>
    <x v="6"/>
  </r>
  <r>
    <x v="1995"/>
    <n v="1077.3599999999999"/>
    <x v="6"/>
  </r>
  <r>
    <x v="1996"/>
    <n v="1074.43"/>
    <x v="6"/>
  </r>
  <r>
    <x v="1997"/>
    <n v="1074.52"/>
    <x v="6"/>
  </r>
  <r>
    <x v="1998"/>
    <n v="1072.24"/>
    <x v="6"/>
  </r>
  <r>
    <x v="1999"/>
    <n v="1072.24"/>
    <x v="6"/>
  </r>
  <r>
    <x v="2000"/>
    <n v="1072.24"/>
    <x v="6"/>
  </r>
  <r>
    <x v="2001"/>
    <n v="1073.54"/>
    <x v="6"/>
  </r>
  <r>
    <x v="2002"/>
    <n v="1075.2"/>
    <x v="6"/>
  </r>
  <r>
    <x v="2003"/>
    <n v="1080.44"/>
    <x v="6"/>
  </r>
  <r>
    <x v="2004"/>
    <n v="1080.43"/>
    <x v="6"/>
  </r>
  <r>
    <x v="2005"/>
    <n v="1076.69"/>
    <x v="6"/>
  </r>
  <r>
    <x v="2006"/>
    <n v="1076.69"/>
    <x v="6"/>
  </r>
  <r>
    <x v="2007"/>
    <n v="1076.69"/>
    <x v="6"/>
  </r>
  <r>
    <x v="2008"/>
    <n v="1076.69"/>
    <x v="6"/>
  </r>
  <r>
    <x v="2009"/>
    <n v="1076.24"/>
    <x v="6"/>
  </r>
  <r>
    <x v="2010"/>
    <n v="1074.32"/>
    <x v="6"/>
  </r>
  <r>
    <x v="2011"/>
    <n v="1076.4000000000001"/>
    <x v="6"/>
  </r>
  <r>
    <x v="2012"/>
    <n v="1077.0899999999999"/>
    <x v="6"/>
  </r>
  <r>
    <x v="2013"/>
    <n v="1077.0899999999999"/>
    <x v="6"/>
  </r>
  <r>
    <x v="2014"/>
    <n v="1077.0899999999999"/>
    <x v="6"/>
  </r>
  <r>
    <x v="2015"/>
    <n v="1077.0899999999999"/>
    <x v="6"/>
  </r>
  <r>
    <x v="2016"/>
    <n v="1079.0999999999999"/>
    <x v="6"/>
  </r>
  <r>
    <x v="2017"/>
    <n v="1077.19"/>
    <x v="6"/>
  </r>
  <r>
    <x v="2018"/>
    <n v="1076.49"/>
    <x v="6"/>
  </r>
  <r>
    <x v="2019"/>
    <n v="1076.18"/>
    <x v="6"/>
  </r>
  <r>
    <x v="2020"/>
    <n v="1076.18"/>
    <x v="6"/>
  </r>
  <r>
    <x v="2021"/>
    <n v="1076.18"/>
    <x v="6"/>
  </r>
  <r>
    <x v="2022"/>
    <n v="1076.18"/>
    <x v="6"/>
  </r>
  <r>
    <x v="2023"/>
    <n v="1078.6400000000001"/>
    <x v="6"/>
  </r>
  <r>
    <x v="2024"/>
    <n v="1080.6099999999999"/>
    <x v="6"/>
  </r>
  <r>
    <x v="2025"/>
    <n v="1080.46"/>
    <x v="6"/>
  </r>
  <r>
    <x v="2026"/>
    <n v="1080.5899999999999"/>
    <x v="6"/>
  </r>
  <r>
    <x v="2027"/>
    <n v="1080.5899999999999"/>
    <x v="6"/>
  </r>
  <r>
    <x v="2028"/>
    <n v="1080.5899999999999"/>
    <x v="6"/>
  </r>
  <r>
    <x v="2029"/>
    <n v="1082.43"/>
    <x v="6"/>
  </r>
  <r>
    <x v="2030"/>
    <n v="1086"/>
    <x v="6"/>
  </r>
  <r>
    <x v="2031"/>
    <n v="1084.3800000000001"/>
    <x v="6"/>
  </r>
  <r>
    <x v="2032"/>
    <n v="1084.28"/>
    <x v="6"/>
  </r>
  <r>
    <x v="2033"/>
    <n v="1086.3599999999999"/>
    <x v="6"/>
  </r>
  <r>
    <x v="2034"/>
    <n v="1086.3599999999999"/>
    <x v="6"/>
  </r>
  <r>
    <x v="2035"/>
    <n v="1086.3599999999999"/>
    <x v="6"/>
  </r>
  <r>
    <x v="2036"/>
    <n v="1088.1600000000001"/>
    <x v="6"/>
  </r>
  <r>
    <x v="2037"/>
    <n v="1086.47"/>
    <x v="6"/>
  </r>
  <r>
    <x v="2038"/>
    <n v="1087.72"/>
    <x v="6"/>
  </r>
  <r>
    <x v="2039"/>
    <n v="1090.58"/>
    <x v="6"/>
  </r>
  <r>
    <x v="2040"/>
    <n v="1089.01"/>
    <x v="6"/>
  </r>
  <r>
    <x v="2041"/>
    <n v="1089.01"/>
    <x v="6"/>
  </r>
  <r>
    <x v="2042"/>
    <n v="1089.01"/>
    <x v="6"/>
  </r>
  <r>
    <x v="2043"/>
    <n v="1089.01"/>
    <x v="6"/>
  </r>
  <r>
    <x v="2044"/>
    <n v="1093.25"/>
    <x v="6"/>
  </r>
  <r>
    <x v="2045"/>
    <n v="1098.72"/>
    <x v="6"/>
  </r>
  <r>
    <x v="2046"/>
    <n v="1102.8399999999999"/>
    <x v="6"/>
  </r>
  <r>
    <x v="2047"/>
    <n v="1101.57"/>
    <x v="6"/>
  </r>
  <r>
    <x v="2048"/>
    <n v="1101.57"/>
    <x v="6"/>
  </r>
  <r>
    <x v="2049"/>
    <n v="1101.57"/>
    <x v="6"/>
  </r>
  <r>
    <x v="2050"/>
    <n v="1102.45"/>
    <x v="6"/>
  </r>
  <r>
    <x v="2051"/>
    <n v="1101.18"/>
    <x v="6"/>
  </r>
  <r>
    <x v="2052"/>
    <n v="1098.6400000000001"/>
    <x v="6"/>
  </r>
  <r>
    <x v="2053"/>
    <n v="1097.8800000000001"/>
    <x v="6"/>
  </r>
  <r>
    <x v="2054"/>
    <n v="1098.46"/>
    <x v="6"/>
  </r>
  <r>
    <x v="2055"/>
    <n v="1098.46"/>
    <x v="6"/>
  </r>
  <r>
    <x v="2056"/>
    <n v="1098.46"/>
    <x v="6"/>
  </r>
  <r>
    <x v="2057"/>
    <n v="1099.56"/>
    <x v="6"/>
  </r>
  <r>
    <x v="2058"/>
    <n v="1099.25"/>
    <x v="6"/>
  </r>
  <r>
    <x v="2059"/>
    <n v="1100.83"/>
    <x v="6"/>
  </r>
  <r>
    <x v="2060"/>
    <n v="1102.48"/>
    <x v="6"/>
  </r>
  <r>
    <x v="2061"/>
    <n v="1105.33"/>
    <x v="6"/>
  </r>
  <r>
    <x v="2062"/>
    <n v="1105.33"/>
    <x v="6"/>
  </r>
  <r>
    <x v="2063"/>
    <n v="1105.33"/>
    <x v="6"/>
  </r>
  <r>
    <x v="2064"/>
    <n v="1109.46"/>
    <x v="6"/>
  </r>
  <r>
    <x v="2065"/>
    <n v="1110.32"/>
    <x v="6"/>
  </r>
  <r>
    <x v="2066"/>
    <n v="1106.7"/>
    <x v="6"/>
  </r>
  <r>
    <x v="2067"/>
    <n v="1106.6400000000001"/>
    <x v="6"/>
  </r>
  <r>
    <x v="2068"/>
    <n v="1106.06"/>
    <x v="6"/>
  </r>
  <r>
    <x v="2069"/>
    <n v="1106.06"/>
    <x v="6"/>
  </r>
  <r>
    <x v="2070"/>
    <n v="1106.06"/>
    <x v="6"/>
  </r>
  <r>
    <x v="2071"/>
    <n v="1108.1600000000001"/>
    <x v="6"/>
  </r>
  <r>
    <x v="2072"/>
    <n v="1106.67"/>
    <x v="6"/>
  </r>
  <r>
    <x v="2073"/>
    <n v="1109.6500000000001"/>
    <x v="6"/>
  </r>
  <r>
    <x v="2074"/>
    <n v="1112.53"/>
    <x v="6"/>
  </r>
  <r>
    <x v="2075"/>
    <n v="1113.43"/>
    <x v="6"/>
  </r>
  <r>
    <x v="2076"/>
    <n v="1113.43"/>
    <x v="6"/>
  </r>
  <r>
    <x v="2077"/>
    <n v="1113.43"/>
    <x v="6"/>
  </r>
  <r>
    <x v="2078"/>
    <n v="1112.83"/>
    <x v="6"/>
  </r>
  <r>
    <x v="2079"/>
    <n v="1115.43"/>
    <x v="6"/>
  </r>
  <r>
    <x v="2080"/>
    <n v="1115.2"/>
    <x v="6"/>
  </r>
  <r>
    <x v="2081"/>
    <n v="1115.2"/>
    <x v="6"/>
  </r>
  <r>
    <x v="2082"/>
    <n v="1118.96"/>
    <x v="6"/>
  </r>
  <r>
    <x v="2083"/>
    <n v="1118.96"/>
    <x v="6"/>
  </r>
  <r>
    <x v="2084"/>
    <n v="1118.96"/>
    <x v="6"/>
  </r>
  <r>
    <x v="2085"/>
    <n v="1119.3800000000001"/>
    <x v="6"/>
  </r>
  <r>
    <x v="2086"/>
    <n v="1120.33"/>
    <x v="6"/>
  </r>
  <r>
    <x v="2087"/>
    <n v="1125.6199999999999"/>
    <x v="6"/>
  </r>
  <r>
    <x v="2088"/>
    <n v="1128.25"/>
    <x v="6"/>
  </r>
  <r>
    <x v="2089"/>
    <n v="1129.05"/>
    <x v="6"/>
  </r>
  <r>
    <x v="2090"/>
    <n v="1129.05"/>
    <x v="6"/>
  </r>
  <r>
    <x v="2091"/>
    <n v="1129.05"/>
    <x v="6"/>
  </r>
  <r>
    <x v="2092"/>
    <n v="1129.05"/>
    <x v="6"/>
  </r>
  <r>
    <x v="2093"/>
    <n v="1137.54"/>
    <x v="6"/>
  </r>
  <r>
    <x v="2094"/>
    <n v="1140.54"/>
    <x v="6"/>
  </r>
  <r>
    <x v="2095"/>
    <n v="1149.19"/>
    <x v="6"/>
  </r>
  <r>
    <x v="2096"/>
    <n v="1154.23"/>
    <x v="6"/>
  </r>
  <r>
    <x v="2097"/>
    <n v="1154.23"/>
    <x v="6"/>
  </r>
  <r>
    <x v="2098"/>
    <n v="1154.23"/>
    <x v="6"/>
  </r>
  <r>
    <x v="2099"/>
    <n v="1145.52"/>
    <x v="6"/>
  </r>
  <r>
    <x v="2100"/>
    <n v="1154.8900000000001"/>
    <x v="6"/>
  </r>
  <r>
    <x v="2101"/>
    <n v="1161.1500000000001"/>
    <x v="6"/>
  </r>
  <r>
    <x v="2102"/>
    <n v="1167.28"/>
    <x v="6"/>
  </r>
  <r>
    <x v="2103"/>
    <n v="1172.28"/>
    <x v="6"/>
  </r>
  <r>
    <x v="2104"/>
    <n v="1172.28"/>
    <x v="6"/>
  </r>
  <r>
    <x v="2105"/>
    <n v="1172.28"/>
    <x v="6"/>
  </r>
  <r>
    <x v="2106"/>
    <n v="1174.01"/>
    <x v="6"/>
  </r>
  <r>
    <x v="2107"/>
    <n v="1169.3800000000001"/>
    <x v="6"/>
  </r>
  <r>
    <x v="2108"/>
    <n v="1172.82"/>
    <x v="6"/>
  </r>
  <r>
    <x v="2109"/>
    <n v="1180.94"/>
    <x v="6"/>
  </r>
  <r>
    <x v="2110"/>
    <n v="1186.98"/>
    <x v="6"/>
  </r>
  <r>
    <x v="2111"/>
    <n v="1186.98"/>
    <x v="6"/>
  </r>
  <r>
    <x v="2112"/>
    <n v="1186.98"/>
    <x v="6"/>
  </r>
  <r>
    <x v="2113"/>
    <n v="1204.0899999999999"/>
    <x v="6"/>
  </r>
  <r>
    <x v="2114"/>
    <n v="1238.21"/>
    <x v="6"/>
  </r>
  <r>
    <x v="2115"/>
    <n v="1250.03"/>
    <x v="6"/>
  </r>
  <r>
    <x v="2116"/>
    <n v="1232.1199999999999"/>
    <x v="6"/>
  </r>
  <r>
    <x v="2117"/>
    <n v="1228.01"/>
    <x v="6"/>
  </r>
  <r>
    <x v="2118"/>
    <n v="1228.01"/>
    <x v="6"/>
  </r>
  <r>
    <x v="2119"/>
    <n v="1228.01"/>
    <x v="6"/>
  </r>
  <r>
    <x v="2120"/>
    <n v="1245.06"/>
    <x v="6"/>
  </r>
  <r>
    <x v="2121"/>
    <n v="1243.58"/>
    <x v="6"/>
  </r>
  <r>
    <x v="2122"/>
    <n v="1241.83"/>
    <x v="6"/>
  </r>
  <r>
    <x v="2123"/>
    <n v="1236.31"/>
    <x v="6"/>
  </r>
  <r>
    <x v="2124"/>
    <n v="1238.29"/>
    <x v="6"/>
  </r>
  <r>
    <x v="2125"/>
    <n v="1238.29"/>
    <x v="6"/>
  </r>
  <r>
    <x v="2126"/>
    <n v="1238.29"/>
    <x v="6"/>
  </r>
  <r>
    <x v="2127"/>
    <n v="1242.45"/>
    <x v="6"/>
  </r>
  <r>
    <x v="2128"/>
    <n v="1248.83"/>
    <x v="6"/>
  </r>
  <r>
    <x v="2129"/>
    <n v="1251.8800000000001"/>
    <x v="6"/>
  </r>
  <r>
    <x v="2130"/>
    <n v="1249.73"/>
    <x v="6"/>
  </r>
  <r>
    <x v="2131"/>
    <n v="1241.72"/>
    <x v="6"/>
  </r>
  <r>
    <x v="2132"/>
    <n v="1241.72"/>
    <x v="6"/>
  </r>
  <r>
    <x v="2133"/>
    <n v="1241.72"/>
    <x v="6"/>
  </r>
  <r>
    <x v="2134"/>
    <n v="1246.27"/>
    <x v="6"/>
  </r>
  <r>
    <x v="2135"/>
    <n v="1244.6300000000001"/>
    <x v="6"/>
  </r>
  <r>
    <x v="2136"/>
    <n v="1243.27"/>
    <x v="6"/>
  </r>
  <r>
    <x v="2137"/>
    <n v="1242.1600000000001"/>
    <x v="6"/>
  </r>
  <r>
    <x v="2138"/>
    <n v="1244.8399999999999"/>
    <x v="6"/>
  </r>
  <r>
    <x v="2139"/>
    <n v="1244.8399999999999"/>
    <x v="6"/>
  </r>
  <r>
    <x v="2140"/>
    <n v="1244.8399999999999"/>
    <x v="6"/>
  </r>
  <r>
    <x v="2141"/>
    <n v="1250.95"/>
    <x v="6"/>
  </r>
  <r>
    <x v="2142"/>
    <n v="1247.51"/>
    <x v="6"/>
  </r>
  <r>
    <x v="2143"/>
    <n v="1252.74"/>
    <x v="6"/>
  </r>
  <r>
    <x v="2144"/>
    <n v="1258.04"/>
    <x v="6"/>
  </r>
  <r>
    <x v="2145"/>
    <n v="1265.3800000000001"/>
    <x v="6"/>
  </r>
  <r>
    <x v="2146"/>
    <n v="1265.3800000000001"/>
    <x v="6"/>
  </r>
  <r>
    <x v="2147"/>
    <n v="1265.3800000000001"/>
    <x v="6"/>
  </r>
  <r>
    <x v="2148"/>
    <n v="1265.3800000000001"/>
    <x v="6"/>
  </r>
  <r>
    <x v="2149"/>
    <n v="1272.77"/>
    <x v="6"/>
  </r>
  <r>
    <x v="2150"/>
    <n v="1263.79"/>
    <x v="6"/>
  </r>
  <r>
    <x v="2151"/>
    <n v="1268.8699999999999"/>
    <x v="6"/>
  </r>
  <r>
    <x v="2152"/>
    <n v="1264.7"/>
    <x v="6"/>
  </r>
  <r>
    <x v="2153"/>
    <n v="1264.7"/>
    <x v="6"/>
  </r>
  <r>
    <x v="2154"/>
    <n v="1264.7"/>
    <x v="6"/>
  </r>
  <r>
    <x v="2155"/>
    <n v="1264.5999999999999"/>
    <x v="6"/>
  </r>
  <r>
    <x v="2156"/>
    <n v="1264.32"/>
    <x v="6"/>
  </r>
  <r>
    <x v="2157"/>
    <n v="1267.8699999999999"/>
    <x v="6"/>
  </r>
  <r>
    <x v="2158"/>
    <n v="1267.0999999999999"/>
    <x v="6"/>
  </r>
  <r>
    <x v="2159"/>
    <n v="1272.02"/>
    <x v="6"/>
  </r>
  <r>
    <x v="2160"/>
    <n v="1272.02"/>
    <x v="6"/>
  </r>
  <r>
    <x v="2161"/>
    <n v="1272.02"/>
    <x v="6"/>
  </r>
  <r>
    <x v="2162"/>
    <n v="1274.05"/>
    <x v="6"/>
  </r>
  <r>
    <x v="2163"/>
    <n v="1289.8399999999999"/>
    <x v="6"/>
  </r>
  <r>
    <x v="2164"/>
    <n v="1282.82"/>
    <x v="6"/>
  </r>
  <r>
    <x v="2165"/>
    <n v="1281.2"/>
    <x v="6"/>
  </r>
  <r>
    <x v="2166"/>
    <n v="1284.6500000000001"/>
    <x v="6"/>
  </r>
  <r>
    <x v="2167"/>
    <n v="1284.6500000000001"/>
    <x v="6"/>
  </r>
  <r>
    <x v="2168"/>
    <n v="1284.6500000000001"/>
    <x v="6"/>
  </r>
  <r>
    <x v="2169"/>
    <n v="1284.6500000000001"/>
    <x v="6"/>
  </r>
  <r>
    <x v="2170"/>
    <n v="1284.6300000000001"/>
    <x v="6"/>
  </r>
  <r>
    <x v="2171"/>
    <n v="1281.18"/>
    <x v="6"/>
  </r>
  <r>
    <x v="2172"/>
    <n v="1286.73"/>
    <x v="6"/>
  </r>
  <r>
    <x v="2173"/>
    <n v="1291.3499999999999"/>
    <x v="6"/>
  </r>
  <r>
    <x v="2174"/>
    <n v="1291.3499999999999"/>
    <x v="6"/>
  </r>
  <r>
    <x v="2175"/>
    <n v="1291.3499999999999"/>
    <x v="6"/>
  </r>
  <r>
    <x v="2176"/>
    <n v="1295.52"/>
    <x v="6"/>
  </r>
  <r>
    <x v="2177"/>
    <n v="1294.51"/>
    <x v="6"/>
  </r>
  <r>
    <x v="2178"/>
    <n v="1296.6600000000001"/>
    <x v="6"/>
  </r>
  <r>
    <x v="2179"/>
    <n v="1297.8699999999999"/>
    <x v="6"/>
  </r>
  <r>
    <x v="2180"/>
    <n v="1298.04"/>
    <x v="6"/>
  </r>
  <r>
    <x v="2181"/>
    <n v="1298.04"/>
    <x v="6"/>
  </r>
  <r>
    <x v="2182"/>
    <n v="1298.04"/>
    <x v="6"/>
  </r>
  <r>
    <x v="2183"/>
    <n v="1298.04"/>
    <x v="6"/>
  </r>
  <r>
    <x v="2184"/>
    <n v="1297.94"/>
    <x v="6"/>
  </r>
  <r>
    <x v="2185"/>
    <n v="1296.6199999999999"/>
    <x v="6"/>
  </r>
  <r>
    <x v="2186"/>
    <n v="1298.19"/>
    <x v="6"/>
  </r>
  <r>
    <x v="2187"/>
    <n v="1296.3"/>
    <x v="6"/>
  </r>
  <r>
    <x v="2188"/>
    <n v="1296.3"/>
    <x v="6"/>
  </r>
  <r>
    <x v="2189"/>
    <n v="1296.3"/>
    <x v="6"/>
  </r>
  <r>
    <x v="2190"/>
    <n v="1296.3699999999999"/>
    <x v="6"/>
  </r>
  <r>
    <x v="2191"/>
    <n v="1299.19"/>
    <x v="6"/>
  </r>
  <r>
    <x v="2192"/>
    <n v="1303.1500000000001"/>
    <x v="6"/>
  </r>
  <r>
    <x v="2193"/>
    <n v="1303.0999999999999"/>
    <x v="6"/>
  </r>
  <r>
    <x v="2194"/>
    <n v="1305.6600000000001"/>
    <x v="6"/>
  </r>
  <r>
    <x v="2195"/>
    <n v="1305.6600000000001"/>
    <x v="6"/>
  </r>
  <r>
    <x v="2196"/>
    <n v="1305.6600000000001"/>
    <x v="6"/>
  </r>
  <r>
    <x v="2197"/>
    <n v="1307.54"/>
    <x v="6"/>
  </r>
  <r>
    <x v="2198"/>
    <n v="1307.01"/>
    <x v="6"/>
  </r>
  <r>
    <x v="2199"/>
    <n v="1299.43"/>
    <x v="6"/>
  </r>
  <r>
    <x v="2200"/>
    <n v="1298.6400000000001"/>
    <x v="6"/>
  </r>
  <r>
    <x v="2201"/>
    <n v="1300.55"/>
    <x v="6"/>
  </r>
  <r>
    <x v="2202"/>
    <n v="1300.55"/>
    <x v="6"/>
  </r>
  <r>
    <x v="2203"/>
    <n v="1300.55"/>
    <x v="6"/>
  </r>
  <r>
    <x v="2204"/>
    <n v="1300.55"/>
    <x v="6"/>
  </r>
  <r>
    <x v="2205"/>
    <n v="1298.78"/>
    <x v="6"/>
  </r>
  <r>
    <x v="2206"/>
    <n v="1301.1500000000001"/>
    <x v="6"/>
  </r>
  <r>
    <x v="2207"/>
    <n v="1304.8499999999999"/>
    <x v="6"/>
  </r>
  <r>
    <x v="2208"/>
    <n v="1307.42"/>
    <x v="6"/>
  </r>
  <r>
    <x v="2209"/>
    <n v="1307.42"/>
    <x v="6"/>
  </r>
  <r>
    <x v="2210"/>
    <n v="1307.42"/>
    <x v="6"/>
  </r>
  <r>
    <x v="2211"/>
    <n v="1304.02"/>
    <x v="6"/>
  </r>
  <r>
    <x v="2212"/>
    <n v="1296.3"/>
    <x v="6"/>
  </r>
  <r>
    <x v="2213"/>
    <n v="1286.74"/>
    <x v="6"/>
  </r>
  <r>
    <x v="2214"/>
    <n v="1286.1199999999999"/>
    <x v="6"/>
  </r>
  <r>
    <x v="2215"/>
    <n v="1287.51"/>
    <x v="6"/>
  </r>
  <r>
    <x v="2216"/>
    <n v="1287.51"/>
    <x v="6"/>
  </r>
  <r>
    <x v="2217"/>
    <n v="1287.51"/>
    <x v="6"/>
  </r>
  <r>
    <x v="2218"/>
    <n v="1288.32"/>
    <x v="6"/>
  </r>
  <r>
    <x v="2219"/>
    <n v="1281.5999999999999"/>
    <x v="6"/>
  </r>
  <r>
    <x v="2220"/>
    <n v="1281.5999999999999"/>
    <x v="6"/>
  </r>
  <r>
    <x v="2221"/>
    <n v="1281.5999999999999"/>
    <x v="6"/>
  </r>
  <r>
    <x v="2222"/>
    <n v="1286.92"/>
    <x v="6"/>
  </r>
  <r>
    <x v="2223"/>
    <n v="1286.92"/>
    <x v="6"/>
  </r>
  <r>
    <x v="2224"/>
    <n v="1286.92"/>
    <x v="6"/>
  </r>
  <r>
    <x v="2225"/>
    <n v="1291.92"/>
    <x v="6"/>
  </r>
  <r>
    <x v="2226"/>
    <n v="1293.58"/>
    <x v="6"/>
  </r>
  <r>
    <x v="2227"/>
    <n v="1293.58"/>
    <x v="7"/>
  </r>
  <r>
    <x v="2228"/>
    <n v="1293.58"/>
    <x v="7"/>
  </r>
  <r>
    <x v="2229"/>
    <n v="1304.33"/>
    <x v="7"/>
  </r>
  <r>
    <x v="2230"/>
    <n v="1304.33"/>
    <x v="7"/>
  </r>
  <r>
    <x v="2231"/>
    <n v="1304.33"/>
    <x v="7"/>
  </r>
  <r>
    <x v="2232"/>
    <n v="1317.15"/>
    <x v="7"/>
  </r>
  <r>
    <x v="2233"/>
    <n v="1318.57"/>
    <x v="7"/>
  </r>
  <r>
    <x v="2234"/>
    <n v="1315.95"/>
    <x v="7"/>
  </r>
  <r>
    <x v="2235"/>
    <n v="1313.56"/>
    <x v="7"/>
  </r>
  <r>
    <x v="2236"/>
    <n v="1315.7"/>
    <x v="7"/>
  </r>
  <r>
    <x v="2237"/>
    <n v="1315.7"/>
    <x v="7"/>
  </r>
  <r>
    <x v="2238"/>
    <n v="1315.7"/>
    <x v="7"/>
  </r>
  <r>
    <x v="2239"/>
    <n v="1315.7"/>
    <x v="7"/>
  </r>
  <r>
    <x v="2240"/>
    <n v="1318.25"/>
    <x v="7"/>
  </r>
  <r>
    <x v="2241"/>
    <n v="1318.53"/>
    <x v="7"/>
  </r>
  <r>
    <x v="2242"/>
    <n v="1319.21"/>
    <x v="7"/>
  </r>
  <r>
    <x v="2243"/>
    <n v="1322.16"/>
    <x v="7"/>
  </r>
  <r>
    <x v="2244"/>
    <n v="1322.16"/>
    <x v="7"/>
  </r>
  <r>
    <x v="2245"/>
    <n v="1322.16"/>
    <x v="7"/>
  </r>
  <r>
    <x v="2246"/>
    <n v="1325.07"/>
    <x v="7"/>
  </r>
  <r>
    <x v="2247"/>
    <n v="1327"/>
    <x v="7"/>
  </r>
  <r>
    <x v="2248"/>
    <n v="1331.48"/>
    <x v="7"/>
  </r>
  <r>
    <x v="2249"/>
    <n v="1334.71"/>
    <x v="7"/>
  </r>
  <r>
    <x v="2250"/>
    <n v="1332.78"/>
    <x v="7"/>
  </r>
  <r>
    <x v="2251"/>
    <n v="1332.78"/>
    <x v="7"/>
  </r>
  <r>
    <x v="2252"/>
    <n v="1332.78"/>
    <x v="7"/>
  </r>
  <r>
    <x v="2253"/>
    <n v="1336.38"/>
    <x v="7"/>
  </r>
  <r>
    <x v="2254"/>
    <n v="1337.3"/>
    <x v="7"/>
  </r>
  <r>
    <x v="2255"/>
    <n v="1339.57"/>
    <x v="7"/>
  </r>
  <r>
    <x v="2256"/>
    <n v="1341.85"/>
    <x v="7"/>
  </r>
  <r>
    <x v="2257"/>
    <n v="1342"/>
    <x v="7"/>
  </r>
  <r>
    <x v="2258"/>
    <n v="1342"/>
    <x v="7"/>
  </r>
  <r>
    <x v="2259"/>
    <n v="1342"/>
    <x v="7"/>
  </r>
  <r>
    <x v="2260"/>
    <n v="1343.9"/>
    <x v="7"/>
  </r>
  <r>
    <x v="2261"/>
    <n v="1345.01"/>
    <x v="7"/>
  </r>
  <r>
    <x v="2262"/>
    <n v="1345.46"/>
    <x v="7"/>
  </r>
  <r>
    <x v="2263"/>
    <n v="1346.09"/>
    <x v="7"/>
  </r>
  <r>
    <x v="2264"/>
    <n v="1346.42"/>
    <x v="7"/>
  </r>
  <r>
    <x v="2265"/>
    <n v="1346.42"/>
    <x v="7"/>
  </r>
  <r>
    <x v="2266"/>
    <n v="1346.42"/>
    <x v="7"/>
  </r>
  <r>
    <x v="2267"/>
    <n v="1347.72"/>
    <x v="7"/>
  </r>
  <r>
    <x v="2268"/>
    <n v="1348.23"/>
    <x v="7"/>
  </r>
  <r>
    <x v="2269"/>
    <n v="1348.86"/>
    <x v="7"/>
  </r>
  <r>
    <x v="2270"/>
    <n v="1349.34"/>
    <x v="7"/>
  </r>
  <r>
    <x v="2271"/>
    <n v="1349.54"/>
    <x v="7"/>
  </r>
  <r>
    <x v="2272"/>
    <n v="1349.54"/>
    <x v="7"/>
  </r>
  <r>
    <x v="2273"/>
    <n v="1349.54"/>
    <x v="7"/>
  </r>
  <r>
    <x v="2274"/>
    <n v="1350.97"/>
    <x v="7"/>
  </r>
  <r>
    <x v="2275"/>
    <n v="1350.23"/>
    <x v="7"/>
  </r>
  <r>
    <x v="2276"/>
    <n v="1349.95"/>
    <x v="7"/>
  </r>
  <r>
    <x v="2277"/>
    <n v="1350.1"/>
    <x v="7"/>
  </r>
  <r>
    <x v="2278"/>
    <n v="1347.94"/>
    <x v="7"/>
  </r>
  <r>
    <x v="2279"/>
    <n v="1347.94"/>
    <x v="7"/>
  </r>
  <r>
    <x v="2280"/>
    <n v="1347.94"/>
    <x v="7"/>
  </r>
  <r>
    <x v="2281"/>
    <n v="1340.92"/>
    <x v="7"/>
  </r>
  <r>
    <x v="2282"/>
    <n v="1334.72"/>
    <x v="7"/>
  </r>
  <r>
    <x v="2283"/>
    <n v="1340.75"/>
    <x v="7"/>
  </r>
  <r>
    <x v="2284"/>
    <n v="1344.25"/>
    <x v="7"/>
  </r>
  <r>
    <x v="2285"/>
    <n v="1343.85"/>
    <x v="7"/>
  </r>
  <r>
    <x v="2286"/>
    <n v="1343.85"/>
    <x v="7"/>
  </r>
  <r>
    <x v="2287"/>
    <n v="1343.85"/>
    <x v="7"/>
  </r>
  <r>
    <x v="2288"/>
    <n v="1349.04"/>
    <x v="7"/>
  </r>
  <r>
    <x v="2289"/>
    <n v="1352.21"/>
    <x v="7"/>
  </r>
  <r>
    <x v="2290"/>
    <n v="1349.8"/>
    <x v="7"/>
  </r>
  <r>
    <x v="2291"/>
    <n v="1353.19"/>
    <x v="7"/>
  </r>
  <r>
    <x v="2292"/>
    <n v="1353.71"/>
    <x v="7"/>
  </r>
  <r>
    <x v="2293"/>
    <n v="1353.71"/>
    <x v="7"/>
  </r>
  <r>
    <x v="2294"/>
    <n v="1353.71"/>
    <x v="7"/>
  </r>
  <r>
    <x v="2295"/>
    <n v="1354.9"/>
    <x v="7"/>
  </r>
  <r>
    <x v="2296"/>
    <n v="1355.88"/>
    <x v="7"/>
  </r>
  <r>
    <x v="2297"/>
    <n v="1356.63"/>
    <x v="7"/>
  </r>
  <r>
    <x v="2298"/>
    <n v="1356.7"/>
    <x v="7"/>
  </r>
  <r>
    <x v="2299"/>
    <n v="1355.9"/>
    <x v="7"/>
  </r>
  <r>
    <x v="2300"/>
    <n v="1355.9"/>
    <x v="7"/>
  </r>
  <r>
    <x v="2301"/>
    <n v="1355.9"/>
    <x v="7"/>
  </r>
  <r>
    <x v="2302"/>
    <n v="1358.66"/>
    <x v="7"/>
  </r>
  <r>
    <x v="2303"/>
    <n v="1359.96"/>
    <x v="7"/>
  </r>
  <r>
    <x v="2304"/>
    <n v="1360.56"/>
    <x v="7"/>
  </r>
  <r>
    <x v="2305"/>
    <n v="1361.87"/>
    <x v="7"/>
  </r>
  <r>
    <x v="2306"/>
    <n v="1361.86"/>
    <x v="7"/>
  </r>
  <r>
    <x v="2307"/>
    <n v="1361.86"/>
    <x v="7"/>
  </r>
  <r>
    <x v="2308"/>
    <n v="1361.86"/>
    <x v="7"/>
  </r>
  <r>
    <x v="2309"/>
    <n v="1361.86"/>
    <x v="7"/>
  </r>
  <r>
    <x v="2310"/>
    <n v="1364.4"/>
    <x v="7"/>
  </r>
  <r>
    <x v="2311"/>
    <n v="1364.76"/>
    <x v="7"/>
  </r>
  <r>
    <x v="2312"/>
    <n v="1365.66"/>
    <x v="7"/>
  </r>
  <r>
    <x v="2313"/>
    <n v="1361.49"/>
    <x v="7"/>
  </r>
  <r>
    <x v="2314"/>
    <n v="1361.49"/>
    <x v="7"/>
  </r>
  <r>
    <x v="2315"/>
    <n v="1361.49"/>
    <x v="7"/>
  </r>
  <r>
    <x v="2316"/>
    <n v="1358.03"/>
    <x v="7"/>
  </r>
  <r>
    <x v="2317"/>
    <n v="1360.26"/>
    <x v="7"/>
  </r>
  <r>
    <x v="2318"/>
    <n v="1362.54"/>
    <x v="7"/>
  </r>
  <r>
    <x v="2319"/>
    <n v="1357.75"/>
    <x v="7"/>
  </r>
  <r>
    <x v="2320"/>
    <n v="1357.71"/>
    <x v="7"/>
  </r>
  <r>
    <x v="2321"/>
    <n v="1357.71"/>
    <x v="7"/>
  </r>
  <r>
    <x v="2322"/>
    <n v="1357.71"/>
    <x v="7"/>
  </r>
  <r>
    <x v="2323"/>
    <n v="1355.5"/>
    <x v="7"/>
  </r>
  <r>
    <x v="2324"/>
    <n v="1354.15"/>
    <x v="7"/>
  </r>
  <r>
    <x v="2325"/>
    <n v="1357.14"/>
    <x v="7"/>
  </r>
  <r>
    <x v="2326"/>
    <n v="1357.14"/>
    <x v="7"/>
  </r>
  <r>
    <x v="2327"/>
    <n v="1357.14"/>
    <x v="7"/>
  </r>
  <r>
    <x v="2328"/>
    <n v="1357.14"/>
    <x v="7"/>
  </r>
  <r>
    <x v="2329"/>
    <n v="1357.14"/>
    <x v="7"/>
  </r>
  <r>
    <x v="2330"/>
    <n v="1363.38"/>
    <x v="7"/>
  </r>
  <r>
    <x v="2331"/>
    <n v="1365.21"/>
    <x v="7"/>
  </r>
  <r>
    <x v="2332"/>
    <n v="1364.06"/>
    <x v="7"/>
  </r>
  <r>
    <x v="2333"/>
    <n v="1360.74"/>
    <x v="7"/>
  </r>
  <r>
    <x v="2334"/>
    <n v="1360.49"/>
    <x v="7"/>
  </r>
  <r>
    <x v="2335"/>
    <n v="1360.49"/>
    <x v="7"/>
  </r>
  <r>
    <x v="2336"/>
    <n v="1360.49"/>
    <x v="7"/>
  </r>
  <r>
    <x v="2337"/>
    <n v="1360.42"/>
    <x v="7"/>
  </r>
  <r>
    <x v="2338"/>
    <n v="1357.51"/>
    <x v="7"/>
  </r>
  <r>
    <x v="2339"/>
    <n v="1355.94"/>
    <x v="7"/>
  </r>
  <r>
    <x v="2340"/>
    <n v="1354.91"/>
    <x v="7"/>
  </r>
  <r>
    <x v="2341"/>
    <n v="1359.99"/>
    <x v="7"/>
  </r>
  <r>
    <x v="2342"/>
    <n v="1359.99"/>
    <x v="7"/>
  </r>
  <r>
    <x v="2343"/>
    <n v="1359.99"/>
    <x v="7"/>
  </r>
  <r>
    <x v="2344"/>
    <n v="1368.17"/>
    <x v="7"/>
  </r>
  <r>
    <x v="2345"/>
    <n v="1371.35"/>
    <x v="7"/>
  </r>
  <r>
    <x v="2346"/>
    <n v="1365.72"/>
    <x v="7"/>
  </r>
  <r>
    <x v="2347"/>
    <n v="1364.07"/>
    <x v="7"/>
  </r>
  <r>
    <x v="2348"/>
    <n v="1364.07"/>
    <x v="7"/>
  </r>
  <r>
    <x v="2349"/>
    <n v="1364.07"/>
    <x v="7"/>
  </r>
  <r>
    <x v="2350"/>
    <n v="1364.07"/>
    <x v="7"/>
  </r>
  <r>
    <x v="2351"/>
    <n v="1369.31"/>
    <x v="7"/>
  </r>
  <r>
    <x v="2352"/>
    <n v="1375.39"/>
    <x v="7"/>
  </r>
  <r>
    <x v="2353"/>
    <n v="1382.27"/>
    <x v="7"/>
  </r>
  <r>
    <x v="2354"/>
    <n v="1383.04"/>
    <x v="7"/>
  </r>
  <r>
    <x v="2355"/>
    <n v="1385.38"/>
    <x v="7"/>
  </r>
  <r>
    <x v="2356"/>
    <n v="1385.38"/>
    <x v="7"/>
  </r>
  <r>
    <x v="2357"/>
    <n v="1385.38"/>
    <x v="7"/>
  </r>
  <r>
    <x v="2358"/>
    <n v="1387.78"/>
    <x v="7"/>
  </r>
  <r>
    <x v="2359"/>
    <n v="1388.04"/>
    <x v="7"/>
  </r>
  <r>
    <x v="2360"/>
    <n v="1387.15"/>
    <x v="7"/>
  </r>
  <r>
    <x v="2361"/>
    <n v="1384.97"/>
    <x v="7"/>
  </r>
  <r>
    <x v="2362"/>
    <n v="1383.31"/>
    <x v="7"/>
  </r>
  <r>
    <x v="2363"/>
    <n v="1383.31"/>
    <x v="7"/>
  </r>
  <r>
    <x v="2364"/>
    <n v="1383.31"/>
    <x v="7"/>
  </r>
  <r>
    <x v="2365"/>
    <n v="1387.26"/>
    <x v="7"/>
  </r>
  <r>
    <x v="2366"/>
    <n v="1390.89"/>
    <x v="7"/>
  </r>
  <r>
    <x v="2367"/>
    <n v="1392.18"/>
    <x v="7"/>
  </r>
  <r>
    <x v="2368"/>
    <n v="1393.62"/>
    <x v="7"/>
  </r>
  <r>
    <x v="2369"/>
    <n v="1394.33"/>
    <x v="7"/>
  </r>
  <r>
    <x v="2370"/>
    <n v="1394.33"/>
    <x v="7"/>
  </r>
  <r>
    <x v="2371"/>
    <n v="1394.33"/>
    <x v="7"/>
  </r>
  <r>
    <x v="2372"/>
    <n v="1394.33"/>
    <x v="7"/>
  </r>
  <r>
    <x v="2373"/>
    <n v="1396.51"/>
    <x v="7"/>
  </r>
  <r>
    <x v="2374"/>
    <n v="1397.12"/>
    <x v="7"/>
  </r>
  <r>
    <x v="2375"/>
    <n v="1396.69"/>
    <x v="7"/>
  </r>
  <r>
    <x v="2376"/>
    <n v="1397.07"/>
    <x v="7"/>
  </r>
  <r>
    <x v="2377"/>
    <n v="1397.07"/>
    <x v="7"/>
  </r>
  <r>
    <x v="2378"/>
    <n v="1397.07"/>
    <x v="7"/>
  </r>
  <r>
    <x v="2379"/>
    <n v="1398.53"/>
    <x v="7"/>
  </r>
  <r>
    <x v="2380"/>
    <n v="1399.56"/>
    <x v="7"/>
  </r>
  <r>
    <x v="2381"/>
    <n v="1399.02"/>
    <x v="7"/>
  </r>
  <r>
    <x v="2382"/>
    <n v="1397.63"/>
    <x v="7"/>
  </r>
  <r>
    <x v="2383"/>
    <n v="1387.12"/>
    <x v="7"/>
  </r>
  <r>
    <x v="2384"/>
    <n v="1387.12"/>
    <x v="7"/>
  </r>
  <r>
    <x v="2385"/>
    <n v="1387.12"/>
    <x v="7"/>
  </r>
  <r>
    <x v="2386"/>
    <n v="1386.53"/>
    <x v="7"/>
  </r>
  <r>
    <x v="2387"/>
    <n v="1376.25"/>
    <x v="7"/>
  </r>
  <r>
    <x v="2388"/>
    <n v="1383.23"/>
    <x v="7"/>
  </r>
  <r>
    <x v="2389"/>
    <n v="1388.76"/>
    <x v="7"/>
  </r>
  <r>
    <x v="2390"/>
    <n v="1380.51"/>
    <x v="7"/>
  </r>
  <r>
    <x v="2391"/>
    <n v="1380.51"/>
    <x v="7"/>
  </r>
  <r>
    <x v="2392"/>
    <n v="1380.51"/>
    <x v="7"/>
  </r>
  <r>
    <x v="2393"/>
    <n v="1380.51"/>
    <x v="7"/>
  </r>
  <r>
    <x v="2394"/>
    <n v="1388.5"/>
    <x v="7"/>
  </r>
  <r>
    <x v="2395"/>
    <n v="1394.39"/>
    <x v="7"/>
  </r>
  <r>
    <x v="2396"/>
    <n v="1390.85"/>
    <x v="7"/>
  </r>
  <r>
    <x v="2397"/>
    <n v="1394.8"/>
    <x v="7"/>
  </r>
  <r>
    <x v="2398"/>
    <n v="1394.8"/>
    <x v="7"/>
  </r>
  <r>
    <x v="2399"/>
    <n v="1394.8"/>
    <x v="7"/>
  </r>
  <r>
    <x v="2400"/>
    <n v="1394.8"/>
    <x v="7"/>
  </r>
  <r>
    <x v="2401"/>
    <n v="1381.11"/>
    <x v="7"/>
  </r>
  <r>
    <x v="2402"/>
    <n v="1375.02"/>
    <x v="7"/>
  </r>
  <r>
    <x v="2403"/>
    <n v="1363.67"/>
    <x v="7"/>
  </r>
  <r>
    <x v="2404"/>
    <n v="1363.04"/>
    <x v="7"/>
  </r>
  <r>
    <x v="2405"/>
    <n v="1363.04"/>
    <x v="7"/>
  </r>
  <r>
    <x v="2406"/>
    <n v="1363.04"/>
    <x v="7"/>
  </r>
  <r>
    <x v="2407"/>
    <n v="1363.04"/>
    <x v="7"/>
  </r>
  <r>
    <x v="2408"/>
    <n v="1369.88"/>
    <x v="7"/>
  </r>
  <r>
    <x v="2409"/>
    <n v="1358.05"/>
    <x v="7"/>
  </r>
  <r>
    <x v="2410"/>
    <n v="1345.65"/>
    <x v="7"/>
  </r>
  <r>
    <x v="2411"/>
    <n v="1348.06"/>
    <x v="7"/>
  </r>
  <r>
    <x v="2412"/>
    <n v="1348.06"/>
    <x v="7"/>
  </r>
  <r>
    <x v="2413"/>
    <n v="1348.06"/>
    <x v="7"/>
  </r>
  <r>
    <x v="2414"/>
    <n v="1357.78"/>
    <x v="7"/>
  </r>
  <r>
    <x v="2415"/>
    <n v="1368.16"/>
    <x v="7"/>
  </r>
  <r>
    <x v="2416"/>
    <n v="1369.12"/>
    <x v="7"/>
  </r>
  <r>
    <x v="2417"/>
    <n v="1370.45"/>
    <x v="7"/>
  </r>
  <r>
    <x v="2418"/>
    <n v="1374.23"/>
    <x v="7"/>
  </r>
  <r>
    <x v="2419"/>
    <n v="1374.23"/>
    <x v="7"/>
  </r>
  <r>
    <x v="2420"/>
    <n v="1374.23"/>
    <x v="7"/>
  </r>
  <r>
    <x v="2421"/>
    <n v="1380.27"/>
    <x v="7"/>
  </r>
  <r>
    <x v="2422"/>
    <n v="1381.22"/>
    <x v="7"/>
  </r>
  <r>
    <x v="2423"/>
    <n v="1378.01"/>
    <x v="7"/>
  </r>
  <r>
    <x v="2424"/>
    <n v="1376.74"/>
    <x v="7"/>
  </r>
  <r>
    <x v="2425"/>
    <n v="1381.54"/>
    <x v="7"/>
  </r>
  <r>
    <x v="2426"/>
    <n v="1381.54"/>
    <x v="7"/>
  </r>
  <r>
    <x v="2427"/>
    <n v="1381.54"/>
    <x v="7"/>
  </r>
  <r>
    <x v="2428"/>
    <n v="1381.54"/>
    <x v="7"/>
  </r>
  <r>
    <x v="2429"/>
    <n v="1380.87"/>
    <x v="7"/>
  </r>
  <r>
    <x v="2430"/>
    <n v="1376.87"/>
    <x v="7"/>
  </r>
  <r>
    <x v="2431"/>
    <n v="1378.88"/>
    <x v="7"/>
  </r>
  <r>
    <x v="2432"/>
    <n v="1379.61"/>
    <x v="7"/>
  </r>
  <r>
    <x v="2433"/>
    <n v="1379.61"/>
    <x v="7"/>
  </r>
  <r>
    <x v="2434"/>
    <n v="1379.61"/>
    <x v="7"/>
  </r>
  <r>
    <x v="2435"/>
    <n v="1378.33"/>
    <x v="7"/>
  </r>
  <r>
    <x v="2436"/>
    <n v="1376.12"/>
    <x v="7"/>
  </r>
  <r>
    <x v="2437"/>
    <n v="1373.49"/>
    <x v="7"/>
  </r>
  <r>
    <x v="2438"/>
    <n v="1370.65"/>
    <x v="7"/>
  </r>
  <r>
    <x v="2439"/>
    <n v="1372.14"/>
    <x v="7"/>
  </r>
  <r>
    <x v="2440"/>
    <n v="1372.14"/>
    <x v="7"/>
  </r>
  <r>
    <x v="2441"/>
    <n v="1372.14"/>
    <x v="7"/>
  </r>
  <r>
    <x v="2442"/>
    <n v="1371.16"/>
    <x v="7"/>
  </r>
  <r>
    <x v="2443"/>
    <n v="1368.24"/>
    <x v="7"/>
  </r>
  <r>
    <x v="2444"/>
    <n v="1366.44"/>
    <x v="7"/>
  </r>
  <r>
    <x v="2445"/>
    <n v="1364.9"/>
    <x v="7"/>
  </r>
  <r>
    <x v="2446"/>
    <n v="1364.9"/>
    <x v="7"/>
  </r>
  <r>
    <x v="2447"/>
    <n v="1364.9"/>
    <x v="7"/>
  </r>
  <r>
    <x v="2448"/>
    <n v="1364.9"/>
    <x v="7"/>
  </r>
  <r>
    <x v="2449"/>
    <n v="1359.22"/>
    <x v="7"/>
  </r>
  <r>
    <x v="2450"/>
    <n v="1365.58"/>
    <x v="7"/>
  </r>
  <r>
    <x v="2451"/>
    <n v="1371.23"/>
    <x v="7"/>
  </r>
  <r>
    <x v="2452"/>
    <n v="1377.08"/>
    <x v="7"/>
  </r>
  <r>
    <x v="2453"/>
    <n v="1386.02"/>
    <x v="7"/>
  </r>
  <r>
    <x v="2454"/>
    <n v="1386.02"/>
    <x v="7"/>
  </r>
  <r>
    <x v="2455"/>
    <n v="1386.02"/>
    <x v="7"/>
  </r>
  <r>
    <x v="2456"/>
    <n v="1386.02"/>
    <x v="7"/>
  </r>
  <r>
    <x v="2457"/>
    <n v="1385.77"/>
    <x v="7"/>
  </r>
  <r>
    <x v="2458"/>
    <n v="1384.24"/>
    <x v="7"/>
  </r>
  <r>
    <x v="2459"/>
    <n v="1391.55"/>
    <x v="7"/>
  </r>
  <r>
    <x v="2460"/>
    <n v="1407.27"/>
    <x v="7"/>
  </r>
  <r>
    <x v="2461"/>
    <n v="1407.27"/>
    <x v="7"/>
  </r>
  <r>
    <x v="2462"/>
    <n v="1407.27"/>
    <x v="7"/>
  </r>
  <r>
    <x v="2463"/>
    <n v="1418.22"/>
    <x v="7"/>
  </r>
  <r>
    <x v="2464"/>
    <n v="1420.27"/>
    <x v="7"/>
  </r>
  <r>
    <x v="2465"/>
    <n v="1430.33"/>
    <x v="7"/>
  </r>
  <r>
    <x v="2466"/>
    <n v="1438.16"/>
    <x v="7"/>
  </r>
  <r>
    <x v="2467"/>
    <n v="1440.87"/>
    <x v="7"/>
  </r>
  <r>
    <x v="2468"/>
    <n v="1440.87"/>
    <x v="7"/>
  </r>
  <r>
    <x v="2469"/>
    <n v="1440.87"/>
    <x v="7"/>
  </r>
  <r>
    <x v="2470"/>
    <n v="1441.86"/>
    <x v="7"/>
  </r>
  <r>
    <x v="2471"/>
    <n v="1442.95"/>
    <x v="7"/>
  </r>
  <r>
    <x v="2472"/>
    <n v="1518.56"/>
    <x v="7"/>
  </r>
  <r>
    <x v="2473"/>
    <n v="1532.19"/>
    <x v="7"/>
  </r>
  <r>
    <x v="2474"/>
    <n v="1538.84"/>
    <x v="7"/>
  </r>
  <r>
    <x v="2475"/>
    <n v="1538.84"/>
    <x v="7"/>
  </r>
  <r>
    <x v="2476"/>
    <n v="1538.84"/>
    <x v="7"/>
  </r>
  <r>
    <x v="2477"/>
    <n v="1511.55"/>
    <x v="7"/>
  </r>
  <r>
    <x v="2478"/>
    <n v="1505.66"/>
    <x v="7"/>
  </r>
  <r>
    <x v="2479"/>
    <n v="1493.4"/>
    <x v="7"/>
  </r>
  <r>
    <x v="2480"/>
    <n v="1506.27"/>
    <x v="7"/>
  </r>
  <r>
    <x v="2481"/>
    <n v="1505.85"/>
    <x v="7"/>
  </r>
  <r>
    <x v="2482"/>
    <n v="1505.85"/>
    <x v="7"/>
  </r>
  <r>
    <x v="2483"/>
    <n v="1505.85"/>
    <x v="7"/>
  </r>
  <r>
    <x v="2484"/>
    <n v="1510.41"/>
    <x v="7"/>
  </r>
  <r>
    <x v="2485"/>
    <n v="1516.92"/>
    <x v="7"/>
  </r>
  <r>
    <x v="2486"/>
    <n v="1520.63"/>
    <x v="7"/>
  </r>
  <r>
    <x v="2487"/>
    <n v="1531.49"/>
    <x v="7"/>
  </r>
  <r>
    <x v="2488"/>
    <n v="1533.95"/>
    <x v="7"/>
  </r>
  <r>
    <x v="2489"/>
    <n v="1533.95"/>
    <x v="7"/>
  </r>
  <r>
    <x v="2490"/>
    <n v="1533.95"/>
    <x v="7"/>
  </r>
  <r>
    <x v="2491"/>
    <n v="1529.26"/>
    <x v="7"/>
  </r>
  <r>
    <x v="2492"/>
    <n v="1541.16"/>
    <x v="7"/>
  </r>
  <r>
    <x v="2493"/>
    <n v="1561.28"/>
    <x v="7"/>
  </r>
  <r>
    <x v="2494"/>
    <n v="1548.95"/>
    <x v="7"/>
  </r>
  <r>
    <x v="2495"/>
    <n v="1547.81"/>
    <x v="7"/>
  </r>
  <r>
    <x v="2496"/>
    <n v="1547.81"/>
    <x v="7"/>
  </r>
  <r>
    <x v="2497"/>
    <n v="1547.81"/>
    <x v="7"/>
  </r>
  <r>
    <x v="2498"/>
    <n v="1556.25"/>
    <x v="7"/>
  </r>
  <r>
    <x v="2499"/>
    <n v="1556.15"/>
    <x v="7"/>
  </r>
  <r>
    <x v="2500"/>
    <n v="1556.52"/>
    <x v="7"/>
  </r>
  <r>
    <x v="2501"/>
    <n v="1573.22"/>
    <x v="7"/>
  </r>
  <r>
    <x v="2502"/>
    <n v="1578.96"/>
    <x v="7"/>
  </r>
  <r>
    <x v="2503"/>
    <n v="1578.96"/>
    <x v="7"/>
  </r>
  <r>
    <x v="2504"/>
    <n v="1578.96"/>
    <x v="7"/>
  </r>
  <r>
    <x v="2505"/>
    <n v="1585.64"/>
    <x v="7"/>
  </r>
  <r>
    <x v="2506"/>
    <n v="1588.64"/>
    <x v="7"/>
  </r>
  <r>
    <x v="2507"/>
    <n v="1586.53"/>
    <x v="7"/>
  </r>
  <r>
    <x v="2508"/>
    <n v="1587.46"/>
    <x v="7"/>
  </r>
  <r>
    <x v="2509"/>
    <n v="1590.64"/>
    <x v="7"/>
  </r>
  <r>
    <x v="2510"/>
    <n v="1590.64"/>
    <x v="7"/>
  </r>
  <r>
    <x v="2511"/>
    <n v="1590.64"/>
    <x v="7"/>
  </r>
  <r>
    <x v="2512"/>
    <n v="1590.64"/>
    <x v="7"/>
  </r>
  <r>
    <x v="2513"/>
    <n v="1592.11"/>
    <x v="7"/>
  </r>
  <r>
    <x v="2514"/>
    <n v="1591.01"/>
    <x v="7"/>
  </r>
  <r>
    <x v="2515"/>
    <n v="1594.19"/>
    <x v="7"/>
  </r>
  <r>
    <x v="2516"/>
    <n v="1596.21"/>
    <x v="7"/>
  </r>
  <r>
    <x v="2517"/>
    <n v="1596.21"/>
    <x v="7"/>
  </r>
  <r>
    <x v="2518"/>
    <n v="1596.21"/>
    <x v="7"/>
  </r>
  <r>
    <x v="2519"/>
    <n v="1598.18"/>
    <x v="7"/>
  </r>
  <r>
    <x v="2520"/>
    <n v="1598.61"/>
    <x v="7"/>
  </r>
  <r>
    <x v="2521"/>
    <n v="1597.79"/>
    <x v="7"/>
  </r>
  <r>
    <x v="2522"/>
    <n v="1599.15"/>
    <x v="7"/>
  </r>
  <r>
    <x v="2523"/>
    <n v="1597.97"/>
    <x v="7"/>
  </r>
  <r>
    <x v="2524"/>
    <n v="1597.97"/>
    <x v="7"/>
  </r>
  <r>
    <x v="2525"/>
    <n v="1597.97"/>
    <x v="7"/>
  </r>
  <r>
    <x v="2526"/>
    <n v="1590.64"/>
    <x v="7"/>
  </r>
  <r>
    <x v="2527"/>
    <n v="1576.38"/>
    <x v="7"/>
  </r>
  <r>
    <x v="2528"/>
    <n v="1577.9"/>
    <x v="7"/>
  </r>
  <r>
    <x v="2529"/>
    <n v="1577.19"/>
    <x v="7"/>
  </r>
  <r>
    <x v="2530"/>
    <n v="1575.08"/>
    <x v="7"/>
  </r>
  <r>
    <x v="2531"/>
    <n v="1575.08"/>
    <x v="7"/>
  </r>
  <r>
    <x v="2532"/>
    <n v="1575.08"/>
    <x v="7"/>
  </r>
  <r>
    <x v="2533"/>
    <n v="1575.08"/>
    <x v="7"/>
  </r>
  <r>
    <x v="2534"/>
    <n v="1569.93"/>
    <x v="7"/>
  </r>
  <r>
    <x v="2535"/>
    <n v="1568.54"/>
    <x v="7"/>
  </r>
  <r>
    <x v="2536"/>
    <n v="1563.32"/>
    <x v="7"/>
  </r>
  <r>
    <x v="2537"/>
    <n v="1553.71"/>
    <x v="7"/>
  </r>
  <r>
    <x v="2538"/>
    <n v="1553.71"/>
    <x v="7"/>
  </r>
  <r>
    <x v="2539"/>
    <n v="1553.71"/>
    <x v="7"/>
  </r>
  <r>
    <x v="2540"/>
    <n v="1559.35"/>
    <x v="7"/>
  </r>
  <r>
    <x v="2541"/>
    <n v="1571.76"/>
    <x v="7"/>
  </r>
  <r>
    <x v="2542"/>
    <n v="1577.61"/>
    <x v="7"/>
  </r>
  <r>
    <x v="2543"/>
    <n v="1578.79"/>
    <x v="7"/>
  </r>
  <r>
    <x v="2544"/>
    <n v="1580.99"/>
    <x v="7"/>
  </r>
  <r>
    <x v="2545"/>
    <n v="1580.99"/>
    <x v="7"/>
  </r>
  <r>
    <x v="2546"/>
    <n v="1580.99"/>
    <x v="7"/>
  </r>
  <r>
    <x v="2547"/>
    <n v="1580.99"/>
    <x v="7"/>
  </r>
  <r>
    <x v="2548"/>
    <n v="1583.29"/>
    <x v="7"/>
  </r>
  <r>
    <x v="2549"/>
    <n v="1569.6"/>
    <x v="7"/>
  </r>
  <r>
    <x v="2550"/>
    <n v="1558.49"/>
    <x v="7"/>
  </r>
  <r>
    <x v="2551"/>
    <n v="1539.38"/>
    <x v="7"/>
  </r>
  <r>
    <x v="2552"/>
    <n v="1539.38"/>
    <x v="7"/>
  </r>
  <r>
    <x v="2553"/>
    <n v="1539.38"/>
    <x v="7"/>
  </r>
  <r>
    <x v="2554"/>
    <n v="1547.92"/>
    <x v="7"/>
  </r>
  <r>
    <x v="2555"/>
    <n v="1557.57"/>
    <x v="7"/>
  </r>
  <r>
    <x v="2556"/>
    <n v="1545.53"/>
    <x v="7"/>
  </r>
  <r>
    <x v="2557"/>
    <n v="1543.45"/>
    <x v="7"/>
  </r>
  <r>
    <x v="2558"/>
    <n v="1547.11"/>
    <x v="7"/>
  </r>
  <r>
    <x v="2559"/>
    <n v="1547.11"/>
    <x v="7"/>
  </r>
  <r>
    <x v="2560"/>
    <n v="1547.11"/>
    <x v="7"/>
  </r>
  <r>
    <x v="2561"/>
    <n v="1545.88"/>
    <x v="7"/>
  </r>
  <r>
    <x v="2562"/>
    <n v="1545.82"/>
    <x v="7"/>
  </r>
  <r>
    <x v="2563"/>
    <n v="1539.32"/>
    <x v="7"/>
  </r>
  <r>
    <x v="2564"/>
    <n v="1545.89"/>
    <x v="7"/>
  </r>
  <r>
    <x v="2565"/>
    <n v="1552.48"/>
    <x v="7"/>
  </r>
  <r>
    <x v="2566"/>
    <n v="1552.48"/>
    <x v="7"/>
  </r>
  <r>
    <x v="2567"/>
    <n v="1552.48"/>
    <x v="7"/>
  </r>
  <r>
    <x v="2568"/>
    <n v="1548.63"/>
    <x v="7"/>
  </r>
  <r>
    <x v="2569"/>
    <n v="1548.63"/>
    <x v="7"/>
  </r>
  <r>
    <x v="2570"/>
    <n v="1541.14"/>
    <x v="7"/>
  </r>
  <r>
    <x v="2571"/>
    <n v="1530.63"/>
    <x v="7"/>
  </r>
  <r>
    <x v="2572"/>
    <n v="1531.13"/>
    <x v="7"/>
  </r>
  <r>
    <x v="2573"/>
    <n v="1531.13"/>
    <x v="7"/>
  </r>
  <r>
    <x v="2574"/>
    <n v="1531.13"/>
    <x v="7"/>
  </r>
  <r>
    <x v="2575"/>
    <n v="1532.76"/>
    <x v="7"/>
  </r>
  <r>
    <x v="2576"/>
    <n v="1529.07"/>
    <x v="7"/>
  </r>
  <r>
    <x v="2577"/>
    <n v="1523.8"/>
    <x v="7"/>
  </r>
  <r>
    <x v="2578"/>
    <n v="1515.98"/>
    <x v="7"/>
  </r>
  <r>
    <x v="2579"/>
    <n v="1494.11"/>
    <x v="7"/>
  </r>
  <r>
    <x v="2580"/>
    <n v="1494.11"/>
    <x v="7"/>
  </r>
  <r>
    <x v="2581"/>
    <n v="1494.11"/>
    <x v="7"/>
  </r>
  <r>
    <x v="2582"/>
    <n v="1477.51"/>
    <x v="7"/>
  </r>
  <r>
    <x v="2583"/>
    <n v="1467.04"/>
    <x v="7"/>
  </r>
  <r>
    <x v="2584"/>
    <n v="1484.88"/>
    <x v="7"/>
  </r>
  <r>
    <x v="2585"/>
    <n v="1484.88"/>
    <x v="7"/>
  </r>
  <r>
    <x v="2586"/>
    <n v="1484.88"/>
    <x v="7"/>
  </r>
  <r>
    <x v="2587"/>
    <n v="1484.88"/>
    <x v="7"/>
  </r>
  <r>
    <x v="2588"/>
    <n v="1484.88"/>
    <x v="7"/>
  </r>
  <r>
    <x v="2589"/>
    <n v="1507.52"/>
    <x v="7"/>
  </r>
  <r>
    <x v="2590"/>
    <n v="1535.55"/>
    <x v="7"/>
  </r>
  <r>
    <x v="2591"/>
    <n v="1542.11"/>
    <x v="7"/>
  </r>
  <r>
    <x v="2592"/>
    <n v="1542.11"/>
    <x v="8"/>
  </r>
  <r>
    <x v="2593"/>
    <n v="1542.11"/>
    <x v="8"/>
  </r>
  <r>
    <x v="2594"/>
    <n v="1542.11"/>
    <x v="8"/>
  </r>
  <r>
    <x v="2595"/>
    <n v="1542.11"/>
    <x v="8"/>
  </r>
  <r>
    <x v="2596"/>
    <n v="1545.11"/>
    <x v="8"/>
  </r>
  <r>
    <x v="2597"/>
    <n v="1528.28"/>
    <x v="8"/>
  </r>
  <r>
    <x v="2598"/>
    <n v="1530.48"/>
    <x v="8"/>
  </r>
  <r>
    <x v="2599"/>
    <n v="1543.22"/>
    <x v="8"/>
  </r>
  <r>
    <x v="2600"/>
    <n v="1535.96"/>
    <x v="8"/>
  </r>
  <r>
    <x v="2601"/>
    <n v="1535.96"/>
    <x v="8"/>
  </r>
  <r>
    <x v="2602"/>
    <n v="1535.96"/>
    <x v="8"/>
  </r>
  <r>
    <x v="2603"/>
    <n v="1535.96"/>
    <x v="8"/>
  </r>
  <r>
    <x v="2604"/>
    <n v="1549.35"/>
    <x v="8"/>
  </r>
  <r>
    <x v="2605"/>
    <n v="1588.8"/>
    <x v="8"/>
  </r>
  <r>
    <x v="2606"/>
    <n v="1584.42"/>
    <x v="8"/>
  </r>
  <r>
    <x v="2607"/>
    <n v="1596.59"/>
    <x v="8"/>
  </r>
  <r>
    <x v="2608"/>
    <n v="1596.59"/>
    <x v="8"/>
  </r>
  <r>
    <x v="2609"/>
    <n v="1596.59"/>
    <x v="8"/>
  </r>
  <r>
    <x v="2610"/>
    <n v="1580.4"/>
    <x v="8"/>
  </r>
  <r>
    <x v="2611"/>
    <n v="1587.18"/>
    <x v="8"/>
  </r>
  <r>
    <x v="2612"/>
    <n v="1582.57"/>
    <x v="8"/>
  </r>
  <r>
    <x v="2613"/>
    <n v="1589.65"/>
    <x v="8"/>
  </r>
  <r>
    <x v="2614"/>
    <n v="1591.81"/>
    <x v="8"/>
  </r>
  <r>
    <x v="2615"/>
    <n v="1591.81"/>
    <x v="8"/>
  </r>
  <r>
    <x v="2616"/>
    <n v="1591.81"/>
    <x v="8"/>
  </r>
  <r>
    <x v="2617"/>
    <n v="1591.58"/>
    <x v="8"/>
  </r>
  <r>
    <x v="2618"/>
    <n v="1591.69"/>
    <x v="8"/>
  </r>
  <r>
    <x v="2619"/>
    <n v="1590.33"/>
    <x v="8"/>
  </r>
  <r>
    <x v="2620"/>
    <n v="1580.72"/>
    <x v="8"/>
  </r>
  <r>
    <x v="2621"/>
    <n v="1582.9"/>
    <x v="8"/>
  </r>
  <r>
    <x v="2622"/>
    <n v="1582.9"/>
    <x v="8"/>
  </r>
  <r>
    <x v="2623"/>
    <n v="1582.9"/>
    <x v="8"/>
  </r>
  <r>
    <x v="2624"/>
    <n v="1581.27"/>
    <x v="8"/>
  </r>
  <r>
    <x v="2625"/>
    <n v="1576.22"/>
    <x v="8"/>
  </r>
  <r>
    <x v="2626"/>
    <n v="1574.07"/>
    <x v="8"/>
  </r>
  <r>
    <x v="2627"/>
    <n v="1575.69"/>
    <x v="8"/>
  </r>
  <r>
    <x v="2628"/>
    <n v="1570.94"/>
    <x v="8"/>
  </r>
  <r>
    <x v="2629"/>
    <n v="1570.94"/>
    <x v="8"/>
  </r>
  <r>
    <x v="2630"/>
    <n v="1570.94"/>
    <x v="8"/>
  </r>
  <r>
    <x v="2631"/>
    <n v="1562.14"/>
    <x v="8"/>
  </r>
  <r>
    <x v="2632"/>
    <n v="1563.39"/>
    <x v="8"/>
  </r>
  <r>
    <x v="2633"/>
    <n v="1570.81"/>
    <x v="8"/>
  </r>
  <r>
    <x v="2634"/>
    <n v="1564.04"/>
    <x v="8"/>
  </r>
  <r>
    <x v="2635"/>
    <n v="1565.57"/>
    <x v="8"/>
  </r>
  <r>
    <x v="2636"/>
    <n v="1565.57"/>
    <x v="8"/>
  </r>
  <r>
    <x v="2637"/>
    <n v="1565.57"/>
    <x v="8"/>
  </r>
  <r>
    <x v="2638"/>
    <n v="1557.79"/>
    <x v="8"/>
  </r>
  <r>
    <x v="2639"/>
    <n v="1561.53"/>
    <x v="8"/>
  </r>
  <r>
    <x v="2640"/>
    <n v="1569.4"/>
    <x v="8"/>
  </r>
  <r>
    <x v="2641"/>
    <n v="1567.17"/>
    <x v="8"/>
  </r>
  <r>
    <x v="2642"/>
    <n v="1560.46"/>
    <x v="8"/>
  </r>
  <r>
    <x v="2643"/>
    <n v="1560.46"/>
    <x v="8"/>
  </r>
  <r>
    <x v="2644"/>
    <n v="1560.46"/>
    <x v="8"/>
  </r>
  <r>
    <x v="2645"/>
    <n v="1556.65"/>
    <x v="8"/>
  </r>
  <r>
    <x v="2646"/>
    <n v="1550.88"/>
    <x v="8"/>
  </r>
  <r>
    <x v="2647"/>
    <n v="1557.97"/>
    <x v="8"/>
  </r>
  <r>
    <x v="2648"/>
    <n v="1572.46"/>
    <x v="8"/>
  </r>
  <r>
    <x v="2649"/>
    <n v="1568.3"/>
    <x v="8"/>
  </r>
  <r>
    <x v="2650"/>
    <n v="1568.3"/>
    <x v="8"/>
  </r>
  <r>
    <x v="2651"/>
    <n v="1568.3"/>
    <x v="8"/>
  </r>
  <r>
    <x v="2652"/>
    <n v="1560.4"/>
    <x v="8"/>
  </r>
  <r>
    <x v="2653"/>
    <n v="1557.94"/>
    <x v="8"/>
  </r>
  <r>
    <x v="2654"/>
    <n v="1558.66"/>
    <x v="8"/>
  </r>
  <r>
    <x v="2655"/>
    <n v="1555.84"/>
    <x v="8"/>
  </r>
  <r>
    <x v="2656"/>
    <n v="1552.37"/>
    <x v="8"/>
  </r>
  <r>
    <x v="2657"/>
    <n v="1552.37"/>
    <x v="8"/>
  </r>
  <r>
    <x v="2658"/>
    <n v="1552.37"/>
    <x v="8"/>
  </r>
  <r>
    <x v="2659"/>
    <n v="1552.44"/>
    <x v="8"/>
  </r>
  <r>
    <x v="2660"/>
    <n v="1550.33"/>
    <x v="8"/>
  </r>
  <r>
    <x v="2661"/>
    <n v="1545.09"/>
    <x v="8"/>
  </r>
  <r>
    <x v="2662"/>
    <n v="1552.28"/>
    <x v="8"/>
  </r>
  <r>
    <x v="2663"/>
    <n v="1562.91"/>
    <x v="8"/>
  </r>
  <r>
    <x v="2664"/>
    <n v="1562.91"/>
    <x v="8"/>
  </r>
  <r>
    <x v="2665"/>
    <n v="1562.91"/>
    <x v="8"/>
  </r>
  <r>
    <x v="2666"/>
    <n v="1563.97"/>
    <x v="8"/>
  </r>
  <r>
    <x v="2667"/>
    <n v="1561.74"/>
    <x v="8"/>
  </r>
  <r>
    <x v="2668"/>
    <n v="1554.85"/>
    <x v="8"/>
  </r>
  <r>
    <x v="2669"/>
    <n v="1550.03"/>
    <x v="8"/>
  </r>
  <r>
    <x v="2670"/>
    <n v="1546.77"/>
    <x v="8"/>
  </r>
  <r>
    <x v="2671"/>
    <n v="1546.77"/>
    <x v="8"/>
  </r>
  <r>
    <x v="2672"/>
    <n v="1546.77"/>
    <x v="8"/>
  </r>
  <r>
    <x v="2673"/>
    <n v="1546.77"/>
    <x v="8"/>
  </r>
  <r>
    <x v="2674"/>
    <n v="1544.6"/>
    <x v="8"/>
  </r>
  <r>
    <x v="2675"/>
    <n v="1541.74"/>
    <x v="8"/>
  </r>
  <r>
    <x v="2676"/>
    <n v="1534.28"/>
    <x v="8"/>
  </r>
  <r>
    <x v="2677"/>
    <n v="1525.59"/>
    <x v="8"/>
  </r>
  <r>
    <x v="2678"/>
    <n v="1525.59"/>
    <x v="8"/>
  </r>
  <r>
    <x v="2679"/>
    <n v="1525.59"/>
    <x v="8"/>
  </r>
  <r>
    <x v="2680"/>
    <n v="1529.59"/>
    <x v="8"/>
  </r>
  <r>
    <x v="2681"/>
    <n v="1533.51"/>
    <x v="8"/>
  </r>
  <r>
    <x v="2682"/>
    <n v="1533.32"/>
    <x v="8"/>
  </r>
  <r>
    <x v="2683"/>
    <n v="1533.32"/>
    <x v="8"/>
  </r>
  <r>
    <x v="2684"/>
    <n v="1533.32"/>
    <x v="8"/>
  </r>
  <r>
    <x v="2685"/>
    <n v="1533.32"/>
    <x v="8"/>
  </r>
  <r>
    <x v="2686"/>
    <n v="1533.32"/>
    <x v="8"/>
  </r>
  <r>
    <x v="2687"/>
    <n v="1532.48"/>
    <x v="8"/>
  </r>
  <r>
    <x v="2688"/>
    <n v="1534.13"/>
    <x v="8"/>
  </r>
  <r>
    <x v="2689"/>
    <n v="1548.14"/>
    <x v="8"/>
  </r>
  <r>
    <x v="2690"/>
    <n v="1574.77"/>
    <x v="8"/>
  </r>
  <r>
    <x v="2691"/>
    <n v="1588.17"/>
    <x v="8"/>
  </r>
  <r>
    <x v="2692"/>
    <n v="1588.17"/>
    <x v="8"/>
  </r>
  <r>
    <x v="2693"/>
    <n v="1588.17"/>
    <x v="8"/>
  </r>
  <r>
    <x v="2694"/>
    <n v="1588.19"/>
    <x v="8"/>
  </r>
  <r>
    <x v="2695"/>
    <n v="1603.95"/>
    <x v="8"/>
  </r>
  <r>
    <x v="2696"/>
    <n v="1593.17"/>
    <x v="8"/>
  </r>
  <r>
    <x v="2697"/>
    <n v="1586.04"/>
    <x v="8"/>
  </r>
  <r>
    <x v="2698"/>
    <n v="1578.93"/>
    <x v="8"/>
  </r>
  <r>
    <x v="2699"/>
    <n v="1578.93"/>
    <x v="8"/>
  </r>
  <r>
    <x v="2700"/>
    <n v="1578.93"/>
    <x v="8"/>
  </r>
  <r>
    <x v="2701"/>
    <n v="1570.53"/>
    <x v="8"/>
  </r>
  <r>
    <x v="2702"/>
    <n v="1563.94"/>
    <x v="8"/>
  </r>
  <r>
    <x v="2703"/>
    <n v="1570.34"/>
    <x v="8"/>
  </r>
  <r>
    <x v="2704"/>
    <n v="1573.86"/>
    <x v="8"/>
  </r>
  <r>
    <x v="2705"/>
    <n v="1578.98"/>
    <x v="8"/>
  </r>
  <r>
    <x v="2706"/>
    <n v="1578.98"/>
    <x v="8"/>
  </r>
  <r>
    <x v="2707"/>
    <n v="1578.98"/>
    <x v="8"/>
  </r>
  <r>
    <x v="2708"/>
    <n v="1580.78"/>
    <x v="8"/>
  </r>
  <r>
    <x v="2709"/>
    <n v="1590.53"/>
    <x v="8"/>
  </r>
  <r>
    <x v="2710"/>
    <n v="1598.69"/>
    <x v="8"/>
  </r>
  <r>
    <x v="2711"/>
    <n v="1604.44"/>
    <x v="8"/>
  </r>
  <r>
    <x v="2712"/>
    <n v="1611.48"/>
    <x v="8"/>
  </r>
  <r>
    <x v="2713"/>
    <n v="1611.48"/>
    <x v="8"/>
  </r>
  <r>
    <x v="2714"/>
    <n v="1611.48"/>
    <x v="8"/>
  </r>
  <r>
    <x v="2715"/>
    <n v="1613.61"/>
    <x v="8"/>
  </r>
  <r>
    <x v="2716"/>
    <n v="1603.97"/>
    <x v="8"/>
  </r>
  <r>
    <x v="2717"/>
    <n v="1610.66"/>
    <x v="8"/>
  </r>
  <r>
    <x v="2718"/>
    <n v="1618"/>
    <x v="8"/>
  </r>
  <r>
    <x v="2719"/>
    <n v="1631.71"/>
    <x v="8"/>
  </r>
  <r>
    <x v="2720"/>
    <n v="1631.71"/>
    <x v="8"/>
  </r>
  <r>
    <x v="2721"/>
    <n v="1631.71"/>
    <x v="8"/>
  </r>
  <r>
    <x v="2722"/>
    <n v="1627.3"/>
    <x v="8"/>
  </r>
  <r>
    <x v="2723"/>
    <n v="1631.02"/>
    <x v="8"/>
  </r>
  <r>
    <x v="2724"/>
    <n v="1631.95"/>
    <x v="8"/>
  </r>
  <r>
    <x v="2725"/>
    <n v="1630.08"/>
    <x v="8"/>
  </r>
  <r>
    <x v="2726"/>
    <n v="1640.15"/>
    <x v="8"/>
  </r>
  <r>
    <x v="2727"/>
    <n v="1640.15"/>
    <x v="8"/>
  </r>
  <r>
    <x v="2728"/>
    <n v="1640.15"/>
    <x v="8"/>
  </r>
  <r>
    <x v="2729"/>
    <n v="1640.15"/>
    <x v="8"/>
  </r>
  <r>
    <x v="2730"/>
    <n v="1644.11"/>
    <x v="8"/>
  </r>
  <r>
    <x v="2731"/>
    <n v="1643.05"/>
    <x v="8"/>
  </r>
  <r>
    <x v="2732"/>
    <n v="1644.6"/>
    <x v="8"/>
  </r>
  <r>
    <x v="2733"/>
    <n v="1665.36"/>
    <x v="8"/>
  </r>
  <r>
    <x v="2734"/>
    <n v="1665.36"/>
    <x v="8"/>
  </r>
  <r>
    <x v="2735"/>
    <n v="1665.36"/>
    <x v="8"/>
  </r>
  <r>
    <x v="2736"/>
    <n v="1671.2"/>
    <x v="8"/>
  </r>
  <r>
    <x v="2737"/>
    <n v="1669.27"/>
    <x v="8"/>
  </r>
  <r>
    <x v="2738"/>
    <n v="1682.12"/>
    <x v="8"/>
  </r>
  <r>
    <x v="2739"/>
    <n v="1685.33"/>
    <x v="8"/>
  </r>
  <r>
    <x v="2740"/>
    <n v="1671.67"/>
    <x v="8"/>
  </r>
  <r>
    <x v="2741"/>
    <n v="1671.67"/>
    <x v="8"/>
  </r>
  <r>
    <x v="2742"/>
    <n v="1671.67"/>
    <x v="8"/>
  </r>
  <r>
    <x v="2743"/>
    <n v="1663.55"/>
    <x v="8"/>
  </r>
  <r>
    <x v="2744"/>
    <n v="1657.7"/>
    <x v="8"/>
  </r>
  <r>
    <x v="2745"/>
    <n v="1667.88"/>
    <x v="8"/>
  </r>
  <r>
    <x v="2746"/>
    <n v="1654.75"/>
    <x v="8"/>
  </r>
  <r>
    <x v="2747"/>
    <n v="1653.96"/>
    <x v="8"/>
  </r>
  <r>
    <x v="2748"/>
    <n v="1653.96"/>
    <x v="8"/>
  </r>
  <r>
    <x v="2749"/>
    <n v="1653.96"/>
    <x v="8"/>
  </r>
  <r>
    <x v="2750"/>
    <n v="1653.96"/>
    <x v="8"/>
  </r>
  <r>
    <x v="2751"/>
    <n v="1672.01"/>
    <x v="8"/>
  </r>
  <r>
    <x v="2752"/>
    <n v="1679.12"/>
    <x v="8"/>
  </r>
  <r>
    <x v="2753"/>
    <n v="1686.08"/>
    <x v="8"/>
  </r>
  <r>
    <x v="2754"/>
    <n v="1682.09"/>
    <x v="8"/>
  </r>
  <r>
    <x v="2755"/>
    <n v="1682.09"/>
    <x v="8"/>
  </r>
  <r>
    <x v="2756"/>
    <n v="1682.09"/>
    <x v="8"/>
  </r>
  <r>
    <x v="2757"/>
    <n v="1682.09"/>
    <x v="8"/>
  </r>
  <r>
    <x v="2758"/>
    <n v="1694.56"/>
    <x v="8"/>
  </r>
  <r>
    <x v="2759"/>
    <n v="1698.55"/>
    <x v="8"/>
  </r>
  <r>
    <x v="2760"/>
    <n v="1693.75"/>
    <x v="8"/>
  </r>
  <r>
    <x v="2761"/>
    <n v="1692.36"/>
    <x v="8"/>
  </r>
  <r>
    <x v="2762"/>
    <n v="1692.36"/>
    <x v="8"/>
  </r>
  <r>
    <x v="2763"/>
    <n v="1692.36"/>
    <x v="8"/>
  </r>
  <r>
    <x v="2764"/>
    <n v="1694.26"/>
    <x v="8"/>
  </r>
  <r>
    <x v="2765"/>
    <n v="1710.03"/>
    <x v="8"/>
  </r>
  <r>
    <x v="2766"/>
    <n v="1723.26"/>
    <x v="8"/>
  </r>
  <r>
    <x v="2767"/>
    <n v="1734.83"/>
    <x v="8"/>
  </r>
  <r>
    <x v="2768"/>
    <n v="1737.91"/>
    <x v="8"/>
  </r>
  <r>
    <x v="2769"/>
    <n v="1737.91"/>
    <x v="8"/>
  </r>
  <r>
    <x v="2770"/>
    <n v="1737.91"/>
    <x v="8"/>
  </r>
  <r>
    <x v="2771"/>
    <n v="1751"/>
    <x v="8"/>
  </r>
  <r>
    <x v="2772"/>
    <n v="1732.1"/>
    <x v="8"/>
  </r>
  <r>
    <x v="2773"/>
    <n v="1736.03"/>
    <x v="8"/>
  </r>
  <r>
    <x v="2774"/>
    <n v="1751.26"/>
    <x v="8"/>
  </r>
  <r>
    <x v="2775"/>
    <n v="1755.31"/>
    <x v="8"/>
  </r>
  <r>
    <x v="2776"/>
    <n v="1755.31"/>
    <x v="8"/>
  </r>
  <r>
    <x v="2777"/>
    <n v="1755.31"/>
    <x v="8"/>
  </r>
  <r>
    <x v="2778"/>
    <n v="1755.31"/>
    <x v="8"/>
  </r>
  <r>
    <x v="2779"/>
    <n v="1772.69"/>
    <x v="8"/>
  </r>
  <r>
    <x v="2780"/>
    <n v="1795.36"/>
    <x v="8"/>
  </r>
  <r>
    <x v="2781"/>
    <n v="1831.1"/>
    <x v="8"/>
  </r>
  <r>
    <x v="2782"/>
    <n v="1840.38"/>
    <x v="8"/>
  </r>
  <r>
    <x v="2783"/>
    <n v="1840.38"/>
    <x v="8"/>
  </r>
  <r>
    <x v="2784"/>
    <n v="1840.38"/>
    <x v="8"/>
  </r>
  <r>
    <x v="2785"/>
    <n v="1887.17"/>
    <x v="8"/>
  </r>
  <r>
    <x v="2786"/>
    <n v="1926.55"/>
    <x v="8"/>
  </r>
  <r>
    <x v="2787"/>
    <n v="1881.42"/>
    <x v="8"/>
  </r>
  <r>
    <x v="2788"/>
    <n v="1823.29"/>
    <x v="8"/>
  </r>
  <r>
    <x v="2789"/>
    <n v="1821.95"/>
    <x v="8"/>
  </r>
  <r>
    <x v="2790"/>
    <n v="1821.95"/>
    <x v="8"/>
  </r>
  <r>
    <x v="2791"/>
    <n v="1821.95"/>
    <x v="8"/>
  </r>
  <r>
    <x v="2792"/>
    <n v="1819.04"/>
    <x v="8"/>
  </r>
  <r>
    <x v="2793"/>
    <n v="1819.04"/>
    <x v="8"/>
  </r>
  <r>
    <x v="2794"/>
    <n v="1809.56"/>
    <x v="8"/>
  </r>
  <r>
    <x v="2795"/>
    <n v="1807.9"/>
    <x v="8"/>
  </r>
  <r>
    <x v="2796"/>
    <n v="1831.19"/>
    <x v="8"/>
  </r>
  <r>
    <x v="2797"/>
    <n v="1831.19"/>
    <x v="8"/>
  </r>
  <r>
    <x v="2798"/>
    <n v="1831.19"/>
    <x v="8"/>
  </r>
  <r>
    <x v="2799"/>
    <n v="1829.63"/>
    <x v="8"/>
  </r>
  <r>
    <x v="2800"/>
    <n v="1829.06"/>
    <x v="8"/>
  </r>
  <r>
    <x v="2801"/>
    <n v="1817.09"/>
    <x v="8"/>
  </r>
  <r>
    <x v="2802"/>
    <n v="1806.52"/>
    <x v="8"/>
  </r>
  <r>
    <x v="2803"/>
    <n v="1809.5"/>
    <x v="8"/>
  </r>
  <r>
    <x v="2804"/>
    <n v="1809.5"/>
    <x v="8"/>
  </r>
  <r>
    <x v="2805"/>
    <n v="1809.5"/>
    <x v="8"/>
  </r>
  <r>
    <x v="2806"/>
    <n v="1813.6"/>
    <x v="8"/>
  </r>
  <r>
    <x v="2807"/>
    <n v="1800.79"/>
    <x v="8"/>
  </r>
  <r>
    <x v="2808"/>
    <n v="1822.84"/>
    <x v="8"/>
  </r>
  <r>
    <x v="2809"/>
    <n v="1834.97"/>
    <x v="8"/>
  </r>
  <r>
    <x v="2810"/>
    <n v="1849.12"/>
    <x v="8"/>
  </r>
  <r>
    <x v="2811"/>
    <n v="1849.12"/>
    <x v="8"/>
  </r>
  <r>
    <x v="2812"/>
    <n v="1849.12"/>
    <x v="8"/>
  </r>
  <r>
    <x v="2813"/>
    <n v="1852.8"/>
    <x v="8"/>
  </r>
  <r>
    <x v="2814"/>
    <n v="1855.03"/>
    <x v="8"/>
  </r>
  <r>
    <x v="2815"/>
    <n v="1865.3"/>
    <x v="8"/>
  </r>
  <r>
    <x v="2816"/>
    <n v="1893.25"/>
    <x v="8"/>
  </r>
  <r>
    <x v="2817"/>
    <n v="1879.15"/>
    <x v="8"/>
  </r>
  <r>
    <x v="2818"/>
    <n v="1879.15"/>
    <x v="8"/>
  </r>
  <r>
    <x v="2819"/>
    <n v="1879.15"/>
    <x v="8"/>
  </r>
  <r>
    <x v="2820"/>
    <n v="1879.15"/>
    <x v="8"/>
  </r>
  <r>
    <x v="2821"/>
    <n v="1880.39"/>
    <x v="8"/>
  </r>
  <r>
    <x v="2822"/>
    <n v="1898.03"/>
    <x v="8"/>
  </r>
  <r>
    <x v="2823"/>
    <n v="1892.5"/>
    <x v="8"/>
  </r>
  <r>
    <x v="2824"/>
    <n v="1907.94"/>
    <x v="8"/>
  </r>
  <r>
    <x v="2825"/>
    <n v="1907.94"/>
    <x v="8"/>
  </r>
  <r>
    <x v="2826"/>
    <n v="1907.94"/>
    <x v="8"/>
  </r>
  <r>
    <x v="2827"/>
    <n v="1912.27"/>
    <x v="8"/>
  </r>
  <r>
    <x v="2828"/>
    <n v="1921.87"/>
    <x v="8"/>
  </r>
  <r>
    <x v="2829"/>
    <n v="1921.16"/>
    <x v="8"/>
  </r>
  <r>
    <x v="2830"/>
    <n v="1914.22"/>
    <x v="8"/>
  </r>
  <r>
    <x v="2831"/>
    <n v="1936.12"/>
    <x v="8"/>
  </r>
  <r>
    <x v="2832"/>
    <n v="1936.12"/>
    <x v="8"/>
  </r>
  <r>
    <x v="2833"/>
    <n v="1936.12"/>
    <x v="8"/>
  </r>
  <r>
    <x v="2834"/>
    <n v="1954.72"/>
    <x v="8"/>
  </r>
  <r>
    <x v="2835"/>
    <n v="1941.25"/>
    <x v="8"/>
  </r>
  <r>
    <x v="2836"/>
    <n v="1934.46"/>
    <x v="8"/>
  </r>
  <r>
    <x v="2837"/>
    <n v="1943.23"/>
    <x v="8"/>
  </r>
  <r>
    <x v="2838"/>
    <n v="1943.24"/>
    <x v="8"/>
  </r>
  <r>
    <x v="2839"/>
    <n v="1943.24"/>
    <x v="8"/>
  </r>
  <r>
    <x v="2840"/>
    <n v="1943.24"/>
    <x v="8"/>
  </r>
  <r>
    <x v="2841"/>
    <n v="1947.31"/>
    <x v="8"/>
  </r>
  <r>
    <x v="2842"/>
    <n v="1969.82"/>
    <x v="8"/>
  </r>
  <r>
    <x v="2843"/>
    <n v="1972.35"/>
    <x v="8"/>
  </r>
  <r>
    <x v="2844"/>
    <n v="1976.07"/>
    <x v="8"/>
  </r>
  <r>
    <x v="2845"/>
    <n v="1981.41"/>
    <x v="8"/>
  </r>
  <r>
    <x v="2846"/>
    <n v="1981.41"/>
    <x v="8"/>
  </r>
  <r>
    <x v="2847"/>
    <n v="1981.41"/>
    <x v="8"/>
  </r>
  <r>
    <x v="2848"/>
    <n v="1977.85"/>
    <x v="8"/>
  </r>
  <r>
    <x v="2849"/>
    <n v="1970.54"/>
    <x v="8"/>
  </r>
  <r>
    <x v="2850"/>
    <n v="1967.58"/>
    <x v="8"/>
  </r>
  <r>
    <x v="2851"/>
    <n v="1977.52"/>
    <x v="8"/>
  </r>
  <r>
    <x v="2852"/>
    <n v="1987.08"/>
    <x v="8"/>
  </r>
  <r>
    <x v="2853"/>
    <n v="1987.08"/>
    <x v="8"/>
  </r>
  <r>
    <x v="2854"/>
    <n v="1987.08"/>
    <x v="8"/>
  </r>
  <r>
    <x v="2855"/>
    <n v="1981.64"/>
    <x v="8"/>
  </r>
  <r>
    <x v="2856"/>
    <n v="1975.46"/>
    <x v="8"/>
  </r>
  <r>
    <x v="2857"/>
    <n v="1992.36"/>
    <x v="8"/>
  </r>
  <r>
    <x v="2858"/>
    <n v="1994.86"/>
    <x v="8"/>
  </r>
  <r>
    <x v="2859"/>
    <n v="1995.64"/>
    <x v="8"/>
  </r>
  <r>
    <x v="2860"/>
    <n v="1995.64"/>
    <x v="8"/>
  </r>
  <r>
    <x v="2861"/>
    <n v="1995.64"/>
    <x v="8"/>
  </r>
  <r>
    <x v="2862"/>
    <n v="2013.24"/>
    <x v="8"/>
  </r>
  <r>
    <x v="2863"/>
    <n v="2003.82"/>
    <x v="8"/>
  </r>
  <r>
    <x v="2864"/>
    <n v="2017.27"/>
    <x v="8"/>
  </r>
  <r>
    <x v="2865"/>
    <n v="2015.15"/>
    <x v="8"/>
  </r>
  <r>
    <x v="2866"/>
    <n v="2004.22"/>
    <x v="8"/>
  </r>
  <r>
    <x v="2867"/>
    <n v="2004.22"/>
    <x v="8"/>
  </r>
  <r>
    <x v="2868"/>
    <n v="2004.22"/>
    <x v="8"/>
  </r>
  <r>
    <x v="2869"/>
    <n v="1992.65"/>
    <x v="8"/>
  </r>
  <r>
    <x v="2870"/>
    <n v="2000.48"/>
    <x v="8"/>
  </r>
  <r>
    <x v="2871"/>
    <n v="1995.71"/>
    <x v="8"/>
  </r>
  <r>
    <x v="2872"/>
    <n v="1993.18"/>
    <x v="8"/>
  </r>
  <r>
    <x v="2873"/>
    <n v="1992.74"/>
    <x v="8"/>
  </r>
  <r>
    <x v="2874"/>
    <n v="1992.74"/>
    <x v="8"/>
  </r>
  <r>
    <x v="2875"/>
    <n v="1992.74"/>
    <x v="8"/>
  </r>
  <r>
    <x v="2876"/>
    <n v="1992.03"/>
    <x v="8"/>
  </r>
  <r>
    <x v="2877"/>
    <n v="1988.7"/>
    <x v="8"/>
  </r>
  <r>
    <x v="2878"/>
    <n v="1981.14"/>
    <x v="8"/>
  </r>
  <r>
    <x v="2879"/>
    <n v="1975.8"/>
    <x v="8"/>
  </r>
  <r>
    <x v="2880"/>
    <n v="1977.04"/>
    <x v="8"/>
  </r>
  <r>
    <x v="2881"/>
    <n v="1977.04"/>
    <x v="8"/>
  </r>
  <r>
    <x v="2882"/>
    <n v="1977.04"/>
    <x v="8"/>
  </r>
  <r>
    <x v="2883"/>
    <n v="1977.04"/>
    <x v="8"/>
  </r>
  <r>
    <x v="2884"/>
    <n v="1965.92"/>
    <x v="8"/>
  </r>
  <r>
    <x v="2885"/>
    <n v="1957.53"/>
    <x v="8"/>
  </r>
  <r>
    <x v="2886"/>
    <n v="1946"/>
    <x v="8"/>
  </r>
  <r>
    <x v="2887"/>
    <n v="1946.24"/>
    <x v="8"/>
  </r>
  <r>
    <x v="2888"/>
    <n v="1946.24"/>
    <x v="8"/>
  </r>
  <r>
    <x v="2889"/>
    <n v="1946.24"/>
    <x v="8"/>
  </r>
  <r>
    <x v="2890"/>
    <n v="1949.33"/>
    <x v="8"/>
  </r>
  <r>
    <x v="2891"/>
    <n v="1966.07"/>
    <x v="8"/>
  </r>
  <r>
    <x v="2892"/>
    <n v="1968.9"/>
    <x v="8"/>
  </r>
  <r>
    <x v="2893"/>
    <n v="1965.44"/>
    <x v="8"/>
  </r>
  <r>
    <x v="2894"/>
    <n v="1971.59"/>
    <x v="8"/>
  </r>
  <r>
    <x v="2895"/>
    <n v="1971.59"/>
    <x v="8"/>
  </r>
  <r>
    <x v="2896"/>
    <n v="1971.59"/>
    <x v="8"/>
  </r>
  <r>
    <x v="2897"/>
    <n v="1971.59"/>
    <x v="8"/>
  </r>
  <r>
    <x v="2898"/>
    <n v="1966.5"/>
    <x v="8"/>
  </r>
  <r>
    <x v="2899"/>
    <n v="1960.7"/>
    <x v="8"/>
  </r>
  <r>
    <x v="2900"/>
    <n v="1962.16"/>
    <x v="8"/>
  </r>
  <r>
    <x v="2901"/>
    <n v="1959.46"/>
    <x v="8"/>
  </r>
  <r>
    <x v="2902"/>
    <n v="1959.46"/>
    <x v="8"/>
  </r>
  <r>
    <x v="2903"/>
    <n v="1959.46"/>
    <x v="8"/>
  </r>
  <r>
    <x v="2904"/>
    <n v="1954.56"/>
    <x v="8"/>
  </r>
  <r>
    <x v="2905"/>
    <n v="1948.05"/>
    <x v="8"/>
  </r>
  <r>
    <x v="2906"/>
    <n v="1951.11"/>
    <x v="8"/>
  </r>
  <r>
    <x v="2907"/>
    <n v="1958.41"/>
    <x v="8"/>
  </r>
  <r>
    <x v="2908"/>
    <n v="1961.8"/>
    <x v="8"/>
  </r>
  <r>
    <x v="2909"/>
    <n v="1961.8"/>
    <x v="8"/>
  </r>
  <r>
    <x v="2910"/>
    <n v="1961.8"/>
    <x v="8"/>
  </r>
  <r>
    <x v="2911"/>
    <n v="1961.8"/>
    <x v="8"/>
  </r>
  <r>
    <x v="2912"/>
    <n v="1961.7"/>
    <x v="8"/>
  </r>
  <r>
    <x v="2913"/>
    <n v="1946.27"/>
    <x v="8"/>
  </r>
  <r>
    <x v="2914"/>
    <n v="1927.47"/>
    <x v="8"/>
  </r>
  <r>
    <x v="2915"/>
    <n v="1925.11"/>
    <x v="8"/>
  </r>
  <r>
    <x v="2916"/>
    <n v="1925.11"/>
    <x v="8"/>
  </r>
  <r>
    <x v="2917"/>
    <n v="1925.11"/>
    <x v="8"/>
  </r>
  <r>
    <x v="2918"/>
    <n v="1935.48"/>
    <x v="8"/>
  </r>
  <r>
    <x v="2919"/>
    <n v="1925"/>
    <x v="8"/>
  </r>
  <r>
    <x v="2920"/>
    <n v="1912.86"/>
    <x v="8"/>
  </r>
  <r>
    <x v="2921"/>
    <n v="1918.85"/>
    <x v="8"/>
  </r>
  <r>
    <x v="2922"/>
    <n v="1921.93"/>
    <x v="8"/>
  </r>
  <r>
    <x v="2923"/>
    <n v="1921.93"/>
    <x v="8"/>
  </r>
  <r>
    <x v="2924"/>
    <n v="1921.93"/>
    <x v="8"/>
  </r>
  <r>
    <x v="2925"/>
    <n v="1923.77"/>
    <x v="8"/>
  </r>
  <r>
    <x v="2926"/>
    <n v="1922.47"/>
    <x v="8"/>
  </r>
  <r>
    <x v="2927"/>
    <n v="1918.63"/>
    <x v="8"/>
  </r>
  <r>
    <x v="2928"/>
    <n v="1911.35"/>
    <x v="8"/>
  </r>
  <r>
    <x v="2929"/>
    <n v="1903.8"/>
    <x v="8"/>
  </r>
  <r>
    <x v="2930"/>
    <n v="1903.8"/>
    <x v="8"/>
  </r>
  <r>
    <x v="2931"/>
    <n v="1903.8"/>
    <x v="8"/>
  </r>
  <r>
    <x v="2932"/>
    <n v="1886.46"/>
    <x v="8"/>
  </r>
  <r>
    <x v="2933"/>
    <n v="1888.99"/>
    <x v="8"/>
  </r>
  <r>
    <x v="2934"/>
    <n v="1888.99"/>
    <x v="8"/>
  </r>
  <r>
    <x v="2935"/>
    <n v="1906.91"/>
    <x v="8"/>
  </r>
  <r>
    <x v="2936"/>
    <n v="1900.22"/>
    <x v="8"/>
  </r>
  <r>
    <x v="2937"/>
    <n v="1900.22"/>
    <x v="8"/>
  </r>
  <r>
    <x v="2938"/>
    <n v="1900.22"/>
    <x v="8"/>
  </r>
  <r>
    <x v="2939"/>
    <n v="1905.5"/>
    <x v="8"/>
  </r>
  <r>
    <x v="2940"/>
    <n v="1891.67"/>
    <x v="8"/>
  </r>
  <r>
    <x v="2941"/>
    <n v="1874.14"/>
    <x v="8"/>
  </r>
  <r>
    <x v="2942"/>
    <n v="1879.55"/>
    <x v="8"/>
  </r>
  <r>
    <x v="2943"/>
    <n v="1867.02"/>
    <x v="8"/>
  </r>
  <r>
    <x v="2944"/>
    <n v="1867.02"/>
    <x v="8"/>
  </r>
  <r>
    <x v="2945"/>
    <n v="1867.02"/>
    <x v="8"/>
  </r>
  <r>
    <x v="2946"/>
    <n v="1868.47"/>
    <x v="8"/>
  </r>
  <r>
    <x v="2947"/>
    <n v="1884.64"/>
    <x v="8"/>
  </r>
  <r>
    <x v="2948"/>
    <n v="1886.27"/>
    <x v="8"/>
  </r>
  <r>
    <x v="2949"/>
    <n v="1874.77"/>
    <x v="8"/>
  </r>
  <r>
    <x v="2950"/>
    <n v="1874.58"/>
    <x v="8"/>
  </r>
  <r>
    <x v="2951"/>
    <n v="1874.58"/>
    <x v="8"/>
  </r>
  <r>
    <x v="2952"/>
    <n v="1874.58"/>
    <x v="8"/>
  </r>
  <r>
    <x v="2953"/>
    <n v="1870.65"/>
    <x v="8"/>
  </r>
  <r>
    <x v="2954"/>
    <n v="1867.82"/>
    <x v="8"/>
  </r>
  <r>
    <x v="2955"/>
    <n v="1873.77"/>
    <x v="8"/>
  </r>
  <r>
    <x v="2956"/>
    <n v="1873.77"/>
    <x v="8"/>
  </r>
  <r>
    <x v="2957"/>
    <n v="1873.77"/>
    <x v="9"/>
  </r>
  <r>
    <x v="2958"/>
    <n v="1873.77"/>
    <x v="9"/>
  </r>
  <r>
    <x v="2959"/>
    <n v="1873.77"/>
    <x v="9"/>
  </r>
  <r>
    <x v="2960"/>
    <n v="1874.35"/>
    <x v="9"/>
  </r>
  <r>
    <x v="2961"/>
    <n v="1895.97"/>
    <x v="9"/>
  </r>
  <r>
    <x v="2962"/>
    <n v="1912.69"/>
    <x v="9"/>
  </r>
  <r>
    <x v="2963"/>
    <n v="1911.33"/>
    <x v="9"/>
  </r>
  <r>
    <x v="2964"/>
    <n v="1900.14"/>
    <x v="9"/>
  </r>
  <r>
    <x v="2965"/>
    <n v="1900.14"/>
    <x v="9"/>
  </r>
  <r>
    <x v="2966"/>
    <n v="1900.14"/>
    <x v="9"/>
  </r>
  <r>
    <x v="2967"/>
    <n v="1900.14"/>
    <x v="9"/>
  </r>
  <r>
    <x v="2968"/>
    <n v="1902.25"/>
    <x v="9"/>
  </r>
  <r>
    <x v="2969"/>
    <n v="1904.54"/>
    <x v="9"/>
  </r>
  <r>
    <x v="2970"/>
    <n v="1917.38"/>
    <x v="9"/>
  </r>
  <r>
    <x v="2971"/>
    <n v="1920.83"/>
    <x v="9"/>
  </r>
  <r>
    <x v="2972"/>
    <n v="1920.83"/>
    <x v="9"/>
  </r>
  <r>
    <x v="2973"/>
    <n v="1920.83"/>
    <x v="9"/>
  </r>
  <r>
    <x v="2974"/>
    <n v="1919.21"/>
    <x v="9"/>
  </r>
  <r>
    <x v="2975"/>
    <n v="1928.51"/>
    <x v="9"/>
  </r>
  <r>
    <x v="2976"/>
    <n v="1945.17"/>
    <x v="9"/>
  </r>
  <r>
    <x v="2977"/>
    <n v="1938.84"/>
    <x v="9"/>
  </r>
  <r>
    <x v="2978"/>
    <n v="1931.97"/>
    <x v="9"/>
  </r>
  <r>
    <x v="2979"/>
    <n v="1931.97"/>
    <x v="9"/>
  </r>
  <r>
    <x v="2980"/>
    <n v="1931.97"/>
    <x v="9"/>
  </r>
  <r>
    <x v="2981"/>
    <n v="1943.88"/>
    <x v="9"/>
  </r>
  <r>
    <x v="2982"/>
    <n v="1939.63"/>
    <x v="9"/>
  </r>
  <r>
    <x v="2983"/>
    <n v="1958.17"/>
    <x v="9"/>
  </r>
  <r>
    <x v="2984"/>
    <n v="1976.14"/>
    <x v="9"/>
  </r>
  <r>
    <x v="2985"/>
    <n v="1976.72"/>
    <x v="9"/>
  </r>
  <r>
    <x v="2986"/>
    <n v="1976.72"/>
    <x v="9"/>
  </r>
  <r>
    <x v="2987"/>
    <n v="1976.72"/>
    <x v="9"/>
  </r>
  <r>
    <x v="2988"/>
    <n v="1973.36"/>
    <x v="9"/>
  </r>
  <r>
    <x v="2989"/>
    <n v="1970.61"/>
    <x v="9"/>
  </r>
  <r>
    <x v="2990"/>
    <n v="1965.61"/>
    <x v="9"/>
  </r>
  <r>
    <x v="2991"/>
    <n v="1947.55"/>
    <x v="9"/>
  </r>
  <r>
    <x v="2992"/>
    <n v="1948.6"/>
    <x v="9"/>
  </r>
  <r>
    <x v="2993"/>
    <n v="1948.6"/>
    <x v="9"/>
  </r>
  <r>
    <x v="2994"/>
    <n v="1948.6"/>
    <x v="9"/>
  </r>
  <r>
    <x v="2995"/>
    <n v="1950.59"/>
    <x v="9"/>
  </r>
  <r>
    <x v="2996"/>
    <n v="1949.54"/>
    <x v="9"/>
  </r>
  <r>
    <x v="2997"/>
    <n v="1946.51"/>
    <x v="9"/>
  </r>
  <r>
    <x v="2998"/>
    <n v="1952.29"/>
    <x v="9"/>
  </r>
  <r>
    <x v="2999"/>
    <n v="1948.16"/>
    <x v="9"/>
  </r>
  <r>
    <x v="3000"/>
    <n v="1948.16"/>
    <x v="9"/>
  </r>
  <r>
    <x v="3001"/>
    <n v="1948.16"/>
    <x v="9"/>
  </r>
  <r>
    <x v="3002"/>
    <n v="1950.77"/>
    <x v="9"/>
  </r>
  <r>
    <x v="3003"/>
    <n v="1949.61"/>
    <x v="9"/>
  </r>
  <r>
    <x v="3004"/>
    <n v="1946.79"/>
    <x v="9"/>
  </r>
  <r>
    <x v="3005"/>
    <n v="1945.31"/>
    <x v="9"/>
  </r>
  <r>
    <x v="3006"/>
    <n v="1947.41"/>
    <x v="9"/>
  </r>
  <r>
    <x v="3007"/>
    <n v="1947.41"/>
    <x v="9"/>
  </r>
  <r>
    <x v="3008"/>
    <n v="1947.41"/>
    <x v="9"/>
  </r>
  <r>
    <x v="3009"/>
    <n v="1943.83"/>
    <x v="9"/>
  </r>
  <r>
    <x v="3010"/>
    <n v="1941.54"/>
    <x v="9"/>
  </r>
  <r>
    <x v="3011"/>
    <n v="1944.18"/>
    <x v="9"/>
  </r>
  <r>
    <x v="3012"/>
    <n v="1947.72"/>
    <x v="9"/>
  </r>
  <r>
    <x v="3013"/>
    <n v="1947.28"/>
    <x v="9"/>
  </r>
  <r>
    <x v="3014"/>
    <n v="1947.28"/>
    <x v="9"/>
  </r>
  <r>
    <x v="3015"/>
    <n v="1947.28"/>
    <x v="9"/>
  </r>
  <r>
    <x v="3016"/>
    <n v="1946.17"/>
    <x v="9"/>
  </r>
  <r>
    <x v="3017"/>
    <n v="1948.05"/>
    <x v="9"/>
  </r>
  <r>
    <x v="3018"/>
    <n v="1950.88"/>
    <x v="9"/>
  </r>
  <r>
    <x v="3019"/>
    <n v="1956.8"/>
    <x v="9"/>
  </r>
  <r>
    <x v="3020"/>
    <n v="1961.16"/>
    <x v="9"/>
  </r>
  <r>
    <x v="3021"/>
    <n v="1961.16"/>
    <x v="9"/>
  </r>
  <r>
    <x v="3022"/>
    <n v="1961.16"/>
    <x v="9"/>
  </r>
  <r>
    <x v="3023"/>
    <n v="1965.63"/>
    <x v="9"/>
  </r>
  <r>
    <x v="3024"/>
    <n v="1964.26"/>
    <x v="9"/>
  </r>
  <r>
    <x v="3025"/>
    <n v="1960.47"/>
    <x v="9"/>
  </r>
  <r>
    <x v="3026"/>
    <n v="1959.77"/>
    <x v="9"/>
  </r>
  <r>
    <x v="3027"/>
    <n v="1958.48"/>
    <x v="9"/>
  </r>
  <r>
    <x v="3028"/>
    <n v="1958.48"/>
    <x v="9"/>
  </r>
  <r>
    <x v="3029"/>
    <n v="1958.48"/>
    <x v="9"/>
  </r>
  <r>
    <x v="3030"/>
    <n v="1957.5"/>
    <x v="9"/>
  </r>
  <r>
    <x v="3031"/>
    <n v="1955.75"/>
    <x v="9"/>
  </r>
  <r>
    <x v="3032"/>
    <n v="1954.26"/>
    <x v="9"/>
  </r>
  <r>
    <x v="3033"/>
    <n v="1950.01"/>
    <x v="9"/>
  </r>
  <r>
    <x v="3034"/>
    <n v="1952.98"/>
    <x v="9"/>
  </r>
  <r>
    <x v="3035"/>
    <n v="1952.98"/>
    <x v="9"/>
  </r>
  <r>
    <x v="3036"/>
    <n v="1952.98"/>
    <x v="9"/>
  </r>
  <r>
    <x v="3037"/>
    <n v="1952.98"/>
    <x v="9"/>
  </r>
  <r>
    <x v="3038"/>
    <n v="1956.98"/>
    <x v="9"/>
  </r>
  <r>
    <x v="3039"/>
    <n v="1959.84"/>
    <x v="9"/>
  </r>
  <r>
    <x v="3040"/>
    <n v="1954.57"/>
    <x v="9"/>
  </r>
  <r>
    <x v="3041"/>
    <n v="1954.83"/>
    <x v="9"/>
  </r>
  <r>
    <x v="3042"/>
    <n v="1954.83"/>
    <x v="9"/>
  </r>
  <r>
    <x v="3043"/>
    <n v="1954.83"/>
    <x v="9"/>
  </r>
  <r>
    <x v="3044"/>
    <n v="1958.93"/>
    <x v="9"/>
  </r>
  <r>
    <x v="3045"/>
    <n v="1955.14"/>
    <x v="9"/>
  </r>
  <r>
    <x v="3046"/>
    <n v="1949.75"/>
    <x v="9"/>
  </r>
  <r>
    <x v="3047"/>
    <n v="1951.56"/>
    <x v="9"/>
  </r>
  <r>
    <x v="3048"/>
    <n v="1958.12"/>
    <x v="9"/>
  </r>
  <r>
    <x v="3049"/>
    <n v="1958.12"/>
    <x v="9"/>
  </r>
  <r>
    <x v="3050"/>
    <n v="1958.12"/>
    <x v="9"/>
  </r>
  <r>
    <x v="3051"/>
    <n v="1963.22"/>
    <x v="9"/>
  </r>
  <r>
    <x v="3052"/>
    <n v="1964.1"/>
    <x v="9"/>
  </r>
  <r>
    <x v="3053"/>
    <n v="1968.92"/>
    <x v="9"/>
  </r>
  <r>
    <x v="3054"/>
    <n v="1986.96"/>
    <x v="9"/>
  </r>
  <r>
    <x v="3055"/>
    <n v="1996.24"/>
    <x v="9"/>
  </r>
  <r>
    <x v="3056"/>
    <n v="1996.24"/>
    <x v="9"/>
  </r>
  <r>
    <x v="3057"/>
    <n v="1996.24"/>
    <x v="9"/>
  </r>
  <r>
    <x v="3058"/>
    <n v="1998.25"/>
    <x v="9"/>
  </r>
  <r>
    <x v="3059"/>
    <n v="1986.75"/>
    <x v="9"/>
  </r>
  <r>
    <x v="3060"/>
    <n v="1987.38"/>
    <x v="9"/>
  </r>
  <r>
    <x v="3061"/>
    <n v="1987.36"/>
    <x v="9"/>
  </r>
  <r>
    <x v="3062"/>
    <n v="1987.39"/>
    <x v="9"/>
  </r>
  <r>
    <x v="3063"/>
    <n v="1987.39"/>
    <x v="9"/>
  </r>
  <r>
    <x v="3064"/>
    <n v="1987.39"/>
    <x v="9"/>
  </r>
  <r>
    <x v="3065"/>
    <n v="1996.29"/>
    <x v="9"/>
  </r>
  <r>
    <x v="3066"/>
    <n v="2003.02"/>
    <x v="9"/>
  </r>
  <r>
    <x v="3067"/>
    <n v="1996.07"/>
    <x v="9"/>
  </r>
  <r>
    <x v="3068"/>
    <n v="1996.07"/>
    <x v="9"/>
  </r>
  <r>
    <x v="3069"/>
    <n v="1996.07"/>
    <x v="9"/>
  </r>
  <r>
    <x v="3070"/>
    <n v="1996.07"/>
    <x v="9"/>
  </r>
  <r>
    <x v="3071"/>
    <n v="1996.07"/>
    <x v="9"/>
  </r>
  <r>
    <x v="3072"/>
    <n v="1991.17"/>
    <x v="9"/>
  </r>
  <r>
    <x v="3073"/>
    <n v="1988.65"/>
    <x v="9"/>
  </r>
  <r>
    <x v="3074"/>
    <n v="1998.95"/>
    <x v="9"/>
  </r>
  <r>
    <x v="3075"/>
    <n v="2002.95"/>
    <x v="9"/>
  </r>
  <r>
    <x v="3076"/>
    <n v="2004.47"/>
    <x v="9"/>
  </r>
  <r>
    <x v="3077"/>
    <n v="2004.47"/>
    <x v="9"/>
  </r>
  <r>
    <x v="3078"/>
    <n v="2004.47"/>
    <x v="9"/>
  </r>
  <r>
    <x v="3079"/>
    <n v="2004.47"/>
    <x v="9"/>
  </r>
  <r>
    <x v="3080"/>
    <n v="2001.62"/>
    <x v="9"/>
  </r>
  <r>
    <x v="3081"/>
    <n v="2015.92"/>
    <x v="9"/>
  </r>
  <r>
    <x v="3082"/>
    <n v="2027.26"/>
    <x v="9"/>
  </r>
  <r>
    <x v="3083"/>
    <n v="2033.17"/>
    <x v="9"/>
  </r>
  <r>
    <x v="3084"/>
    <n v="2033.17"/>
    <x v="9"/>
  </r>
  <r>
    <x v="3085"/>
    <n v="2033.17"/>
    <x v="9"/>
  </r>
  <r>
    <x v="3086"/>
    <n v="2044.59"/>
    <x v="9"/>
  </r>
  <r>
    <x v="3087"/>
    <n v="2031.86"/>
    <x v="9"/>
  </r>
  <r>
    <x v="3088"/>
    <n v="2021.68"/>
    <x v="9"/>
  </r>
  <r>
    <x v="3089"/>
    <n v="2031.96"/>
    <x v="9"/>
  </r>
  <r>
    <x v="3090"/>
    <n v="2039.29"/>
    <x v="9"/>
  </r>
  <r>
    <x v="3091"/>
    <n v="2039.29"/>
    <x v="9"/>
  </r>
  <r>
    <x v="3092"/>
    <n v="2039.29"/>
    <x v="9"/>
  </r>
  <r>
    <x v="3093"/>
    <n v="2035.54"/>
    <x v="9"/>
  </r>
  <r>
    <x v="3094"/>
    <n v="2037.1"/>
    <x v="9"/>
  </r>
  <r>
    <x v="3095"/>
    <n v="2047.79"/>
    <x v="9"/>
  </r>
  <r>
    <x v="3096"/>
    <n v="2055.35"/>
    <x v="9"/>
  </r>
  <r>
    <x v="3097"/>
    <n v="2076.85"/>
    <x v="9"/>
  </r>
  <r>
    <x v="3098"/>
    <n v="2076.85"/>
    <x v="9"/>
  </r>
  <r>
    <x v="3099"/>
    <n v="2076.85"/>
    <x v="9"/>
  </r>
  <r>
    <x v="3100"/>
    <n v="2094.73"/>
    <x v="9"/>
  </r>
  <r>
    <x v="3101"/>
    <n v="2111.94"/>
    <x v="9"/>
  </r>
  <r>
    <x v="3102"/>
    <n v="2142.14"/>
    <x v="9"/>
  </r>
  <r>
    <x v="3103"/>
    <n v="2113.2800000000002"/>
    <x v="9"/>
  </r>
  <r>
    <x v="3104"/>
    <n v="2096.52"/>
    <x v="9"/>
  </r>
  <r>
    <x v="3105"/>
    <n v="2096.52"/>
    <x v="9"/>
  </r>
  <r>
    <x v="3106"/>
    <n v="2096.52"/>
    <x v="9"/>
  </r>
  <r>
    <x v="3107"/>
    <n v="2077.2800000000002"/>
    <x v="9"/>
  </r>
  <r>
    <x v="3108"/>
    <n v="2084.92"/>
    <x v="9"/>
  </r>
  <r>
    <x v="3109"/>
    <n v="2096.96"/>
    <x v="9"/>
  </r>
  <r>
    <x v="3110"/>
    <n v="2095.1"/>
    <x v="9"/>
  </r>
  <r>
    <x v="3111"/>
    <n v="2118.5700000000002"/>
    <x v="9"/>
  </r>
  <r>
    <x v="3112"/>
    <n v="2118.5700000000002"/>
    <x v="9"/>
  </r>
  <r>
    <x v="3113"/>
    <n v="2118.5700000000002"/>
    <x v="9"/>
  </r>
  <r>
    <x v="3114"/>
    <n v="2118.5700000000002"/>
    <x v="9"/>
  </r>
  <r>
    <x v="3115"/>
    <n v="2121.73"/>
    <x v="9"/>
  </r>
  <r>
    <x v="3116"/>
    <n v="2127.0300000000002"/>
    <x v="9"/>
  </r>
  <r>
    <x v="3117"/>
    <n v="2125.3000000000002"/>
    <x v="9"/>
  </r>
  <r>
    <x v="3118"/>
    <n v="2115.86"/>
    <x v="9"/>
  </r>
  <r>
    <x v="3119"/>
    <n v="2115.86"/>
    <x v="9"/>
  </r>
  <r>
    <x v="3120"/>
    <n v="2115.86"/>
    <x v="9"/>
  </r>
  <r>
    <x v="3121"/>
    <n v="2106.9699999999998"/>
    <x v="9"/>
  </r>
  <r>
    <x v="3122"/>
    <n v="2122.2399999999998"/>
    <x v="9"/>
  </r>
  <r>
    <x v="3123"/>
    <n v="2111.09"/>
    <x v="9"/>
  </r>
  <r>
    <x v="3124"/>
    <n v="2110.5700000000002"/>
    <x v="9"/>
  </r>
  <r>
    <x v="3125"/>
    <n v="2114.8000000000002"/>
    <x v="9"/>
  </r>
  <r>
    <x v="3126"/>
    <n v="2114.8000000000002"/>
    <x v="9"/>
  </r>
  <r>
    <x v="3127"/>
    <n v="2114.8000000000002"/>
    <x v="9"/>
  </r>
  <r>
    <x v="3128"/>
    <n v="2115.15"/>
    <x v="9"/>
  </r>
  <r>
    <x v="3129"/>
    <n v="2123.58"/>
    <x v="9"/>
  </r>
  <r>
    <x v="3130"/>
    <n v="2134.34"/>
    <x v="9"/>
  </r>
  <r>
    <x v="3131"/>
    <n v="2129.13"/>
    <x v="9"/>
  </r>
  <r>
    <x v="3132"/>
    <n v="2123.9899999999998"/>
    <x v="9"/>
  </r>
  <r>
    <x v="3133"/>
    <n v="2123.9899999999998"/>
    <x v="9"/>
  </r>
  <r>
    <x v="3134"/>
    <n v="2123.9899999999998"/>
    <x v="9"/>
  </r>
  <r>
    <x v="3135"/>
    <n v="2123.9899999999998"/>
    <x v="9"/>
  </r>
  <r>
    <x v="3136"/>
    <n v="2135.65"/>
    <x v="9"/>
  </r>
  <r>
    <x v="3137"/>
    <n v="2136.2199999999998"/>
    <x v="9"/>
  </r>
  <r>
    <x v="3138"/>
    <n v="2139.11"/>
    <x v="9"/>
  </r>
  <r>
    <x v="3139"/>
    <n v="2150.7600000000002"/>
    <x v="9"/>
  </r>
  <r>
    <x v="3140"/>
    <n v="2150.7600000000002"/>
    <x v="9"/>
  </r>
  <r>
    <x v="3141"/>
    <n v="2150.7600000000002"/>
    <x v="9"/>
  </r>
  <r>
    <x v="3142"/>
    <n v="2150.7600000000002"/>
    <x v="9"/>
  </r>
  <r>
    <x v="3143"/>
    <n v="2151.0500000000002"/>
    <x v="9"/>
  </r>
  <r>
    <x v="3144"/>
    <n v="2163.44"/>
    <x v="9"/>
  </r>
  <r>
    <x v="3145"/>
    <n v="2168.65"/>
    <x v="9"/>
  </r>
  <r>
    <x v="3146"/>
    <n v="2165.5100000000002"/>
    <x v="9"/>
  </r>
  <r>
    <x v="3147"/>
    <n v="2165.5100000000002"/>
    <x v="9"/>
  </r>
  <r>
    <x v="3148"/>
    <n v="2165.5100000000002"/>
    <x v="9"/>
  </r>
  <r>
    <x v="3149"/>
    <n v="2171.63"/>
    <x v="9"/>
  </r>
  <r>
    <x v="3150"/>
    <n v="2182.56"/>
    <x v="9"/>
  </r>
  <r>
    <x v="3151"/>
    <n v="2172.16"/>
    <x v="9"/>
  </r>
  <r>
    <x v="3152"/>
    <n v="2166.2199999999998"/>
    <x v="9"/>
  </r>
  <r>
    <x v="3153"/>
    <n v="2156.3200000000002"/>
    <x v="9"/>
  </r>
  <r>
    <x v="3154"/>
    <n v="2156.3200000000002"/>
    <x v="9"/>
  </r>
  <r>
    <x v="3155"/>
    <n v="2156.3200000000002"/>
    <x v="9"/>
  </r>
  <r>
    <x v="3156"/>
    <n v="2144.0100000000002"/>
    <x v="9"/>
  </r>
  <r>
    <x v="3157"/>
    <n v="2151.56"/>
    <x v="9"/>
  </r>
  <r>
    <x v="3158"/>
    <n v="2155.81"/>
    <x v="9"/>
  </r>
  <r>
    <x v="3159"/>
    <n v="2155.81"/>
    <x v="9"/>
  </r>
  <r>
    <x v="3160"/>
    <n v="2152.3000000000002"/>
    <x v="9"/>
  </r>
  <r>
    <x v="3161"/>
    <n v="2152.3000000000002"/>
    <x v="9"/>
  </r>
  <r>
    <x v="3162"/>
    <n v="2152.3000000000002"/>
    <x v="9"/>
  </r>
  <r>
    <x v="3163"/>
    <n v="2147.65"/>
    <x v="9"/>
  </r>
  <r>
    <x v="3164"/>
    <n v="2153.91"/>
    <x v="9"/>
  </r>
  <r>
    <x v="3165"/>
    <n v="2165.37"/>
    <x v="9"/>
  </r>
  <r>
    <x v="3166"/>
    <n v="2173.7800000000002"/>
    <x v="9"/>
  </r>
  <r>
    <x v="3167"/>
    <n v="2172.79"/>
    <x v="9"/>
  </r>
  <r>
    <x v="3168"/>
    <n v="2172.79"/>
    <x v="9"/>
  </r>
  <r>
    <x v="3169"/>
    <n v="2172.79"/>
    <x v="9"/>
  </r>
  <r>
    <x v="3170"/>
    <n v="2174.5500000000002"/>
    <x v="9"/>
  </r>
  <r>
    <x v="3171"/>
    <n v="2175.02"/>
    <x v="9"/>
  </r>
  <r>
    <x v="3172"/>
    <n v="2173.62"/>
    <x v="9"/>
  </r>
  <r>
    <x v="3173"/>
    <n v="2177.67"/>
    <x v="9"/>
  </r>
  <r>
    <x v="3174"/>
    <n v="2180.64"/>
    <x v="9"/>
  </r>
  <r>
    <x v="3175"/>
    <n v="2180.64"/>
    <x v="9"/>
  </r>
  <r>
    <x v="3176"/>
    <n v="2180.64"/>
    <x v="9"/>
  </r>
  <r>
    <x v="3177"/>
    <n v="2180.64"/>
    <x v="9"/>
  </r>
  <r>
    <x v="3178"/>
    <n v="2176.52"/>
    <x v="9"/>
  </r>
  <r>
    <x v="3179"/>
    <n v="2176.17"/>
    <x v="9"/>
  </r>
  <r>
    <x v="3180"/>
    <n v="2179.6"/>
    <x v="9"/>
  </r>
  <r>
    <x v="3181"/>
    <n v="2180.89"/>
    <x v="9"/>
  </r>
  <r>
    <x v="3182"/>
    <n v="2180.89"/>
    <x v="9"/>
  </r>
  <r>
    <x v="3183"/>
    <n v="2180.89"/>
    <x v="9"/>
  </r>
  <r>
    <x v="3184"/>
    <n v="2180.9899999999998"/>
    <x v="9"/>
  </r>
  <r>
    <x v="3185"/>
    <n v="2185.4499999999998"/>
    <x v="9"/>
  </r>
  <r>
    <x v="3186"/>
    <n v="2185.46"/>
    <x v="9"/>
  </r>
  <r>
    <x v="3187"/>
    <n v="2185.75"/>
    <x v="9"/>
  </r>
  <r>
    <x v="3188"/>
    <n v="2183.0100000000002"/>
    <x v="9"/>
  </r>
  <r>
    <x v="3189"/>
    <n v="2183.0100000000002"/>
    <x v="9"/>
  </r>
  <r>
    <x v="3190"/>
    <n v="2183.0100000000002"/>
    <x v="9"/>
  </r>
  <r>
    <x v="3191"/>
    <n v="2183.0100000000002"/>
    <x v="9"/>
  </r>
  <r>
    <x v="3192"/>
    <n v="2187.83"/>
    <x v="9"/>
  </r>
  <r>
    <x v="3193"/>
    <n v="2196.7199999999998"/>
    <x v="9"/>
  </r>
  <r>
    <x v="3194"/>
    <n v="2205.6"/>
    <x v="9"/>
  </r>
  <r>
    <x v="3195"/>
    <n v="2208.8200000000002"/>
    <x v="9"/>
  </r>
  <r>
    <x v="3196"/>
    <n v="2208.8200000000002"/>
    <x v="9"/>
  </r>
  <r>
    <x v="3197"/>
    <n v="2208.8200000000002"/>
    <x v="9"/>
  </r>
  <r>
    <x v="3198"/>
    <n v="2208.17"/>
    <x v="9"/>
  </r>
  <r>
    <x v="3199"/>
    <n v="2204.2199999999998"/>
    <x v="9"/>
  </r>
  <r>
    <x v="3200"/>
    <n v="2208.21"/>
    <x v="9"/>
  </r>
  <r>
    <x v="3201"/>
    <n v="2212.9699999999998"/>
    <x v="9"/>
  </r>
  <r>
    <x v="3202"/>
    <n v="2214"/>
    <x v="9"/>
  </r>
  <r>
    <x v="3203"/>
    <n v="2214"/>
    <x v="9"/>
  </r>
  <r>
    <x v="3204"/>
    <n v="2214"/>
    <x v="9"/>
  </r>
  <r>
    <x v="3205"/>
    <n v="2210.3200000000002"/>
    <x v="9"/>
  </r>
  <r>
    <x v="3206"/>
    <n v="2211.13"/>
    <x v="9"/>
  </r>
  <r>
    <x v="3207"/>
    <n v="2211.11"/>
    <x v="9"/>
  </r>
  <r>
    <x v="3208"/>
    <n v="2209.1799999999998"/>
    <x v="9"/>
  </r>
  <r>
    <x v="3209"/>
    <n v="2204.85"/>
    <x v="9"/>
  </r>
  <r>
    <x v="3210"/>
    <n v="2204.85"/>
    <x v="9"/>
  </r>
  <r>
    <x v="3211"/>
    <n v="2204.85"/>
    <x v="9"/>
  </r>
  <r>
    <x v="3212"/>
    <n v="2206.39"/>
    <x v="9"/>
  </r>
  <r>
    <x v="3213"/>
    <n v="2206.9299999999998"/>
    <x v="9"/>
  </r>
  <r>
    <x v="3214"/>
    <n v="2208.64"/>
    <x v="9"/>
  </r>
  <r>
    <x v="3215"/>
    <n v="2212.73"/>
    <x v="9"/>
  </r>
  <r>
    <x v="3216"/>
    <n v="2210.34"/>
    <x v="9"/>
  </r>
  <r>
    <x v="3217"/>
    <n v="2210.34"/>
    <x v="9"/>
  </r>
  <r>
    <x v="3218"/>
    <n v="2210.34"/>
    <x v="9"/>
  </r>
  <r>
    <x v="3219"/>
    <n v="2211.36"/>
    <x v="9"/>
  </r>
  <r>
    <x v="3220"/>
    <n v="2210.81"/>
    <x v="9"/>
  </r>
  <r>
    <x v="3221"/>
    <n v="2212.9299999999998"/>
    <x v="9"/>
  </r>
  <r>
    <x v="3222"/>
    <n v="2223.46"/>
    <x v="9"/>
  </r>
  <r>
    <x v="3223"/>
    <n v="2232.2399999999998"/>
    <x v="9"/>
  </r>
  <r>
    <x v="3224"/>
    <n v="2232.2399999999998"/>
    <x v="9"/>
  </r>
  <r>
    <x v="3225"/>
    <n v="2232.2399999999998"/>
    <x v="9"/>
  </r>
  <r>
    <x v="3226"/>
    <n v="2228.0500000000002"/>
    <x v="9"/>
  </r>
  <r>
    <x v="3227"/>
    <n v="2222.67"/>
    <x v="9"/>
  </r>
  <r>
    <x v="3228"/>
    <n v="2216.9299999999998"/>
    <x v="9"/>
  </r>
  <r>
    <x v="3229"/>
    <n v="2211.94"/>
    <x v="9"/>
  </r>
  <r>
    <x v="3230"/>
    <n v="2212.2600000000002"/>
    <x v="9"/>
  </r>
  <r>
    <x v="3231"/>
    <n v="2212.2600000000002"/>
    <x v="9"/>
  </r>
  <r>
    <x v="3232"/>
    <n v="2212.2600000000002"/>
    <x v="9"/>
  </r>
  <r>
    <x v="3233"/>
    <n v="2210.4"/>
    <x v="9"/>
  </r>
  <r>
    <x v="3234"/>
    <n v="2201.5100000000002"/>
    <x v="9"/>
  </r>
  <r>
    <x v="3235"/>
    <n v="2194.98"/>
    <x v="9"/>
  </r>
  <r>
    <x v="3236"/>
    <n v="2185.06"/>
    <x v="9"/>
  </r>
  <r>
    <x v="3237"/>
    <n v="2187.38"/>
    <x v="9"/>
  </r>
  <r>
    <x v="3238"/>
    <n v="2187.38"/>
    <x v="9"/>
  </r>
  <r>
    <x v="3239"/>
    <n v="2187.38"/>
    <x v="9"/>
  </r>
  <r>
    <x v="3240"/>
    <n v="2184.2600000000002"/>
    <x v="9"/>
  </r>
  <r>
    <x v="3241"/>
    <n v="2182.17"/>
    <x v="9"/>
  </r>
  <r>
    <x v="3242"/>
    <n v="2175.9699999999998"/>
    <x v="9"/>
  </r>
  <r>
    <x v="3243"/>
    <n v="2175.96"/>
    <x v="9"/>
  </r>
  <r>
    <x v="3244"/>
    <n v="2180.69"/>
    <x v="9"/>
  </r>
  <r>
    <x v="3245"/>
    <n v="2180.69"/>
    <x v="9"/>
  </r>
  <r>
    <x v="3246"/>
    <n v="2180.69"/>
    <x v="9"/>
  </r>
  <r>
    <x v="3247"/>
    <n v="2180.69"/>
    <x v="9"/>
  </r>
  <r>
    <x v="3248"/>
    <n v="2178.13"/>
    <x v="9"/>
  </r>
  <r>
    <x v="3249"/>
    <n v="2162.86"/>
    <x v="9"/>
  </r>
  <r>
    <x v="3250"/>
    <n v="2152.31"/>
    <x v="9"/>
  </r>
  <r>
    <x v="3251"/>
    <n v="2159.79"/>
    <x v="9"/>
  </r>
  <r>
    <x v="3252"/>
    <n v="2159.79"/>
    <x v="9"/>
  </r>
  <r>
    <x v="3253"/>
    <n v="2159.79"/>
    <x v="9"/>
  </r>
  <r>
    <x v="3254"/>
    <n v="2157.84"/>
    <x v="9"/>
  </r>
  <r>
    <x v="3255"/>
    <n v="2153.1799999999998"/>
    <x v="9"/>
  </r>
  <r>
    <x v="3256"/>
    <n v="2170.3200000000002"/>
    <x v="9"/>
  </r>
  <r>
    <x v="3257"/>
    <n v="2167.2600000000002"/>
    <x v="9"/>
  </r>
  <r>
    <x v="3258"/>
    <n v="2158.14"/>
    <x v="9"/>
  </r>
  <r>
    <x v="3259"/>
    <n v="2158.14"/>
    <x v="9"/>
  </r>
  <r>
    <x v="3260"/>
    <n v="2158.14"/>
    <x v="9"/>
  </r>
  <r>
    <x v="3261"/>
    <n v="2158.36"/>
    <x v="9"/>
  </r>
  <r>
    <x v="3262"/>
    <n v="2147.89"/>
    <x v="9"/>
  </r>
  <r>
    <x v="3263"/>
    <n v="2138.9499999999998"/>
    <x v="9"/>
  </r>
  <r>
    <x v="3264"/>
    <n v="2136.73"/>
    <x v="9"/>
  </r>
  <r>
    <x v="3265"/>
    <n v="2139.21"/>
    <x v="9"/>
  </r>
  <r>
    <x v="3266"/>
    <n v="2139.21"/>
    <x v="9"/>
  </r>
  <r>
    <x v="3267"/>
    <n v="2139.21"/>
    <x v="9"/>
  </r>
  <r>
    <x v="3268"/>
    <n v="2139.21"/>
    <x v="9"/>
  </r>
  <r>
    <x v="3269"/>
    <n v="2134.08"/>
    <x v="9"/>
  </r>
  <r>
    <x v="3270"/>
    <n v="2124.84"/>
    <x v="9"/>
  </r>
  <r>
    <x v="3271"/>
    <n v="2127.5100000000002"/>
    <x v="9"/>
  </r>
  <r>
    <x v="3272"/>
    <n v="2126.41"/>
    <x v="9"/>
  </r>
  <r>
    <x v="3273"/>
    <n v="2126.41"/>
    <x v="9"/>
  </r>
  <r>
    <x v="3274"/>
    <n v="2126.41"/>
    <x v="9"/>
  </r>
  <r>
    <x v="3275"/>
    <n v="2126.41"/>
    <x v="9"/>
  </r>
  <r>
    <x v="3276"/>
    <n v="2125.17"/>
    <x v="9"/>
  </r>
  <r>
    <x v="3277"/>
    <n v="2125.31"/>
    <x v="9"/>
  </r>
  <r>
    <x v="3278"/>
    <n v="2121.64"/>
    <x v="9"/>
  </r>
  <r>
    <x v="3279"/>
    <n v="2122.63"/>
    <x v="9"/>
  </r>
  <r>
    <x v="3280"/>
    <n v="2122.63"/>
    <x v="9"/>
  </r>
  <r>
    <x v="3281"/>
    <n v="2122.63"/>
    <x v="9"/>
  </r>
  <r>
    <x v="3282"/>
    <n v="2122.61"/>
    <x v="9"/>
  </r>
  <r>
    <x v="3283"/>
    <n v="2124.16"/>
    <x v="9"/>
  </r>
  <r>
    <x v="3284"/>
    <n v="2131.7600000000002"/>
    <x v="9"/>
  </r>
  <r>
    <x v="3285"/>
    <n v="2141.14"/>
    <x v="9"/>
  </r>
  <r>
    <x v="3286"/>
    <n v="2141.91"/>
    <x v="9"/>
  </r>
  <r>
    <x v="3287"/>
    <n v="2141.91"/>
    <x v="9"/>
  </r>
  <r>
    <x v="3288"/>
    <n v="2141.91"/>
    <x v="9"/>
  </r>
  <r>
    <x v="3289"/>
    <n v="2158.0500000000002"/>
    <x v="9"/>
  </r>
  <r>
    <x v="3290"/>
    <n v="2169.8200000000002"/>
    <x v="9"/>
  </r>
  <r>
    <x v="3291"/>
    <n v="2172.84"/>
    <x v="9"/>
  </r>
  <r>
    <x v="3292"/>
    <n v="2168.6"/>
    <x v="9"/>
  </r>
  <r>
    <x v="3293"/>
    <n v="2174.85"/>
    <x v="9"/>
  </r>
  <r>
    <x v="3294"/>
    <n v="2174.85"/>
    <x v="9"/>
  </r>
  <r>
    <x v="3295"/>
    <n v="2174.85"/>
    <x v="9"/>
  </r>
  <r>
    <x v="3296"/>
    <n v="2180.3000000000002"/>
    <x v="9"/>
  </r>
  <r>
    <x v="3297"/>
    <n v="2184.1799999999998"/>
    <x v="9"/>
  </r>
  <r>
    <x v="3298"/>
    <n v="2174.29"/>
    <x v="9"/>
  </r>
  <r>
    <x v="3299"/>
    <n v="2176.33"/>
    <x v="9"/>
  </r>
  <r>
    <x v="3300"/>
    <n v="2176.33"/>
    <x v="9"/>
  </r>
  <r>
    <x v="3301"/>
    <n v="2176.33"/>
    <x v="9"/>
  </r>
  <r>
    <x v="3302"/>
    <n v="2176.33"/>
    <x v="9"/>
  </r>
  <r>
    <x v="3303"/>
    <n v="2175.5700000000002"/>
    <x v="9"/>
  </r>
  <r>
    <x v="3304"/>
    <n v="2183.08"/>
    <x v="9"/>
  </r>
  <r>
    <x v="3305"/>
    <n v="2186.87"/>
    <x v="9"/>
  </r>
  <r>
    <x v="3306"/>
    <n v="2184.7600000000002"/>
    <x v="9"/>
  </r>
  <r>
    <x v="3307"/>
    <n v="2175.91"/>
    <x v="9"/>
  </r>
  <r>
    <x v="3308"/>
    <n v="2175.91"/>
    <x v="9"/>
  </r>
  <r>
    <x v="3309"/>
    <n v="2175.91"/>
    <x v="9"/>
  </r>
  <r>
    <x v="3310"/>
    <n v="2179.13"/>
    <x v="9"/>
  </r>
  <r>
    <x v="3311"/>
    <n v="2187.17"/>
    <x v="9"/>
  </r>
  <r>
    <x v="3312"/>
    <n v="2185.0500000000002"/>
    <x v="9"/>
  </r>
  <r>
    <x v="3313"/>
    <n v="2187.02"/>
    <x v="9"/>
  </r>
  <r>
    <x v="3314"/>
    <n v="2193.5700000000002"/>
    <x v="9"/>
  </r>
  <r>
    <x v="3315"/>
    <n v="2193.5700000000002"/>
    <x v="9"/>
  </r>
  <r>
    <x v="3316"/>
    <n v="2193.5700000000002"/>
    <x v="9"/>
  </r>
  <r>
    <x v="3317"/>
    <n v="2193.5700000000002"/>
    <x v="9"/>
  </r>
  <r>
    <x v="3318"/>
    <n v="2196.7600000000002"/>
    <x v="9"/>
  </r>
  <r>
    <x v="3319"/>
    <n v="2215.35"/>
    <x v="9"/>
  </r>
  <r>
    <x v="3320"/>
    <n v="2229.1799999999998"/>
    <x v="9"/>
  </r>
  <r>
    <x v="3321"/>
    <n v="2229.1799999999998"/>
    <x v="9"/>
  </r>
  <r>
    <x v="3322"/>
    <n v="2229.1799999999998"/>
    <x v="9"/>
  </r>
  <r>
    <x v="3323"/>
    <n v="2229.1799999999998"/>
    <x v="10"/>
  </r>
  <r>
    <x v="3324"/>
    <n v="2229.1799999999998"/>
    <x v="10"/>
  </r>
  <r>
    <x v="3325"/>
    <n v="2219.6"/>
    <x v="10"/>
  </r>
  <r>
    <x v="3326"/>
    <n v="2224.38"/>
    <x v="10"/>
  </r>
  <r>
    <x v="3327"/>
    <n v="2239.89"/>
    <x v="10"/>
  </r>
  <r>
    <x v="3328"/>
    <n v="2243.16"/>
    <x v="10"/>
  </r>
  <r>
    <x v="3329"/>
    <n v="2243.16"/>
    <x v="10"/>
  </r>
  <r>
    <x v="3330"/>
    <n v="2243.16"/>
    <x v="10"/>
  </r>
  <r>
    <x v="3331"/>
    <n v="2243.16"/>
    <x v="10"/>
  </r>
  <r>
    <x v="3332"/>
    <n v="2235.4299999999998"/>
    <x v="10"/>
  </r>
  <r>
    <x v="3333"/>
    <n v="2230.14"/>
    <x v="10"/>
  </r>
  <r>
    <x v="3334"/>
    <n v="2246.58"/>
    <x v="10"/>
  </r>
  <r>
    <x v="3335"/>
    <n v="2251.75"/>
    <x v="10"/>
  </r>
  <r>
    <x v="3336"/>
    <n v="2251.75"/>
    <x v="10"/>
  </r>
  <r>
    <x v="3337"/>
    <n v="2251.75"/>
    <x v="10"/>
  </r>
  <r>
    <x v="3338"/>
    <n v="2248.61"/>
    <x v="10"/>
  </r>
  <r>
    <x v="3339"/>
    <n v="2245.89"/>
    <x v="10"/>
  </r>
  <r>
    <x v="3340"/>
    <n v="2236.46"/>
    <x v="10"/>
  </r>
  <r>
    <x v="3341"/>
    <n v="2246.7399999999998"/>
    <x v="10"/>
  </r>
  <r>
    <x v="3342"/>
    <n v="2244.59"/>
    <x v="10"/>
  </r>
  <r>
    <x v="3343"/>
    <n v="2244.59"/>
    <x v="10"/>
  </r>
  <r>
    <x v="3344"/>
    <n v="2244.59"/>
    <x v="10"/>
  </r>
  <r>
    <x v="3345"/>
    <n v="2240.02"/>
    <x v="10"/>
  </r>
  <r>
    <x v="3346"/>
    <n v="2255.8200000000002"/>
    <x v="10"/>
  </r>
  <r>
    <x v="3347"/>
    <n v="2254.35"/>
    <x v="10"/>
  </r>
  <r>
    <x v="3348"/>
    <n v="2250.0300000000002"/>
    <x v="10"/>
  </r>
  <r>
    <x v="3349"/>
    <n v="2245.46"/>
    <x v="10"/>
  </r>
  <r>
    <x v="3350"/>
    <n v="2245.46"/>
    <x v="10"/>
  </r>
  <r>
    <x v="3351"/>
    <n v="2245.46"/>
    <x v="10"/>
  </r>
  <r>
    <x v="3352"/>
    <n v="2240.56"/>
    <x v="10"/>
  </r>
  <r>
    <x v="3353"/>
    <n v="2240.8000000000002"/>
    <x v="10"/>
  </r>
  <r>
    <x v="3354"/>
    <n v="2242.08"/>
    <x v="10"/>
  </r>
  <r>
    <x v="3355"/>
    <n v="2240.04"/>
    <x v="10"/>
  </r>
  <r>
    <x v="3356"/>
    <n v="2242.1999999999998"/>
    <x v="10"/>
  </r>
  <r>
    <x v="3357"/>
    <n v="2242.1999999999998"/>
    <x v="10"/>
  </r>
  <r>
    <x v="3358"/>
    <n v="2242.1999999999998"/>
    <x v="10"/>
  </r>
  <r>
    <x v="3359"/>
    <n v="2238.35"/>
    <x v="10"/>
  </r>
  <r>
    <x v="3360"/>
    <n v="2235.0300000000002"/>
    <x v="10"/>
  </r>
  <r>
    <x v="3361"/>
    <n v="2238.09"/>
    <x v="10"/>
  </r>
  <r>
    <x v="3362"/>
    <n v="2242.6799999999998"/>
    <x v="10"/>
  </r>
  <r>
    <x v="3363"/>
    <n v="2237.58"/>
    <x v="10"/>
  </r>
  <r>
    <x v="3364"/>
    <n v="2237.58"/>
    <x v="10"/>
  </r>
  <r>
    <x v="3365"/>
    <n v="2237.58"/>
    <x v="10"/>
  </r>
  <r>
    <x v="3366"/>
    <n v="2229.59"/>
    <x v="10"/>
  </r>
  <r>
    <x v="3367"/>
    <n v="2237.37"/>
    <x v="10"/>
  </r>
  <r>
    <x v="3368"/>
    <n v="2239.0300000000002"/>
    <x v="10"/>
  </r>
  <r>
    <x v="3369"/>
    <n v="2238.61"/>
    <x v="10"/>
  </r>
  <r>
    <x v="3370"/>
    <n v="2238.5100000000002"/>
    <x v="10"/>
  </r>
  <r>
    <x v="3371"/>
    <n v="2238.5100000000002"/>
    <x v="10"/>
  </r>
  <r>
    <x v="3372"/>
    <n v="2238.5100000000002"/>
    <x v="10"/>
  </r>
  <r>
    <x v="3373"/>
    <n v="2245.16"/>
    <x v="10"/>
  </r>
  <r>
    <x v="3374"/>
    <n v="2247.09"/>
    <x v="10"/>
  </r>
  <r>
    <x v="3375"/>
    <n v="2252.65"/>
    <x v="10"/>
  </r>
  <r>
    <x v="3376"/>
    <n v="2252.86"/>
    <x v="10"/>
  </r>
  <r>
    <x v="3377"/>
    <n v="2257.6999999999998"/>
    <x v="10"/>
  </r>
  <r>
    <x v="3378"/>
    <n v="2257.6999999999998"/>
    <x v="10"/>
  </r>
  <r>
    <x v="3379"/>
    <n v="2257.6999999999998"/>
    <x v="10"/>
  </r>
  <r>
    <x v="3380"/>
    <n v="2256.42"/>
    <x v="10"/>
  </r>
  <r>
    <x v="3381"/>
    <n v="2257.4499999999998"/>
    <x v="10"/>
  </r>
  <r>
    <x v="3382"/>
    <n v="2259.64"/>
    <x v="10"/>
  </r>
  <r>
    <x v="3383"/>
    <n v="2265.44"/>
    <x v="10"/>
  </r>
  <r>
    <x v="3384"/>
    <n v="2264.09"/>
    <x v="10"/>
  </r>
  <r>
    <x v="3385"/>
    <n v="2264.09"/>
    <x v="10"/>
  </r>
  <r>
    <x v="3386"/>
    <n v="2264.09"/>
    <x v="10"/>
  </r>
  <r>
    <x v="3387"/>
    <n v="2259.0700000000002"/>
    <x v="10"/>
  </r>
  <r>
    <x v="3388"/>
    <n v="2260.33"/>
    <x v="10"/>
  </r>
  <r>
    <x v="3389"/>
    <n v="2262.06"/>
    <x v="10"/>
  </r>
  <r>
    <x v="3390"/>
    <n v="2262.5500000000002"/>
    <x v="10"/>
  </r>
  <r>
    <x v="3391"/>
    <n v="2264.0100000000002"/>
    <x v="10"/>
  </r>
  <r>
    <x v="3392"/>
    <n v="2264.0100000000002"/>
    <x v="10"/>
  </r>
  <r>
    <x v="3393"/>
    <n v="2264.0100000000002"/>
    <x v="10"/>
  </r>
  <r>
    <x v="3394"/>
    <n v="2275.98"/>
    <x v="10"/>
  </r>
  <r>
    <x v="3395"/>
    <n v="2275.92"/>
    <x v="10"/>
  </r>
  <r>
    <x v="3396"/>
    <n v="2282.0100000000002"/>
    <x v="10"/>
  </r>
  <r>
    <x v="3397"/>
    <n v="2281.02"/>
    <x v="10"/>
  </r>
  <r>
    <x v="3398"/>
    <n v="2282.96"/>
    <x v="10"/>
  </r>
  <r>
    <x v="3399"/>
    <n v="2282.96"/>
    <x v="10"/>
  </r>
  <r>
    <x v="3400"/>
    <n v="2282.96"/>
    <x v="10"/>
  </r>
  <r>
    <x v="3401"/>
    <n v="2282.96"/>
    <x v="10"/>
  </r>
  <r>
    <x v="3402"/>
    <n v="2282.17"/>
    <x v="10"/>
  </r>
  <r>
    <x v="3403"/>
    <n v="2284.04"/>
    <x v="10"/>
  </r>
  <r>
    <x v="3404"/>
    <n v="2290.02"/>
    <x v="10"/>
  </r>
  <r>
    <x v="3405"/>
    <n v="2295.7399999999998"/>
    <x v="10"/>
  </r>
  <r>
    <x v="3406"/>
    <n v="2295.7399999999998"/>
    <x v="10"/>
  </r>
  <r>
    <x v="3407"/>
    <n v="2295.7399999999998"/>
    <x v="10"/>
  </r>
  <r>
    <x v="3408"/>
    <n v="2293.9899999999998"/>
    <x v="10"/>
  </r>
  <r>
    <x v="3409"/>
    <n v="2299.6799999999998"/>
    <x v="10"/>
  </r>
  <r>
    <x v="3410"/>
    <n v="2303.86"/>
    <x v="10"/>
  </r>
  <r>
    <x v="3411"/>
    <n v="2309.83"/>
    <x v="10"/>
  </r>
  <r>
    <x v="3412"/>
    <n v="2310.5700000000002"/>
    <x v="10"/>
  </r>
  <r>
    <x v="3413"/>
    <n v="2310.5700000000002"/>
    <x v="10"/>
  </r>
  <r>
    <x v="3414"/>
    <n v="2310.5700000000002"/>
    <x v="10"/>
  </r>
  <r>
    <x v="3415"/>
    <n v="2304.19"/>
    <x v="10"/>
  </r>
  <r>
    <x v="3416"/>
    <n v="2308.64"/>
    <x v="10"/>
  </r>
  <r>
    <x v="3417"/>
    <n v="2315.81"/>
    <x v="10"/>
  </r>
  <r>
    <x v="3418"/>
    <n v="2317.46"/>
    <x v="10"/>
  </r>
  <r>
    <x v="3419"/>
    <n v="2318.58"/>
    <x v="10"/>
  </r>
  <r>
    <x v="3420"/>
    <n v="2318.58"/>
    <x v="10"/>
  </r>
  <r>
    <x v="3421"/>
    <n v="2318.58"/>
    <x v="10"/>
  </r>
  <r>
    <x v="3422"/>
    <n v="2315.21"/>
    <x v="10"/>
  </r>
  <r>
    <x v="3423"/>
    <n v="2309.84"/>
    <x v="10"/>
  </r>
  <r>
    <x v="3424"/>
    <n v="2314.0700000000002"/>
    <x v="10"/>
  </r>
  <r>
    <x v="3425"/>
    <n v="2314.0700000000002"/>
    <x v="10"/>
  </r>
  <r>
    <x v="3426"/>
    <n v="2314.0700000000002"/>
    <x v="10"/>
  </r>
  <r>
    <x v="3427"/>
    <n v="2314.0700000000002"/>
    <x v="10"/>
  </r>
  <r>
    <x v="3428"/>
    <n v="2314.0700000000002"/>
    <x v="10"/>
  </r>
  <r>
    <x v="3429"/>
    <n v="2320.1799999999998"/>
    <x v="10"/>
  </r>
  <r>
    <x v="3430"/>
    <n v="2319.5700000000002"/>
    <x v="10"/>
  </r>
  <r>
    <x v="3431"/>
    <n v="2316.91"/>
    <x v="10"/>
  </r>
  <r>
    <x v="3432"/>
    <n v="2327.08"/>
    <x v="10"/>
  </r>
  <r>
    <x v="3433"/>
    <n v="2329.73"/>
    <x v="10"/>
  </r>
  <r>
    <x v="3434"/>
    <n v="2329.73"/>
    <x v="10"/>
  </r>
  <r>
    <x v="3435"/>
    <n v="2329.73"/>
    <x v="10"/>
  </r>
  <r>
    <x v="3436"/>
    <n v="2334.38"/>
    <x v="10"/>
  </r>
  <r>
    <x v="3437"/>
    <n v="2339.16"/>
    <x v="10"/>
  </r>
  <r>
    <x v="3438"/>
    <n v="2345.21"/>
    <x v="10"/>
  </r>
  <r>
    <x v="3439"/>
    <n v="2345.5700000000002"/>
    <x v="10"/>
  </r>
  <r>
    <x v="3440"/>
    <n v="2346.73"/>
    <x v="10"/>
  </r>
  <r>
    <x v="3441"/>
    <n v="2346.73"/>
    <x v="10"/>
  </r>
  <r>
    <x v="3442"/>
    <n v="2346.73"/>
    <x v="10"/>
  </r>
  <r>
    <x v="3443"/>
    <n v="2341.09"/>
    <x v="10"/>
  </r>
  <r>
    <x v="3444"/>
    <n v="2341.09"/>
    <x v="10"/>
  </r>
  <r>
    <x v="3445"/>
    <n v="2345.96"/>
    <x v="10"/>
  </r>
  <r>
    <x v="3446"/>
    <n v="2349.9499999999998"/>
    <x v="10"/>
  </r>
  <r>
    <x v="3447"/>
    <n v="2354.4699999999998"/>
    <x v="10"/>
  </r>
  <r>
    <x v="3448"/>
    <n v="2354.4699999999998"/>
    <x v="10"/>
  </r>
  <r>
    <x v="3449"/>
    <n v="2354.4699999999998"/>
    <x v="10"/>
  </r>
  <r>
    <x v="3450"/>
    <n v="2359.54"/>
    <x v="10"/>
  </r>
  <r>
    <x v="3451"/>
    <n v="2359.2199999999998"/>
    <x v="10"/>
  </r>
  <r>
    <x v="3452"/>
    <n v="2359.98"/>
    <x v="10"/>
  </r>
  <r>
    <x v="3453"/>
    <n v="2359.79"/>
    <x v="10"/>
  </r>
  <r>
    <x v="3454"/>
    <n v="2367.3000000000002"/>
    <x v="10"/>
  </r>
  <r>
    <x v="3455"/>
    <n v="2367.3000000000002"/>
    <x v="10"/>
  </r>
  <r>
    <x v="3456"/>
    <n v="2367.3000000000002"/>
    <x v="10"/>
  </r>
  <r>
    <x v="3457"/>
    <n v="2371.58"/>
    <x v="10"/>
  </r>
  <r>
    <x v="3458"/>
    <n v="2376.9299999999998"/>
    <x v="10"/>
  </r>
  <r>
    <x v="3459"/>
    <n v="2378.21"/>
    <x v="10"/>
  </r>
  <r>
    <x v="3460"/>
    <n v="2378.41"/>
    <x v="10"/>
  </r>
  <r>
    <x v="3461"/>
    <n v="2348.88"/>
    <x v="10"/>
  </r>
  <r>
    <x v="3462"/>
    <n v="2348.88"/>
    <x v="10"/>
  </r>
  <r>
    <x v="3463"/>
    <n v="2348.88"/>
    <x v="10"/>
  </r>
  <r>
    <x v="3464"/>
    <n v="2314.75"/>
    <x v="10"/>
  </r>
  <r>
    <x v="3465"/>
    <n v="2316.7199999999998"/>
    <x v="10"/>
  </r>
  <r>
    <x v="3466"/>
    <n v="2295.23"/>
    <x v="10"/>
  </r>
  <r>
    <x v="3467"/>
    <n v="2310.64"/>
    <x v="10"/>
  </r>
  <r>
    <x v="3468"/>
    <n v="2339.98"/>
    <x v="10"/>
  </r>
  <r>
    <x v="3469"/>
    <n v="2339.98"/>
    <x v="10"/>
  </r>
  <r>
    <x v="3470"/>
    <n v="2339.98"/>
    <x v="10"/>
  </r>
  <r>
    <x v="3471"/>
    <n v="2339.98"/>
    <x v="10"/>
  </r>
  <r>
    <x v="3472"/>
    <n v="2331.91"/>
    <x v="10"/>
  </r>
  <r>
    <x v="3473"/>
    <n v="2324.98"/>
    <x v="10"/>
  </r>
  <r>
    <x v="3474"/>
    <n v="2327.25"/>
    <x v="10"/>
  </r>
  <r>
    <x v="3475"/>
    <n v="2319.16"/>
    <x v="10"/>
  </r>
  <r>
    <x v="3476"/>
    <n v="2319.16"/>
    <x v="10"/>
  </r>
  <r>
    <x v="3477"/>
    <n v="2319.16"/>
    <x v="10"/>
  </r>
  <r>
    <x v="3478"/>
    <n v="2296.88"/>
    <x v="10"/>
  </r>
  <r>
    <x v="3479"/>
    <n v="2303.37"/>
    <x v="10"/>
  </r>
  <r>
    <x v="3480"/>
    <n v="2303.38"/>
    <x v="10"/>
  </r>
  <r>
    <x v="3481"/>
    <n v="2303.41"/>
    <x v="10"/>
  </r>
  <r>
    <x v="3482"/>
    <n v="2296.31"/>
    <x v="10"/>
  </r>
  <r>
    <x v="3483"/>
    <n v="2296.31"/>
    <x v="10"/>
  </r>
  <r>
    <x v="3484"/>
    <n v="2296.31"/>
    <x v="10"/>
  </r>
  <r>
    <x v="3485"/>
    <n v="2309.06"/>
    <x v="10"/>
  </r>
  <r>
    <x v="3486"/>
    <n v="2313.7399999999998"/>
    <x v="10"/>
  </r>
  <r>
    <x v="3487"/>
    <n v="2302.16"/>
    <x v="10"/>
  </r>
  <r>
    <x v="3488"/>
    <n v="2300.1799999999998"/>
    <x v="10"/>
  </r>
  <r>
    <x v="3489"/>
    <n v="2303.13"/>
    <x v="10"/>
  </r>
  <r>
    <x v="3490"/>
    <n v="2303.13"/>
    <x v="10"/>
  </r>
  <r>
    <x v="3491"/>
    <n v="2303.13"/>
    <x v="10"/>
  </r>
  <r>
    <x v="3492"/>
    <n v="2303.13"/>
    <x v="10"/>
  </r>
  <r>
    <x v="3493"/>
    <n v="2307.7800000000002"/>
    <x v="10"/>
  </r>
  <r>
    <x v="3494"/>
    <n v="2305.35"/>
    <x v="10"/>
  </r>
  <r>
    <x v="3495"/>
    <n v="2300.46"/>
    <x v="10"/>
  </r>
  <r>
    <x v="3496"/>
    <n v="2298.88"/>
    <x v="10"/>
  </r>
  <r>
    <x v="3497"/>
    <n v="2298.88"/>
    <x v="10"/>
  </r>
  <r>
    <x v="3498"/>
    <n v="2298.88"/>
    <x v="10"/>
  </r>
  <r>
    <x v="3499"/>
    <n v="2298.88"/>
    <x v="10"/>
  </r>
  <r>
    <x v="3500"/>
    <n v="2304.6799999999998"/>
    <x v="10"/>
  </r>
  <r>
    <x v="3501"/>
    <n v="2307.0300000000002"/>
    <x v="10"/>
  </r>
  <r>
    <x v="3502"/>
    <n v="2305.33"/>
    <x v="10"/>
  </r>
  <r>
    <x v="3503"/>
    <n v="2298.85"/>
    <x v="10"/>
  </r>
  <r>
    <x v="3504"/>
    <n v="2298.85"/>
    <x v="10"/>
  </r>
  <r>
    <x v="3505"/>
    <n v="2298.85"/>
    <x v="10"/>
  </r>
  <r>
    <x v="3506"/>
    <n v="2298.85"/>
    <x v="10"/>
  </r>
  <r>
    <x v="3507"/>
    <n v="2300.02"/>
    <x v="10"/>
  </r>
  <r>
    <x v="3508"/>
    <n v="2303.2600000000002"/>
    <x v="10"/>
  </r>
  <r>
    <x v="3509"/>
    <n v="2303.36"/>
    <x v="10"/>
  </r>
  <r>
    <x v="3510"/>
    <n v="2304.75"/>
    <x v="10"/>
  </r>
  <r>
    <x v="3511"/>
    <n v="2304.75"/>
    <x v="10"/>
  </r>
  <r>
    <x v="3512"/>
    <n v="2304.75"/>
    <x v="10"/>
  </r>
  <r>
    <x v="3513"/>
    <n v="2305.37"/>
    <x v="10"/>
  </r>
  <r>
    <x v="3514"/>
    <n v="2306.16"/>
    <x v="10"/>
  </r>
  <r>
    <x v="3515"/>
    <n v="2312.21"/>
    <x v="10"/>
  </r>
  <r>
    <x v="3516"/>
    <n v="2323.9899999999998"/>
    <x v="10"/>
  </r>
  <r>
    <x v="3517"/>
    <n v="2317.92"/>
    <x v="10"/>
  </r>
  <r>
    <x v="3518"/>
    <n v="2317.92"/>
    <x v="10"/>
  </r>
  <r>
    <x v="3519"/>
    <n v="2317.92"/>
    <x v="10"/>
  </r>
  <r>
    <x v="3520"/>
    <n v="2302.56"/>
    <x v="10"/>
  </r>
  <r>
    <x v="3521"/>
    <n v="2298.7600000000002"/>
    <x v="10"/>
  </r>
  <r>
    <x v="3522"/>
    <n v="2298.63"/>
    <x v="10"/>
  </r>
  <r>
    <x v="3523"/>
    <n v="2301.67"/>
    <x v="10"/>
  </r>
  <r>
    <x v="3524"/>
    <n v="2301.67"/>
    <x v="10"/>
  </r>
  <r>
    <x v="3525"/>
    <n v="2301.67"/>
    <x v="10"/>
  </r>
  <r>
    <x v="3526"/>
    <n v="2301.67"/>
    <x v="10"/>
  </r>
  <r>
    <x v="3527"/>
    <n v="2302.2600000000002"/>
    <x v="10"/>
  </r>
  <r>
    <x v="3528"/>
    <n v="2301.56"/>
    <x v="10"/>
  </r>
  <r>
    <x v="3529"/>
    <n v="2302.6999999999998"/>
    <x v="10"/>
  </r>
  <r>
    <x v="3530"/>
    <n v="2301.5300000000002"/>
    <x v="10"/>
  </r>
  <r>
    <x v="3531"/>
    <n v="2301.6999999999998"/>
    <x v="10"/>
  </r>
  <r>
    <x v="3532"/>
    <n v="2301.6999999999998"/>
    <x v="10"/>
  </r>
  <r>
    <x v="3533"/>
    <n v="2301.6999999999998"/>
    <x v="10"/>
  </r>
  <r>
    <x v="3534"/>
    <n v="2298.27"/>
    <x v="10"/>
  </r>
  <r>
    <x v="3535"/>
    <n v="2293.25"/>
    <x v="10"/>
  </r>
  <r>
    <x v="3536"/>
    <n v="2295.19"/>
    <x v="10"/>
  </r>
  <r>
    <x v="3537"/>
    <n v="2298.91"/>
    <x v="10"/>
  </r>
  <r>
    <x v="3538"/>
    <n v="2295.7199999999998"/>
    <x v="10"/>
  </r>
  <r>
    <x v="3539"/>
    <n v="2295.7199999999998"/>
    <x v="10"/>
  </r>
  <r>
    <x v="3540"/>
    <n v="2295.7199999999998"/>
    <x v="10"/>
  </r>
  <r>
    <x v="3541"/>
    <n v="2291.46"/>
    <x v="10"/>
  </r>
  <r>
    <x v="3542"/>
    <n v="2291.46"/>
    <x v="10"/>
  </r>
  <r>
    <x v="3543"/>
    <n v="2295.0500000000002"/>
    <x v="10"/>
  </r>
  <r>
    <x v="3544"/>
    <n v="2291.5"/>
    <x v="10"/>
  </r>
  <r>
    <x v="3545"/>
    <n v="2288.0300000000002"/>
    <x v="10"/>
  </r>
  <r>
    <x v="3546"/>
    <n v="2288.0300000000002"/>
    <x v="10"/>
  </r>
  <r>
    <x v="3547"/>
    <n v="2288.0300000000002"/>
    <x v="10"/>
  </r>
  <r>
    <x v="3548"/>
    <n v="2284.9"/>
    <x v="10"/>
  </r>
  <r>
    <x v="3549"/>
    <n v="2284.98"/>
    <x v="10"/>
  </r>
  <r>
    <x v="3550"/>
    <n v="2291.41"/>
    <x v="10"/>
  </r>
  <r>
    <x v="3551"/>
    <n v="2288.1799999999998"/>
    <x v="10"/>
  </r>
  <r>
    <x v="3552"/>
    <n v="2285.06"/>
    <x v="10"/>
  </r>
  <r>
    <x v="3553"/>
    <n v="2285.06"/>
    <x v="10"/>
  </r>
  <r>
    <x v="3554"/>
    <n v="2285.06"/>
    <x v="10"/>
  </r>
  <r>
    <x v="3555"/>
    <n v="2285.06"/>
    <x v="10"/>
  </r>
  <r>
    <x v="3556"/>
    <n v="2283.86"/>
    <x v="10"/>
  </r>
  <r>
    <x v="3557"/>
    <n v="2279.25"/>
    <x v="10"/>
  </r>
  <r>
    <x v="3558"/>
    <n v="2275.0700000000002"/>
    <x v="10"/>
  </r>
  <r>
    <x v="3559"/>
    <n v="2273.5"/>
    <x v="10"/>
  </r>
  <r>
    <x v="3560"/>
    <n v="2273.5"/>
    <x v="10"/>
  </r>
  <r>
    <x v="3561"/>
    <n v="2273.5"/>
    <x v="10"/>
  </r>
  <r>
    <x v="3562"/>
    <n v="2282.56"/>
    <x v="10"/>
  </r>
  <r>
    <x v="3563"/>
    <n v="2290.5700000000002"/>
    <x v="10"/>
  </r>
  <r>
    <x v="3564"/>
    <n v="2297.2399999999998"/>
    <x v="10"/>
  </r>
  <r>
    <x v="3565"/>
    <n v="2301.23"/>
    <x v="10"/>
  </r>
  <r>
    <x v="3566"/>
    <n v="2296.85"/>
    <x v="10"/>
  </r>
  <r>
    <x v="3567"/>
    <n v="2296.85"/>
    <x v="10"/>
  </r>
  <r>
    <x v="3568"/>
    <n v="2296.85"/>
    <x v="10"/>
  </r>
  <r>
    <x v="3569"/>
    <n v="2305.15"/>
    <x v="10"/>
  </r>
  <r>
    <x v="3570"/>
    <n v="2305.2800000000002"/>
    <x v="10"/>
  </r>
  <r>
    <x v="3571"/>
    <n v="2312.87"/>
    <x v="10"/>
  </r>
  <r>
    <x v="3572"/>
    <n v="2317.02"/>
    <x v="10"/>
  </r>
  <r>
    <x v="3573"/>
    <n v="2320.09"/>
    <x v="10"/>
  </r>
  <r>
    <x v="3574"/>
    <n v="2320.09"/>
    <x v="10"/>
  </r>
  <r>
    <x v="3575"/>
    <n v="2320.09"/>
    <x v="10"/>
  </r>
  <r>
    <x v="3576"/>
    <n v="2324.7800000000002"/>
    <x v="10"/>
  </r>
  <r>
    <x v="3577"/>
    <n v="2341.2800000000002"/>
    <x v="10"/>
  </r>
  <r>
    <x v="3578"/>
    <n v="2341.14"/>
    <x v="10"/>
  </r>
  <r>
    <x v="3579"/>
    <n v="2337.25"/>
    <x v="10"/>
  </r>
  <r>
    <x v="3580"/>
    <n v="2342.44"/>
    <x v="10"/>
  </r>
  <r>
    <x v="3581"/>
    <n v="2342.44"/>
    <x v="10"/>
  </r>
  <r>
    <x v="3582"/>
    <n v="2342.44"/>
    <x v="10"/>
  </r>
  <r>
    <x v="3583"/>
    <n v="2342.1799999999998"/>
    <x v="10"/>
  </r>
  <r>
    <x v="3584"/>
    <n v="2338.39"/>
    <x v="10"/>
  </r>
  <r>
    <x v="3585"/>
    <n v="2342.04"/>
    <x v="10"/>
  </r>
  <r>
    <x v="3586"/>
    <n v="2341.6799999999998"/>
    <x v="10"/>
  </r>
  <r>
    <x v="3587"/>
    <n v="2342.1799999999998"/>
    <x v="10"/>
  </r>
  <r>
    <x v="3588"/>
    <n v="2342.1799999999998"/>
    <x v="10"/>
  </r>
  <r>
    <x v="3589"/>
    <n v="2342.1799999999998"/>
    <x v="10"/>
  </r>
  <r>
    <x v="3590"/>
    <n v="2329.6999999999998"/>
    <x v="10"/>
  </r>
  <r>
    <x v="3591"/>
    <n v="2327.09"/>
    <x v="10"/>
  </r>
  <r>
    <x v="3592"/>
    <n v="2328.4899999999998"/>
    <x v="10"/>
  </r>
  <r>
    <x v="3593"/>
    <n v="2328.75"/>
    <x v="10"/>
  </r>
  <r>
    <x v="3594"/>
    <n v="2332.19"/>
    <x v="10"/>
  </r>
  <r>
    <x v="3595"/>
    <n v="2332.19"/>
    <x v="10"/>
  </r>
  <r>
    <x v="3596"/>
    <n v="2332.19"/>
    <x v="10"/>
  </r>
  <r>
    <x v="3597"/>
    <n v="2338.4499999999998"/>
    <x v="10"/>
  </r>
  <r>
    <x v="3598"/>
    <n v="2334.2399999999998"/>
    <x v="10"/>
  </r>
  <r>
    <x v="3599"/>
    <n v="2336.1799999999998"/>
    <x v="10"/>
  </r>
  <r>
    <x v="3600"/>
    <n v="2336.2800000000002"/>
    <x v="10"/>
  </r>
  <r>
    <x v="3601"/>
    <n v="2331.0300000000002"/>
    <x v="10"/>
  </r>
  <r>
    <x v="3602"/>
    <n v="2331.0300000000002"/>
    <x v="10"/>
  </r>
  <r>
    <x v="3603"/>
    <n v="2331.0300000000002"/>
    <x v="10"/>
  </r>
  <r>
    <x v="3604"/>
    <n v="2331.02"/>
    <x v="10"/>
  </r>
  <r>
    <x v="3605"/>
    <n v="2328.91"/>
    <x v="10"/>
  </r>
  <r>
    <x v="3606"/>
    <n v="2320.41"/>
    <x v="10"/>
  </r>
  <r>
    <x v="3607"/>
    <n v="2312.33"/>
    <x v="10"/>
  </r>
  <r>
    <x v="3608"/>
    <n v="2314.7399999999998"/>
    <x v="10"/>
  </r>
  <r>
    <x v="3609"/>
    <n v="2314.7399999999998"/>
    <x v="10"/>
  </r>
  <r>
    <x v="3610"/>
    <n v="2314.7399999999998"/>
    <x v="10"/>
  </r>
  <r>
    <x v="3611"/>
    <n v="2314.7399999999998"/>
    <x v="10"/>
  </r>
  <r>
    <x v="3612"/>
    <n v="2303.3000000000002"/>
    <x v="10"/>
  </r>
  <r>
    <x v="3613"/>
    <n v="2300.0100000000002"/>
    <x v="10"/>
  </r>
  <r>
    <x v="3614"/>
    <n v="2313.2399999999998"/>
    <x v="10"/>
  </r>
  <r>
    <x v="3615"/>
    <n v="2315.2600000000002"/>
    <x v="10"/>
  </r>
  <r>
    <x v="3616"/>
    <n v="2315.2600000000002"/>
    <x v="10"/>
  </r>
  <r>
    <x v="3617"/>
    <n v="2315.2600000000002"/>
    <x v="10"/>
  </r>
  <r>
    <x v="3618"/>
    <n v="2318.4699999999998"/>
    <x v="10"/>
  </r>
  <r>
    <x v="3619"/>
    <n v="2316.14"/>
    <x v="10"/>
  </r>
  <r>
    <x v="3620"/>
    <n v="2319.5300000000002"/>
    <x v="10"/>
  </r>
  <r>
    <x v="3621"/>
    <n v="2316.6799999999998"/>
    <x v="10"/>
  </r>
  <r>
    <x v="3622"/>
    <n v="2314.5"/>
    <x v="10"/>
  </r>
  <r>
    <x v="3623"/>
    <n v="2314.5"/>
    <x v="10"/>
  </r>
  <r>
    <x v="3624"/>
    <n v="2314.5"/>
    <x v="10"/>
  </r>
  <r>
    <x v="3625"/>
    <n v="2311.42"/>
    <x v="10"/>
  </r>
  <r>
    <x v="3626"/>
    <n v="2310.02"/>
    <x v="10"/>
  </r>
  <r>
    <x v="3627"/>
    <n v="2309.12"/>
    <x v="10"/>
  </r>
  <r>
    <x v="3628"/>
    <n v="2309.89"/>
    <x v="10"/>
  </r>
  <r>
    <x v="3629"/>
    <n v="2309.42"/>
    <x v="10"/>
  </r>
  <r>
    <x v="3630"/>
    <n v="2309.42"/>
    <x v="10"/>
  </r>
  <r>
    <x v="3631"/>
    <n v="2309.42"/>
    <x v="10"/>
  </r>
  <r>
    <x v="3632"/>
    <n v="2309.42"/>
    <x v="10"/>
  </r>
  <r>
    <x v="3633"/>
    <n v="2309.2199999999998"/>
    <x v="10"/>
  </r>
  <r>
    <x v="3634"/>
    <n v="2306.5700000000002"/>
    <x v="10"/>
  </r>
  <r>
    <x v="3635"/>
    <n v="2307.2399999999998"/>
    <x v="10"/>
  </r>
  <r>
    <x v="3636"/>
    <n v="2303.6799999999998"/>
    <x v="10"/>
  </r>
  <r>
    <x v="3637"/>
    <n v="2303.6799999999998"/>
    <x v="10"/>
  </r>
  <r>
    <x v="3638"/>
    <n v="2303.6799999999998"/>
    <x v="10"/>
  </r>
  <r>
    <x v="3639"/>
    <n v="2303.6799999999998"/>
    <x v="10"/>
  </r>
  <r>
    <x v="3640"/>
    <n v="2300.69"/>
    <x v="10"/>
  </r>
  <r>
    <x v="3641"/>
    <n v="2302.81"/>
    <x v="10"/>
  </r>
  <r>
    <x v="3642"/>
    <n v="2311.5700000000002"/>
    <x v="10"/>
  </r>
  <r>
    <x v="3643"/>
    <n v="2314.33"/>
    <x v="10"/>
  </r>
  <r>
    <x v="3644"/>
    <n v="2314.33"/>
    <x v="10"/>
  </r>
  <r>
    <x v="3645"/>
    <n v="2314.33"/>
    <x v="10"/>
  </r>
  <r>
    <x v="3646"/>
    <n v="2310.9"/>
    <x v="10"/>
  </r>
  <r>
    <x v="3647"/>
    <n v="2314.86"/>
    <x v="10"/>
  </r>
  <r>
    <x v="3648"/>
    <n v="2319.34"/>
    <x v="10"/>
  </r>
  <r>
    <x v="3649"/>
    <n v="2317.5700000000002"/>
    <x v="10"/>
  </r>
  <r>
    <x v="3650"/>
    <n v="2316.4"/>
    <x v="10"/>
  </r>
  <r>
    <x v="3651"/>
    <n v="2316.4"/>
    <x v="10"/>
  </r>
  <r>
    <x v="3652"/>
    <n v="2316.4"/>
    <x v="10"/>
  </r>
  <r>
    <x v="3653"/>
    <n v="2313.2600000000002"/>
    <x v="10"/>
  </r>
  <r>
    <x v="3654"/>
    <n v="2312.9"/>
    <x v="10"/>
  </r>
  <r>
    <x v="3655"/>
    <n v="2310.9699999999998"/>
    <x v="10"/>
  </r>
  <r>
    <x v="3656"/>
    <n v="2308.59"/>
    <x v="10"/>
  </r>
  <r>
    <x v="3657"/>
    <n v="2303.35"/>
    <x v="10"/>
  </r>
  <r>
    <x v="3658"/>
    <n v="2303.35"/>
    <x v="10"/>
  </r>
  <r>
    <x v="3659"/>
    <n v="2303.35"/>
    <x v="10"/>
  </r>
  <r>
    <x v="3660"/>
    <n v="2304.13"/>
    <x v="10"/>
  </r>
  <r>
    <x v="3661"/>
    <n v="2314.7600000000002"/>
    <x v="10"/>
  </r>
  <r>
    <x v="3662"/>
    <n v="2315.36"/>
    <x v="10"/>
  </r>
  <r>
    <x v="3663"/>
    <n v="2314.89"/>
    <x v="10"/>
  </r>
  <r>
    <x v="3664"/>
    <n v="2310.9"/>
    <x v="10"/>
  </r>
  <r>
    <x v="3665"/>
    <n v="2310.9"/>
    <x v="10"/>
  </r>
  <r>
    <x v="3666"/>
    <n v="2310.9"/>
    <x v="10"/>
  </r>
  <r>
    <x v="3667"/>
    <n v="2308.41"/>
    <x v="10"/>
  </r>
  <r>
    <x v="3668"/>
    <n v="2306.56"/>
    <x v="10"/>
  </r>
  <r>
    <x v="3669"/>
    <n v="2307.12"/>
    <x v="10"/>
  </r>
  <r>
    <x v="3670"/>
    <n v="2312"/>
    <x v="10"/>
  </r>
  <r>
    <x v="3671"/>
    <n v="2318.67"/>
    <x v="10"/>
  </r>
  <r>
    <x v="3672"/>
    <n v="2318.67"/>
    <x v="10"/>
  </r>
  <r>
    <x v="3673"/>
    <n v="2318.67"/>
    <x v="10"/>
  </r>
  <r>
    <x v="3674"/>
    <n v="2310.58"/>
    <x v="10"/>
  </r>
  <r>
    <x v="3675"/>
    <n v="2306.8200000000002"/>
    <x v="10"/>
  </r>
  <r>
    <x v="3676"/>
    <n v="2307.1"/>
    <x v="10"/>
  </r>
  <r>
    <x v="3677"/>
    <n v="2306.88"/>
    <x v="10"/>
  </r>
  <r>
    <x v="3678"/>
    <n v="2303.15"/>
    <x v="10"/>
  </r>
  <r>
    <x v="3679"/>
    <n v="2303.15"/>
    <x v="10"/>
  </r>
  <r>
    <x v="3680"/>
    <n v="2303.15"/>
    <x v="10"/>
  </r>
  <r>
    <x v="3681"/>
    <n v="2297.59"/>
    <x v="10"/>
  </r>
  <r>
    <x v="3682"/>
    <n v="2297.59"/>
    <x v="10"/>
  </r>
  <r>
    <x v="3683"/>
    <n v="2297.17"/>
    <x v="10"/>
  </r>
  <r>
    <x v="3684"/>
    <n v="2301.33"/>
    <x v="10"/>
  </r>
  <r>
    <x v="3685"/>
    <n v="2291.1799999999998"/>
    <x v="10"/>
  </r>
  <r>
    <x v="3686"/>
    <n v="2291.1799999999998"/>
    <x v="10"/>
  </r>
  <r>
    <x v="3687"/>
    <n v="2291.1799999999998"/>
    <x v="10"/>
  </r>
  <r>
    <x v="3688"/>
    <n v="2291.1799999999998"/>
    <x v="11"/>
  </r>
  <r>
    <x v="3689"/>
    <n v="2291.1799999999998"/>
    <x v="11"/>
  </r>
  <r>
    <x v="3690"/>
    <n v="2289.42"/>
    <x v="11"/>
  </r>
  <r>
    <x v="3691"/>
    <n v="2289.91"/>
    <x v="11"/>
  </r>
  <r>
    <x v="3692"/>
    <n v="2295.59"/>
    <x v="11"/>
  </r>
  <r>
    <x v="3693"/>
    <n v="2295.59"/>
    <x v="11"/>
  </r>
  <r>
    <x v="3694"/>
    <n v="2295.59"/>
    <x v="11"/>
  </r>
  <r>
    <x v="3695"/>
    <n v="2295.59"/>
    <x v="11"/>
  </r>
  <r>
    <x v="3696"/>
    <n v="2306.31"/>
    <x v="11"/>
  </r>
  <r>
    <x v="3697"/>
    <n v="2306.35"/>
    <x v="11"/>
  </r>
  <r>
    <x v="3698"/>
    <n v="2311.5700000000002"/>
    <x v="11"/>
  </r>
  <r>
    <x v="3699"/>
    <n v="2304.54"/>
    <x v="11"/>
  </r>
  <r>
    <x v="3700"/>
    <n v="2304.54"/>
    <x v="11"/>
  </r>
  <r>
    <x v="3701"/>
    <n v="2304.54"/>
    <x v="11"/>
  </r>
  <r>
    <x v="3702"/>
    <n v="2297.31"/>
    <x v="11"/>
  </r>
  <r>
    <x v="3703"/>
    <n v="2280.73"/>
    <x v="11"/>
  </r>
  <r>
    <x v="3704"/>
    <n v="2265.66"/>
    <x v="11"/>
  </r>
  <r>
    <x v="3705"/>
    <n v="2265.0100000000002"/>
    <x v="11"/>
  </r>
  <r>
    <x v="3706"/>
    <n v="2269.7600000000002"/>
    <x v="11"/>
  </r>
  <r>
    <x v="3707"/>
    <n v="2269.7600000000002"/>
    <x v="11"/>
  </r>
  <r>
    <x v="3708"/>
    <n v="2269.7600000000002"/>
    <x v="11"/>
  </r>
  <r>
    <x v="3709"/>
    <n v="2259.2399999999998"/>
    <x v="11"/>
  </r>
  <r>
    <x v="3710"/>
    <n v="2247.29"/>
    <x v="11"/>
  </r>
  <r>
    <x v="3711"/>
    <n v="2239.92"/>
    <x v="11"/>
  </r>
  <r>
    <x v="3712"/>
    <n v="2231.98"/>
    <x v="11"/>
  </r>
  <r>
    <x v="3713"/>
    <n v="2242.67"/>
    <x v="11"/>
  </r>
  <r>
    <x v="3714"/>
    <n v="2242.67"/>
    <x v="11"/>
  </r>
  <r>
    <x v="3715"/>
    <n v="2242.67"/>
    <x v="11"/>
  </r>
  <r>
    <x v="3716"/>
    <n v="2252.37"/>
    <x v="11"/>
  </r>
  <r>
    <x v="3717"/>
    <n v="2262.4499999999998"/>
    <x v="11"/>
  </r>
  <r>
    <x v="3718"/>
    <n v="2264.8200000000002"/>
    <x v="11"/>
  </r>
  <r>
    <x v="3719"/>
    <n v="2265.9899999999998"/>
    <x v="11"/>
  </r>
  <r>
    <x v="3720"/>
    <n v="2267.33"/>
    <x v="11"/>
  </r>
  <r>
    <x v="3721"/>
    <n v="2267.33"/>
    <x v="11"/>
  </r>
  <r>
    <x v="3722"/>
    <n v="2267.33"/>
    <x v="11"/>
  </r>
  <r>
    <x v="3723"/>
    <n v="2266.61"/>
    <x v="11"/>
  </r>
  <r>
    <x v="3724"/>
    <n v="2259.81"/>
    <x v="11"/>
  </r>
  <r>
    <x v="3725"/>
    <n v="2254.98"/>
    <x v="11"/>
  </r>
  <r>
    <x v="3726"/>
    <n v="2260.17"/>
    <x v="11"/>
  </r>
  <r>
    <x v="3727"/>
    <n v="2272.7600000000002"/>
    <x v="11"/>
  </r>
  <r>
    <x v="3728"/>
    <n v="2272.7600000000002"/>
    <x v="11"/>
  </r>
  <r>
    <x v="3729"/>
    <n v="2272.7600000000002"/>
    <x v="11"/>
  </r>
  <r>
    <x v="3730"/>
    <n v="2283.14"/>
    <x v="11"/>
  </r>
  <r>
    <x v="3731"/>
    <n v="2290.19"/>
    <x v="11"/>
  </r>
  <r>
    <x v="3732"/>
    <n v="2309.27"/>
    <x v="11"/>
  </r>
  <r>
    <x v="3733"/>
    <n v="2312.0300000000002"/>
    <x v="11"/>
  </r>
  <r>
    <x v="3734"/>
    <n v="2288.54"/>
    <x v="11"/>
  </r>
  <r>
    <x v="3735"/>
    <n v="2288.54"/>
    <x v="11"/>
  </r>
  <r>
    <x v="3736"/>
    <n v="2288.54"/>
    <x v="11"/>
  </r>
  <r>
    <x v="3737"/>
    <n v="2288.98"/>
    <x v="11"/>
  </r>
  <r>
    <x v="3738"/>
    <n v="2280.98"/>
    <x v="11"/>
  </r>
  <r>
    <x v="3739"/>
    <n v="2282.94"/>
    <x v="11"/>
  </r>
  <r>
    <x v="3740"/>
    <n v="2309.4499999999998"/>
    <x v="11"/>
  </r>
  <r>
    <x v="3741"/>
    <n v="2307.75"/>
    <x v="11"/>
  </r>
  <r>
    <x v="3742"/>
    <n v="2307.75"/>
    <x v="11"/>
  </r>
  <r>
    <x v="3743"/>
    <n v="2307.75"/>
    <x v="11"/>
  </r>
  <r>
    <x v="3744"/>
    <n v="2310.21"/>
    <x v="11"/>
  </r>
  <r>
    <x v="3745"/>
    <n v="2313.13"/>
    <x v="11"/>
  </r>
  <r>
    <x v="3746"/>
    <n v="2309.8200000000002"/>
    <x v="11"/>
  </r>
  <r>
    <x v="3747"/>
    <n v="2306.4499999999998"/>
    <x v="11"/>
  </r>
  <r>
    <x v="3748"/>
    <n v="2306.33"/>
    <x v="11"/>
  </r>
  <r>
    <x v="3749"/>
    <n v="2306.33"/>
    <x v="11"/>
  </r>
  <r>
    <x v="3750"/>
    <n v="2306.33"/>
    <x v="11"/>
  </r>
  <r>
    <x v="3751"/>
    <n v="2299.15"/>
    <x v="11"/>
  </r>
  <r>
    <x v="3752"/>
    <n v="2293.6"/>
    <x v="11"/>
  </r>
  <r>
    <x v="3753"/>
    <n v="2290"/>
    <x v="11"/>
  </r>
  <r>
    <x v="3754"/>
    <n v="2289.83"/>
    <x v="11"/>
  </r>
  <r>
    <x v="3755"/>
    <n v="2283.83"/>
    <x v="11"/>
  </r>
  <r>
    <x v="3756"/>
    <n v="2283.83"/>
    <x v="11"/>
  </r>
  <r>
    <x v="3757"/>
    <n v="2283.83"/>
    <x v="11"/>
  </r>
  <r>
    <x v="3758"/>
    <n v="2269.88"/>
    <x v="11"/>
  </r>
  <r>
    <x v="3759"/>
    <n v="2269.17"/>
    <x v="11"/>
  </r>
  <r>
    <x v="3760"/>
    <n v="2270.66"/>
    <x v="11"/>
  </r>
  <r>
    <x v="3761"/>
    <n v="2272.27"/>
    <x v="11"/>
  </r>
  <r>
    <x v="3762"/>
    <n v="2278.56"/>
    <x v="11"/>
  </r>
  <r>
    <x v="3763"/>
    <n v="2278.56"/>
    <x v="11"/>
  </r>
  <r>
    <x v="3764"/>
    <n v="2278.56"/>
    <x v="11"/>
  </r>
  <r>
    <x v="3765"/>
    <n v="2282.25"/>
    <x v="11"/>
  </r>
  <r>
    <x v="3766"/>
    <n v="2274.5300000000002"/>
    <x v="11"/>
  </r>
  <r>
    <x v="3767"/>
    <n v="2279.6"/>
    <x v="11"/>
  </r>
  <r>
    <x v="3768"/>
    <n v="2280"/>
    <x v="11"/>
  </r>
  <r>
    <x v="3769"/>
    <n v="2274.4699999999998"/>
    <x v="11"/>
  </r>
  <r>
    <x v="3770"/>
    <n v="2274.4699999999998"/>
    <x v="11"/>
  </r>
  <r>
    <x v="3771"/>
    <n v="2274.4699999999998"/>
    <x v="11"/>
  </r>
  <r>
    <x v="3772"/>
    <n v="2274.4699999999998"/>
    <x v="11"/>
  </r>
  <r>
    <x v="3773"/>
    <n v="2261.37"/>
    <x v="11"/>
  </r>
  <r>
    <x v="3774"/>
    <n v="2261.23"/>
    <x v="11"/>
  </r>
  <r>
    <x v="3775"/>
    <n v="2261.23"/>
    <x v="11"/>
  </r>
  <r>
    <x v="3776"/>
    <n v="2261.23"/>
    <x v="11"/>
  </r>
  <r>
    <x v="3777"/>
    <n v="2261.23"/>
    <x v="11"/>
  </r>
  <r>
    <x v="3778"/>
    <n v="2261.23"/>
    <x v="11"/>
  </r>
  <r>
    <x v="3779"/>
    <n v="2264.5700000000002"/>
    <x v="11"/>
  </r>
  <r>
    <x v="3780"/>
    <n v="2257.16"/>
    <x v="11"/>
  </r>
  <r>
    <x v="3781"/>
    <n v="2267.9899999999998"/>
    <x v="11"/>
  </r>
  <r>
    <x v="3782"/>
    <n v="2269.35"/>
    <x v="11"/>
  </r>
  <r>
    <x v="3783"/>
    <n v="2263.0300000000002"/>
    <x v="11"/>
  </r>
  <r>
    <x v="3784"/>
    <n v="2263.0300000000002"/>
    <x v="11"/>
  </r>
  <r>
    <x v="3785"/>
    <n v="2263.0300000000002"/>
    <x v="11"/>
  </r>
  <r>
    <x v="3786"/>
    <n v="2255.02"/>
    <x v="11"/>
  </r>
  <r>
    <x v="3787"/>
    <n v="2254.4499999999998"/>
    <x v="11"/>
  </r>
  <r>
    <x v="3788"/>
    <n v="2257.7800000000002"/>
    <x v="11"/>
  </r>
  <r>
    <x v="3789"/>
    <n v="2261.66"/>
    <x v="11"/>
  </r>
  <r>
    <x v="3790"/>
    <n v="2264.98"/>
    <x v="11"/>
  </r>
  <r>
    <x v="3791"/>
    <n v="2264.98"/>
    <x v="11"/>
  </r>
  <r>
    <x v="3792"/>
    <n v="2264.98"/>
    <x v="11"/>
  </r>
  <r>
    <x v="3793"/>
    <n v="2266.92"/>
    <x v="11"/>
  </r>
  <r>
    <x v="3794"/>
    <n v="2262.56"/>
    <x v="11"/>
  </r>
  <r>
    <x v="3795"/>
    <n v="2261.12"/>
    <x v="11"/>
  </r>
  <r>
    <x v="3796"/>
    <n v="2256.66"/>
    <x v="11"/>
  </r>
  <r>
    <x v="3797"/>
    <n v="2260.9"/>
    <x v="11"/>
  </r>
  <r>
    <x v="3798"/>
    <n v="2260.9"/>
    <x v="11"/>
  </r>
  <r>
    <x v="3799"/>
    <n v="2260.9"/>
    <x v="11"/>
  </r>
  <r>
    <x v="3800"/>
    <n v="2259.88"/>
    <x v="11"/>
  </r>
  <r>
    <x v="3801"/>
    <n v="2263.6799999999998"/>
    <x v="11"/>
  </r>
  <r>
    <x v="3802"/>
    <n v="2265.6999999999998"/>
    <x v="11"/>
  </r>
  <r>
    <x v="3803"/>
    <n v="2267.4"/>
    <x v="11"/>
  </r>
  <r>
    <x v="3804"/>
    <n v="2270.92"/>
    <x v="11"/>
  </r>
  <r>
    <x v="3805"/>
    <n v="2270.92"/>
    <x v="11"/>
  </r>
  <r>
    <x v="3806"/>
    <n v="2270.92"/>
    <x v="11"/>
  </r>
  <r>
    <x v="3807"/>
    <n v="2275.35"/>
    <x v="11"/>
  </r>
  <r>
    <x v="3808"/>
    <n v="2275.4299999999998"/>
    <x v="11"/>
  </r>
  <r>
    <x v="3809"/>
    <n v="2275.4299999999998"/>
    <x v="11"/>
  </r>
  <r>
    <x v="3810"/>
    <n v="2279.56"/>
    <x v="11"/>
  </r>
  <r>
    <x v="3811"/>
    <n v="2286.39"/>
    <x v="11"/>
  </r>
  <r>
    <x v="3812"/>
    <n v="2286.39"/>
    <x v="11"/>
  </r>
  <r>
    <x v="3813"/>
    <n v="2286.39"/>
    <x v="11"/>
  </r>
  <r>
    <x v="3814"/>
    <n v="2285.64"/>
    <x v="11"/>
  </r>
  <r>
    <x v="3815"/>
    <n v="2286.6"/>
    <x v="11"/>
  </r>
  <r>
    <x v="3816"/>
    <n v="2284.9299999999998"/>
    <x v="11"/>
  </r>
  <r>
    <x v="3817"/>
    <n v="2289.17"/>
    <x v="11"/>
  </r>
  <r>
    <x v="3818"/>
    <n v="2292"/>
    <x v="11"/>
  </r>
  <r>
    <x v="3819"/>
    <n v="2292"/>
    <x v="11"/>
  </r>
  <r>
    <x v="3820"/>
    <n v="2292"/>
    <x v="11"/>
  </r>
  <r>
    <x v="3821"/>
    <n v="2292"/>
    <x v="11"/>
  </r>
  <r>
    <x v="3822"/>
    <n v="2293"/>
    <x v="11"/>
  </r>
  <r>
    <x v="3823"/>
    <n v="2300.02"/>
    <x v="11"/>
  </r>
  <r>
    <x v="3824"/>
    <n v="2314.21"/>
    <x v="11"/>
  </r>
  <r>
    <x v="3825"/>
    <n v="2332.6799999999998"/>
    <x v="11"/>
  </r>
  <r>
    <x v="3826"/>
    <n v="2332.6799999999998"/>
    <x v="11"/>
  </r>
  <r>
    <x v="3827"/>
    <n v="2332.6799999999998"/>
    <x v="11"/>
  </r>
  <r>
    <x v="3828"/>
    <n v="2350.1999999999998"/>
    <x v="11"/>
  </r>
  <r>
    <x v="3829"/>
    <n v="2363.2800000000002"/>
    <x v="11"/>
  </r>
  <r>
    <x v="3830"/>
    <n v="2349.8000000000002"/>
    <x v="11"/>
  </r>
  <r>
    <x v="3831"/>
    <n v="2338.5500000000002"/>
    <x v="11"/>
  </r>
  <r>
    <x v="3832"/>
    <n v="2331.0700000000002"/>
    <x v="11"/>
  </r>
  <r>
    <x v="3833"/>
    <n v="2331.0700000000002"/>
    <x v="11"/>
  </r>
  <r>
    <x v="3834"/>
    <n v="2331.0700000000002"/>
    <x v="11"/>
  </r>
  <r>
    <x v="3835"/>
    <n v="2309.85"/>
    <x v="11"/>
  </r>
  <r>
    <x v="3836"/>
    <n v="2314.3000000000002"/>
    <x v="11"/>
  </r>
  <r>
    <x v="3837"/>
    <n v="2317.12"/>
    <x v="11"/>
  </r>
  <r>
    <x v="3838"/>
    <n v="2321.16"/>
    <x v="11"/>
  </r>
  <r>
    <x v="3839"/>
    <n v="2321.6799999999998"/>
    <x v="11"/>
  </r>
  <r>
    <x v="3840"/>
    <n v="2321.6799999999998"/>
    <x v="11"/>
  </r>
  <r>
    <x v="3841"/>
    <n v="2321.6799999999998"/>
    <x v="11"/>
  </r>
  <r>
    <x v="3842"/>
    <n v="2321.6799999999998"/>
    <x v="11"/>
  </r>
  <r>
    <x v="3843"/>
    <n v="2324.54"/>
    <x v="11"/>
  </r>
  <r>
    <x v="3844"/>
    <n v="2331.69"/>
    <x v="11"/>
  </r>
  <r>
    <x v="3845"/>
    <n v="2335.3000000000002"/>
    <x v="11"/>
  </r>
  <r>
    <x v="3846"/>
    <n v="2336.11"/>
    <x v="11"/>
  </r>
  <r>
    <x v="3847"/>
    <n v="2336.11"/>
    <x v="11"/>
  </r>
  <r>
    <x v="3848"/>
    <n v="2336.11"/>
    <x v="11"/>
  </r>
  <r>
    <x v="3849"/>
    <n v="2336.11"/>
    <x v="11"/>
  </r>
  <r>
    <x v="3850"/>
    <n v="2340.36"/>
    <x v="11"/>
  </r>
  <r>
    <x v="3851"/>
    <n v="2347.6799999999998"/>
    <x v="11"/>
  </r>
  <r>
    <x v="3852"/>
    <n v="2357.14"/>
    <x v="11"/>
  </r>
  <r>
    <x v="3853"/>
    <n v="2369.12"/>
    <x v="11"/>
  </r>
  <r>
    <x v="3854"/>
    <n v="2369.12"/>
    <x v="11"/>
  </r>
  <r>
    <x v="3855"/>
    <n v="2369.12"/>
    <x v="11"/>
  </r>
  <r>
    <x v="3856"/>
    <n v="2379.92"/>
    <x v="11"/>
  </r>
  <r>
    <x v="3857"/>
    <n v="2383.31"/>
    <x v="11"/>
  </r>
  <r>
    <x v="3858"/>
    <n v="2393.87"/>
    <x v="11"/>
  </r>
  <r>
    <x v="3859"/>
    <n v="2391.65"/>
    <x v="11"/>
  </r>
  <r>
    <x v="3860"/>
    <n v="2384.2199999999998"/>
    <x v="11"/>
  </r>
  <r>
    <x v="3861"/>
    <n v="2384.2199999999998"/>
    <x v="11"/>
  </r>
  <r>
    <x v="3862"/>
    <n v="2384.2199999999998"/>
    <x v="11"/>
  </r>
  <r>
    <x v="3863"/>
    <n v="2383.41"/>
    <x v="11"/>
  </r>
  <r>
    <x v="3864"/>
    <n v="2386.1799999999998"/>
    <x v="11"/>
  </r>
  <r>
    <x v="3865"/>
    <n v="2392.13"/>
    <x v="11"/>
  </r>
  <r>
    <x v="3866"/>
    <n v="2398.14"/>
    <x v="11"/>
  </r>
  <r>
    <x v="3867"/>
    <n v="2398.8200000000002"/>
    <x v="11"/>
  </r>
  <r>
    <x v="3868"/>
    <n v="2398.8200000000002"/>
    <x v="11"/>
  </r>
  <r>
    <x v="3869"/>
    <n v="2398.8200000000002"/>
    <x v="11"/>
  </r>
  <r>
    <x v="3870"/>
    <n v="2398.8200000000002"/>
    <x v="11"/>
  </r>
  <r>
    <x v="3871"/>
    <n v="2410.54"/>
    <x v="11"/>
  </r>
  <r>
    <x v="3872"/>
    <n v="2425.42"/>
    <x v="11"/>
  </r>
  <r>
    <x v="3873"/>
    <n v="2426.4"/>
    <x v="11"/>
  </r>
  <r>
    <x v="3874"/>
    <n v="2434.3200000000002"/>
    <x v="11"/>
  </r>
  <r>
    <x v="3875"/>
    <n v="2434.3200000000002"/>
    <x v="11"/>
  </r>
  <r>
    <x v="3876"/>
    <n v="2434.3200000000002"/>
    <x v="11"/>
  </r>
  <r>
    <x v="3877"/>
    <n v="2457.39"/>
    <x v="11"/>
  </r>
  <r>
    <x v="3878"/>
    <n v="2462.1799999999998"/>
    <x v="11"/>
  </r>
  <r>
    <x v="3879"/>
    <n v="2482.21"/>
    <x v="11"/>
  </r>
  <r>
    <x v="3880"/>
    <n v="2506.84"/>
    <x v="11"/>
  </r>
  <r>
    <x v="3881"/>
    <n v="2513.9899999999998"/>
    <x v="11"/>
  </r>
  <r>
    <x v="3882"/>
    <n v="2513.9899999999998"/>
    <x v="11"/>
  </r>
  <r>
    <x v="3883"/>
    <n v="2513.9899999999998"/>
    <x v="11"/>
  </r>
  <r>
    <x v="3884"/>
    <n v="2507.21"/>
    <x v="11"/>
  </r>
  <r>
    <x v="3885"/>
    <n v="2499.92"/>
    <x v="11"/>
  </r>
  <r>
    <x v="3886"/>
    <n v="2524.7600000000002"/>
    <x v="11"/>
  </r>
  <r>
    <x v="3887"/>
    <n v="2538.4699999999998"/>
    <x v="11"/>
  </r>
  <r>
    <x v="3888"/>
    <n v="2529.5700000000002"/>
    <x v="11"/>
  </r>
  <r>
    <x v="3889"/>
    <n v="2529.5700000000002"/>
    <x v="11"/>
  </r>
  <r>
    <x v="3890"/>
    <n v="2529.5700000000002"/>
    <x v="11"/>
  </r>
  <r>
    <x v="3891"/>
    <n v="2517.42"/>
    <x v="11"/>
  </r>
  <r>
    <x v="3892"/>
    <n v="2539"/>
    <x v="11"/>
  </r>
  <r>
    <x v="3893"/>
    <n v="2572.42"/>
    <x v="11"/>
  </r>
  <r>
    <x v="3894"/>
    <n v="2580.15"/>
    <x v="11"/>
  </r>
  <r>
    <x v="3895"/>
    <n v="2596.2600000000002"/>
    <x v="11"/>
  </r>
  <r>
    <x v="3896"/>
    <n v="2596.2600000000002"/>
    <x v="11"/>
  </r>
  <r>
    <x v="3897"/>
    <n v="2596.2600000000002"/>
    <x v="11"/>
  </r>
  <r>
    <x v="3898"/>
    <n v="2599.5700000000002"/>
    <x v="11"/>
  </r>
  <r>
    <x v="3899"/>
    <n v="2625.06"/>
    <x v="11"/>
  </r>
  <r>
    <x v="3900"/>
    <n v="2636.3"/>
    <x v="11"/>
  </r>
  <r>
    <x v="3901"/>
    <n v="2640.35"/>
    <x v="11"/>
  </r>
  <r>
    <x v="3902"/>
    <n v="2643.03"/>
    <x v="11"/>
  </r>
  <r>
    <x v="3903"/>
    <n v="2643.03"/>
    <x v="11"/>
  </r>
  <r>
    <x v="3904"/>
    <n v="2643.03"/>
    <x v="11"/>
  </r>
  <r>
    <x v="3905"/>
    <n v="2663.81"/>
    <x v="11"/>
  </r>
  <r>
    <x v="3906"/>
    <n v="2670.61"/>
    <x v="11"/>
  </r>
  <r>
    <x v="3907"/>
    <n v="2670.61"/>
    <x v="11"/>
  </r>
  <r>
    <x v="3908"/>
    <n v="2649.32"/>
    <x v="11"/>
  </r>
  <r>
    <x v="3909"/>
    <n v="2568.8000000000002"/>
    <x v="11"/>
  </r>
  <r>
    <x v="3910"/>
    <n v="2568.8000000000002"/>
    <x v="11"/>
  </r>
  <r>
    <x v="3911"/>
    <n v="2568.8000000000002"/>
    <x v="11"/>
  </r>
  <r>
    <x v="3912"/>
    <n v="2595.8000000000002"/>
    <x v="11"/>
  </r>
  <r>
    <x v="3913"/>
    <n v="2657.98"/>
    <x v="11"/>
  </r>
  <r>
    <x v="3914"/>
    <n v="2635.87"/>
    <x v="11"/>
  </r>
  <r>
    <x v="3915"/>
    <n v="2648.77"/>
    <x v="11"/>
  </r>
  <r>
    <x v="3916"/>
    <n v="2663.61"/>
    <x v="11"/>
  </r>
  <r>
    <x v="3917"/>
    <n v="2663.61"/>
    <x v="11"/>
  </r>
  <r>
    <x v="3918"/>
    <n v="2663.61"/>
    <x v="11"/>
  </r>
  <r>
    <x v="3919"/>
    <n v="2663.61"/>
    <x v="11"/>
  </r>
  <r>
    <x v="3920"/>
    <n v="2620.91"/>
    <x v="11"/>
  </r>
  <r>
    <x v="3921"/>
    <n v="2626.17"/>
    <x v="11"/>
  </r>
  <r>
    <x v="3922"/>
    <n v="2652.96"/>
    <x v="11"/>
  </r>
  <r>
    <x v="3923"/>
    <n v="2643.37"/>
    <x v="11"/>
  </r>
  <r>
    <x v="3924"/>
    <n v="2643.37"/>
    <x v="11"/>
  </r>
  <r>
    <x v="3925"/>
    <n v="2643.37"/>
    <x v="11"/>
  </r>
  <r>
    <x v="3926"/>
    <n v="2653.29"/>
    <x v="11"/>
  </r>
  <r>
    <x v="3927"/>
    <n v="2672.25"/>
    <x v="11"/>
  </r>
  <r>
    <x v="3928"/>
    <n v="2688.64"/>
    <x v="11"/>
  </r>
  <r>
    <x v="3929"/>
    <n v="2712.46"/>
    <x v="11"/>
  </r>
  <r>
    <x v="3930"/>
    <n v="2703.55"/>
    <x v="11"/>
  </r>
  <r>
    <x v="3931"/>
    <n v="2703.55"/>
    <x v="11"/>
  </r>
  <r>
    <x v="3932"/>
    <n v="2703.55"/>
    <x v="11"/>
  </r>
  <r>
    <x v="3933"/>
    <n v="2679.51"/>
    <x v="11"/>
  </r>
  <r>
    <x v="3934"/>
    <n v="2677.39"/>
    <x v="11"/>
  </r>
  <r>
    <x v="3935"/>
    <n v="2694.51"/>
    <x v="11"/>
  </r>
  <r>
    <x v="3936"/>
    <n v="2714.77"/>
    <x v="11"/>
  </r>
  <r>
    <x v="3937"/>
    <n v="2712.14"/>
    <x v="11"/>
  </r>
  <r>
    <x v="3938"/>
    <n v="2712.14"/>
    <x v="11"/>
  </r>
  <r>
    <x v="3939"/>
    <n v="2712.14"/>
    <x v="11"/>
  </r>
  <r>
    <x v="3940"/>
    <n v="2703.63"/>
    <x v="11"/>
  </r>
  <r>
    <x v="3941"/>
    <n v="2707.58"/>
    <x v="11"/>
  </r>
  <r>
    <x v="3942"/>
    <n v="2718.85"/>
    <x v="11"/>
  </r>
  <r>
    <x v="3943"/>
    <n v="2730.91"/>
    <x v="11"/>
  </r>
  <r>
    <x v="3944"/>
    <n v="2741.29"/>
    <x v="11"/>
  </r>
  <r>
    <x v="3945"/>
    <n v="2741.29"/>
    <x v="11"/>
  </r>
  <r>
    <x v="3946"/>
    <n v="2741.29"/>
    <x v="11"/>
  </r>
  <r>
    <x v="3947"/>
    <n v="2758.95"/>
    <x v="11"/>
  </r>
  <r>
    <x v="3948"/>
    <n v="2783.44"/>
    <x v="11"/>
  </r>
  <r>
    <x v="3949"/>
    <n v="2785.81"/>
    <x v="11"/>
  </r>
  <r>
    <x v="3950"/>
    <n v="2789.01"/>
    <x v="11"/>
  </r>
  <r>
    <x v="3951"/>
    <n v="2815.05"/>
    <x v="11"/>
  </r>
  <r>
    <x v="3952"/>
    <n v="2815.05"/>
    <x v="11"/>
  </r>
  <r>
    <x v="3953"/>
    <n v="2815.05"/>
    <x v="11"/>
  </r>
  <r>
    <x v="3954"/>
    <n v="2793.36"/>
    <x v="11"/>
  </r>
  <r>
    <x v="3955"/>
    <n v="2810.46"/>
    <x v="11"/>
  </r>
  <r>
    <x v="3956"/>
    <n v="2802.32"/>
    <x v="11"/>
  </r>
  <r>
    <x v="3957"/>
    <n v="2825.32"/>
    <x v="11"/>
  </r>
  <r>
    <x v="3958"/>
    <n v="2828.08"/>
    <x v="11"/>
  </r>
  <r>
    <x v="3959"/>
    <n v="2828.08"/>
    <x v="11"/>
  </r>
  <r>
    <x v="3960"/>
    <n v="2828.08"/>
    <x v="11"/>
  </r>
  <r>
    <x v="3961"/>
    <n v="2850.65"/>
    <x v="11"/>
  </r>
  <r>
    <x v="3962"/>
    <n v="2885.48"/>
    <x v="11"/>
  </r>
  <r>
    <x v="3963"/>
    <n v="2888.23"/>
    <x v="11"/>
  </r>
  <r>
    <x v="3964"/>
    <n v="2881.78"/>
    <x v="11"/>
  </r>
  <r>
    <x v="3965"/>
    <n v="2876.4"/>
    <x v="11"/>
  </r>
  <r>
    <x v="3966"/>
    <n v="2876.4"/>
    <x v="11"/>
  </r>
  <r>
    <x v="3967"/>
    <n v="2876.4"/>
    <x v="11"/>
  </r>
  <r>
    <x v="3968"/>
    <n v="2869.73"/>
    <x v="11"/>
  </r>
  <r>
    <x v="3969"/>
    <n v="2850.98"/>
    <x v="11"/>
  </r>
  <r>
    <x v="3970"/>
    <n v="2854.04"/>
    <x v="11"/>
  </r>
  <r>
    <x v="3971"/>
    <n v="2870.63"/>
    <x v="11"/>
  </r>
  <r>
    <x v="3972"/>
    <n v="2861.16"/>
    <x v="11"/>
  </r>
  <r>
    <x v="3973"/>
    <n v="2861.16"/>
    <x v="11"/>
  </r>
  <r>
    <x v="3974"/>
    <n v="2861.16"/>
    <x v="11"/>
  </r>
  <r>
    <x v="3975"/>
    <n v="2861.16"/>
    <x v="11"/>
  </r>
  <r>
    <x v="3976"/>
    <n v="2852.99"/>
    <x v="11"/>
  </r>
  <r>
    <x v="3977"/>
    <n v="2857.13"/>
    <x v="11"/>
  </r>
  <r>
    <x v="3978"/>
    <n v="2853.9"/>
    <x v="11"/>
  </r>
  <r>
    <x v="3979"/>
    <n v="2836.34"/>
    <x v="11"/>
  </r>
  <r>
    <x v="3980"/>
    <n v="2836.34"/>
    <x v="11"/>
  </r>
  <r>
    <x v="3981"/>
    <n v="2836.34"/>
    <x v="11"/>
  </r>
  <r>
    <x v="3982"/>
    <n v="2791.46"/>
    <x v="11"/>
  </r>
  <r>
    <x v="3983"/>
    <n v="2758.76"/>
    <x v="11"/>
  </r>
  <r>
    <x v="3984"/>
    <n v="2744.32"/>
    <x v="11"/>
  </r>
  <r>
    <x v="3985"/>
    <n v="2747.07"/>
    <x v="11"/>
  </r>
  <r>
    <x v="3986"/>
    <n v="2755.69"/>
    <x v="11"/>
  </r>
  <r>
    <x v="3987"/>
    <n v="2755.69"/>
    <x v="11"/>
  </r>
  <r>
    <x v="3988"/>
    <n v="2755.69"/>
    <x v="11"/>
  </r>
  <r>
    <x v="3989"/>
    <n v="2770.73"/>
    <x v="11"/>
  </r>
  <r>
    <x v="3990"/>
    <n v="2781.72"/>
    <x v="11"/>
  </r>
  <r>
    <x v="3991"/>
    <n v="2773.73"/>
    <x v="11"/>
  </r>
  <r>
    <x v="3992"/>
    <n v="2778.6"/>
    <x v="11"/>
  </r>
  <r>
    <x v="3993"/>
    <n v="2778.47"/>
    <x v="11"/>
  </r>
  <r>
    <x v="3994"/>
    <n v="2778.47"/>
    <x v="11"/>
  </r>
  <r>
    <x v="3995"/>
    <n v="2778.47"/>
    <x v="11"/>
  </r>
  <r>
    <x v="3996"/>
    <n v="2778.47"/>
    <x v="11"/>
  </r>
  <r>
    <x v="3997"/>
    <n v="2774.58"/>
    <x v="11"/>
  </r>
  <r>
    <x v="3998"/>
    <n v="2761.99"/>
    <x v="11"/>
  </r>
  <r>
    <x v="3999"/>
    <n v="2743"/>
    <x v="11"/>
  </r>
  <r>
    <x v="4000"/>
    <n v="2743.92"/>
    <x v="11"/>
  </r>
  <r>
    <x v="4001"/>
    <n v="2743.92"/>
    <x v="11"/>
  </r>
  <r>
    <x v="4002"/>
    <n v="2743.92"/>
    <x v="11"/>
  </r>
  <r>
    <x v="4003"/>
    <n v="2743.92"/>
    <x v="11"/>
  </r>
  <r>
    <x v="4004"/>
    <n v="2727.05"/>
    <x v="11"/>
  </r>
  <r>
    <x v="4005"/>
    <n v="2717.89"/>
    <x v="11"/>
  </r>
  <r>
    <x v="4006"/>
    <n v="2724.04"/>
    <x v="11"/>
  </r>
  <r>
    <x v="4007"/>
    <n v="2703.75"/>
    <x v="11"/>
  </r>
  <r>
    <x v="4008"/>
    <n v="2703.75"/>
    <x v="11"/>
  </r>
  <r>
    <x v="4009"/>
    <n v="2703.75"/>
    <x v="11"/>
  </r>
  <r>
    <x v="4010"/>
    <n v="2679.96"/>
    <x v="11"/>
  </r>
  <r>
    <x v="4011"/>
    <n v="2683.04"/>
    <x v="11"/>
  </r>
  <r>
    <x v="4012"/>
    <n v="2671.7"/>
    <x v="11"/>
  </r>
  <r>
    <x v="4013"/>
    <n v="2666.41"/>
    <x v="11"/>
  </r>
  <r>
    <x v="4014"/>
    <n v="2687.25"/>
    <x v="11"/>
  </r>
  <r>
    <x v="4015"/>
    <n v="2687.25"/>
    <x v="11"/>
  </r>
  <r>
    <x v="4016"/>
    <n v="2687.25"/>
    <x v="11"/>
  </r>
  <r>
    <x v="4017"/>
    <n v="2716.95"/>
    <x v="11"/>
  </r>
  <r>
    <x v="4018"/>
    <n v="2735.04"/>
    <x v="11"/>
  </r>
  <r>
    <x v="4019"/>
    <n v="2754.67"/>
    <x v="11"/>
  </r>
  <r>
    <x v="4020"/>
    <n v="2758.28"/>
    <x v="11"/>
  </r>
  <r>
    <x v="4021"/>
    <n v="2784.21"/>
    <x v="11"/>
  </r>
  <r>
    <x v="4022"/>
    <n v="2784.21"/>
    <x v="11"/>
  </r>
  <r>
    <x v="4023"/>
    <n v="2784.21"/>
    <x v="11"/>
  </r>
  <r>
    <x v="4024"/>
    <n v="2812.94"/>
    <x v="11"/>
  </r>
  <r>
    <x v="4025"/>
    <n v="2826.1"/>
    <x v="11"/>
  </r>
  <r>
    <x v="4026"/>
    <n v="2806.63"/>
    <x v="11"/>
  </r>
  <r>
    <x v="4027"/>
    <n v="2788.72"/>
    <x v="11"/>
  </r>
  <r>
    <x v="4028"/>
    <n v="2782.4"/>
    <x v="11"/>
  </r>
  <r>
    <x v="4029"/>
    <n v="2782.4"/>
    <x v="11"/>
  </r>
  <r>
    <x v="4030"/>
    <n v="2782.4"/>
    <x v="11"/>
  </r>
  <r>
    <x v="4031"/>
    <n v="2815"/>
    <x v="11"/>
  </r>
  <r>
    <x v="4032"/>
    <n v="2816.42"/>
    <x v="11"/>
  </r>
  <r>
    <x v="4033"/>
    <n v="2801.01"/>
    <x v="11"/>
  </r>
  <r>
    <x v="4034"/>
    <n v="2793.16"/>
    <x v="11"/>
  </r>
  <r>
    <x v="4035"/>
    <n v="2808.16"/>
    <x v="11"/>
  </r>
  <r>
    <x v="4036"/>
    <n v="2808.16"/>
    <x v="11"/>
  </r>
  <r>
    <x v="4037"/>
    <n v="2808.16"/>
    <x v="11"/>
  </r>
  <r>
    <x v="4038"/>
    <n v="2807.61"/>
    <x v="11"/>
  </r>
  <r>
    <x v="4039"/>
    <n v="2805.55"/>
    <x v="11"/>
  </r>
  <r>
    <x v="4040"/>
    <n v="2818.81"/>
    <x v="11"/>
  </r>
  <r>
    <x v="4041"/>
    <n v="2818.54"/>
    <x v="11"/>
  </r>
  <r>
    <x v="4042"/>
    <n v="2814.71"/>
    <x v="11"/>
  </r>
  <r>
    <x v="4043"/>
    <n v="2814.71"/>
    <x v="11"/>
  </r>
  <r>
    <x v="4044"/>
    <n v="2814.71"/>
    <x v="11"/>
  </r>
  <r>
    <x v="4045"/>
    <n v="2826.04"/>
    <x v="11"/>
  </r>
  <r>
    <x v="4046"/>
    <n v="2823.95"/>
    <x v="11"/>
  </r>
  <r>
    <x v="4047"/>
    <n v="2823.95"/>
    <x v="11"/>
  </r>
  <r>
    <x v="4048"/>
    <n v="2843.57"/>
    <x v="11"/>
  </r>
  <r>
    <x v="4049"/>
    <n v="2854.29"/>
    <x v="11"/>
  </r>
  <r>
    <x v="4050"/>
    <n v="2854.29"/>
    <x v="11"/>
  </r>
  <r>
    <x v="4051"/>
    <n v="2854.29"/>
    <x v="11"/>
  </r>
  <r>
    <x v="4052"/>
    <n v="2864.79"/>
    <x v="11"/>
  </r>
  <r>
    <x v="4053"/>
    <n v="2864.79"/>
    <x v="12"/>
  </r>
  <r>
    <x v="4054"/>
    <n v="2864.79"/>
    <x v="12"/>
  </r>
  <r>
    <x v="4055"/>
    <n v="2844.82"/>
    <x v="12"/>
  </r>
  <r>
    <x v="4056"/>
    <n v="2841.56"/>
    <x v="12"/>
  </r>
  <r>
    <x v="4057"/>
    <n v="2841.56"/>
    <x v="12"/>
  </r>
  <r>
    <x v="4058"/>
    <n v="2841.56"/>
    <x v="12"/>
  </r>
  <r>
    <x v="4059"/>
    <n v="2841.56"/>
    <x v="12"/>
  </r>
  <r>
    <x v="4060"/>
    <n v="2881.83"/>
    <x v="12"/>
  </r>
  <r>
    <x v="4061"/>
    <n v="2902.92"/>
    <x v="12"/>
  </r>
  <r>
    <x v="4062"/>
    <n v="2915.01"/>
    <x v="12"/>
  </r>
  <r>
    <x v="4063"/>
    <n v="2905.77"/>
    <x v="12"/>
  </r>
  <r>
    <x v="4064"/>
    <n v="2905.77"/>
    <x v="12"/>
  </r>
  <r>
    <x v="4065"/>
    <n v="2905.77"/>
    <x v="12"/>
  </r>
  <r>
    <x v="4066"/>
    <n v="2906.49"/>
    <x v="12"/>
  </r>
  <r>
    <x v="4067"/>
    <n v="2903.05"/>
    <x v="12"/>
  </r>
  <r>
    <x v="4068"/>
    <n v="2905.41"/>
    <x v="12"/>
  </r>
  <r>
    <x v="4069"/>
    <n v="2928.19"/>
    <x v="12"/>
  </r>
  <r>
    <x v="4070"/>
    <n v="2923.58"/>
    <x v="12"/>
  </r>
  <r>
    <x v="4071"/>
    <n v="2923.58"/>
    <x v="12"/>
  </r>
  <r>
    <x v="4072"/>
    <n v="2923.58"/>
    <x v="12"/>
  </r>
  <r>
    <x v="4073"/>
    <n v="2926.06"/>
    <x v="12"/>
  </r>
  <r>
    <x v="4074"/>
    <n v="2933.81"/>
    <x v="12"/>
  </r>
  <r>
    <x v="4075"/>
    <n v="2947.05"/>
    <x v="12"/>
  </r>
  <r>
    <x v="4076"/>
    <n v="2926.88"/>
    <x v="12"/>
  </r>
  <r>
    <x v="4077"/>
    <n v="2924.73"/>
    <x v="12"/>
  </r>
  <r>
    <x v="4078"/>
    <n v="2924.73"/>
    <x v="12"/>
  </r>
  <r>
    <x v="4079"/>
    <n v="2924.73"/>
    <x v="12"/>
  </r>
  <r>
    <x v="4080"/>
    <n v="2948.3"/>
    <x v="12"/>
  </r>
  <r>
    <x v="4081"/>
    <n v="2965.6"/>
    <x v="12"/>
  </r>
  <r>
    <x v="4082"/>
    <n v="2950.71"/>
    <x v="12"/>
  </r>
  <r>
    <x v="4083"/>
    <n v="2926.46"/>
    <x v="12"/>
  </r>
  <r>
    <x v="4084"/>
    <n v="2940.26"/>
    <x v="12"/>
  </r>
  <r>
    <x v="4085"/>
    <n v="2940.26"/>
    <x v="12"/>
  </r>
  <r>
    <x v="4086"/>
    <n v="2940.26"/>
    <x v="12"/>
  </r>
  <r>
    <x v="4087"/>
    <n v="2957.4"/>
    <x v="12"/>
  </r>
  <r>
    <x v="4088"/>
    <n v="2966.78"/>
    <x v="12"/>
  </r>
  <r>
    <x v="4089"/>
    <n v="2961.29"/>
    <x v="12"/>
  </r>
  <r>
    <x v="4090"/>
    <n v="2963.28"/>
    <x v="12"/>
  </r>
  <r>
    <x v="4091"/>
    <n v="2954.03"/>
    <x v="12"/>
  </r>
  <r>
    <x v="4092"/>
    <n v="2954.03"/>
    <x v="12"/>
  </r>
  <r>
    <x v="4093"/>
    <n v="2954.03"/>
    <x v="12"/>
  </r>
  <r>
    <x v="4094"/>
    <n v="2968.88"/>
    <x v="12"/>
  </r>
  <r>
    <x v="4095"/>
    <n v="2963.21"/>
    <x v="12"/>
  </r>
  <r>
    <x v="4096"/>
    <n v="2960.77"/>
    <x v="12"/>
  </r>
  <r>
    <x v="4097"/>
    <n v="2959.75"/>
    <x v="12"/>
  </r>
  <r>
    <x v="4098"/>
    <n v="2954.76"/>
    <x v="12"/>
  </r>
  <r>
    <x v="4099"/>
    <n v="2954.76"/>
    <x v="12"/>
  </r>
  <r>
    <x v="4100"/>
    <n v="2954.76"/>
    <x v="12"/>
  </r>
  <r>
    <x v="4101"/>
    <n v="2934.58"/>
    <x v="12"/>
  </r>
  <r>
    <x v="4102"/>
    <n v="2929.64"/>
    <x v="12"/>
  </r>
  <r>
    <x v="4103"/>
    <n v="2937.44"/>
    <x v="12"/>
  </r>
  <r>
    <x v="4104"/>
    <n v="2938.23"/>
    <x v="12"/>
  </r>
  <r>
    <x v="4105"/>
    <n v="2939.92"/>
    <x v="12"/>
  </r>
  <r>
    <x v="4106"/>
    <n v="2939.92"/>
    <x v="12"/>
  </r>
  <r>
    <x v="4107"/>
    <n v="2939.92"/>
    <x v="12"/>
  </r>
  <r>
    <x v="4108"/>
    <n v="2949.05"/>
    <x v="12"/>
  </r>
  <r>
    <x v="4109"/>
    <n v="2951.81"/>
    <x v="12"/>
  </r>
  <r>
    <x v="4110"/>
    <n v="2949.85"/>
    <x v="12"/>
  </r>
  <r>
    <x v="4111"/>
    <n v="2956.31"/>
    <x v="12"/>
  </r>
  <r>
    <x v="4112"/>
    <n v="2957.87"/>
    <x v="12"/>
  </r>
  <r>
    <x v="4113"/>
    <n v="2957.87"/>
    <x v="12"/>
  </r>
  <r>
    <x v="4114"/>
    <n v="2957.87"/>
    <x v="12"/>
  </r>
  <r>
    <x v="4115"/>
    <n v="2959.97"/>
    <x v="12"/>
  </r>
  <r>
    <x v="4116"/>
    <n v="2962.06"/>
    <x v="12"/>
  </r>
  <r>
    <x v="4117"/>
    <n v="2960.77"/>
    <x v="12"/>
  </r>
  <r>
    <x v="4118"/>
    <n v="2960.11"/>
    <x v="12"/>
  </r>
  <r>
    <x v="4119"/>
    <n v="2959.75"/>
    <x v="12"/>
  </r>
  <r>
    <x v="4120"/>
    <n v="2959.75"/>
    <x v="12"/>
  </r>
  <r>
    <x v="4121"/>
    <n v="2959.75"/>
    <x v="12"/>
  </r>
  <r>
    <x v="4122"/>
    <n v="2961.93"/>
    <x v="12"/>
  </r>
  <r>
    <x v="4123"/>
    <n v="2962.76"/>
    <x v="12"/>
  </r>
  <r>
    <x v="4124"/>
    <n v="2961.99"/>
    <x v="12"/>
  </r>
  <r>
    <x v="4125"/>
    <n v="2959.39"/>
    <x v="12"/>
  </r>
  <r>
    <x v="4126"/>
    <n v="2958.86"/>
    <x v="12"/>
  </r>
  <r>
    <x v="4127"/>
    <n v="2958.86"/>
    <x v="12"/>
  </r>
  <r>
    <x v="4128"/>
    <n v="2958.86"/>
    <x v="12"/>
  </r>
  <r>
    <x v="4129"/>
    <n v="2956.47"/>
    <x v="12"/>
  </r>
  <r>
    <x v="4130"/>
    <n v="2955.84"/>
    <x v="12"/>
  </r>
  <r>
    <x v="4131"/>
    <n v="2955.64"/>
    <x v="12"/>
  </r>
  <r>
    <x v="4132"/>
    <n v="2954.62"/>
    <x v="12"/>
  </r>
  <r>
    <x v="4133"/>
    <n v="2956.06"/>
    <x v="12"/>
  </r>
  <r>
    <x v="4134"/>
    <n v="2956.06"/>
    <x v="12"/>
  </r>
  <r>
    <x v="4135"/>
    <n v="2956.06"/>
    <x v="12"/>
  </r>
  <r>
    <x v="4136"/>
    <n v="2956.06"/>
    <x v="12"/>
  </r>
  <r>
    <x v="4137"/>
    <n v="2959.26"/>
    <x v="12"/>
  </r>
  <r>
    <x v="4138"/>
    <n v="2959.84"/>
    <x v="12"/>
  </r>
  <r>
    <x v="4139"/>
    <n v="2958.73"/>
    <x v="12"/>
  </r>
  <r>
    <x v="4140"/>
    <n v="2958.25"/>
    <x v="12"/>
  </r>
  <r>
    <x v="4141"/>
    <n v="2958.25"/>
    <x v="12"/>
  </r>
  <r>
    <x v="4142"/>
    <n v="2958.25"/>
    <x v="12"/>
  </r>
  <r>
    <x v="4143"/>
    <n v="2958.15"/>
    <x v="12"/>
  </r>
  <r>
    <x v="4144"/>
    <n v="2958.56"/>
    <x v="12"/>
  </r>
  <r>
    <x v="4145"/>
    <n v="2956.5"/>
    <x v="12"/>
  </r>
  <r>
    <x v="4146"/>
    <n v="2951.14"/>
    <x v="12"/>
  </r>
  <r>
    <x v="4147"/>
    <n v="2946.79"/>
    <x v="12"/>
  </r>
  <r>
    <x v="4148"/>
    <n v="2946.79"/>
    <x v="12"/>
  </r>
  <r>
    <x v="4149"/>
    <n v="2946.79"/>
    <x v="12"/>
  </r>
  <r>
    <x v="4150"/>
    <n v="2942.41"/>
    <x v="12"/>
  </r>
  <r>
    <x v="4151"/>
    <n v="2938.32"/>
    <x v="12"/>
  </r>
  <r>
    <x v="4152"/>
    <n v="2920.4"/>
    <x v="12"/>
  </r>
  <r>
    <x v="4153"/>
    <n v="2911.74"/>
    <x v="12"/>
  </r>
  <r>
    <x v="4154"/>
    <n v="2923.07"/>
    <x v="12"/>
  </r>
  <r>
    <x v="4155"/>
    <n v="2923.07"/>
    <x v="12"/>
  </r>
  <r>
    <x v="4156"/>
    <n v="2923.07"/>
    <x v="12"/>
  </r>
  <r>
    <x v="4157"/>
    <n v="2931.69"/>
    <x v="12"/>
  </r>
  <r>
    <x v="4158"/>
    <n v="2919.58"/>
    <x v="12"/>
  </r>
  <r>
    <x v="4159"/>
    <n v="2918.01"/>
    <x v="12"/>
  </r>
  <r>
    <x v="4160"/>
    <n v="2918.01"/>
    <x v="12"/>
  </r>
  <r>
    <x v="4161"/>
    <n v="2918.01"/>
    <x v="12"/>
  </r>
  <r>
    <x v="4162"/>
    <n v="2918.01"/>
    <x v="12"/>
  </r>
  <r>
    <x v="4163"/>
    <n v="2918.01"/>
    <x v="12"/>
  </r>
  <r>
    <x v="4164"/>
    <n v="2920.04"/>
    <x v="12"/>
  </r>
  <r>
    <x v="4165"/>
    <n v="2916.03"/>
    <x v="12"/>
  </r>
  <r>
    <x v="4166"/>
    <n v="2911"/>
    <x v="12"/>
  </r>
  <r>
    <x v="4167"/>
    <n v="2908.25"/>
    <x v="12"/>
  </r>
  <r>
    <x v="4168"/>
    <n v="2912.83"/>
    <x v="12"/>
  </r>
  <r>
    <x v="4169"/>
    <n v="2912.83"/>
    <x v="12"/>
  </r>
  <r>
    <x v="4170"/>
    <n v="2912.83"/>
    <x v="12"/>
  </r>
  <r>
    <x v="4171"/>
    <n v="2900"/>
    <x v="12"/>
  </r>
  <r>
    <x v="4172"/>
    <n v="2887.82"/>
    <x v="12"/>
  </r>
  <r>
    <x v="4173"/>
    <n v="2868.43"/>
    <x v="12"/>
  </r>
  <r>
    <x v="4174"/>
    <n v="2868.43"/>
    <x v="12"/>
  </r>
  <r>
    <x v="4175"/>
    <n v="2865.94"/>
    <x v="12"/>
  </r>
  <r>
    <x v="4176"/>
    <n v="2865.94"/>
    <x v="12"/>
  </r>
  <r>
    <x v="4177"/>
    <n v="2865.94"/>
    <x v="12"/>
  </r>
  <r>
    <x v="4178"/>
    <n v="2858.37"/>
    <x v="12"/>
  </r>
  <r>
    <x v="4179"/>
    <n v="2856.98"/>
    <x v="12"/>
  </r>
  <r>
    <x v="4180"/>
    <n v="2866.06"/>
    <x v="12"/>
  </r>
  <r>
    <x v="4181"/>
    <n v="2848.41"/>
    <x v="12"/>
  </r>
  <r>
    <x v="4182"/>
    <n v="2840.04"/>
    <x v="12"/>
  </r>
  <r>
    <x v="4183"/>
    <n v="2840.04"/>
    <x v="12"/>
  </r>
  <r>
    <x v="4184"/>
    <n v="2840.04"/>
    <x v="12"/>
  </r>
  <r>
    <x v="4185"/>
    <n v="2833.86"/>
    <x v="12"/>
  </r>
  <r>
    <x v="4186"/>
    <n v="2813.6"/>
    <x v="12"/>
  </r>
  <r>
    <x v="4187"/>
    <n v="2821.08"/>
    <x v="12"/>
  </r>
  <r>
    <x v="4188"/>
    <n v="2827.99"/>
    <x v="12"/>
  </r>
  <r>
    <x v="4189"/>
    <n v="2816.46"/>
    <x v="12"/>
  </r>
  <r>
    <x v="4190"/>
    <n v="2816.46"/>
    <x v="12"/>
  </r>
  <r>
    <x v="4191"/>
    <n v="2816.46"/>
    <x v="12"/>
  </r>
  <r>
    <x v="4192"/>
    <n v="2874.77"/>
    <x v="12"/>
  </r>
  <r>
    <x v="4193"/>
    <n v="2909.83"/>
    <x v="12"/>
  </r>
  <r>
    <x v="4194"/>
    <n v="2912.46"/>
    <x v="12"/>
  </r>
  <r>
    <x v="4195"/>
    <n v="2905.91"/>
    <x v="12"/>
  </r>
  <r>
    <x v="4196"/>
    <n v="2868.37"/>
    <x v="12"/>
  </r>
  <r>
    <x v="4197"/>
    <n v="2868.37"/>
    <x v="12"/>
  </r>
  <r>
    <x v="4198"/>
    <n v="2868.37"/>
    <x v="12"/>
  </r>
  <r>
    <x v="4199"/>
    <n v="2868.37"/>
    <x v="12"/>
  </r>
  <r>
    <x v="4200"/>
    <n v="2850.03"/>
    <x v="12"/>
  </r>
  <r>
    <x v="4201"/>
    <n v="2874.91"/>
    <x v="12"/>
  </r>
  <r>
    <x v="4202"/>
    <n v="2855.88"/>
    <x v="12"/>
  </r>
  <r>
    <x v="4203"/>
    <n v="2853.33"/>
    <x v="12"/>
  </r>
  <r>
    <x v="4204"/>
    <n v="2853.33"/>
    <x v="12"/>
  </r>
  <r>
    <x v="4205"/>
    <n v="2853.33"/>
    <x v="12"/>
  </r>
  <r>
    <x v="4206"/>
    <n v="2853.33"/>
    <x v="12"/>
  </r>
  <r>
    <x v="4207"/>
    <n v="2846.16"/>
    <x v="12"/>
  </r>
  <r>
    <x v="4208"/>
    <n v="2849.71"/>
    <x v="12"/>
  </r>
  <r>
    <x v="4209"/>
    <n v="2839.21"/>
    <x v="12"/>
  </r>
  <r>
    <x v="4210"/>
    <n v="2828.2"/>
    <x v="12"/>
  </r>
  <r>
    <x v="4211"/>
    <n v="2828.2"/>
    <x v="12"/>
  </r>
  <r>
    <x v="4212"/>
    <n v="2828.2"/>
    <x v="12"/>
  </r>
  <r>
    <x v="4213"/>
    <n v="2818.5"/>
    <x v="12"/>
  </r>
  <r>
    <x v="4214"/>
    <n v="2809.63"/>
    <x v="12"/>
  </r>
  <r>
    <x v="4215"/>
    <n v="2821.27"/>
    <x v="12"/>
  </r>
  <r>
    <x v="4216"/>
    <n v="2832.2"/>
    <x v="12"/>
  </r>
  <r>
    <x v="4217"/>
    <n v="2821.61"/>
    <x v="12"/>
  </r>
  <r>
    <x v="4218"/>
    <n v="2821.61"/>
    <x v="12"/>
  </r>
  <r>
    <x v="4219"/>
    <n v="2821.61"/>
    <x v="12"/>
  </r>
  <r>
    <x v="4220"/>
    <n v="2818.62"/>
    <x v="12"/>
  </r>
  <r>
    <x v="4221"/>
    <n v="2828.96"/>
    <x v="12"/>
  </r>
  <r>
    <x v="4222"/>
    <n v="2829.42"/>
    <x v="12"/>
  </r>
  <r>
    <x v="4223"/>
    <n v="2827.4"/>
    <x v="12"/>
  </r>
  <r>
    <x v="4224"/>
    <n v="2826.36"/>
    <x v="12"/>
  </r>
  <r>
    <x v="4225"/>
    <n v="2826.36"/>
    <x v="12"/>
  </r>
  <r>
    <x v="4226"/>
    <n v="2826.36"/>
    <x v="12"/>
  </r>
  <r>
    <x v="4227"/>
    <n v="2826.36"/>
    <x v="12"/>
  </r>
  <r>
    <x v="4228"/>
    <n v="2815.26"/>
    <x v="12"/>
  </r>
  <r>
    <x v="4229"/>
    <n v="2806.96"/>
    <x v="12"/>
  </r>
  <r>
    <x v="4230"/>
    <n v="2812.28"/>
    <x v="12"/>
  </r>
  <r>
    <x v="4231"/>
    <n v="2817.32"/>
    <x v="12"/>
  </r>
  <r>
    <x v="4232"/>
    <n v="2817.32"/>
    <x v="12"/>
  </r>
  <r>
    <x v="4233"/>
    <n v="2817.32"/>
    <x v="12"/>
  </r>
  <r>
    <x v="4234"/>
    <n v="2817.32"/>
    <x v="12"/>
  </r>
  <r>
    <x v="4235"/>
    <n v="2817.63"/>
    <x v="12"/>
  </r>
  <r>
    <x v="4236"/>
    <n v="2812.4"/>
    <x v="12"/>
  </r>
  <r>
    <x v="4237"/>
    <n v="2815.14"/>
    <x v="12"/>
  </r>
  <r>
    <x v="4238"/>
    <n v="2815.14"/>
    <x v="12"/>
  </r>
  <r>
    <x v="4239"/>
    <n v="2815.14"/>
    <x v="12"/>
  </r>
  <r>
    <x v="4240"/>
    <n v="2815.14"/>
    <x v="12"/>
  </r>
  <r>
    <x v="4241"/>
    <n v="2820.85"/>
    <x v="12"/>
  </r>
  <r>
    <x v="4242"/>
    <n v="2838.88"/>
    <x v="12"/>
  </r>
  <r>
    <x v="4243"/>
    <n v="2846.89"/>
    <x v="12"/>
  </r>
  <r>
    <x v="4244"/>
    <n v="2855.41"/>
    <x v="12"/>
  </r>
  <r>
    <x v="4245"/>
    <n v="2856.96"/>
    <x v="12"/>
  </r>
  <r>
    <x v="4246"/>
    <n v="2856.96"/>
    <x v="12"/>
  </r>
  <r>
    <x v="4247"/>
    <n v="2856.96"/>
    <x v="12"/>
  </r>
  <r>
    <x v="4248"/>
    <n v="2871.88"/>
    <x v="12"/>
  </r>
  <r>
    <x v="4249"/>
    <n v="2879.37"/>
    <x v="12"/>
  </r>
  <r>
    <x v="4250"/>
    <n v="2888.57"/>
    <x v="12"/>
  </r>
  <r>
    <x v="4251"/>
    <n v="2883.9"/>
    <x v="12"/>
  </r>
  <r>
    <x v="4252"/>
    <n v="2880.69"/>
    <x v="12"/>
  </r>
  <r>
    <x v="4253"/>
    <n v="2880.69"/>
    <x v="12"/>
  </r>
  <r>
    <x v="4254"/>
    <n v="2880.69"/>
    <x v="12"/>
  </r>
  <r>
    <x v="4255"/>
    <n v="2878.33"/>
    <x v="12"/>
  </r>
  <r>
    <x v="4256"/>
    <n v="2878.56"/>
    <x v="12"/>
  </r>
  <r>
    <x v="4257"/>
    <n v="2882.7"/>
    <x v="12"/>
  </r>
  <r>
    <x v="4258"/>
    <n v="2887.31"/>
    <x v="12"/>
  </r>
  <r>
    <x v="4259"/>
    <n v="2888.32"/>
    <x v="12"/>
  </r>
  <r>
    <x v="4260"/>
    <n v="2888.32"/>
    <x v="12"/>
  </r>
  <r>
    <x v="4261"/>
    <n v="2888.32"/>
    <x v="12"/>
  </r>
  <r>
    <x v="4262"/>
    <n v="2883.15"/>
    <x v="12"/>
  </r>
  <r>
    <x v="4263"/>
    <n v="2873.17"/>
    <x v="12"/>
  </r>
  <r>
    <x v="4264"/>
    <n v="2880.4"/>
    <x v="12"/>
  </r>
  <r>
    <x v="4265"/>
    <n v="2879.6"/>
    <x v="12"/>
  </r>
  <r>
    <x v="4266"/>
    <n v="2886.87"/>
    <x v="12"/>
  </r>
  <r>
    <x v="4267"/>
    <n v="2886.87"/>
    <x v="12"/>
  </r>
  <r>
    <x v="4268"/>
    <n v="2886.87"/>
    <x v="12"/>
  </r>
  <r>
    <x v="4269"/>
    <n v="2894.58"/>
    <x v="12"/>
  </r>
  <r>
    <x v="4270"/>
    <n v="2901.09"/>
    <x v="12"/>
  </r>
  <r>
    <x v="4271"/>
    <n v="2887.05"/>
    <x v="12"/>
  </r>
  <r>
    <x v="4272"/>
    <n v="2887.05"/>
    <x v="12"/>
  </r>
  <r>
    <x v="4273"/>
    <n v="2875.18"/>
    <x v="12"/>
  </r>
  <r>
    <x v="4274"/>
    <n v="2875.18"/>
    <x v="12"/>
  </r>
  <r>
    <x v="4275"/>
    <n v="2875.18"/>
    <x v="12"/>
  </r>
  <r>
    <x v="4276"/>
    <n v="2873.51"/>
    <x v="12"/>
  </r>
  <r>
    <x v="4277"/>
    <n v="2868.5"/>
    <x v="12"/>
  </r>
  <r>
    <x v="4278"/>
    <n v="2870.67"/>
    <x v="12"/>
  </r>
  <r>
    <x v="4279"/>
    <n v="2864.81"/>
    <x v="12"/>
  </r>
  <r>
    <x v="4280"/>
    <n v="2861.34"/>
    <x v="12"/>
  </r>
  <r>
    <x v="4281"/>
    <n v="2861.34"/>
    <x v="12"/>
  </r>
  <r>
    <x v="4282"/>
    <n v="2861.34"/>
    <x v="12"/>
  </r>
  <r>
    <x v="4283"/>
    <n v="2861.34"/>
    <x v="12"/>
  </r>
  <r>
    <x v="4284"/>
    <n v="2869.29"/>
    <x v="12"/>
  </r>
  <r>
    <x v="4285"/>
    <n v="2861.63"/>
    <x v="12"/>
  </r>
  <r>
    <x v="4286"/>
    <n v="2853.56"/>
    <x v="12"/>
  </r>
  <r>
    <x v="4287"/>
    <n v="2841.25"/>
    <x v="12"/>
  </r>
  <r>
    <x v="4288"/>
    <n v="2841.25"/>
    <x v="12"/>
  </r>
  <r>
    <x v="4289"/>
    <n v="2841.25"/>
    <x v="12"/>
  </r>
  <r>
    <x v="4290"/>
    <n v="2843.66"/>
    <x v="12"/>
  </r>
  <r>
    <x v="4291"/>
    <n v="2848.86"/>
    <x v="12"/>
  </r>
  <r>
    <x v="4292"/>
    <n v="2850.89"/>
    <x v="12"/>
  </r>
  <r>
    <x v="4293"/>
    <n v="2846.26"/>
    <x v="12"/>
  </r>
  <r>
    <x v="4294"/>
    <n v="2832.94"/>
    <x v="12"/>
  </r>
  <r>
    <x v="4295"/>
    <n v="2832.94"/>
    <x v="12"/>
  </r>
  <r>
    <x v="4296"/>
    <n v="2832.94"/>
    <x v="12"/>
  </r>
  <r>
    <x v="4297"/>
    <n v="2832.94"/>
    <x v="12"/>
  </r>
  <r>
    <x v="4298"/>
    <n v="2841.02"/>
    <x v="12"/>
  </r>
  <r>
    <x v="4299"/>
    <n v="2826.46"/>
    <x v="12"/>
  </r>
  <r>
    <x v="4300"/>
    <n v="2816.74"/>
    <x v="12"/>
  </r>
  <r>
    <x v="4301"/>
    <n v="2820.46"/>
    <x v="12"/>
  </r>
  <r>
    <x v="4302"/>
    <n v="2820.46"/>
    <x v="12"/>
  </r>
  <r>
    <x v="4303"/>
    <n v="2820.46"/>
    <x v="12"/>
  </r>
  <r>
    <x v="4304"/>
    <n v="2822.85"/>
    <x v="12"/>
  </r>
  <r>
    <x v="4305"/>
    <n v="2820.2"/>
    <x v="12"/>
  </r>
  <r>
    <x v="4306"/>
    <n v="2825.28"/>
    <x v="12"/>
  </r>
  <r>
    <x v="4307"/>
    <n v="2829.82"/>
    <x v="12"/>
  </r>
  <r>
    <x v="4308"/>
    <n v="2824.88"/>
    <x v="12"/>
  </r>
  <r>
    <x v="4309"/>
    <n v="2824.88"/>
    <x v="12"/>
  </r>
  <r>
    <x v="4310"/>
    <n v="2824.88"/>
    <x v="12"/>
  </r>
  <r>
    <x v="4311"/>
    <n v="2824.53"/>
    <x v="12"/>
  </r>
  <r>
    <x v="4312"/>
    <n v="2823.79"/>
    <x v="12"/>
  </r>
  <r>
    <x v="4313"/>
    <n v="2823.28"/>
    <x v="12"/>
  </r>
  <r>
    <x v="4314"/>
    <n v="2833.64"/>
    <x v="12"/>
  </r>
  <r>
    <x v="4315"/>
    <n v="2844.64"/>
    <x v="12"/>
  </r>
  <r>
    <x v="4316"/>
    <n v="2844.64"/>
    <x v="12"/>
  </r>
  <r>
    <x v="4317"/>
    <n v="2844.64"/>
    <x v="12"/>
  </r>
  <r>
    <x v="4318"/>
    <n v="2859.37"/>
    <x v="12"/>
  </r>
  <r>
    <x v="4319"/>
    <n v="2866.42"/>
    <x v="12"/>
  </r>
  <r>
    <x v="4320"/>
    <n v="2872.3"/>
    <x v="12"/>
  </r>
  <r>
    <x v="4321"/>
    <n v="2871.39"/>
    <x v="12"/>
  </r>
  <r>
    <x v="4322"/>
    <n v="2879.32"/>
    <x v="12"/>
  </r>
  <r>
    <x v="4323"/>
    <n v="2879.32"/>
    <x v="12"/>
  </r>
  <r>
    <x v="4324"/>
    <n v="2879.32"/>
    <x v="12"/>
  </r>
  <r>
    <x v="4325"/>
    <n v="2889.39"/>
    <x v="12"/>
  </r>
  <r>
    <x v="4326"/>
    <n v="2888.21"/>
    <x v="12"/>
  </r>
  <r>
    <x v="4327"/>
    <n v="2907.41"/>
    <x v="12"/>
  </r>
  <r>
    <x v="4328"/>
    <n v="2905.12"/>
    <x v="12"/>
  </r>
  <r>
    <x v="4329"/>
    <n v="2881.88"/>
    <x v="12"/>
  </r>
  <r>
    <x v="4330"/>
    <n v="2881.88"/>
    <x v="12"/>
  </r>
  <r>
    <x v="4331"/>
    <n v="2881.88"/>
    <x v="12"/>
  </r>
  <r>
    <x v="4332"/>
    <n v="2872.7"/>
    <x v="12"/>
  </r>
  <r>
    <x v="4333"/>
    <n v="2868.91"/>
    <x v="12"/>
  </r>
  <r>
    <x v="4334"/>
    <n v="2887.59"/>
    <x v="12"/>
  </r>
  <r>
    <x v="4335"/>
    <n v="2878.39"/>
    <x v="12"/>
  </r>
  <r>
    <x v="4336"/>
    <n v="2868.85"/>
    <x v="12"/>
  </r>
  <r>
    <x v="4337"/>
    <n v="2868.85"/>
    <x v="12"/>
  </r>
  <r>
    <x v="4338"/>
    <n v="2868.85"/>
    <x v="12"/>
  </r>
  <r>
    <x v="4339"/>
    <n v="2868.85"/>
    <x v="12"/>
  </r>
  <r>
    <x v="4340"/>
    <n v="2865.32"/>
    <x v="12"/>
  </r>
  <r>
    <x v="4341"/>
    <n v="2873.7"/>
    <x v="12"/>
  </r>
  <r>
    <x v="4342"/>
    <n v="2867.75"/>
    <x v="12"/>
  </r>
  <r>
    <x v="4343"/>
    <n v="2865.04"/>
    <x v="12"/>
  </r>
  <r>
    <x v="4344"/>
    <n v="2865.04"/>
    <x v="12"/>
  </r>
  <r>
    <x v="4345"/>
    <n v="2865.04"/>
    <x v="12"/>
  </r>
  <r>
    <x v="4346"/>
    <n v="2864.34"/>
    <x v="12"/>
  </r>
  <r>
    <x v="4347"/>
    <n v="2864.25"/>
    <x v="12"/>
  </r>
  <r>
    <x v="4348"/>
    <n v="2870.01"/>
    <x v="12"/>
  </r>
  <r>
    <x v="4349"/>
    <n v="2872.55"/>
    <x v="12"/>
  </r>
  <r>
    <x v="4350"/>
    <n v="2857.88"/>
    <x v="12"/>
  </r>
  <r>
    <x v="4351"/>
    <n v="2857.88"/>
    <x v="12"/>
  </r>
  <r>
    <x v="4352"/>
    <n v="2857.88"/>
    <x v="12"/>
  </r>
  <r>
    <x v="4353"/>
    <n v="2882.77"/>
    <x v="12"/>
  </r>
  <r>
    <x v="4354"/>
    <n v="2879.34"/>
    <x v="12"/>
  </r>
  <r>
    <x v="4355"/>
    <n v="2870.11"/>
    <x v="12"/>
  </r>
  <r>
    <x v="4356"/>
    <n v="2884.17"/>
    <x v="12"/>
  </r>
  <r>
    <x v="4357"/>
    <n v="2878.05"/>
    <x v="12"/>
  </r>
  <r>
    <x v="4358"/>
    <n v="2878.05"/>
    <x v="12"/>
  </r>
  <r>
    <x v="4359"/>
    <n v="2878.05"/>
    <x v="12"/>
  </r>
  <r>
    <x v="4360"/>
    <n v="2878.05"/>
    <x v="12"/>
  </r>
  <r>
    <x v="4361"/>
    <n v="2869.46"/>
    <x v="12"/>
  </r>
  <r>
    <x v="4362"/>
    <n v="2856.34"/>
    <x v="12"/>
  </r>
  <r>
    <x v="4363"/>
    <n v="2854.17"/>
    <x v="12"/>
  </r>
  <r>
    <x v="4364"/>
    <n v="2843.82"/>
    <x v="12"/>
  </r>
  <r>
    <x v="4365"/>
    <n v="2843.82"/>
    <x v="12"/>
  </r>
  <r>
    <x v="4366"/>
    <n v="2843.82"/>
    <x v="12"/>
  </r>
  <r>
    <x v="4367"/>
    <n v="2840.41"/>
    <x v="12"/>
  </r>
  <r>
    <x v="4368"/>
    <n v="2840.41"/>
    <x v="12"/>
  </r>
  <r>
    <x v="4369"/>
    <n v="2845.69"/>
    <x v="12"/>
  </r>
  <r>
    <x v="4370"/>
    <n v="2850.24"/>
    <x v="12"/>
  </r>
  <r>
    <x v="4371"/>
    <n v="2842.53"/>
    <x v="12"/>
  </r>
  <r>
    <x v="4372"/>
    <n v="2842.53"/>
    <x v="12"/>
  </r>
  <r>
    <x v="4373"/>
    <n v="2842.53"/>
    <x v="12"/>
  </r>
  <r>
    <x v="4374"/>
    <n v="2842.53"/>
    <x v="12"/>
  </r>
  <r>
    <x v="4375"/>
    <n v="2831.97"/>
    <x v="12"/>
  </r>
  <r>
    <x v="4376"/>
    <n v="2826.6"/>
    <x v="12"/>
  </r>
  <r>
    <x v="4377"/>
    <n v="2831.1"/>
    <x v="12"/>
  </r>
  <r>
    <x v="4378"/>
    <n v="2836.45"/>
    <x v="12"/>
  </r>
  <r>
    <x v="4379"/>
    <n v="2836.45"/>
    <x v="12"/>
  </r>
  <r>
    <x v="4380"/>
    <n v="2836.45"/>
    <x v="12"/>
  </r>
  <r>
    <x v="4381"/>
    <n v="2838.02"/>
    <x v="12"/>
  </r>
  <r>
    <x v="4382"/>
    <n v="2839.2"/>
    <x v="12"/>
  </r>
  <r>
    <x v="4383"/>
    <n v="2838.7"/>
    <x v="12"/>
  </r>
  <r>
    <x v="4384"/>
    <n v="2838.7"/>
    <x v="12"/>
  </r>
  <r>
    <x v="4385"/>
    <n v="2836.05"/>
    <x v="12"/>
  </r>
  <r>
    <x v="4386"/>
    <n v="2836.05"/>
    <x v="12"/>
  </r>
  <r>
    <x v="4387"/>
    <n v="2836.05"/>
    <x v="12"/>
  </r>
  <r>
    <x v="4388"/>
    <n v="2829.08"/>
    <x v="12"/>
  </r>
  <r>
    <x v="4389"/>
    <n v="2817.14"/>
    <x v="12"/>
  </r>
  <r>
    <x v="4390"/>
    <n v="2815.19"/>
    <x v="12"/>
  </r>
  <r>
    <x v="4391"/>
    <n v="2815.33"/>
    <x v="12"/>
  </r>
  <r>
    <x v="4392"/>
    <n v="2808.42"/>
    <x v="12"/>
  </r>
  <r>
    <x v="4393"/>
    <n v="2808.42"/>
    <x v="12"/>
  </r>
  <r>
    <x v="4394"/>
    <n v="2808.42"/>
    <x v="12"/>
  </r>
  <r>
    <x v="4395"/>
    <n v="2808.42"/>
    <x v="12"/>
  </r>
  <r>
    <x v="4396"/>
    <n v="2822.78"/>
    <x v="12"/>
  </r>
  <r>
    <x v="4397"/>
    <n v="2815.45"/>
    <x v="12"/>
  </r>
  <r>
    <x v="4398"/>
    <n v="2808.31"/>
    <x v="12"/>
  </r>
  <r>
    <x v="4399"/>
    <n v="2812.81"/>
    <x v="12"/>
  </r>
  <r>
    <x v="4400"/>
    <n v="2812.81"/>
    <x v="12"/>
  </r>
  <r>
    <x v="4401"/>
    <n v="2812.81"/>
    <x v="12"/>
  </r>
  <r>
    <x v="4402"/>
    <n v="2807.25"/>
    <x v="12"/>
  </r>
  <r>
    <x v="4403"/>
    <n v="2793.06"/>
    <x v="12"/>
  </r>
  <r>
    <x v="4404"/>
    <n v="2795.21"/>
    <x v="12"/>
  </r>
  <r>
    <x v="4405"/>
    <n v="2801.67"/>
    <x v="12"/>
  </r>
  <r>
    <x v="4406"/>
    <n v="2806.89"/>
    <x v="12"/>
  </r>
  <r>
    <x v="4407"/>
    <n v="2806.89"/>
    <x v="12"/>
  </r>
  <r>
    <x v="4408"/>
    <n v="2806.89"/>
    <x v="12"/>
  </r>
  <r>
    <x v="4409"/>
    <n v="2809.09"/>
    <x v="12"/>
  </r>
  <r>
    <x v="4410"/>
    <n v="2806.33"/>
    <x v="12"/>
  </r>
  <r>
    <x v="4411"/>
    <n v="2796.89"/>
    <x v="12"/>
  </r>
  <r>
    <x v="4412"/>
    <n v="2796.89"/>
    <x v="12"/>
  </r>
  <r>
    <x v="4413"/>
    <n v="2795.21"/>
    <x v="12"/>
  </r>
  <r>
    <x v="4414"/>
    <n v="2795.21"/>
    <x v="12"/>
  </r>
  <r>
    <x v="4415"/>
    <n v="2795.21"/>
    <x v="12"/>
  </r>
  <r>
    <x v="4416"/>
    <n v="2780.82"/>
    <x v="12"/>
  </r>
  <r>
    <x v="4417"/>
    <n v="2778.21"/>
    <x v="12"/>
  </r>
  <r>
    <x v="4418"/>
    <n v="2778.21"/>
    <x v="13"/>
  </r>
  <r>
    <x v="4419"/>
    <n v="2778.21"/>
    <x v="13"/>
  </r>
  <r>
    <x v="4420"/>
    <n v="2777.96"/>
    <x v="13"/>
  </r>
  <r>
    <x v="4421"/>
    <n v="2777.96"/>
    <x v="13"/>
  </r>
  <r>
    <x v="4422"/>
    <n v="2777.96"/>
    <x v="13"/>
  </r>
  <r>
    <x v="4423"/>
    <n v="2778.92"/>
    <x v="13"/>
  </r>
  <r>
    <x v="4424"/>
    <n v="2765.76"/>
    <x v="13"/>
  </r>
  <r>
    <x v="4425"/>
    <n v="2758.83"/>
    <x v="13"/>
  </r>
  <r>
    <x v="4426"/>
    <n v="2750.89"/>
    <x v="13"/>
  </r>
  <r>
    <x v="4427"/>
    <n v="2754.33"/>
    <x v="13"/>
  </r>
  <r>
    <x v="4428"/>
    <n v="2754.33"/>
    <x v="13"/>
  </r>
  <r>
    <x v="4429"/>
    <n v="2754.33"/>
    <x v="13"/>
  </r>
  <r>
    <x v="4430"/>
    <n v="2754.33"/>
    <x v="13"/>
  </r>
  <r>
    <x v="4431"/>
    <n v="2762.31"/>
    <x v="13"/>
  </r>
  <r>
    <x v="4432"/>
    <n v="2747.06"/>
    <x v="13"/>
  </r>
  <r>
    <x v="4433"/>
    <n v="2723.83"/>
    <x v="13"/>
  </r>
  <r>
    <x v="4434"/>
    <n v="2728.7"/>
    <x v="13"/>
  </r>
  <r>
    <x v="4435"/>
    <n v="2728.7"/>
    <x v="13"/>
  </r>
  <r>
    <x v="4436"/>
    <n v="2728.7"/>
    <x v="13"/>
  </r>
  <r>
    <x v="4437"/>
    <n v="2728.7"/>
    <x v="13"/>
  </r>
  <r>
    <x v="4438"/>
    <n v="2730.75"/>
    <x v="13"/>
  </r>
  <r>
    <x v="4439"/>
    <n v="2740.76"/>
    <x v="13"/>
  </r>
  <r>
    <x v="4440"/>
    <n v="2742.88"/>
    <x v="13"/>
  </r>
  <r>
    <x v="4441"/>
    <n v="2747.72"/>
    <x v="13"/>
  </r>
  <r>
    <x v="4442"/>
    <n v="2747.72"/>
    <x v="13"/>
  </r>
  <r>
    <x v="4443"/>
    <n v="2747.72"/>
    <x v="13"/>
  </r>
  <r>
    <x v="4444"/>
    <n v="2766.89"/>
    <x v="13"/>
  </r>
  <r>
    <x v="4445"/>
    <n v="2736.28"/>
    <x v="13"/>
  </r>
  <r>
    <x v="4446"/>
    <n v="2721.56"/>
    <x v="13"/>
  </r>
  <r>
    <x v="4447"/>
    <n v="2740.55"/>
    <x v="13"/>
  </r>
  <r>
    <x v="4448"/>
    <n v="2742.47"/>
    <x v="13"/>
  </r>
  <r>
    <x v="4449"/>
    <n v="2742.47"/>
    <x v="13"/>
  </r>
  <r>
    <x v="4450"/>
    <n v="2742.47"/>
    <x v="13"/>
  </r>
  <r>
    <x v="4451"/>
    <n v="2738.15"/>
    <x v="13"/>
  </r>
  <r>
    <x v="4452"/>
    <n v="2747.28"/>
    <x v="13"/>
  </r>
  <r>
    <x v="4453"/>
    <n v="2750.67"/>
    <x v="13"/>
  </r>
  <r>
    <x v="4454"/>
    <n v="2748.9"/>
    <x v="13"/>
  </r>
  <r>
    <x v="4455"/>
    <n v="2757.14"/>
    <x v="13"/>
  </r>
  <r>
    <x v="4456"/>
    <n v="2757.14"/>
    <x v="13"/>
  </r>
  <r>
    <x v="4457"/>
    <n v="2757.14"/>
    <x v="13"/>
  </r>
  <r>
    <x v="4458"/>
    <n v="2741.17"/>
    <x v="13"/>
  </r>
  <r>
    <x v="4459"/>
    <n v="2735.5"/>
    <x v="13"/>
  </r>
  <r>
    <x v="4460"/>
    <n v="2736.94"/>
    <x v="13"/>
  </r>
  <r>
    <x v="4461"/>
    <n v="2736.42"/>
    <x v="13"/>
  </r>
  <r>
    <x v="4462"/>
    <n v="2724.36"/>
    <x v="13"/>
  </r>
  <r>
    <x v="4463"/>
    <n v="2724.36"/>
    <x v="13"/>
  </r>
  <r>
    <x v="4464"/>
    <n v="2724.36"/>
    <x v="13"/>
  </r>
  <r>
    <x v="4465"/>
    <n v="2724.36"/>
    <x v="13"/>
  </r>
  <r>
    <x v="4466"/>
    <n v="2715.2"/>
    <x v="13"/>
  </r>
  <r>
    <x v="4467"/>
    <n v="2697.66"/>
    <x v="13"/>
  </r>
  <r>
    <x v="4468"/>
    <n v="2693.84"/>
    <x v="13"/>
  </r>
  <r>
    <x v="4469"/>
    <n v="2700.19"/>
    <x v="13"/>
  </r>
  <r>
    <x v="4470"/>
    <n v="2700.19"/>
    <x v="13"/>
  </r>
  <r>
    <x v="4471"/>
    <n v="2700.19"/>
    <x v="13"/>
  </r>
  <r>
    <x v="4472"/>
    <n v="2665.83"/>
    <x v="13"/>
  </r>
  <r>
    <x v="4473"/>
    <n v="2651.94"/>
    <x v="13"/>
  </r>
  <r>
    <x v="4474"/>
    <n v="2664.3"/>
    <x v="13"/>
  </r>
  <r>
    <x v="4475"/>
    <n v="2686.54"/>
    <x v="13"/>
  </r>
  <r>
    <x v="4476"/>
    <n v="2682.34"/>
    <x v="13"/>
  </r>
  <r>
    <x v="4477"/>
    <n v="2682.34"/>
    <x v="13"/>
  </r>
  <r>
    <x v="4478"/>
    <n v="2682.34"/>
    <x v="13"/>
  </r>
  <r>
    <x v="4479"/>
    <n v="2662.81"/>
    <x v="13"/>
  </r>
  <r>
    <x v="4480"/>
    <n v="2660.42"/>
    <x v="13"/>
  </r>
  <r>
    <x v="4481"/>
    <n v="2670.97"/>
    <x v="13"/>
  </r>
  <r>
    <x v="4482"/>
    <n v="2676.41"/>
    <x v="13"/>
  </r>
  <r>
    <x v="4483"/>
    <n v="2673.29"/>
    <x v="13"/>
  </r>
  <r>
    <x v="4484"/>
    <n v="2673.29"/>
    <x v="13"/>
  </r>
  <r>
    <x v="4485"/>
    <n v="2673.29"/>
    <x v="13"/>
  </r>
  <r>
    <x v="4486"/>
    <n v="2675.65"/>
    <x v="13"/>
  </r>
  <r>
    <x v="4487"/>
    <n v="2679.22"/>
    <x v="13"/>
  </r>
  <r>
    <x v="4488"/>
    <n v="2685.17"/>
    <x v="13"/>
  </r>
  <r>
    <x v="4489"/>
    <n v="2683.08"/>
    <x v="13"/>
  </r>
  <r>
    <x v="4490"/>
    <n v="2669.48"/>
    <x v="13"/>
  </r>
  <r>
    <x v="4491"/>
    <n v="2669.48"/>
    <x v="13"/>
  </r>
  <r>
    <x v="4492"/>
    <n v="2669.48"/>
    <x v="13"/>
  </r>
  <r>
    <x v="4493"/>
    <n v="2661.45"/>
    <x v="13"/>
  </r>
  <r>
    <x v="4494"/>
    <n v="2648.97"/>
    <x v="13"/>
  </r>
  <r>
    <x v="4495"/>
    <n v="2650.21"/>
    <x v="13"/>
  </r>
  <r>
    <x v="4496"/>
    <n v="2669.07"/>
    <x v="13"/>
  </r>
  <r>
    <x v="4497"/>
    <n v="2669.39"/>
    <x v="13"/>
  </r>
  <r>
    <x v="4498"/>
    <n v="2669.39"/>
    <x v="13"/>
  </r>
  <r>
    <x v="4499"/>
    <n v="2669.39"/>
    <x v="13"/>
  </r>
  <r>
    <x v="4500"/>
    <n v="2669.39"/>
    <x v="13"/>
  </r>
  <r>
    <x v="4501"/>
    <n v="2664.5"/>
    <x v="13"/>
  </r>
  <r>
    <x v="4502"/>
    <n v="2667.05"/>
    <x v="13"/>
  </r>
  <r>
    <x v="4503"/>
    <n v="2679.33"/>
    <x v="13"/>
  </r>
  <r>
    <x v="4504"/>
    <n v="2673.68"/>
    <x v="13"/>
  </r>
  <r>
    <x v="4505"/>
    <n v="2673.68"/>
    <x v="13"/>
  </r>
  <r>
    <x v="4506"/>
    <n v="2673.68"/>
    <x v="13"/>
  </r>
  <r>
    <x v="4507"/>
    <n v="2676.93"/>
    <x v="13"/>
  </r>
  <r>
    <x v="4508"/>
    <n v="2678.16"/>
    <x v="13"/>
  </r>
  <r>
    <x v="4509"/>
    <n v="2682.09"/>
    <x v="13"/>
  </r>
  <r>
    <x v="4510"/>
    <n v="2671.01"/>
    <x v="13"/>
  </r>
  <r>
    <x v="4511"/>
    <n v="2666.55"/>
    <x v="13"/>
  </r>
  <r>
    <x v="4512"/>
    <n v="2666.55"/>
    <x v="13"/>
  </r>
  <r>
    <x v="4513"/>
    <n v="2666.55"/>
    <x v="13"/>
  </r>
  <r>
    <x v="4514"/>
    <n v="2667.06"/>
    <x v="13"/>
  </r>
  <r>
    <x v="4515"/>
    <n v="2663.05"/>
    <x v="13"/>
  </r>
  <r>
    <x v="4516"/>
    <n v="2659.05"/>
    <x v="13"/>
  </r>
  <r>
    <x v="4517"/>
    <n v="2659.05"/>
    <x v="13"/>
  </r>
  <r>
    <x v="4518"/>
    <n v="2659.05"/>
    <x v="13"/>
  </r>
  <r>
    <x v="4519"/>
    <n v="2659.05"/>
    <x v="13"/>
  </r>
  <r>
    <x v="4520"/>
    <n v="2659.05"/>
    <x v="13"/>
  </r>
  <r>
    <x v="4521"/>
    <n v="2648.8"/>
    <x v="13"/>
  </r>
  <r>
    <x v="4522"/>
    <n v="2642.55"/>
    <x v="13"/>
  </r>
  <r>
    <x v="4523"/>
    <n v="2631.72"/>
    <x v="13"/>
  </r>
  <r>
    <x v="4524"/>
    <n v="2619.59"/>
    <x v="13"/>
  </r>
  <r>
    <x v="4525"/>
    <n v="2620.19"/>
    <x v="13"/>
  </r>
  <r>
    <x v="4526"/>
    <n v="2620.19"/>
    <x v="13"/>
  </r>
  <r>
    <x v="4527"/>
    <n v="2620.19"/>
    <x v="13"/>
  </r>
  <r>
    <x v="4528"/>
    <n v="2612.3000000000002"/>
    <x v="13"/>
  </r>
  <r>
    <x v="4529"/>
    <n v="2620.94"/>
    <x v="13"/>
  </r>
  <r>
    <x v="4530"/>
    <n v="2628.19"/>
    <x v="13"/>
  </r>
  <r>
    <x v="4531"/>
    <n v="2618.21"/>
    <x v="13"/>
  </r>
  <r>
    <x v="4532"/>
    <n v="2622.74"/>
    <x v="13"/>
  </r>
  <r>
    <x v="4533"/>
    <n v="2622.74"/>
    <x v="13"/>
  </r>
  <r>
    <x v="4534"/>
    <n v="2622.74"/>
    <x v="13"/>
  </r>
  <r>
    <x v="4535"/>
    <n v="2613.94"/>
    <x v="13"/>
  </r>
  <r>
    <x v="4536"/>
    <n v="2620.9699999999998"/>
    <x v="13"/>
  </r>
  <r>
    <x v="4537"/>
    <n v="2635.96"/>
    <x v="13"/>
  </r>
  <r>
    <x v="4538"/>
    <n v="2646.99"/>
    <x v="13"/>
  </r>
  <r>
    <x v="4539"/>
    <n v="2655.18"/>
    <x v="13"/>
  </r>
  <r>
    <x v="4540"/>
    <n v="2655.18"/>
    <x v="13"/>
  </r>
  <r>
    <x v="4541"/>
    <n v="2655.18"/>
    <x v="13"/>
  </r>
  <r>
    <x v="4542"/>
    <n v="2670.92"/>
    <x v="13"/>
  </r>
  <r>
    <x v="4543"/>
    <n v="2664.79"/>
    <x v="13"/>
  </r>
  <r>
    <x v="4544"/>
    <n v="2658.43"/>
    <x v="13"/>
  </r>
  <r>
    <x v="4545"/>
    <n v="2690.68"/>
    <x v="13"/>
  </r>
  <r>
    <x v="4546"/>
    <n v="2708.02"/>
    <x v="13"/>
  </r>
  <r>
    <x v="4547"/>
    <n v="2708.02"/>
    <x v="13"/>
  </r>
  <r>
    <x v="4548"/>
    <n v="2708.02"/>
    <x v="13"/>
  </r>
  <r>
    <x v="4549"/>
    <n v="2731.79"/>
    <x v="13"/>
  </r>
  <r>
    <x v="4550"/>
    <n v="2729.54"/>
    <x v="13"/>
  </r>
  <r>
    <x v="4551"/>
    <n v="2729.01"/>
    <x v="13"/>
  </r>
  <r>
    <x v="4552"/>
    <n v="2741.66"/>
    <x v="13"/>
  </r>
  <r>
    <x v="4553"/>
    <n v="2719.89"/>
    <x v="13"/>
  </r>
  <r>
    <x v="4554"/>
    <n v="2719.89"/>
    <x v="13"/>
  </r>
  <r>
    <x v="4555"/>
    <n v="2719.89"/>
    <x v="13"/>
  </r>
  <r>
    <x v="4556"/>
    <n v="2713.3"/>
    <x v="13"/>
  </r>
  <r>
    <x v="4557"/>
    <n v="2725.45"/>
    <x v="13"/>
  </r>
  <r>
    <x v="4558"/>
    <n v="2737.55"/>
    <x v="13"/>
  </r>
  <r>
    <x v="4559"/>
    <n v="2759.79"/>
    <x v="13"/>
  </r>
  <r>
    <x v="4560"/>
    <n v="2766.83"/>
    <x v="13"/>
  </r>
  <r>
    <x v="4561"/>
    <n v="2766.83"/>
    <x v="13"/>
  </r>
  <r>
    <x v="4562"/>
    <n v="2766.83"/>
    <x v="13"/>
  </r>
  <r>
    <x v="4563"/>
    <n v="2766.83"/>
    <x v="13"/>
  </r>
  <r>
    <x v="4564"/>
    <n v="2760.06"/>
    <x v="13"/>
  </r>
  <r>
    <x v="4565"/>
    <n v="2754.83"/>
    <x v="13"/>
  </r>
  <r>
    <x v="4566"/>
    <n v="2745.91"/>
    <x v="13"/>
  </r>
  <r>
    <x v="4567"/>
    <n v="2724.92"/>
    <x v="13"/>
  </r>
  <r>
    <x v="4568"/>
    <n v="2724.92"/>
    <x v="13"/>
  </r>
  <r>
    <x v="4569"/>
    <n v="2724.92"/>
    <x v="13"/>
  </r>
  <r>
    <x v="4570"/>
    <n v="2724.92"/>
    <x v="13"/>
  </r>
  <r>
    <x v="4571"/>
    <n v="2736.39"/>
    <x v="13"/>
  </r>
  <r>
    <x v="4572"/>
    <n v="2727.68"/>
    <x v="13"/>
  </r>
  <r>
    <x v="4573"/>
    <n v="2722.69"/>
    <x v="13"/>
  </r>
  <r>
    <x v="4574"/>
    <n v="2715.37"/>
    <x v="13"/>
  </r>
  <r>
    <x v="4575"/>
    <n v="2715.37"/>
    <x v="13"/>
  </r>
  <r>
    <x v="4576"/>
    <n v="2715.37"/>
    <x v="13"/>
  </r>
  <r>
    <x v="4577"/>
    <n v="2707.33"/>
    <x v="13"/>
  </r>
  <r>
    <x v="4578"/>
    <n v="2705.97"/>
    <x v="13"/>
  </r>
  <r>
    <x v="4579"/>
    <n v="2719.34"/>
    <x v="13"/>
  </r>
  <r>
    <x v="4580"/>
    <n v="2732.4"/>
    <x v="13"/>
  </r>
  <r>
    <x v="4581"/>
    <n v="2734.94"/>
    <x v="13"/>
  </r>
  <r>
    <x v="4582"/>
    <n v="2734.94"/>
    <x v="13"/>
  </r>
  <r>
    <x v="4583"/>
    <n v="2734.94"/>
    <x v="13"/>
  </r>
  <r>
    <x v="4584"/>
    <n v="2734.94"/>
    <x v="13"/>
  </r>
  <r>
    <x v="4585"/>
    <n v="2735.05"/>
    <x v="13"/>
  </r>
  <r>
    <x v="4586"/>
    <n v="2725.87"/>
    <x v="13"/>
  </r>
  <r>
    <x v="4587"/>
    <n v="2713.07"/>
    <x v="13"/>
  </r>
  <r>
    <x v="4588"/>
    <n v="2710.99"/>
    <x v="13"/>
  </r>
  <r>
    <x v="4589"/>
    <n v="2710.99"/>
    <x v="13"/>
  </r>
  <r>
    <x v="4590"/>
    <n v="2710.99"/>
    <x v="13"/>
  </r>
  <r>
    <x v="4591"/>
    <n v="2710.99"/>
    <x v="13"/>
  </r>
  <r>
    <x v="4592"/>
    <n v="2709.3"/>
    <x v="13"/>
  </r>
  <r>
    <x v="4593"/>
    <n v="2715.53"/>
    <x v="13"/>
  </r>
  <r>
    <x v="4594"/>
    <n v="2702.6"/>
    <x v="13"/>
  </r>
  <r>
    <x v="4595"/>
    <n v="2697.08"/>
    <x v="13"/>
  </r>
  <r>
    <x v="4596"/>
    <n v="2697.08"/>
    <x v="13"/>
  </r>
  <r>
    <x v="4597"/>
    <n v="2697.08"/>
    <x v="13"/>
  </r>
  <r>
    <x v="4598"/>
    <n v="2695.02"/>
    <x v="13"/>
  </r>
  <r>
    <x v="4599"/>
    <n v="2699.58"/>
    <x v="13"/>
  </r>
  <r>
    <x v="4600"/>
    <n v="2694.09"/>
    <x v="13"/>
  </r>
  <r>
    <x v="4601"/>
    <n v="2682.25"/>
    <x v="13"/>
  </r>
  <r>
    <x v="4602"/>
    <n v="2674.1"/>
    <x v="13"/>
  </r>
  <r>
    <x v="4603"/>
    <n v="2674.1"/>
    <x v="13"/>
  </r>
  <r>
    <x v="4604"/>
    <n v="2674.1"/>
    <x v="13"/>
  </r>
  <r>
    <x v="4605"/>
    <n v="2674.1"/>
    <x v="13"/>
  </r>
  <r>
    <x v="4606"/>
    <n v="2672.95"/>
    <x v="13"/>
  </r>
  <r>
    <x v="4607"/>
    <n v="2675.05"/>
    <x v="13"/>
  </r>
  <r>
    <x v="4608"/>
    <n v="2677.42"/>
    <x v="13"/>
  </r>
  <r>
    <x v="4609"/>
    <n v="2668.83"/>
    <x v="13"/>
  </r>
  <r>
    <x v="4610"/>
    <n v="2668.83"/>
    <x v="13"/>
  </r>
  <r>
    <x v="4611"/>
    <n v="2668.83"/>
    <x v="13"/>
  </r>
  <r>
    <x v="4612"/>
    <n v="2670.01"/>
    <x v="13"/>
  </r>
  <r>
    <x v="4613"/>
    <n v="2674.41"/>
    <x v="13"/>
  </r>
  <r>
    <x v="4614"/>
    <n v="2662.19"/>
    <x v="13"/>
  </r>
  <r>
    <x v="4615"/>
    <n v="2642.78"/>
    <x v="13"/>
  </r>
  <r>
    <x v="4616"/>
    <n v="2628.3"/>
    <x v="13"/>
  </r>
  <r>
    <x v="4617"/>
    <n v="2628.3"/>
    <x v="13"/>
  </r>
  <r>
    <x v="4618"/>
    <n v="2628.3"/>
    <x v="13"/>
  </r>
  <r>
    <x v="4619"/>
    <n v="2632.64"/>
    <x v="13"/>
  </r>
  <r>
    <x v="4620"/>
    <n v="2632.64"/>
    <x v="13"/>
  </r>
  <r>
    <x v="4621"/>
    <n v="2633.14"/>
    <x v="13"/>
  </r>
  <r>
    <x v="4622"/>
    <n v="2619.84"/>
    <x v="13"/>
  </r>
  <r>
    <x v="4623"/>
    <n v="2628.46"/>
    <x v="13"/>
  </r>
  <r>
    <x v="4624"/>
    <n v="2628.46"/>
    <x v="13"/>
  </r>
  <r>
    <x v="4625"/>
    <n v="2628.46"/>
    <x v="13"/>
  </r>
  <r>
    <x v="4626"/>
    <n v="2636.32"/>
    <x v="13"/>
  </r>
  <r>
    <x v="4627"/>
    <n v="2639.72"/>
    <x v="13"/>
  </r>
  <r>
    <x v="4628"/>
    <n v="2634.44"/>
    <x v="13"/>
  </r>
  <r>
    <x v="4629"/>
    <n v="2619.5500000000002"/>
    <x v="13"/>
  </r>
  <r>
    <x v="4630"/>
    <n v="2612.44"/>
    <x v="13"/>
  </r>
  <r>
    <x v="4631"/>
    <n v="2612.44"/>
    <x v="13"/>
  </r>
  <r>
    <x v="4632"/>
    <n v="2612.44"/>
    <x v="13"/>
  </r>
  <r>
    <x v="4633"/>
    <n v="2613.58"/>
    <x v="13"/>
  </r>
  <r>
    <x v="4634"/>
    <n v="2605.85"/>
    <x v="13"/>
  </r>
  <r>
    <x v="4635"/>
    <n v="2609.39"/>
    <x v="13"/>
  </r>
  <r>
    <x v="4636"/>
    <n v="2609.61"/>
    <x v="13"/>
  </r>
  <r>
    <x v="4637"/>
    <n v="2602.91"/>
    <x v="13"/>
  </r>
  <r>
    <x v="4638"/>
    <n v="2602.91"/>
    <x v="13"/>
  </r>
  <r>
    <x v="4639"/>
    <n v="2602.91"/>
    <x v="13"/>
  </r>
  <r>
    <x v="4640"/>
    <n v="2597.71"/>
    <x v="13"/>
  </r>
  <r>
    <x v="4641"/>
    <n v="2598.98"/>
    <x v="13"/>
  </r>
  <r>
    <x v="4642"/>
    <n v="2606.9299999999998"/>
    <x v="13"/>
  </r>
  <r>
    <x v="4643"/>
    <n v="2614.9699999999998"/>
    <x v="13"/>
  </r>
  <r>
    <x v="4644"/>
    <n v="2609.92"/>
    <x v="13"/>
  </r>
  <r>
    <x v="4645"/>
    <n v="2609.92"/>
    <x v="13"/>
  </r>
  <r>
    <x v="4646"/>
    <n v="2609.92"/>
    <x v="13"/>
  </r>
  <r>
    <x v="4647"/>
    <n v="2609.92"/>
    <x v="13"/>
  </r>
  <r>
    <x v="4648"/>
    <n v="2608.88"/>
    <x v="13"/>
  </r>
  <r>
    <x v="4649"/>
    <n v="2609.88"/>
    <x v="13"/>
  </r>
  <r>
    <x v="4650"/>
    <n v="2607.62"/>
    <x v="13"/>
  </r>
  <r>
    <x v="4651"/>
    <n v="2606.5700000000002"/>
    <x v="13"/>
  </r>
  <r>
    <x v="4652"/>
    <n v="2606.5700000000002"/>
    <x v="13"/>
  </r>
  <r>
    <x v="4653"/>
    <n v="2606.5700000000002"/>
    <x v="13"/>
  </r>
  <r>
    <x v="4654"/>
    <n v="2595.75"/>
    <x v="13"/>
  </r>
  <r>
    <x v="4655"/>
    <n v="2589.25"/>
    <x v="13"/>
  </r>
  <r>
    <x v="4656"/>
    <n v="2575.5100000000002"/>
    <x v="13"/>
  </r>
  <r>
    <x v="4657"/>
    <n v="2568.6799999999998"/>
    <x v="13"/>
  </r>
  <r>
    <x v="4658"/>
    <n v="2574.4899999999998"/>
    <x v="13"/>
  </r>
  <r>
    <x v="4659"/>
    <n v="2574.4899999999998"/>
    <x v="13"/>
  </r>
  <r>
    <x v="4660"/>
    <n v="2574.4899999999998"/>
    <x v="13"/>
  </r>
  <r>
    <x v="4661"/>
    <n v="2551.4299999999998"/>
    <x v="13"/>
  </r>
  <r>
    <x v="4662"/>
    <n v="2536.5100000000002"/>
    <x v="13"/>
  </r>
  <r>
    <x v="4663"/>
    <n v="2538.59"/>
    <x v="13"/>
  </r>
  <r>
    <x v="4664"/>
    <n v="2552.7800000000002"/>
    <x v="13"/>
  </r>
  <r>
    <x v="4665"/>
    <n v="2564.89"/>
    <x v="13"/>
  </r>
  <r>
    <x v="4666"/>
    <n v="2564.89"/>
    <x v="13"/>
  </r>
  <r>
    <x v="4667"/>
    <n v="2564.89"/>
    <x v="13"/>
  </r>
  <r>
    <x v="4668"/>
    <n v="2564.89"/>
    <x v="13"/>
  </r>
  <r>
    <x v="4669"/>
    <n v="2552.7399999999998"/>
    <x v="13"/>
  </r>
  <r>
    <x v="4670"/>
    <n v="2536"/>
    <x v="13"/>
  </r>
  <r>
    <x v="4671"/>
    <n v="2523.08"/>
    <x v="13"/>
  </r>
  <r>
    <x v="4672"/>
    <n v="2535.29"/>
    <x v="13"/>
  </r>
  <r>
    <x v="4673"/>
    <n v="2535.29"/>
    <x v="13"/>
  </r>
  <r>
    <x v="4674"/>
    <n v="2535.29"/>
    <x v="13"/>
  </r>
  <r>
    <x v="4675"/>
    <n v="2525.12"/>
    <x v="13"/>
  </r>
  <r>
    <x v="4676"/>
    <n v="2521.77"/>
    <x v="13"/>
  </r>
  <r>
    <x v="4677"/>
    <n v="2536.4"/>
    <x v="13"/>
  </r>
  <r>
    <x v="4678"/>
    <n v="2522.5700000000002"/>
    <x v="13"/>
  </r>
  <r>
    <x v="4679"/>
    <n v="2518.3000000000002"/>
    <x v="13"/>
  </r>
  <r>
    <x v="4680"/>
    <n v="2518.3000000000002"/>
    <x v="13"/>
  </r>
  <r>
    <x v="4681"/>
    <n v="2518.3000000000002"/>
    <x v="13"/>
  </r>
  <r>
    <x v="4682"/>
    <n v="2548.1999999999998"/>
    <x v="13"/>
  </r>
  <r>
    <x v="4683"/>
    <n v="2561.1999999999998"/>
    <x v="13"/>
  </r>
  <r>
    <x v="4684"/>
    <n v="2560.66"/>
    <x v="13"/>
  </r>
  <r>
    <x v="4685"/>
    <n v="2567.83"/>
    <x v="13"/>
  </r>
  <r>
    <x v="4686"/>
    <n v="2602.1999999999998"/>
    <x v="13"/>
  </r>
  <r>
    <x v="4687"/>
    <n v="2602.1999999999998"/>
    <x v="13"/>
  </r>
  <r>
    <x v="4688"/>
    <n v="2602.1999999999998"/>
    <x v="13"/>
  </r>
  <r>
    <x v="4689"/>
    <n v="2600.64"/>
    <x v="13"/>
  </r>
  <r>
    <x v="4690"/>
    <n v="2596.2800000000002"/>
    <x v="13"/>
  </r>
  <r>
    <x v="4691"/>
    <n v="2595.17"/>
    <x v="13"/>
  </r>
  <r>
    <x v="4692"/>
    <n v="2608.3000000000002"/>
    <x v="13"/>
  </r>
  <r>
    <x v="4693"/>
    <n v="2630.81"/>
    <x v="13"/>
  </r>
  <r>
    <x v="4694"/>
    <n v="2630.81"/>
    <x v="13"/>
  </r>
  <r>
    <x v="4695"/>
    <n v="2630.81"/>
    <x v="13"/>
  </r>
  <r>
    <x v="4696"/>
    <n v="2629.65"/>
    <x v="13"/>
  </r>
  <r>
    <x v="4697"/>
    <n v="2608.36"/>
    <x v="13"/>
  </r>
  <r>
    <x v="4698"/>
    <n v="2603.34"/>
    <x v="13"/>
  </r>
  <r>
    <x v="4699"/>
    <n v="2601.6999999999998"/>
    <x v="13"/>
  </r>
  <r>
    <x v="4700"/>
    <n v="2583.7399999999998"/>
    <x v="13"/>
  </r>
  <r>
    <x v="4701"/>
    <n v="2583.7399999999998"/>
    <x v="13"/>
  </r>
  <r>
    <x v="4702"/>
    <n v="2583.7399999999998"/>
    <x v="13"/>
  </r>
  <r>
    <x v="4703"/>
    <n v="2583.7399999999998"/>
    <x v="13"/>
  </r>
  <r>
    <x v="4704"/>
    <n v="2558.04"/>
    <x v="13"/>
  </r>
  <r>
    <x v="4705"/>
    <n v="2553.0700000000002"/>
    <x v="13"/>
  </r>
  <r>
    <x v="4706"/>
    <n v="2549.1"/>
    <x v="13"/>
  </r>
  <r>
    <x v="4707"/>
    <n v="2562.56"/>
    <x v="13"/>
  </r>
  <r>
    <x v="4708"/>
    <n v="2562.56"/>
    <x v="13"/>
  </r>
  <r>
    <x v="4709"/>
    <n v="2562.56"/>
    <x v="13"/>
  </r>
  <r>
    <x v="4710"/>
    <n v="2562.56"/>
    <x v="13"/>
  </r>
  <r>
    <x v="4711"/>
    <n v="2556.1799999999998"/>
    <x v="13"/>
  </r>
  <r>
    <x v="4712"/>
    <n v="2561.33"/>
    <x v="13"/>
  </r>
  <r>
    <x v="4713"/>
    <n v="2555.2600000000002"/>
    <x v="13"/>
  </r>
  <r>
    <x v="4714"/>
    <n v="2553.02"/>
    <x v="13"/>
  </r>
  <r>
    <x v="4715"/>
    <n v="2553.02"/>
    <x v="13"/>
  </r>
  <r>
    <x v="4716"/>
    <n v="2553.02"/>
    <x v="13"/>
  </r>
  <r>
    <x v="4717"/>
    <n v="2568.11"/>
    <x v="13"/>
  </r>
  <r>
    <x v="4718"/>
    <n v="2582.39"/>
    <x v="13"/>
  </r>
  <r>
    <x v="4719"/>
    <n v="2579.59"/>
    <x v="13"/>
  </r>
  <r>
    <x v="4720"/>
    <n v="2585.8000000000002"/>
    <x v="13"/>
  </r>
  <r>
    <x v="4721"/>
    <n v="2575.19"/>
    <x v="13"/>
  </r>
  <r>
    <x v="4722"/>
    <n v="2575.19"/>
    <x v="13"/>
  </r>
  <r>
    <x v="4723"/>
    <n v="2575.19"/>
    <x v="13"/>
  </r>
  <r>
    <x v="4724"/>
    <n v="2575.19"/>
    <x v="13"/>
  </r>
  <r>
    <x v="4725"/>
    <n v="2568.08"/>
    <x v="13"/>
  </r>
  <r>
    <x v="4726"/>
    <n v="2561.2800000000002"/>
    <x v="13"/>
  </r>
  <r>
    <x v="4727"/>
    <n v="2550.37"/>
    <x v="13"/>
  </r>
  <r>
    <x v="4728"/>
    <n v="2547.79"/>
    <x v="13"/>
  </r>
  <r>
    <x v="4729"/>
    <n v="2547.79"/>
    <x v="13"/>
  </r>
  <r>
    <x v="4730"/>
    <n v="2547.79"/>
    <x v="13"/>
  </r>
  <r>
    <x v="4731"/>
    <n v="2544.65"/>
    <x v="13"/>
  </r>
  <r>
    <x v="4732"/>
    <n v="2542.1999999999998"/>
    <x v="13"/>
  </r>
  <r>
    <x v="4733"/>
    <n v="2540.4699999999998"/>
    <x v="13"/>
  </r>
  <r>
    <x v="4734"/>
    <n v="2540.4699999999998"/>
    <x v="13"/>
  </r>
  <r>
    <x v="4735"/>
    <n v="2541.98"/>
    <x v="13"/>
  </r>
  <r>
    <x v="4736"/>
    <n v="2541.98"/>
    <x v="13"/>
  </r>
  <r>
    <x v="4737"/>
    <n v="2541.98"/>
    <x v="13"/>
  </r>
  <r>
    <x v="4738"/>
    <n v="2541.98"/>
    <x v="13"/>
  </r>
  <r>
    <x v="4739"/>
    <n v="2535.89"/>
    <x v="13"/>
  </r>
  <r>
    <x v="4740"/>
    <n v="2523.41"/>
    <x v="13"/>
  </r>
  <r>
    <x v="4741"/>
    <n v="2515.3200000000002"/>
    <x v="13"/>
  </r>
  <r>
    <x v="4742"/>
    <n v="2517.86"/>
    <x v="13"/>
  </r>
  <r>
    <x v="4743"/>
    <n v="2517.86"/>
    <x v="13"/>
  </r>
  <r>
    <x v="4744"/>
    <n v="2517.86"/>
    <x v="13"/>
  </r>
  <r>
    <x v="4745"/>
    <n v="2521.81"/>
    <x v="13"/>
  </r>
  <r>
    <x v="4746"/>
    <n v="2509.79"/>
    <x v="13"/>
  </r>
  <r>
    <x v="4747"/>
    <n v="2501.88"/>
    <x v="13"/>
  </r>
  <r>
    <x v="4748"/>
    <n v="2501.88"/>
    <x v="13"/>
  </r>
  <r>
    <x v="4749"/>
    <n v="2484.36"/>
    <x v="13"/>
  </r>
  <r>
    <x v="4750"/>
    <n v="2484.36"/>
    <x v="13"/>
  </r>
  <r>
    <x v="4751"/>
    <n v="2484.36"/>
    <x v="13"/>
  </r>
  <r>
    <x v="4752"/>
    <n v="2479.1"/>
    <x v="13"/>
  </r>
  <r>
    <x v="4753"/>
    <n v="2479.1799999999998"/>
    <x v="13"/>
  </r>
  <r>
    <x v="4754"/>
    <n v="2472.12"/>
    <x v="13"/>
  </r>
  <r>
    <x v="4755"/>
    <n v="2481.9299999999998"/>
    <x v="13"/>
  </r>
  <r>
    <x v="4756"/>
    <n v="2475.23"/>
    <x v="13"/>
  </r>
  <r>
    <x v="4757"/>
    <n v="2475.23"/>
    <x v="13"/>
  </r>
  <r>
    <x v="4758"/>
    <n v="2475.23"/>
    <x v="13"/>
  </r>
  <r>
    <x v="4759"/>
    <n v="2466.71"/>
    <x v="13"/>
  </r>
  <r>
    <x v="4760"/>
    <n v="2455.12"/>
    <x v="13"/>
  </r>
  <r>
    <x v="4761"/>
    <n v="2455.12"/>
    <x v="13"/>
  </r>
  <r>
    <x v="4762"/>
    <n v="2464.19"/>
    <x v="13"/>
  </r>
  <r>
    <x v="4763"/>
    <n v="2440.7199999999998"/>
    <x v="13"/>
  </r>
  <r>
    <x v="4764"/>
    <n v="2440.7199999999998"/>
    <x v="13"/>
  </r>
  <r>
    <x v="4765"/>
    <n v="2440.7199999999998"/>
    <x v="13"/>
  </r>
  <r>
    <x v="4766"/>
    <n v="2416.29"/>
    <x v="13"/>
  </r>
  <r>
    <x v="4767"/>
    <n v="2385.1"/>
    <x v="13"/>
  </r>
  <r>
    <x v="4768"/>
    <n v="2376.37"/>
    <x v="13"/>
  </r>
  <r>
    <x v="4769"/>
    <n v="2365.75"/>
    <x v="13"/>
  </r>
  <r>
    <x v="4770"/>
    <n v="2361.46"/>
    <x v="13"/>
  </r>
  <r>
    <x v="4771"/>
    <n v="2361.46"/>
    <x v="13"/>
  </r>
  <r>
    <x v="4772"/>
    <n v="2361.46"/>
    <x v="13"/>
  </r>
  <r>
    <x v="4773"/>
    <n v="2329.79"/>
    <x v="13"/>
  </r>
  <r>
    <x v="4774"/>
    <n v="2316.12"/>
    <x v="13"/>
  </r>
  <r>
    <x v="4775"/>
    <n v="2381.0300000000002"/>
    <x v="13"/>
  </r>
  <r>
    <x v="4776"/>
    <n v="2404.4"/>
    <x v="13"/>
  </r>
  <r>
    <x v="4777"/>
    <n v="2375.9899999999998"/>
    <x v="13"/>
  </r>
  <r>
    <x v="4778"/>
    <n v="2375.9899999999998"/>
    <x v="13"/>
  </r>
  <r>
    <x v="4779"/>
    <n v="2375.9899999999998"/>
    <x v="13"/>
  </r>
  <r>
    <x v="4780"/>
    <n v="2385.3200000000002"/>
    <x v="13"/>
  </r>
  <r>
    <x v="4781"/>
    <n v="2415.37"/>
    <x v="13"/>
  </r>
  <r>
    <x v="4782"/>
    <n v="2412.1"/>
    <x v="13"/>
  </r>
  <r>
    <x v="4783"/>
    <n v="2389.75"/>
    <x v="13"/>
  </r>
  <r>
    <x v="4784"/>
    <n v="2389.75"/>
    <x v="14"/>
  </r>
  <r>
    <x v="4785"/>
    <n v="2389.75"/>
    <x v="14"/>
  </r>
  <r>
    <x v="4786"/>
    <n v="2389.75"/>
    <x v="14"/>
  </r>
  <r>
    <x v="4787"/>
    <n v="2338.84"/>
    <x v="14"/>
  </r>
  <r>
    <x v="4788"/>
    <n v="2315.4499999999998"/>
    <x v="14"/>
  </r>
  <r>
    <x v="4789"/>
    <n v="2344.4499999999998"/>
    <x v="14"/>
  </r>
  <r>
    <x v="4790"/>
    <n v="2386.67"/>
    <x v="14"/>
  </r>
  <r>
    <x v="4791"/>
    <n v="2358.54"/>
    <x v="14"/>
  </r>
  <r>
    <x v="4792"/>
    <n v="2358.54"/>
    <x v="14"/>
  </r>
  <r>
    <x v="4793"/>
    <n v="2358.54"/>
    <x v="14"/>
  </r>
  <r>
    <x v="4794"/>
    <n v="2358.54"/>
    <x v="14"/>
  </r>
  <r>
    <x v="4795"/>
    <n v="2380.96"/>
    <x v="14"/>
  </r>
  <r>
    <x v="4796"/>
    <n v="2358.64"/>
    <x v="14"/>
  </r>
  <r>
    <x v="4797"/>
    <n v="2340.42"/>
    <x v="14"/>
  </r>
  <r>
    <x v="4798"/>
    <n v="2351.23"/>
    <x v="14"/>
  </r>
  <r>
    <x v="4799"/>
    <n v="2351.23"/>
    <x v="14"/>
  </r>
  <r>
    <x v="4800"/>
    <n v="2351.23"/>
    <x v="14"/>
  </r>
  <r>
    <x v="4801"/>
    <n v="2351.23"/>
    <x v="14"/>
  </r>
  <r>
    <x v="4802"/>
    <n v="2371.77"/>
    <x v="14"/>
  </r>
  <r>
    <x v="4803"/>
    <n v="2363.69"/>
    <x v="14"/>
  </r>
  <r>
    <x v="4804"/>
    <n v="2381.54"/>
    <x v="14"/>
  </r>
  <r>
    <x v="4805"/>
    <n v="2373.86"/>
    <x v="14"/>
  </r>
  <r>
    <x v="4806"/>
    <n v="2373.86"/>
    <x v="14"/>
  </r>
  <r>
    <x v="4807"/>
    <n v="2373.86"/>
    <x v="14"/>
  </r>
  <r>
    <x v="4808"/>
    <n v="2370.77"/>
    <x v="14"/>
  </r>
  <r>
    <x v="4809"/>
    <n v="2370.08"/>
    <x v="14"/>
  </r>
  <r>
    <x v="4810"/>
    <n v="2370.9499999999998"/>
    <x v="14"/>
  </r>
  <r>
    <x v="4811"/>
    <n v="2372.63"/>
    <x v="14"/>
  </r>
  <r>
    <x v="4812"/>
    <n v="2367.7600000000002"/>
    <x v="14"/>
  </r>
  <r>
    <x v="4813"/>
    <n v="2367.7600000000002"/>
    <x v="14"/>
  </r>
  <r>
    <x v="4814"/>
    <n v="2367.7600000000002"/>
    <x v="14"/>
  </r>
  <r>
    <x v="4815"/>
    <n v="2363.75"/>
    <x v="14"/>
  </r>
  <r>
    <x v="4816"/>
    <n v="2358.16"/>
    <x v="14"/>
  </r>
  <r>
    <x v="4817"/>
    <n v="2364.13"/>
    <x v="14"/>
  </r>
  <r>
    <x v="4818"/>
    <n v="2365.08"/>
    <x v="14"/>
  </r>
  <r>
    <x v="4819"/>
    <n v="2361.92"/>
    <x v="14"/>
  </r>
  <r>
    <x v="4820"/>
    <n v="2361.92"/>
    <x v="14"/>
  </r>
  <r>
    <x v="4821"/>
    <n v="2361.92"/>
    <x v="14"/>
  </r>
  <r>
    <x v="4822"/>
    <n v="2365.79"/>
    <x v="14"/>
  </r>
  <r>
    <x v="4823"/>
    <n v="2364.16"/>
    <x v="14"/>
  </r>
  <r>
    <x v="4824"/>
    <n v="2358.61"/>
    <x v="14"/>
  </r>
  <r>
    <x v="4825"/>
    <n v="2344.94"/>
    <x v="14"/>
  </r>
  <r>
    <x v="4826"/>
    <n v="2346.04"/>
    <x v="14"/>
  </r>
  <r>
    <x v="4827"/>
    <n v="2346.04"/>
    <x v="14"/>
  </r>
  <r>
    <x v="4828"/>
    <n v="2346.04"/>
    <x v="14"/>
  </r>
  <r>
    <x v="4829"/>
    <n v="2338.27"/>
    <x v="14"/>
  </r>
  <r>
    <x v="4830"/>
    <n v="2330.62"/>
    <x v="14"/>
  </r>
  <r>
    <x v="4831"/>
    <n v="2331.6999999999998"/>
    <x v="14"/>
  </r>
  <r>
    <x v="4832"/>
    <n v="2327.4499999999998"/>
    <x v="14"/>
  </r>
  <r>
    <x v="4833"/>
    <n v="2318.12"/>
    <x v="14"/>
  </r>
  <r>
    <x v="4834"/>
    <n v="2318.12"/>
    <x v="14"/>
  </r>
  <r>
    <x v="4835"/>
    <n v="2318.12"/>
    <x v="14"/>
  </r>
  <r>
    <x v="4836"/>
    <n v="2318.12"/>
    <x v="14"/>
  </r>
  <r>
    <x v="4837"/>
    <n v="2311.83"/>
    <x v="14"/>
  </r>
  <r>
    <x v="4838"/>
    <n v="2308.58"/>
    <x v="14"/>
  </r>
  <r>
    <x v="4839"/>
    <n v="2308.6999999999998"/>
    <x v="14"/>
  </r>
  <r>
    <x v="4840"/>
    <n v="2323.77"/>
    <x v="14"/>
  </r>
  <r>
    <x v="4841"/>
    <n v="2323.77"/>
    <x v="14"/>
  </r>
  <r>
    <x v="4842"/>
    <n v="2323.77"/>
    <x v="14"/>
  </r>
  <r>
    <x v="4843"/>
    <n v="2327.98"/>
    <x v="14"/>
  </r>
  <r>
    <x v="4844"/>
    <n v="2329.67"/>
    <x v="14"/>
  </r>
  <r>
    <x v="4845"/>
    <n v="2333.65"/>
    <x v="14"/>
  </r>
  <r>
    <x v="4846"/>
    <n v="2333.6999999999998"/>
    <x v="14"/>
  </r>
  <r>
    <x v="4847"/>
    <n v="2338.9299999999998"/>
    <x v="14"/>
  </r>
  <r>
    <x v="4848"/>
    <n v="2338.9299999999998"/>
    <x v="14"/>
  </r>
  <r>
    <x v="4849"/>
    <n v="2338.9299999999998"/>
    <x v="14"/>
  </r>
  <r>
    <x v="4850"/>
    <n v="2324.89"/>
    <x v="14"/>
  </r>
  <r>
    <x v="4851"/>
    <n v="2325.69"/>
    <x v="14"/>
  </r>
  <r>
    <x v="4852"/>
    <n v="2334.11"/>
    <x v="14"/>
  </r>
  <r>
    <x v="4853"/>
    <n v="2340.34"/>
    <x v="14"/>
  </r>
  <r>
    <x v="4854"/>
    <n v="2332.7199999999998"/>
    <x v="14"/>
  </r>
  <r>
    <x v="4855"/>
    <n v="2332.7199999999998"/>
    <x v="14"/>
  </r>
  <r>
    <x v="4856"/>
    <n v="2332.7199999999998"/>
    <x v="14"/>
  </r>
  <r>
    <x v="4857"/>
    <n v="2346.71"/>
    <x v="14"/>
  </r>
  <r>
    <x v="4858"/>
    <n v="2362.36"/>
    <x v="14"/>
  </r>
  <r>
    <x v="4859"/>
    <n v="2386.4699999999998"/>
    <x v="14"/>
  </r>
  <r>
    <x v="4860"/>
    <n v="2374.46"/>
    <x v="14"/>
  </r>
  <r>
    <x v="4861"/>
    <n v="2371.4299999999998"/>
    <x v="14"/>
  </r>
  <r>
    <x v="4862"/>
    <n v="2371.4299999999998"/>
    <x v="14"/>
  </r>
  <r>
    <x v="4863"/>
    <n v="2371.4299999999998"/>
    <x v="14"/>
  </r>
  <r>
    <x v="4864"/>
    <n v="2371.4299999999998"/>
    <x v="14"/>
  </r>
  <r>
    <x v="4865"/>
    <n v="2361.7800000000002"/>
    <x v="14"/>
  </r>
  <r>
    <x v="4866"/>
    <n v="2382.3000000000002"/>
    <x v="14"/>
  </r>
  <r>
    <x v="4867"/>
    <n v="2382.3000000000002"/>
    <x v="14"/>
  </r>
  <r>
    <x v="4868"/>
    <n v="2382.3000000000002"/>
    <x v="14"/>
  </r>
  <r>
    <x v="4869"/>
    <n v="2382.3000000000002"/>
    <x v="14"/>
  </r>
  <r>
    <x v="4870"/>
    <n v="2382.3000000000002"/>
    <x v="14"/>
  </r>
  <r>
    <x v="4871"/>
    <n v="2397.25"/>
    <x v="14"/>
  </r>
  <r>
    <x v="4872"/>
    <n v="2393.3200000000002"/>
    <x v="14"/>
  </r>
  <r>
    <x v="4873"/>
    <n v="2376.48"/>
    <x v="14"/>
  </r>
  <r>
    <x v="4874"/>
    <n v="2363.23"/>
    <x v="14"/>
  </r>
  <r>
    <x v="4875"/>
    <n v="2365.98"/>
    <x v="14"/>
  </r>
  <r>
    <x v="4876"/>
    <n v="2365.98"/>
    <x v="14"/>
  </r>
  <r>
    <x v="4877"/>
    <n v="2365.98"/>
    <x v="14"/>
  </r>
  <r>
    <x v="4878"/>
    <n v="2374.4699999999998"/>
    <x v="14"/>
  </r>
  <r>
    <x v="4879"/>
    <n v="2369.67"/>
    <x v="14"/>
  </r>
  <r>
    <x v="4880"/>
    <n v="2362.2800000000002"/>
    <x v="14"/>
  </r>
  <r>
    <x v="4881"/>
    <n v="2353.16"/>
    <x v="14"/>
  </r>
  <r>
    <x v="4882"/>
    <n v="2349.8000000000002"/>
    <x v="14"/>
  </r>
  <r>
    <x v="4883"/>
    <n v="2349.8000000000002"/>
    <x v="14"/>
  </r>
  <r>
    <x v="4884"/>
    <n v="2349.8000000000002"/>
    <x v="14"/>
  </r>
  <r>
    <x v="4885"/>
    <n v="2331.9499999999998"/>
    <x v="14"/>
  </r>
  <r>
    <x v="4886"/>
    <n v="2335.4"/>
    <x v="14"/>
  </r>
  <r>
    <x v="4887"/>
    <n v="2328.7399999999998"/>
    <x v="14"/>
  </r>
  <r>
    <x v="4888"/>
    <n v="2346.09"/>
    <x v="14"/>
  </r>
  <r>
    <x v="4889"/>
    <n v="2363.96"/>
    <x v="14"/>
  </r>
  <r>
    <x v="4890"/>
    <n v="2363.96"/>
    <x v="14"/>
  </r>
  <r>
    <x v="4891"/>
    <n v="2363.96"/>
    <x v="14"/>
  </r>
  <r>
    <x v="4892"/>
    <n v="2363.3000000000002"/>
    <x v="14"/>
  </r>
  <r>
    <x v="4893"/>
    <n v="2355.64"/>
    <x v="14"/>
  </r>
  <r>
    <x v="4894"/>
    <n v="2344.4499999999998"/>
    <x v="14"/>
  </r>
  <r>
    <x v="4895"/>
    <n v="2336.35"/>
    <x v="14"/>
  </r>
  <r>
    <x v="4896"/>
    <n v="2336.25"/>
    <x v="14"/>
  </r>
  <r>
    <x v="4897"/>
    <n v="2336.25"/>
    <x v="14"/>
  </r>
  <r>
    <x v="4898"/>
    <n v="2336.25"/>
    <x v="14"/>
  </r>
  <r>
    <x v="4899"/>
    <n v="2343.9699999999998"/>
    <x v="14"/>
  </r>
  <r>
    <x v="4900"/>
    <n v="2342.56"/>
    <x v="14"/>
  </r>
  <r>
    <x v="4901"/>
    <n v="2338.0700000000002"/>
    <x v="14"/>
  </r>
  <r>
    <x v="4902"/>
    <n v="2344.87"/>
    <x v="14"/>
  </r>
  <r>
    <x v="4903"/>
    <n v="2348.3200000000002"/>
    <x v="14"/>
  </r>
  <r>
    <x v="4904"/>
    <n v="2348.3200000000002"/>
    <x v="14"/>
  </r>
  <r>
    <x v="4905"/>
    <n v="2348.3200000000002"/>
    <x v="14"/>
  </r>
  <r>
    <x v="4906"/>
    <n v="2349.59"/>
    <x v="14"/>
  </r>
  <r>
    <x v="4907"/>
    <n v="2345.4499999999998"/>
    <x v="14"/>
  </r>
  <r>
    <x v="4908"/>
    <n v="2337.08"/>
    <x v="14"/>
  </r>
  <r>
    <x v="4909"/>
    <n v="2338.44"/>
    <x v="14"/>
  </r>
  <r>
    <x v="4910"/>
    <n v="2339.06"/>
    <x v="14"/>
  </r>
  <r>
    <x v="4911"/>
    <n v="2339.06"/>
    <x v="14"/>
  </r>
  <r>
    <x v="4912"/>
    <n v="2339.06"/>
    <x v="14"/>
  </r>
  <r>
    <x v="4913"/>
    <n v="2339.06"/>
    <x v="14"/>
  </r>
  <r>
    <x v="4914"/>
    <n v="2339.77"/>
    <x v="14"/>
  </r>
  <r>
    <x v="4915"/>
    <n v="2340.9899999999998"/>
    <x v="14"/>
  </r>
  <r>
    <x v="4916"/>
    <n v="2344"/>
    <x v="14"/>
  </r>
  <r>
    <x v="4917"/>
    <n v="2348.69"/>
    <x v="14"/>
  </r>
  <r>
    <x v="4918"/>
    <n v="2348.69"/>
    <x v="14"/>
  </r>
  <r>
    <x v="4919"/>
    <n v="2348.69"/>
    <x v="14"/>
  </r>
  <r>
    <x v="4920"/>
    <n v="2347.25"/>
    <x v="14"/>
  </r>
  <r>
    <x v="4921"/>
    <n v="2341.7199999999998"/>
    <x v="14"/>
  </r>
  <r>
    <x v="4922"/>
    <n v="2339.44"/>
    <x v="14"/>
  </r>
  <r>
    <x v="4923"/>
    <n v="2336.9899999999998"/>
    <x v="14"/>
  </r>
  <r>
    <x v="4924"/>
    <n v="2337"/>
    <x v="14"/>
  </r>
  <r>
    <x v="4925"/>
    <n v="2337"/>
    <x v="14"/>
  </r>
  <r>
    <x v="4926"/>
    <n v="2337"/>
    <x v="14"/>
  </r>
  <r>
    <x v="4927"/>
    <n v="2329.0500000000002"/>
    <x v="14"/>
  </r>
  <r>
    <x v="4928"/>
    <n v="2328.69"/>
    <x v="14"/>
  </r>
  <r>
    <x v="4929"/>
    <n v="2329.35"/>
    <x v="14"/>
  </r>
  <r>
    <x v="4930"/>
    <n v="2330.79"/>
    <x v="14"/>
  </r>
  <r>
    <x v="4931"/>
    <n v="2332.79"/>
    <x v="14"/>
  </r>
  <r>
    <x v="4932"/>
    <n v="2332.79"/>
    <x v="14"/>
  </r>
  <r>
    <x v="4933"/>
    <n v="2332.79"/>
    <x v="14"/>
  </r>
  <r>
    <x v="4934"/>
    <n v="2332.79"/>
    <x v="14"/>
  </r>
  <r>
    <x v="4935"/>
    <n v="2338.89"/>
    <x v="14"/>
  </r>
  <r>
    <x v="4936"/>
    <n v="2339.67"/>
    <x v="14"/>
  </r>
  <r>
    <x v="4937"/>
    <n v="2336.65"/>
    <x v="14"/>
  </r>
  <r>
    <x v="4938"/>
    <n v="2330.9299999999998"/>
    <x v="14"/>
  </r>
  <r>
    <x v="4939"/>
    <n v="2330.9299999999998"/>
    <x v="14"/>
  </r>
  <r>
    <x v="4940"/>
    <n v="2330.9299999999998"/>
    <x v="14"/>
  </r>
  <r>
    <x v="4941"/>
    <n v="2330.9299999999998"/>
    <x v="14"/>
  </r>
  <r>
    <x v="4942"/>
    <n v="2331.38"/>
    <x v="14"/>
  </r>
  <r>
    <x v="4943"/>
    <n v="2347.83"/>
    <x v="14"/>
  </r>
  <r>
    <x v="4944"/>
    <n v="2361.41"/>
    <x v="14"/>
  </r>
  <r>
    <x v="4945"/>
    <n v="2349.17"/>
    <x v="14"/>
  </r>
  <r>
    <x v="4946"/>
    <n v="2349.17"/>
    <x v="14"/>
  </r>
  <r>
    <x v="4947"/>
    <n v="2349.17"/>
    <x v="14"/>
  </r>
  <r>
    <x v="4948"/>
    <n v="2345.6"/>
    <x v="14"/>
  </r>
  <r>
    <x v="4949"/>
    <n v="2334.27"/>
    <x v="14"/>
  </r>
  <r>
    <x v="4950"/>
    <n v="2330.33"/>
    <x v="14"/>
  </r>
  <r>
    <x v="4951"/>
    <n v="2326.4299999999998"/>
    <x v="14"/>
  </r>
  <r>
    <x v="4952"/>
    <n v="2322.0500000000002"/>
    <x v="14"/>
  </r>
  <r>
    <x v="4953"/>
    <n v="2322.0500000000002"/>
    <x v="14"/>
  </r>
  <r>
    <x v="4954"/>
    <n v="2322.0500000000002"/>
    <x v="14"/>
  </r>
  <r>
    <x v="4955"/>
    <n v="2319.11"/>
    <x v="14"/>
  </r>
  <r>
    <x v="4956"/>
    <n v="2314.89"/>
    <x v="14"/>
  </r>
  <r>
    <x v="4957"/>
    <n v="2316.4499999999998"/>
    <x v="14"/>
  </r>
  <r>
    <x v="4958"/>
    <n v="2319.27"/>
    <x v="14"/>
  </r>
  <r>
    <x v="4959"/>
    <n v="2320.29"/>
    <x v="14"/>
  </r>
  <r>
    <x v="4960"/>
    <n v="2320.29"/>
    <x v="14"/>
  </r>
  <r>
    <x v="4961"/>
    <n v="2320.29"/>
    <x v="14"/>
  </r>
  <r>
    <x v="4962"/>
    <n v="2323.19"/>
    <x v="14"/>
  </r>
  <r>
    <x v="4963"/>
    <n v="2327.9"/>
    <x v="14"/>
  </r>
  <r>
    <x v="4964"/>
    <n v="2331.81"/>
    <x v="14"/>
  </r>
  <r>
    <x v="4965"/>
    <n v="2324.2199999999998"/>
    <x v="14"/>
  </r>
  <r>
    <x v="4966"/>
    <n v="2324.69"/>
    <x v="14"/>
  </r>
  <r>
    <x v="4967"/>
    <n v="2324.69"/>
    <x v="14"/>
  </r>
  <r>
    <x v="4968"/>
    <n v="2324.69"/>
    <x v="14"/>
  </r>
  <r>
    <x v="4969"/>
    <n v="2324.69"/>
    <x v="14"/>
  </r>
  <r>
    <x v="4970"/>
    <n v="2338.17"/>
    <x v="14"/>
  </r>
  <r>
    <x v="4971"/>
    <n v="2338.86"/>
    <x v="14"/>
  </r>
  <r>
    <x v="4972"/>
    <n v="2332.6999999999998"/>
    <x v="14"/>
  </r>
  <r>
    <x v="4973"/>
    <n v="2330.7199999999998"/>
    <x v="14"/>
  </r>
  <r>
    <x v="4974"/>
    <n v="2330.7199999999998"/>
    <x v="14"/>
  </r>
  <r>
    <x v="4975"/>
    <n v="2330.7199999999998"/>
    <x v="14"/>
  </r>
  <r>
    <x v="4976"/>
    <n v="2324.37"/>
    <x v="14"/>
  </r>
  <r>
    <x v="4977"/>
    <n v="2323.08"/>
    <x v="14"/>
  </r>
  <r>
    <x v="4978"/>
    <n v="2326.09"/>
    <x v="14"/>
  </r>
  <r>
    <x v="4979"/>
    <n v="2329.4"/>
    <x v="14"/>
  </r>
  <r>
    <x v="4980"/>
    <n v="2332.0700000000002"/>
    <x v="14"/>
  </r>
  <r>
    <x v="4981"/>
    <n v="2332.0700000000002"/>
    <x v="14"/>
  </r>
  <r>
    <x v="4982"/>
    <n v="2332.0700000000002"/>
    <x v="14"/>
  </r>
  <r>
    <x v="4983"/>
    <n v="2320.2600000000002"/>
    <x v="14"/>
  </r>
  <r>
    <x v="4984"/>
    <n v="2312.73"/>
    <x v="14"/>
  </r>
  <r>
    <x v="4985"/>
    <n v="2312.73"/>
    <x v="14"/>
  </r>
  <r>
    <x v="4986"/>
    <n v="2312.8200000000002"/>
    <x v="14"/>
  </r>
  <r>
    <x v="4987"/>
    <n v="2316.42"/>
    <x v="14"/>
  </r>
  <r>
    <x v="4988"/>
    <n v="2316.42"/>
    <x v="14"/>
  </r>
  <r>
    <x v="4989"/>
    <n v="2316.42"/>
    <x v="14"/>
  </r>
  <r>
    <x v="4990"/>
    <n v="2315.39"/>
    <x v="14"/>
  </r>
  <r>
    <x v="4991"/>
    <n v="2316.9299999999998"/>
    <x v="14"/>
  </r>
  <r>
    <x v="4992"/>
    <n v="2313.84"/>
    <x v="14"/>
  </r>
  <r>
    <x v="4993"/>
    <n v="2311.4299999999998"/>
    <x v="14"/>
  </r>
  <r>
    <x v="4994"/>
    <n v="2308.4899999999998"/>
    <x v="14"/>
  </r>
  <r>
    <x v="4995"/>
    <n v="2308.4899999999998"/>
    <x v="14"/>
  </r>
  <r>
    <x v="4996"/>
    <n v="2308.4899999999998"/>
    <x v="14"/>
  </r>
  <r>
    <x v="4997"/>
    <n v="2308.42"/>
    <x v="14"/>
  </r>
  <r>
    <x v="4998"/>
    <n v="2305.9499999999998"/>
    <x v="14"/>
  </r>
  <r>
    <x v="4999"/>
    <n v="2306.5100000000002"/>
    <x v="14"/>
  </r>
  <r>
    <x v="5000"/>
    <n v="2307.4"/>
    <x v="14"/>
  </r>
  <r>
    <x v="5001"/>
    <n v="2307.69"/>
    <x v="14"/>
  </r>
  <r>
    <x v="5002"/>
    <n v="2307.69"/>
    <x v="14"/>
  </r>
  <r>
    <x v="5003"/>
    <n v="2307.69"/>
    <x v="14"/>
  </r>
  <r>
    <x v="5004"/>
    <n v="2308.3000000000002"/>
    <x v="14"/>
  </r>
  <r>
    <x v="5005"/>
    <n v="2305.63"/>
    <x v="14"/>
  </r>
  <r>
    <x v="5006"/>
    <n v="2299.75"/>
    <x v="14"/>
  </r>
  <r>
    <x v="5007"/>
    <n v="2313.52"/>
    <x v="14"/>
  </r>
  <r>
    <x v="5008"/>
    <n v="2308.38"/>
    <x v="14"/>
  </r>
  <r>
    <x v="5009"/>
    <n v="2308.38"/>
    <x v="14"/>
  </r>
  <r>
    <x v="5010"/>
    <n v="2308.38"/>
    <x v="14"/>
  </r>
  <r>
    <x v="5011"/>
    <n v="2308.38"/>
    <x v="14"/>
  </r>
  <r>
    <x v="5012"/>
    <n v="2301.7399999999998"/>
    <x v="14"/>
  </r>
  <r>
    <x v="5013"/>
    <n v="2303.1999999999998"/>
    <x v="14"/>
  </r>
  <r>
    <x v="5014"/>
    <n v="2307.4499999999998"/>
    <x v="14"/>
  </r>
  <r>
    <x v="5015"/>
    <n v="2309.83"/>
    <x v="14"/>
  </r>
  <r>
    <x v="5016"/>
    <n v="2309.83"/>
    <x v="14"/>
  </r>
  <r>
    <x v="5017"/>
    <n v="2309.83"/>
    <x v="14"/>
  </r>
  <r>
    <x v="5018"/>
    <n v="2304.2600000000002"/>
    <x v="14"/>
  </r>
  <r>
    <x v="5019"/>
    <n v="2302.59"/>
    <x v="14"/>
  </r>
  <r>
    <x v="5020"/>
    <n v="2305.0500000000002"/>
    <x v="14"/>
  </r>
  <r>
    <x v="5021"/>
    <n v="2305.87"/>
    <x v="14"/>
  </r>
  <r>
    <x v="5022"/>
    <n v="2306.71"/>
    <x v="14"/>
  </r>
  <r>
    <x v="5023"/>
    <n v="2306.71"/>
    <x v="14"/>
  </r>
  <r>
    <x v="5024"/>
    <n v="2306.71"/>
    <x v="14"/>
  </r>
  <r>
    <x v="5025"/>
    <n v="2305.15"/>
    <x v="14"/>
  </r>
  <r>
    <x v="5026"/>
    <n v="2304.3000000000002"/>
    <x v="14"/>
  </r>
  <r>
    <x v="5027"/>
    <n v="2302.7800000000002"/>
    <x v="14"/>
  </r>
  <r>
    <x v="5028"/>
    <n v="2298.85"/>
    <x v="14"/>
  </r>
  <r>
    <x v="5029"/>
    <n v="2295.31"/>
    <x v="14"/>
  </r>
  <r>
    <x v="5030"/>
    <n v="2295.31"/>
    <x v="14"/>
  </r>
  <r>
    <x v="5031"/>
    <n v="2295.31"/>
    <x v="14"/>
  </r>
  <r>
    <x v="5032"/>
    <n v="2295.31"/>
    <x v="14"/>
  </r>
  <r>
    <x v="5033"/>
    <n v="2286.61"/>
    <x v="14"/>
  </r>
  <r>
    <x v="5034"/>
    <n v="2279.9499999999998"/>
    <x v="14"/>
  </r>
  <r>
    <x v="5035"/>
    <n v="2289.3000000000002"/>
    <x v="14"/>
  </r>
  <r>
    <x v="5036"/>
    <n v="2305.09"/>
    <x v="14"/>
  </r>
  <r>
    <x v="5037"/>
    <n v="2305.09"/>
    <x v="14"/>
  </r>
  <r>
    <x v="5038"/>
    <n v="2305.09"/>
    <x v="14"/>
  </r>
  <r>
    <x v="5039"/>
    <n v="2306.71"/>
    <x v="14"/>
  </r>
  <r>
    <x v="5040"/>
    <n v="2295.02"/>
    <x v="14"/>
  </r>
  <r>
    <x v="5041"/>
    <n v="2290.02"/>
    <x v="14"/>
  </r>
  <r>
    <x v="5042"/>
    <n v="2299.8200000000002"/>
    <x v="14"/>
  </r>
  <r>
    <x v="5043"/>
    <n v="2301.9899999999998"/>
    <x v="14"/>
  </r>
  <r>
    <x v="5044"/>
    <n v="2301.9899999999998"/>
    <x v="14"/>
  </r>
  <r>
    <x v="5045"/>
    <n v="2301.9899999999998"/>
    <x v="14"/>
  </r>
  <r>
    <x v="5046"/>
    <n v="2295.5700000000002"/>
    <x v="14"/>
  </r>
  <r>
    <x v="5047"/>
    <n v="2300.58"/>
    <x v="14"/>
  </r>
  <r>
    <x v="5048"/>
    <n v="2291.0500000000002"/>
    <x v="14"/>
  </r>
  <r>
    <x v="5049"/>
    <n v="2292.59"/>
    <x v="14"/>
  </r>
  <r>
    <x v="5050"/>
    <n v="2290.0300000000002"/>
    <x v="14"/>
  </r>
  <r>
    <x v="5051"/>
    <n v="2290.0300000000002"/>
    <x v="14"/>
  </r>
  <r>
    <x v="5052"/>
    <n v="2290.0300000000002"/>
    <x v="14"/>
  </r>
  <r>
    <x v="5053"/>
    <n v="2289.1799999999998"/>
    <x v="14"/>
  </r>
  <r>
    <x v="5054"/>
    <n v="2290.7399999999998"/>
    <x v="14"/>
  </r>
  <r>
    <x v="5055"/>
    <n v="2293.29"/>
    <x v="14"/>
  </r>
  <r>
    <x v="5056"/>
    <n v="2289.61"/>
    <x v="14"/>
  </r>
  <r>
    <x v="5057"/>
    <n v="2288.2199999999998"/>
    <x v="14"/>
  </r>
  <r>
    <x v="5058"/>
    <n v="2288.2199999999998"/>
    <x v="14"/>
  </r>
  <r>
    <x v="5059"/>
    <n v="2288.2199999999998"/>
    <x v="14"/>
  </r>
  <r>
    <x v="5060"/>
    <n v="2289.13"/>
    <x v="14"/>
  </r>
  <r>
    <x v="5061"/>
    <n v="2289.79"/>
    <x v="14"/>
  </r>
  <r>
    <x v="5062"/>
    <n v="2294.12"/>
    <x v="14"/>
  </r>
  <r>
    <x v="5063"/>
    <n v="2302.79"/>
    <x v="14"/>
  </r>
  <r>
    <x v="5064"/>
    <n v="2303.0100000000002"/>
    <x v="14"/>
  </r>
  <r>
    <x v="5065"/>
    <n v="2303.0100000000002"/>
    <x v="14"/>
  </r>
  <r>
    <x v="5066"/>
    <n v="2303.0100000000002"/>
    <x v="14"/>
  </r>
  <r>
    <x v="5067"/>
    <n v="2303.0100000000002"/>
    <x v="14"/>
  </r>
  <r>
    <x v="5068"/>
    <n v="2299.94"/>
    <x v="14"/>
  </r>
  <r>
    <x v="5069"/>
    <n v="2299.4699999999998"/>
    <x v="14"/>
  </r>
  <r>
    <x v="5070"/>
    <n v="2298.9899999999998"/>
    <x v="14"/>
  </r>
  <r>
    <x v="5071"/>
    <n v="2294.75"/>
    <x v="14"/>
  </r>
  <r>
    <x v="5072"/>
    <n v="2294.75"/>
    <x v="14"/>
  </r>
  <r>
    <x v="5073"/>
    <n v="2294.75"/>
    <x v="14"/>
  </r>
  <r>
    <x v="5074"/>
    <n v="2294.75"/>
    <x v="14"/>
  </r>
  <r>
    <x v="5075"/>
    <n v="2288.69"/>
    <x v="14"/>
  </r>
  <r>
    <x v="5076"/>
    <n v="2283.96"/>
    <x v="14"/>
  </r>
  <r>
    <x v="5077"/>
    <n v="2289.15"/>
    <x v="14"/>
  </r>
  <r>
    <x v="5078"/>
    <n v="2288.69"/>
    <x v="14"/>
  </r>
  <r>
    <x v="5079"/>
    <n v="2288.69"/>
    <x v="14"/>
  </r>
  <r>
    <x v="5080"/>
    <n v="2288.69"/>
    <x v="14"/>
  </r>
  <r>
    <x v="5081"/>
    <n v="2285.37"/>
    <x v="14"/>
  </r>
  <r>
    <x v="5082"/>
    <n v="2284.0500000000002"/>
    <x v="14"/>
  </r>
  <r>
    <x v="5083"/>
    <n v="2288.52"/>
    <x v="14"/>
  </r>
  <r>
    <x v="5084"/>
    <n v="2289.87"/>
    <x v="14"/>
  </r>
  <r>
    <x v="5085"/>
    <n v="2289.5700000000002"/>
    <x v="14"/>
  </r>
  <r>
    <x v="5086"/>
    <n v="2289.5700000000002"/>
    <x v="14"/>
  </r>
  <r>
    <x v="5087"/>
    <n v="2289.5700000000002"/>
    <x v="14"/>
  </r>
  <r>
    <x v="5088"/>
    <n v="2287.5100000000002"/>
    <x v="14"/>
  </r>
  <r>
    <x v="5089"/>
    <n v="2285.83"/>
    <x v="14"/>
  </r>
  <r>
    <x v="5090"/>
    <n v="2285.2399999999998"/>
    <x v="14"/>
  </r>
  <r>
    <x v="5091"/>
    <n v="2283.7800000000002"/>
    <x v="14"/>
  </r>
  <r>
    <x v="5092"/>
    <n v="2282.7600000000002"/>
    <x v="14"/>
  </r>
  <r>
    <x v="5093"/>
    <n v="2282.7600000000002"/>
    <x v="14"/>
  </r>
  <r>
    <x v="5094"/>
    <n v="2282.7600000000002"/>
    <x v="14"/>
  </r>
  <r>
    <x v="5095"/>
    <n v="2282.7600000000002"/>
    <x v="14"/>
  </r>
  <r>
    <x v="5096"/>
    <n v="2282.67"/>
    <x v="14"/>
  </r>
  <r>
    <x v="5097"/>
    <n v="2280.94"/>
    <x v="14"/>
  </r>
  <r>
    <x v="5098"/>
    <n v="2280.19"/>
    <x v="14"/>
  </r>
  <r>
    <x v="5099"/>
    <n v="2280.19"/>
    <x v="14"/>
  </r>
  <r>
    <x v="5100"/>
    <n v="2280.19"/>
    <x v="14"/>
  </r>
  <r>
    <x v="5101"/>
    <n v="2280.19"/>
    <x v="14"/>
  </r>
  <r>
    <x v="5102"/>
    <n v="2280.19"/>
    <x v="14"/>
  </r>
  <r>
    <x v="5103"/>
    <n v="2280.4299999999998"/>
    <x v="14"/>
  </r>
  <r>
    <x v="5104"/>
    <n v="2278.23"/>
    <x v="14"/>
  </r>
  <r>
    <x v="5105"/>
    <n v="2277.9899999999998"/>
    <x v="14"/>
  </r>
  <r>
    <x v="5106"/>
    <n v="2277.73"/>
    <x v="14"/>
  </r>
  <r>
    <x v="5107"/>
    <n v="2277.73"/>
    <x v="14"/>
  </r>
  <r>
    <x v="5108"/>
    <n v="2277.73"/>
    <x v="14"/>
  </r>
  <r>
    <x v="5109"/>
    <n v="2276.64"/>
    <x v="14"/>
  </r>
  <r>
    <x v="5110"/>
    <n v="2278.48"/>
    <x v="14"/>
  </r>
  <r>
    <x v="5111"/>
    <n v="2277.92"/>
    <x v="14"/>
  </r>
  <r>
    <x v="5112"/>
    <n v="2277.92"/>
    <x v="14"/>
  </r>
  <r>
    <x v="5113"/>
    <n v="2275.4"/>
    <x v="14"/>
  </r>
  <r>
    <x v="5114"/>
    <n v="2275.4"/>
    <x v="14"/>
  </r>
  <r>
    <x v="5115"/>
    <n v="2275.4"/>
    <x v="14"/>
  </r>
  <r>
    <x v="5116"/>
    <n v="2273.08"/>
    <x v="14"/>
  </r>
  <r>
    <x v="5117"/>
    <n v="2274.04"/>
    <x v="14"/>
  </r>
  <r>
    <x v="5118"/>
    <n v="2274.71"/>
    <x v="14"/>
  </r>
  <r>
    <x v="5119"/>
    <n v="2272.9499999999998"/>
    <x v="14"/>
  </r>
  <r>
    <x v="5120"/>
    <n v="2274.39"/>
    <x v="14"/>
  </r>
  <r>
    <x v="5121"/>
    <n v="2274.39"/>
    <x v="14"/>
  </r>
  <r>
    <x v="5122"/>
    <n v="2274.39"/>
    <x v="14"/>
  </r>
  <r>
    <x v="5123"/>
    <n v="2274.1"/>
    <x v="14"/>
  </r>
  <r>
    <x v="5124"/>
    <n v="2274.19"/>
    <x v="14"/>
  </r>
  <r>
    <x v="5125"/>
    <n v="2274.06"/>
    <x v="14"/>
  </r>
  <r>
    <x v="5126"/>
    <n v="2274.06"/>
    <x v="14"/>
  </r>
  <r>
    <x v="5127"/>
    <n v="2275.09"/>
    <x v="14"/>
  </r>
  <r>
    <x v="5128"/>
    <n v="2275.09"/>
    <x v="14"/>
  </r>
  <r>
    <x v="5129"/>
    <n v="2275.09"/>
    <x v="14"/>
  </r>
  <r>
    <x v="5130"/>
    <n v="2275.4699999999998"/>
    <x v="14"/>
  </r>
  <r>
    <x v="5131"/>
    <n v="2275.33"/>
    <x v="14"/>
  </r>
  <r>
    <x v="5132"/>
    <n v="2275.4499999999998"/>
    <x v="14"/>
  </r>
  <r>
    <x v="5133"/>
    <n v="2276.6999999999998"/>
    <x v="14"/>
  </r>
  <r>
    <x v="5134"/>
    <n v="2277.85"/>
    <x v="14"/>
  </r>
  <r>
    <x v="5135"/>
    <n v="2277.85"/>
    <x v="14"/>
  </r>
  <r>
    <x v="5136"/>
    <n v="2277.85"/>
    <x v="14"/>
  </r>
  <r>
    <x v="5137"/>
    <n v="2286.83"/>
    <x v="14"/>
  </r>
  <r>
    <x v="5138"/>
    <n v="2286.46"/>
    <x v="14"/>
  </r>
  <r>
    <x v="5139"/>
    <n v="2285.61"/>
    <x v="14"/>
  </r>
  <r>
    <x v="5140"/>
    <n v="2283.4699999999998"/>
    <x v="14"/>
  </r>
  <r>
    <x v="5141"/>
    <n v="2282.36"/>
    <x v="14"/>
  </r>
  <r>
    <x v="5142"/>
    <n v="2282.36"/>
    <x v="14"/>
  </r>
  <r>
    <x v="5143"/>
    <n v="2282.36"/>
    <x v="14"/>
  </r>
  <r>
    <x v="5144"/>
    <n v="2282.36"/>
    <x v="14"/>
  </r>
  <r>
    <x v="5145"/>
    <n v="2283.11"/>
    <x v="14"/>
  </r>
  <r>
    <x v="5146"/>
    <n v="2282.35"/>
    <x v="14"/>
  </r>
  <r>
    <x v="5147"/>
    <n v="2284.2199999999998"/>
    <x v="14"/>
  </r>
  <r>
    <x v="5148"/>
    <n v="2284.2199999999998"/>
    <x v="14"/>
  </r>
  <r>
    <x v="5149"/>
    <n v="2284.2199999999998"/>
    <x v="15"/>
  </r>
  <r>
    <x v="5150"/>
    <n v="2284.2199999999998"/>
    <x v="15"/>
  </r>
  <r>
    <x v="5151"/>
    <n v="2284.2199999999998"/>
    <x v="15"/>
  </r>
  <r>
    <x v="5152"/>
    <n v="2282.27"/>
    <x v="15"/>
  </r>
  <r>
    <x v="5153"/>
    <n v="2282.13"/>
    <x v="15"/>
  </r>
  <r>
    <x v="5154"/>
    <n v="2279.9899999999998"/>
    <x v="15"/>
  </r>
  <r>
    <x v="5155"/>
    <n v="2278.4"/>
    <x v="15"/>
  </r>
  <r>
    <x v="5156"/>
    <n v="2278.4"/>
    <x v="15"/>
  </r>
  <r>
    <x v="5157"/>
    <n v="2278.4"/>
    <x v="15"/>
  </r>
  <r>
    <x v="5158"/>
    <n v="2278.4"/>
    <x v="15"/>
  </r>
  <r>
    <x v="5159"/>
    <n v="2276.58"/>
    <x v="15"/>
  </r>
  <r>
    <x v="5160"/>
    <n v="2274.73"/>
    <x v="15"/>
  </r>
  <r>
    <x v="5161"/>
    <n v="2274.59"/>
    <x v="15"/>
  </r>
  <r>
    <x v="5162"/>
    <n v="2273.31"/>
    <x v="15"/>
  </r>
  <r>
    <x v="5163"/>
    <n v="2273.31"/>
    <x v="15"/>
  </r>
  <r>
    <x v="5164"/>
    <n v="2273.31"/>
    <x v="15"/>
  </r>
  <r>
    <x v="5165"/>
    <n v="2273.31"/>
    <x v="15"/>
  </r>
  <r>
    <x v="5166"/>
    <n v="2270.88"/>
    <x v="15"/>
  </r>
  <r>
    <x v="5167"/>
    <n v="2271.5500000000002"/>
    <x v="15"/>
  </r>
  <r>
    <x v="5168"/>
    <n v="2269.6999999999998"/>
    <x v="15"/>
  </r>
  <r>
    <x v="5169"/>
    <n v="2269.41"/>
    <x v="15"/>
  </r>
  <r>
    <x v="5170"/>
    <n v="2269.41"/>
    <x v="15"/>
  </r>
  <r>
    <x v="5171"/>
    <n v="2269.41"/>
    <x v="15"/>
  </r>
  <r>
    <x v="5172"/>
    <n v="2262.04"/>
    <x v="15"/>
  </r>
  <r>
    <x v="5173"/>
    <n v="2262.87"/>
    <x v="15"/>
  </r>
  <r>
    <x v="5174"/>
    <n v="2273.5"/>
    <x v="15"/>
  </r>
  <r>
    <x v="5175"/>
    <n v="2270.85"/>
    <x v="15"/>
  </r>
  <r>
    <x v="5176"/>
    <n v="2266.66"/>
    <x v="15"/>
  </r>
  <r>
    <x v="5177"/>
    <n v="2266.66"/>
    <x v="15"/>
  </r>
  <r>
    <x v="5178"/>
    <n v="2266.66"/>
    <x v="15"/>
  </r>
  <r>
    <x v="5179"/>
    <n v="2265.65"/>
    <x v="15"/>
  </r>
  <r>
    <x v="5180"/>
    <n v="2267.63"/>
    <x v="15"/>
  </r>
  <r>
    <x v="5181"/>
    <n v="2267.39"/>
    <x v="15"/>
  </r>
  <r>
    <x v="5182"/>
    <n v="2266.0700000000002"/>
    <x v="15"/>
  </r>
  <r>
    <x v="5183"/>
    <n v="2265.2199999999998"/>
    <x v="15"/>
  </r>
  <r>
    <x v="5184"/>
    <n v="2265.2199999999998"/>
    <x v="15"/>
  </r>
  <r>
    <x v="5185"/>
    <n v="2265.2199999999998"/>
    <x v="15"/>
  </r>
  <r>
    <x v="5186"/>
    <n v="2259.64"/>
    <x v="15"/>
  </r>
  <r>
    <x v="5187"/>
    <n v="2256.5700000000002"/>
    <x v="15"/>
  </r>
  <r>
    <x v="5188"/>
    <n v="2259.0700000000002"/>
    <x v="15"/>
  </r>
  <r>
    <x v="5189"/>
    <n v="2256.9499999999998"/>
    <x v="15"/>
  </r>
  <r>
    <x v="5190"/>
    <n v="2253.1"/>
    <x v="15"/>
  </r>
  <r>
    <x v="5191"/>
    <n v="2253.1"/>
    <x v="15"/>
  </r>
  <r>
    <x v="5192"/>
    <n v="2253.1"/>
    <x v="15"/>
  </r>
  <r>
    <x v="5193"/>
    <n v="2254.0300000000002"/>
    <x v="15"/>
  </r>
  <r>
    <x v="5194"/>
    <n v="2254.98"/>
    <x v="15"/>
  </r>
  <r>
    <x v="5195"/>
    <n v="2253.6799999999998"/>
    <x v="15"/>
  </r>
  <r>
    <x v="5196"/>
    <n v="2254.11"/>
    <x v="15"/>
  </r>
  <r>
    <x v="5197"/>
    <n v="2253.89"/>
    <x v="15"/>
  </r>
  <r>
    <x v="5198"/>
    <n v="2253.89"/>
    <x v="15"/>
  </r>
  <r>
    <x v="5199"/>
    <n v="2253.89"/>
    <x v="15"/>
  </r>
  <r>
    <x v="5200"/>
    <n v="2253.89"/>
    <x v="15"/>
  </r>
  <r>
    <x v="5201"/>
    <n v="2253.42"/>
    <x v="15"/>
  </r>
  <r>
    <x v="5202"/>
    <n v="2251.7800000000002"/>
    <x v="15"/>
  </r>
  <r>
    <x v="5203"/>
    <n v="2249.9"/>
    <x v="15"/>
  </r>
  <r>
    <x v="5204"/>
    <n v="2246.1799999999998"/>
    <x v="15"/>
  </r>
  <r>
    <x v="5205"/>
    <n v="2246.1799999999998"/>
    <x v="15"/>
  </r>
  <r>
    <x v="5206"/>
    <n v="2246.1799999999998"/>
    <x v="15"/>
  </r>
  <r>
    <x v="5207"/>
    <n v="2247.3200000000002"/>
    <x v="15"/>
  </r>
  <r>
    <x v="5208"/>
    <n v="2245.71"/>
    <x v="15"/>
  </r>
  <r>
    <x v="5209"/>
    <n v="2247.48"/>
    <x v="15"/>
  </r>
  <r>
    <x v="5210"/>
    <n v="2251.4499999999998"/>
    <x v="15"/>
  </r>
  <r>
    <x v="5211"/>
    <n v="2256.17"/>
    <x v="15"/>
  </r>
  <r>
    <x v="5212"/>
    <n v="2256.17"/>
    <x v="15"/>
  </r>
  <r>
    <x v="5213"/>
    <n v="2256.17"/>
    <x v="15"/>
  </r>
  <r>
    <x v="5214"/>
    <n v="2259.12"/>
    <x v="15"/>
  </r>
  <r>
    <x v="5215"/>
    <n v="2258.11"/>
    <x v="15"/>
  </r>
  <r>
    <x v="5216"/>
    <n v="2254.5500000000002"/>
    <x v="15"/>
  </r>
  <r>
    <x v="5217"/>
    <n v="2257.67"/>
    <x v="15"/>
  </r>
  <r>
    <x v="5218"/>
    <n v="2265.15"/>
    <x v="15"/>
  </r>
  <r>
    <x v="5219"/>
    <n v="2265.15"/>
    <x v="15"/>
  </r>
  <r>
    <x v="5220"/>
    <n v="2265.15"/>
    <x v="15"/>
  </r>
  <r>
    <x v="5221"/>
    <n v="2263.46"/>
    <x v="15"/>
  </r>
  <r>
    <x v="5222"/>
    <n v="2262.41"/>
    <x v="15"/>
  </r>
  <r>
    <x v="5223"/>
    <n v="2259.5300000000002"/>
    <x v="15"/>
  </r>
  <r>
    <x v="5224"/>
    <n v="2258.0100000000002"/>
    <x v="15"/>
  </r>
  <r>
    <x v="5225"/>
    <n v="2257.0100000000002"/>
    <x v="15"/>
  </r>
  <r>
    <x v="5226"/>
    <n v="2257.0100000000002"/>
    <x v="15"/>
  </r>
  <r>
    <x v="5227"/>
    <n v="2257.0100000000002"/>
    <x v="15"/>
  </r>
  <r>
    <x v="5228"/>
    <n v="2257.0100000000002"/>
    <x v="15"/>
  </r>
  <r>
    <x v="5229"/>
    <n v="2259.19"/>
    <x v="15"/>
  </r>
  <r>
    <x v="5230"/>
    <n v="2263.31"/>
    <x v="15"/>
  </r>
  <r>
    <x v="5231"/>
    <n v="2265.4899999999998"/>
    <x v="15"/>
  </r>
  <r>
    <x v="5232"/>
    <n v="2266.9499999999998"/>
    <x v="15"/>
  </r>
  <r>
    <x v="5233"/>
    <n v="2266.9499999999998"/>
    <x v="15"/>
  </r>
  <r>
    <x v="5234"/>
    <n v="2266.9499999999998"/>
    <x v="15"/>
  </r>
  <r>
    <x v="5235"/>
    <n v="2268.35"/>
    <x v="15"/>
  </r>
  <r>
    <x v="5236"/>
    <n v="2276.08"/>
    <x v="15"/>
  </r>
  <r>
    <x v="5237"/>
    <n v="2286.73"/>
    <x v="15"/>
  </r>
  <r>
    <x v="5238"/>
    <n v="2289.98"/>
    <x v="15"/>
  </r>
  <r>
    <x v="5239"/>
    <n v="2293.38"/>
    <x v="15"/>
  </r>
  <r>
    <x v="5240"/>
    <n v="2293.38"/>
    <x v="15"/>
  </r>
  <r>
    <x v="5241"/>
    <n v="2293.38"/>
    <x v="15"/>
  </r>
  <r>
    <x v="5242"/>
    <n v="2296.1799999999998"/>
    <x v="15"/>
  </r>
  <r>
    <x v="5243"/>
    <n v="2288.67"/>
    <x v="15"/>
  </r>
  <r>
    <x v="5244"/>
    <n v="2294.9899999999998"/>
    <x v="15"/>
  </r>
  <r>
    <x v="5245"/>
    <n v="2313.0500000000002"/>
    <x v="15"/>
  </r>
  <r>
    <x v="5246"/>
    <n v="2342.35"/>
    <x v="15"/>
  </r>
  <r>
    <x v="5247"/>
    <n v="2342.35"/>
    <x v="15"/>
  </r>
  <r>
    <x v="5248"/>
    <n v="2342.35"/>
    <x v="15"/>
  </r>
  <r>
    <x v="5249"/>
    <n v="2352.58"/>
    <x v="15"/>
  </r>
  <r>
    <x v="5250"/>
    <n v="2336.2600000000002"/>
    <x v="15"/>
  </r>
  <r>
    <x v="5251"/>
    <n v="2335.16"/>
    <x v="15"/>
  </r>
  <r>
    <x v="5252"/>
    <n v="2335.16"/>
    <x v="15"/>
  </r>
  <r>
    <x v="5253"/>
    <n v="2335.16"/>
    <x v="15"/>
  </r>
  <r>
    <x v="5254"/>
    <n v="2335.16"/>
    <x v="15"/>
  </r>
  <r>
    <x v="5255"/>
    <n v="2335.16"/>
    <x v="15"/>
  </r>
  <r>
    <x v="5256"/>
    <n v="2366.15"/>
    <x v="15"/>
  </r>
  <r>
    <x v="5257"/>
    <n v="2349.0300000000002"/>
    <x v="15"/>
  </r>
  <r>
    <x v="5258"/>
    <n v="2344.73"/>
    <x v="15"/>
  </r>
  <r>
    <x v="5259"/>
    <n v="2336.1"/>
    <x v="15"/>
  </r>
  <r>
    <x v="5260"/>
    <n v="2337.42"/>
    <x v="15"/>
  </r>
  <r>
    <x v="5261"/>
    <n v="2337.42"/>
    <x v="15"/>
  </r>
  <r>
    <x v="5262"/>
    <n v="2337.42"/>
    <x v="15"/>
  </r>
  <r>
    <x v="5263"/>
    <n v="2332.9899999999998"/>
    <x v="15"/>
  </r>
  <r>
    <x v="5264"/>
    <n v="2348.4899999999998"/>
    <x v="15"/>
  </r>
  <r>
    <x v="5265"/>
    <n v="2373.94"/>
    <x v="15"/>
  </r>
  <r>
    <x v="5266"/>
    <n v="2375.66"/>
    <x v="15"/>
  </r>
  <r>
    <x v="5267"/>
    <n v="2375.0300000000002"/>
    <x v="15"/>
  </r>
  <r>
    <x v="5268"/>
    <n v="2375.0300000000002"/>
    <x v="15"/>
  </r>
  <r>
    <x v="5269"/>
    <n v="2375.0300000000002"/>
    <x v="15"/>
  </r>
  <r>
    <x v="5270"/>
    <n v="2375.0300000000002"/>
    <x v="15"/>
  </r>
  <r>
    <x v="5271"/>
    <n v="2380.31"/>
    <x v="15"/>
  </r>
  <r>
    <x v="5272"/>
    <n v="2377.59"/>
    <x v="15"/>
  </r>
  <r>
    <x v="5273"/>
    <n v="2381.36"/>
    <x v="15"/>
  </r>
  <r>
    <x v="5274"/>
    <n v="2370.63"/>
    <x v="15"/>
  </r>
  <r>
    <x v="5275"/>
    <n v="2370.63"/>
    <x v="15"/>
  </r>
  <r>
    <x v="5276"/>
    <n v="2370.63"/>
    <x v="15"/>
  </r>
  <r>
    <x v="5277"/>
    <n v="2351.06"/>
    <x v="15"/>
  </r>
  <r>
    <x v="5278"/>
    <n v="2338.7600000000002"/>
    <x v="15"/>
  </r>
  <r>
    <x v="5279"/>
    <n v="2329.35"/>
    <x v="15"/>
  </r>
  <r>
    <x v="5280"/>
    <n v="2346.06"/>
    <x v="15"/>
  </r>
  <r>
    <x v="5281"/>
    <n v="2375.86"/>
    <x v="15"/>
  </r>
  <r>
    <x v="5282"/>
    <n v="2375.86"/>
    <x v="15"/>
  </r>
  <r>
    <x v="5283"/>
    <n v="2375.86"/>
    <x v="15"/>
  </r>
  <r>
    <x v="5284"/>
    <n v="2424.27"/>
    <x v="15"/>
  </r>
  <r>
    <x v="5285"/>
    <n v="2410.96"/>
    <x v="15"/>
  </r>
  <r>
    <x v="5286"/>
    <n v="2435.52"/>
    <x v="15"/>
  </r>
  <r>
    <x v="5287"/>
    <n v="2450.63"/>
    <x v="15"/>
  </r>
  <r>
    <x v="5288"/>
    <n v="2452.5"/>
    <x v="15"/>
  </r>
  <r>
    <x v="5289"/>
    <n v="2452.5"/>
    <x v="15"/>
  </r>
  <r>
    <x v="5290"/>
    <n v="2452.5"/>
    <x v="15"/>
  </r>
  <r>
    <x v="5291"/>
    <n v="2493.98"/>
    <x v="15"/>
  </r>
  <r>
    <x v="5292"/>
    <n v="2490.06"/>
    <x v="15"/>
  </r>
  <r>
    <x v="5293"/>
    <n v="2518.34"/>
    <x v="15"/>
  </r>
  <r>
    <x v="5294"/>
    <n v="2517.44"/>
    <x v="15"/>
  </r>
  <r>
    <x v="5295"/>
    <n v="2475.75"/>
    <x v="15"/>
  </r>
  <r>
    <x v="5296"/>
    <n v="2475.75"/>
    <x v="15"/>
  </r>
  <r>
    <x v="5297"/>
    <n v="2475.75"/>
    <x v="15"/>
  </r>
  <r>
    <x v="5298"/>
    <n v="2475.75"/>
    <x v="15"/>
  </r>
  <r>
    <x v="5299"/>
    <n v="2482.41"/>
    <x v="15"/>
  </r>
  <r>
    <x v="5300"/>
    <n v="2486.0700000000002"/>
    <x v="15"/>
  </r>
  <r>
    <x v="5301"/>
    <n v="2484.62"/>
    <x v="15"/>
  </r>
  <r>
    <x v="5302"/>
    <n v="2450.8000000000002"/>
    <x v="15"/>
  </r>
  <r>
    <x v="5303"/>
    <n v="2450.8000000000002"/>
    <x v="15"/>
  </r>
  <r>
    <x v="5304"/>
    <n v="2450.8000000000002"/>
    <x v="15"/>
  </r>
  <r>
    <x v="5305"/>
    <n v="2443.7199999999998"/>
    <x v="15"/>
  </r>
  <r>
    <x v="5306"/>
    <n v="2470.9899999999998"/>
    <x v="15"/>
  </r>
  <r>
    <x v="5307"/>
    <n v="2482.15"/>
    <x v="15"/>
  </r>
  <r>
    <x v="5308"/>
    <n v="2511.34"/>
    <x v="15"/>
  </r>
  <r>
    <x v="5309"/>
    <n v="2510.8200000000002"/>
    <x v="15"/>
  </r>
  <r>
    <x v="5310"/>
    <n v="2510.8200000000002"/>
    <x v="15"/>
  </r>
  <r>
    <x v="5311"/>
    <n v="2510.8200000000002"/>
    <x v="15"/>
  </r>
  <r>
    <x v="5312"/>
    <n v="2534.83"/>
    <x v="15"/>
  </r>
  <r>
    <x v="5313"/>
    <n v="2569.1"/>
    <x v="15"/>
  </r>
  <r>
    <x v="5314"/>
    <n v="2570.11"/>
    <x v="15"/>
  </r>
  <r>
    <x v="5315"/>
    <n v="2564.3000000000002"/>
    <x v="15"/>
  </r>
  <r>
    <x v="5316"/>
    <n v="2559.04"/>
    <x v="15"/>
  </r>
  <r>
    <x v="5317"/>
    <n v="2559.04"/>
    <x v="15"/>
  </r>
  <r>
    <x v="5318"/>
    <n v="2559.04"/>
    <x v="15"/>
  </r>
  <r>
    <x v="5319"/>
    <n v="2559.04"/>
    <x v="15"/>
  </r>
  <r>
    <x v="5320"/>
    <n v="2568.12"/>
    <x v="15"/>
  </r>
  <r>
    <x v="5321"/>
    <n v="2566.7600000000002"/>
    <x v="15"/>
  </r>
  <r>
    <x v="5322"/>
    <n v="2578.02"/>
    <x v="15"/>
  </r>
  <r>
    <x v="5323"/>
    <n v="2607.13"/>
    <x v="15"/>
  </r>
  <r>
    <x v="5324"/>
    <n v="2607.13"/>
    <x v="15"/>
  </r>
  <r>
    <x v="5325"/>
    <n v="2607.13"/>
    <x v="15"/>
  </r>
  <r>
    <x v="5326"/>
    <n v="2607.13"/>
    <x v="15"/>
  </r>
  <r>
    <x v="5327"/>
    <n v="2619.75"/>
    <x v="15"/>
  </r>
  <r>
    <x v="5328"/>
    <n v="2634.06"/>
    <x v="15"/>
  </r>
  <r>
    <x v="5329"/>
    <n v="2633.12"/>
    <x v="15"/>
  </r>
  <r>
    <x v="5330"/>
    <n v="2579.08"/>
    <x v="15"/>
  </r>
  <r>
    <x v="5331"/>
    <n v="2579.08"/>
    <x v="15"/>
  </r>
  <r>
    <x v="5332"/>
    <n v="2579.08"/>
    <x v="15"/>
  </r>
  <r>
    <x v="5333"/>
    <n v="2579.08"/>
    <x v="15"/>
  </r>
  <r>
    <x v="5334"/>
    <n v="2579.08"/>
    <x v="15"/>
  </r>
  <r>
    <x v="5335"/>
    <n v="2574.7399999999998"/>
    <x v="15"/>
  </r>
  <r>
    <x v="5336"/>
    <n v="2562.85"/>
    <x v="15"/>
  </r>
  <r>
    <x v="5337"/>
    <n v="2525.5"/>
    <x v="15"/>
  </r>
  <r>
    <x v="5338"/>
    <n v="2525.5"/>
    <x v="15"/>
  </r>
  <r>
    <x v="5339"/>
    <n v="2525.5"/>
    <x v="15"/>
  </r>
  <r>
    <x v="5340"/>
    <n v="2491.4499999999998"/>
    <x v="15"/>
  </r>
  <r>
    <x v="5341"/>
    <n v="2488.33"/>
    <x v="15"/>
  </r>
  <r>
    <x v="5342"/>
    <n v="2512.4"/>
    <x v="15"/>
  </r>
  <r>
    <x v="5343"/>
    <n v="2534.13"/>
    <x v="15"/>
  </r>
  <r>
    <x v="5344"/>
    <n v="2549.77"/>
    <x v="15"/>
  </r>
  <r>
    <x v="5345"/>
    <n v="2549.77"/>
    <x v="15"/>
  </r>
  <r>
    <x v="5346"/>
    <n v="2549.77"/>
    <x v="15"/>
  </r>
  <r>
    <x v="5347"/>
    <n v="2556.7199999999998"/>
    <x v="15"/>
  </r>
  <r>
    <x v="5348"/>
    <n v="2531.85"/>
    <x v="15"/>
  </r>
  <r>
    <x v="5349"/>
    <n v="2521.1799999999998"/>
    <x v="15"/>
  </r>
  <r>
    <x v="5350"/>
    <n v="2521.1799999999998"/>
    <x v="15"/>
  </r>
  <r>
    <x v="5351"/>
    <n v="2470.3200000000002"/>
    <x v="15"/>
  </r>
  <r>
    <x v="5352"/>
    <n v="2470.3200000000002"/>
    <x v="15"/>
  </r>
  <r>
    <x v="5353"/>
    <n v="2470.3200000000002"/>
    <x v="15"/>
  </r>
  <r>
    <x v="5354"/>
    <n v="2450.79"/>
    <x v="15"/>
  </r>
  <r>
    <x v="5355"/>
    <n v="2458.56"/>
    <x v="15"/>
  </r>
  <r>
    <x v="5356"/>
    <n v="2466.9499999999998"/>
    <x v="15"/>
  </r>
  <r>
    <x v="5357"/>
    <n v="2443.35"/>
    <x v="15"/>
  </r>
  <r>
    <x v="5358"/>
    <n v="2426"/>
    <x v="15"/>
  </r>
  <r>
    <x v="5359"/>
    <n v="2426"/>
    <x v="15"/>
  </r>
  <r>
    <x v="5360"/>
    <n v="2426"/>
    <x v="15"/>
  </r>
  <r>
    <x v="5361"/>
    <n v="2426.52"/>
    <x v="15"/>
  </r>
  <r>
    <x v="5362"/>
    <n v="2436.4299999999998"/>
    <x v="15"/>
  </r>
  <r>
    <x v="5363"/>
    <n v="2429.2399999999998"/>
    <x v="15"/>
  </r>
  <r>
    <x v="5364"/>
    <n v="2415.5100000000002"/>
    <x v="15"/>
  </r>
  <r>
    <x v="5365"/>
    <n v="2389.87"/>
    <x v="15"/>
  </r>
  <r>
    <x v="5366"/>
    <n v="2389.87"/>
    <x v="15"/>
  </r>
  <r>
    <x v="5367"/>
    <n v="2389.87"/>
    <x v="15"/>
  </r>
  <r>
    <x v="5368"/>
    <n v="2389.87"/>
    <x v="15"/>
  </r>
  <r>
    <x v="5369"/>
    <n v="2388.13"/>
    <x v="15"/>
  </r>
  <r>
    <x v="5370"/>
    <n v="2363.8200000000002"/>
    <x v="15"/>
  </r>
  <r>
    <x v="5371"/>
    <n v="2363.56"/>
    <x v="15"/>
  </r>
  <r>
    <x v="5372"/>
    <n v="2371.77"/>
    <x v="15"/>
  </r>
  <r>
    <x v="5373"/>
    <n v="2371.77"/>
    <x v="15"/>
  </r>
  <r>
    <x v="5374"/>
    <n v="2371.77"/>
    <x v="15"/>
  </r>
  <r>
    <x v="5375"/>
    <n v="2372.9499999999998"/>
    <x v="15"/>
  </r>
  <r>
    <x v="5376"/>
    <n v="2362.2800000000002"/>
    <x v="15"/>
  </r>
  <r>
    <x v="5377"/>
    <n v="2356.4899999999998"/>
    <x v="15"/>
  </r>
  <r>
    <x v="5378"/>
    <n v="2366.36"/>
    <x v="15"/>
  </r>
  <r>
    <x v="5379"/>
    <n v="2370.4899999999998"/>
    <x v="15"/>
  </r>
  <r>
    <x v="5380"/>
    <n v="2370.4899999999998"/>
    <x v="15"/>
  </r>
  <r>
    <x v="5381"/>
    <n v="2370.4899999999998"/>
    <x v="15"/>
  </r>
  <r>
    <x v="5382"/>
    <n v="2370.4899999999998"/>
    <x v="15"/>
  </r>
  <r>
    <x v="5383"/>
    <n v="2362.67"/>
    <x v="15"/>
  </r>
  <r>
    <x v="5384"/>
    <n v="2374.59"/>
    <x v="15"/>
  </r>
  <r>
    <x v="5385"/>
    <n v="2398"/>
    <x v="15"/>
  </r>
  <r>
    <x v="5386"/>
    <n v="2425.65"/>
    <x v="15"/>
  </r>
  <r>
    <x v="5387"/>
    <n v="2425.65"/>
    <x v="15"/>
  </r>
  <r>
    <x v="5388"/>
    <n v="2425.65"/>
    <x v="15"/>
  </r>
  <r>
    <x v="5389"/>
    <n v="2409.54"/>
    <x v="15"/>
  </r>
  <r>
    <x v="5390"/>
    <n v="2402.0700000000002"/>
    <x v="15"/>
  </r>
  <r>
    <x v="5391"/>
    <n v="2396.63"/>
    <x v="15"/>
  </r>
  <r>
    <x v="5392"/>
    <n v="2398.56"/>
    <x v="15"/>
  </r>
  <r>
    <x v="5393"/>
    <n v="2398.83"/>
    <x v="15"/>
  </r>
  <r>
    <x v="5394"/>
    <n v="2398.83"/>
    <x v="15"/>
  </r>
  <r>
    <x v="5395"/>
    <n v="2398.83"/>
    <x v="15"/>
  </r>
  <r>
    <x v="5396"/>
    <n v="2398.83"/>
    <x v="15"/>
  </r>
  <r>
    <x v="5397"/>
    <n v="2377.1799999999998"/>
    <x v="15"/>
  </r>
  <r>
    <x v="5398"/>
    <n v="2381.46"/>
    <x v="15"/>
  </r>
  <r>
    <x v="5399"/>
    <n v="2387.31"/>
    <x v="15"/>
  </r>
  <r>
    <x v="5400"/>
    <n v="2388.54"/>
    <x v="15"/>
  </r>
  <r>
    <x v="5401"/>
    <n v="2388.54"/>
    <x v="15"/>
  </r>
  <r>
    <x v="5402"/>
    <n v="2388.54"/>
    <x v="15"/>
  </r>
  <r>
    <x v="5403"/>
    <n v="2409.9299999999998"/>
    <x v="15"/>
  </r>
  <r>
    <x v="5404"/>
    <n v="2406.89"/>
    <x v="15"/>
  </r>
  <r>
    <x v="5405"/>
    <n v="2399.92"/>
    <x v="15"/>
  </r>
  <r>
    <x v="5406"/>
    <n v="2392.81"/>
    <x v="15"/>
  </r>
  <r>
    <x v="5407"/>
    <n v="2390.66"/>
    <x v="15"/>
  </r>
  <r>
    <x v="5408"/>
    <n v="2390.66"/>
    <x v="15"/>
  </r>
  <r>
    <x v="5409"/>
    <n v="2390.66"/>
    <x v="15"/>
  </r>
  <r>
    <x v="5410"/>
    <n v="2395.4299999999998"/>
    <x v="15"/>
  </r>
  <r>
    <x v="5411"/>
    <n v="2396.41"/>
    <x v="15"/>
  </r>
  <r>
    <x v="5412"/>
    <n v="2399.46"/>
    <x v="15"/>
  </r>
  <r>
    <x v="5413"/>
    <n v="2408.62"/>
    <x v="15"/>
  </r>
  <r>
    <x v="5414"/>
    <n v="2417.23"/>
    <x v="15"/>
  </r>
  <r>
    <x v="5415"/>
    <n v="2417.23"/>
    <x v="15"/>
  </r>
  <r>
    <x v="5416"/>
    <n v="2417.23"/>
    <x v="15"/>
  </r>
  <r>
    <x v="5417"/>
    <n v="2420.25"/>
    <x v="15"/>
  </r>
  <r>
    <x v="5418"/>
    <n v="2411.6799999999998"/>
    <x v="15"/>
  </r>
  <r>
    <x v="5419"/>
    <n v="2399.36"/>
    <x v="15"/>
  </r>
  <r>
    <x v="5420"/>
    <n v="2397.0700000000002"/>
    <x v="15"/>
  </r>
  <r>
    <x v="5421"/>
    <n v="2394.31"/>
    <x v="15"/>
  </r>
  <r>
    <x v="5422"/>
    <n v="2394.31"/>
    <x v="15"/>
  </r>
  <r>
    <x v="5423"/>
    <n v="2394.31"/>
    <x v="15"/>
  </r>
  <r>
    <x v="5424"/>
    <n v="2390.41"/>
    <x v="15"/>
  </r>
  <r>
    <x v="5425"/>
    <n v="2396.38"/>
    <x v="15"/>
  </r>
  <r>
    <x v="5426"/>
    <n v="2403.4299999999998"/>
    <x v="15"/>
  </r>
  <r>
    <x v="5427"/>
    <n v="2393.4699999999998"/>
    <x v="15"/>
  </r>
  <r>
    <x v="5428"/>
    <n v="2395.23"/>
    <x v="15"/>
  </r>
  <r>
    <x v="5429"/>
    <n v="2395.23"/>
    <x v="15"/>
  </r>
  <r>
    <x v="5430"/>
    <n v="2395.23"/>
    <x v="15"/>
  </r>
  <r>
    <x v="5431"/>
    <n v="2395.23"/>
    <x v="15"/>
  </r>
  <r>
    <x v="5432"/>
    <n v="2387.11"/>
    <x v="15"/>
  </r>
  <r>
    <x v="5433"/>
    <n v="2389.0700000000002"/>
    <x v="15"/>
  </r>
  <r>
    <x v="5434"/>
    <n v="2374.5100000000002"/>
    <x v="15"/>
  </r>
  <r>
    <x v="5435"/>
    <n v="2356.5300000000002"/>
    <x v="15"/>
  </r>
  <r>
    <x v="5436"/>
    <n v="2356.5300000000002"/>
    <x v="15"/>
  </r>
  <r>
    <x v="5437"/>
    <n v="2356.5300000000002"/>
    <x v="15"/>
  </r>
  <r>
    <x v="5438"/>
    <n v="2356.5300000000002"/>
    <x v="15"/>
  </r>
  <r>
    <x v="5439"/>
    <n v="2359.41"/>
    <x v="15"/>
  </r>
  <r>
    <x v="5440"/>
    <n v="2348.4299999999998"/>
    <x v="15"/>
  </r>
  <r>
    <x v="5441"/>
    <n v="2345.4899999999998"/>
    <x v="15"/>
  </r>
  <r>
    <x v="5442"/>
    <n v="2340.89"/>
    <x v="15"/>
  </r>
  <r>
    <x v="5443"/>
    <n v="2340.89"/>
    <x v="15"/>
  </r>
  <r>
    <x v="5444"/>
    <n v="2340.89"/>
    <x v="15"/>
  </r>
  <r>
    <x v="5445"/>
    <n v="2341.5100000000002"/>
    <x v="15"/>
  </r>
  <r>
    <x v="5446"/>
    <n v="2341.33"/>
    <x v="15"/>
  </r>
  <r>
    <x v="5447"/>
    <n v="2339.92"/>
    <x v="15"/>
  </r>
  <r>
    <x v="5448"/>
    <n v="2327.23"/>
    <x v="15"/>
  </r>
  <r>
    <x v="5449"/>
    <n v="2314.7600000000002"/>
    <x v="15"/>
  </r>
  <r>
    <x v="5450"/>
    <n v="2314.7600000000002"/>
    <x v="15"/>
  </r>
  <r>
    <x v="5451"/>
    <n v="2314.7600000000002"/>
    <x v="15"/>
  </r>
  <r>
    <x v="5452"/>
    <n v="2315.38"/>
    <x v="15"/>
  </r>
  <r>
    <x v="5453"/>
    <n v="2308.4899999999998"/>
    <x v="15"/>
  </r>
  <r>
    <x v="5454"/>
    <n v="2302.64"/>
    <x v="15"/>
  </r>
  <r>
    <x v="5455"/>
    <n v="2296.65"/>
    <x v="15"/>
  </r>
  <r>
    <x v="5456"/>
    <n v="2300.88"/>
    <x v="15"/>
  </r>
  <r>
    <x v="5457"/>
    <n v="2300.88"/>
    <x v="15"/>
  </r>
  <r>
    <x v="5458"/>
    <n v="2300.88"/>
    <x v="15"/>
  </r>
  <r>
    <x v="5459"/>
    <n v="2300.88"/>
    <x v="15"/>
  </r>
  <r>
    <x v="5460"/>
    <n v="2288.13"/>
    <x v="15"/>
  </r>
  <r>
    <x v="5461"/>
    <n v="2282.52"/>
    <x v="15"/>
  </r>
  <r>
    <x v="5462"/>
    <n v="2268.4699999999998"/>
    <x v="15"/>
  </r>
  <r>
    <x v="5463"/>
    <n v="2277.66"/>
    <x v="15"/>
  </r>
  <r>
    <x v="5464"/>
    <n v="2277.66"/>
    <x v="15"/>
  </r>
  <r>
    <x v="5465"/>
    <n v="2277.66"/>
    <x v="15"/>
  </r>
  <r>
    <x v="5466"/>
    <n v="2277.66"/>
    <x v="15"/>
  </r>
  <r>
    <x v="5467"/>
    <n v="2277.21"/>
    <x v="15"/>
  </r>
  <r>
    <x v="5468"/>
    <n v="2274.2600000000002"/>
    <x v="15"/>
  </r>
  <r>
    <x v="5469"/>
    <n v="2276.37"/>
    <x v="15"/>
  </r>
  <r>
    <x v="5470"/>
    <n v="2285.65"/>
    <x v="15"/>
  </r>
  <r>
    <x v="5471"/>
    <n v="2285.65"/>
    <x v="15"/>
  </r>
  <r>
    <x v="5472"/>
    <n v="2285.65"/>
    <x v="15"/>
  </r>
  <r>
    <x v="5473"/>
    <n v="2283.9899999999998"/>
    <x v="15"/>
  </r>
  <r>
    <x v="5474"/>
    <n v="2282.67"/>
    <x v="15"/>
  </r>
  <r>
    <x v="5475"/>
    <n v="2283.33"/>
    <x v="15"/>
  </r>
  <r>
    <x v="5476"/>
    <n v="2283.33"/>
    <x v="15"/>
  </r>
  <r>
    <x v="5477"/>
    <n v="2298.52"/>
    <x v="15"/>
  </r>
  <r>
    <x v="5478"/>
    <n v="2298.52"/>
    <x v="15"/>
  </r>
  <r>
    <x v="5479"/>
    <n v="2298.52"/>
    <x v="15"/>
  </r>
  <r>
    <x v="5480"/>
    <n v="2320.64"/>
    <x v="15"/>
  </r>
  <r>
    <x v="5481"/>
    <n v="2317.35"/>
    <x v="15"/>
  </r>
  <r>
    <x v="5482"/>
    <n v="2300.42"/>
    <x v="15"/>
  </r>
  <r>
    <x v="5483"/>
    <n v="2295.9899999999998"/>
    <x v="15"/>
  </r>
  <r>
    <x v="5484"/>
    <n v="2293.42"/>
    <x v="15"/>
  </r>
  <r>
    <x v="5485"/>
    <n v="2293.42"/>
    <x v="15"/>
  </r>
  <r>
    <x v="5486"/>
    <n v="2293.42"/>
    <x v="15"/>
  </r>
  <r>
    <x v="5487"/>
    <n v="2292.63"/>
    <x v="15"/>
  </r>
  <r>
    <x v="5488"/>
    <n v="2278.9699999999998"/>
    <x v="15"/>
  </r>
  <r>
    <x v="5489"/>
    <n v="2279.8200000000002"/>
    <x v="15"/>
  </r>
  <r>
    <x v="5490"/>
    <n v="2280.5"/>
    <x v="15"/>
  </r>
  <r>
    <x v="5491"/>
    <n v="2280.5"/>
    <x v="15"/>
  </r>
  <r>
    <x v="5492"/>
    <n v="2280.5"/>
    <x v="15"/>
  </r>
  <r>
    <x v="5493"/>
    <n v="2280.5"/>
    <x v="15"/>
  </r>
  <r>
    <x v="5494"/>
    <n v="2272.09"/>
    <x v="15"/>
  </r>
  <r>
    <x v="5495"/>
    <n v="2272.27"/>
    <x v="15"/>
  </r>
  <r>
    <x v="5496"/>
    <n v="2272.75"/>
    <x v="15"/>
  </r>
  <r>
    <x v="5497"/>
    <n v="2270.1799999999998"/>
    <x v="15"/>
  </r>
  <r>
    <x v="5498"/>
    <n v="2262.15"/>
    <x v="15"/>
  </r>
  <r>
    <x v="5499"/>
    <n v="2262.15"/>
    <x v="15"/>
  </r>
  <r>
    <x v="5500"/>
    <n v="2262.15"/>
    <x v="15"/>
  </r>
  <r>
    <x v="5501"/>
    <n v="2255.38"/>
    <x v="15"/>
  </r>
  <r>
    <x v="5502"/>
    <n v="2249.2800000000002"/>
    <x v="15"/>
  </r>
  <r>
    <x v="5503"/>
    <n v="2234.36"/>
    <x v="15"/>
  </r>
  <r>
    <x v="5504"/>
    <n v="2229.2800000000002"/>
    <x v="15"/>
  </r>
  <r>
    <x v="5505"/>
    <n v="2228.7600000000002"/>
    <x v="15"/>
  </r>
  <r>
    <x v="5506"/>
    <n v="2228.7600000000002"/>
    <x v="15"/>
  </r>
  <r>
    <x v="5507"/>
    <n v="2228.7600000000002"/>
    <x v="15"/>
  </r>
  <r>
    <x v="5508"/>
    <n v="2228.7600000000002"/>
    <x v="15"/>
  </r>
  <r>
    <x v="5509"/>
    <n v="2225.44"/>
    <x v="15"/>
  </r>
  <r>
    <x v="5510"/>
    <n v="2233.31"/>
    <x v="15"/>
  </r>
  <r>
    <x v="5511"/>
    <n v="2238.79"/>
    <x v="15"/>
  </r>
  <r>
    <x v="5512"/>
    <n v="2238.79"/>
    <x v="15"/>
  </r>
  <r>
    <x v="5513"/>
    <n v="2238.79"/>
    <x v="15"/>
  </r>
  <r>
    <x v="5514"/>
    <n v="2238.79"/>
    <x v="16"/>
  </r>
  <r>
    <x v="5515"/>
    <n v="2238.79"/>
    <x v="16"/>
  </r>
  <r>
    <x v="5516"/>
    <n v="2231.42"/>
    <x v="16"/>
  </r>
  <r>
    <x v="5517"/>
    <n v="2218.11"/>
    <x v="16"/>
  </r>
  <r>
    <x v="5518"/>
    <n v="2218.0500000000002"/>
    <x v="16"/>
  </r>
  <r>
    <x v="5519"/>
    <n v="2228.38"/>
    <x v="16"/>
  </r>
  <r>
    <x v="5520"/>
    <n v="2228.38"/>
    <x v="16"/>
  </r>
  <r>
    <x v="5521"/>
    <n v="2228.38"/>
    <x v="16"/>
  </r>
  <r>
    <x v="5522"/>
    <n v="2228.38"/>
    <x v="16"/>
  </r>
  <r>
    <x v="5523"/>
    <n v="2238.52"/>
    <x v="16"/>
  </r>
  <r>
    <x v="5524"/>
    <n v="2250.6"/>
    <x v="16"/>
  </r>
  <r>
    <x v="5525"/>
    <n v="2231.48"/>
    <x v="16"/>
  </r>
  <r>
    <x v="5526"/>
    <n v="2221.35"/>
    <x v="16"/>
  </r>
  <r>
    <x v="5527"/>
    <n v="2221.35"/>
    <x v="16"/>
  </r>
  <r>
    <x v="5528"/>
    <n v="2221.35"/>
    <x v="16"/>
  </r>
  <r>
    <x v="5529"/>
    <n v="2221.35"/>
    <x v="16"/>
  </r>
  <r>
    <x v="5530"/>
    <n v="2221.96"/>
    <x v="16"/>
  </r>
  <r>
    <x v="5531"/>
    <n v="2224.2199999999998"/>
    <x v="16"/>
  </r>
  <r>
    <x v="5532"/>
    <n v="2226.06"/>
    <x v="16"/>
  </r>
  <r>
    <x v="5533"/>
    <n v="2229.29"/>
    <x v="16"/>
  </r>
  <r>
    <x v="5534"/>
    <n v="2229.29"/>
    <x v="16"/>
  </r>
  <r>
    <x v="5535"/>
    <n v="2229.29"/>
    <x v="16"/>
  </r>
  <r>
    <x v="5536"/>
    <n v="2240.3200000000002"/>
    <x v="16"/>
  </r>
  <r>
    <x v="5537"/>
    <n v="2250.38"/>
    <x v="16"/>
  </r>
  <r>
    <x v="5538"/>
    <n v="2254.67"/>
    <x v="16"/>
  </r>
  <r>
    <x v="5539"/>
    <n v="2252.88"/>
    <x v="16"/>
  </r>
  <r>
    <x v="5540"/>
    <n v="2259.4299999999998"/>
    <x v="16"/>
  </r>
  <r>
    <x v="5541"/>
    <n v="2259.4299999999998"/>
    <x v="16"/>
  </r>
  <r>
    <x v="5542"/>
    <n v="2259.4299999999998"/>
    <x v="16"/>
  </r>
  <r>
    <x v="5543"/>
    <n v="2261.2199999999998"/>
    <x v="16"/>
  </r>
  <r>
    <x v="5544"/>
    <n v="2259.7199999999998"/>
    <x v="16"/>
  </r>
  <r>
    <x v="5545"/>
    <n v="2255.17"/>
    <x v="16"/>
  </r>
  <r>
    <x v="5546"/>
    <n v="2246.06"/>
    <x v="16"/>
  </r>
  <r>
    <x v="5547"/>
    <n v="2241.5300000000002"/>
    <x v="16"/>
  </r>
  <r>
    <x v="5548"/>
    <n v="2241.5300000000002"/>
    <x v="16"/>
  </r>
  <r>
    <x v="5549"/>
    <n v="2241.5300000000002"/>
    <x v="16"/>
  </r>
  <r>
    <x v="5550"/>
    <n v="2229.3000000000002"/>
    <x v="16"/>
  </r>
  <r>
    <x v="5551"/>
    <n v="2232.37"/>
    <x v="16"/>
  </r>
  <r>
    <x v="5552"/>
    <n v="2235.3000000000002"/>
    <x v="16"/>
  </r>
  <r>
    <x v="5553"/>
    <n v="2239.1999999999998"/>
    <x v="16"/>
  </r>
  <r>
    <x v="5554"/>
    <n v="2229.87"/>
    <x v="16"/>
  </r>
  <r>
    <x v="5555"/>
    <n v="2229.87"/>
    <x v="16"/>
  </r>
  <r>
    <x v="5556"/>
    <n v="2229.87"/>
    <x v="16"/>
  </r>
  <r>
    <x v="5557"/>
    <n v="2230.4"/>
    <x v="16"/>
  </r>
  <r>
    <x v="5558"/>
    <n v="2223.3000000000002"/>
    <x v="16"/>
  </r>
  <r>
    <x v="5559"/>
    <n v="2221.4299999999998"/>
    <x v="16"/>
  </r>
  <r>
    <x v="5560"/>
    <n v="2219.15"/>
    <x v="16"/>
  </r>
  <r>
    <x v="5561"/>
    <n v="2221.6999999999998"/>
    <x v="16"/>
  </r>
  <r>
    <x v="5562"/>
    <n v="2221.6999999999998"/>
    <x v="16"/>
  </r>
  <r>
    <x v="5563"/>
    <n v="2221.6999999999998"/>
    <x v="16"/>
  </r>
  <r>
    <x v="5564"/>
    <n v="2221.6999999999998"/>
    <x v="16"/>
  </r>
  <r>
    <x v="5565"/>
    <n v="2220.7600000000002"/>
    <x v="16"/>
  </r>
  <r>
    <x v="5566"/>
    <n v="2218.7800000000002"/>
    <x v="16"/>
  </r>
  <r>
    <x v="5567"/>
    <n v="2214.44"/>
    <x v="16"/>
  </r>
  <r>
    <x v="5568"/>
    <n v="2216.5700000000002"/>
    <x v="16"/>
  </r>
  <r>
    <x v="5569"/>
    <n v="2216.5700000000002"/>
    <x v="16"/>
  </r>
  <r>
    <x v="5570"/>
    <n v="2216.5700000000002"/>
    <x v="16"/>
  </r>
  <r>
    <x v="5571"/>
    <n v="2211.46"/>
    <x v="16"/>
  </r>
  <r>
    <x v="5572"/>
    <n v="2224.12"/>
    <x v="16"/>
  </r>
  <r>
    <x v="5573"/>
    <n v="2231.94"/>
    <x v="16"/>
  </r>
  <r>
    <x v="5574"/>
    <n v="2246.88"/>
    <x v="16"/>
  </r>
  <r>
    <x v="5575"/>
    <n v="2242.62"/>
    <x v="16"/>
  </r>
  <r>
    <x v="5576"/>
    <n v="2242.62"/>
    <x v="16"/>
  </r>
  <r>
    <x v="5577"/>
    <n v="2242.62"/>
    <x v="16"/>
  </r>
  <r>
    <x v="5578"/>
    <n v="2245.71"/>
    <x v="16"/>
  </r>
  <r>
    <x v="5579"/>
    <n v="2222.4499999999998"/>
    <x v="16"/>
  </r>
  <r>
    <x v="5580"/>
    <n v="2218.94"/>
    <x v="16"/>
  </r>
  <r>
    <x v="5581"/>
    <n v="2214.0500000000002"/>
    <x v="16"/>
  </r>
  <r>
    <x v="5582"/>
    <n v="2210.98"/>
    <x v="16"/>
  </r>
  <r>
    <x v="5583"/>
    <n v="2210.98"/>
    <x v="16"/>
  </r>
  <r>
    <x v="5584"/>
    <n v="2210.98"/>
    <x v="16"/>
  </r>
  <r>
    <x v="5585"/>
    <n v="2205.77"/>
    <x v="16"/>
  </r>
  <r>
    <x v="5586"/>
    <n v="2206.38"/>
    <x v="16"/>
  </r>
  <r>
    <x v="5587"/>
    <n v="2210.12"/>
    <x v="16"/>
  </r>
  <r>
    <x v="5588"/>
    <n v="2197.7600000000002"/>
    <x v="16"/>
  </r>
  <r>
    <x v="5589"/>
    <n v="2204.0500000000002"/>
    <x v="16"/>
  </r>
  <r>
    <x v="5590"/>
    <n v="2204.0500000000002"/>
    <x v="16"/>
  </r>
  <r>
    <x v="5591"/>
    <n v="2204.0500000000002"/>
    <x v="16"/>
  </r>
  <r>
    <x v="5592"/>
    <n v="2204.0500000000002"/>
    <x v="16"/>
  </r>
  <r>
    <x v="5593"/>
    <n v="2186.21"/>
    <x v="16"/>
  </r>
  <r>
    <x v="5594"/>
    <n v="2172.6"/>
    <x v="16"/>
  </r>
  <r>
    <x v="5595"/>
    <n v="2168.9499999999998"/>
    <x v="16"/>
  </r>
  <r>
    <x v="5596"/>
    <n v="2174.7199999999998"/>
    <x v="16"/>
  </r>
  <r>
    <x v="5597"/>
    <n v="2174.7199999999998"/>
    <x v="16"/>
  </r>
  <r>
    <x v="5598"/>
    <n v="2174.7199999999998"/>
    <x v="16"/>
  </r>
  <r>
    <x v="5599"/>
    <n v="2172.14"/>
    <x v="16"/>
  </r>
  <r>
    <x v="5600"/>
    <n v="2172.09"/>
    <x v="16"/>
  </r>
  <r>
    <x v="5601"/>
    <n v="2169.67"/>
    <x v="16"/>
  </r>
  <r>
    <x v="5602"/>
    <n v="2155.06"/>
    <x v="16"/>
  </r>
  <r>
    <x v="5603"/>
    <n v="2190.3000000000002"/>
    <x v="16"/>
  </r>
  <r>
    <x v="5604"/>
    <n v="2190.3000000000002"/>
    <x v="16"/>
  </r>
  <r>
    <x v="5605"/>
    <n v="2190.3000000000002"/>
    <x v="16"/>
  </r>
  <r>
    <x v="5606"/>
    <n v="2189.1799999999998"/>
    <x v="16"/>
  </r>
  <r>
    <x v="5607"/>
    <n v="2171.4699999999998"/>
    <x v="16"/>
  </r>
  <r>
    <x v="5608"/>
    <n v="2166.9299999999998"/>
    <x v="16"/>
  </r>
  <r>
    <x v="5609"/>
    <n v="2166.9299999999998"/>
    <x v="16"/>
  </r>
  <r>
    <x v="5610"/>
    <n v="2166.9299999999998"/>
    <x v="16"/>
  </r>
  <r>
    <x v="5611"/>
    <n v="2166.9299999999998"/>
    <x v="16"/>
  </r>
  <r>
    <x v="5612"/>
    <n v="2166.9299999999998"/>
    <x v="16"/>
  </r>
  <r>
    <x v="5613"/>
    <n v="2164.5500000000002"/>
    <x v="16"/>
  </r>
  <r>
    <x v="5614"/>
    <n v="2157.8200000000002"/>
    <x v="16"/>
  </r>
  <r>
    <x v="5615"/>
    <n v="2154.61"/>
    <x v="16"/>
  </r>
  <r>
    <x v="5616"/>
    <n v="2152.65"/>
    <x v="16"/>
  </r>
  <r>
    <x v="5617"/>
    <n v="2138.7399999999998"/>
    <x v="16"/>
  </r>
  <r>
    <x v="5618"/>
    <n v="2138.7399999999998"/>
    <x v="16"/>
  </r>
  <r>
    <x v="5619"/>
    <n v="2138.7399999999998"/>
    <x v="16"/>
  </r>
  <r>
    <x v="5620"/>
    <n v="2136.8200000000002"/>
    <x v="16"/>
  </r>
  <r>
    <x v="5621"/>
    <n v="2141.35"/>
    <x v="16"/>
  </r>
  <r>
    <x v="5622"/>
    <n v="2148.46"/>
    <x v="16"/>
  </r>
  <r>
    <x v="5623"/>
    <n v="2143.31"/>
    <x v="16"/>
  </r>
  <r>
    <x v="5624"/>
    <n v="2121.42"/>
    <x v="16"/>
  </r>
  <r>
    <x v="5625"/>
    <n v="2121.42"/>
    <x v="16"/>
  </r>
  <r>
    <x v="5626"/>
    <n v="2121.42"/>
    <x v="16"/>
  </r>
  <r>
    <x v="5627"/>
    <n v="2115.56"/>
    <x v="16"/>
  </r>
  <r>
    <x v="5628"/>
    <n v="2119.37"/>
    <x v="16"/>
  </r>
  <r>
    <x v="5629"/>
    <n v="2112.61"/>
    <x v="16"/>
  </r>
  <r>
    <x v="5630"/>
    <n v="2111.52"/>
    <x v="16"/>
  </r>
  <r>
    <x v="5631"/>
    <n v="2110.67"/>
    <x v="16"/>
  </r>
  <r>
    <x v="5632"/>
    <n v="2110.67"/>
    <x v="16"/>
  </r>
  <r>
    <x v="5633"/>
    <n v="2110.67"/>
    <x v="16"/>
  </r>
  <r>
    <x v="5634"/>
    <n v="2104.16"/>
    <x v="16"/>
  </r>
  <r>
    <x v="5635"/>
    <n v="2104.16"/>
    <x v="16"/>
  </r>
  <r>
    <x v="5636"/>
    <n v="2085.1799999999998"/>
    <x v="16"/>
  </r>
  <r>
    <x v="5637"/>
    <n v="2077.12"/>
    <x v="16"/>
  </r>
  <r>
    <x v="5638"/>
    <n v="2069.0100000000002"/>
    <x v="16"/>
  </r>
  <r>
    <x v="5639"/>
    <n v="2069.0100000000002"/>
    <x v="16"/>
  </r>
  <r>
    <x v="5640"/>
    <n v="2069.0100000000002"/>
    <x v="16"/>
  </r>
  <r>
    <x v="5641"/>
    <n v="2081.2399999999998"/>
    <x v="16"/>
  </r>
  <r>
    <x v="5642"/>
    <n v="2074.0300000000002"/>
    <x v="16"/>
  </r>
  <r>
    <x v="5643"/>
    <n v="2045.51"/>
    <x v="16"/>
  </r>
  <r>
    <x v="5644"/>
    <n v="2041.39"/>
    <x v="16"/>
  </r>
  <r>
    <x v="5645"/>
    <n v="2029.2"/>
    <x v="16"/>
  </r>
  <r>
    <x v="5646"/>
    <n v="2029.2"/>
    <x v="16"/>
  </r>
  <r>
    <x v="5647"/>
    <n v="2029.2"/>
    <x v="16"/>
  </r>
  <r>
    <x v="5648"/>
    <n v="2002.04"/>
    <x v="16"/>
  </r>
  <r>
    <x v="5649"/>
    <n v="1995.17"/>
    <x v="16"/>
  </r>
  <r>
    <x v="5650"/>
    <n v="1988.01"/>
    <x v="16"/>
  </r>
  <r>
    <x v="5651"/>
    <n v="1990.43"/>
    <x v="16"/>
  </r>
  <r>
    <x v="5652"/>
    <n v="1985.33"/>
    <x v="16"/>
  </r>
  <r>
    <x v="5653"/>
    <n v="1985.33"/>
    <x v="16"/>
  </r>
  <r>
    <x v="5654"/>
    <n v="1985.33"/>
    <x v="16"/>
  </r>
  <r>
    <x v="5655"/>
    <n v="1985.33"/>
    <x v="16"/>
  </r>
  <r>
    <x v="5656"/>
    <n v="1957.54"/>
    <x v="16"/>
  </r>
  <r>
    <x v="5657"/>
    <n v="1963.56"/>
    <x v="16"/>
  </r>
  <r>
    <x v="5658"/>
    <n v="1962.59"/>
    <x v="16"/>
  </r>
  <r>
    <x v="5659"/>
    <n v="1934.55"/>
    <x v="16"/>
  </r>
  <r>
    <x v="5660"/>
    <n v="1934.55"/>
    <x v="16"/>
  </r>
  <r>
    <x v="5661"/>
    <n v="1934.55"/>
    <x v="16"/>
  </r>
  <r>
    <x v="5662"/>
    <n v="1934.55"/>
    <x v="16"/>
  </r>
  <r>
    <x v="5663"/>
    <n v="1914.96"/>
    <x v="16"/>
  </r>
  <r>
    <x v="5664"/>
    <n v="1930.64"/>
    <x v="16"/>
  </r>
  <r>
    <x v="5665"/>
    <n v="1900.09"/>
    <x v="16"/>
  </r>
  <r>
    <x v="5666"/>
    <n v="1885.8"/>
    <x v="16"/>
  </r>
  <r>
    <x v="5667"/>
    <n v="1885.8"/>
    <x v="16"/>
  </r>
  <r>
    <x v="5668"/>
    <n v="1885.8"/>
    <x v="16"/>
  </r>
  <r>
    <x v="5669"/>
    <n v="1882.06"/>
    <x v="16"/>
  </r>
  <r>
    <x v="5670"/>
    <n v="1877.88"/>
    <x v="16"/>
  </r>
  <r>
    <x v="5671"/>
    <n v="1886.92"/>
    <x v="16"/>
  </r>
  <r>
    <x v="5672"/>
    <n v="1900.68"/>
    <x v="16"/>
  </r>
  <r>
    <x v="5673"/>
    <n v="1924.54"/>
    <x v="16"/>
  </r>
  <r>
    <x v="5674"/>
    <n v="1924.54"/>
    <x v="16"/>
  </r>
  <r>
    <x v="5675"/>
    <n v="1924.54"/>
    <x v="16"/>
  </r>
  <r>
    <x v="5676"/>
    <n v="1924.54"/>
    <x v="16"/>
  </r>
  <r>
    <x v="5677"/>
    <n v="1931.36"/>
    <x v="16"/>
  </r>
  <r>
    <x v="5678"/>
    <n v="1947.37"/>
    <x v="16"/>
  </r>
  <r>
    <x v="5679"/>
    <n v="1945.09"/>
    <x v="16"/>
  </r>
  <r>
    <x v="5680"/>
    <n v="1920.25"/>
    <x v="16"/>
  </r>
  <r>
    <x v="5681"/>
    <n v="1920.25"/>
    <x v="16"/>
  </r>
  <r>
    <x v="5682"/>
    <n v="1920.25"/>
    <x v="16"/>
  </r>
  <r>
    <x v="5683"/>
    <n v="1920.25"/>
    <x v="16"/>
  </r>
  <r>
    <x v="5684"/>
    <n v="1896.07"/>
    <x v="16"/>
  </r>
  <r>
    <x v="5685"/>
    <n v="1905.13"/>
    <x v="16"/>
  </r>
  <r>
    <x v="5686"/>
    <n v="1938.17"/>
    <x v="16"/>
  </r>
  <r>
    <x v="5687"/>
    <n v="1944.01"/>
    <x v="16"/>
  </r>
  <r>
    <x v="5688"/>
    <n v="1944.01"/>
    <x v="16"/>
  </r>
  <r>
    <x v="5689"/>
    <n v="1944.01"/>
    <x v="16"/>
  </r>
  <r>
    <x v="5690"/>
    <n v="1960.32"/>
    <x v="16"/>
  </r>
  <r>
    <x v="5691"/>
    <n v="1965.31"/>
    <x v="16"/>
  </r>
  <r>
    <x v="5692"/>
    <n v="1982.29"/>
    <x v="16"/>
  </r>
  <r>
    <x v="5693"/>
    <n v="1958.09"/>
    <x v="16"/>
  </r>
  <r>
    <x v="5694"/>
    <n v="1960.61"/>
    <x v="16"/>
  </r>
  <r>
    <x v="5695"/>
    <n v="1960.61"/>
    <x v="16"/>
  </r>
  <r>
    <x v="5696"/>
    <n v="1960.61"/>
    <x v="16"/>
  </r>
  <r>
    <x v="5697"/>
    <n v="1960.61"/>
    <x v="16"/>
  </r>
  <r>
    <x v="5698"/>
    <n v="1958.95"/>
    <x v="16"/>
  </r>
  <r>
    <x v="5699"/>
    <n v="1958.95"/>
    <x v="16"/>
  </r>
  <r>
    <x v="5700"/>
    <n v="1969.36"/>
    <x v="16"/>
  </r>
  <r>
    <x v="5701"/>
    <n v="1962.55"/>
    <x v="16"/>
  </r>
  <r>
    <x v="5702"/>
    <n v="1962.55"/>
    <x v="16"/>
  </r>
  <r>
    <x v="5703"/>
    <n v="1962.55"/>
    <x v="16"/>
  </r>
  <r>
    <x v="5704"/>
    <n v="1945.94"/>
    <x v="16"/>
  </r>
  <r>
    <x v="5705"/>
    <n v="1960.31"/>
    <x v="16"/>
  </r>
  <r>
    <x v="5706"/>
    <n v="1964.82"/>
    <x v="16"/>
  </r>
  <r>
    <x v="5707"/>
    <n v="1954.48"/>
    <x v="16"/>
  </r>
  <r>
    <x v="5708"/>
    <n v="1956.05"/>
    <x v="16"/>
  </r>
  <r>
    <x v="5709"/>
    <n v="1956.05"/>
    <x v="16"/>
  </r>
  <r>
    <x v="5710"/>
    <n v="1956.05"/>
    <x v="16"/>
  </r>
  <r>
    <x v="5711"/>
    <n v="1942.43"/>
    <x v="16"/>
  </r>
  <r>
    <x v="5712"/>
    <n v="1931.04"/>
    <x v="16"/>
  </r>
  <r>
    <x v="5713"/>
    <n v="1928.59"/>
    <x v="16"/>
  </r>
  <r>
    <x v="5714"/>
    <n v="1921.04"/>
    <x v="16"/>
  </r>
  <r>
    <x v="5715"/>
    <n v="1921.04"/>
    <x v="16"/>
  </r>
  <r>
    <x v="5716"/>
    <n v="1921.04"/>
    <x v="16"/>
  </r>
  <r>
    <x v="5717"/>
    <n v="1921.04"/>
    <x v="16"/>
  </r>
  <r>
    <x v="5718"/>
    <n v="1912.9"/>
    <x v="16"/>
  </r>
  <r>
    <x v="5719"/>
    <n v="1916.23"/>
    <x v="16"/>
  </r>
  <r>
    <x v="5720"/>
    <n v="1935.68"/>
    <x v="16"/>
  </r>
  <r>
    <x v="5721"/>
    <n v="1981.58"/>
    <x v="16"/>
  </r>
  <r>
    <x v="5722"/>
    <n v="1984.1"/>
    <x v="16"/>
  </r>
  <r>
    <x v="5723"/>
    <n v="1984.1"/>
    <x v="16"/>
  </r>
  <r>
    <x v="5724"/>
    <n v="1984.1"/>
    <x v="16"/>
  </r>
  <r>
    <x v="5725"/>
    <n v="1971.8"/>
    <x v="16"/>
  </r>
  <r>
    <x v="5726"/>
    <n v="1958.5"/>
    <x v="16"/>
  </r>
  <r>
    <x v="5727"/>
    <n v="1971.2"/>
    <x v="16"/>
  </r>
  <r>
    <x v="5728"/>
    <n v="1957.68"/>
    <x v="16"/>
  </r>
  <r>
    <x v="5729"/>
    <n v="1963.69"/>
    <x v="16"/>
  </r>
  <r>
    <x v="5730"/>
    <n v="1963.69"/>
    <x v="16"/>
  </r>
  <r>
    <x v="5731"/>
    <n v="1963.69"/>
    <x v="16"/>
  </r>
  <r>
    <x v="5732"/>
    <n v="1976.89"/>
    <x v="16"/>
  </r>
  <r>
    <x v="5733"/>
    <n v="1976.89"/>
    <x v="16"/>
  </r>
  <r>
    <x v="5734"/>
    <n v="1957.58"/>
    <x v="16"/>
  </r>
  <r>
    <x v="5735"/>
    <n v="1981.9"/>
    <x v="16"/>
  </r>
  <r>
    <x v="5736"/>
    <n v="2006.79"/>
    <x v="16"/>
  </r>
  <r>
    <x v="5737"/>
    <n v="2006.79"/>
    <x v="16"/>
  </r>
  <r>
    <x v="5738"/>
    <n v="2006.79"/>
    <x v="16"/>
  </r>
  <r>
    <x v="5739"/>
    <n v="1997.38"/>
    <x v="16"/>
  </r>
  <r>
    <x v="5740"/>
    <n v="2016.3"/>
    <x v="16"/>
  </r>
  <r>
    <x v="5741"/>
    <n v="2048.44"/>
    <x v="16"/>
  </r>
  <r>
    <x v="5742"/>
    <n v="2124.4"/>
    <x v="16"/>
  </r>
  <r>
    <x v="5743"/>
    <n v="2113.54"/>
    <x v="16"/>
  </r>
  <r>
    <x v="5744"/>
    <n v="2113.54"/>
    <x v="16"/>
  </r>
  <r>
    <x v="5745"/>
    <n v="2113.54"/>
    <x v="16"/>
  </r>
  <r>
    <x v="5746"/>
    <n v="2113.54"/>
    <x v="16"/>
  </r>
  <r>
    <x v="5747"/>
    <n v="2154.94"/>
    <x v="16"/>
  </r>
  <r>
    <x v="5748"/>
    <n v="2133.04"/>
    <x v="16"/>
  </r>
  <r>
    <x v="5749"/>
    <n v="2138.13"/>
    <x v="16"/>
  </r>
  <r>
    <x v="5750"/>
    <n v="2128.17"/>
    <x v="16"/>
  </r>
  <r>
    <x v="5751"/>
    <n v="2128.17"/>
    <x v="16"/>
  </r>
  <r>
    <x v="5752"/>
    <n v="2128.17"/>
    <x v="16"/>
  </r>
  <r>
    <x v="5753"/>
    <n v="2114.15"/>
    <x v="16"/>
  </r>
  <r>
    <x v="5754"/>
    <n v="2147.34"/>
    <x v="16"/>
  </r>
  <r>
    <x v="5755"/>
    <n v="2160.65"/>
    <x v="16"/>
  </r>
  <r>
    <x v="5756"/>
    <n v="2173.17"/>
    <x v="16"/>
  </r>
  <r>
    <x v="5757"/>
    <n v="2160.9899999999998"/>
    <x v="16"/>
  </r>
  <r>
    <x v="5758"/>
    <n v="2160.9899999999998"/>
    <x v="16"/>
  </r>
  <r>
    <x v="5759"/>
    <n v="2160.9899999999998"/>
    <x v="16"/>
  </r>
  <r>
    <x v="5760"/>
    <n v="2160.9899999999998"/>
    <x v="16"/>
  </r>
  <r>
    <x v="5761"/>
    <n v="2161.56"/>
    <x v="16"/>
  </r>
  <r>
    <x v="5762"/>
    <n v="2174.56"/>
    <x v="16"/>
  </r>
  <r>
    <x v="5763"/>
    <n v="2166.6"/>
    <x v="16"/>
  </r>
  <r>
    <x v="5764"/>
    <n v="2191"/>
    <x v="16"/>
  </r>
  <r>
    <x v="5765"/>
    <n v="2191"/>
    <x v="16"/>
  </r>
  <r>
    <x v="5766"/>
    <n v="2191"/>
    <x v="16"/>
  </r>
  <r>
    <x v="5767"/>
    <n v="2194.65"/>
    <x v="16"/>
  </r>
  <r>
    <x v="5768"/>
    <n v="2185.89"/>
    <x v="16"/>
  </r>
  <r>
    <x v="5769"/>
    <n v="2182.2199999999998"/>
    <x v="16"/>
  </r>
  <r>
    <x v="5770"/>
    <n v="2157.75"/>
    <x v="16"/>
  </r>
  <r>
    <x v="5771"/>
    <n v="2128.5"/>
    <x v="16"/>
  </r>
  <r>
    <x v="5772"/>
    <n v="2128.5"/>
    <x v="16"/>
  </r>
  <r>
    <x v="5773"/>
    <n v="2128.5"/>
    <x v="16"/>
  </r>
  <r>
    <x v="5774"/>
    <n v="2130.66"/>
    <x v="16"/>
  </r>
  <r>
    <x v="5775"/>
    <n v="2124.36"/>
    <x v="16"/>
  </r>
  <r>
    <x v="5776"/>
    <n v="2055.2800000000002"/>
    <x v="16"/>
  </r>
  <r>
    <x v="5777"/>
    <n v="2042.63"/>
    <x v="16"/>
  </r>
  <r>
    <x v="5778"/>
    <n v="2026.33"/>
    <x v="16"/>
  </r>
  <r>
    <x v="5779"/>
    <n v="2026.33"/>
    <x v="16"/>
  </r>
  <r>
    <x v="5780"/>
    <n v="2026.33"/>
    <x v="16"/>
  </r>
  <r>
    <x v="5781"/>
    <n v="2028.95"/>
    <x v="16"/>
  </r>
  <r>
    <x v="5782"/>
    <n v="2045.51"/>
    <x v="16"/>
  </r>
  <r>
    <x v="5783"/>
    <n v="2009.46"/>
    <x v="16"/>
  </r>
  <r>
    <x v="5784"/>
    <n v="2013.18"/>
    <x v="16"/>
  </r>
  <r>
    <x v="5785"/>
    <n v="2023.19"/>
    <x v="16"/>
  </r>
  <r>
    <x v="5786"/>
    <n v="2023.19"/>
    <x v="16"/>
  </r>
  <r>
    <x v="5787"/>
    <n v="2023.19"/>
    <x v="16"/>
  </r>
  <r>
    <x v="5788"/>
    <n v="2015.75"/>
    <x v="16"/>
  </r>
  <r>
    <x v="5789"/>
    <n v="2013.39"/>
    <x v="16"/>
  </r>
  <r>
    <x v="5790"/>
    <n v="2017.69"/>
    <x v="16"/>
  </r>
  <r>
    <x v="5791"/>
    <n v="2018.45"/>
    <x v="16"/>
  </r>
  <r>
    <x v="5792"/>
    <n v="1999.95"/>
    <x v="16"/>
  </r>
  <r>
    <x v="5793"/>
    <n v="1999.95"/>
    <x v="16"/>
  </r>
  <r>
    <x v="5794"/>
    <n v="1999.95"/>
    <x v="16"/>
  </r>
  <r>
    <x v="5795"/>
    <n v="1999.95"/>
    <x v="16"/>
  </r>
  <r>
    <x v="5796"/>
    <n v="1968.13"/>
    <x v="16"/>
  </r>
  <r>
    <x v="5797"/>
    <n v="1972.81"/>
    <x v="16"/>
  </r>
  <r>
    <x v="5798"/>
    <n v="1963.03"/>
    <x v="16"/>
  </r>
  <r>
    <x v="5799"/>
    <n v="1978.97"/>
    <x v="16"/>
  </r>
  <r>
    <x v="5800"/>
    <n v="1978.97"/>
    <x v="16"/>
  </r>
  <r>
    <x v="5801"/>
    <n v="1978.97"/>
    <x v="16"/>
  </r>
  <r>
    <x v="5802"/>
    <n v="1978.97"/>
    <x v="16"/>
  </r>
  <r>
    <x v="5803"/>
    <n v="2004.58"/>
    <x v="16"/>
  </r>
  <r>
    <x v="5804"/>
    <n v="1994.06"/>
    <x v="16"/>
  </r>
  <r>
    <x v="5805"/>
    <n v="2018.55"/>
    <x v="16"/>
  </r>
  <r>
    <x v="5806"/>
    <n v="2007.24"/>
    <x v="16"/>
  </r>
  <r>
    <x v="5807"/>
    <n v="2007.24"/>
    <x v="16"/>
  </r>
  <r>
    <x v="5808"/>
    <n v="2007.24"/>
    <x v="16"/>
  </r>
  <r>
    <x v="5809"/>
    <n v="2022.76"/>
    <x v="16"/>
  </r>
  <r>
    <x v="5810"/>
    <n v="2006.67"/>
    <x v="16"/>
  </r>
  <r>
    <x v="5811"/>
    <n v="2025.7"/>
    <x v="16"/>
  </r>
  <r>
    <x v="5812"/>
    <n v="2020.29"/>
    <x v="16"/>
  </r>
  <r>
    <x v="5813"/>
    <n v="2005.28"/>
    <x v="16"/>
  </r>
  <r>
    <x v="5814"/>
    <n v="2005.28"/>
    <x v="16"/>
  </r>
  <r>
    <x v="5815"/>
    <n v="2005.28"/>
    <x v="16"/>
  </r>
  <r>
    <x v="5816"/>
    <n v="1995.94"/>
    <x v="16"/>
  </r>
  <r>
    <x v="5817"/>
    <n v="1999.44"/>
    <x v="16"/>
  </r>
  <r>
    <x v="5818"/>
    <n v="1987.69"/>
    <x v="16"/>
  </r>
  <r>
    <x v="5819"/>
    <n v="2008.11"/>
    <x v="16"/>
  </r>
  <r>
    <x v="5820"/>
    <n v="2014.12"/>
    <x v="16"/>
  </r>
  <r>
    <x v="5821"/>
    <n v="2014.12"/>
    <x v="16"/>
  </r>
  <r>
    <x v="5822"/>
    <n v="2014.12"/>
    <x v="16"/>
  </r>
  <r>
    <x v="5823"/>
    <n v="2014.12"/>
    <x v="16"/>
  </r>
  <r>
    <x v="5824"/>
    <n v="2012.89"/>
    <x v="16"/>
  </r>
  <r>
    <x v="5825"/>
    <n v="2023.99"/>
    <x v="16"/>
  </r>
  <r>
    <x v="5826"/>
    <n v="2033.94"/>
    <x v="16"/>
  </r>
  <r>
    <x v="5827"/>
    <n v="2045.59"/>
    <x v="16"/>
  </r>
  <r>
    <x v="5828"/>
    <n v="2045.59"/>
    <x v="16"/>
  </r>
  <r>
    <x v="5829"/>
    <n v="2045.59"/>
    <x v="16"/>
  </r>
  <r>
    <x v="5830"/>
    <n v="2045.59"/>
    <x v="16"/>
  </r>
  <r>
    <x v="5831"/>
    <n v="2051.88"/>
    <x v="16"/>
  </r>
  <r>
    <x v="5832"/>
    <n v="2032.04"/>
    <x v="16"/>
  </r>
  <r>
    <x v="5833"/>
    <n v="2044.7"/>
    <x v="16"/>
  </r>
  <r>
    <x v="5834"/>
    <n v="2040.35"/>
    <x v="16"/>
  </r>
  <r>
    <x v="5835"/>
    <n v="2040.35"/>
    <x v="16"/>
  </r>
  <r>
    <x v="5836"/>
    <n v="2040.35"/>
    <x v="16"/>
  </r>
  <r>
    <x v="5837"/>
    <n v="2054.3000000000002"/>
    <x v="16"/>
  </r>
  <r>
    <x v="5838"/>
    <n v="2056.2800000000002"/>
    <x v="16"/>
  </r>
  <r>
    <x v="5839"/>
    <n v="2074.6"/>
    <x v="16"/>
  </r>
  <r>
    <x v="5840"/>
    <n v="2074.6"/>
    <x v="16"/>
  </r>
  <r>
    <x v="5841"/>
    <n v="2088.2399999999998"/>
    <x v="16"/>
  </r>
  <r>
    <x v="5842"/>
    <n v="2088.2399999999998"/>
    <x v="16"/>
  </r>
  <r>
    <x v="5843"/>
    <n v="2088.2399999999998"/>
    <x v="16"/>
  </r>
  <r>
    <x v="5844"/>
    <n v="2089.11"/>
    <x v="16"/>
  </r>
  <r>
    <x v="5845"/>
    <n v="2094.7399999999998"/>
    <x v="16"/>
  </r>
  <r>
    <x v="5846"/>
    <n v="2066.81"/>
    <x v="16"/>
  </r>
  <r>
    <x v="5847"/>
    <n v="2060.42"/>
    <x v="16"/>
  </r>
  <r>
    <x v="5848"/>
    <n v="2043.11"/>
    <x v="16"/>
  </r>
  <r>
    <x v="5849"/>
    <n v="2043.11"/>
    <x v="16"/>
  </r>
  <r>
    <x v="5850"/>
    <n v="2043.11"/>
    <x v="16"/>
  </r>
  <r>
    <x v="5851"/>
    <n v="2052.1799999999998"/>
    <x v="16"/>
  </r>
  <r>
    <x v="5852"/>
    <n v="2057.4"/>
    <x v="16"/>
  </r>
  <r>
    <x v="5853"/>
    <n v="2036.6"/>
    <x v="16"/>
  </r>
  <r>
    <x v="5854"/>
    <n v="2023.18"/>
    <x v="16"/>
  </r>
  <r>
    <x v="5855"/>
    <n v="2016.77"/>
    <x v="16"/>
  </r>
  <r>
    <x v="5856"/>
    <n v="2016.77"/>
    <x v="16"/>
  </r>
  <r>
    <x v="5857"/>
    <n v="2016.77"/>
    <x v="16"/>
  </r>
  <r>
    <x v="5858"/>
    <n v="2009.83"/>
    <x v="16"/>
  </r>
  <r>
    <x v="5859"/>
    <n v="2005.82"/>
    <x v="16"/>
  </r>
  <r>
    <x v="5860"/>
    <n v="2003.9"/>
    <x v="16"/>
  </r>
  <r>
    <x v="5861"/>
    <n v="2017.36"/>
    <x v="16"/>
  </r>
  <r>
    <x v="5862"/>
    <n v="2009.85"/>
    <x v="16"/>
  </r>
  <r>
    <x v="5863"/>
    <n v="2009.85"/>
    <x v="16"/>
  </r>
  <r>
    <x v="5864"/>
    <n v="2009.85"/>
    <x v="16"/>
  </r>
  <r>
    <x v="5865"/>
    <n v="2006.48"/>
    <x v="16"/>
  </r>
  <r>
    <x v="5866"/>
    <n v="2007.98"/>
    <x v="16"/>
  </r>
  <r>
    <x v="5867"/>
    <n v="2005.92"/>
    <x v="16"/>
  </r>
  <r>
    <x v="5868"/>
    <n v="2000.58"/>
    <x v="16"/>
  </r>
  <r>
    <x v="5869"/>
    <n v="1993.08"/>
    <x v="16"/>
  </r>
  <r>
    <x v="5870"/>
    <n v="1993.08"/>
    <x v="16"/>
  </r>
  <r>
    <x v="5871"/>
    <n v="1993.08"/>
    <x v="16"/>
  </r>
  <r>
    <x v="5872"/>
    <n v="1989.7"/>
    <x v="16"/>
  </r>
  <r>
    <x v="5873"/>
    <n v="1989.7"/>
    <x v="16"/>
  </r>
  <r>
    <x v="5874"/>
    <n v="1987.81"/>
    <x v="16"/>
  </r>
  <r>
    <x v="5875"/>
    <n v="2001.72"/>
    <x v="16"/>
  </r>
  <r>
    <x v="5876"/>
    <n v="2014.76"/>
    <x v="16"/>
  </r>
  <r>
    <x v="5877"/>
    <n v="2014.76"/>
    <x v="16"/>
  </r>
  <r>
    <x v="5878"/>
    <n v="2014.76"/>
    <x v="16"/>
  </r>
  <r>
    <x v="5879"/>
    <n v="2014.76"/>
    <x v="17"/>
  </r>
  <r>
    <x v="5880"/>
    <n v="2014.76"/>
    <x v="17"/>
  </r>
  <r>
    <x v="5881"/>
    <n v="2012.82"/>
    <x v="17"/>
  </r>
  <r>
    <x v="5882"/>
    <n v="2013.27"/>
    <x v="17"/>
  </r>
  <r>
    <x v="5883"/>
    <n v="2013.98"/>
    <x v="17"/>
  </r>
  <r>
    <x v="5884"/>
    <n v="2013.98"/>
    <x v="17"/>
  </r>
  <r>
    <x v="5885"/>
    <n v="2013.98"/>
    <x v="17"/>
  </r>
  <r>
    <x v="5886"/>
    <n v="2013.98"/>
    <x v="17"/>
  </r>
  <r>
    <x v="5887"/>
    <n v="2000.91"/>
    <x v="17"/>
  </r>
  <r>
    <x v="5888"/>
    <n v="2004.7"/>
    <x v="17"/>
  </r>
  <r>
    <x v="5889"/>
    <n v="2003.74"/>
    <x v="17"/>
  </r>
  <r>
    <x v="5890"/>
    <n v="1985.35"/>
    <x v="17"/>
  </r>
  <r>
    <x v="5891"/>
    <n v="1985.35"/>
    <x v="17"/>
  </r>
  <r>
    <x v="5892"/>
    <n v="1985.35"/>
    <x v="17"/>
  </r>
  <r>
    <x v="5893"/>
    <n v="1949.43"/>
    <x v="17"/>
  </r>
  <r>
    <x v="5894"/>
    <n v="1948.91"/>
    <x v="17"/>
  </r>
  <r>
    <x v="5895"/>
    <n v="1960.49"/>
    <x v="17"/>
  </r>
  <r>
    <x v="5896"/>
    <n v="1947.6"/>
    <x v="17"/>
  </r>
  <r>
    <x v="5897"/>
    <n v="1968.13"/>
    <x v="17"/>
  </r>
  <r>
    <x v="5898"/>
    <n v="1968.13"/>
    <x v="17"/>
  </r>
  <r>
    <x v="5899"/>
    <n v="1968.13"/>
    <x v="17"/>
  </r>
  <r>
    <x v="5900"/>
    <n v="1968.13"/>
    <x v="17"/>
  </r>
  <r>
    <x v="5901"/>
    <n v="2007.41"/>
    <x v="17"/>
  </r>
  <r>
    <x v="5902"/>
    <n v="2005.08"/>
    <x v="17"/>
  </r>
  <r>
    <x v="5903"/>
    <n v="1970.65"/>
    <x v="17"/>
  </r>
  <r>
    <x v="5904"/>
    <n v="1961.3"/>
    <x v="17"/>
  </r>
  <r>
    <x v="5905"/>
    <n v="1961.3"/>
    <x v="17"/>
  </r>
  <r>
    <x v="5906"/>
    <n v="1961.3"/>
    <x v="17"/>
  </r>
  <r>
    <x v="5907"/>
    <n v="1969.65"/>
    <x v="17"/>
  </r>
  <r>
    <x v="5908"/>
    <n v="1946.54"/>
    <x v="17"/>
  </r>
  <r>
    <x v="5909"/>
    <n v="1939.6"/>
    <x v="17"/>
  </r>
  <r>
    <x v="5910"/>
    <n v="1939.77"/>
    <x v="17"/>
  </r>
  <r>
    <x v="5911"/>
    <n v="1921.94"/>
    <x v="17"/>
  </r>
  <r>
    <x v="5912"/>
    <n v="1921.94"/>
    <x v="17"/>
  </r>
  <r>
    <x v="5913"/>
    <n v="1921.94"/>
    <x v="17"/>
  </r>
  <r>
    <x v="5914"/>
    <n v="1917.26"/>
    <x v="17"/>
  </r>
  <r>
    <x v="5915"/>
    <n v="1928.3"/>
    <x v="17"/>
  </r>
  <r>
    <x v="5916"/>
    <n v="1929.7"/>
    <x v="17"/>
  </r>
  <r>
    <x v="5917"/>
    <n v="1935.49"/>
    <x v="17"/>
  </r>
  <r>
    <x v="5918"/>
    <n v="1923.08"/>
    <x v="17"/>
  </r>
  <r>
    <x v="5919"/>
    <n v="1923.08"/>
    <x v="17"/>
  </r>
  <r>
    <x v="5920"/>
    <n v="1923.08"/>
    <x v="17"/>
  </r>
  <r>
    <x v="5921"/>
    <n v="1912.8"/>
    <x v="17"/>
  </r>
  <r>
    <x v="5922"/>
    <n v="1901.38"/>
    <x v="17"/>
  </r>
  <r>
    <x v="5923"/>
    <n v="1898.4"/>
    <x v="17"/>
  </r>
  <r>
    <x v="5924"/>
    <n v="1894.87"/>
    <x v="17"/>
  </r>
  <r>
    <x v="5925"/>
    <n v="1905.37"/>
    <x v="17"/>
  </r>
  <r>
    <x v="5926"/>
    <n v="1905.37"/>
    <x v="17"/>
  </r>
  <r>
    <x v="5927"/>
    <n v="1905.37"/>
    <x v="17"/>
  </r>
  <r>
    <x v="5928"/>
    <n v="1905.37"/>
    <x v="17"/>
  </r>
  <r>
    <x v="5929"/>
    <n v="1890.74"/>
    <x v="17"/>
  </r>
  <r>
    <x v="5930"/>
    <n v="1910.81"/>
    <x v="17"/>
  </r>
  <r>
    <x v="5931"/>
    <n v="1895.85"/>
    <x v="17"/>
  </r>
  <r>
    <x v="5932"/>
    <n v="1892"/>
    <x v="17"/>
  </r>
  <r>
    <x v="5933"/>
    <n v="1892"/>
    <x v="17"/>
  </r>
  <r>
    <x v="5934"/>
    <n v="1892"/>
    <x v="17"/>
  </r>
  <r>
    <x v="5935"/>
    <n v="1887.97"/>
    <x v="17"/>
  </r>
  <r>
    <x v="5936"/>
    <n v="1879.19"/>
    <x v="17"/>
  </r>
  <r>
    <x v="5937"/>
    <n v="1854.87"/>
    <x v="17"/>
  </r>
  <r>
    <x v="5938"/>
    <n v="1843.59"/>
    <x v="17"/>
  </r>
  <r>
    <x v="5939"/>
    <n v="1845.17"/>
    <x v="17"/>
  </r>
  <r>
    <x v="5940"/>
    <n v="1845.17"/>
    <x v="17"/>
  </r>
  <r>
    <x v="5941"/>
    <n v="1845.17"/>
    <x v="17"/>
  </r>
  <r>
    <x v="5942"/>
    <n v="1849.46"/>
    <x v="17"/>
  </r>
  <r>
    <x v="5943"/>
    <n v="1841.61"/>
    <x v="17"/>
  </r>
  <r>
    <x v="5944"/>
    <n v="1856.69"/>
    <x v="17"/>
  </r>
  <r>
    <x v="5945"/>
    <n v="1880.12"/>
    <x v="17"/>
  </r>
  <r>
    <x v="5946"/>
    <n v="1902.17"/>
    <x v="17"/>
  </r>
  <r>
    <x v="5947"/>
    <n v="1902.17"/>
    <x v="17"/>
  </r>
  <r>
    <x v="5948"/>
    <n v="1902.17"/>
    <x v="17"/>
  </r>
  <r>
    <x v="5949"/>
    <n v="1864.78"/>
    <x v="17"/>
  </r>
  <r>
    <x v="5950"/>
    <n v="1865.98"/>
    <x v="17"/>
  </r>
  <r>
    <x v="5951"/>
    <n v="1853.41"/>
    <x v="17"/>
  </r>
  <r>
    <x v="5952"/>
    <n v="1856.01"/>
    <x v="17"/>
  </r>
  <r>
    <x v="5953"/>
    <n v="1843.95"/>
    <x v="17"/>
  </r>
  <r>
    <x v="5954"/>
    <n v="1843.95"/>
    <x v="17"/>
  </r>
  <r>
    <x v="5955"/>
    <n v="1843.95"/>
    <x v="17"/>
  </r>
  <r>
    <x v="5956"/>
    <n v="1857.55"/>
    <x v="17"/>
  </r>
  <r>
    <x v="5957"/>
    <n v="1823.11"/>
    <x v="17"/>
  </r>
  <r>
    <x v="5958"/>
    <n v="1815.65"/>
    <x v="17"/>
  </r>
  <r>
    <x v="5959"/>
    <n v="1815.65"/>
    <x v="17"/>
  </r>
  <r>
    <x v="5960"/>
    <n v="1815.65"/>
    <x v="17"/>
  </r>
  <r>
    <x v="5961"/>
    <n v="1815.65"/>
    <x v="17"/>
  </r>
  <r>
    <x v="5962"/>
    <n v="1815.65"/>
    <x v="17"/>
  </r>
  <r>
    <x v="5963"/>
    <n v="1815.65"/>
    <x v="17"/>
  </r>
  <r>
    <x v="5964"/>
    <n v="1835.01"/>
    <x v="17"/>
  </r>
  <r>
    <x v="5965"/>
    <n v="1821.31"/>
    <x v="17"/>
  </r>
  <r>
    <x v="5966"/>
    <n v="1810.68"/>
    <x v="17"/>
  </r>
  <r>
    <x v="5967"/>
    <n v="1821.6"/>
    <x v="17"/>
  </r>
  <r>
    <x v="5968"/>
    <n v="1821.6"/>
    <x v="17"/>
  </r>
  <r>
    <x v="5969"/>
    <n v="1821.6"/>
    <x v="17"/>
  </r>
  <r>
    <x v="5970"/>
    <n v="1834.96"/>
    <x v="17"/>
  </r>
  <r>
    <x v="5971"/>
    <n v="1827.94"/>
    <x v="17"/>
  </r>
  <r>
    <x v="5972"/>
    <n v="1826.34"/>
    <x v="17"/>
  </r>
  <r>
    <x v="5973"/>
    <n v="1824.39"/>
    <x v="17"/>
  </r>
  <r>
    <x v="5974"/>
    <n v="1816.28"/>
    <x v="17"/>
  </r>
  <r>
    <x v="5975"/>
    <n v="1816.28"/>
    <x v="17"/>
  </r>
  <r>
    <x v="5976"/>
    <n v="1816.28"/>
    <x v="17"/>
  </r>
  <r>
    <x v="5977"/>
    <n v="1811.23"/>
    <x v="17"/>
  </r>
  <r>
    <x v="5978"/>
    <n v="1812.85"/>
    <x v="17"/>
  </r>
  <r>
    <x v="5979"/>
    <n v="1799.07"/>
    <x v="17"/>
  </r>
  <r>
    <x v="5980"/>
    <n v="1791.63"/>
    <x v="17"/>
  </r>
  <r>
    <x v="5981"/>
    <n v="1792.49"/>
    <x v="17"/>
  </r>
  <r>
    <x v="5982"/>
    <n v="1792.49"/>
    <x v="17"/>
  </r>
  <r>
    <x v="5983"/>
    <n v="1792.49"/>
    <x v="17"/>
  </r>
  <r>
    <x v="5984"/>
    <n v="1792.69"/>
    <x v="17"/>
  </r>
  <r>
    <x v="5985"/>
    <n v="1797.89"/>
    <x v="17"/>
  </r>
  <r>
    <x v="5986"/>
    <n v="1798.89"/>
    <x v="17"/>
  </r>
  <r>
    <x v="5987"/>
    <n v="1792.87"/>
    <x v="17"/>
  </r>
  <r>
    <x v="5988"/>
    <n v="1785.17"/>
    <x v="17"/>
  </r>
  <r>
    <x v="5989"/>
    <n v="1785.17"/>
    <x v="17"/>
  </r>
  <r>
    <x v="5990"/>
    <n v="1785.17"/>
    <x v="17"/>
  </r>
  <r>
    <x v="5991"/>
    <n v="1780.79"/>
    <x v="17"/>
  </r>
  <r>
    <x v="5992"/>
    <n v="1775.08"/>
    <x v="17"/>
  </r>
  <r>
    <x v="5993"/>
    <n v="1765.3"/>
    <x v="17"/>
  </r>
  <r>
    <x v="5994"/>
    <n v="1765.75"/>
    <x v="17"/>
  </r>
  <r>
    <x v="5995"/>
    <n v="1775.22"/>
    <x v="17"/>
  </r>
  <r>
    <x v="5996"/>
    <n v="1775.22"/>
    <x v="17"/>
  </r>
  <r>
    <x v="5997"/>
    <n v="1775.22"/>
    <x v="17"/>
  </r>
  <r>
    <x v="5998"/>
    <n v="1767.73"/>
    <x v="17"/>
  </r>
  <r>
    <x v="5999"/>
    <n v="1780.21"/>
    <x v="17"/>
  </r>
  <r>
    <x v="6000"/>
    <n v="1767.27"/>
    <x v="17"/>
  </r>
  <r>
    <x v="6001"/>
    <n v="1767.27"/>
    <x v="17"/>
  </r>
  <r>
    <x v="6002"/>
    <n v="1756.25"/>
    <x v="17"/>
  </r>
  <r>
    <x v="6003"/>
    <n v="1756.25"/>
    <x v="17"/>
  </r>
  <r>
    <x v="6004"/>
    <n v="1756.25"/>
    <x v="17"/>
  </r>
  <r>
    <x v="6005"/>
    <n v="1756.25"/>
    <x v="17"/>
  </r>
  <r>
    <x v="6006"/>
    <n v="1769.32"/>
    <x v="17"/>
  </r>
  <r>
    <x v="6007"/>
    <n v="1787.62"/>
    <x v="17"/>
  </r>
  <r>
    <x v="6008"/>
    <n v="1793.13"/>
    <x v="17"/>
  </r>
  <r>
    <x v="6009"/>
    <n v="1781.79"/>
    <x v="17"/>
  </r>
  <r>
    <x v="6010"/>
    <n v="1781.79"/>
    <x v="17"/>
  </r>
  <r>
    <x v="6011"/>
    <n v="1781.79"/>
    <x v="17"/>
  </r>
  <r>
    <x v="6012"/>
    <n v="1781.29"/>
    <x v="17"/>
  </r>
  <r>
    <x v="6013"/>
    <n v="1780.01"/>
    <x v="17"/>
  </r>
  <r>
    <x v="6014"/>
    <n v="1787.65"/>
    <x v="17"/>
  </r>
  <r>
    <x v="6015"/>
    <n v="1792.94"/>
    <x v="17"/>
  </r>
  <r>
    <x v="6016"/>
    <n v="1785.04"/>
    <x v="17"/>
  </r>
  <r>
    <x v="6017"/>
    <n v="1785.04"/>
    <x v="17"/>
  </r>
  <r>
    <x v="6018"/>
    <n v="1785.04"/>
    <x v="17"/>
  </r>
  <r>
    <x v="6019"/>
    <n v="1779.35"/>
    <x v="17"/>
  </r>
  <r>
    <x v="6020"/>
    <n v="1787.59"/>
    <x v="17"/>
  </r>
  <r>
    <x v="6021"/>
    <n v="1779.48"/>
    <x v="17"/>
  </r>
  <r>
    <x v="6022"/>
    <n v="1779.59"/>
    <x v="17"/>
  </r>
  <r>
    <x v="6023"/>
    <n v="1777.98"/>
    <x v="17"/>
  </r>
  <r>
    <x v="6024"/>
    <n v="1777.98"/>
    <x v="17"/>
  </r>
  <r>
    <x v="6025"/>
    <n v="1777.98"/>
    <x v="17"/>
  </r>
  <r>
    <x v="6026"/>
    <n v="1777.98"/>
    <x v="17"/>
  </r>
  <r>
    <x v="6027"/>
    <n v="1772.55"/>
    <x v="17"/>
  </r>
  <r>
    <x v="6028"/>
    <n v="1767.41"/>
    <x v="17"/>
  </r>
  <r>
    <x v="6029"/>
    <n v="1755.95"/>
    <x v="17"/>
  </r>
  <r>
    <x v="6030"/>
    <n v="1744.01"/>
    <x v="17"/>
  </r>
  <r>
    <x v="6031"/>
    <n v="1744.01"/>
    <x v="17"/>
  </r>
  <r>
    <x v="6032"/>
    <n v="1744.01"/>
    <x v="17"/>
  </r>
  <r>
    <x v="6033"/>
    <n v="1744.01"/>
    <x v="17"/>
  </r>
  <r>
    <x v="6034"/>
    <n v="1730.61"/>
    <x v="17"/>
  </r>
  <r>
    <x v="6035"/>
    <n v="1728.76"/>
    <x v="17"/>
  </r>
  <r>
    <x v="6036"/>
    <n v="1709.95"/>
    <x v="17"/>
  </r>
  <r>
    <x v="6037"/>
    <n v="1702.44"/>
    <x v="17"/>
  </r>
  <r>
    <x v="6038"/>
    <n v="1702.44"/>
    <x v="17"/>
  </r>
  <r>
    <x v="6039"/>
    <n v="1702.44"/>
    <x v="17"/>
  </r>
  <r>
    <x v="6040"/>
    <n v="1687.13"/>
    <x v="17"/>
  </r>
  <r>
    <x v="6041"/>
    <n v="1696.79"/>
    <x v="17"/>
  </r>
  <r>
    <x v="6042"/>
    <n v="1700.94"/>
    <x v="17"/>
  </r>
  <r>
    <x v="6043"/>
    <n v="1705.35"/>
    <x v="17"/>
  </r>
  <r>
    <x v="6044"/>
    <n v="1707.87"/>
    <x v="17"/>
  </r>
  <r>
    <x v="6045"/>
    <n v="1707.87"/>
    <x v="17"/>
  </r>
  <r>
    <x v="6046"/>
    <n v="1707.87"/>
    <x v="17"/>
  </r>
  <r>
    <x v="6047"/>
    <n v="1684.52"/>
    <x v="17"/>
  </r>
  <r>
    <x v="6048"/>
    <n v="1655.42"/>
    <x v="17"/>
  </r>
  <r>
    <x v="6049"/>
    <n v="1652.41"/>
    <x v="17"/>
  </r>
  <r>
    <x v="6050"/>
    <n v="1670.31"/>
    <x v="17"/>
  </r>
  <r>
    <x v="6051"/>
    <n v="1678.82"/>
    <x v="17"/>
  </r>
  <r>
    <x v="6052"/>
    <n v="1678.82"/>
    <x v="17"/>
  </r>
  <r>
    <x v="6053"/>
    <n v="1678.82"/>
    <x v="17"/>
  </r>
  <r>
    <x v="6054"/>
    <n v="1713.63"/>
    <x v="17"/>
  </r>
  <r>
    <x v="6055"/>
    <n v="1748.04"/>
    <x v="17"/>
  </r>
  <r>
    <x v="6056"/>
    <n v="1783.44"/>
    <x v="17"/>
  </r>
  <r>
    <x v="6057"/>
    <n v="1832.81"/>
    <x v="17"/>
  </r>
  <r>
    <x v="6058"/>
    <n v="1923.02"/>
    <x v="17"/>
  </r>
  <r>
    <x v="6059"/>
    <n v="1923.02"/>
    <x v="17"/>
  </r>
  <r>
    <x v="6060"/>
    <n v="1923.02"/>
    <x v="17"/>
  </r>
  <r>
    <x v="6061"/>
    <n v="1923.02"/>
    <x v="17"/>
  </r>
  <r>
    <x v="6062"/>
    <n v="1915.44"/>
    <x v="17"/>
  </r>
  <r>
    <x v="6063"/>
    <n v="1818.6"/>
    <x v="17"/>
  </r>
  <r>
    <x v="6064"/>
    <n v="1748.43"/>
    <x v="17"/>
  </r>
  <r>
    <x v="6065"/>
    <n v="1748.43"/>
    <x v="17"/>
  </r>
  <r>
    <x v="6066"/>
    <n v="1748.43"/>
    <x v="17"/>
  </r>
  <r>
    <x v="6067"/>
    <n v="1748.43"/>
    <x v="17"/>
  </r>
  <r>
    <x v="6068"/>
    <n v="1719.48"/>
    <x v="17"/>
  </r>
  <r>
    <x v="6069"/>
    <n v="1736.49"/>
    <x v="17"/>
  </r>
  <r>
    <x v="6070"/>
    <n v="1728.74"/>
    <x v="17"/>
  </r>
  <r>
    <x v="6071"/>
    <n v="1768.09"/>
    <x v="17"/>
  </r>
  <r>
    <x v="6072"/>
    <n v="1778.8"/>
    <x v="17"/>
  </r>
  <r>
    <x v="6073"/>
    <n v="1778.8"/>
    <x v="17"/>
  </r>
  <r>
    <x v="6074"/>
    <n v="1778.8"/>
    <x v="17"/>
  </r>
  <r>
    <x v="6075"/>
    <n v="1753.51"/>
    <x v="17"/>
  </r>
  <r>
    <x v="6076"/>
    <n v="1777.17"/>
    <x v="17"/>
  </r>
  <r>
    <x v="6077"/>
    <n v="1768.53"/>
    <x v="17"/>
  </r>
  <r>
    <x v="6078"/>
    <n v="1757.79"/>
    <x v="17"/>
  </r>
  <r>
    <x v="6079"/>
    <n v="1788.24"/>
    <x v="17"/>
  </r>
  <r>
    <x v="6080"/>
    <n v="1788.24"/>
    <x v="17"/>
  </r>
  <r>
    <x v="6081"/>
    <n v="1788.24"/>
    <x v="17"/>
  </r>
  <r>
    <x v="6082"/>
    <n v="1802.01"/>
    <x v="17"/>
  </r>
  <r>
    <x v="6083"/>
    <n v="1797.43"/>
    <x v="17"/>
  </r>
  <r>
    <x v="6084"/>
    <n v="1772.25"/>
    <x v="17"/>
  </r>
  <r>
    <x v="6085"/>
    <n v="1777.1"/>
    <x v="17"/>
  </r>
  <r>
    <x v="6086"/>
    <n v="1785.17"/>
    <x v="17"/>
  </r>
  <r>
    <x v="6087"/>
    <n v="1785.17"/>
    <x v="17"/>
  </r>
  <r>
    <x v="6088"/>
    <n v="1785.17"/>
    <x v="17"/>
  </r>
  <r>
    <x v="6089"/>
    <n v="1764.48"/>
    <x v="17"/>
  </r>
  <r>
    <x v="6090"/>
    <n v="1789.68"/>
    <x v="17"/>
  </r>
  <r>
    <x v="6091"/>
    <n v="1792.24"/>
    <x v="17"/>
  </r>
  <r>
    <x v="6092"/>
    <n v="1800.54"/>
    <x v="17"/>
  </r>
  <r>
    <x v="6093"/>
    <n v="1779.97"/>
    <x v="17"/>
  </r>
  <r>
    <x v="6094"/>
    <n v="1779.97"/>
    <x v="17"/>
  </r>
  <r>
    <x v="6095"/>
    <n v="1779.97"/>
    <x v="17"/>
  </r>
  <r>
    <x v="6096"/>
    <n v="1771.31"/>
    <x v="17"/>
  </r>
  <r>
    <x v="6097"/>
    <n v="1772.16"/>
    <x v="17"/>
  </r>
  <r>
    <x v="6098"/>
    <n v="1782.92"/>
    <x v="17"/>
  </r>
  <r>
    <x v="6099"/>
    <n v="1782.92"/>
    <x v="17"/>
  </r>
  <r>
    <x v="6100"/>
    <n v="1816.25"/>
    <x v="17"/>
  </r>
  <r>
    <x v="6101"/>
    <n v="1816.25"/>
    <x v="17"/>
  </r>
  <r>
    <x v="6102"/>
    <n v="1816.25"/>
    <x v="17"/>
  </r>
  <r>
    <x v="6103"/>
    <n v="1821.76"/>
    <x v="17"/>
  </r>
  <r>
    <x v="6104"/>
    <n v="1836.25"/>
    <x v="17"/>
  </r>
  <r>
    <x v="6105"/>
    <n v="1854.16"/>
    <x v="17"/>
  </r>
  <r>
    <x v="6106"/>
    <n v="1853.45"/>
    <x v="17"/>
  </r>
  <r>
    <x v="6107"/>
    <n v="1882.11"/>
    <x v="17"/>
  </r>
  <r>
    <x v="6108"/>
    <n v="1882.11"/>
    <x v="17"/>
  </r>
  <r>
    <x v="6109"/>
    <n v="1882.11"/>
    <x v="17"/>
  </r>
  <r>
    <x v="6110"/>
    <n v="1882.11"/>
    <x v="17"/>
  </r>
  <r>
    <x v="6111"/>
    <n v="1891.99"/>
    <x v="17"/>
  </r>
  <r>
    <x v="6112"/>
    <n v="1880.69"/>
    <x v="17"/>
  </r>
  <r>
    <x v="6113"/>
    <n v="1864.26"/>
    <x v="17"/>
  </r>
  <r>
    <x v="6114"/>
    <n v="1872.07"/>
    <x v="17"/>
  </r>
  <r>
    <x v="6115"/>
    <n v="1872.07"/>
    <x v="17"/>
  </r>
  <r>
    <x v="6116"/>
    <n v="1872.07"/>
    <x v="17"/>
  </r>
  <r>
    <x v="6117"/>
    <n v="1873.94"/>
    <x v="17"/>
  </r>
  <r>
    <x v="6118"/>
    <n v="1892.06"/>
    <x v="17"/>
  </r>
  <r>
    <x v="6119"/>
    <n v="1887.71"/>
    <x v="17"/>
  </r>
  <r>
    <x v="6120"/>
    <n v="1907.97"/>
    <x v="17"/>
  </r>
  <r>
    <x v="6121"/>
    <n v="1932.2"/>
    <x v="17"/>
  </r>
  <r>
    <x v="6122"/>
    <n v="1932.2"/>
    <x v="17"/>
  </r>
  <r>
    <x v="6123"/>
    <n v="1932.2"/>
    <x v="17"/>
  </r>
  <r>
    <x v="6124"/>
    <n v="1932.2"/>
    <x v="17"/>
  </r>
  <r>
    <x v="6125"/>
    <n v="1975.1"/>
    <x v="17"/>
  </r>
  <r>
    <x v="6126"/>
    <n v="1992.59"/>
    <x v="17"/>
  </r>
  <r>
    <x v="6127"/>
    <n v="2017.53"/>
    <x v="17"/>
  </r>
  <r>
    <x v="6128"/>
    <n v="2041.81"/>
    <x v="17"/>
  </r>
  <r>
    <x v="6129"/>
    <n v="2041.81"/>
    <x v="17"/>
  </r>
  <r>
    <x v="6130"/>
    <n v="2041.81"/>
    <x v="17"/>
  </r>
  <r>
    <x v="6131"/>
    <n v="2031.12"/>
    <x v="17"/>
  </r>
  <r>
    <x v="6132"/>
    <n v="2071.2399999999998"/>
    <x v="17"/>
  </r>
  <r>
    <x v="6133"/>
    <n v="2081.3200000000002"/>
    <x v="17"/>
  </r>
  <r>
    <x v="6134"/>
    <n v="2082.46"/>
    <x v="17"/>
  </r>
  <r>
    <x v="6135"/>
    <n v="2051.5500000000002"/>
    <x v="17"/>
  </r>
  <r>
    <x v="6136"/>
    <n v="2051.5500000000002"/>
    <x v="17"/>
  </r>
  <r>
    <x v="6137"/>
    <n v="2051.5500000000002"/>
    <x v="17"/>
  </r>
  <r>
    <x v="6138"/>
    <n v="2071.29"/>
    <x v="17"/>
  </r>
  <r>
    <x v="6139"/>
    <n v="2109.37"/>
    <x v="17"/>
  </r>
  <r>
    <x v="6140"/>
    <n v="2139.14"/>
    <x v="17"/>
  </r>
  <r>
    <x v="6141"/>
    <n v="2187.0100000000002"/>
    <x v="17"/>
  </r>
  <r>
    <x v="6142"/>
    <n v="2067.4499999999998"/>
    <x v="17"/>
  </r>
  <r>
    <x v="6143"/>
    <n v="2067.4499999999998"/>
    <x v="17"/>
  </r>
  <r>
    <x v="6144"/>
    <n v="2067.4499999999998"/>
    <x v="17"/>
  </r>
  <r>
    <x v="6145"/>
    <n v="2045.85"/>
    <x v="17"/>
  </r>
  <r>
    <x v="6146"/>
    <n v="2077.59"/>
    <x v="17"/>
  </r>
  <r>
    <x v="6147"/>
    <n v="2147.41"/>
    <x v="17"/>
  </r>
  <r>
    <x v="6148"/>
    <n v="2118.31"/>
    <x v="17"/>
  </r>
  <r>
    <x v="6149"/>
    <n v="2105.61"/>
    <x v="17"/>
  </r>
  <r>
    <x v="6150"/>
    <n v="2105.61"/>
    <x v="17"/>
  </r>
  <r>
    <x v="6151"/>
    <n v="2105.61"/>
    <x v="17"/>
  </r>
  <r>
    <x v="6152"/>
    <n v="2174.62"/>
    <x v="17"/>
  </r>
  <r>
    <x v="6153"/>
    <n v="2184.7600000000002"/>
    <x v="17"/>
  </r>
  <r>
    <x v="6154"/>
    <n v="2166.0500000000002"/>
    <x v="17"/>
  </r>
  <r>
    <x v="6155"/>
    <n v="2192.69"/>
    <x v="17"/>
  </r>
  <r>
    <x v="6156"/>
    <n v="2160.08"/>
    <x v="17"/>
  </r>
  <r>
    <x v="6157"/>
    <n v="2160.08"/>
    <x v="17"/>
  </r>
  <r>
    <x v="6158"/>
    <n v="2160.08"/>
    <x v="17"/>
  </r>
  <r>
    <x v="6159"/>
    <n v="2250.73"/>
    <x v="17"/>
  </r>
  <r>
    <x v="6160"/>
    <n v="2261.96"/>
    <x v="17"/>
  </r>
  <r>
    <x v="6161"/>
    <n v="2326.41"/>
    <x v="17"/>
  </r>
  <r>
    <x v="6162"/>
    <n v="2254.2399999999998"/>
    <x v="17"/>
  </r>
  <r>
    <x v="6163"/>
    <n v="2318.63"/>
    <x v="17"/>
  </r>
  <r>
    <x v="6164"/>
    <n v="2318.63"/>
    <x v="17"/>
  </r>
  <r>
    <x v="6165"/>
    <n v="2318.63"/>
    <x v="17"/>
  </r>
  <r>
    <x v="6166"/>
    <n v="2318.63"/>
    <x v="17"/>
  </r>
  <r>
    <x v="6167"/>
    <n v="2223.94"/>
    <x v="17"/>
  </r>
  <r>
    <x v="6168"/>
    <n v="2316.54"/>
    <x v="17"/>
  </r>
  <r>
    <x v="6169"/>
    <n v="2304.6799999999998"/>
    <x v="17"/>
  </r>
  <r>
    <x v="6170"/>
    <n v="2271.98"/>
    <x v="17"/>
  </r>
  <r>
    <x v="6171"/>
    <n v="2271.98"/>
    <x v="17"/>
  </r>
  <r>
    <x v="6172"/>
    <n v="2271.98"/>
    <x v="17"/>
  </r>
  <r>
    <x v="6173"/>
    <n v="2243.4899999999998"/>
    <x v="17"/>
  </r>
  <r>
    <x v="6174"/>
    <n v="2296.3200000000002"/>
    <x v="17"/>
  </r>
  <r>
    <x v="6175"/>
    <n v="2346.4699999999998"/>
    <x v="17"/>
  </r>
  <r>
    <x v="6176"/>
    <n v="2361.0100000000002"/>
    <x v="17"/>
  </r>
  <r>
    <x v="6177"/>
    <n v="2386.48"/>
    <x v="17"/>
  </r>
  <r>
    <x v="6178"/>
    <n v="2386.48"/>
    <x v="17"/>
  </r>
  <r>
    <x v="6179"/>
    <n v="2386.48"/>
    <x v="17"/>
  </r>
  <r>
    <x v="6180"/>
    <n v="2379.2399999999998"/>
    <x v="17"/>
  </r>
  <r>
    <x v="6181"/>
    <n v="2382.31"/>
    <x v="17"/>
  </r>
  <r>
    <x v="6182"/>
    <n v="2374.1"/>
    <x v="17"/>
  </r>
  <r>
    <x v="6183"/>
    <n v="2359.52"/>
    <x v="17"/>
  </r>
  <r>
    <x v="6184"/>
    <n v="2392.2800000000002"/>
    <x v="17"/>
  </r>
  <r>
    <x v="6185"/>
    <n v="2392.2800000000002"/>
    <x v="17"/>
  </r>
  <r>
    <x v="6186"/>
    <n v="2392.2800000000002"/>
    <x v="17"/>
  </r>
  <r>
    <x v="6187"/>
    <n v="2392.2800000000002"/>
    <x v="17"/>
  </r>
  <r>
    <x v="6188"/>
    <n v="2351.56"/>
    <x v="17"/>
  </r>
  <r>
    <x v="6189"/>
    <n v="2327.7800000000002"/>
    <x v="17"/>
  </r>
  <r>
    <x v="6190"/>
    <n v="2342.65"/>
    <x v="17"/>
  </r>
  <r>
    <x v="6191"/>
    <n v="2317.34"/>
    <x v="17"/>
  </r>
  <r>
    <x v="6192"/>
    <n v="2317.34"/>
    <x v="17"/>
  </r>
  <r>
    <x v="6193"/>
    <n v="2317.34"/>
    <x v="17"/>
  </r>
  <r>
    <x v="6194"/>
    <n v="2281.2399999999998"/>
    <x v="17"/>
  </r>
  <r>
    <x v="6195"/>
    <n v="2281.2399999999998"/>
    <x v="17"/>
  </r>
  <r>
    <x v="6196"/>
    <n v="2335.02"/>
    <x v="17"/>
  </r>
  <r>
    <x v="6197"/>
    <n v="2329.8200000000002"/>
    <x v="17"/>
  </r>
  <r>
    <x v="6198"/>
    <n v="2308.65"/>
    <x v="17"/>
  </r>
  <r>
    <x v="6199"/>
    <n v="2308.65"/>
    <x v="17"/>
  </r>
  <r>
    <x v="6200"/>
    <n v="2308.65"/>
    <x v="17"/>
  </r>
  <r>
    <x v="6201"/>
    <n v="2308.65"/>
    <x v="17"/>
  </r>
  <r>
    <x v="6202"/>
    <n v="2329.9"/>
    <x v="17"/>
  </r>
  <r>
    <x v="6203"/>
    <n v="2342.1799999999998"/>
    <x v="17"/>
  </r>
  <r>
    <x v="6204"/>
    <n v="2359.2600000000002"/>
    <x v="17"/>
  </r>
  <r>
    <x v="6205"/>
    <n v="2355.71"/>
    <x v="17"/>
  </r>
  <r>
    <x v="6206"/>
    <n v="2355.71"/>
    <x v="17"/>
  </r>
  <r>
    <x v="6207"/>
    <n v="2355.71"/>
    <x v="17"/>
  </r>
  <r>
    <x v="6208"/>
    <n v="2314.7199999999998"/>
    <x v="17"/>
  </r>
  <r>
    <x v="6209"/>
    <n v="2307.37"/>
    <x v="17"/>
  </r>
  <r>
    <x v="6210"/>
    <n v="2324.1"/>
    <x v="17"/>
  </r>
  <r>
    <x v="6211"/>
    <n v="2324.1"/>
    <x v="17"/>
  </r>
  <r>
    <x v="6212"/>
    <n v="2318"/>
    <x v="17"/>
  </r>
  <r>
    <x v="6213"/>
    <n v="2318"/>
    <x v="17"/>
  </r>
  <r>
    <x v="6214"/>
    <n v="2318"/>
    <x v="17"/>
  </r>
  <r>
    <x v="6215"/>
    <n v="2320.12"/>
    <x v="17"/>
  </r>
  <r>
    <x v="6216"/>
    <n v="2315.35"/>
    <x v="17"/>
  </r>
  <r>
    <x v="6217"/>
    <n v="2317.48"/>
    <x v="17"/>
  </r>
  <r>
    <x v="6218"/>
    <n v="2323.2800000000002"/>
    <x v="17"/>
  </r>
  <r>
    <x v="6219"/>
    <n v="2333.54"/>
    <x v="17"/>
  </r>
  <r>
    <x v="6220"/>
    <n v="2333.54"/>
    <x v="17"/>
  </r>
  <r>
    <x v="6221"/>
    <n v="2333.54"/>
    <x v="17"/>
  </r>
  <r>
    <x v="6222"/>
    <n v="2333.54"/>
    <x v="17"/>
  </r>
  <r>
    <x v="6223"/>
    <n v="2311.6999999999998"/>
    <x v="17"/>
  </r>
  <r>
    <x v="6224"/>
    <n v="2302.9299999999998"/>
    <x v="17"/>
  </r>
  <r>
    <x v="6225"/>
    <n v="2278.29"/>
    <x v="17"/>
  </r>
  <r>
    <x v="6226"/>
    <n v="2273.2399999999998"/>
    <x v="17"/>
  </r>
  <r>
    <x v="6227"/>
    <n v="2273.2399999999998"/>
    <x v="17"/>
  </r>
  <r>
    <x v="6228"/>
    <n v="2273.2399999999998"/>
    <x v="17"/>
  </r>
  <r>
    <x v="6229"/>
    <n v="2254.5"/>
    <x v="17"/>
  </r>
  <r>
    <x v="6230"/>
    <n v="2223.3000000000002"/>
    <x v="17"/>
  </r>
  <r>
    <x v="6231"/>
    <n v="2173.86"/>
    <x v="17"/>
  </r>
  <r>
    <x v="6232"/>
    <n v="2163.14"/>
    <x v="17"/>
  </r>
  <r>
    <x v="6233"/>
    <n v="2167.35"/>
    <x v="17"/>
  </r>
  <r>
    <x v="6234"/>
    <n v="2167.35"/>
    <x v="17"/>
  </r>
  <r>
    <x v="6235"/>
    <n v="2167.35"/>
    <x v="17"/>
  </r>
  <r>
    <x v="6236"/>
    <n v="2169.83"/>
    <x v="17"/>
  </r>
  <r>
    <x v="6237"/>
    <n v="2180.4899999999998"/>
    <x v="17"/>
  </r>
  <r>
    <x v="6238"/>
    <n v="2198.09"/>
    <x v="17"/>
  </r>
  <r>
    <x v="6239"/>
    <n v="2198.09"/>
    <x v="17"/>
  </r>
  <r>
    <x v="6240"/>
    <n v="2204.9499999999998"/>
    <x v="17"/>
  </r>
  <r>
    <x v="6241"/>
    <n v="2204.9499999999998"/>
    <x v="17"/>
  </r>
  <r>
    <x v="6242"/>
    <n v="2204.9499999999998"/>
    <x v="17"/>
  </r>
  <r>
    <x v="6243"/>
    <n v="2234"/>
    <x v="17"/>
  </r>
  <r>
    <x v="6244"/>
    <n v="2243.59"/>
    <x v="17"/>
  </r>
  <r>
    <x v="6245"/>
    <n v="2243.59"/>
    <x v="18"/>
  </r>
  <r>
    <x v="6246"/>
    <n v="2243.59"/>
    <x v="18"/>
  </r>
  <r>
    <x v="6247"/>
    <n v="2234.81"/>
    <x v="18"/>
  </r>
  <r>
    <x v="6248"/>
    <n v="2234.81"/>
    <x v="18"/>
  </r>
  <r>
    <x v="6249"/>
    <n v="2234.81"/>
    <x v="18"/>
  </r>
  <r>
    <x v="6250"/>
    <n v="2227.2399999999998"/>
    <x v="18"/>
  </r>
  <r>
    <x v="6251"/>
    <n v="2197.7199999999998"/>
    <x v="18"/>
  </r>
  <r>
    <x v="6252"/>
    <n v="2214.13"/>
    <x v="18"/>
  </r>
  <r>
    <x v="6253"/>
    <n v="2220.8200000000002"/>
    <x v="18"/>
  </r>
  <r>
    <x v="6254"/>
    <n v="2216.23"/>
    <x v="18"/>
  </r>
  <r>
    <x v="6255"/>
    <n v="2216.23"/>
    <x v="18"/>
  </r>
  <r>
    <x v="6256"/>
    <n v="2216.23"/>
    <x v="18"/>
  </r>
  <r>
    <x v="6257"/>
    <n v="2216.23"/>
    <x v="18"/>
  </r>
  <r>
    <x v="6258"/>
    <n v="2226.87"/>
    <x v="18"/>
  </r>
  <r>
    <x v="6259"/>
    <n v="2234.4"/>
    <x v="18"/>
  </r>
  <r>
    <x v="6260"/>
    <n v="2249.64"/>
    <x v="18"/>
  </r>
  <r>
    <x v="6261"/>
    <n v="2227.6799999999998"/>
    <x v="18"/>
  </r>
  <r>
    <x v="6262"/>
    <n v="2227.6799999999998"/>
    <x v="18"/>
  </r>
  <r>
    <x v="6263"/>
    <n v="2227.6799999999998"/>
    <x v="18"/>
  </r>
  <r>
    <x v="6264"/>
    <n v="2227.6799999999998"/>
    <x v="18"/>
  </r>
  <r>
    <x v="6265"/>
    <n v="2245.2800000000002"/>
    <x v="18"/>
  </r>
  <r>
    <x v="6266"/>
    <n v="2245.9699999999998"/>
    <x v="18"/>
  </r>
  <r>
    <x v="6267"/>
    <n v="2247.87"/>
    <x v="18"/>
  </r>
  <r>
    <x v="6268"/>
    <n v="2280.77"/>
    <x v="18"/>
  </r>
  <r>
    <x v="6269"/>
    <n v="2280.77"/>
    <x v="18"/>
  </r>
  <r>
    <x v="6270"/>
    <n v="2280.77"/>
    <x v="18"/>
  </r>
  <r>
    <x v="6271"/>
    <n v="2280.4299999999998"/>
    <x v="18"/>
  </r>
  <r>
    <x v="6272"/>
    <n v="2310.83"/>
    <x v="18"/>
  </r>
  <r>
    <x v="6273"/>
    <n v="2341.09"/>
    <x v="18"/>
  </r>
  <r>
    <x v="6274"/>
    <n v="2386.58"/>
    <x v="18"/>
  </r>
  <r>
    <x v="6275"/>
    <n v="2420.2600000000002"/>
    <x v="18"/>
  </r>
  <r>
    <x v="6276"/>
    <n v="2420.2600000000002"/>
    <x v="18"/>
  </r>
  <r>
    <x v="6277"/>
    <n v="2420.2600000000002"/>
    <x v="18"/>
  </r>
  <r>
    <x v="6278"/>
    <n v="2450.7800000000002"/>
    <x v="18"/>
  </r>
  <r>
    <x v="6279"/>
    <n v="2443.67"/>
    <x v="18"/>
  </r>
  <r>
    <x v="6280"/>
    <n v="2469.02"/>
    <x v="18"/>
  </r>
  <r>
    <x v="6281"/>
    <n v="2472.65"/>
    <x v="18"/>
  </r>
  <r>
    <x v="6282"/>
    <n v="2449.4899999999998"/>
    <x v="18"/>
  </r>
  <r>
    <x v="6283"/>
    <n v="2449.4899999999998"/>
    <x v="18"/>
  </r>
  <r>
    <x v="6284"/>
    <n v="2449.4899999999998"/>
    <x v="18"/>
  </r>
  <r>
    <x v="6285"/>
    <n v="2450.6"/>
    <x v="18"/>
  </r>
  <r>
    <x v="6286"/>
    <n v="2494.0700000000002"/>
    <x v="18"/>
  </r>
  <r>
    <x v="6287"/>
    <n v="2537.8200000000002"/>
    <x v="18"/>
  </r>
  <r>
    <x v="6288"/>
    <n v="2520.06"/>
    <x v="18"/>
  </r>
  <r>
    <x v="6289"/>
    <n v="2509.5"/>
    <x v="18"/>
  </r>
  <r>
    <x v="6290"/>
    <n v="2509.5"/>
    <x v="18"/>
  </r>
  <r>
    <x v="6291"/>
    <n v="2509.5"/>
    <x v="18"/>
  </r>
  <r>
    <x v="6292"/>
    <n v="2509.5"/>
    <x v="18"/>
  </r>
  <r>
    <x v="6293"/>
    <n v="2554.4"/>
    <x v="18"/>
  </r>
  <r>
    <x v="6294"/>
    <n v="2558.14"/>
    <x v="18"/>
  </r>
  <r>
    <x v="6295"/>
    <n v="2547.4"/>
    <x v="18"/>
  </r>
  <r>
    <x v="6296"/>
    <n v="2588.31"/>
    <x v="18"/>
  </r>
  <r>
    <x v="6297"/>
    <n v="2588.31"/>
    <x v="18"/>
  </r>
  <r>
    <x v="6298"/>
    <n v="2588.31"/>
    <x v="18"/>
  </r>
  <r>
    <x v="6299"/>
    <n v="2572.3000000000002"/>
    <x v="18"/>
  </r>
  <r>
    <x v="6300"/>
    <n v="2596.37"/>
    <x v="18"/>
  </r>
  <r>
    <x v="6301"/>
    <n v="2575.5"/>
    <x v="18"/>
  </r>
  <r>
    <x v="6302"/>
    <n v="2555.0500000000002"/>
    <x v="18"/>
  </r>
  <r>
    <x v="6303"/>
    <n v="2555.89"/>
    <x v="18"/>
  </r>
  <r>
    <x v="6304"/>
    <n v="2555.89"/>
    <x v="18"/>
  </r>
  <r>
    <x v="6305"/>
    <n v="2555.89"/>
    <x v="18"/>
  </r>
  <r>
    <x v="6306"/>
    <n v="2590.9699999999998"/>
    <x v="18"/>
  </r>
  <r>
    <x v="6307"/>
    <n v="2588.96"/>
    <x v="18"/>
  </r>
  <r>
    <x v="6308"/>
    <n v="2589.48"/>
    <x v="18"/>
  </r>
  <r>
    <x v="6309"/>
    <n v="2572.92"/>
    <x v="18"/>
  </r>
  <r>
    <x v="6310"/>
    <n v="2548.5700000000002"/>
    <x v="18"/>
  </r>
  <r>
    <x v="6311"/>
    <n v="2548.5700000000002"/>
    <x v="18"/>
  </r>
  <r>
    <x v="6312"/>
    <n v="2548.5700000000002"/>
    <x v="18"/>
  </r>
  <r>
    <x v="6313"/>
    <n v="2559.36"/>
    <x v="18"/>
  </r>
  <r>
    <x v="6314"/>
    <n v="2525.06"/>
    <x v="18"/>
  </r>
  <r>
    <x v="6315"/>
    <n v="2506.73"/>
    <x v="18"/>
  </r>
  <r>
    <x v="6316"/>
    <n v="2481.2600000000002"/>
    <x v="18"/>
  </r>
  <r>
    <x v="6317"/>
    <n v="2445.3000000000002"/>
    <x v="18"/>
  </r>
  <r>
    <x v="6318"/>
    <n v="2445.3000000000002"/>
    <x v="18"/>
  </r>
  <r>
    <x v="6319"/>
    <n v="2445.3000000000002"/>
    <x v="18"/>
  </r>
  <r>
    <x v="6320"/>
    <n v="2390.96"/>
    <x v="18"/>
  </r>
  <r>
    <x v="6321"/>
    <n v="2390.98"/>
    <x v="18"/>
  </r>
  <r>
    <x v="6322"/>
    <n v="2383.15"/>
    <x v="18"/>
  </r>
  <r>
    <x v="6323"/>
    <n v="2335.29"/>
    <x v="18"/>
  </r>
  <r>
    <x v="6324"/>
    <n v="2340.83"/>
    <x v="18"/>
  </r>
  <r>
    <x v="6325"/>
    <n v="2340.83"/>
    <x v="18"/>
  </r>
  <r>
    <x v="6326"/>
    <n v="2340.83"/>
    <x v="18"/>
  </r>
  <r>
    <x v="6327"/>
    <n v="2340.83"/>
    <x v="18"/>
  </r>
  <r>
    <x v="6328"/>
    <n v="2353.21"/>
    <x v="18"/>
  </r>
  <r>
    <x v="6329"/>
    <n v="2379.94"/>
    <x v="18"/>
  </r>
  <r>
    <x v="6330"/>
    <n v="2435.81"/>
    <x v="18"/>
  </r>
  <r>
    <x v="6331"/>
    <n v="2485.56"/>
    <x v="18"/>
  </r>
  <r>
    <x v="6332"/>
    <n v="2485.56"/>
    <x v="18"/>
  </r>
  <r>
    <x v="6333"/>
    <n v="2485.56"/>
    <x v="18"/>
  </r>
  <r>
    <x v="6334"/>
    <n v="2561.21"/>
    <x v="18"/>
  </r>
  <r>
    <x v="6335"/>
    <n v="2544.2399999999998"/>
    <x v="18"/>
  </r>
  <r>
    <x v="6336"/>
    <n v="2534.9899999999998"/>
    <x v="18"/>
  </r>
  <r>
    <x v="6337"/>
    <n v="2451.7199999999998"/>
    <x v="18"/>
  </r>
  <r>
    <x v="6338"/>
    <n v="2422.71"/>
    <x v="18"/>
  </r>
  <r>
    <x v="6339"/>
    <n v="2422.71"/>
    <x v="18"/>
  </r>
  <r>
    <x v="6340"/>
    <n v="2422.71"/>
    <x v="18"/>
  </r>
  <r>
    <x v="6341"/>
    <n v="2408.42"/>
    <x v="18"/>
  </r>
  <r>
    <x v="6342"/>
    <n v="2416.63"/>
    <x v="18"/>
  </r>
  <r>
    <x v="6343"/>
    <n v="2388.11"/>
    <x v="18"/>
  </r>
  <r>
    <x v="6344"/>
    <n v="2388.11"/>
    <x v="18"/>
  </r>
  <r>
    <x v="6345"/>
    <n v="2388.11"/>
    <x v="18"/>
  </r>
  <r>
    <x v="6346"/>
    <n v="2388.11"/>
    <x v="18"/>
  </r>
  <r>
    <x v="6347"/>
    <n v="2388.11"/>
    <x v="18"/>
  </r>
  <r>
    <x v="6348"/>
    <n v="2392.2199999999998"/>
    <x v="18"/>
  </r>
  <r>
    <x v="6349"/>
    <n v="2394.27"/>
    <x v="18"/>
  </r>
  <r>
    <x v="6350"/>
    <n v="2380.69"/>
    <x v="18"/>
  </r>
  <r>
    <x v="6351"/>
    <n v="2344.98"/>
    <x v="18"/>
  </r>
  <r>
    <x v="6352"/>
    <n v="2343.34"/>
    <x v="18"/>
  </r>
  <r>
    <x v="6353"/>
    <n v="2343.34"/>
    <x v="18"/>
  </r>
  <r>
    <x v="6354"/>
    <n v="2343.34"/>
    <x v="18"/>
  </r>
  <r>
    <x v="6355"/>
    <n v="2376.38"/>
    <x v="18"/>
  </r>
  <r>
    <x v="6356"/>
    <n v="2338.6"/>
    <x v="18"/>
  </r>
  <r>
    <x v="6357"/>
    <n v="2318.83"/>
    <x v="18"/>
  </r>
  <r>
    <x v="6358"/>
    <n v="2300.7399999999998"/>
    <x v="18"/>
  </r>
  <r>
    <x v="6359"/>
    <n v="2283.1999999999998"/>
    <x v="18"/>
  </r>
  <r>
    <x v="6360"/>
    <n v="2283.1999999999998"/>
    <x v="18"/>
  </r>
  <r>
    <x v="6361"/>
    <n v="2283.1999999999998"/>
    <x v="18"/>
  </r>
  <r>
    <x v="6362"/>
    <n v="2325.02"/>
    <x v="18"/>
  </r>
  <r>
    <x v="6363"/>
    <n v="2332.4699999999998"/>
    <x v="18"/>
  </r>
  <r>
    <x v="6364"/>
    <n v="2289.73"/>
    <x v="18"/>
  </r>
  <r>
    <x v="6365"/>
    <n v="2288.64"/>
    <x v="18"/>
  </r>
  <r>
    <x v="6366"/>
    <n v="2288.64"/>
    <x v="18"/>
  </r>
  <r>
    <x v="6367"/>
    <n v="2288.64"/>
    <x v="18"/>
  </r>
  <r>
    <x v="6368"/>
    <n v="2288.64"/>
    <x v="18"/>
  </r>
  <r>
    <x v="6369"/>
    <n v="2272.5500000000002"/>
    <x v="18"/>
  </r>
  <r>
    <x v="6370"/>
    <n v="2256.9899999999998"/>
    <x v="18"/>
  </r>
  <r>
    <x v="6371"/>
    <n v="2233.5"/>
    <x v="18"/>
  </r>
  <r>
    <x v="6372"/>
    <n v="2208.98"/>
    <x v="18"/>
  </r>
  <r>
    <x v="6373"/>
    <n v="2210.35"/>
    <x v="18"/>
  </r>
  <r>
    <x v="6374"/>
    <n v="2210.35"/>
    <x v="18"/>
  </r>
  <r>
    <x v="6375"/>
    <n v="2210.35"/>
    <x v="18"/>
  </r>
  <r>
    <x v="6376"/>
    <n v="2220.92"/>
    <x v="18"/>
  </r>
  <r>
    <x v="6377"/>
    <n v="2221.4"/>
    <x v="18"/>
  </r>
  <r>
    <x v="6378"/>
    <n v="2257.36"/>
    <x v="18"/>
  </r>
  <r>
    <x v="6379"/>
    <n v="2251.5300000000002"/>
    <x v="18"/>
  </r>
  <r>
    <x v="6380"/>
    <n v="2252.8000000000002"/>
    <x v="18"/>
  </r>
  <r>
    <x v="6381"/>
    <n v="2252.8000000000002"/>
    <x v="18"/>
  </r>
  <r>
    <x v="6382"/>
    <n v="2252.8000000000002"/>
    <x v="18"/>
  </r>
  <r>
    <x v="6383"/>
    <n v="2255.2199999999998"/>
    <x v="18"/>
  </r>
  <r>
    <x v="6384"/>
    <n v="2221.27"/>
    <x v="18"/>
  </r>
  <r>
    <x v="6385"/>
    <n v="2196.21"/>
    <x v="18"/>
  </r>
  <r>
    <x v="6386"/>
    <n v="2206.6"/>
    <x v="18"/>
  </r>
  <r>
    <x v="6387"/>
    <n v="2201.44"/>
    <x v="18"/>
  </r>
  <r>
    <x v="6388"/>
    <n v="2201.44"/>
    <x v="18"/>
  </r>
  <r>
    <x v="6389"/>
    <n v="2201.44"/>
    <x v="18"/>
  </r>
  <r>
    <x v="6390"/>
    <n v="2201.44"/>
    <x v="18"/>
  </r>
  <r>
    <x v="6391"/>
    <n v="2213.89"/>
    <x v="18"/>
  </r>
  <r>
    <x v="6392"/>
    <n v="2208.89"/>
    <x v="18"/>
  </r>
  <r>
    <x v="6393"/>
    <n v="2190.4499999999998"/>
    <x v="18"/>
  </r>
  <r>
    <x v="6394"/>
    <n v="2140.66"/>
    <x v="18"/>
  </r>
  <r>
    <x v="6395"/>
    <n v="2140.66"/>
    <x v="18"/>
  </r>
  <r>
    <x v="6396"/>
    <n v="2140.66"/>
    <x v="18"/>
  </r>
  <r>
    <x v="6397"/>
    <n v="2109.42"/>
    <x v="18"/>
  </r>
  <r>
    <x v="6398"/>
    <n v="2077.02"/>
    <x v="18"/>
  </r>
  <r>
    <x v="6399"/>
    <n v="2073.5500000000002"/>
    <x v="18"/>
  </r>
  <r>
    <x v="6400"/>
    <n v="2072"/>
    <x v="18"/>
  </r>
  <r>
    <x v="6401"/>
    <n v="2063.1"/>
    <x v="18"/>
  </r>
  <r>
    <x v="6402"/>
    <n v="2063.1"/>
    <x v="18"/>
  </r>
  <r>
    <x v="6403"/>
    <n v="2063.1"/>
    <x v="18"/>
  </r>
  <r>
    <x v="6404"/>
    <n v="2091.1"/>
    <x v="18"/>
  </r>
  <r>
    <x v="6405"/>
    <n v="2060.1799999999998"/>
    <x v="18"/>
  </r>
  <r>
    <x v="6406"/>
    <n v="2042.19"/>
    <x v="18"/>
  </r>
  <r>
    <x v="6407"/>
    <n v="2026.17"/>
    <x v="18"/>
  </r>
  <r>
    <x v="6408"/>
    <n v="2015.4"/>
    <x v="18"/>
  </r>
  <r>
    <x v="6409"/>
    <n v="2015.4"/>
    <x v="18"/>
  </r>
  <r>
    <x v="6410"/>
    <n v="2015.4"/>
    <x v="18"/>
  </r>
  <r>
    <x v="6411"/>
    <n v="2015.4"/>
    <x v="18"/>
  </r>
  <r>
    <x v="6412"/>
    <n v="2014.91"/>
    <x v="18"/>
  </r>
  <r>
    <x v="6413"/>
    <n v="2071.29"/>
    <x v="18"/>
  </r>
  <r>
    <x v="6414"/>
    <n v="2074.7199999999998"/>
    <x v="18"/>
  </r>
  <r>
    <x v="6415"/>
    <n v="2108.1999999999998"/>
    <x v="18"/>
  </r>
  <r>
    <x v="6416"/>
    <n v="2108.1999999999998"/>
    <x v="18"/>
  </r>
  <r>
    <x v="6417"/>
    <n v="2108.1999999999998"/>
    <x v="18"/>
  </r>
  <r>
    <x v="6418"/>
    <n v="2108.1999999999998"/>
    <x v="18"/>
  </r>
  <r>
    <x v="6419"/>
    <n v="2165"/>
    <x v="18"/>
  </r>
  <r>
    <x v="6420"/>
    <n v="2158.7199999999998"/>
    <x v="18"/>
  </r>
  <r>
    <x v="6421"/>
    <n v="2188.5"/>
    <x v="18"/>
  </r>
  <r>
    <x v="6422"/>
    <n v="2158.67"/>
    <x v="18"/>
  </r>
  <r>
    <x v="6423"/>
    <n v="2158.67"/>
    <x v="18"/>
  </r>
  <r>
    <x v="6424"/>
    <n v="2158.67"/>
    <x v="18"/>
  </r>
  <r>
    <x v="6425"/>
    <n v="2158.67"/>
    <x v="18"/>
  </r>
  <r>
    <x v="6426"/>
    <n v="2145.21"/>
    <x v="18"/>
  </r>
  <r>
    <x v="6427"/>
    <n v="2111.71"/>
    <x v="18"/>
  </r>
  <r>
    <x v="6428"/>
    <n v="2096.23"/>
    <x v="18"/>
  </r>
  <r>
    <x v="6429"/>
    <n v="2086.36"/>
    <x v="18"/>
  </r>
  <r>
    <x v="6430"/>
    <n v="2086.36"/>
    <x v="18"/>
  </r>
  <r>
    <x v="6431"/>
    <n v="2086.36"/>
    <x v="18"/>
  </r>
  <r>
    <x v="6432"/>
    <n v="2109.08"/>
    <x v="18"/>
  </r>
  <r>
    <x v="6433"/>
    <n v="2090.35"/>
    <x v="18"/>
  </r>
  <r>
    <x v="6434"/>
    <n v="2108.1999999999998"/>
    <x v="18"/>
  </r>
  <r>
    <x v="6435"/>
    <n v="2105.36"/>
    <x v="18"/>
  </r>
  <r>
    <x v="6436"/>
    <n v="2116.9899999999998"/>
    <x v="18"/>
  </r>
  <r>
    <x v="6437"/>
    <n v="2116.9899999999998"/>
    <x v="18"/>
  </r>
  <r>
    <x v="6438"/>
    <n v="2116.9899999999998"/>
    <x v="18"/>
  </r>
  <r>
    <x v="6439"/>
    <n v="2085.7399999999998"/>
    <x v="18"/>
  </r>
  <r>
    <x v="6440"/>
    <n v="2054.19"/>
    <x v="18"/>
  </r>
  <r>
    <x v="6441"/>
    <n v="2018.93"/>
    <x v="18"/>
  </r>
  <r>
    <x v="6442"/>
    <n v="2025.71"/>
    <x v="18"/>
  </r>
  <r>
    <x v="6443"/>
    <n v="2006.82"/>
    <x v="18"/>
  </r>
  <r>
    <x v="6444"/>
    <n v="2006.82"/>
    <x v="18"/>
  </r>
  <r>
    <x v="6445"/>
    <n v="2006.82"/>
    <x v="18"/>
  </r>
  <r>
    <x v="6446"/>
    <n v="2006.82"/>
    <x v="18"/>
  </r>
  <r>
    <x v="6447"/>
    <n v="1986.35"/>
    <x v="18"/>
  </r>
  <r>
    <x v="6448"/>
    <n v="1975.05"/>
    <x v="18"/>
  </r>
  <r>
    <x v="6449"/>
    <n v="1953.12"/>
    <x v="18"/>
  </r>
  <r>
    <x v="6450"/>
    <n v="1970.11"/>
    <x v="18"/>
  </r>
  <r>
    <x v="6451"/>
    <n v="1970.11"/>
    <x v="18"/>
  </r>
  <r>
    <x v="6452"/>
    <n v="1970.11"/>
    <x v="18"/>
  </r>
  <r>
    <x v="6453"/>
    <n v="1982.43"/>
    <x v="18"/>
  </r>
  <r>
    <x v="6454"/>
    <n v="2013.82"/>
    <x v="18"/>
  </r>
  <r>
    <x v="6455"/>
    <n v="2073.92"/>
    <x v="18"/>
  </r>
  <r>
    <x v="6456"/>
    <n v="2043.37"/>
    <x v="18"/>
  </r>
  <r>
    <x v="6457"/>
    <n v="2040.95"/>
    <x v="18"/>
  </r>
  <r>
    <x v="6458"/>
    <n v="2040.95"/>
    <x v="18"/>
  </r>
  <r>
    <x v="6459"/>
    <n v="2040.95"/>
    <x v="18"/>
  </r>
  <r>
    <x v="6460"/>
    <n v="2008.96"/>
    <x v="18"/>
  </r>
  <r>
    <x v="6461"/>
    <n v="1992.98"/>
    <x v="18"/>
  </r>
  <r>
    <x v="6462"/>
    <n v="1987.84"/>
    <x v="18"/>
  </r>
  <r>
    <x v="6463"/>
    <n v="1997.01"/>
    <x v="18"/>
  </r>
  <r>
    <x v="6464"/>
    <n v="1997.01"/>
    <x v="18"/>
  </r>
  <r>
    <x v="6465"/>
    <n v="1997.01"/>
    <x v="18"/>
  </r>
  <r>
    <x v="6466"/>
    <n v="1997.01"/>
    <x v="18"/>
  </r>
  <r>
    <x v="6467"/>
    <n v="2022.56"/>
    <x v="18"/>
  </r>
  <r>
    <x v="6468"/>
    <n v="2050.4499999999998"/>
    <x v="18"/>
  </r>
  <r>
    <x v="6469"/>
    <n v="2026.45"/>
    <x v="18"/>
  </r>
  <r>
    <x v="6470"/>
    <n v="1999.98"/>
    <x v="18"/>
  </r>
  <r>
    <x v="6471"/>
    <n v="2016.09"/>
    <x v="18"/>
  </r>
  <r>
    <x v="6472"/>
    <n v="2016.09"/>
    <x v="18"/>
  </r>
  <r>
    <x v="6473"/>
    <n v="2016.09"/>
    <x v="18"/>
  </r>
  <r>
    <x v="6474"/>
    <n v="2016.09"/>
    <x v="18"/>
  </r>
  <r>
    <x v="6475"/>
    <n v="2037.1"/>
    <x v="18"/>
  </r>
  <r>
    <x v="6476"/>
    <n v="2041.91"/>
    <x v="18"/>
  </r>
  <r>
    <x v="6477"/>
    <n v="2012.67"/>
    <x v="18"/>
  </r>
  <r>
    <x v="6478"/>
    <n v="1997.31"/>
    <x v="18"/>
  </r>
  <r>
    <x v="6479"/>
    <n v="1997.31"/>
    <x v="18"/>
  </r>
  <r>
    <x v="6480"/>
    <n v="1997.31"/>
    <x v="18"/>
  </r>
  <r>
    <x v="6481"/>
    <n v="1997.44"/>
    <x v="18"/>
  </r>
  <r>
    <x v="6482"/>
    <n v="2007.2"/>
    <x v="18"/>
  </r>
  <r>
    <x v="6483"/>
    <n v="2044.79"/>
    <x v="18"/>
  </r>
  <r>
    <x v="6484"/>
    <n v="2043.65"/>
    <x v="18"/>
  </r>
  <r>
    <x v="6485"/>
    <n v="2035"/>
    <x v="18"/>
  </r>
  <r>
    <x v="6486"/>
    <n v="2035"/>
    <x v="18"/>
  </r>
  <r>
    <x v="6487"/>
    <n v="2035"/>
    <x v="18"/>
  </r>
  <r>
    <x v="6488"/>
    <n v="2057.81"/>
    <x v="18"/>
  </r>
  <r>
    <x v="6489"/>
    <n v="2068.96"/>
    <x v="18"/>
  </r>
  <r>
    <x v="6490"/>
    <n v="2065.73"/>
    <x v="18"/>
  </r>
  <r>
    <x v="6491"/>
    <n v="2029.75"/>
    <x v="18"/>
  </r>
  <r>
    <x v="6492"/>
    <n v="2018.72"/>
    <x v="18"/>
  </r>
  <r>
    <x v="6493"/>
    <n v="2018.72"/>
    <x v="18"/>
  </r>
  <r>
    <x v="6494"/>
    <n v="2018.72"/>
    <x v="18"/>
  </r>
  <r>
    <x v="6495"/>
    <n v="2018.72"/>
    <x v="18"/>
  </r>
  <r>
    <x v="6496"/>
    <n v="1994.44"/>
    <x v="18"/>
  </r>
  <r>
    <x v="6497"/>
    <n v="1998.17"/>
    <x v="18"/>
  </r>
  <r>
    <x v="6498"/>
    <n v="2008.95"/>
    <x v="18"/>
  </r>
  <r>
    <x v="6499"/>
    <n v="1985.38"/>
    <x v="18"/>
  </r>
  <r>
    <x v="6500"/>
    <n v="1985.38"/>
    <x v="18"/>
  </r>
  <r>
    <x v="6501"/>
    <n v="1985.38"/>
    <x v="18"/>
  </r>
  <r>
    <x v="6502"/>
    <n v="1998.99"/>
    <x v="18"/>
  </r>
  <r>
    <x v="6503"/>
    <n v="1986.86"/>
    <x v="18"/>
  </r>
  <r>
    <x v="6504"/>
    <n v="1960.76"/>
    <x v="18"/>
  </r>
  <r>
    <x v="6505"/>
    <n v="1962.6"/>
    <x v="18"/>
  </r>
  <r>
    <x v="6506"/>
    <n v="1951.38"/>
    <x v="18"/>
  </r>
  <r>
    <x v="6507"/>
    <n v="1951.38"/>
    <x v="18"/>
  </r>
  <r>
    <x v="6508"/>
    <n v="1951.38"/>
    <x v="18"/>
  </r>
  <r>
    <x v="6509"/>
    <n v="1950.77"/>
    <x v="18"/>
  </r>
  <r>
    <x v="6510"/>
    <n v="1914.47"/>
    <x v="18"/>
  </r>
  <r>
    <x v="6511"/>
    <n v="1911.66"/>
    <x v="18"/>
  </r>
  <r>
    <x v="6512"/>
    <n v="1922.5"/>
    <x v="18"/>
  </r>
  <r>
    <x v="6513"/>
    <n v="1926.59"/>
    <x v="18"/>
  </r>
  <r>
    <x v="6514"/>
    <n v="1926.59"/>
    <x v="18"/>
  </r>
  <r>
    <x v="6515"/>
    <n v="1926.59"/>
    <x v="18"/>
  </r>
  <r>
    <x v="6516"/>
    <n v="1921.64"/>
    <x v="18"/>
  </r>
  <r>
    <x v="6517"/>
    <n v="1922"/>
    <x v="18"/>
  </r>
  <r>
    <x v="6518"/>
    <n v="1925.49"/>
    <x v="18"/>
  </r>
  <r>
    <x v="6519"/>
    <n v="1918.87"/>
    <x v="18"/>
  </r>
  <r>
    <x v="6520"/>
    <n v="1919.75"/>
    <x v="18"/>
  </r>
  <r>
    <x v="6521"/>
    <n v="1919.75"/>
    <x v="18"/>
  </r>
  <r>
    <x v="6522"/>
    <n v="1919.75"/>
    <x v="18"/>
  </r>
  <r>
    <x v="6523"/>
    <n v="1925.57"/>
    <x v="18"/>
  </r>
  <r>
    <x v="6524"/>
    <n v="1906.59"/>
    <x v="18"/>
  </r>
  <r>
    <x v="6525"/>
    <n v="1897.31"/>
    <x v="18"/>
  </r>
  <r>
    <x v="6526"/>
    <n v="1870.96"/>
    <x v="18"/>
  </r>
  <r>
    <x v="6527"/>
    <n v="1857.21"/>
    <x v="18"/>
  </r>
  <r>
    <x v="6528"/>
    <n v="1857.21"/>
    <x v="18"/>
  </r>
  <r>
    <x v="6529"/>
    <n v="1857.21"/>
    <x v="18"/>
  </r>
  <r>
    <x v="6530"/>
    <n v="1857.21"/>
    <x v="18"/>
  </r>
  <r>
    <x v="6531"/>
    <n v="1825.68"/>
    <x v="18"/>
  </r>
  <r>
    <x v="6532"/>
    <n v="1830.38"/>
    <x v="18"/>
  </r>
  <r>
    <x v="6533"/>
    <n v="1838.26"/>
    <x v="18"/>
  </r>
  <r>
    <x v="6534"/>
    <n v="1843.81"/>
    <x v="18"/>
  </r>
  <r>
    <x v="6535"/>
    <n v="1843.81"/>
    <x v="18"/>
  </r>
  <r>
    <x v="6536"/>
    <n v="1843.81"/>
    <x v="18"/>
  </r>
  <r>
    <x v="6537"/>
    <n v="1858.4"/>
    <x v="18"/>
  </r>
  <r>
    <x v="6538"/>
    <n v="1913.98"/>
    <x v="18"/>
  </r>
  <r>
    <x v="6539"/>
    <n v="1910.04"/>
    <x v="18"/>
  </r>
  <r>
    <x v="6540"/>
    <n v="1914.89"/>
    <x v="18"/>
  </r>
  <r>
    <x v="6541"/>
    <n v="1924.35"/>
    <x v="18"/>
  </r>
  <r>
    <x v="6542"/>
    <n v="1924.35"/>
    <x v="18"/>
  </r>
  <r>
    <x v="6543"/>
    <n v="1924.35"/>
    <x v="18"/>
  </r>
  <r>
    <x v="6544"/>
    <n v="1932.81"/>
    <x v="18"/>
  </r>
  <r>
    <x v="6545"/>
    <n v="1977.26"/>
    <x v="18"/>
  </r>
  <r>
    <x v="6546"/>
    <n v="2006.18"/>
    <x v="18"/>
  </r>
  <r>
    <x v="6547"/>
    <n v="2004.37"/>
    <x v="18"/>
  </r>
  <r>
    <x v="6548"/>
    <n v="1993.8"/>
    <x v="18"/>
  </r>
  <r>
    <x v="6549"/>
    <n v="1993.8"/>
    <x v="18"/>
  </r>
  <r>
    <x v="6550"/>
    <n v="1993.8"/>
    <x v="18"/>
  </r>
  <r>
    <x v="6551"/>
    <n v="1993.8"/>
    <x v="18"/>
  </r>
  <r>
    <x v="6552"/>
    <n v="2008.72"/>
    <x v="18"/>
  </r>
  <r>
    <x v="6553"/>
    <n v="1963.7"/>
    <x v="18"/>
  </r>
  <r>
    <x v="6554"/>
    <n v="1958.24"/>
    <x v="18"/>
  </r>
  <r>
    <x v="6555"/>
    <n v="1981.61"/>
    <x v="18"/>
  </r>
  <r>
    <x v="6556"/>
    <n v="1981.61"/>
    <x v="18"/>
  </r>
  <r>
    <x v="6557"/>
    <n v="1981.61"/>
    <x v="18"/>
  </r>
  <r>
    <x v="6558"/>
    <n v="1968.45"/>
    <x v="18"/>
  </r>
  <r>
    <x v="6559"/>
    <n v="1969.52"/>
    <x v="18"/>
  </r>
  <r>
    <x v="6560"/>
    <n v="1969.52"/>
    <x v="18"/>
  </r>
  <r>
    <x v="6561"/>
    <n v="1976.89"/>
    <x v="18"/>
  </r>
  <r>
    <x v="6562"/>
    <n v="1971.27"/>
    <x v="18"/>
  </r>
  <r>
    <x v="6563"/>
    <n v="1971.27"/>
    <x v="18"/>
  </r>
  <r>
    <x v="6564"/>
    <n v="1971.27"/>
    <x v="18"/>
  </r>
  <r>
    <x v="6565"/>
    <n v="1971.27"/>
    <x v="18"/>
  </r>
  <r>
    <x v="6566"/>
    <n v="1966.22"/>
    <x v="18"/>
  </r>
  <r>
    <x v="6567"/>
    <n v="1953.45"/>
    <x v="18"/>
  </r>
  <r>
    <x v="6568"/>
    <n v="1962.33"/>
    <x v="18"/>
  </r>
  <r>
    <x v="6569"/>
    <n v="1974.47"/>
    <x v="18"/>
  </r>
  <r>
    <x v="6570"/>
    <n v="1974.47"/>
    <x v="18"/>
  </r>
  <r>
    <x v="6571"/>
    <n v="1974.47"/>
    <x v="18"/>
  </r>
  <r>
    <x v="6572"/>
    <n v="1964.92"/>
    <x v="18"/>
  </r>
  <r>
    <x v="6573"/>
    <n v="1969.01"/>
    <x v="18"/>
  </r>
  <r>
    <x v="6574"/>
    <n v="1974.14"/>
    <x v="18"/>
  </r>
  <r>
    <x v="6575"/>
    <n v="1974.14"/>
    <x v="18"/>
  </r>
  <r>
    <x v="6576"/>
    <n v="1997.47"/>
    <x v="18"/>
  </r>
  <r>
    <x v="6577"/>
    <n v="1997.47"/>
    <x v="18"/>
  </r>
  <r>
    <x v="6578"/>
    <n v="1997.47"/>
    <x v="18"/>
  </r>
  <r>
    <x v="6579"/>
    <n v="1998.45"/>
    <x v="18"/>
  </r>
  <r>
    <x v="6580"/>
    <n v="1990.29"/>
    <x v="18"/>
  </r>
  <r>
    <x v="6581"/>
    <n v="1990.8"/>
    <x v="18"/>
  </r>
  <r>
    <x v="6582"/>
    <n v="1989.94"/>
    <x v="18"/>
  </r>
  <r>
    <x v="6583"/>
    <n v="2003.94"/>
    <x v="18"/>
  </r>
  <r>
    <x v="6584"/>
    <n v="2003.94"/>
    <x v="18"/>
  </r>
  <r>
    <x v="6585"/>
    <n v="2003.94"/>
    <x v="18"/>
  </r>
  <r>
    <x v="6586"/>
    <n v="2009.45"/>
    <x v="18"/>
  </r>
  <r>
    <x v="6587"/>
    <n v="2009.45"/>
    <x v="18"/>
  </r>
  <r>
    <x v="6588"/>
    <n v="2016.73"/>
    <x v="18"/>
  </r>
  <r>
    <x v="6589"/>
    <n v="2016.17"/>
    <x v="18"/>
  </r>
  <r>
    <x v="6590"/>
    <n v="2000.54"/>
    <x v="18"/>
  </r>
  <r>
    <x v="6591"/>
    <n v="2000.54"/>
    <x v="18"/>
  </r>
  <r>
    <x v="6592"/>
    <n v="2000.54"/>
    <x v="18"/>
  </r>
  <r>
    <x v="6593"/>
    <n v="1992.1"/>
    <x v="18"/>
  </r>
  <r>
    <x v="6594"/>
    <n v="2001.86"/>
    <x v="18"/>
  </r>
  <r>
    <x v="6595"/>
    <n v="2005.09"/>
    <x v="18"/>
  </r>
  <r>
    <x v="6596"/>
    <n v="2015.74"/>
    <x v="18"/>
  </r>
  <r>
    <x v="6597"/>
    <n v="2025.85"/>
    <x v="18"/>
  </r>
  <r>
    <x v="6598"/>
    <n v="2025.85"/>
    <x v="18"/>
  </r>
  <r>
    <x v="6599"/>
    <n v="2025.85"/>
    <x v="18"/>
  </r>
  <r>
    <x v="6600"/>
    <n v="2030.17"/>
    <x v="18"/>
  </r>
  <r>
    <x v="6601"/>
    <n v="2054.1"/>
    <x v="18"/>
  </r>
  <r>
    <x v="6602"/>
    <n v="2045.07"/>
    <x v="18"/>
  </r>
  <r>
    <x v="6603"/>
    <n v="2043.41"/>
    <x v="18"/>
  </r>
  <r>
    <x v="6604"/>
    <n v="2043.41"/>
    <x v="18"/>
  </r>
  <r>
    <x v="6605"/>
    <n v="2043.41"/>
    <x v="18"/>
  </r>
  <r>
    <x v="6606"/>
    <n v="2043.41"/>
    <x v="18"/>
  </r>
  <r>
    <x v="6607"/>
    <n v="2037.92"/>
    <x v="18"/>
  </r>
  <r>
    <x v="6608"/>
    <n v="2046.2"/>
    <x v="18"/>
  </r>
  <r>
    <x v="6609"/>
    <n v="2044.23"/>
    <x v="18"/>
  </r>
  <r>
    <x v="6610"/>
    <n v="2044.23"/>
    <x v="19"/>
  </r>
  <r>
    <x v="6611"/>
    <n v="2044.23"/>
    <x v="19"/>
  </r>
  <r>
    <x v="6612"/>
    <n v="2044.23"/>
    <x v="19"/>
  </r>
  <r>
    <x v="6613"/>
    <n v="2044.23"/>
    <x v="19"/>
  </r>
  <r>
    <x v="6614"/>
    <n v="2021.21"/>
    <x v="19"/>
  </r>
  <r>
    <x v="6615"/>
    <n v="1992.78"/>
    <x v="19"/>
  </r>
  <r>
    <x v="6616"/>
    <n v="1971.32"/>
    <x v="19"/>
  </r>
  <r>
    <x v="6617"/>
    <n v="1969.08"/>
    <x v="19"/>
  </r>
  <r>
    <x v="6618"/>
    <n v="1968.24"/>
    <x v="19"/>
  </r>
  <r>
    <x v="6619"/>
    <n v="1968.24"/>
    <x v="19"/>
  </r>
  <r>
    <x v="6620"/>
    <n v="1968.24"/>
    <x v="19"/>
  </r>
  <r>
    <x v="6621"/>
    <n v="1968.24"/>
    <x v="19"/>
  </r>
  <r>
    <x v="6622"/>
    <n v="1959.43"/>
    <x v="19"/>
  </r>
  <r>
    <x v="6623"/>
    <n v="1965.81"/>
    <x v="19"/>
  </r>
  <r>
    <x v="6624"/>
    <n v="1974.13"/>
    <x v="19"/>
  </r>
  <r>
    <x v="6625"/>
    <n v="1967.4"/>
    <x v="19"/>
  </r>
  <r>
    <x v="6626"/>
    <n v="1967.4"/>
    <x v="19"/>
  </r>
  <r>
    <x v="6627"/>
    <n v="1967.4"/>
    <x v="19"/>
  </r>
  <r>
    <x v="6628"/>
    <n v="1967.4"/>
    <x v="19"/>
  </r>
  <r>
    <x v="6629"/>
    <n v="1957.82"/>
    <x v="19"/>
  </r>
  <r>
    <x v="6630"/>
    <n v="1964.18"/>
    <x v="19"/>
  </r>
  <r>
    <x v="6631"/>
    <n v="1967.08"/>
    <x v="19"/>
  </r>
  <r>
    <x v="6632"/>
    <n v="1981.96"/>
    <x v="19"/>
  </r>
  <r>
    <x v="6633"/>
    <n v="1981.96"/>
    <x v="19"/>
  </r>
  <r>
    <x v="6634"/>
    <n v="1981.96"/>
    <x v="19"/>
  </r>
  <r>
    <x v="6635"/>
    <n v="1961.97"/>
    <x v="19"/>
  </r>
  <r>
    <x v="6636"/>
    <n v="1972.22"/>
    <x v="19"/>
  </r>
  <r>
    <x v="6637"/>
    <n v="1988.05"/>
    <x v="19"/>
  </r>
  <r>
    <x v="6638"/>
    <n v="1991.21"/>
    <x v="19"/>
  </r>
  <r>
    <x v="6639"/>
    <n v="1982.29"/>
    <x v="19"/>
  </r>
  <r>
    <x v="6640"/>
    <n v="1982.29"/>
    <x v="19"/>
  </r>
  <r>
    <x v="6641"/>
    <n v="1982.29"/>
    <x v="19"/>
  </r>
  <r>
    <x v="6642"/>
    <n v="1972.6"/>
    <x v="19"/>
  </r>
  <r>
    <x v="6643"/>
    <n v="1959.93"/>
    <x v="19"/>
  </r>
  <r>
    <x v="6644"/>
    <n v="1966.02"/>
    <x v="19"/>
  </r>
  <r>
    <x v="6645"/>
    <n v="1984.16"/>
    <x v="19"/>
  </r>
  <r>
    <x v="6646"/>
    <n v="1997.13"/>
    <x v="19"/>
  </r>
  <r>
    <x v="6647"/>
    <n v="1997.13"/>
    <x v="19"/>
  </r>
  <r>
    <x v="6648"/>
    <n v="1997.13"/>
    <x v="19"/>
  </r>
  <r>
    <x v="6649"/>
    <n v="2003.76"/>
    <x v="19"/>
  </r>
  <r>
    <x v="6650"/>
    <n v="1981.4"/>
    <x v="19"/>
  </r>
  <r>
    <x v="6651"/>
    <n v="1965.03"/>
    <x v="19"/>
  </r>
  <r>
    <x v="6652"/>
    <n v="1943.6"/>
    <x v="19"/>
  </r>
  <r>
    <x v="6653"/>
    <n v="1936.9"/>
    <x v="19"/>
  </r>
  <r>
    <x v="6654"/>
    <n v="1936.9"/>
    <x v="19"/>
  </r>
  <r>
    <x v="6655"/>
    <n v="1936.9"/>
    <x v="19"/>
  </r>
  <r>
    <x v="6656"/>
    <n v="1936.9"/>
    <x v="19"/>
  </r>
  <r>
    <x v="6657"/>
    <n v="1925.79"/>
    <x v="19"/>
  </r>
  <r>
    <x v="6658"/>
    <n v="1928.79"/>
    <x v="19"/>
  </r>
  <r>
    <x v="6659"/>
    <n v="1930.94"/>
    <x v="19"/>
  </r>
  <r>
    <x v="6660"/>
    <n v="1928.86"/>
    <x v="19"/>
  </r>
  <r>
    <x v="6661"/>
    <n v="1928.86"/>
    <x v="19"/>
  </r>
  <r>
    <x v="6662"/>
    <n v="1928.86"/>
    <x v="19"/>
  </r>
  <r>
    <x v="6663"/>
    <n v="1914.87"/>
    <x v="19"/>
  </r>
  <r>
    <x v="6664"/>
    <n v="1924.75"/>
    <x v="19"/>
  </r>
  <r>
    <x v="6665"/>
    <n v="1932.15"/>
    <x v="19"/>
  </r>
  <r>
    <x v="6666"/>
    <n v="1941.98"/>
    <x v="19"/>
  </r>
  <r>
    <x v="6667"/>
    <n v="1932.32"/>
    <x v="19"/>
  </r>
  <r>
    <x v="6668"/>
    <n v="1932.32"/>
    <x v="19"/>
  </r>
  <r>
    <x v="6669"/>
    <n v="1932.32"/>
    <x v="19"/>
  </r>
  <r>
    <x v="6670"/>
    <n v="1913.86"/>
    <x v="19"/>
  </r>
  <r>
    <x v="6671"/>
    <n v="1895.86"/>
    <x v="19"/>
  </r>
  <r>
    <x v="6672"/>
    <n v="1916.41"/>
    <x v="19"/>
  </r>
  <r>
    <x v="6673"/>
    <n v="1928.33"/>
    <x v="19"/>
  </r>
  <r>
    <x v="6674"/>
    <n v="1902.31"/>
    <x v="19"/>
  </r>
  <r>
    <x v="6675"/>
    <n v="1902.31"/>
    <x v="19"/>
  </r>
  <r>
    <x v="6676"/>
    <n v="1902.31"/>
    <x v="19"/>
  </r>
  <r>
    <x v="6677"/>
    <n v="1894.44"/>
    <x v="19"/>
  </r>
  <r>
    <x v="6678"/>
    <n v="1894.3"/>
    <x v="19"/>
  </r>
  <r>
    <x v="6679"/>
    <n v="1888.05"/>
    <x v="19"/>
  </r>
  <r>
    <x v="6680"/>
    <n v="1894.79"/>
    <x v="19"/>
  </r>
  <r>
    <x v="6681"/>
    <n v="1892.99"/>
    <x v="19"/>
  </r>
  <r>
    <x v="6682"/>
    <n v="1892.99"/>
    <x v="19"/>
  </r>
  <r>
    <x v="6683"/>
    <n v="1892.99"/>
    <x v="19"/>
  </r>
  <r>
    <x v="6684"/>
    <n v="1899.75"/>
    <x v="19"/>
  </r>
  <r>
    <x v="6685"/>
    <n v="1896.15"/>
    <x v="19"/>
  </r>
  <r>
    <x v="6686"/>
    <n v="1893.42"/>
    <x v="19"/>
  </r>
  <r>
    <x v="6687"/>
    <n v="1900.55"/>
    <x v="19"/>
  </r>
  <r>
    <x v="6688"/>
    <n v="1907.06"/>
    <x v="19"/>
  </r>
  <r>
    <x v="6689"/>
    <n v="1907.06"/>
    <x v="19"/>
  </r>
  <r>
    <x v="6690"/>
    <n v="1907.06"/>
    <x v="19"/>
  </r>
  <r>
    <x v="6691"/>
    <n v="1907.06"/>
    <x v="19"/>
  </r>
  <r>
    <x v="6692"/>
    <n v="1907.06"/>
    <x v="19"/>
  </r>
  <r>
    <x v="6693"/>
    <n v="1923.41"/>
    <x v="19"/>
  </r>
  <r>
    <x v="6694"/>
    <n v="1922.91"/>
    <x v="19"/>
  </r>
  <r>
    <x v="6695"/>
    <n v="1933.4"/>
    <x v="19"/>
  </r>
  <r>
    <x v="6696"/>
    <n v="1933.4"/>
    <x v="19"/>
  </r>
  <r>
    <x v="6697"/>
    <n v="1933.4"/>
    <x v="19"/>
  </r>
  <r>
    <x v="6698"/>
    <n v="1934.21"/>
    <x v="19"/>
  </r>
  <r>
    <x v="6699"/>
    <n v="1928.59"/>
    <x v="19"/>
  </r>
  <r>
    <x v="6700"/>
    <n v="1921.88"/>
    <x v="19"/>
  </r>
  <r>
    <x v="6701"/>
    <n v="1921.88"/>
    <x v="19"/>
  </r>
  <r>
    <x v="6702"/>
    <n v="1921.88"/>
    <x v="19"/>
  </r>
  <r>
    <x v="6703"/>
    <n v="1921.88"/>
    <x v="19"/>
  </r>
  <r>
    <x v="6704"/>
    <n v="1921.88"/>
    <x v="19"/>
  </r>
  <r>
    <x v="6705"/>
    <n v="1911.78"/>
    <x v="19"/>
  </r>
  <r>
    <x v="6706"/>
    <n v="1911.07"/>
    <x v="19"/>
  </r>
  <r>
    <x v="6707"/>
    <n v="1920.53"/>
    <x v="19"/>
  </r>
  <r>
    <x v="6708"/>
    <n v="1931.91"/>
    <x v="19"/>
  </r>
  <r>
    <x v="6709"/>
    <n v="1921.32"/>
    <x v="19"/>
  </r>
  <r>
    <x v="6710"/>
    <n v="1921.32"/>
    <x v="19"/>
  </r>
  <r>
    <x v="6711"/>
    <n v="1921.32"/>
    <x v="19"/>
  </r>
  <r>
    <x v="6712"/>
    <n v="1926.16"/>
    <x v="19"/>
  </r>
  <r>
    <x v="6713"/>
    <n v="1936.22"/>
    <x v="19"/>
  </r>
  <r>
    <x v="6714"/>
    <n v="1938.24"/>
    <x v="19"/>
  </r>
  <r>
    <x v="6715"/>
    <n v="1943.83"/>
    <x v="19"/>
  </r>
  <r>
    <x v="6716"/>
    <n v="1942.21"/>
    <x v="19"/>
  </r>
  <r>
    <x v="6717"/>
    <n v="1942.21"/>
    <x v="19"/>
  </r>
  <r>
    <x v="6718"/>
    <n v="1942.21"/>
    <x v="19"/>
  </r>
  <r>
    <x v="6719"/>
    <n v="1951.04"/>
    <x v="19"/>
  </r>
  <r>
    <x v="6720"/>
    <n v="1947.69"/>
    <x v="19"/>
  </r>
  <r>
    <x v="6721"/>
    <n v="1948.47"/>
    <x v="19"/>
  </r>
  <r>
    <x v="6722"/>
    <n v="1955.84"/>
    <x v="19"/>
  </r>
  <r>
    <x v="6723"/>
    <n v="1950.89"/>
    <x v="19"/>
  </r>
  <r>
    <x v="6724"/>
    <n v="1950.89"/>
    <x v="19"/>
  </r>
  <r>
    <x v="6725"/>
    <n v="1950.89"/>
    <x v="19"/>
  </r>
  <r>
    <x v="6726"/>
    <n v="1943.41"/>
    <x v="19"/>
  </r>
  <r>
    <x v="6727"/>
    <n v="1961.82"/>
    <x v="19"/>
  </r>
  <r>
    <x v="6728"/>
    <n v="1973.05"/>
    <x v="19"/>
  </r>
  <r>
    <x v="6729"/>
    <n v="1969.75"/>
    <x v="19"/>
  </r>
  <r>
    <x v="6730"/>
    <n v="1950.44"/>
    <x v="19"/>
  </r>
  <r>
    <x v="6731"/>
    <n v="1950.44"/>
    <x v="19"/>
  </r>
  <r>
    <x v="6732"/>
    <n v="1950.44"/>
    <x v="19"/>
  </r>
  <r>
    <x v="6733"/>
    <n v="1973.42"/>
    <x v="19"/>
  </r>
  <r>
    <x v="6734"/>
    <n v="1988.47"/>
    <x v="19"/>
  </r>
  <r>
    <x v="6735"/>
    <n v="2003.37"/>
    <x v="19"/>
  </r>
  <r>
    <x v="6736"/>
    <n v="2010.13"/>
    <x v="19"/>
  </r>
  <r>
    <x v="6737"/>
    <n v="2029.54"/>
    <x v="19"/>
  </r>
  <r>
    <x v="6738"/>
    <n v="2029.54"/>
    <x v="19"/>
  </r>
  <r>
    <x v="6739"/>
    <n v="2029.54"/>
    <x v="19"/>
  </r>
  <r>
    <x v="6740"/>
    <n v="1988.32"/>
    <x v="19"/>
  </r>
  <r>
    <x v="6741"/>
    <n v="1980.5"/>
    <x v="19"/>
  </r>
  <r>
    <x v="6742"/>
    <n v="1966.36"/>
    <x v="19"/>
  </r>
  <r>
    <x v="6743"/>
    <n v="1959.62"/>
    <x v="19"/>
  </r>
  <r>
    <x v="6744"/>
    <n v="1968.1"/>
    <x v="19"/>
  </r>
  <r>
    <x v="6745"/>
    <n v="1968.1"/>
    <x v="19"/>
  </r>
  <r>
    <x v="6746"/>
    <n v="1968.1"/>
    <x v="19"/>
  </r>
  <r>
    <x v="6747"/>
    <n v="1968.1"/>
    <x v="19"/>
  </r>
  <r>
    <x v="6748"/>
    <n v="1976.46"/>
    <x v="19"/>
  </r>
  <r>
    <x v="6749"/>
    <n v="1997.09"/>
    <x v="19"/>
  </r>
  <r>
    <x v="6750"/>
    <n v="2017.68"/>
    <x v="19"/>
  </r>
  <r>
    <x v="6751"/>
    <n v="1998.42"/>
    <x v="19"/>
  </r>
  <r>
    <x v="6752"/>
    <n v="1998.42"/>
    <x v="19"/>
  </r>
  <r>
    <x v="6753"/>
    <n v="1998.42"/>
    <x v="19"/>
  </r>
  <r>
    <x v="6754"/>
    <n v="1975.01"/>
    <x v="19"/>
  </r>
  <r>
    <x v="6755"/>
    <n v="1989.51"/>
    <x v="19"/>
  </r>
  <r>
    <x v="6756"/>
    <n v="1976.4"/>
    <x v="19"/>
  </r>
  <r>
    <x v="6757"/>
    <n v="1966.8"/>
    <x v="19"/>
  </r>
  <r>
    <x v="6758"/>
    <n v="1971.55"/>
    <x v="19"/>
  </r>
  <r>
    <x v="6759"/>
    <n v="1971.55"/>
    <x v="19"/>
  </r>
  <r>
    <x v="6760"/>
    <n v="1971.55"/>
    <x v="19"/>
  </r>
  <r>
    <x v="6761"/>
    <n v="1971.55"/>
    <x v="19"/>
  </r>
  <r>
    <x v="6762"/>
    <n v="1971.45"/>
    <x v="19"/>
  </r>
  <r>
    <x v="6763"/>
    <n v="1963.36"/>
    <x v="19"/>
  </r>
  <r>
    <x v="6764"/>
    <n v="1961.47"/>
    <x v="19"/>
  </r>
  <r>
    <x v="6765"/>
    <n v="1965.83"/>
    <x v="19"/>
  </r>
  <r>
    <x v="6766"/>
    <n v="1965.83"/>
    <x v="19"/>
  </r>
  <r>
    <x v="6767"/>
    <n v="1965.83"/>
    <x v="19"/>
  </r>
  <r>
    <x v="6768"/>
    <n v="1965.83"/>
    <x v="19"/>
  </r>
  <r>
    <x v="6769"/>
    <n v="1960.5"/>
    <x v="19"/>
  </r>
  <r>
    <x v="6770"/>
    <n v="1943.41"/>
    <x v="19"/>
  </r>
  <r>
    <x v="6771"/>
    <n v="1928.83"/>
    <x v="19"/>
  </r>
  <r>
    <x v="6772"/>
    <n v="1925.35"/>
    <x v="19"/>
  </r>
  <r>
    <x v="6773"/>
    <n v="1925.35"/>
    <x v="19"/>
  </r>
  <r>
    <x v="6774"/>
    <n v="1925.35"/>
    <x v="19"/>
  </r>
  <r>
    <x v="6775"/>
    <n v="1925.35"/>
    <x v="19"/>
  </r>
  <r>
    <x v="6776"/>
    <n v="1917.82"/>
    <x v="19"/>
  </r>
  <r>
    <x v="6777"/>
    <n v="1912.29"/>
    <x v="19"/>
  </r>
  <r>
    <x v="6778"/>
    <n v="1902.78"/>
    <x v="19"/>
  </r>
  <r>
    <x v="6779"/>
    <n v="1906.61"/>
    <x v="19"/>
  </r>
  <r>
    <x v="6780"/>
    <n v="1906.61"/>
    <x v="19"/>
  </r>
  <r>
    <x v="6781"/>
    <n v="1906.61"/>
    <x v="19"/>
  </r>
  <r>
    <x v="6782"/>
    <n v="1889.51"/>
    <x v="19"/>
  </r>
  <r>
    <x v="6783"/>
    <n v="1886.05"/>
    <x v="19"/>
  </r>
  <r>
    <x v="6784"/>
    <n v="1895.75"/>
    <x v="19"/>
  </r>
  <r>
    <x v="6785"/>
    <n v="1896.87"/>
    <x v="19"/>
  </r>
  <r>
    <x v="6786"/>
    <n v="1900.36"/>
    <x v="19"/>
  </r>
  <r>
    <x v="6787"/>
    <n v="1900.36"/>
    <x v="19"/>
  </r>
  <r>
    <x v="6788"/>
    <n v="1900.36"/>
    <x v="19"/>
  </r>
  <r>
    <x v="6789"/>
    <n v="1901.65"/>
    <x v="19"/>
  </r>
  <r>
    <x v="6790"/>
    <n v="1916.46"/>
    <x v="19"/>
  </r>
  <r>
    <x v="6791"/>
    <n v="1913.15"/>
    <x v="19"/>
  </r>
  <r>
    <x v="6792"/>
    <n v="1897.33"/>
    <x v="19"/>
  </r>
  <r>
    <x v="6793"/>
    <n v="1884.31"/>
    <x v="19"/>
  </r>
  <r>
    <x v="6794"/>
    <n v="1884.31"/>
    <x v="19"/>
  </r>
  <r>
    <x v="6795"/>
    <n v="1884.31"/>
    <x v="19"/>
  </r>
  <r>
    <x v="6796"/>
    <n v="1884.31"/>
    <x v="19"/>
  </r>
  <r>
    <x v="6797"/>
    <n v="1882.47"/>
    <x v="19"/>
  </r>
  <r>
    <x v="6798"/>
    <n v="1901.38"/>
    <x v="19"/>
  </r>
  <r>
    <x v="6799"/>
    <n v="1889.61"/>
    <x v="19"/>
  </r>
  <r>
    <x v="6800"/>
    <n v="1877.66"/>
    <x v="19"/>
  </r>
  <r>
    <x v="6801"/>
    <n v="1877.66"/>
    <x v="19"/>
  </r>
  <r>
    <x v="6802"/>
    <n v="1877.66"/>
    <x v="19"/>
  </r>
  <r>
    <x v="6803"/>
    <n v="1877.2"/>
    <x v="19"/>
  </r>
  <r>
    <x v="6804"/>
    <n v="1871.19"/>
    <x v="19"/>
  </r>
  <r>
    <x v="6805"/>
    <n v="1873.87"/>
    <x v="19"/>
  </r>
  <r>
    <x v="6806"/>
    <n v="1871.96"/>
    <x v="19"/>
  </r>
  <r>
    <x v="6807"/>
    <n v="1878.77"/>
    <x v="19"/>
  </r>
  <r>
    <x v="6808"/>
    <n v="1878.77"/>
    <x v="19"/>
  </r>
  <r>
    <x v="6809"/>
    <n v="1878.77"/>
    <x v="19"/>
  </r>
  <r>
    <x v="6810"/>
    <n v="1872.92"/>
    <x v="19"/>
  </r>
  <r>
    <x v="6811"/>
    <n v="1872.92"/>
    <x v="19"/>
  </r>
  <r>
    <x v="6812"/>
    <n v="1867.07"/>
    <x v="19"/>
  </r>
  <r>
    <x v="6813"/>
    <n v="1864.04"/>
    <x v="19"/>
  </r>
  <r>
    <x v="6814"/>
    <n v="1867.47"/>
    <x v="19"/>
  </r>
  <r>
    <x v="6815"/>
    <n v="1867.47"/>
    <x v="19"/>
  </r>
  <r>
    <x v="6816"/>
    <n v="1867.47"/>
    <x v="19"/>
  </r>
  <r>
    <x v="6817"/>
    <n v="1859.5"/>
    <x v="19"/>
  </r>
  <r>
    <x v="6818"/>
    <n v="1852.83"/>
    <x v="19"/>
  </r>
  <r>
    <x v="6819"/>
    <n v="1846.23"/>
    <x v="19"/>
  </r>
  <r>
    <x v="6820"/>
    <n v="1841.35"/>
    <x v="19"/>
  </r>
  <r>
    <x v="6821"/>
    <n v="1842.79"/>
    <x v="19"/>
  </r>
  <r>
    <x v="6822"/>
    <n v="1842.79"/>
    <x v="19"/>
  </r>
  <r>
    <x v="6823"/>
    <n v="1842.79"/>
    <x v="19"/>
  </r>
  <r>
    <x v="6824"/>
    <n v="1832.45"/>
    <x v="19"/>
  </r>
  <r>
    <x v="6825"/>
    <n v="1834.58"/>
    <x v="19"/>
  </r>
  <r>
    <x v="6826"/>
    <n v="1824.52"/>
    <x v="19"/>
  </r>
  <r>
    <x v="6827"/>
    <n v="1818.5"/>
    <x v="19"/>
  </r>
  <r>
    <x v="6828"/>
    <n v="1815.46"/>
    <x v="19"/>
  </r>
  <r>
    <x v="6829"/>
    <n v="1815.46"/>
    <x v="19"/>
  </r>
  <r>
    <x v="6830"/>
    <n v="1815.46"/>
    <x v="19"/>
  </r>
  <r>
    <x v="6831"/>
    <n v="1808.93"/>
    <x v="19"/>
  </r>
  <r>
    <x v="6832"/>
    <n v="1810.12"/>
    <x v="19"/>
  </r>
  <r>
    <x v="6833"/>
    <n v="1807.55"/>
    <x v="19"/>
  </r>
  <r>
    <x v="6834"/>
    <n v="1812.2"/>
    <x v="19"/>
  </r>
  <r>
    <x v="6835"/>
    <n v="1835.32"/>
    <x v="19"/>
  </r>
  <r>
    <x v="6836"/>
    <n v="1835.32"/>
    <x v="19"/>
  </r>
  <r>
    <x v="6837"/>
    <n v="1835.32"/>
    <x v="19"/>
  </r>
  <r>
    <x v="6838"/>
    <n v="1835.32"/>
    <x v="19"/>
  </r>
  <r>
    <x v="6839"/>
    <n v="1810.75"/>
    <x v="19"/>
  </r>
  <r>
    <x v="6840"/>
    <n v="1808.14"/>
    <x v="19"/>
  </r>
  <r>
    <x v="6841"/>
    <n v="1819.13"/>
    <x v="19"/>
  </r>
  <r>
    <x v="6842"/>
    <n v="1820.93"/>
    <x v="19"/>
  </r>
  <r>
    <x v="6843"/>
    <n v="1820.93"/>
    <x v="19"/>
  </r>
  <r>
    <x v="6844"/>
    <n v="1820.93"/>
    <x v="19"/>
  </r>
  <r>
    <x v="6845"/>
    <n v="1806.93"/>
    <x v="19"/>
  </r>
  <r>
    <x v="6846"/>
    <n v="1818.86"/>
    <x v="19"/>
  </r>
  <r>
    <x v="6847"/>
    <n v="1820.29"/>
    <x v="19"/>
  </r>
  <r>
    <x v="6848"/>
    <n v="1811.46"/>
    <x v="19"/>
  </r>
  <r>
    <x v="6849"/>
    <n v="1817.68"/>
    <x v="19"/>
  </r>
  <r>
    <x v="6850"/>
    <n v="1817.68"/>
    <x v="19"/>
  </r>
  <r>
    <x v="6851"/>
    <n v="1817.68"/>
    <x v="19"/>
  </r>
  <r>
    <x v="6852"/>
    <n v="1823.74"/>
    <x v="19"/>
  </r>
  <r>
    <x v="6853"/>
    <n v="1826.31"/>
    <x v="19"/>
  </r>
  <r>
    <x v="6854"/>
    <n v="1815.09"/>
    <x v="19"/>
  </r>
  <r>
    <x v="6855"/>
    <n v="1810.65"/>
    <x v="19"/>
  </r>
  <r>
    <x v="6856"/>
    <n v="1807.73"/>
    <x v="19"/>
  </r>
  <r>
    <x v="6857"/>
    <n v="1807.73"/>
    <x v="19"/>
  </r>
  <r>
    <x v="6858"/>
    <n v="1807.73"/>
    <x v="19"/>
  </r>
  <r>
    <x v="6859"/>
    <n v="1807.73"/>
    <x v="19"/>
  </r>
  <r>
    <x v="6860"/>
    <n v="1808.65"/>
    <x v="19"/>
  </r>
  <r>
    <x v="6861"/>
    <n v="1803"/>
    <x v="19"/>
  </r>
  <r>
    <x v="6862"/>
    <n v="1802.54"/>
    <x v="19"/>
  </r>
  <r>
    <x v="6863"/>
    <n v="1801.04"/>
    <x v="19"/>
  </r>
  <r>
    <x v="6864"/>
    <n v="1801.04"/>
    <x v="19"/>
  </r>
  <r>
    <x v="6865"/>
    <n v="1801.04"/>
    <x v="19"/>
  </r>
  <r>
    <x v="6866"/>
    <n v="1793.28"/>
    <x v="19"/>
  </r>
  <r>
    <x v="6867"/>
    <n v="1788.05"/>
    <x v="19"/>
  </r>
  <r>
    <x v="6868"/>
    <n v="1806.78"/>
    <x v="19"/>
  </r>
  <r>
    <x v="6869"/>
    <n v="1811.55"/>
    <x v="19"/>
  </r>
  <r>
    <x v="6870"/>
    <n v="1806.76"/>
    <x v="19"/>
  </r>
  <r>
    <x v="6871"/>
    <n v="1806.76"/>
    <x v="19"/>
  </r>
  <r>
    <x v="6872"/>
    <n v="1806.76"/>
    <x v="19"/>
  </r>
  <r>
    <x v="6873"/>
    <n v="1798.73"/>
    <x v="19"/>
  </r>
  <r>
    <x v="6874"/>
    <n v="1805.31"/>
    <x v="19"/>
  </r>
  <r>
    <x v="6875"/>
    <n v="1803.71"/>
    <x v="19"/>
  </r>
  <r>
    <x v="6876"/>
    <n v="1810.72"/>
    <x v="19"/>
  </r>
  <r>
    <x v="6877"/>
    <n v="1809.46"/>
    <x v="19"/>
  </r>
  <r>
    <x v="6878"/>
    <n v="1809.46"/>
    <x v="19"/>
  </r>
  <r>
    <x v="6879"/>
    <n v="1809.46"/>
    <x v="19"/>
  </r>
  <r>
    <x v="6880"/>
    <n v="1802.15"/>
    <x v="19"/>
  </r>
  <r>
    <x v="6881"/>
    <n v="1804.06"/>
    <x v="19"/>
  </r>
  <r>
    <x v="6882"/>
    <n v="1799.89"/>
    <x v="19"/>
  </r>
  <r>
    <x v="6883"/>
    <n v="1801.01"/>
    <x v="19"/>
  </r>
  <r>
    <x v="6884"/>
    <n v="1795.93"/>
    <x v="19"/>
  </r>
  <r>
    <x v="6885"/>
    <n v="1795.93"/>
    <x v="19"/>
  </r>
  <r>
    <x v="6886"/>
    <n v="1795.93"/>
    <x v="19"/>
  </r>
  <r>
    <x v="6887"/>
    <n v="1802.09"/>
    <x v="19"/>
  </r>
  <r>
    <x v="6888"/>
    <n v="1802.43"/>
    <x v="19"/>
  </r>
  <r>
    <x v="6889"/>
    <n v="1796.29"/>
    <x v="19"/>
  </r>
  <r>
    <x v="6890"/>
    <n v="1786.2"/>
    <x v="19"/>
  </r>
  <r>
    <x v="6891"/>
    <n v="1786.37"/>
    <x v="19"/>
  </r>
  <r>
    <x v="6892"/>
    <n v="1786.37"/>
    <x v="19"/>
  </r>
  <r>
    <x v="6893"/>
    <n v="1786.37"/>
    <x v="19"/>
  </r>
  <r>
    <x v="6894"/>
    <n v="1786.37"/>
    <x v="19"/>
  </r>
  <r>
    <x v="6895"/>
    <n v="1786.77"/>
    <x v="19"/>
  </r>
  <r>
    <x v="6896"/>
    <n v="1791.56"/>
    <x v="19"/>
  </r>
  <r>
    <x v="6897"/>
    <n v="1801.2"/>
    <x v="19"/>
  </r>
  <r>
    <x v="6898"/>
    <n v="1807.88"/>
    <x v="19"/>
  </r>
  <r>
    <x v="6899"/>
    <n v="1807.88"/>
    <x v="19"/>
  </r>
  <r>
    <x v="6900"/>
    <n v="1807.88"/>
    <x v="19"/>
  </r>
  <r>
    <x v="6901"/>
    <n v="1807.88"/>
    <x v="19"/>
  </r>
  <r>
    <x v="6902"/>
    <n v="1817.45"/>
    <x v="19"/>
  </r>
  <r>
    <x v="6903"/>
    <n v="1812.6"/>
    <x v="19"/>
  </r>
  <r>
    <x v="6904"/>
    <n v="1816.28"/>
    <x v="19"/>
  </r>
  <r>
    <x v="6905"/>
    <n v="1823.05"/>
    <x v="19"/>
  </r>
  <r>
    <x v="6906"/>
    <n v="1823.05"/>
    <x v="19"/>
  </r>
  <r>
    <x v="6907"/>
    <n v="1823.05"/>
    <x v="19"/>
  </r>
  <r>
    <x v="6908"/>
    <n v="1830.96"/>
    <x v="19"/>
  </r>
  <r>
    <x v="6909"/>
    <n v="1838.45"/>
    <x v="19"/>
  </r>
  <r>
    <x v="6910"/>
    <n v="1846.41"/>
    <x v="19"/>
  </r>
  <r>
    <x v="6911"/>
    <n v="1839.9"/>
    <x v="19"/>
  </r>
  <r>
    <x v="6912"/>
    <n v="1831.64"/>
    <x v="19"/>
  </r>
  <r>
    <x v="6913"/>
    <n v="1831.64"/>
    <x v="19"/>
  </r>
  <r>
    <x v="6914"/>
    <n v="1831.64"/>
    <x v="19"/>
  </r>
  <r>
    <x v="6915"/>
    <n v="1831.64"/>
    <x v="19"/>
  </r>
  <r>
    <x v="6916"/>
    <n v="1845.51"/>
    <x v="19"/>
  </r>
  <r>
    <x v="6917"/>
    <n v="1840.51"/>
    <x v="19"/>
  </r>
  <r>
    <x v="6918"/>
    <n v="1821.05"/>
    <x v="19"/>
  </r>
  <r>
    <x v="6919"/>
    <n v="1817.7"/>
    <x v="19"/>
  </r>
  <r>
    <x v="6920"/>
    <n v="1817.7"/>
    <x v="19"/>
  </r>
  <r>
    <x v="6921"/>
    <n v="1817.7"/>
    <x v="19"/>
  </r>
  <r>
    <x v="6922"/>
    <n v="1828.28"/>
    <x v="19"/>
  </r>
  <r>
    <x v="6923"/>
    <n v="1836.27"/>
    <x v="19"/>
  </r>
  <r>
    <x v="6924"/>
    <n v="1858.01"/>
    <x v="19"/>
  </r>
  <r>
    <x v="6925"/>
    <n v="1858.01"/>
    <x v="19"/>
  </r>
  <r>
    <x v="6926"/>
    <n v="1861.74"/>
    <x v="19"/>
  </r>
  <r>
    <x v="6927"/>
    <n v="1861.74"/>
    <x v="19"/>
  </r>
  <r>
    <x v="6928"/>
    <n v="1861.74"/>
    <x v="19"/>
  </r>
  <r>
    <x v="6929"/>
    <n v="1861.74"/>
    <x v="19"/>
  </r>
  <r>
    <x v="6930"/>
    <n v="1880.98"/>
    <x v="19"/>
  </r>
  <r>
    <x v="6931"/>
    <n v="1875.78"/>
    <x v="19"/>
  </r>
  <r>
    <x v="6932"/>
    <n v="1865.82"/>
    <x v="19"/>
  </r>
  <r>
    <x v="6933"/>
    <n v="1875.39"/>
    <x v="19"/>
  </r>
  <r>
    <x v="6934"/>
    <n v="1875.39"/>
    <x v="19"/>
  </r>
  <r>
    <x v="6935"/>
    <n v="1875.39"/>
    <x v="19"/>
  </r>
  <r>
    <x v="6936"/>
    <n v="1882"/>
    <x v="19"/>
  </r>
  <r>
    <x v="6937"/>
    <n v="1892.84"/>
    <x v="19"/>
  </r>
  <r>
    <x v="6938"/>
    <n v="1889.11"/>
    <x v="19"/>
  </r>
  <r>
    <x v="6939"/>
    <n v="1889.11"/>
    <x v="19"/>
  </r>
  <r>
    <x v="6940"/>
    <n v="1906.69"/>
    <x v="19"/>
  </r>
  <r>
    <x v="6941"/>
    <n v="1906.69"/>
    <x v="19"/>
  </r>
  <r>
    <x v="6942"/>
    <n v="1906.69"/>
    <x v="19"/>
  </r>
  <r>
    <x v="6943"/>
    <n v="1916.96"/>
    <x v="19"/>
  </r>
  <r>
    <x v="6944"/>
    <n v="1932.63"/>
    <x v="19"/>
  </r>
  <r>
    <x v="6945"/>
    <n v="1933.58"/>
    <x v="19"/>
  </r>
  <r>
    <x v="6946"/>
    <n v="1920"/>
    <x v="19"/>
  </r>
  <r>
    <x v="6947"/>
    <n v="1896.73"/>
    <x v="19"/>
  </r>
  <r>
    <x v="6948"/>
    <n v="1896.73"/>
    <x v="19"/>
  </r>
  <r>
    <x v="6949"/>
    <n v="1896.73"/>
    <x v="19"/>
  </r>
  <r>
    <x v="6950"/>
    <n v="1889.75"/>
    <x v="19"/>
  </r>
  <r>
    <x v="6951"/>
    <n v="1880.82"/>
    <x v="19"/>
  </r>
  <r>
    <x v="6952"/>
    <n v="1880.82"/>
    <x v="19"/>
  </r>
  <r>
    <x v="6953"/>
    <n v="1902.72"/>
    <x v="19"/>
  </r>
  <r>
    <x v="6954"/>
    <n v="1911.87"/>
    <x v="19"/>
  </r>
  <r>
    <x v="6955"/>
    <n v="1911.87"/>
    <x v="19"/>
  </r>
  <r>
    <x v="6956"/>
    <n v="1911.87"/>
    <x v="19"/>
  </r>
  <r>
    <x v="6957"/>
    <n v="1894.12"/>
    <x v="19"/>
  </r>
  <r>
    <x v="6958"/>
    <n v="1899.89"/>
    <x v="19"/>
  </r>
  <r>
    <x v="6959"/>
    <n v="1905.84"/>
    <x v="19"/>
  </r>
  <r>
    <x v="6960"/>
    <n v="1916.09"/>
    <x v="19"/>
  </r>
  <r>
    <x v="6961"/>
    <n v="1923.13"/>
    <x v="19"/>
  </r>
  <r>
    <x v="6962"/>
    <n v="1923.13"/>
    <x v="19"/>
  </r>
  <r>
    <x v="6963"/>
    <n v="1923.13"/>
    <x v="19"/>
  </r>
  <r>
    <x v="6964"/>
    <n v="1928.71"/>
    <x v="19"/>
  </r>
  <r>
    <x v="6965"/>
    <n v="1934.96"/>
    <x v="19"/>
  </r>
  <r>
    <x v="6966"/>
    <n v="1934.44"/>
    <x v="19"/>
  </r>
  <r>
    <x v="6967"/>
    <n v="1928.33"/>
    <x v="19"/>
  </r>
  <r>
    <x v="6968"/>
    <n v="1939.54"/>
    <x v="19"/>
  </r>
  <r>
    <x v="6969"/>
    <n v="1939.54"/>
    <x v="19"/>
  </r>
  <r>
    <x v="6970"/>
    <n v="1939.54"/>
    <x v="19"/>
  </r>
  <r>
    <x v="6971"/>
    <n v="1964.57"/>
    <x v="19"/>
  </r>
  <r>
    <x v="6972"/>
    <n v="2027.33"/>
    <x v="19"/>
  </r>
  <r>
    <x v="6973"/>
    <n v="1989.88"/>
    <x v="19"/>
  </r>
  <r>
    <x v="6974"/>
    <n v="1913.98"/>
    <x v="19"/>
  </r>
  <r>
    <x v="6975"/>
    <n v="1913.98"/>
    <x v="20"/>
  </r>
  <r>
    <x v="6976"/>
    <n v="1913.98"/>
    <x v="20"/>
  </r>
  <r>
    <x v="6977"/>
    <n v="1913.98"/>
    <x v="20"/>
  </r>
  <r>
    <x v="6978"/>
    <n v="1902.71"/>
    <x v="20"/>
  </r>
  <r>
    <x v="6979"/>
    <n v="1899.86"/>
    <x v="20"/>
  </r>
  <r>
    <x v="6980"/>
    <n v="1894.82"/>
    <x v="20"/>
  </r>
  <r>
    <x v="6981"/>
    <n v="1869.94"/>
    <x v="20"/>
  </r>
  <r>
    <x v="6982"/>
    <n v="1859.97"/>
    <x v="20"/>
  </r>
  <r>
    <x v="6983"/>
    <n v="1859.97"/>
    <x v="20"/>
  </r>
  <r>
    <x v="6984"/>
    <n v="1859.97"/>
    <x v="20"/>
  </r>
  <r>
    <x v="6985"/>
    <n v="1859.97"/>
    <x v="20"/>
  </r>
  <r>
    <x v="6986"/>
    <n v="1856.79"/>
    <x v="20"/>
  </r>
  <r>
    <x v="6987"/>
    <n v="1855.46"/>
    <x v="20"/>
  </r>
  <r>
    <x v="6988"/>
    <n v="1864.36"/>
    <x v="20"/>
  </r>
  <r>
    <x v="6989"/>
    <n v="1872.46"/>
    <x v="20"/>
  </r>
  <r>
    <x v="6990"/>
    <n v="1872.46"/>
    <x v="20"/>
  </r>
  <r>
    <x v="6991"/>
    <n v="1872.46"/>
    <x v="20"/>
  </r>
  <r>
    <x v="6992"/>
    <n v="1872.46"/>
    <x v="20"/>
  </r>
  <r>
    <x v="6993"/>
    <n v="1864.64"/>
    <x v="20"/>
  </r>
  <r>
    <x v="6994"/>
    <n v="1841.9"/>
    <x v="20"/>
  </r>
  <r>
    <x v="6995"/>
    <n v="1849.59"/>
    <x v="20"/>
  </r>
  <r>
    <x v="6996"/>
    <n v="1838.94"/>
    <x v="20"/>
  </r>
  <r>
    <x v="6997"/>
    <n v="1838.94"/>
    <x v="20"/>
  </r>
  <r>
    <x v="6998"/>
    <n v="1838.94"/>
    <x v="20"/>
  </r>
  <r>
    <x v="6999"/>
    <n v="1842.43"/>
    <x v="20"/>
  </r>
  <r>
    <x v="7000"/>
    <n v="1853.71"/>
    <x v="20"/>
  </r>
  <r>
    <x v="7001"/>
    <n v="1862.05"/>
    <x v="20"/>
  </r>
  <r>
    <x v="7002"/>
    <n v="1858.7"/>
    <x v="20"/>
  </r>
  <r>
    <x v="7003"/>
    <n v="1857.98"/>
    <x v="20"/>
  </r>
  <r>
    <x v="7004"/>
    <n v="1857.98"/>
    <x v="20"/>
  </r>
  <r>
    <x v="7005"/>
    <n v="1857.98"/>
    <x v="20"/>
  </r>
  <r>
    <x v="7006"/>
    <n v="1867.82"/>
    <x v="20"/>
  </r>
  <r>
    <x v="7007"/>
    <n v="1853.33"/>
    <x v="20"/>
  </r>
  <r>
    <x v="7008"/>
    <n v="1852.67"/>
    <x v="20"/>
  </r>
  <r>
    <x v="7009"/>
    <n v="1863.03"/>
    <x v="20"/>
  </r>
  <r>
    <x v="7010"/>
    <n v="1872.01"/>
    <x v="20"/>
  </r>
  <r>
    <x v="7011"/>
    <n v="1872.01"/>
    <x v="20"/>
  </r>
  <r>
    <x v="7012"/>
    <n v="1872.01"/>
    <x v="20"/>
  </r>
  <r>
    <x v="7013"/>
    <n v="1871.81"/>
    <x v="20"/>
  </r>
  <r>
    <x v="7014"/>
    <n v="1875.32"/>
    <x v="20"/>
  </r>
  <r>
    <x v="7015"/>
    <n v="1891.54"/>
    <x v="20"/>
  </r>
  <r>
    <x v="7016"/>
    <n v="1889.1"/>
    <x v="20"/>
  </r>
  <r>
    <x v="7017"/>
    <n v="1880.37"/>
    <x v="20"/>
  </r>
  <r>
    <x v="7018"/>
    <n v="1880.37"/>
    <x v="20"/>
  </r>
  <r>
    <x v="7019"/>
    <n v="1880.37"/>
    <x v="20"/>
  </r>
  <r>
    <x v="7020"/>
    <n v="1891.84"/>
    <x v="20"/>
  </r>
  <r>
    <x v="7021"/>
    <n v="1902.01"/>
    <x v="20"/>
  </r>
  <r>
    <x v="7022"/>
    <n v="1907.69"/>
    <x v="20"/>
  </r>
  <r>
    <x v="7023"/>
    <n v="1893.46"/>
    <x v="20"/>
  </r>
  <r>
    <x v="7024"/>
    <n v="1879.15"/>
    <x v="20"/>
  </r>
  <r>
    <x v="7025"/>
    <n v="1879.15"/>
    <x v="20"/>
  </r>
  <r>
    <x v="7026"/>
    <n v="1879.15"/>
    <x v="20"/>
  </r>
  <r>
    <x v="7027"/>
    <n v="1879.15"/>
    <x v="20"/>
  </r>
  <r>
    <x v="7028"/>
    <n v="1889.69"/>
    <x v="20"/>
  </r>
  <r>
    <x v="7029"/>
    <n v="1898.28"/>
    <x v="20"/>
  </r>
  <r>
    <x v="7030"/>
    <n v="1898.39"/>
    <x v="20"/>
  </r>
  <r>
    <x v="7031"/>
    <n v="1895.56"/>
    <x v="20"/>
  </r>
  <r>
    <x v="7032"/>
    <n v="1895.56"/>
    <x v="20"/>
  </r>
  <r>
    <x v="7033"/>
    <n v="1895.56"/>
    <x v="20"/>
  </r>
  <r>
    <x v="7034"/>
    <n v="1907.37"/>
    <x v="20"/>
  </r>
  <r>
    <x v="7035"/>
    <n v="1913.21"/>
    <x v="20"/>
  </r>
  <r>
    <x v="7036"/>
    <n v="1916.05"/>
    <x v="20"/>
  </r>
  <r>
    <x v="7037"/>
    <n v="1904.73"/>
    <x v="20"/>
  </r>
  <r>
    <x v="7038"/>
    <n v="1890.23"/>
    <x v="20"/>
  </r>
  <r>
    <x v="7039"/>
    <n v="1890.23"/>
    <x v="20"/>
  </r>
  <r>
    <x v="7040"/>
    <n v="1890.23"/>
    <x v="20"/>
  </r>
  <r>
    <x v="7041"/>
    <n v="1893.17"/>
    <x v="20"/>
  </r>
  <r>
    <x v="7042"/>
    <n v="1889.85"/>
    <x v="20"/>
  </r>
  <r>
    <x v="7043"/>
    <n v="1879.49"/>
    <x v="20"/>
  </r>
  <r>
    <x v="7044"/>
    <n v="1871.97"/>
    <x v="20"/>
  </r>
  <r>
    <x v="7045"/>
    <n v="1866.2"/>
    <x v="20"/>
  </r>
  <r>
    <x v="7046"/>
    <n v="1866.2"/>
    <x v="20"/>
  </r>
  <r>
    <x v="7047"/>
    <n v="1866.2"/>
    <x v="20"/>
  </r>
  <r>
    <x v="7048"/>
    <n v="1876.29"/>
    <x v="20"/>
  </r>
  <r>
    <x v="7049"/>
    <n v="1887.67"/>
    <x v="20"/>
  </r>
  <r>
    <x v="7050"/>
    <n v="1892.62"/>
    <x v="20"/>
  </r>
  <r>
    <x v="7051"/>
    <n v="1876.78"/>
    <x v="20"/>
  </r>
  <r>
    <x v="7052"/>
    <n v="1874.79"/>
    <x v="20"/>
  </r>
  <r>
    <x v="7053"/>
    <n v="1874.79"/>
    <x v="20"/>
  </r>
  <r>
    <x v="7054"/>
    <n v="1874.79"/>
    <x v="20"/>
  </r>
  <r>
    <x v="7055"/>
    <n v="1874.79"/>
    <x v="20"/>
  </r>
  <r>
    <x v="7056"/>
    <n v="1866.34"/>
    <x v="20"/>
  </r>
  <r>
    <x v="7057"/>
    <n v="1867.74"/>
    <x v="20"/>
  </r>
  <r>
    <x v="7058"/>
    <n v="1865.11"/>
    <x v="20"/>
  </r>
  <r>
    <x v="7059"/>
    <n v="1871.37"/>
    <x v="20"/>
  </r>
  <r>
    <x v="7060"/>
    <n v="1871.37"/>
    <x v="20"/>
  </r>
  <r>
    <x v="7061"/>
    <n v="1871.37"/>
    <x v="20"/>
  </r>
  <r>
    <x v="7062"/>
    <n v="1877.84"/>
    <x v="20"/>
  </r>
  <r>
    <x v="7063"/>
    <n v="1888"/>
    <x v="20"/>
  </r>
  <r>
    <x v="7064"/>
    <n v="1879.47"/>
    <x v="20"/>
  </r>
  <r>
    <x v="7065"/>
    <n v="1870.6"/>
    <x v="20"/>
  </r>
  <r>
    <x v="7066"/>
    <n v="1858.95"/>
    <x v="20"/>
  </r>
  <r>
    <x v="7067"/>
    <n v="1858.95"/>
    <x v="20"/>
  </r>
  <r>
    <x v="7068"/>
    <n v="1858.95"/>
    <x v="20"/>
  </r>
  <r>
    <x v="7069"/>
    <n v="1846.78"/>
    <x v="20"/>
  </r>
  <r>
    <x v="7070"/>
    <n v="1838.29"/>
    <x v="20"/>
  </r>
  <r>
    <x v="7071"/>
    <n v="1826.97"/>
    <x v="20"/>
  </r>
  <r>
    <x v="7072"/>
    <n v="1825.09"/>
    <x v="20"/>
  </r>
  <r>
    <x v="7073"/>
    <n v="1817.35"/>
    <x v="20"/>
  </r>
  <r>
    <x v="7074"/>
    <n v="1817.35"/>
    <x v="20"/>
  </r>
  <r>
    <x v="7075"/>
    <n v="1817.35"/>
    <x v="20"/>
  </r>
  <r>
    <x v="7076"/>
    <n v="1815.79"/>
    <x v="20"/>
  </r>
  <r>
    <x v="7077"/>
    <n v="1818.14"/>
    <x v="20"/>
  </r>
  <r>
    <x v="7078"/>
    <n v="1818.91"/>
    <x v="20"/>
  </r>
  <r>
    <x v="7079"/>
    <n v="1811.1"/>
    <x v="20"/>
  </r>
  <r>
    <x v="7080"/>
    <n v="1800.63"/>
    <x v="20"/>
  </r>
  <r>
    <x v="7081"/>
    <n v="1800.63"/>
    <x v="20"/>
  </r>
  <r>
    <x v="7082"/>
    <n v="1800.63"/>
    <x v="20"/>
  </r>
  <r>
    <x v="7083"/>
    <n v="1799.79"/>
    <x v="20"/>
  </r>
  <r>
    <x v="7084"/>
    <n v="1790.54"/>
    <x v="20"/>
  </r>
  <r>
    <x v="7085"/>
    <n v="1782.59"/>
    <x v="20"/>
  </r>
  <r>
    <x v="7086"/>
    <n v="1782.59"/>
    <x v="20"/>
  </r>
  <r>
    <x v="7087"/>
    <n v="1782.59"/>
    <x v="20"/>
  </r>
  <r>
    <x v="7088"/>
    <n v="1782.59"/>
    <x v="20"/>
  </r>
  <r>
    <x v="7089"/>
    <n v="1782.59"/>
    <x v="20"/>
  </r>
  <r>
    <x v="7090"/>
    <n v="1781.56"/>
    <x v="20"/>
  </r>
  <r>
    <x v="7091"/>
    <n v="1787.88"/>
    <x v="20"/>
  </r>
  <r>
    <x v="7092"/>
    <n v="1784.11"/>
    <x v="20"/>
  </r>
  <r>
    <x v="7093"/>
    <n v="1767.54"/>
    <x v="20"/>
  </r>
  <r>
    <x v="7094"/>
    <n v="1768.19"/>
    <x v="20"/>
  </r>
  <r>
    <x v="7095"/>
    <n v="1768.19"/>
    <x v="20"/>
  </r>
  <r>
    <x v="7096"/>
    <n v="1768.19"/>
    <x v="20"/>
  </r>
  <r>
    <x v="7097"/>
    <n v="1768.37"/>
    <x v="20"/>
  </r>
  <r>
    <x v="7098"/>
    <n v="1767.05"/>
    <x v="20"/>
  </r>
  <r>
    <x v="7099"/>
    <n v="1763.45"/>
    <x v="20"/>
  </r>
  <r>
    <x v="7100"/>
    <n v="1769.46"/>
    <x v="20"/>
  </r>
  <r>
    <x v="7101"/>
    <n v="1763.12"/>
    <x v="20"/>
  </r>
  <r>
    <x v="7102"/>
    <n v="1763.12"/>
    <x v="20"/>
  </r>
  <r>
    <x v="7103"/>
    <n v="1763.12"/>
    <x v="20"/>
  </r>
  <r>
    <x v="7104"/>
    <n v="1779.7"/>
    <x v="20"/>
  </r>
  <r>
    <x v="7105"/>
    <n v="1791.72"/>
    <x v="20"/>
  </r>
  <r>
    <x v="7106"/>
    <n v="1798.66"/>
    <x v="20"/>
  </r>
  <r>
    <x v="7107"/>
    <n v="1807.86"/>
    <x v="20"/>
  </r>
  <r>
    <x v="7108"/>
    <n v="1805.37"/>
    <x v="20"/>
  </r>
  <r>
    <x v="7109"/>
    <n v="1805.37"/>
    <x v="20"/>
  </r>
  <r>
    <x v="7110"/>
    <n v="1805.37"/>
    <x v="20"/>
  </r>
  <r>
    <x v="7111"/>
    <n v="1814.98"/>
    <x v="20"/>
  </r>
  <r>
    <x v="7112"/>
    <n v="1826.03"/>
    <x v="20"/>
  </r>
  <r>
    <x v="7113"/>
    <n v="1824.62"/>
    <x v="20"/>
  </r>
  <r>
    <x v="7114"/>
    <n v="1814.99"/>
    <x v="20"/>
  </r>
  <r>
    <x v="7115"/>
    <n v="1819.86"/>
    <x v="20"/>
  </r>
  <r>
    <x v="7116"/>
    <n v="1819.86"/>
    <x v="20"/>
  </r>
  <r>
    <x v="7117"/>
    <n v="1819.86"/>
    <x v="20"/>
  </r>
  <r>
    <x v="7118"/>
    <n v="1828.12"/>
    <x v="20"/>
  </r>
  <r>
    <x v="7119"/>
    <n v="1828.64"/>
    <x v="20"/>
  </r>
  <r>
    <x v="7120"/>
    <n v="1831.58"/>
    <x v="20"/>
  </r>
  <r>
    <x v="7121"/>
    <n v="1829.75"/>
    <x v="20"/>
  </r>
  <r>
    <x v="7122"/>
    <n v="1817.34"/>
    <x v="20"/>
  </r>
  <r>
    <x v="7123"/>
    <n v="1817.34"/>
    <x v="20"/>
  </r>
  <r>
    <x v="7124"/>
    <n v="1817.34"/>
    <x v="20"/>
  </r>
  <r>
    <x v="7125"/>
    <n v="1817.34"/>
    <x v="20"/>
  </r>
  <r>
    <x v="7126"/>
    <n v="1797.83"/>
    <x v="20"/>
  </r>
  <r>
    <x v="7127"/>
    <n v="1789.41"/>
    <x v="20"/>
  </r>
  <r>
    <x v="7128"/>
    <n v="1784.12"/>
    <x v="20"/>
  </r>
  <r>
    <x v="7129"/>
    <n v="1785.05"/>
    <x v="20"/>
  </r>
  <r>
    <x v="7130"/>
    <n v="1785.05"/>
    <x v="20"/>
  </r>
  <r>
    <x v="7131"/>
    <n v="1785.05"/>
    <x v="20"/>
  </r>
  <r>
    <x v="7132"/>
    <n v="1785.05"/>
    <x v="20"/>
  </r>
  <r>
    <x v="7133"/>
    <n v="1770.13"/>
    <x v="20"/>
  </r>
  <r>
    <x v="7134"/>
    <n v="1769.83"/>
    <x v="20"/>
  </r>
  <r>
    <x v="7135"/>
    <n v="1772.59"/>
    <x v="20"/>
  </r>
  <r>
    <x v="7136"/>
    <n v="1774.94"/>
    <x v="20"/>
  </r>
  <r>
    <x v="7137"/>
    <n v="1774.94"/>
    <x v="20"/>
  </r>
  <r>
    <x v="7138"/>
    <n v="1774.94"/>
    <x v="20"/>
  </r>
  <r>
    <x v="7139"/>
    <n v="1777.64"/>
    <x v="20"/>
  </r>
  <r>
    <x v="7140"/>
    <n v="1774.24"/>
    <x v="20"/>
  </r>
  <r>
    <x v="7141"/>
    <n v="1781.4"/>
    <x v="20"/>
  </r>
  <r>
    <x v="7142"/>
    <n v="1793.92"/>
    <x v="20"/>
  </r>
  <r>
    <x v="7143"/>
    <n v="1787.8"/>
    <x v="20"/>
  </r>
  <r>
    <x v="7144"/>
    <n v="1787.8"/>
    <x v="20"/>
  </r>
  <r>
    <x v="7145"/>
    <n v="1787.8"/>
    <x v="20"/>
  </r>
  <r>
    <x v="7146"/>
    <n v="1789.47"/>
    <x v="20"/>
  </r>
  <r>
    <x v="7147"/>
    <n v="1780.48"/>
    <x v="20"/>
  </r>
  <r>
    <x v="7148"/>
    <n v="1779.1"/>
    <x v="20"/>
  </r>
  <r>
    <x v="7149"/>
    <n v="1788.11"/>
    <x v="20"/>
  </r>
  <r>
    <x v="7150"/>
    <n v="1787.8"/>
    <x v="20"/>
  </r>
  <r>
    <x v="7151"/>
    <n v="1787.8"/>
    <x v="20"/>
  </r>
  <r>
    <x v="7152"/>
    <n v="1787.8"/>
    <x v="20"/>
  </r>
  <r>
    <x v="7153"/>
    <n v="1787.8"/>
    <x v="20"/>
  </r>
  <r>
    <x v="7154"/>
    <n v="1786.73"/>
    <x v="20"/>
  </r>
  <r>
    <x v="7155"/>
    <n v="1780.16"/>
    <x v="20"/>
  </r>
  <r>
    <x v="7156"/>
    <n v="1772.32"/>
    <x v="20"/>
  </r>
  <r>
    <x v="7157"/>
    <n v="1762.59"/>
    <x v="20"/>
  </r>
  <r>
    <x v="7158"/>
    <n v="1762.59"/>
    <x v="20"/>
  </r>
  <r>
    <x v="7159"/>
    <n v="1762.59"/>
    <x v="20"/>
  </r>
  <r>
    <x v="7160"/>
    <n v="1762.59"/>
    <x v="20"/>
  </r>
  <r>
    <x v="7161"/>
    <n v="1766.57"/>
    <x v="20"/>
  </r>
  <r>
    <x v="7162"/>
    <n v="1767.47"/>
    <x v="20"/>
  </r>
  <r>
    <x v="7163"/>
    <n v="1759.38"/>
    <x v="20"/>
  </r>
  <r>
    <x v="7164"/>
    <n v="1759.41"/>
    <x v="20"/>
  </r>
  <r>
    <x v="7165"/>
    <n v="1759.41"/>
    <x v="20"/>
  </r>
  <r>
    <x v="7166"/>
    <n v="1759.41"/>
    <x v="20"/>
  </r>
  <r>
    <x v="7167"/>
    <n v="1768.42"/>
    <x v="20"/>
  </r>
  <r>
    <x v="7168"/>
    <n v="1765.32"/>
    <x v="20"/>
  </r>
  <r>
    <x v="7169"/>
    <n v="1758.25"/>
    <x v="20"/>
  </r>
  <r>
    <x v="7170"/>
    <n v="1748.41"/>
    <x v="20"/>
  </r>
  <r>
    <x v="7171"/>
    <n v="1750.9"/>
    <x v="20"/>
  </r>
  <r>
    <x v="7172"/>
    <n v="1750.9"/>
    <x v="20"/>
  </r>
  <r>
    <x v="7173"/>
    <n v="1750.9"/>
    <x v="20"/>
  </r>
  <r>
    <x v="7174"/>
    <n v="1758.99"/>
    <x v="20"/>
  </r>
  <r>
    <x v="7175"/>
    <n v="1757.49"/>
    <x v="20"/>
  </r>
  <r>
    <x v="7176"/>
    <n v="1757.49"/>
    <x v="20"/>
  </r>
  <r>
    <x v="7177"/>
    <n v="1756.38"/>
    <x v="20"/>
  </r>
  <r>
    <x v="7178"/>
    <n v="1757.35"/>
    <x v="20"/>
  </r>
  <r>
    <x v="7179"/>
    <n v="1757.35"/>
    <x v="20"/>
  </r>
  <r>
    <x v="7180"/>
    <n v="1757.35"/>
    <x v="20"/>
  </r>
  <r>
    <x v="7181"/>
    <n v="1768.02"/>
    <x v="20"/>
  </r>
  <r>
    <x v="7182"/>
    <n v="1759.88"/>
    <x v="20"/>
  </r>
  <r>
    <x v="7183"/>
    <n v="1764.89"/>
    <x v="20"/>
  </r>
  <r>
    <x v="7184"/>
    <n v="1771.15"/>
    <x v="20"/>
  </r>
  <r>
    <x v="7185"/>
    <n v="1777.82"/>
    <x v="20"/>
  </r>
  <r>
    <x v="7186"/>
    <n v="1777.82"/>
    <x v="20"/>
  </r>
  <r>
    <x v="7187"/>
    <n v="1777.82"/>
    <x v="20"/>
  </r>
  <r>
    <x v="7188"/>
    <n v="1771.81"/>
    <x v="20"/>
  </r>
  <r>
    <x v="7189"/>
    <n v="1765.53"/>
    <x v="20"/>
  </r>
  <r>
    <x v="7190"/>
    <n v="1772.52"/>
    <x v="20"/>
  </r>
  <r>
    <x v="7191"/>
    <n v="1781.33"/>
    <x v="20"/>
  </r>
  <r>
    <x v="7192"/>
    <n v="1792.68"/>
    <x v="20"/>
  </r>
  <r>
    <x v="7193"/>
    <n v="1792.68"/>
    <x v="20"/>
  </r>
  <r>
    <x v="7194"/>
    <n v="1792.68"/>
    <x v="20"/>
  </r>
  <r>
    <x v="7195"/>
    <n v="1811.18"/>
    <x v="20"/>
  </r>
  <r>
    <x v="7196"/>
    <n v="1811.68"/>
    <x v="20"/>
  </r>
  <r>
    <x v="7197"/>
    <n v="1800.97"/>
    <x v="20"/>
  </r>
  <r>
    <x v="7198"/>
    <n v="1793.47"/>
    <x v="20"/>
  </r>
  <r>
    <x v="7199"/>
    <n v="1783.35"/>
    <x v="20"/>
  </r>
  <r>
    <x v="7200"/>
    <n v="1783.35"/>
    <x v="20"/>
  </r>
  <r>
    <x v="7201"/>
    <n v="1783.35"/>
    <x v="20"/>
  </r>
  <r>
    <x v="7202"/>
    <n v="1783.35"/>
    <x v="20"/>
  </r>
  <r>
    <x v="7203"/>
    <n v="1776.66"/>
    <x v="20"/>
  </r>
  <r>
    <x v="7204"/>
    <n v="1767.29"/>
    <x v="20"/>
  </r>
  <r>
    <x v="7205"/>
    <n v="1775.84"/>
    <x v="20"/>
  </r>
  <r>
    <x v="7206"/>
    <n v="1779.05"/>
    <x v="20"/>
  </r>
  <r>
    <x v="7207"/>
    <n v="1779.05"/>
    <x v="20"/>
  </r>
  <r>
    <x v="7208"/>
    <n v="1779.05"/>
    <x v="20"/>
  </r>
  <r>
    <x v="7209"/>
    <n v="1779.86"/>
    <x v="20"/>
  </r>
  <r>
    <x v="7210"/>
    <n v="1781.91"/>
    <x v="20"/>
  </r>
  <r>
    <x v="7211"/>
    <n v="1791.61"/>
    <x v="20"/>
  </r>
  <r>
    <x v="7212"/>
    <n v="1791.05"/>
    <x v="20"/>
  </r>
  <r>
    <x v="7213"/>
    <n v="1794.02"/>
    <x v="20"/>
  </r>
  <r>
    <x v="7214"/>
    <n v="1794.02"/>
    <x v="20"/>
  </r>
  <r>
    <x v="7215"/>
    <n v="1794.02"/>
    <x v="20"/>
  </r>
  <r>
    <x v="7216"/>
    <n v="1787.52"/>
    <x v="20"/>
  </r>
  <r>
    <x v="7217"/>
    <n v="1783.66"/>
    <x v="20"/>
  </r>
  <r>
    <x v="7218"/>
    <n v="1780.26"/>
    <x v="20"/>
  </r>
  <r>
    <x v="7219"/>
    <n v="1778.51"/>
    <x v="20"/>
  </r>
  <r>
    <x v="7220"/>
    <n v="1782.8"/>
    <x v="20"/>
  </r>
  <r>
    <x v="7221"/>
    <n v="1782.8"/>
    <x v="20"/>
  </r>
  <r>
    <x v="7222"/>
    <n v="1782.8"/>
    <x v="20"/>
  </r>
  <r>
    <x v="7223"/>
    <n v="1782.8"/>
    <x v="20"/>
  </r>
  <r>
    <x v="7224"/>
    <n v="1791.89"/>
    <x v="20"/>
  </r>
  <r>
    <x v="7225"/>
    <n v="1789.3"/>
    <x v="20"/>
  </r>
  <r>
    <x v="7226"/>
    <n v="1789.9"/>
    <x v="20"/>
  </r>
  <r>
    <x v="7227"/>
    <n v="1796.58"/>
    <x v="20"/>
  </r>
  <r>
    <x v="7228"/>
    <n v="1796.58"/>
    <x v="20"/>
  </r>
  <r>
    <x v="7229"/>
    <n v="1796.58"/>
    <x v="20"/>
  </r>
  <r>
    <x v="7230"/>
    <n v="1811.34"/>
    <x v="20"/>
  </r>
  <r>
    <x v="7231"/>
    <n v="1813.42"/>
    <x v="20"/>
  </r>
  <r>
    <x v="7232"/>
    <n v="1824.15"/>
    <x v="20"/>
  </r>
  <r>
    <x v="7233"/>
    <n v="1822.04"/>
    <x v="20"/>
  </r>
  <r>
    <x v="7234"/>
    <n v="1820.29"/>
    <x v="20"/>
  </r>
  <r>
    <x v="7235"/>
    <n v="1820.29"/>
    <x v="20"/>
  </r>
  <r>
    <x v="7236"/>
    <n v="1820.29"/>
    <x v="20"/>
  </r>
  <r>
    <x v="7237"/>
    <n v="1843.26"/>
    <x v="20"/>
  </r>
  <r>
    <x v="7238"/>
    <n v="1854.96"/>
    <x v="20"/>
  </r>
  <r>
    <x v="7239"/>
    <n v="1882.23"/>
    <x v="20"/>
  </r>
  <r>
    <x v="7240"/>
    <n v="1915.63"/>
    <x v="20"/>
  </r>
  <r>
    <x v="7241"/>
    <n v="1902.45"/>
    <x v="20"/>
  </r>
  <r>
    <x v="7242"/>
    <n v="1902.45"/>
    <x v="20"/>
  </r>
  <r>
    <x v="7243"/>
    <n v="1902.45"/>
    <x v="20"/>
  </r>
  <r>
    <x v="7244"/>
    <n v="1903.31"/>
    <x v="20"/>
  </r>
  <r>
    <x v="7245"/>
    <n v="1887.38"/>
    <x v="20"/>
  </r>
  <r>
    <x v="7246"/>
    <n v="1907.75"/>
    <x v="20"/>
  </r>
  <r>
    <x v="7247"/>
    <n v="1915.1"/>
    <x v="20"/>
  </r>
  <r>
    <x v="7248"/>
    <n v="1929.01"/>
    <x v="20"/>
  </r>
  <r>
    <x v="7249"/>
    <n v="1929.01"/>
    <x v="20"/>
  </r>
  <r>
    <x v="7250"/>
    <n v="1929.01"/>
    <x v="20"/>
  </r>
  <r>
    <x v="7251"/>
    <n v="1943.8"/>
    <x v="20"/>
  </r>
  <r>
    <x v="7252"/>
    <n v="1972.76"/>
    <x v="20"/>
  </r>
  <r>
    <x v="7253"/>
    <n v="1967.56"/>
    <x v="20"/>
  </r>
  <r>
    <x v="7254"/>
    <n v="1952.09"/>
    <x v="20"/>
  </r>
  <r>
    <x v="7255"/>
    <n v="1931.64"/>
    <x v="20"/>
  </r>
  <r>
    <x v="7256"/>
    <n v="1931.64"/>
    <x v="20"/>
  </r>
  <r>
    <x v="7257"/>
    <n v="1931.64"/>
    <x v="20"/>
  </r>
  <r>
    <x v="7258"/>
    <n v="1931.64"/>
    <x v="20"/>
  </r>
  <r>
    <x v="7259"/>
    <n v="1913.6"/>
    <x v="20"/>
  </r>
  <r>
    <x v="7260"/>
    <n v="1896.72"/>
    <x v="20"/>
  </r>
  <r>
    <x v="7261"/>
    <n v="1909.12"/>
    <x v="20"/>
  </r>
  <r>
    <x v="7262"/>
    <n v="1895.33"/>
    <x v="20"/>
  </r>
  <r>
    <x v="7263"/>
    <n v="1895.33"/>
    <x v="20"/>
  </r>
  <r>
    <x v="7264"/>
    <n v="1895.33"/>
    <x v="20"/>
  </r>
  <r>
    <x v="7265"/>
    <n v="1895.33"/>
    <x v="20"/>
  </r>
  <r>
    <x v="7266"/>
    <n v="1902.47"/>
    <x v="20"/>
  </r>
  <r>
    <x v="7267"/>
    <n v="1900.1"/>
    <x v="20"/>
  </r>
  <r>
    <x v="7268"/>
    <n v="1905.95"/>
    <x v="20"/>
  </r>
  <r>
    <x v="7269"/>
    <n v="1897.45"/>
    <x v="20"/>
  </r>
  <r>
    <x v="7270"/>
    <n v="1897.45"/>
    <x v="20"/>
  </r>
  <r>
    <x v="7271"/>
    <n v="1897.45"/>
    <x v="20"/>
  </r>
  <r>
    <x v="7272"/>
    <n v="1878.78"/>
    <x v="20"/>
  </r>
  <r>
    <x v="7273"/>
    <n v="1875.55"/>
    <x v="20"/>
  </r>
  <r>
    <x v="7274"/>
    <n v="1878.1"/>
    <x v="20"/>
  </r>
  <r>
    <x v="7275"/>
    <n v="1862.84"/>
    <x v="20"/>
  </r>
  <r>
    <x v="7276"/>
    <n v="1863.06"/>
    <x v="20"/>
  </r>
  <r>
    <x v="7277"/>
    <n v="1863.06"/>
    <x v="20"/>
  </r>
  <r>
    <x v="7278"/>
    <n v="1863.06"/>
    <x v="20"/>
  </r>
  <r>
    <x v="7279"/>
    <n v="1871.49"/>
    <x v="20"/>
  </r>
  <r>
    <x v="7280"/>
    <n v="1891.38"/>
    <x v="20"/>
  </r>
  <r>
    <x v="7281"/>
    <n v="1889.66"/>
    <x v="20"/>
  </r>
  <r>
    <x v="7282"/>
    <n v="1905.38"/>
    <x v="20"/>
  </r>
  <r>
    <x v="7283"/>
    <n v="1915.72"/>
    <x v="20"/>
  </r>
  <r>
    <x v="7284"/>
    <n v="1915.72"/>
    <x v="20"/>
  </r>
  <r>
    <x v="7285"/>
    <n v="1915.72"/>
    <x v="20"/>
  </r>
  <r>
    <x v="7286"/>
    <n v="1915.72"/>
    <x v="20"/>
  </r>
  <r>
    <x v="7287"/>
    <n v="1908.71"/>
    <x v="20"/>
  </r>
  <r>
    <x v="7288"/>
    <n v="1917.69"/>
    <x v="20"/>
  </r>
  <r>
    <x v="7289"/>
    <n v="1913.65"/>
    <x v="20"/>
  </r>
  <r>
    <x v="7290"/>
    <n v="1913.65"/>
    <x v="20"/>
  </r>
  <r>
    <x v="7291"/>
    <n v="1913.65"/>
    <x v="20"/>
  </r>
  <r>
    <x v="7292"/>
    <n v="1913.65"/>
    <x v="20"/>
  </r>
  <r>
    <x v="7293"/>
    <n v="1913.65"/>
    <x v="20"/>
  </r>
  <r>
    <x v="7294"/>
    <n v="1915.41"/>
    <x v="20"/>
  </r>
  <r>
    <x v="7295"/>
    <n v="1912.2"/>
    <x v="20"/>
  </r>
  <r>
    <x v="7296"/>
    <n v="1910.83"/>
    <x v="20"/>
  </r>
  <r>
    <x v="7297"/>
    <n v="1917.45"/>
    <x v="20"/>
  </r>
  <r>
    <x v="7298"/>
    <n v="1917.45"/>
    <x v="20"/>
  </r>
  <r>
    <x v="7299"/>
    <n v="1917.45"/>
    <x v="20"/>
  </r>
  <r>
    <x v="7300"/>
    <n v="1928.47"/>
    <x v="20"/>
  </r>
  <r>
    <x v="7301"/>
    <n v="1925.39"/>
    <x v="20"/>
  </r>
  <r>
    <x v="7302"/>
    <n v="1932.63"/>
    <x v="20"/>
  </r>
  <r>
    <x v="7303"/>
    <n v="1932.63"/>
    <x v="20"/>
  </r>
  <r>
    <x v="7304"/>
    <n v="1948.48"/>
    <x v="20"/>
  </r>
  <r>
    <x v="7305"/>
    <n v="1948.48"/>
    <x v="20"/>
  </r>
  <r>
    <x v="7306"/>
    <n v="1948.48"/>
    <x v="20"/>
  </r>
  <r>
    <x v="7307"/>
    <n v="1946.28"/>
    <x v="20"/>
  </r>
  <r>
    <x v="7308"/>
    <n v="1967.18"/>
    <x v="20"/>
  </r>
  <r>
    <x v="7309"/>
    <n v="1948.51"/>
    <x v="20"/>
  </r>
  <r>
    <x v="7310"/>
    <n v="1949.56"/>
    <x v="20"/>
  </r>
  <r>
    <x v="7311"/>
    <n v="1938.83"/>
    <x v="20"/>
  </r>
  <r>
    <x v="7312"/>
    <n v="1938.83"/>
    <x v="20"/>
  </r>
  <r>
    <x v="7313"/>
    <n v="1938.83"/>
    <x v="20"/>
  </r>
  <r>
    <x v="7314"/>
    <n v="1936.29"/>
    <x v="20"/>
  </r>
  <r>
    <x v="7315"/>
    <n v="1936.11"/>
    <x v="20"/>
  </r>
  <r>
    <x v="7316"/>
    <n v="1930.57"/>
    <x v="20"/>
  </r>
  <r>
    <x v="7317"/>
    <n v="1930.57"/>
    <x v="20"/>
  </r>
  <r>
    <x v="7318"/>
    <n v="1927.1"/>
    <x v="20"/>
  </r>
  <r>
    <x v="7319"/>
    <n v="1927.1"/>
    <x v="20"/>
  </r>
  <r>
    <x v="7320"/>
    <n v="1927.1"/>
    <x v="20"/>
  </r>
  <r>
    <x v="7321"/>
    <n v="1932.3"/>
    <x v="20"/>
  </r>
  <r>
    <x v="7322"/>
    <n v="1929.01"/>
    <x v="20"/>
  </r>
  <r>
    <x v="7323"/>
    <n v="1937.6"/>
    <x v="20"/>
  </r>
  <r>
    <x v="7324"/>
    <n v="1935.96"/>
    <x v="20"/>
  </r>
  <r>
    <x v="7325"/>
    <n v="1935.64"/>
    <x v="20"/>
  </r>
  <r>
    <x v="7326"/>
    <n v="1935.64"/>
    <x v="20"/>
  </r>
  <r>
    <x v="7327"/>
    <n v="1935.64"/>
    <x v="20"/>
  </r>
  <r>
    <x v="7328"/>
    <n v="1939.39"/>
    <x v="20"/>
  </r>
  <r>
    <x v="7329"/>
    <n v="1932.08"/>
    <x v="20"/>
  </r>
  <r>
    <x v="7330"/>
    <n v="1935.72"/>
    <x v="20"/>
  </r>
  <r>
    <x v="7331"/>
    <n v="1927.71"/>
    <x v="20"/>
  </r>
  <r>
    <x v="7332"/>
    <n v="1920.93"/>
    <x v="20"/>
  </r>
  <r>
    <x v="7333"/>
    <n v="1920.93"/>
    <x v="20"/>
  </r>
  <r>
    <x v="7334"/>
    <n v="1920.93"/>
    <x v="20"/>
  </r>
  <r>
    <x v="7335"/>
    <n v="1920.93"/>
    <x v="20"/>
  </r>
  <r>
    <x v="7336"/>
    <n v="1920.16"/>
    <x v="20"/>
  </r>
  <r>
    <x v="7337"/>
    <n v="1938.52"/>
    <x v="20"/>
  </r>
  <r>
    <x v="7338"/>
    <n v="1942.7"/>
    <x v="20"/>
  </r>
  <r>
    <x v="7339"/>
    <n v="1942.7"/>
    <x v="20"/>
  </r>
  <r>
    <x v="7340"/>
    <n v="1942.7"/>
    <x v="21"/>
  </r>
  <r>
    <x v="7341"/>
    <n v="1942.7"/>
    <x v="21"/>
  </r>
  <r>
    <x v="7342"/>
    <n v="1942.7"/>
    <x v="21"/>
  </r>
  <r>
    <x v="7343"/>
    <n v="1915.02"/>
    <x v="21"/>
  </r>
  <r>
    <x v="7344"/>
    <n v="1898.24"/>
    <x v="21"/>
  </r>
  <r>
    <x v="7345"/>
    <n v="1884.44"/>
    <x v="21"/>
  </r>
  <r>
    <x v="7346"/>
    <n v="1884.47"/>
    <x v="21"/>
  </r>
  <r>
    <x v="7347"/>
    <n v="1884.47"/>
    <x v="21"/>
  </r>
  <r>
    <x v="7348"/>
    <n v="1884.47"/>
    <x v="21"/>
  </r>
  <r>
    <x v="7349"/>
    <n v="1884.47"/>
    <x v="21"/>
  </r>
  <r>
    <x v="7350"/>
    <n v="1865.07"/>
    <x v="21"/>
  </r>
  <r>
    <x v="7351"/>
    <n v="1854.17"/>
    <x v="21"/>
  </r>
  <r>
    <x v="7352"/>
    <n v="1842.47"/>
    <x v="21"/>
  </r>
  <r>
    <x v="7353"/>
    <n v="1841.31"/>
    <x v="21"/>
  </r>
  <r>
    <x v="7354"/>
    <n v="1841.31"/>
    <x v="21"/>
  </r>
  <r>
    <x v="7355"/>
    <n v="1841.31"/>
    <x v="21"/>
  </r>
  <r>
    <x v="7356"/>
    <n v="1841.31"/>
    <x v="21"/>
  </r>
  <r>
    <x v="7357"/>
    <n v="1836.34"/>
    <x v="21"/>
  </r>
  <r>
    <x v="7358"/>
    <n v="1827.24"/>
    <x v="21"/>
  </r>
  <r>
    <x v="7359"/>
    <n v="1821.86"/>
    <x v="21"/>
  </r>
  <r>
    <x v="7360"/>
    <n v="1828.75"/>
    <x v="21"/>
  </r>
  <r>
    <x v="7361"/>
    <n v="1828.75"/>
    <x v="21"/>
  </r>
  <r>
    <x v="7362"/>
    <n v="1828.75"/>
    <x v="21"/>
  </r>
  <r>
    <x v="7363"/>
    <n v="1811.55"/>
    <x v="21"/>
  </r>
  <r>
    <x v="7364"/>
    <n v="1814.58"/>
    <x v="21"/>
  </r>
  <r>
    <x v="7365"/>
    <n v="1814.69"/>
    <x v="21"/>
  </r>
  <r>
    <x v="7366"/>
    <n v="1801.88"/>
    <x v="21"/>
  </r>
  <r>
    <x v="7367"/>
    <n v="1810.55"/>
    <x v="21"/>
  </r>
  <r>
    <x v="7368"/>
    <n v="1810.55"/>
    <x v="21"/>
  </r>
  <r>
    <x v="7369"/>
    <n v="1810.55"/>
    <x v="21"/>
  </r>
  <r>
    <x v="7370"/>
    <n v="1815.08"/>
    <x v="21"/>
  </r>
  <r>
    <x v="7371"/>
    <n v="1805.98"/>
    <x v="21"/>
  </r>
  <r>
    <x v="7372"/>
    <n v="1797.68"/>
    <x v="21"/>
  </r>
  <r>
    <x v="7373"/>
    <n v="1795.55"/>
    <x v="21"/>
  </r>
  <r>
    <x v="7374"/>
    <n v="1784.77"/>
    <x v="21"/>
  </r>
  <r>
    <x v="7375"/>
    <n v="1784.77"/>
    <x v="21"/>
  </r>
  <r>
    <x v="7376"/>
    <n v="1784.77"/>
    <x v="21"/>
  </r>
  <r>
    <x v="7377"/>
    <n v="1787.96"/>
    <x v="21"/>
  </r>
  <r>
    <x v="7378"/>
    <n v="1783.34"/>
    <x v="21"/>
  </r>
  <r>
    <x v="7379"/>
    <n v="1778.9"/>
    <x v="21"/>
  </r>
  <r>
    <x v="7380"/>
    <n v="1774.96"/>
    <x v="21"/>
  </r>
  <r>
    <x v="7381"/>
    <n v="1785.59"/>
    <x v="21"/>
  </r>
  <r>
    <x v="7382"/>
    <n v="1785.59"/>
    <x v="21"/>
  </r>
  <r>
    <x v="7383"/>
    <n v="1785.59"/>
    <x v="21"/>
  </r>
  <r>
    <x v="7384"/>
    <n v="1778.12"/>
    <x v="21"/>
  </r>
  <r>
    <x v="7385"/>
    <n v="1785.24"/>
    <x v="21"/>
  </r>
  <r>
    <x v="7386"/>
    <n v="1791.29"/>
    <x v="21"/>
  </r>
  <r>
    <x v="7387"/>
    <n v="1792.92"/>
    <x v="21"/>
  </r>
  <r>
    <x v="7388"/>
    <n v="1779.81"/>
    <x v="21"/>
  </r>
  <r>
    <x v="7389"/>
    <n v="1779.81"/>
    <x v="21"/>
  </r>
  <r>
    <x v="7390"/>
    <n v="1779.81"/>
    <x v="21"/>
  </r>
  <r>
    <x v="7391"/>
    <n v="1779.81"/>
    <x v="21"/>
  </r>
  <r>
    <x v="7392"/>
    <n v="1777.59"/>
    <x v="21"/>
  </r>
  <r>
    <x v="7393"/>
    <n v="1781.57"/>
    <x v="21"/>
  </r>
  <r>
    <x v="7394"/>
    <n v="1776.11"/>
    <x v="21"/>
  </r>
  <r>
    <x v="7395"/>
    <n v="1772.42"/>
    <x v="21"/>
  </r>
  <r>
    <x v="7396"/>
    <n v="1772.42"/>
    <x v="21"/>
  </r>
  <r>
    <x v="7397"/>
    <n v="1772.42"/>
    <x v="21"/>
  </r>
  <r>
    <x v="7398"/>
    <n v="1777.27"/>
    <x v="21"/>
  </r>
  <r>
    <x v="7399"/>
    <n v="1767.83"/>
    <x v="21"/>
  </r>
  <r>
    <x v="7400"/>
    <n v="1766.85"/>
    <x v="21"/>
  </r>
  <r>
    <x v="7401"/>
    <n v="1770.7"/>
    <x v="21"/>
  </r>
  <r>
    <x v="7402"/>
    <n v="1775.69"/>
    <x v="21"/>
  </r>
  <r>
    <x v="7403"/>
    <n v="1775.69"/>
    <x v="21"/>
  </r>
  <r>
    <x v="7404"/>
    <n v="1775.69"/>
    <x v="21"/>
  </r>
  <r>
    <x v="7405"/>
    <n v="1774.03"/>
    <x v="21"/>
  </r>
  <r>
    <x v="7406"/>
    <n v="1779.32"/>
    <x v="21"/>
  </r>
  <r>
    <x v="7407"/>
    <n v="1773.88"/>
    <x v="21"/>
  </r>
  <r>
    <x v="7408"/>
    <n v="1765.06"/>
    <x v="21"/>
  </r>
  <r>
    <x v="7409"/>
    <n v="1762.08"/>
    <x v="21"/>
  </r>
  <r>
    <x v="7410"/>
    <n v="1762.08"/>
    <x v="21"/>
  </r>
  <r>
    <x v="7411"/>
    <n v="1762.08"/>
    <x v="21"/>
  </r>
  <r>
    <x v="7412"/>
    <n v="1766.1"/>
    <x v="21"/>
  </r>
  <r>
    <x v="7413"/>
    <n v="1760.77"/>
    <x v="21"/>
  </r>
  <r>
    <x v="7414"/>
    <n v="1761.04"/>
    <x v="21"/>
  </r>
  <r>
    <x v="7415"/>
    <n v="1761.02"/>
    <x v="21"/>
  </r>
  <r>
    <x v="7416"/>
    <n v="1758.38"/>
    <x v="21"/>
  </r>
  <r>
    <x v="7417"/>
    <n v="1758.38"/>
    <x v="21"/>
  </r>
  <r>
    <x v="7418"/>
    <n v="1758.38"/>
    <x v="21"/>
  </r>
  <r>
    <x v="7419"/>
    <n v="1758.38"/>
    <x v="21"/>
  </r>
  <r>
    <x v="7420"/>
    <n v="1759.78"/>
    <x v="21"/>
  </r>
  <r>
    <x v="7421"/>
    <n v="1758.03"/>
    <x v="21"/>
  </r>
  <r>
    <x v="7422"/>
    <n v="1761.87"/>
    <x v="21"/>
  </r>
  <r>
    <x v="7423"/>
    <n v="1760.17"/>
    <x v="21"/>
  </r>
  <r>
    <x v="7424"/>
    <n v="1760.17"/>
    <x v="21"/>
  </r>
  <r>
    <x v="7425"/>
    <n v="1760.17"/>
    <x v="21"/>
  </r>
  <r>
    <x v="7426"/>
    <n v="1759.58"/>
    <x v="21"/>
  </r>
  <r>
    <x v="7427"/>
    <n v="1762.93"/>
    <x v="21"/>
  </r>
  <r>
    <x v="7428"/>
    <n v="1771.25"/>
    <x v="21"/>
  </r>
  <r>
    <x v="7429"/>
    <n v="1784.66"/>
    <x v="21"/>
  </r>
  <r>
    <x v="7430"/>
    <n v="1792.07"/>
    <x v="21"/>
  </r>
  <r>
    <x v="7431"/>
    <n v="1792.07"/>
    <x v="21"/>
  </r>
  <r>
    <x v="7432"/>
    <n v="1792.07"/>
    <x v="21"/>
  </r>
  <r>
    <x v="7433"/>
    <n v="1779.13"/>
    <x v="21"/>
  </r>
  <r>
    <x v="7434"/>
    <n v="1767.84"/>
    <x v="21"/>
  </r>
  <r>
    <x v="7435"/>
    <n v="1772.58"/>
    <x v="21"/>
  </r>
  <r>
    <x v="7436"/>
    <n v="1772.58"/>
    <x v="21"/>
  </r>
  <r>
    <x v="7437"/>
    <n v="1772.58"/>
    <x v="21"/>
  </r>
  <r>
    <x v="7438"/>
    <n v="1772.58"/>
    <x v="21"/>
  </r>
  <r>
    <x v="7439"/>
    <n v="1772.58"/>
    <x v="21"/>
  </r>
  <r>
    <x v="7440"/>
    <n v="1779.53"/>
    <x v="21"/>
  </r>
  <r>
    <x v="7441"/>
    <n v="1793.3"/>
    <x v="21"/>
  </r>
  <r>
    <x v="7442"/>
    <n v="1787.66"/>
    <x v="21"/>
  </r>
  <r>
    <x v="7443"/>
    <n v="1778.78"/>
    <x v="21"/>
  </r>
  <r>
    <x v="7444"/>
    <n v="1777.12"/>
    <x v="21"/>
  </r>
  <r>
    <x v="7445"/>
    <n v="1777.12"/>
    <x v="21"/>
  </r>
  <r>
    <x v="7446"/>
    <n v="1777.12"/>
    <x v="21"/>
  </r>
  <r>
    <x v="7447"/>
    <n v="1775.67"/>
    <x v="21"/>
  </r>
  <r>
    <x v="7448"/>
    <n v="1769.07"/>
    <x v="21"/>
  </r>
  <r>
    <x v="7449"/>
    <n v="1774.21"/>
    <x v="21"/>
  </r>
  <r>
    <x v="7450"/>
    <n v="1776.06"/>
    <x v="21"/>
  </r>
  <r>
    <x v="7451"/>
    <n v="1771.13"/>
    <x v="21"/>
  </r>
  <r>
    <x v="7452"/>
    <n v="1771.13"/>
    <x v="21"/>
  </r>
  <r>
    <x v="7453"/>
    <n v="1771.13"/>
    <x v="21"/>
  </r>
  <r>
    <x v="7454"/>
    <n v="1774.44"/>
    <x v="21"/>
  </r>
  <r>
    <x v="7455"/>
    <n v="1767.91"/>
    <x v="21"/>
  </r>
  <r>
    <x v="7456"/>
    <n v="1763.85"/>
    <x v="21"/>
  </r>
  <r>
    <x v="7457"/>
    <n v="1764.63"/>
    <x v="21"/>
  </r>
  <r>
    <x v="7458"/>
    <n v="1761.2"/>
    <x v="21"/>
  </r>
  <r>
    <x v="7459"/>
    <n v="1761.2"/>
    <x v="21"/>
  </r>
  <r>
    <x v="7460"/>
    <n v="1761.2"/>
    <x v="21"/>
  </r>
  <r>
    <x v="7461"/>
    <n v="1764"/>
    <x v="21"/>
  </r>
  <r>
    <x v="7462"/>
    <n v="1764"/>
    <x v="21"/>
  </r>
  <r>
    <x v="7463"/>
    <n v="1760.12"/>
    <x v="21"/>
  </r>
  <r>
    <x v="7464"/>
    <n v="1754.89"/>
    <x v="21"/>
  </r>
  <r>
    <x v="7465"/>
    <n v="1757.24"/>
    <x v="21"/>
  </r>
  <r>
    <x v="7466"/>
    <n v="1757.24"/>
    <x v="21"/>
  </r>
  <r>
    <x v="7467"/>
    <n v="1757.24"/>
    <x v="21"/>
  </r>
  <r>
    <x v="7468"/>
    <n v="1759.12"/>
    <x v="21"/>
  </r>
  <r>
    <x v="7469"/>
    <n v="1760.6"/>
    <x v="21"/>
  </r>
  <r>
    <x v="7470"/>
    <n v="1775.96"/>
    <x v="21"/>
  </r>
  <r>
    <x v="7471"/>
    <n v="1765"/>
    <x v="21"/>
  </r>
  <r>
    <x v="7472"/>
    <n v="1764.69"/>
    <x v="21"/>
  </r>
  <r>
    <x v="7473"/>
    <n v="1764.69"/>
    <x v="21"/>
  </r>
  <r>
    <x v="7474"/>
    <n v="1764.69"/>
    <x v="21"/>
  </r>
  <r>
    <x v="7475"/>
    <n v="1771.6"/>
    <x v="21"/>
  </r>
  <r>
    <x v="7476"/>
    <n v="1778.37"/>
    <x v="21"/>
  </r>
  <r>
    <x v="7477"/>
    <n v="1793.61"/>
    <x v="21"/>
  </r>
  <r>
    <x v="7478"/>
    <n v="1804.92"/>
    <x v="21"/>
  </r>
  <r>
    <x v="7479"/>
    <n v="1814.46"/>
    <x v="21"/>
  </r>
  <r>
    <x v="7480"/>
    <n v="1814.46"/>
    <x v="21"/>
  </r>
  <r>
    <x v="7481"/>
    <n v="1814.46"/>
    <x v="21"/>
  </r>
  <r>
    <x v="7482"/>
    <n v="1814.46"/>
    <x v="21"/>
  </r>
  <r>
    <x v="7483"/>
    <n v="1824.73"/>
    <x v="21"/>
  </r>
  <r>
    <x v="7484"/>
    <n v="1845.17"/>
    <x v="21"/>
  </r>
  <r>
    <x v="7485"/>
    <n v="1836.45"/>
    <x v="21"/>
  </r>
  <r>
    <x v="7486"/>
    <n v="1840.69"/>
    <x v="21"/>
  </r>
  <r>
    <x v="7487"/>
    <n v="1840.69"/>
    <x v="21"/>
  </r>
  <r>
    <x v="7488"/>
    <n v="1840.69"/>
    <x v="21"/>
  </r>
  <r>
    <x v="7489"/>
    <n v="1840.69"/>
    <x v="21"/>
  </r>
  <r>
    <x v="7490"/>
    <n v="1818.82"/>
    <x v="21"/>
  </r>
  <r>
    <x v="7491"/>
    <n v="1827.83"/>
    <x v="21"/>
  </r>
  <r>
    <x v="7492"/>
    <n v="1833.8"/>
    <x v="21"/>
  </r>
  <r>
    <x v="7493"/>
    <n v="1834.71"/>
    <x v="21"/>
  </r>
  <r>
    <x v="7494"/>
    <n v="1834.71"/>
    <x v="21"/>
  </r>
  <r>
    <x v="7495"/>
    <n v="1834.71"/>
    <x v="21"/>
  </r>
  <r>
    <x v="7496"/>
    <n v="1815.54"/>
    <x v="21"/>
  </r>
  <r>
    <x v="7497"/>
    <n v="1798.85"/>
    <x v="21"/>
  </r>
  <r>
    <x v="7498"/>
    <n v="1782.89"/>
    <x v="21"/>
  </r>
  <r>
    <x v="7499"/>
    <n v="1766.91"/>
    <x v="21"/>
  </r>
  <r>
    <x v="7500"/>
    <n v="1776.26"/>
    <x v="21"/>
  </r>
  <r>
    <x v="7501"/>
    <n v="1776.26"/>
    <x v="21"/>
  </r>
  <r>
    <x v="7502"/>
    <n v="1776.26"/>
    <x v="21"/>
  </r>
  <r>
    <x v="7503"/>
    <n v="1776.26"/>
    <x v="21"/>
  </r>
  <r>
    <x v="7504"/>
    <n v="1776.47"/>
    <x v="21"/>
  </r>
  <r>
    <x v="7505"/>
    <n v="1783.45"/>
    <x v="21"/>
  </r>
  <r>
    <x v="7506"/>
    <n v="1787.63"/>
    <x v="21"/>
  </r>
  <r>
    <x v="7507"/>
    <n v="1786.21"/>
    <x v="21"/>
  </r>
  <r>
    <x v="7508"/>
    <n v="1786.21"/>
    <x v="21"/>
  </r>
  <r>
    <x v="7509"/>
    <n v="1786.21"/>
    <x v="21"/>
  </r>
  <r>
    <x v="7510"/>
    <n v="1786.21"/>
    <x v="21"/>
  </r>
  <r>
    <x v="7511"/>
    <n v="1773.18"/>
    <x v="21"/>
  </r>
  <r>
    <x v="7512"/>
    <n v="1770.38"/>
    <x v="21"/>
  </r>
  <r>
    <x v="7513"/>
    <n v="1775.99"/>
    <x v="21"/>
  </r>
  <r>
    <x v="7514"/>
    <n v="1787.47"/>
    <x v="21"/>
  </r>
  <r>
    <x v="7515"/>
    <n v="1787.47"/>
    <x v="21"/>
  </r>
  <r>
    <x v="7516"/>
    <n v="1787.47"/>
    <x v="21"/>
  </r>
  <r>
    <x v="7517"/>
    <n v="1803.37"/>
    <x v="21"/>
  </r>
  <r>
    <x v="7518"/>
    <n v="1805.14"/>
    <x v="21"/>
  </r>
  <r>
    <x v="7519"/>
    <n v="1796.18"/>
    <x v="21"/>
  </r>
  <r>
    <x v="7520"/>
    <n v="1805.6"/>
    <x v="21"/>
  </r>
  <r>
    <x v="7521"/>
    <n v="1784.6"/>
    <x v="21"/>
  </r>
  <r>
    <x v="7522"/>
    <n v="1784.6"/>
    <x v="21"/>
  </r>
  <r>
    <x v="7523"/>
    <n v="1784.6"/>
    <x v="21"/>
  </r>
  <r>
    <x v="7524"/>
    <n v="1784.6"/>
    <x v="21"/>
  </r>
  <r>
    <x v="7525"/>
    <n v="1771.53"/>
    <x v="21"/>
  </r>
  <r>
    <x v="7526"/>
    <n v="1771.53"/>
    <x v="21"/>
  </r>
  <r>
    <x v="7527"/>
    <n v="1774.37"/>
    <x v="21"/>
  </r>
  <r>
    <x v="7528"/>
    <n v="1785.25"/>
    <x v="21"/>
  </r>
  <r>
    <x v="7529"/>
    <n v="1785.25"/>
    <x v="21"/>
  </r>
  <r>
    <x v="7530"/>
    <n v="1785.25"/>
    <x v="21"/>
  </r>
  <r>
    <x v="7531"/>
    <n v="1790.25"/>
    <x v="21"/>
  </r>
  <r>
    <x v="7532"/>
    <n v="1785.06"/>
    <x v="21"/>
  </r>
  <r>
    <x v="7533"/>
    <n v="1787.72"/>
    <x v="21"/>
  </r>
  <r>
    <x v="7534"/>
    <n v="1790.12"/>
    <x v="21"/>
  </r>
  <r>
    <x v="7535"/>
    <n v="1780.21"/>
    <x v="21"/>
  </r>
  <r>
    <x v="7536"/>
    <n v="1780.21"/>
    <x v="21"/>
  </r>
  <r>
    <x v="7537"/>
    <n v="1780.21"/>
    <x v="21"/>
  </r>
  <r>
    <x v="7538"/>
    <n v="1778.42"/>
    <x v="21"/>
  </r>
  <r>
    <x v="7539"/>
    <n v="1778.97"/>
    <x v="21"/>
  </r>
  <r>
    <x v="7540"/>
    <n v="1778.28"/>
    <x v="21"/>
  </r>
  <r>
    <x v="7541"/>
    <n v="1775.8"/>
    <x v="21"/>
  </r>
  <r>
    <x v="7542"/>
    <n v="1775.8"/>
    <x v="21"/>
  </r>
  <r>
    <x v="7543"/>
    <n v="1775.8"/>
    <x v="21"/>
  </r>
  <r>
    <x v="7544"/>
    <n v="1775.8"/>
    <x v="21"/>
  </r>
  <r>
    <x v="7545"/>
    <n v="1790.39"/>
    <x v="21"/>
  </r>
  <r>
    <x v="7546"/>
    <n v="1797.33"/>
    <x v="21"/>
  </r>
  <r>
    <x v="7547"/>
    <n v="1799.48"/>
    <x v="21"/>
  </r>
  <r>
    <x v="7548"/>
    <n v="1789.22"/>
    <x v="21"/>
  </r>
  <r>
    <x v="7549"/>
    <n v="1791.12"/>
    <x v="21"/>
  </r>
  <r>
    <x v="7550"/>
    <n v="1791.12"/>
    <x v="21"/>
  </r>
  <r>
    <x v="7551"/>
    <n v="1791.12"/>
    <x v="21"/>
  </r>
  <r>
    <x v="7552"/>
    <n v="1789.02"/>
    <x v="21"/>
  </r>
  <r>
    <x v="7553"/>
    <n v="1790.74"/>
    <x v="21"/>
  </r>
  <r>
    <x v="7554"/>
    <n v="1787.51"/>
    <x v="21"/>
  </r>
  <r>
    <x v="7555"/>
    <n v="1790.97"/>
    <x v="21"/>
  </r>
  <r>
    <x v="7556"/>
    <n v="1786.06"/>
    <x v="21"/>
  </r>
  <r>
    <x v="7557"/>
    <n v="1786.06"/>
    <x v="21"/>
  </r>
  <r>
    <x v="7558"/>
    <n v="1786.06"/>
    <x v="21"/>
  </r>
  <r>
    <x v="7559"/>
    <n v="1785.29"/>
    <x v="21"/>
  </r>
  <r>
    <x v="7560"/>
    <n v="1785.29"/>
    <x v="21"/>
  </r>
  <r>
    <x v="7561"/>
    <n v="1788.03"/>
    <x v="21"/>
  </r>
  <r>
    <x v="7562"/>
    <n v="1788.08"/>
    <x v="21"/>
  </r>
  <r>
    <x v="7563"/>
    <n v="1791.61"/>
    <x v="21"/>
  </r>
  <r>
    <x v="7564"/>
    <n v="1791.61"/>
    <x v="21"/>
  </r>
  <r>
    <x v="7565"/>
    <n v="1791.61"/>
    <x v="21"/>
  </r>
  <r>
    <x v="7566"/>
    <n v="1792.86"/>
    <x v="21"/>
  </r>
  <r>
    <x v="7567"/>
    <n v="1800.81"/>
    <x v="21"/>
  </r>
  <r>
    <x v="7568"/>
    <n v="1817.18"/>
    <x v="21"/>
  </r>
  <r>
    <x v="7569"/>
    <n v="1825.52"/>
    <x v="21"/>
  </r>
  <r>
    <x v="7570"/>
    <n v="1822.59"/>
    <x v="21"/>
  </r>
  <r>
    <x v="7571"/>
    <n v="1822.59"/>
    <x v="21"/>
  </r>
  <r>
    <x v="7572"/>
    <n v="1822.59"/>
    <x v="21"/>
  </r>
  <r>
    <x v="7573"/>
    <n v="1822.59"/>
    <x v="21"/>
  </r>
  <r>
    <x v="7574"/>
    <n v="1815.8"/>
    <x v="21"/>
  </r>
  <r>
    <x v="7575"/>
    <n v="1812.88"/>
    <x v="21"/>
  </r>
  <r>
    <x v="7576"/>
    <n v="1808.33"/>
    <x v="21"/>
  </r>
  <r>
    <x v="7577"/>
    <n v="1814.83"/>
    <x v="21"/>
  </r>
  <r>
    <x v="7578"/>
    <n v="1814.83"/>
    <x v="21"/>
  </r>
  <r>
    <x v="7579"/>
    <n v="1814.83"/>
    <x v="21"/>
  </r>
  <r>
    <x v="7580"/>
    <n v="1821.44"/>
    <x v="21"/>
  </r>
  <r>
    <x v="7581"/>
    <n v="1828.99"/>
    <x v="21"/>
  </r>
  <r>
    <x v="7582"/>
    <n v="1833.14"/>
    <x v="21"/>
  </r>
  <r>
    <x v="7583"/>
    <n v="1830.5"/>
    <x v="21"/>
  </r>
  <r>
    <x v="7584"/>
    <n v="1825.21"/>
    <x v="21"/>
  </r>
  <r>
    <x v="7585"/>
    <n v="1825.21"/>
    <x v="21"/>
  </r>
  <r>
    <x v="7586"/>
    <n v="1825.21"/>
    <x v="21"/>
  </r>
  <r>
    <x v="7587"/>
    <n v="1825.21"/>
    <x v="21"/>
  </r>
  <r>
    <x v="7588"/>
    <n v="1824.81"/>
    <x v="21"/>
  </r>
  <r>
    <x v="7589"/>
    <n v="1814.06"/>
    <x v="21"/>
  </r>
  <r>
    <x v="7590"/>
    <n v="1804.09"/>
    <x v="21"/>
  </r>
  <r>
    <x v="7591"/>
    <n v="1797.35"/>
    <x v="21"/>
  </r>
  <r>
    <x v="7592"/>
    <n v="1797.35"/>
    <x v="21"/>
  </r>
  <r>
    <x v="7593"/>
    <n v="1797.35"/>
    <x v="21"/>
  </r>
  <r>
    <x v="7594"/>
    <n v="1802.23"/>
    <x v="21"/>
  </r>
  <r>
    <x v="7595"/>
    <n v="1795.4"/>
    <x v="21"/>
  </r>
  <r>
    <x v="7596"/>
    <n v="1802.22"/>
    <x v="21"/>
  </r>
  <r>
    <x v="7597"/>
    <n v="1799.57"/>
    <x v="21"/>
  </r>
  <r>
    <x v="7598"/>
    <n v="1789.54"/>
    <x v="21"/>
  </r>
  <r>
    <x v="7599"/>
    <n v="1789.54"/>
    <x v="21"/>
  </r>
  <r>
    <x v="7600"/>
    <n v="1789.54"/>
    <x v="21"/>
  </r>
  <r>
    <x v="7601"/>
    <n v="1799.77"/>
    <x v="21"/>
  </r>
  <r>
    <x v="7602"/>
    <n v="1800.19"/>
    <x v="21"/>
  </r>
  <r>
    <x v="7603"/>
    <n v="1795.66"/>
    <x v="21"/>
  </r>
  <r>
    <x v="7604"/>
    <n v="1798.98"/>
    <x v="21"/>
  </r>
  <r>
    <x v="7605"/>
    <n v="1796.75"/>
    <x v="21"/>
  </r>
  <r>
    <x v="7606"/>
    <n v="1796.75"/>
    <x v="21"/>
  </r>
  <r>
    <x v="7607"/>
    <n v="1796.75"/>
    <x v="21"/>
  </r>
  <r>
    <x v="7608"/>
    <n v="1799.29"/>
    <x v="21"/>
  </r>
  <r>
    <x v="7609"/>
    <n v="1795.69"/>
    <x v="21"/>
  </r>
  <r>
    <x v="7610"/>
    <n v="1799.55"/>
    <x v="21"/>
  </r>
  <r>
    <x v="7611"/>
    <n v="1798.08"/>
    <x v="21"/>
  </r>
  <r>
    <x v="7612"/>
    <n v="1800.52"/>
    <x v="21"/>
  </r>
  <r>
    <x v="7613"/>
    <n v="1800.52"/>
    <x v="21"/>
  </r>
  <r>
    <x v="7614"/>
    <n v="1800.52"/>
    <x v="21"/>
  </r>
  <r>
    <x v="7615"/>
    <n v="1797.97"/>
    <x v="21"/>
  </r>
  <r>
    <x v="7616"/>
    <n v="1798.86"/>
    <x v="21"/>
  </r>
  <r>
    <x v="7617"/>
    <n v="1800.43"/>
    <x v="21"/>
  </r>
  <r>
    <x v="7618"/>
    <n v="1797.68"/>
    <x v="21"/>
  </r>
  <r>
    <x v="7619"/>
    <n v="1795.4"/>
    <x v="21"/>
  </r>
  <r>
    <x v="7620"/>
    <n v="1795.4"/>
    <x v="21"/>
  </r>
  <r>
    <x v="7621"/>
    <n v="1795.4"/>
    <x v="21"/>
  </r>
  <r>
    <x v="7622"/>
    <n v="1795.4"/>
    <x v="21"/>
  </r>
  <r>
    <x v="7623"/>
    <n v="1798.32"/>
    <x v="21"/>
  </r>
  <r>
    <x v="7624"/>
    <n v="1799.78"/>
    <x v="21"/>
  </r>
  <r>
    <x v="7625"/>
    <n v="1797.68"/>
    <x v="21"/>
  </r>
  <r>
    <x v="7626"/>
    <n v="1797.68"/>
    <x v="21"/>
  </r>
  <r>
    <x v="7627"/>
    <n v="1797.68"/>
    <x v="21"/>
  </r>
  <r>
    <x v="7628"/>
    <n v="1797.68"/>
    <x v="21"/>
  </r>
  <r>
    <x v="7629"/>
    <n v="1797.68"/>
    <x v="21"/>
  </r>
  <r>
    <x v="7630"/>
    <n v="1797.81"/>
    <x v="21"/>
  </r>
  <r>
    <x v="7631"/>
    <n v="1798.53"/>
    <x v="21"/>
  </r>
  <r>
    <x v="7632"/>
    <n v="1797.66"/>
    <x v="21"/>
  </r>
  <r>
    <x v="7633"/>
    <n v="1798.42"/>
    <x v="21"/>
  </r>
  <r>
    <x v="7634"/>
    <n v="1798.42"/>
    <x v="21"/>
  </r>
  <r>
    <x v="7635"/>
    <n v="1798.42"/>
    <x v="21"/>
  </r>
  <r>
    <x v="7636"/>
    <n v="1802.91"/>
    <x v="21"/>
  </r>
  <r>
    <x v="7637"/>
    <n v="1816.6"/>
    <x v="21"/>
  </r>
  <r>
    <x v="7638"/>
    <n v="1817.25"/>
    <x v="21"/>
  </r>
  <r>
    <x v="7639"/>
    <n v="1816.97"/>
    <x v="21"/>
  </r>
  <r>
    <x v="7640"/>
    <n v="1823.18"/>
    <x v="21"/>
  </r>
  <r>
    <x v="7641"/>
    <n v="1823.18"/>
    <x v="21"/>
  </r>
  <r>
    <x v="7642"/>
    <n v="1823.18"/>
    <x v="21"/>
  </r>
  <r>
    <x v="7643"/>
    <n v="1830.45"/>
    <x v="21"/>
  </r>
  <r>
    <x v="7644"/>
    <n v="1829.89"/>
    <x v="21"/>
  </r>
  <r>
    <x v="7645"/>
    <n v="1831.25"/>
    <x v="21"/>
  </r>
  <r>
    <x v="7646"/>
    <n v="1825.5"/>
    <x v="21"/>
  </r>
  <r>
    <x v="7647"/>
    <n v="1828.8"/>
    <x v="21"/>
  </r>
  <r>
    <x v="7648"/>
    <n v="1828.8"/>
    <x v="21"/>
  </r>
  <r>
    <x v="7649"/>
    <n v="1828.8"/>
    <x v="21"/>
  </r>
  <r>
    <x v="7650"/>
    <n v="1828.8"/>
    <x v="21"/>
  </r>
  <r>
    <x v="7651"/>
    <n v="1814.99"/>
    <x v="21"/>
  </r>
  <r>
    <x v="7652"/>
    <n v="1814.83"/>
    <x v="21"/>
  </r>
  <r>
    <x v="7653"/>
    <n v="1814.21"/>
    <x v="21"/>
  </r>
  <r>
    <x v="7654"/>
    <n v="1816.99"/>
    <x v="21"/>
  </r>
  <r>
    <x v="7655"/>
    <n v="1816.99"/>
    <x v="21"/>
  </r>
  <r>
    <x v="7656"/>
    <n v="1816.99"/>
    <x v="21"/>
  </r>
  <r>
    <x v="7657"/>
    <n v="1816.99"/>
    <x v="21"/>
  </r>
  <r>
    <x v="7658"/>
    <n v="1819.3"/>
    <x v="21"/>
  </r>
  <r>
    <x v="7659"/>
    <n v="1818.2"/>
    <x v="21"/>
  </r>
  <r>
    <x v="7660"/>
    <n v="1822.61"/>
    <x v="21"/>
  </r>
  <r>
    <x v="7661"/>
    <n v="1823.46"/>
    <x v="21"/>
  </r>
  <r>
    <x v="7662"/>
    <n v="1823.46"/>
    <x v="21"/>
  </r>
  <r>
    <x v="7663"/>
    <n v="1823.46"/>
    <x v="21"/>
  </r>
  <r>
    <x v="7664"/>
    <n v="1817.67"/>
    <x v="21"/>
  </r>
  <r>
    <x v="7665"/>
    <n v="1815.58"/>
    <x v="21"/>
  </r>
  <r>
    <x v="7666"/>
    <n v="1815.76"/>
    <x v="21"/>
  </r>
  <r>
    <x v="7667"/>
    <n v="1815.76"/>
    <x v="21"/>
  </r>
  <r>
    <x v="7668"/>
    <n v="1820.18"/>
    <x v="21"/>
  </r>
  <r>
    <x v="7669"/>
    <n v="1820.18"/>
    <x v="21"/>
  </r>
  <r>
    <x v="7670"/>
    <n v="1820.18"/>
    <x v="21"/>
  </r>
  <r>
    <x v="7671"/>
    <n v="1824.12"/>
    <x v="21"/>
  </r>
  <r>
    <x v="7672"/>
    <n v="1823.54"/>
    <x v="21"/>
  </r>
  <r>
    <x v="7673"/>
    <n v="1825.08"/>
    <x v="21"/>
  </r>
  <r>
    <x v="7674"/>
    <n v="1817.93"/>
    <x v="21"/>
  </r>
  <r>
    <x v="7675"/>
    <n v="1813.72"/>
    <x v="21"/>
  </r>
  <r>
    <x v="7676"/>
    <n v="1813.72"/>
    <x v="21"/>
  </r>
  <r>
    <x v="7677"/>
    <n v="1813.72"/>
    <x v="21"/>
  </r>
  <r>
    <x v="7678"/>
    <n v="1813.73"/>
    <x v="21"/>
  </r>
  <r>
    <x v="7679"/>
    <n v="1813.57"/>
    <x v="21"/>
  </r>
  <r>
    <x v="7680"/>
    <n v="1811.05"/>
    <x v="21"/>
  </r>
  <r>
    <x v="7681"/>
    <n v="1803.69"/>
    <x v="21"/>
  </r>
  <r>
    <x v="7682"/>
    <n v="1797.45"/>
    <x v="21"/>
  </r>
  <r>
    <x v="7683"/>
    <n v="1797.45"/>
    <x v="21"/>
  </r>
  <r>
    <x v="7684"/>
    <n v="1797.45"/>
    <x v="21"/>
  </r>
  <r>
    <x v="7685"/>
    <n v="1799.4"/>
    <x v="21"/>
  </r>
  <r>
    <x v="7686"/>
    <n v="1801.5"/>
    <x v="21"/>
  </r>
  <r>
    <x v="7687"/>
    <n v="1796.31"/>
    <x v="21"/>
  </r>
  <r>
    <x v="7688"/>
    <n v="1795.05"/>
    <x v="21"/>
  </r>
  <r>
    <x v="7689"/>
    <n v="1798.37"/>
    <x v="21"/>
  </r>
  <r>
    <x v="7690"/>
    <n v="1798.37"/>
    <x v="21"/>
  </r>
  <r>
    <x v="7691"/>
    <n v="1798.37"/>
    <x v="21"/>
  </r>
  <r>
    <x v="7692"/>
    <n v="1796.98"/>
    <x v="21"/>
  </r>
  <r>
    <x v="7693"/>
    <n v="1794.14"/>
    <x v="21"/>
  </r>
  <r>
    <x v="7694"/>
    <n v="1790.46"/>
    <x v="21"/>
  </r>
  <r>
    <x v="7695"/>
    <n v="1788.87"/>
    <x v="21"/>
  </r>
  <r>
    <x v="7696"/>
    <n v="1779.79"/>
    <x v="21"/>
  </r>
  <r>
    <x v="7697"/>
    <n v="1779.79"/>
    <x v="21"/>
  </r>
  <r>
    <x v="7698"/>
    <n v="1779.79"/>
    <x v="21"/>
  </r>
  <r>
    <x v="7699"/>
    <n v="1773.44"/>
    <x v="21"/>
  </r>
  <r>
    <x v="7700"/>
    <n v="1773.44"/>
    <x v="21"/>
  </r>
  <r>
    <x v="7701"/>
    <n v="1771.49"/>
    <x v="21"/>
  </r>
  <r>
    <x v="7702"/>
    <n v="1771.54"/>
    <x v="21"/>
  </r>
  <r>
    <x v="7703"/>
    <n v="1768.23"/>
    <x v="21"/>
  </r>
  <r>
    <x v="7704"/>
    <n v="1768.23"/>
    <x v="21"/>
  </r>
  <r>
    <x v="7705"/>
    <n v="1768.23"/>
    <x v="21"/>
  </r>
  <r>
    <x v="7706"/>
    <n v="1768.23"/>
    <x v="22"/>
  </r>
  <r>
    <x v="7707"/>
    <n v="1768.23"/>
    <x v="22"/>
  </r>
  <r>
    <x v="7708"/>
    <n v="1759.97"/>
    <x v="22"/>
  </r>
  <r>
    <x v="7709"/>
    <n v="1760.83"/>
    <x v="22"/>
  </r>
  <r>
    <x v="7710"/>
    <n v="1767.54"/>
    <x v="22"/>
  </r>
  <r>
    <x v="7711"/>
    <n v="1767.54"/>
    <x v="22"/>
  </r>
  <r>
    <x v="7712"/>
    <n v="1767.54"/>
    <x v="22"/>
  </r>
  <r>
    <x v="7713"/>
    <n v="1767.54"/>
    <x v="22"/>
  </r>
  <r>
    <x v="7714"/>
    <n v="1771.31"/>
    <x v="22"/>
  </r>
  <r>
    <x v="7715"/>
    <n v="1767.96"/>
    <x v="22"/>
  </r>
  <r>
    <x v="7716"/>
    <n v="1761.5"/>
    <x v="22"/>
  </r>
  <r>
    <x v="7717"/>
    <n v="1762.38"/>
    <x v="22"/>
  </r>
  <r>
    <x v="7718"/>
    <n v="1762.38"/>
    <x v="22"/>
  </r>
  <r>
    <x v="7719"/>
    <n v="1762.38"/>
    <x v="22"/>
  </r>
  <r>
    <x v="7720"/>
    <n v="1758.45"/>
    <x v="22"/>
  </r>
  <r>
    <x v="7721"/>
    <n v="1769.88"/>
    <x v="22"/>
  </r>
  <r>
    <x v="7722"/>
    <n v="1775.15"/>
    <x v="22"/>
  </r>
  <r>
    <x v="7723"/>
    <n v="1767.78"/>
    <x v="22"/>
  </r>
  <r>
    <x v="7724"/>
    <n v="1767.74"/>
    <x v="22"/>
  </r>
  <r>
    <x v="7725"/>
    <n v="1767.74"/>
    <x v="22"/>
  </r>
  <r>
    <x v="7726"/>
    <n v="1767.74"/>
    <x v="22"/>
  </r>
  <r>
    <x v="7727"/>
    <n v="1767.74"/>
    <x v="22"/>
  </r>
  <r>
    <x v="7728"/>
    <n v="1776.96"/>
    <x v="22"/>
  </r>
  <r>
    <x v="7729"/>
    <n v="1778.69"/>
    <x v="22"/>
  </r>
  <r>
    <x v="7730"/>
    <n v="1779.73"/>
    <x v="22"/>
  </r>
  <r>
    <x v="7731"/>
    <n v="1779.25"/>
    <x v="22"/>
  </r>
  <r>
    <x v="7732"/>
    <n v="1779.25"/>
    <x v="22"/>
  </r>
  <r>
    <x v="7733"/>
    <n v="1779.25"/>
    <x v="22"/>
  </r>
  <r>
    <x v="7734"/>
    <n v="1779.84"/>
    <x v="22"/>
  </r>
  <r>
    <x v="7735"/>
    <n v="1776.09"/>
    <x v="22"/>
  </r>
  <r>
    <x v="7736"/>
    <n v="1773.24"/>
    <x v="22"/>
  </r>
  <r>
    <x v="7737"/>
    <n v="1775.65"/>
    <x v="22"/>
  </r>
  <r>
    <x v="7738"/>
    <n v="1776.2"/>
    <x v="22"/>
  </r>
  <r>
    <x v="7739"/>
    <n v="1776.2"/>
    <x v="22"/>
  </r>
  <r>
    <x v="7740"/>
    <n v="1776.2"/>
    <x v="22"/>
  </r>
  <r>
    <x v="7741"/>
    <n v="1785.92"/>
    <x v="22"/>
  </r>
  <r>
    <x v="7742"/>
    <n v="1789.09"/>
    <x v="22"/>
  </r>
  <r>
    <x v="7743"/>
    <n v="1791.24"/>
    <x v="22"/>
  </r>
  <r>
    <x v="7744"/>
    <n v="1795.21"/>
    <x v="22"/>
  </r>
  <r>
    <x v="7745"/>
    <n v="1790.61"/>
    <x v="22"/>
  </r>
  <r>
    <x v="7746"/>
    <n v="1790.61"/>
    <x v="22"/>
  </r>
  <r>
    <x v="7747"/>
    <n v="1790.61"/>
    <x v="22"/>
  </r>
  <r>
    <x v="7748"/>
    <n v="1784.71"/>
    <x v="22"/>
  </r>
  <r>
    <x v="7749"/>
    <n v="1783.2"/>
    <x v="22"/>
  </r>
  <r>
    <x v="7750"/>
    <n v="1777.72"/>
    <x v="22"/>
  </r>
  <r>
    <x v="7751"/>
    <n v="1783.19"/>
    <x v="22"/>
  </r>
  <r>
    <x v="7752"/>
    <n v="1785.41"/>
    <x v="22"/>
  </r>
  <r>
    <x v="7753"/>
    <n v="1785.41"/>
    <x v="22"/>
  </r>
  <r>
    <x v="7754"/>
    <n v="1785.41"/>
    <x v="22"/>
  </r>
  <r>
    <x v="7755"/>
    <n v="1785.41"/>
    <x v="22"/>
  </r>
  <r>
    <x v="7756"/>
    <n v="1794.63"/>
    <x v="22"/>
  </r>
  <r>
    <x v="7757"/>
    <n v="1791.33"/>
    <x v="22"/>
  </r>
  <r>
    <x v="7758"/>
    <n v="1798.21"/>
    <x v="22"/>
  </r>
  <r>
    <x v="7759"/>
    <n v="1800.7"/>
    <x v="22"/>
  </r>
  <r>
    <x v="7760"/>
    <n v="1800.7"/>
    <x v="22"/>
  </r>
  <r>
    <x v="7761"/>
    <n v="1800.7"/>
    <x v="22"/>
  </r>
  <r>
    <x v="7762"/>
    <n v="1806.11"/>
    <x v="22"/>
  </r>
  <r>
    <x v="7763"/>
    <n v="1818.54"/>
    <x v="22"/>
  </r>
  <r>
    <x v="7764"/>
    <n v="1816.42"/>
    <x v="22"/>
  </r>
  <r>
    <x v="7765"/>
    <n v="1814.28"/>
    <x v="22"/>
  </r>
  <r>
    <x v="7766"/>
    <n v="1816.48"/>
    <x v="22"/>
  </r>
  <r>
    <x v="7767"/>
    <n v="1816.48"/>
    <x v="22"/>
  </r>
  <r>
    <x v="7768"/>
    <n v="1816.48"/>
    <x v="22"/>
  </r>
  <r>
    <x v="7769"/>
    <n v="1813.53"/>
    <x v="22"/>
  </r>
  <r>
    <x v="7770"/>
    <n v="1809.65"/>
    <x v="22"/>
  </r>
  <r>
    <x v="7771"/>
    <n v="1808"/>
    <x v="22"/>
  </r>
  <r>
    <x v="7772"/>
    <n v="1803.65"/>
    <x v="22"/>
  </r>
  <r>
    <x v="7773"/>
    <n v="1800.45"/>
    <x v="22"/>
  </r>
  <r>
    <x v="7774"/>
    <n v="1800.45"/>
    <x v="22"/>
  </r>
  <r>
    <x v="7775"/>
    <n v="1800.45"/>
    <x v="22"/>
  </r>
  <r>
    <x v="7776"/>
    <n v="1801.2"/>
    <x v="22"/>
  </r>
  <r>
    <x v="7777"/>
    <n v="1801.64"/>
    <x v="22"/>
  </r>
  <r>
    <x v="7778"/>
    <n v="1798.56"/>
    <x v="22"/>
  </r>
  <r>
    <x v="7779"/>
    <n v="1797.28"/>
    <x v="22"/>
  </r>
  <r>
    <x v="7780"/>
    <n v="1804.06"/>
    <x v="22"/>
  </r>
  <r>
    <x v="7781"/>
    <n v="1804.06"/>
    <x v="22"/>
  </r>
  <r>
    <x v="7782"/>
    <n v="1804.06"/>
    <x v="22"/>
  </r>
  <r>
    <x v="7783"/>
    <n v="1809.58"/>
    <x v="22"/>
  </r>
  <r>
    <x v="7784"/>
    <n v="1809.83"/>
    <x v="22"/>
  </r>
  <r>
    <x v="7785"/>
    <n v="1812.35"/>
    <x v="22"/>
  </r>
  <r>
    <x v="7786"/>
    <n v="1822.78"/>
    <x v="22"/>
  </r>
  <r>
    <x v="7787"/>
    <n v="1825.79"/>
    <x v="22"/>
  </r>
  <r>
    <x v="7788"/>
    <n v="1825.79"/>
    <x v="22"/>
  </r>
  <r>
    <x v="7789"/>
    <n v="1825.79"/>
    <x v="22"/>
  </r>
  <r>
    <x v="7790"/>
    <n v="1825.79"/>
    <x v="22"/>
  </r>
  <r>
    <x v="7791"/>
    <n v="1828.95"/>
    <x v="22"/>
  </r>
  <r>
    <x v="7792"/>
    <n v="1832.2"/>
    <x v="22"/>
  </r>
  <r>
    <x v="7793"/>
    <n v="1832.2"/>
    <x v="22"/>
  </r>
  <r>
    <x v="7794"/>
    <n v="1832.2"/>
    <x v="22"/>
  </r>
  <r>
    <x v="7795"/>
    <n v="1832.2"/>
    <x v="22"/>
  </r>
  <r>
    <x v="7796"/>
    <n v="1832.2"/>
    <x v="22"/>
  </r>
  <r>
    <x v="7797"/>
    <n v="1823.12"/>
    <x v="22"/>
  </r>
  <r>
    <x v="7798"/>
    <n v="1817.14"/>
    <x v="22"/>
  </r>
  <r>
    <x v="7799"/>
    <n v="1819.93"/>
    <x v="22"/>
  </r>
  <r>
    <x v="7800"/>
    <n v="1829.01"/>
    <x v="22"/>
  </r>
  <r>
    <x v="7801"/>
    <n v="1826.88"/>
    <x v="22"/>
  </r>
  <r>
    <x v="7802"/>
    <n v="1826.88"/>
    <x v="22"/>
  </r>
  <r>
    <x v="7803"/>
    <n v="1826.88"/>
    <x v="22"/>
  </r>
  <r>
    <x v="7804"/>
    <n v="1817.66"/>
    <x v="22"/>
  </r>
  <r>
    <x v="7805"/>
    <n v="1813.11"/>
    <x v="22"/>
  </r>
  <r>
    <x v="7806"/>
    <n v="1821.2"/>
    <x v="22"/>
  </r>
  <r>
    <x v="7807"/>
    <n v="1823.84"/>
    <x v="22"/>
  </r>
  <r>
    <x v="7808"/>
    <n v="1827.79"/>
    <x v="22"/>
  </r>
  <r>
    <x v="7809"/>
    <n v="1827.79"/>
    <x v="22"/>
  </r>
  <r>
    <x v="7810"/>
    <n v="1827.79"/>
    <x v="22"/>
  </r>
  <r>
    <x v="7811"/>
    <n v="1834.86"/>
    <x v="22"/>
  </r>
  <r>
    <x v="7812"/>
    <n v="1833.98"/>
    <x v="22"/>
  </r>
  <r>
    <x v="7813"/>
    <n v="1846.46"/>
    <x v="22"/>
  </r>
  <r>
    <x v="7814"/>
    <n v="1847.02"/>
    <x v="22"/>
  </r>
  <r>
    <x v="7815"/>
    <n v="1835.57"/>
    <x v="22"/>
  </r>
  <r>
    <x v="7816"/>
    <n v="1835.57"/>
    <x v="22"/>
  </r>
  <r>
    <x v="7817"/>
    <n v="1835.57"/>
    <x v="22"/>
  </r>
  <r>
    <x v="7818"/>
    <n v="1841.14"/>
    <x v="22"/>
  </r>
  <r>
    <x v="7819"/>
    <n v="1838.03"/>
    <x v="22"/>
  </r>
  <r>
    <x v="7820"/>
    <n v="1836.79"/>
    <x v="22"/>
  </r>
  <r>
    <x v="7821"/>
    <n v="1830.84"/>
    <x v="22"/>
  </r>
  <r>
    <x v="7822"/>
    <n v="1833.7"/>
    <x v="22"/>
  </r>
  <r>
    <x v="7823"/>
    <n v="1833.7"/>
    <x v="22"/>
  </r>
  <r>
    <x v="7824"/>
    <n v="1833.7"/>
    <x v="22"/>
  </r>
  <r>
    <x v="7825"/>
    <n v="1828.79"/>
    <x v="22"/>
  </r>
  <r>
    <x v="7826"/>
    <n v="1825.83"/>
    <x v="22"/>
  </r>
  <r>
    <x v="7827"/>
    <n v="1825.83"/>
    <x v="22"/>
  </r>
  <r>
    <x v="7828"/>
    <n v="1836.34"/>
    <x v="22"/>
  </r>
  <r>
    <x v="7829"/>
    <n v="1835.88"/>
    <x v="22"/>
  </r>
  <r>
    <x v="7830"/>
    <n v="1835.88"/>
    <x v="22"/>
  </r>
  <r>
    <x v="7831"/>
    <n v="1835.88"/>
    <x v="22"/>
  </r>
  <r>
    <x v="7832"/>
    <n v="1831.42"/>
    <x v="22"/>
  </r>
  <r>
    <x v="7833"/>
    <n v="1827.13"/>
    <x v="22"/>
  </r>
  <r>
    <x v="7834"/>
    <n v="1830.7"/>
    <x v="22"/>
  </r>
  <r>
    <x v="7835"/>
    <n v="1833.07"/>
    <x v="22"/>
  </r>
  <r>
    <x v="7836"/>
    <n v="1834.83"/>
    <x v="22"/>
  </r>
  <r>
    <x v="7837"/>
    <n v="1834.83"/>
    <x v="22"/>
  </r>
  <r>
    <x v="7838"/>
    <n v="1834.83"/>
    <x v="22"/>
  </r>
  <r>
    <x v="7839"/>
    <n v="1834.83"/>
    <x v="22"/>
  </r>
  <r>
    <x v="7840"/>
    <n v="1838.63"/>
    <x v="22"/>
  </r>
  <r>
    <x v="7841"/>
    <n v="1843.75"/>
    <x v="22"/>
  </r>
  <r>
    <x v="7842"/>
    <n v="1838.82"/>
    <x v="22"/>
  </r>
  <r>
    <x v="7843"/>
    <n v="1841.35"/>
    <x v="22"/>
  </r>
  <r>
    <x v="7844"/>
    <n v="1841.35"/>
    <x v="22"/>
  </r>
  <r>
    <x v="7845"/>
    <n v="1841.35"/>
    <x v="22"/>
  </r>
  <r>
    <x v="7846"/>
    <n v="1842.59"/>
    <x v="22"/>
  </r>
  <r>
    <x v="7847"/>
    <n v="1846.76"/>
    <x v="22"/>
  </r>
  <r>
    <x v="7848"/>
    <n v="1850.55"/>
    <x v="22"/>
  </r>
  <r>
    <x v="7849"/>
    <n v="1864.02"/>
    <x v="22"/>
  </r>
  <r>
    <x v="7850"/>
    <n v="1874.1"/>
    <x v="22"/>
  </r>
  <r>
    <x v="7851"/>
    <n v="1874.1"/>
    <x v="22"/>
  </r>
  <r>
    <x v="7852"/>
    <n v="1874.1"/>
    <x v="22"/>
  </r>
  <r>
    <x v="7853"/>
    <n v="1874.1"/>
    <x v="22"/>
  </r>
  <r>
    <x v="7854"/>
    <n v="1897.1"/>
    <x v="22"/>
  </r>
  <r>
    <x v="7855"/>
    <n v="1894.13"/>
    <x v="22"/>
  </r>
  <r>
    <x v="7856"/>
    <n v="1891.48"/>
    <x v="22"/>
  </r>
  <r>
    <x v="7857"/>
    <n v="1907.76"/>
    <x v="22"/>
  </r>
  <r>
    <x v="7858"/>
    <n v="1907.76"/>
    <x v="22"/>
  </r>
  <r>
    <x v="7859"/>
    <n v="1907.76"/>
    <x v="22"/>
  </r>
  <r>
    <x v="7860"/>
    <n v="1907.76"/>
    <x v="22"/>
  </r>
  <r>
    <x v="7861"/>
    <n v="1894.4"/>
    <x v="22"/>
  </r>
  <r>
    <x v="7862"/>
    <n v="1899.08"/>
    <x v="22"/>
  </r>
  <r>
    <x v="7863"/>
    <n v="1907.88"/>
    <x v="22"/>
  </r>
  <r>
    <x v="7864"/>
    <n v="1898.8"/>
    <x v="22"/>
  </r>
  <r>
    <x v="7865"/>
    <n v="1898.8"/>
    <x v="22"/>
  </r>
  <r>
    <x v="7866"/>
    <n v="1898.8"/>
    <x v="22"/>
  </r>
  <r>
    <x v="7867"/>
    <n v="1898.8"/>
    <x v="22"/>
  </r>
  <r>
    <x v="7868"/>
    <n v="1907.12"/>
    <x v="22"/>
  </r>
  <r>
    <x v="7869"/>
    <n v="1897.53"/>
    <x v="22"/>
  </r>
  <r>
    <x v="7870"/>
    <n v="1895.01"/>
    <x v="22"/>
  </r>
  <r>
    <x v="7871"/>
    <n v="1882.38"/>
    <x v="22"/>
  </r>
  <r>
    <x v="7872"/>
    <n v="1882.38"/>
    <x v="22"/>
  </r>
  <r>
    <x v="7873"/>
    <n v="1882.38"/>
    <x v="22"/>
  </r>
  <r>
    <x v="7874"/>
    <n v="1883.57"/>
    <x v="22"/>
  </r>
  <r>
    <x v="7875"/>
    <n v="1902.47"/>
    <x v="22"/>
  </r>
  <r>
    <x v="7876"/>
    <n v="1900.87"/>
    <x v="22"/>
  </r>
  <r>
    <x v="7877"/>
    <n v="1937.26"/>
    <x v="22"/>
  </r>
  <r>
    <x v="7878"/>
    <n v="1941.06"/>
    <x v="22"/>
  </r>
  <r>
    <x v="7879"/>
    <n v="1941.06"/>
    <x v="22"/>
  </r>
  <r>
    <x v="7880"/>
    <n v="1941.06"/>
    <x v="22"/>
  </r>
  <r>
    <x v="7881"/>
    <n v="1942.97"/>
    <x v="22"/>
  </r>
  <r>
    <x v="7882"/>
    <n v="1928.27"/>
    <x v="22"/>
  </r>
  <r>
    <x v="7883"/>
    <n v="1921.86"/>
    <x v="22"/>
  </r>
  <r>
    <x v="7884"/>
    <n v="1922.63"/>
    <x v="22"/>
  </r>
  <r>
    <x v="7885"/>
    <n v="1929"/>
    <x v="22"/>
  </r>
  <r>
    <x v="7886"/>
    <n v="1929"/>
    <x v="22"/>
  </r>
  <r>
    <x v="7887"/>
    <n v="1929"/>
    <x v="22"/>
  </r>
  <r>
    <x v="7888"/>
    <n v="1929"/>
    <x v="22"/>
  </r>
  <r>
    <x v="7889"/>
    <n v="1919.42"/>
    <x v="22"/>
  </r>
  <r>
    <x v="7890"/>
    <n v="1915.45"/>
    <x v="22"/>
  </r>
  <r>
    <x v="7891"/>
    <n v="1915.45"/>
    <x v="22"/>
  </r>
  <r>
    <x v="7892"/>
    <n v="1927.4"/>
    <x v="22"/>
  </r>
  <r>
    <x v="7893"/>
    <n v="1927.4"/>
    <x v="22"/>
  </r>
  <r>
    <x v="7894"/>
    <n v="1927.4"/>
    <x v="22"/>
  </r>
  <r>
    <x v="7895"/>
    <n v="1926.84"/>
    <x v="22"/>
  </r>
  <r>
    <x v="7896"/>
    <n v="1920.12"/>
    <x v="22"/>
  </r>
  <r>
    <x v="7897"/>
    <n v="1920.24"/>
    <x v="22"/>
  </r>
  <r>
    <x v="7898"/>
    <n v="1910.79"/>
    <x v="22"/>
  </r>
  <r>
    <x v="7899"/>
    <n v="1905.25"/>
    <x v="22"/>
  </r>
  <r>
    <x v="7900"/>
    <n v="1905.25"/>
    <x v="22"/>
  </r>
  <r>
    <x v="7901"/>
    <n v="1905.25"/>
    <x v="22"/>
  </r>
  <r>
    <x v="7902"/>
    <n v="1893.16"/>
    <x v="22"/>
  </r>
  <r>
    <x v="7903"/>
    <n v="1878.42"/>
    <x v="22"/>
  </r>
  <r>
    <x v="7904"/>
    <n v="1873.25"/>
    <x v="22"/>
  </r>
  <r>
    <x v="7905"/>
    <n v="1883.29"/>
    <x v="22"/>
  </r>
  <r>
    <x v="7906"/>
    <n v="1884.01"/>
    <x v="22"/>
  </r>
  <r>
    <x v="7907"/>
    <n v="1884.01"/>
    <x v="22"/>
  </r>
  <r>
    <x v="7908"/>
    <n v="1884.01"/>
    <x v="22"/>
  </r>
  <r>
    <x v="7909"/>
    <n v="1880.87"/>
    <x v="22"/>
  </r>
  <r>
    <x v="7910"/>
    <n v="1886.06"/>
    <x v="22"/>
  </r>
  <r>
    <x v="7911"/>
    <n v="1891.02"/>
    <x v="22"/>
  </r>
  <r>
    <x v="7912"/>
    <n v="1887.4"/>
    <x v="22"/>
  </r>
  <r>
    <x v="7913"/>
    <n v="1886.26"/>
    <x v="22"/>
  </r>
  <r>
    <x v="7914"/>
    <n v="1886.26"/>
    <x v="22"/>
  </r>
  <r>
    <x v="7915"/>
    <n v="1886.26"/>
    <x v="22"/>
  </r>
  <r>
    <x v="7916"/>
    <n v="1888.95"/>
    <x v="22"/>
  </r>
  <r>
    <x v="7917"/>
    <n v="1890.33"/>
    <x v="22"/>
  </r>
  <r>
    <x v="7918"/>
    <n v="1896.15"/>
    <x v="22"/>
  </r>
  <r>
    <x v="7919"/>
    <n v="1896.65"/>
    <x v="22"/>
  </r>
  <r>
    <x v="7920"/>
    <n v="1891.67"/>
    <x v="22"/>
  </r>
  <r>
    <x v="7921"/>
    <n v="1891.67"/>
    <x v="22"/>
  </r>
  <r>
    <x v="7922"/>
    <n v="1891.67"/>
    <x v="22"/>
  </r>
  <r>
    <x v="7923"/>
    <n v="1883.24"/>
    <x v="22"/>
  </r>
  <r>
    <x v="7924"/>
    <n v="1882.01"/>
    <x v="22"/>
  </r>
  <r>
    <x v="7925"/>
    <n v="1882.01"/>
    <x v="22"/>
  </r>
  <r>
    <x v="7926"/>
    <n v="1877.23"/>
    <x v="22"/>
  </r>
  <r>
    <x v="7927"/>
    <n v="1873.92"/>
    <x v="22"/>
  </r>
  <r>
    <x v="7928"/>
    <n v="1873.92"/>
    <x v="22"/>
  </r>
  <r>
    <x v="7929"/>
    <n v="1873.92"/>
    <x v="22"/>
  </r>
  <r>
    <x v="7930"/>
    <n v="1868.9"/>
    <x v="22"/>
  </r>
  <r>
    <x v="7931"/>
    <n v="1882.36"/>
    <x v="22"/>
  </r>
  <r>
    <x v="7932"/>
    <n v="1883.15"/>
    <x v="22"/>
  </r>
  <r>
    <x v="7933"/>
    <n v="1901.03"/>
    <x v="22"/>
  </r>
  <r>
    <x v="7934"/>
    <n v="1907.06"/>
    <x v="22"/>
  </r>
  <r>
    <x v="7935"/>
    <n v="1907.06"/>
    <x v="22"/>
  </r>
  <r>
    <x v="7936"/>
    <n v="1907.06"/>
    <x v="22"/>
  </r>
  <r>
    <x v="7937"/>
    <n v="1907.06"/>
    <x v="22"/>
  </r>
  <r>
    <x v="7938"/>
    <n v="1922.73"/>
    <x v="22"/>
  </r>
  <r>
    <x v="7939"/>
    <n v="1929.75"/>
    <x v="22"/>
  </r>
  <r>
    <x v="7940"/>
    <n v="1921.99"/>
    <x v="22"/>
  </r>
  <r>
    <x v="7941"/>
    <n v="1911.16"/>
    <x v="22"/>
  </r>
  <r>
    <x v="7942"/>
    <n v="1911.16"/>
    <x v="22"/>
  </r>
  <r>
    <x v="7943"/>
    <n v="1911.16"/>
    <x v="22"/>
  </r>
  <r>
    <x v="7944"/>
    <n v="1922.96"/>
    <x v="22"/>
  </r>
  <r>
    <x v="7945"/>
    <n v="1938.26"/>
    <x v="22"/>
  </r>
  <r>
    <x v="7946"/>
    <n v="1939.85"/>
    <x v="22"/>
  </r>
  <r>
    <x v="7947"/>
    <n v="1943.04"/>
    <x v="22"/>
  </r>
  <r>
    <x v="7948"/>
    <n v="1935.43"/>
    <x v="22"/>
  </r>
  <r>
    <x v="7949"/>
    <n v="1935.43"/>
    <x v="22"/>
  </r>
  <r>
    <x v="7950"/>
    <n v="1935.43"/>
    <x v="22"/>
  </r>
  <r>
    <x v="7951"/>
    <n v="1935.43"/>
    <x v="22"/>
  </r>
  <r>
    <x v="7952"/>
    <n v="1946.28"/>
    <x v="22"/>
  </r>
  <r>
    <x v="7953"/>
    <n v="1938.99"/>
    <x v="22"/>
  </r>
  <r>
    <x v="7954"/>
    <n v="1952.11"/>
    <x v="22"/>
  </r>
  <r>
    <x v="7955"/>
    <n v="1947.99"/>
    <x v="22"/>
  </r>
  <r>
    <x v="7956"/>
    <n v="1947.99"/>
    <x v="22"/>
  </r>
  <r>
    <x v="7957"/>
    <n v="1947.99"/>
    <x v="22"/>
  </r>
  <r>
    <x v="7958"/>
    <n v="1946.06"/>
    <x v="22"/>
  </r>
  <r>
    <x v="7959"/>
    <n v="1935.55"/>
    <x v="22"/>
  </r>
  <r>
    <x v="7960"/>
    <n v="1923.64"/>
    <x v="22"/>
  </r>
  <r>
    <x v="7961"/>
    <n v="1919.25"/>
    <x v="22"/>
  </r>
  <r>
    <x v="7962"/>
    <n v="1919.54"/>
    <x v="22"/>
  </r>
  <r>
    <x v="7963"/>
    <n v="1919.54"/>
    <x v="22"/>
  </r>
  <r>
    <x v="7964"/>
    <n v="1919.54"/>
    <x v="22"/>
  </r>
  <r>
    <x v="7965"/>
    <n v="1917.03"/>
    <x v="22"/>
  </r>
  <r>
    <x v="7966"/>
    <n v="1914.12"/>
    <x v="22"/>
  </r>
  <r>
    <x v="7967"/>
    <n v="1911.3"/>
    <x v="22"/>
  </r>
  <r>
    <x v="7968"/>
    <n v="1887.3"/>
    <x v="22"/>
  </r>
  <r>
    <x v="7969"/>
    <n v="1889.12"/>
    <x v="22"/>
  </r>
  <r>
    <x v="7970"/>
    <n v="1889.12"/>
    <x v="22"/>
  </r>
  <r>
    <x v="7971"/>
    <n v="1889.12"/>
    <x v="22"/>
  </r>
  <r>
    <x v="7972"/>
    <n v="1892.89"/>
    <x v="22"/>
  </r>
  <r>
    <x v="7973"/>
    <n v="1888.14"/>
    <x v="22"/>
  </r>
  <r>
    <x v="7974"/>
    <n v="1893.42"/>
    <x v="22"/>
  </r>
  <r>
    <x v="7975"/>
    <n v="1899.1"/>
    <x v="22"/>
  </r>
  <r>
    <x v="7976"/>
    <n v="1914.65"/>
    <x v="22"/>
  </r>
  <r>
    <x v="7977"/>
    <n v="1914.65"/>
    <x v="22"/>
  </r>
  <r>
    <x v="7978"/>
    <n v="1914.65"/>
    <x v="22"/>
  </r>
  <r>
    <x v="7979"/>
    <n v="1908.29"/>
    <x v="22"/>
  </r>
  <r>
    <x v="7980"/>
    <n v="1893.77"/>
    <x v="22"/>
  </r>
  <r>
    <x v="7981"/>
    <n v="1884.97"/>
    <x v="22"/>
  </r>
  <r>
    <x v="7982"/>
    <n v="1889.95"/>
    <x v="22"/>
  </r>
  <r>
    <x v="7983"/>
    <n v="1886.78"/>
    <x v="22"/>
  </r>
  <r>
    <x v="7984"/>
    <n v="1886.78"/>
    <x v="22"/>
  </r>
  <r>
    <x v="7985"/>
    <n v="1886.78"/>
    <x v="22"/>
  </r>
  <r>
    <x v="7986"/>
    <n v="1885.19"/>
    <x v="22"/>
  </r>
  <r>
    <x v="7987"/>
    <n v="1889.17"/>
    <x v="22"/>
  </r>
  <r>
    <x v="7988"/>
    <n v="1894.06"/>
    <x v="22"/>
  </r>
  <r>
    <x v="7989"/>
    <n v="1885.84"/>
    <x v="22"/>
  </r>
  <r>
    <x v="7990"/>
    <n v="1883.65"/>
    <x v="22"/>
  </r>
  <r>
    <x v="7991"/>
    <n v="1883.65"/>
    <x v="22"/>
  </r>
  <r>
    <x v="7992"/>
    <n v="1883.65"/>
    <x v="22"/>
  </r>
  <r>
    <x v="7993"/>
    <n v="1883.65"/>
    <x v="22"/>
  </r>
  <r>
    <x v="7994"/>
    <n v="1883.7"/>
    <x v="22"/>
  </r>
  <r>
    <x v="7995"/>
    <n v="1880.91"/>
    <x v="22"/>
  </r>
  <r>
    <x v="7996"/>
    <n v="1879.48"/>
    <x v="22"/>
  </r>
  <r>
    <x v="7997"/>
    <n v="1879.88"/>
    <x v="22"/>
  </r>
  <r>
    <x v="7998"/>
    <n v="1879.88"/>
    <x v="22"/>
  </r>
  <r>
    <x v="7999"/>
    <n v="1879.88"/>
    <x v="22"/>
  </r>
  <r>
    <x v="8000"/>
    <n v="1885.52"/>
    <x v="22"/>
  </r>
  <r>
    <x v="8001"/>
    <n v="1879.46"/>
    <x v="22"/>
  </r>
  <r>
    <x v="8002"/>
    <n v="1883.14"/>
    <x v="22"/>
  </r>
  <r>
    <x v="8003"/>
    <n v="1882.11"/>
    <x v="22"/>
  </r>
  <r>
    <x v="8004"/>
    <n v="1882.34"/>
    <x v="22"/>
  </r>
  <r>
    <x v="8005"/>
    <n v="1882.34"/>
    <x v="22"/>
  </r>
  <r>
    <x v="8006"/>
    <n v="1882.34"/>
    <x v="22"/>
  </r>
  <r>
    <x v="8007"/>
    <n v="1884.43"/>
    <x v="22"/>
  </r>
  <r>
    <x v="8008"/>
    <n v="1883.42"/>
    <x v="22"/>
  </r>
  <r>
    <x v="8009"/>
    <n v="1884.06"/>
    <x v="22"/>
  </r>
  <r>
    <x v="8010"/>
    <n v="1889.16"/>
    <x v="22"/>
  </r>
  <r>
    <x v="8011"/>
    <n v="1901.22"/>
    <x v="22"/>
  </r>
  <r>
    <x v="8012"/>
    <n v="1901.22"/>
    <x v="22"/>
  </r>
  <r>
    <x v="8013"/>
    <n v="1901.22"/>
    <x v="22"/>
  </r>
  <r>
    <x v="8014"/>
    <n v="1901.22"/>
    <x v="22"/>
  </r>
  <r>
    <x v="8015"/>
    <n v="1916.22"/>
    <x v="22"/>
  </r>
  <r>
    <x v="8016"/>
    <n v="1916.8"/>
    <x v="22"/>
  </r>
  <r>
    <x v="8017"/>
    <n v="1924.87"/>
    <x v="22"/>
  </r>
  <r>
    <x v="8018"/>
    <n v="1932.77"/>
    <x v="22"/>
  </r>
  <r>
    <x v="8019"/>
    <n v="1932.77"/>
    <x v="22"/>
  </r>
  <r>
    <x v="8020"/>
    <n v="1932.77"/>
    <x v="22"/>
  </r>
  <r>
    <x v="8021"/>
    <n v="1932.77"/>
    <x v="22"/>
  </r>
  <r>
    <x v="8022"/>
    <n v="1928.96"/>
    <x v="22"/>
  </r>
  <r>
    <x v="8023"/>
    <n v="1932.03"/>
    <x v="22"/>
  </r>
  <r>
    <x v="8024"/>
    <n v="1929.24"/>
    <x v="22"/>
  </r>
  <r>
    <x v="8025"/>
    <n v="1919.89"/>
    <x v="22"/>
  </r>
  <r>
    <x v="8026"/>
    <n v="1919.89"/>
    <x v="22"/>
  </r>
  <r>
    <x v="8027"/>
    <n v="1919.89"/>
    <x v="22"/>
  </r>
  <r>
    <x v="8028"/>
    <n v="1915.37"/>
    <x v="22"/>
  </r>
  <r>
    <x v="8029"/>
    <n v="1919.2"/>
    <x v="22"/>
  </r>
  <r>
    <x v="8030"/>
    <n v="1923.19"/>
    <x v="22"/>
  </r>
  <r>
    <x v="8031"/>
    <n v="1932.42"/>
    <x v="22"/>
  </r>
  <r>
    <x v="8032"/>
    <n v="1929.13"/>
    <x v="22"/>
  </r>
  <r>
    <x v="8033"/>
    <n v="1929.13"/>
    <x v="22"/>
  </r>
  <r>
    <x v="8034"/>
    <n v="1929.13"/>
    <x v="22"/>
  </r>
  <r>
    <x v="8035"/>
    <n v="1926.99"/>
    <x v="22"/>
  </r>
  <r>
    <x v="8036"/>
    <n v="1926.74"/>
    <x v="22"/>
  </r>
  <r>
    <x v="8037"/>
    <n v="1928.25"/>
    <x v="22"/>
  </r>
  <r>
    <x v="8038"/>
    <n v="1928.25"/>
    <x v="22"/>
  </r>
  <r>
    <x v="8039"/>
    <n v="1931.88"/>
    <x v="22"/>
  </r>
  <r>
    <x v="8040"/>
    <n v="1931.88"/>
    <x v="22"/>
  </r>
  <r>
    <x v="8041"/>
    <n v="1931.88"/>
    <x v="22"/>
  </r>
  <r>
    <x v="8042"/>
    <n v="1934.16"/>
    <x v="22"/>
  </r>
  <r>
    <x v="8043"/>
    <n v="1941.01"/>
    <x v="22"/>
  </r>
  <r>
    <x v="8044"/>
    <n v="1948.48"/>
    <x v="22"/>
  </r>
  <r>
    <x v="8045"/>
    <n v="1940.26"/>
    <x v="22"/>
  </r>
  <r>
    <x v="8046"/>
    <n v="1936.33"/>
    <x v="22"/>
  </r>
  <r>
    <x v="8047"/>
    <n v="1936.33"/>
    <x v="22"/>
  </r>
  <r>
    <x v="8048"/>
    <n v="1936.33"/>
    <x v="22"/>
  </r>
  <r>
    <x v="8049"/>
    <n v="1932.71"/>
    <x v="22"/>
  </r>
  <r>
    <x v="8050"/>
    <n v="1933.52"/>
    <x v="22"/>
  </r>
  <r>
    <x v="8051"/>
    <n v="1935.61"/>
    <x v="22"/>
  </r>
  <r>
    <x v="8052"/>
    <n v="1935.89"/>
    <x v="22"/>
  </r>
  <r>
    <x v="8053"/>
    <n v="1930.87"/>
    <x v="22"/>
  </r>
  <r>
    <x v="8054"/>
    <n v="1930.87"/>
    <x v="22"/>
  </r>
  <r>
    <x v="8055"/>
    <n v="1930.87"/>
    <x v="22"/>
  </r>
  <r>
    <x v="8056"/>
    <n v="1934.95"/>
    <x v="22"/>
  </r>
  <r>
    <x v="8057"/>
    <n v="1936.14"/>
    <x v="22"/>
  </r>
  <r>
    <x v="8058"/>
    <n v="1945.6"/>
    <x v="22"/>
  </r>
  <r>
    <x v="8059"/>
    <n v="1943.46"/>
    <x v="22"/>
  </r>
  <r>
    <x v="8060"/>
    <n v="1935.93"/>
    <x v="22"/>
  </r>
  <r>
    <x v="8061"/>
    <n v="1935.93"/>
    <x v="22"/>
  </r>
  <r>
    <x v="8062"/>
    <n v="1935.93"/>
    <x v="22"/>
  </r>
  <r>
    <x v="8063"/>
    <n v="1925.45"/>
    <x v="22"/>
  </r>
  <r>
    <x v="8064"/>
    <n v="1922.76"/>
    <x v="22"/>
  </r>
  <r>
    <x v="8065"/>
    <n v="1922.76"/>
    <x v="22"/>
  </r>
  <r>
    <x v="8066"/>
    <n v="1921.22"/>
    <x v="22"/>
  </r>
  <r>
    <x v="8067"/>
    <n v="1922.56"/>
    <x v="22"/>
  </r>
  <r>
    <x v="8068"/>
    <n v="1922.56"/>
    <x v="22"/>
  </r>
  <r>
    <x v="8069"/>
    <n v="1922.56"/>
    <x v="22"/>
  </r>
  <r>
    <x v="8070"/>
    <n v="1926.83"/>
    <x v="22"/>
  </r>
  <r>
    <x v="8071"/>
    <n v="1926.83"/>
    <x v="23"/>
  </r>
  <r>
    <x v="8072"/>
    <n v="1926.83"/>
    <x v="23"/>
  </r>
  <r>
    <x v="8073"/>
    <n v="1938.89"/>
    <x v="23"/>
  </r>
  <r>
    <x v="8074"/>
    <n v="1936.92"/>
    <x v="23"/>
  </r>
  <r>
    <x v="8075"/>
    <n v="1936.92"/>
    <x v="23"/>
  </r>
  <r>
    <x v="8076"/>
    <n v="1936.92"/>
    <x v="23"/>
  </r>
  <r>
    <x v="8077"/>
    <n v="1936.92"/>
    <x v="23"/>
  </r>
  <r>
    <x v="8078"/>
    <n v="1930.45"/>
    <x v="23"/>
  </r>
  <r>
    <x v="8079"/>
    <n v="1933.24"/>
    <x v="23"/>
  </r>
  <r>
    <x v="8080"/>
    <n v="1934.88"/>
    <x v="23"/>
  </r>
  <r>
    <x v="8081"/>
    <n v="1926.55"/>
    <x v="23"/>
  </r>
  <r>
    <x v="8082"/>
    <n v="1926.55"/>
    <x v="23"/>
  </r>
  <r>
    <x v="8083"/>
    <n v="1926.55"/>
    <x v="23"/>
  </r>
  <r>
    <x v="8084"/>
    <n v="1924.79"/>
    <x v="23"/>
  </r>
  <r>
    <x v="8085"/>
    <n v="1932.59"/>
    <x v="23"/>
  </r>
  <r>
    <x v="8086"/>
    <n v="1941.45"/>
    <x v="23"/>
  </r>
  <r>
    <x v="8087"/>
    <n v="1947.15"/>
    <x v="23"/>
  </r>
  <r>
    <x v="8088"/>
    <n v="1957.86"/>
    <x v="23"/>
  </r>
  <r>
    <x v="8089"/>
    <n v="1957.86"/>
    <x v="23"/>
  </r>
  <r>
    <x v="8090"/>
    <n v="1957.86"/>
    <x v="23"/>
  </r>
  <r>
    <x v="8091"/>
    <n v="1957.86"/>
    <x v="23"/>
  </r>
  <r>
    <x v="8092"/>
    <n v="1981.98"/>
    <x v="23"/>
  </r>
  <r>
    <x v="8093"/>
    <n v="1983.48"/>
    <x v="23"/>
  </r>
  <r>
    <x v="8094"/>
    <n v="1993.23"/>
    <x v="23"/>
  </r>
  <r>
    <x v="8095"/>
    <n v="2000.48"/>
    <x v="23"/>
  </r>
  <r>
    <x v="8096"/>
    <n v="2000.48"/>
    <x v="23"/>
  </r>
  <r>
    <x v="8097"/>
    <n v="2000.48"/>
    <x v="23"/>
  </r>
  <r>
    <x v="8098"/>
    <n v="1997.91"/>
    <x v="23"/>
  </r>
  <r>
    <x v="8099"/>
    <n v="2000.56"/>
    <x v="23"/>
  </r>
  <r>
    <x v="8100"/>
    <n v="2013.17"/>
    <x v="23"/>
  </r>
  <r>
    <x v="8101"/>
    <n v="2008.26"/>
    <x v="23"/>
  </r>
  <r>
    <x v="8102"/>
    <n v="2021.1"/>
    <x v="23"/>
  </r>
  <r>
    <x v="8103"/>
    <n v="2021.1"/>
    <x v="23"/>
  </r>
  <r>
    <x v="8104"/>
    <n v="2021.1"/>
    <x v="23"/>
  </r>
  <r>
    <x v="8105"/>
    <n v="2039.85"/>
    <x v="23"/>
  </r>
  <r>
    <x v="8106"/>
    <n v="2041.34"/>
    <x v="23"/>
  </r>
  <r>
    <x v="8107"/>
    <n v="2048.75"/>
    <x v="23"/>
  </r>
  <r>
    <x v="8108"/>
    <n v="2049.52"/>
    <x v="23"/>
  </r>
  <r>
    <x v="8109"/>
    <n v="2046.06"/>
    <x v="23"/>
  </r>
  <r>
    <x v="8110"/>
    <n v="2046.06"/>
    <x v="23"/>
  </r>
  <r>
    <x v="8111"/>
    <n v="2046.06"/>
    <x v="23"/>
  </r>
  <r>
    <x v="8112"/>
    <n v="2048.5500000000002"/>
    <x v="23"/>
  </r>
  <r>
    <x v="8113"/>
    <n v="2041.61"/>
    <x v="23"/>
  </r>
  <r>
    <x v="8114"/>
    <n v="2031.75"/>
    <x v="23"/>
  </r>
  <r>
    <x v="8115"/>
    <n v="2032.99"/>
    <x v="23"/>
  </r>
  <r>
    <x v="8116"/>
    <n v="2022.68"/>
    <x v="23"/>
  </r>
  <r>
    <x v="8117"/>
    <n v="2022.68"/>
    <x v="23"/>
  </r>
  <r>
    <x v="8118"/>
    <n v="2022.68"/>
    <x v="23"/>
  </r>
  <r>
    <x v="8119"/>
    <n v="2022.68"/>
    <x v="23"/>
  </r>
  <r>
    <x v="8120"/>
    <n v="2028.54"/>
    <x v="23"/>
  </r>
  <r>
    <x v="8121"/>
    <n v="2042.22"/>
    <x v="23"/>
  </r>
  <r>
    <x v="8122"/>
    <n v="2052.46"/>
    <x v="23"/>
  </r>
  <r>
    <x v="8123"/>
    <n v="2043.96"/>
    <x v="23"/>
  </r>
  <r>
    <x v="8124"/>
    <n v="2043.96"/>
    <x v="23"/>
  </r>
  <r>
    <x v="8125"/>
    <n v="2043.96"/>
    <x v="23"/>
  </r>
  <r>
    <x v="8126"/>
    <n v="2042.67"/>
    <x v="23"/>
  </r>
  <r>
    <x v="8127"/>
    <n v="2045.45"/>
    <x v="23"/>
  </r>
  <r>
    <x v="8128"/>
    <n v="2053.11"/>
    <x v="23"/>
  </r>
  <r>
    <x v="8129"/>
    <n v="2054.9"/>
    <x v="23"/>
  </r>
  <r>
    <x v="8130"/>
    <n v="2046.75"/>
    <x v="23"/>
  </r>
  <r>
    <x v="8131"/>
    <n v="2046.75"/>
    <x v="23"/>
  </r>
  <r>
    <x v="8132"/>
    <n v="2046.75"/>
    <x v="23"/>
  </r>
  <r>
    <x v="8133"/>
    <n v="2052.5100000000002"/>
    <x v="23"/>
  </r>
  <r>
    <x v="8134"/>
    <n v="2047.75"/>
    <x v="23"/>
  </r>
  <r>
    <x v="8135"/>
    <n v="2045.14"/>
    <x v="23"/>
  </r>
  <r>
    <x v="8136"/>
    <n v="2030.02"/>
    <x v="23"/>
  </r>
  <r>
    <x v="8137"/>
    <n v="2036.2"/>
    <x v="23"/>
  </r>
  <r>
    <x v="8138"/>
    <n v="2036.2"/>
    <x v="23"/>
  </r>
  <r>
    <x v="8139"/>
    <n v="2036.2"/>
    <x v="23"/>
  </r>
  <r>
    <x v="8140"/>
    <n v="2042.78"/>
    <x v="23"/>
  </r>
  <r>
    <x v="8141"/>
    <n v="2043.59"/>
    <x v="23"/>
  </r>
  <r>
    <x v="8142"/>
    <n v="2047.59"/>
    <x v="23"/>
  </r>
  <r>
    <x v="8143"/>
    <n v="2044.48"/>
    <x v="23"/>
  </r>
  <r>
    <x v="8144"/>
    <n v="2044.58"/>
    <x v="23"/>
  </r>
  <r>
    <x v="8145"/>
    <n v="2044.58"/>
    <x v="23"/>
  </r>
  <r>
    <x v="8146"/>
    <n v="2044.58"/>
    <x v="23"/>
  </r>
  <r>
    <x v="8147"/>
    <n v="2035.16"/>
    <x v="23"/>
  </r>
  <r>
    <x v="8148"/>
    <n v="2034.86"/>
    <x v="23"/>
  </r>
  <r>
    <x v="8149"/>
    <n v="2017.38"/>
    <x v="23"/>
  </r>
  <r>
    <x v="8150"/>
    <n v="1998.6"/>
    <x v="23"/>
  </r>
  <r>
    <x v="8151"/>
    <n v="1993.85"/>
    <x v="23"/>
  </r>
  <r>
    <x v="8152"/>
    <n v="1993.85"/>
    <x v="23"/>
  </r>
  <r>
    <x v="8153"/>
    <n v="1993.85"/>
    <x v="23"/>
  </r>
  <r>
    <x v="8154"/>
    <n v="1993.85"/>
    <x v="23"/>
  </r>
  <r>
    <x v="8155"/>
    <n v="1978.63"/>
    <x v="23"/>
  </r>
  <r>
    <x v="8156"/>
    <n v="1973.03"/>
    <x v="23"/>
  </r>
  <r>
    <x v="8157"/>
    <n v="1965.64"/>
    <x v="23"/>
  </r>
  <r>
    <x v="8158"/>
    <n v="1965.32"/>
    <x v="23"/>
  </r>
  <r>
    <x v="8159"/>
    <n v="1965.32"/>
    <x v="23"/>
  </r>
  <r>
    <x v="8160"/>
    <n v="1965.32"/>
    <x v="23"/>
  </r>
  <r>
    <x v="8161"/>
    <n v="1969.45"/>
    <x v="23"/>
  </r>
  <r>
    <x v="8162"/>
    <n v="1966.02"/>
    <x v="23"/>
  </r>
  <r>
    <x v="8163"/>
    <n v="1963.51"/>
    <x v="23"/>
  </r>
  <r>
    <x v="8164"/>
    <n v="1966.4"/>
    <x v="23"/>
  </r>
  <r>
    <x v="8165"/>
    <n v="1951.85"/>
    <x v="23"/>
  </r>
  <r>
    <x v="8166"/>
    <n v="1951.85"/>
    <x v="23"/>
  </r>
  <r>
    <x v="8167"/>
    <n v="1951.85"/>
    <x v="23"/>
  </r>
  <r>
    <x v="8168"/>
    <n v="1937.59"/>
    <x v="23"/>
  </r>
  <r>
    <x v="8169"/>
    <n v="1923.95"/>
    <x v="23"/>
  </r>
  <r>
    <x v="8170"/>
    <n v="1931.09"/>
    <x v="23"/>
  </r>
  <r>
    <x v="8171"/>
    <n v="1920.93"/>
    <x v="23"/>
  </r>
  <r>
    <x v="8172"/>
    <n v="1927.28"/>
    <x v="23"/>
  </r>
  <r>
    <x v="8173"/>
    <n v="1927.28"/>
    <x v="23"/>
  </r>
  <r>
    <x v="8174"/>
    <n v="1927.28"/>
    <x v="23"/>
  </r>
  <r>
    <x v="8175"/>
    <n v="1926.47"/>
    <x v="23"/>
  </r>
  <r>
    <x v="8176"/>
    <n v="1932.42"/>
    <x v="23"/>
  </r>
  <r>
    <x v="8177"/>
    <n v="1930.62"/>
    <x v="23"/>
  </r>
  <r>
    <x v="8178"/>
    <n v="1930.62"/>
    <x v="23"/>
  </r>
  <r>
    <x v="8179"/>
    <n v="1930.62"/>
    <x v="23"/>
  </r>
  <r>
    <x v="8180"/>
    <n v="1930.62"/>
    <x v="23"/>
  </r>
  <r>
    <x v="8181"/>
    <n v="1930.62"/>
    <x v="23"/>
  </r>
  <r>
    <x v="8182"/>
    <n v="1921.75"/>
    <x v="23"/>
  </r>
  <r>
    <x v="8183"/>
    <n v="1929.66"/>
    <x v="23"/>
  </r>
  <r>
    <x v="8184"/>
    <n v="1936.63"/>
    <x v="23"/>
  </r>
  <r>
    <x v="8185"/>
    <n v="1936.07"/>
    <x v="23"/>
  </r>
  <r>
    <x v="8186"/>
    <n v="1942.37"/>
    <x v="23"/>
  </r>
  <r>
    <x v="8187"/>
    <n v="1942.37"/>
    <x v="23"/>
  </r>
  <r>
    <x v="8188"/>
    <n v="1942.37"/>
    <x v="23"/>
  </r>
  <r>
    <x v="8189"/>
    <n v="1936.13"/>
    <x v="23"/>
  </r>
  <r>
    <x v="8190"/>
    <n v="1935.14"/>
    <x v="23"/>
  </r>
  <r>
    <x v="8191"/>
    <n v="1933.46"/>
    <x v="23"/>
  </r>
  <r>
    <x v="8192"/>
    <n v="1933.46"/>
    <x v="23"/>
  </r>
  <r>
    <x v="8193"/>
    <n v="1926.3"/>
    <x v="23"/>
  </r>
  <r>
    <x v="8194"/>
    <n v="1926.3"/>
    <x v="23"/>
  </r>
  <r>
    <x v="8195"/>
    <n v="1926.3"/>
    <x v="23"/>
  </r>
  <r>
    <x v="8196"/>
    <n v="1923.07"/>
    <x v="23"/>
  </r>
  <r>
    <x v="8197"/>
    <n v="1918.2"/>
    <x v="23"/>
  </r>
  <r>
    <x v="8198"/>
    <n v="1912.97"/>
    <x v="23"/>
  </r>
  <r>
    <x v="8199"/>
    <n v="1902.15"/>
    <x v="23"/>
  </r>
  <r>
    <x v="8200"/>
    <n v="1901.51"/>
    <x v="23"/>
  </r>
  <r>
    <x v="8201"/>
    <n v="1901.51"/>
    <x v="23"/>
  </r>
  <r>
    <x v="8202"/>
    <n v="1901.51"/>
    <x v="23"/>
  </r>
  <r>
    <x v="8203"/>
    <n v="1904.85"/>
    <x v="23"/>
  </r>
  <r>
    <x v="8204"/>
    <n v="1919.7"/>
    <x v="23"/>
  </r>
  <r>
    <x v="8205"/>
    <n v="1925.31"/>
    <x v="23"/>
  </r>
  <r>
    <x v="8206"/>
    <n v="1927.8"/>
    <x v="23"/>
  </r>
  <r>
    <x v="8207"/>
    <n v="1925.41"/>
    <x v="23"/>
  </r>
  <r>
    <x v="8208"/>
    <n v="1925.41"/>
    <x v="23"/>
  </r>
  <r>
    <x v="8209"/>
    <n v="1925.41"/>
    <x v="23"/>
  </r>
  <r>
    <x v="8210"/>
    <n v="1921.16"/>
    <x v="23"/>
  </r>
  <r>
    <x v="8211"/>
    <n v="1920.41"/>
    <x v="23"/>
  </r>
  <r>
    <x v="8212"/>
    <n v="1911.33"/>
    <x v="23"/>
  </r>
  <r>
    <x v="8213"/>
    <n v="1905.8"/>
    <x v="23"/>
  </r>
  <r>
    <x v="8214"/>
    <n v="1905.53"/>
    <x v="23"/>
  </r>
  <r>
    <x v="8215"/>
    <n v="1905.53"/>
    <x v="23"/>
  </r>
  <r>
    <x v="8216"/>
    <n v="1905.53"/>
    <x v="23"/>
  </r>
  <r>
    <x v="8217"/>
    <n v="1905.53"/>
    <x v="23"/>
  </r>
  <r>
    <x v="8218"/>
    <n v="1917.34"/>
    <x v="23"/>
  </r>
  <r>
    <x v="8219"/>
    <n v="1910.8"/>
    <x v="23"/>
  </r>
  <r>
    <x v="8220"/>
    <n v="1905.96"/>
    <x v="23"/>
  </r>
  <r>
    <x v="8221"/>
    <n v="1900.64"/>
    <x v="23"/>
  </r>
  <r>
    <x v="8222"/>
    <n v="1900.64"/>
    <x v="23"/>
  </r>
  <r>
    <x v="8223"/>
    <n v="1900.64"/>
    <x v="23"/>
  </r>
  <r>
    <x v="8224"/>
    <n v="1900.64"/>
    <x v="23"/>
  </r>
  <r>
    <x v="8225"/>
    <n v="1899.74"/>
    <x v="23"/>
  </r>
  <r>
    <x v="8226"/>
    <n v="1897.7"/>
    <x v="23"/>
  </r>
  <r>
    <x v="8227"/>
    <n v="1892.08"/>
    <x v="23"/>
  </r>
  <r>
    <x v="8228"/>
    <n v="1886.09"/>
    <x v="23"/>
  </r>
  <r>
    <x v="8229"/>
    <n v="1886.09"/>
    <x v="23"/>
  </r>
  <r>
    <x v="8230"/>
    <n v="1886.09"/>
    <x v="23"/>
  </r>
  <r>
    <x v="8231"/>
    <n v="1883.76"/>
    <x v="23"/>
  </r>
  <r>
    <x v="8232"/>
    <n v="1884.97"/>
    <x v="23"/>
  </r>
  <r>
    <x v="8233"/>
    <n v="1884.63"/>
    <x v="23"/>
  </r>
  <r>
    <x v="8234"/>
    <n v="1877.18"/>
    <x v="23"/>
  </r>
  <r>
    <x v="8235"/>
    <n v="1877.37"/>
    <x v="23"/>
  </r>
  <r>
    <x v="8236"/>
    <n v="1877.37"/>
    <x v="23"/>
  </r>
  <r>
    <x v="8237"/>
    <n v="1877.37"/>
    <x v="23"/>
  </r>
  <r>
    <x v="8238"/>
    <n v="1886.62"/>
    <x v="23"/>
  </r>
  <r>
    <x v="8239"/>
    <n v="1899.9"/>
    <x v="23"/>
  </r>
  <r>
    <x v="8240"/>
    <n v="1895.92"/>
    <x v="23"/>
  </r>
  <r>
    <x v="8241"/>
    <n v="1881.34"/>
    <x v="23"/>
  </r>
  <r>
    <x v="8242"/>
    <n v="1884.56"/>
    <x v="23"/>
  </r>
  <r>
    <x v="8243"/>
    <n v="1884.56"/>
    <x v="23"/>
  </r>
  <r>
    <x v="8244"/>
    <n v="1884.56"/>
    <x v="23"/>
  </r>
  <r>
    <x v="8245"/>
    <n v="1884.56"/>
    <x v="23"/>
  </r>
  <r>
    <x v="8246"/>
    <n v="1886.85"/>
    <x v="23"/>
  </r>
  <r>
    <x v="8247"/>
    <n v="1880.37"/>
    <x v="23"/>
  </r>
  <r>
    <x v="8248"/>
    <n v="1886.01"/>
    <x v="23"/>
  </r>
  <r>
    <x v="8249"/>
    <n v="1881.19"/>
    <x v="23"/>
  </r>
  <r>
    <x v="8250"/>
    <n v="1881.19"/>
    <x v="23"/>
  </r>
  <r>
    <x v="8251"/>
    <n v="1881.19"/>
    <x v="23"/>
  </r>
  <r>
    <x v="8252"/>
    <n v="1881.19"/>
    <x v="23"/>
  </r>
  <r>
    <x v="8253"/>
    <n v="1865.42"/>
    <x v="23"/>
  </r>
  <r>
    <x v="8254"/>
    <n v="1856.73"/>
    <x v="23"/>
  </r>
  <r>
    <x v="8255"/>
    <n v="1848.91"/>
    <x v="23"/>
  </r>
  <r>
    <x v="8256"/>
    <n v="1848.91"/>
    <x v="23"/>
  </r>
  <r>
    <x v="8257"/>
    <n v="1848.91"/>
    <x v="23"/>
  </r>
  <r>
    <x v="8258"/>
    <n v="1848.91"/>
    <x v="23"/>
  </r>
  <r>
    <x v="8259"/>
    <n v="1849.28"/>
    <x v="23"/>
  </r>
  <r>
    <x v="8260"/>
    <n v="1854.24"/>
    <x v="23"/>
  </r>
  <r>
    <x v="8261"/>
    <n v="1859.94"/>
    <x v="23"/>
  </r>
  <r>
    <x v="8262"/>
    <n v="1858.47"/>
    <x v="23"/>
  </r>
  <r>
    <x v="8263"/>
    <n v="1852.57"/>
    <x v="23"/>
  </r>
  <r>
    <x v="8264"/>
    <n v="1852.57"/>
    <x v="23"/>
  </r>
  <r>
    <x v="8265"/>
    <n v="1852.57"/>
    <x v="23"/>
  </r>
  <r>
    <x v="8266"/>
    <n v="1857.93"/>
    <x v="23"/>
  </r>
  <r>
    <x v="8267"/>
    <n v="1867.88"/>
    <x v="23"/>
  </r>
  <r>
    <x v="8268"/>
    <n v="1868.41"/>
    <x v="23"/>
  </r>
  <r>
    <x v="8269"/>
    <n v="1872.27"/>
    <x v="23"/>
  </r>
  <r>
    <x v="8270"/>
    <n v="1871.87"/>
    <x v="23"/>
  </r>
  <r>
    <x v="8271"/>
    <n v="1871.87"/>
    <x v="23"/>
  </r>
  <r>
    <x v="8272"/>
    <n v="1871.87"/>
    <x v="23"/>
  </r>
  <r>
    <x v="8273"/>
    <n v="1861.28"/>
    <x v="23"/>
  </r>
  <r>
    <x v="8274"/>
    <n v="1848.98"/>
    <x v="23"/>
  </r>
  <r>
    <x v="8275"/>
    <n v="1847.85"/>
    <x v="23"/>
  </r>
  <r>
    <x v="8276"/>
    <n v="1846.12"/>
    <x v="23"/>
  </r>
  <r>
    <x v="8277"/>
    <n v="1848.56"/>
    <x v="23"/>
  </r>
  <r>
    <x v="8278"/>
    <n v="1848.56"/>
    <x v="23"/>
  </r>
  <r>
    <x v="8279"/>
    <n v="1848.56"/>
    <x v="23"/>
  </r>
  <r>
    <x v="8280"/>
    <n v="1850.61"/>
    <x v="23"/>
  </r>
  <r>
    <x v="8281"/>
    <n v="1853.3"/>
    <x v="23"/>
  </r>
  <r>
    <x v="8282"/>
    <n v="1872.43"/>
    <x v="23"/>
  </r>
  <r>
    <x v="8283"/>
    <n v="1878.75"/>
    <x v="23"/>
  </r>
  <r>
    <x v="8284"/>
    <n v="1873.65"/>
    <x v="23"/>
  </r>
  <r>
    <x v="8285"/>
    <n v="1873.65"/>
    <x v="23"/>
  </r>
  <r>
    <x v="8286"/>
    <n v="1873.65"/>
    <x v="23"/>
  </r>
  <r>
    <x v="8287"/>
    <n v="1878.68"/>
    <x v="23"/>
  </r>
  <r>
    <x v="8288"/>
    <n v="1892.35"/>
    <x v="23"/>
  </r>
  <r>
    <x v="8289"/>
    <n v="1888.51"/>
    <x v="23"/>
  </r>
  <r>
    <x v="8290"/>
    <n v="1888.51"/>
    <x v="23"/>
  </r>
  <r>
    <x v="8291"/>
    <n v="1891.59"/>
    <x v="23"/>
  </r>
  <r>
    <x v="8292"/>
    <n v="1891.59"/>
    <x v="23"/>
  </r>
  <r>
    <x v="8293"/>
    <n v="1891.59"/>
    <x v="23"/>
  </r>
  <r>
    <x v="8294"/>
    <n v="1881.62"/>
    <x v="23"/>
  </r>
  <r>
    <x v="8295"/>
    <n v="1877.4"/>
    <x v="23"/>
  </r>
  <r>
    <x v="8296"/>
    <n v="1883.33"/>
    <x v="23"/>
  </r>
  <r>
    <x v="8297"/>
    <n v="1877.77"/>
    <x v="23"/>
  </r>
  <r>
    <x v="8298"/>
    <n v="1884.81"/>
    <x v="23"/>
  </r>
  <r>
    <x v="8299"/>
    <n v="1884.81"/>
    <x v="23"/>
  </r>
  <r>
    <x v="8300"/>
    <n v="1884.81"/>
    <x v="23"/>
  </r>
  <r>
    <x v="8301"/>
    <n v="1884.81"/>
    <x v="23"/>
  </r>
  <r>
    <x v="8302"/>
    <n v="1894.27"/>
    <x v="23"/>
  </r>
  <r>
    <x v="8303"/>
    <n v="1912.43"/>
    <x v="23"/>
  </r>
  <r>
    <x v="8304"/>
    <n v="1919.84"/>
    <x v="23"/>
  </r>
  <r>
    <x v="8305"/>
    <n v="1924.4"/>
    <x v="23"/>
  </r>
  <r>
    <x v="8306"/>
    <n v="1924.4"/>
    <x v="23"/>
  </r>
  <r>
    <x v="8307"/>
    <n v="1924.4"/>
    <x v="23"/>
  </r>
  <r>
    <x v="8308"/>
    <n v="1932.39"/>
    <x v="23"/>
  </r>
  <r>
    <x v="8309"/>
    <n v="1928.67"/>
    <x v="23"/>
  </r>
  <r>
    <x v="8310"/>
    <n v="1926.92"/>
    <x v="23"/>
  </r>
  <r>
    <x v="8311"/>
    <n v="1935.04"/>
    <x v="23"/>
  </r>
  <r>
    <x v="8312"/>
    <n v="1918.62"/>
    <x v="23"/>
  </r>
  <r>
    <x v="8313"/>
    <n v="1918.62"/>
    <x v="23"/>
  </r>
  <r>
    <x v="8314"/>
    <n v="1918.62"/>
    <x v="23"/>
  </r>
  <r>
    <x v="8315"/>
    <n v="1918.62"/>
    <x v="23"/>
  </r>
  <r>
    <x v="8316"/>
    <n v="1931.49"/>
    <x v="23"/>
  </r>
  <r>
    <x v="8317"/>
    <n v="1924.67"/>
    <x v="23"/>
  </r>
  <r>
    <x v="8318"/>
    <n v="1931.45"/>
    <x v="23"/>
  </r>
  <r>
    <x v="8319"/>
    <n v="1935.25"/>
    <x v="23"/>
  </r>
  <r>
    <x v="8320"/>
    <n v="1935.25"/>
    <x v="23"/>
  </r>
  <r>
    <x v="8321"/>
    <n v="1935.25"/>
    <x v="23"/>
  </r>
  <r>
    <x v="8322"/>
    <n v="1942.03"/>
    <x v="23"/>
  </r>
  <r>
    <x v="8323"/>
    <n v="1962.84"/>
    <x v="23"/>
  </r>
  <r>
    <x v="8324"/>
    <n v="1975.82"/>
    <x v="23"/>
  </r>
  <r>
    <x v="8325"/>
    <n v="1979.97"/>
    <x v="23"/>
  </r>
  <r>
    <x v="8326"/>
    <n v="1994.97"/>
    <x v="23"/>
  </r>
  <r>
    <x v="8327"/>
    <n v="1994.97"/>
    <x v="23"/>
  </r>
  <r>
    <x v="8328"/>
    <n v="1994.97"/>
    <x v="23"/>
  </r>
  <r>
    <x v="8329"/>
    <n v="1987.71"/>
    <x v="23"/>
  </r>
  <r>
    <x v="8330"/>
    <n v="1978.08"/>
    <x v="23"/>
  </r>
  <r>
    <x v="8331"/>
    <n v="1975.47"/>
    <x v="23"/>
  </r>
  <r>
    <x v="8332"/>
    <n v="1975.42"/>
    <x v="23"/>
  </r>
  <r>
    <x v="8333"/>
    <n v="1966.89"/>
    <x v="23"/>
  </r>
  <r>
    <x v="8334"/>
    <n v="1966.89"/>
    <x v="23"/>
  </r>
  <r>
    <x v="8335"/>
    <n v="1966.89"/>
    <x v="23"/>
  </r>
  <r>
    <x v="8336"/>
    <n v="1992.68"/>
    <x v="23"/>
  </r>
  <r>
    <x v="8337"/>
    <n v="1997.91"/>
    <x v="23"/>
  </r>
  <r>
    <x v="8338"/>
    <n v="2007.48"/>
    <x v="23"/>
  </r>
  <r>
    <x v="8339"/>
    <n v="2019.76"/>
    <x v="23"/>
  </r>
  <r>
    <x v="8340"/>
    <n v="2023.89"/>
    <x v="23"/>
  </r>
  <r>
    <x v="8341"/>
    <n v="2023.89"/>
    <x v="23"/>
  </r>
  <r>
    <x v="8342"/>
    <n v="2023.89"/>
    <x v="23"/>
  </r>
  <r>
    <x v="8343"/>
    <n v="2028.48"/>
    <x v="23"/>
  </r>
  <r>
    <x v="8344"/>
    <n v="2022"/>
    <x v="23"/>
  </r>
  <r>
    <x v="8345"/>
    <n v="2025.75"/>
    <x v="23"/>
  </r>
  <r>
    <x v="8346"/>
    <n v="2021.49"/>
    <x v="23"/>
  </r>
  <r>
    <x v="8347"/>
    <n v="2026.2"/>
    <x v="23"/>
  </r>
  <r>
    <x v="8348"/>
    <n v="2026.2"/>
    <x v="23"/>
  </r>
  <r>
    <x v="8349"/>
    <n v="2026.2"/>
    <x v="23"/>
  </r>
  <r>
    <x v="8350"/>
    <n v="2028.03"/>
    <x v="23"/>
  </r>
  <r>
    <x v="8351"/>
    <n v="2026.9"/>
    <x v="23"/>
  </r>
  <r>
    <x v="8352"/>
    <n v="2040.31"/>
    <x v="23"/>
  </r>
  <r>
    <x v="8353"/>
    <n v="2041.71"/>
    <x v="23"/>
  </r>
  <r>
    <x v="8354"/>
    <n v="2052.96"/>
    <x v="23"/>
  </r>
  <r>
    <x v="8355"/>
    <n v="2052.96"/>
    <x v="23"/>
  </r>
  <r>
    <x v="8356"/>
    <n v="2052.96"/>
    <x v="23"/>
  </r>
  <r>
    <x v="8357"/>
    <n v="2052.96"/>
    <x v="23"/>
  </r>
  <r>
    <x v="8358"/>
    <n v="2049.66"/>
    <x v="23"/>
  </r>
  <r>
    <x v="8359"/>
    <n v="2057.6999999999998"/>
    <x v="23"/>
  </r>
  <r>
    <x v="8360"/>
    <n v="2074.4"/>
    <x v="23"/>
  </r>
  <r>
    <x v="8361"/>
    <n v="2064.4299999999998"/>
    <x v="23"/>
  </r>
  <r>
    <x v="8362"/>
    <n v="2064.4299999999998"/>
    <x v="23"/>
  </r>
  <r>
    <x v="8363"/>
    <n v="2064.4299999999998"/>
    <x v="23"/>
  </r>
  <r>
    <x v="8364"/>
    <n v="2065.8200000000002"/>
    <x v="23"/>
  </r>
  <r>
    <x v="8365"/>
    <n v="2048.44"/>
    <x v="23"/>
  </r>
  <r>
    <x v="8366"/>
    <n v="2049.9"/>
    <x v="23"/>
  </r>
  <r>
    <x v="8367"/>
    <n v="2053.39"/>
    <x v="23"/>
  </r>
  <r>
    <x v="8368"/>
    <n v="2065.38"/>
    <x v="23"/>
  </r>
  <r>
    <x v="8369"/>
    <n v="2065.38"/>
    <x v="23"/>
  </r>
  <r>
    <x v="8370"/>
    <n v="2065.38"/>
    <x v="23"/>
  </r>
  <r>
    <x v="8371"/>
    <n v="2069.7199999999998"/>
    <x v="23"/>
  </r>
  <r>
    <x v="8372"/>
    <n v="2055.4299999999998"/>
    <x v="23"/>
  </r>
  <r>
    <x v="8373"/>
    <n v="2044.55"/>
    <x v="23"/>
  </r>
  <r>
    <x v="8374"/>
    <n v="2050.52"/>
    <x v="23"/>
  </r>
  <r>
    <x v="8375"/>
    <n v="2061.92"/>
    <x v="23"/>
  </r>
  <r>
    <x v="8376"/>
    <n v="2061.92"/>
    <x v="23"/>
  </r>
  <r>
    <x v="8377"/>
    <n v="2061.92"/>
    <x v="23"/>
  </r>
  <r>
    <x v="8378"/>
    <n v="2061.92"/>
    <x v="23"/>
  </r>
  <r>
    <x v="8379"/>
    <n v="2076.9899999999998"/>
    <x v="23"/>
  </r>
  <r>
    <x v="8380"/>
    <n v="2081.2399999999998"/>
    <x v="23"/>
  </r>
  <r>
    <x v="8381"/>
    <n v="2086.86"/>
    <x v="23"/>
  </r>
  <r>
    <x v="8382"/>
    <n v="2103.25"/>
    <x v="23"/>
  </r>
  <r>
    <x v="8383"/>
    <n v="2103.25"/>
    <x v="23"/>
  </r>
  <r>
    <x v="8384"/>
    <n v="2103.25"/>
    <x v="23"/>
  </r>
  <r>
    <x v="8385"/>
    <n v="2103.12"/>
    <x v="23"/>
  </r>
  <r>
    <x v="8386"/>
    <n v="2103.12"/>
    <x v="23"/>
  </r>
  <r>
    <x v="8387"/>
    <n v="2115.59"/>
    <x v="23"/>
  </r>
  <r>
    <x v="8388"/>
    <n v="2133.0300000000002"/>
    <x v="23"/>
  </r>
  <r>
    <x v="8389"/>
    <n v="2160.4699999999998"/>
    <x v="23"/>
  </r>
  <r>
    <x v="8390"/>
    <n v="2160.4699999999998"/>
    <x v="23"/>
  </r>
  <r>
    <x v="8391"/>
    <n v="2160.4699999999998"/>
    <x v="23"/>
  </r>
  <r>
    <x v="8392"/>
    <n v="2160.4699999999998"/>
    <x v="23"/>
  </r>
  <r>
    <x v="8393"/>
    <n v="2158.58"/>
    <x v="23"/>
  </r>
  <r>
    <x v="8394"/>
    <n v="2156.73"/>
    <x v="23"/>
  </r>
  <r>
    <x v="8395"/>
    <n v="2156.9299999999998"/>
    <x v="23"/>
  </r>
  <r>
    <x v="8396"/>
    <n v="2142.02"/>
    <x v="23"/>
  </r>
  <r>
    <x v="8397"/>
    <n v="2142.02"/>
    <x v="23"/>
  </r>
  <r>
    <x v="8398"/>
    <n v="2142.02"/>
    <x v="23"/>
  </r>
  <r>
    <x v="8399"/>
    <n v="2158.12"/>
    <x v="23"/>
  </r>
  <r>
    <x v="8400"/>
    <n v="2162.15"/>
    <x v="23"/>
  </r>
  <r>
    <x v="8401"/>
    <n v="2165.15"/>
    <x v="23"/>
  </r>
  <r>
    <x v="8402"/>
    <n v="2165.15"/>
    <x v="23"/>
  </r>
  <r>
    <x v="8403"/>
    <n v="2206.19"/>
    <x v="23"/>
  </r>
  <r>
    <x v="8404"/>
    <n v="2206.19"/>
    <x v="23"/>
  </r>
  <r>
    <x v="8405"/>
    <n v="2206.19"/>
    <x v="23"/>
  </r>
  <r>
    <x v="8406"/>
    <n v="2252.36"/>
    <x v="23"/>
  </r>
  <r>
    <x v="8407"/>
    <n v="2293.4699999999998"/>
    <x v="23"/>
  </r>
  <r>
    <x v="8408"/>
    <n v="2286.0300000000002"/>
    <x v="23"/>
  </r>
  <r>
    <x v="8409"/>
    <n v="2284.2399999999998"/>
    <x v="23"/>
  </r>
  <r>
    <x v="8410"/>
    <n v="2304.12"/>
    <x v="23"/>
  </r>
  <r>
    <x v="8411"/>
    <n v="2304.12"/>
    <x v="23"/>
  </r>
  <r>
    <x v="8412"/>
    <n v="2304.12"/>
    <x v="23"/>
  </r>
  <r>
    <x v="8413"/>
    <n v="2304.12"/>
    <x v="23"/>
  </r>
  <r>
    <x v="8414"/>
    <n v="2350.0100000000002"/>
    <x v="23"/>
  </r>
  <r>
    <x v="8415"/>
    <n v="2381.96"/>
    <x v="23"/>
  </r>
  <r>
    <x v="8416"/>
    <n v="2423.56"/>
    <x v="23"/>
  </r>
  <r>
    <x v="8417"/>
    <n v="2405.31"/>
    <x v="23"/>
  </r>
  <r>
    <x v="8418"/>
    <n v="2405.31"/>
    <x v="23"/>
  </r>
  <r>
    <x v="8419"/>
    <n v="2405.31"/>
    <x v="23"/>
  </r>
  <r>
    <x v="8420"/>
    <n v="2414.39"/>
    <x v="23"/>
  </r>
  <r>
    <x v="8421"/>
    <n v="2446.35"/>
    <x v="23"/>
  </r>
  <r>
    <x v="8422"/>
    <n v="2412.79"/>
    <x v="23"/>
  </r>
  <r>
    <x v="8423"/>
    <n v="2334.98"/>
    <x v="23"/>
  </r>
  <r>
    <x v="8424"/>
    <n v="2297.14"/>
    <x v="23"/>
  </r>
  <r>
    <x v="8425"/>
    <n v="2297.14"/>
    <x v="23"/>
  </r>
  <r>
    <x v="8426"/>
    <n v="2297.14"/>
    <x v="23"/>
  </r>
  <r>
    <x v="8427"/>
    <n v="2316.9299999999998"/>
    <x v="23"/>
  </r>
  <r>
    <x v="8428"/>
    <n v="2342.5700000000002"/>
    <x v="23"/>
  </r>
  <r>
    <x v="8429"/>
    <n v="2346.9"/>
    <x v="23"/>
  </r>
  <r>
    <x v="8430"/>
    <n v="2346.9"/>
    <x v="23"/>
  </r>
  <r>
    <x v="8431"/>
    <n v="2358.46"/>
    <x v="23"/>
  </r>
  <r>
    <x v="8432"/>
    <n v="2358.46"/>
    <x v="23"/>
  </r>
  <r>
    <x v="8433"/>
    <n v="2358.46"/>
    <x v="23"/>
  </r>
  <r>
    <x v="8434"/>
    <n v="2378.56"/>
    <x v="23"/>
  </r>
  <r>
    <x v="8435"/>
    <n v="2392.46"/>
    <x v="23"/>
  </r>
  <r>
    <x v="8436"/>
    <n v="2392.46"/>
    <x v="24"/>
  </r>
  <r>
    <x v="8437"/>
    <n v="2392.46"/>
    <x v="24"/>
  </r>
  <r>
    <x v="8438"/>
    <n v="2383.37"/>
    <x v="24"/>
  </r>
  <r>
    <x v="8439"/>
    <n v="2383.37"/>
    <x v="24"/>
  </r>
  <r>
    <x v="8440"/>
    <n v="2383.37"/>
    <x v="24"/>
  </r>
  <r>
    <x v="8441"/>
    <n v="2412.8200000000002"/>
    <x v="24"/>
  </r>
  <r>
    <x v="8442"/>
    <n v="2452.11"/>
    <x v="24"/>
  </r>
  <r>
    <x v="8443"/>
    <n v="2434.31"/>
    <x v="24"/>
  </r>
  <r>
    <x v="8444"/>
    <n v="2405.0300000000002"/>
    <x v="24"/>
  </r>
  <r>
    <x v="8445"/>
    <n v="2406.71"/>
    <x v="24"/>
  </r>
  <r>
    <x v="8446"/>
    <n v="2406.71"/>
    <x v="24"/>
  </r>
  <r>
    <x v="8447"/>
    <n v="2406.71"/>
    <x v="24"/>
  </r>
  <r>
    <x v="8448"/>
    <n v="2406.71"/>
    <x v="24"/>
  </r>
  <r>
    <x v="8449"/>
    <n v="2442.0300000000002"/>
    <x v="24"/>
  </r>
  <r>
    <x v="8450"/>
    <n v="2438.79"/>
    <x v="24"/>
  </r>
  <r>
    <x v="8451"/>
    <n v="2398.91"/>
    <x v="24"/>
  </r>
  <r>
    <x v="8452"/>
    <n v="2383.91"/>
    <x v="24"/>
  </r>
  <r>
    <x v="8453"/>
    <n v="2383.91"/>
    <x v="24"/>
  </r>
  <r>
    <x v="8454"/>
    <n v="2383.91"/>
    <x v="24"/>
  </r>
  <r>
    <x v="8455"/>
    <n v="2383.91"/>
    <x v="24"/>
  </r>
  <r>
    <x v="8456"/>
    <n v="2373.44"/>
    <x v="24"/>
  </r>
  <r>
    <x v="8457"/>
    <n v="2361.54"/>
    <x v="24"/>
  </r>
  <r>
    <x v="8458"/>
    <n v="2370.75"/>
    <x v="24"/>
  </r>
  <r>
    <x v="8459"/>
    <n v="2386.5"/>
    <x v="24"/>
  </r>
  <r>
    <x v="8460"/>
    <n v="2386.5"/>
    <x v="24"/>
  </r>
  <r>
    <x v="8461"/>
    <n v="2386.5"/>
    <x v="24"/>
  </r>
  <r>
    <x v="8462"/>
    <n v="2386.2800000000002"/>
    <x v="24"/>
  </r>
  <r>
    <x v="8463"/>
    <n v="2381.11"/>
    <x v="24"/>
  </r>
  <r>
    <x v="8464"/>
    <n v="2362.42"/>
    <x v="24"/>
  </r>
  <r>
    <x v="8465"/>
    <n v="2397.35"/>
    <x v="24"/>
  </r>
  <r>
    <x v="8466"/>
    <n v="2441.1"/>
    <x v="24"/>
  </r>
  <r>
    <x v="8467"/>
    <n v="2441.1"/>
    <x v="24"/>
  </r>
  <r>
    <x v="8468"/>
    <n v="2441.1"/>
    <x v="24"/>
  </r>
  <r>
    <x v="8469"/>
    <n v="2407.29"/>
    <x v="24"/>
  </r>
  <r>
    <x v="8470"/>
    <n v="2374.7199999999998"/>
    <x v="24"/>
  </r>
  <r>
    <x v="8471"/>
    <n v="2381.91"/>
    <x v="24"/>
  </r>
  <r>
    <x v="8472"/>
    <n v="2384.5300000000002"/>
    <x v="24"/>
  </r>
  <r>
    <x v="8473"/>
    <n v="2384.7600000000002"/>
    <x v="24"/>
  </r>
  <r>
    <x v="8474"/>
    <n v="2384.7600000000002"/>
    <x v="24"/>
  </r>
  <r>
    <x v="8475"/>
    <n v="2384.7600000000002"/>
    <x v="24"/>
  </r>
  <r>
    <x v="8476"/>
    <n v="2371.31"/>
    <x v="24"/>
  </r>
  <r>
    <x v="8477"/>
    <n v="2380.79"/>
    <x v="24"/>
  </r>
  <r>
    <x v="8478"/>
    <n v="2416.61"/>
    <x v="24"/>
  </r>
  <r>
    <x v="8479"/>
    <n v="2401.0300000000002"/>
    <x v="24"/>
  </r>
  <r>
    <x v="8480"/>
    <n v="2376.23"/>
    <x v="24"/>
  </r>
  <r>
    <x v="8481"/>
    <n v="2376.23"/>
    <x v="24"/>
  </r>
  <r>
    <x v="8482"/>
    <n v="2376.23"/>
    <x v="24"/>
  </r>
  <r>
    <x v="8483"/>
    <n v="2376.23"/>
    <x v="24"/>
  </r>
  <r>
    <x v="8484"/>
    <n v="2416.37"/>
    <x v="24"/>
  </r>
  <r>
    <x v="8485"/>
    <n v="2429.71"/>
    <x v="24"/>
  </r>
  <r>
    <x v="8486"/>
    <n v="2445.16"/>
    <x v="24"/>
  </r>
  <r>
    <x v="8487"/>
    <n v="2455.54"/>
    <x v="24"/>
  </r>
  <r>
    <x v="8488"/>
    <n v="2455.54"/>
    <x v="24"/>
  </r>
  <r>
    <x v="8489"/>
    <n v="2455.54"/>
    <x v="24"/>
  </r>
  <r>
    <x v="8490"/>
    <n v="2489.81"/>
    <x v="24"/>
  </r>
  <r>
    <x v="8491"/>
    <n v="2500.59"/>
    <x v="24"/>
  </r>
  <r>
    <x v="8492"/>
    <n v="2489.41"/>
    <x v="24"/>
  </r>
  <r>
    <x v="8493"/>
    <n v="2484.58"/>
    <x v="24"/>
  </r>
  <r>
    <x v="8494"/>
    <n v="2496.9899999999998"/>
    <x v="24"/>
  </r>
  <r>
    <x v="8495"/>
    <n v="2496.9899999999998"/>
    <x v="24"/>
  </r>
  <r>
    <x v="8496"/>
    <n v="2496.9899999999998"/>
    <x v="24"/>
  </r>
  <r>
    <x v="8497"/>
    <n v="2522.0300000000002"/>
    <x v="24"/>
  </r>
  <r>
    <x v="8498"/>
    <n v="2555.08"/>
    <x v="24"/>
  </r>
  <r>
    <x v="8499"/>
    <n v="2565.9"/>
    <x v="24"/>
  </r>
  <r>
    <x v="8500"/>
    <n v="2543.4699999999998"/>
    <x v="24"/>
  </r>
  <r>
    <x v="8501"/>
    <n v="2565.61"/>
    <x v="24"/>
  </r>
  <r>
    <x v="8502"/>
    <n v="2565.61"/>
    <x v="24"/>
  </r>
  <r>
    <x v="8503"/>
    <n v="2565.61"/>
    <x v="24"/>
  </r>
  <r>
    <x v="8504"/>
    <n v="2592.86"/>
    <x v="24"/>
  </r>
  <r>
    <x v="8505"/>
    <n v="2618.79"/>
    <x v="24"/>
  </r>
  <r>
    <x v="8506"/>
    <n v="2633.65"/>
    <x v="24"/>
  </r>
  <r>
    <x v="8507"/>
    <n v="2610.08"/>
    <x v="24"/>
  </r>
  <r>
    <x v="8508"/>
    <n v="2661.52"/>
    <x v="24"/>
  </r>
  <r>
    <x v="8509"/>
    <n v="2661.52"/>
    <x v="24"/>
  </r>
  <r>
    <x v="8510"/>
    <n v="2661.52"/>
    <x v="24"/>
  </r>
  <r>
    <x v="8511"/>
    <n v="2675.08"/>
    <x v="24"/>
  </r>
  <r>
    <x v="8512"/>
    <n v="2677.97"/>
    <x v="24"/>
  </r>
  <r>
    <x v="8513"/>
    <n v="2651.49"/>
    <x v="24"/>
  </r>
  <r>
    <x v="8514"/>
    <n v="2613.38"/>
    <x v="24"/>
  </r>
  <r>
    <x v="8515"/>
    <n v="2587.71"/>
    <x v="24"/>
  </r>
  <r>
    <x v="8516"/>
    <n v="2587.71"/>
    <x v="24"/>
  </r>
  <r>
    <x v="8517"/>
    <n v="2587.71"/>
    <x v="24"/>
  </r>
  <r>
    <x v="8518"/>
    <n v="2587.71"/>
    <x v="24"/>
  </r>
  <r>
    <x v="8519"/>
    <n v="2526.79"/>
    <x v="24"/>
  </r>
  <r>
    <x v="8520"/>
    <n v="2535.5500000000002"/>
    <x v="24"/>
  </r>
  <r>
    <x v="8521"/>
    <n v="2551.3000000000002"/>
    <x v="24"/>
  </r>
  <r>
    <x v="8522"/>
    <n v="2556.85"/>
    <x v="24"/>
  </r>
  <r>
    <x v="8523"/>
    <n v="2556.85"/>
    <x v="24"/>
  </r>
  <r>
    <x v="8524"/>
    <n v="2556.85"/>
    <x v="24"/>
  </r>
  <r>
    <x v="8525"/>
    <n v="2576.0500000000002"/>
    <x v="24"/>
  </r>
  <r>
    <x v="8526"/>
    <n v="2598.36"/>
    <x v="24"/>
  </r>
  <r>
    <x v="8527"/>
    <n v="2576.41"/>
    <x v="24"/>
  </r>
  <r>
    <x v="8528"/>
    <n v="2576.41"/>
    <x v="24"/>
  </r>
  <r>
    <x v="8529"/>
    <n v="2576.41"/>
    <x v="24"/>
  </r>
  <r>
    <x v="8530"/>
    <n v="2576.41"/>
    <x v="24"/>
  </r>
  <r>
    <x v="8531"/>
    <n v="2576.41"/>
    <x v="24"/>
  </r>
  <r>
    <x v="8532"/>
    <n v="2522.71"/>
    <x v="24"/>
  </r>
  <r>
    <x v="8533"/>
    <n v="2518.0500000000002"/>
    <x v="24"/>
  </r>
  <r>
    <x v="8534"/>
    <n v="2490.9"/>
    <x v="24"/>
  </r>
  <r>
    <x v="8535"/>
    <n v="2494.77"/>
    <x v="24"/>
  </r>
  <r>
    <x v="8536"/>
    <n v="2516.08"/>
    <x v="24"/>
  </r>
  <r>
    <x v="8537"/>
    <n v="2516.08"/>
    <x v="24"/>
  </r>
  <r>
    <x v="8538"/>
    <n v="2516.08"/>
    <x v="24"/>
  </r>
  <r>
    <x v="8539"/>
    <n v="2537.33"/>
    <x v="24"/>
  </r>
  <r>
    <x v="8540"/>
    <n v="2550.83"/>
    <x v="24"/>
  </r>
  <r>
    <x v="8541"/>
    <n v="2534.63"/>
    <x v="24"/>
  </r>
  <r>
    <x v="8542"/>
    <n v="2493.9299999999998"/>
    <x v="24"/>
  </r>
  <r>
    <x v="8543"/>
    <n v="2495.0100000000002"/>
    <x v="24"/>
  </r>
  <r>
    <x v="8544"/>
    <n v="2495.0100000000002"/>
    <x v="24"/>
  </r>
  <r>
    <x v="8545"/>
    <n v="2495.0100000000002"/>
    <x v="24"/>
  </r>
  <r>
    <x v="8546"/>
    <n v="2487.0700000000002"/>
    <x v="24"/>
  </r>
  <r>
    <x v="8547"/>
    <n v="2469.0300000000002"/>
    <x v="24"/>
  </r>
  <r>
    <x v="8548"/>
    <n v="2488.5"/>
    <x v="24"/>
  </r>
  <r>
    <x v="8549"/>
    <n v="2471.21"/>
    <x v="24"/>
  </r>
  <r>
    <x v="8550"/>
    <n v="2461.17"/>
    <x v="24"/>
  </r>
  <r>
    <x v="8551"/>
    <n v="2461.17"/>
    <x v="24"/>
  </r>
  <r>
    <x v="8552"/>
    <n v="2461.17"/>
    <x v="24"/>
  </r>
  <r>
    <x v="8553"/>
    <n v="2419.81"/>
    <x v="24"/>
  </r>
  <r>
    <x v="8554"/>
    <n v="2393.42"/>
    <x v="24"/>
  </r>
  <r>
    <x v="8555"/>
    <n v="2388.06"/>
    <x v="24"/>
  </r>
  <r>
    <x v="8556"/>
    <n v="2393.58"/>
    <x v="24"/>
  </r>
  <r>
    <x v="8557"/>
    <n v="2393.58"/>
    <x v="24"/>
  </r>
  <r>
    <x v="8558"/>
    <n v="2393.58"/>
    <x v="24"/>
  </r>
  <r>
    <x v="8559"/>
    <n v="2393.58"/>
    <x v="24"/>
  </r>
  <r>
    <x v="8560"/>
    <n v="2408.17"/>
    <x v="24"/>
  </r>
  <r>
    <x v="8561"/>
    <n v="2386.7199999999998"/>
    <x v="24"/>
  </r>
  <r>
    <x v="8562"/>
    <n v="2362.41"/>
    <x v="24"/>
  </r>
  <r>
    <x v="8563"/>
    <n v="2369.23"/>
    <x v="24"/>
  </r>
  <r>
    <x v="8564"/>
    <n v="2360.58"/>
    <x v="24"/>
  </r>
  <r>
    <x v="8565"/>
    <n v="2360.58"/>
    <x v="24"/>
  </r>
  <r>
    <x v="8566"/>
    <n v="2360.58"/>
    <x v="24"/>
  </r>
  <r>
    <x v="8567"/>
    <n v="2381.5300000000002"/>
    <x v="24"/>
  </r>
  <r>
    <x v="8568"/>
    <n v="2386.77"/>
    <x v="24"/>
  </r>
  <r>
    <x v="8569"/>
    <n v="2377.87"/>
    <x v="24"/>
  </r>
  <r>
    <x v="8570"/>
    <n v="2389.4899999999998"/>
    <x v="24"/>
  </r>
  <r>
    <x v="8571"/>
    <n v="2417.0100000000002"/>
    <x v="24"/>
  </r>
  <r>
    <x v="8572"/>
    <n v="2417.0100000000002"/>
    <x v="24"/>
  </r>
  <r>
    <x v="8573"/>
    <n v="2417.0100000000002"/>
    <x v="24"/>
  </r>
  <r>
    <x v="8574"/>
    <n v="2417.0100000000002"/>
    <x v="24"/>
  </r>
  <r>
    <x v="8575"/>
    <n v="2475.4499999999998"/>
    <x v="24"/>
  </r>
  <r>
    <x v="8576"/>
    <n v="2503.37"/>
    <x v="24"/>
  </r>
  <r>
    <x v="8577"/>
    <n v="2489.39"/>
    <x v="24"/>
  </r>
  <r>
    <x v="8578"/>
    <n v="2500.2199999999998"/>
    <x v="24"/>
  </r>
  <r>
    <x v="8579"/>
    <n v="2500.2199999999998"/>
    <x v="24"/>
  </r>
  <r>
    <x v="8580"/>
    <n v="2500.2199999999998"/>
    <x v="24"/>
  </r>
  <r>
    <x v="8581"/>
    <n v="2500.2199999999998"/>
    <x v="24"/>
  </r>
  <r>
    <x v="8582"/>
    <n v="2542.5300000000002"/>
    <x v="24"/>
  </r>
  <r>
    <x v="8583"/>
    <n v="2548.13"/>
    <x v="24"/>
  </r>
  <r>
    <x v="8584"/>
    <n v="2549.9699999999998"/>
    <x v="24"/>
  </r>
  <r>
    <x v="8585"/>
    <n v="2533.79"/>
    <x v="24"/>
  </r>
  <r>
    <x v="8586"/>
    <n v="2533.79"/>
    <x v="24"/>
  </r>
  <r>
    <x v="8587"/>
    <n v="2533.79"/>
    <x v="24"/>
  </r>
  <r>
    <x v="8588"/>
    <n v="2549.29"/>
    <x v="24"/>
  </r>
  <r>
    <x v="8589"/>
    <n v="2554.44"/>
    <x v="24"/>
  </r>
  <r>
    <x v="8590"/>
    <n v="2571.92"/>
    <x v="24"/>
  </r>
  <r>
    <x v="8591"/>
    <n v="2588.56"/>
    <x v="24"/>
  </r>
  <r>
    <x v="8592"/>
    <n v="2623.66"/>
    <x v="24"/>
  </r>
  <r>
    <x v="8593"/>
    <n v="2623.66"/>
    <x v="24"/>
  </r>
  <r>
    <x v="8594"/>
    <n v="2623.66"/>
    <x v="24"/>
  </r>
  <r>
    <x v="8595"/>
    <n v="2623.66"/>
    <x v="24"/>
  </r>
  <r>
    <x v="8596"/>
    <n v="2569.17"/>
    <x v="24"/>
  </r>
  <r>
    <x v="8597"/>
    <n v="2523"/>
    <x v="24"/>
  </r>
  <r>
    <x v="8598"/>
    <n v="2538.5500000000002"/>
    <x v="24"/>
  </r>
  <r>
    <x v="8599"/>
    <n v="2535.91"/>
    <x v="24"/>
  </r>
  <r>
    <x v="8600"/>
    <n v="2535.91"/>
    <x v="24"/>
  </r>
  <r>
    <x v="8601"/>
    <n v="2535.91"/>
    <x v="24"/>
  </r>
  <r>
    <x v="8602"/>
    <n v="2535.91"/>
    <x v="24"/>
  </r>
  <r>
    <x v="8603"/>
    <n v="2531.7199999999998"/>
    <x v="24"/>
  </r>
  <r>
    <x v="8604"/>
    <n v="2550.4299999999998"/>
    <x v="24"/>
  </r>
  <r>
    <x v="8605"/>
    <n v="2528.85"/>
    <x v="24"/>
  </r>
  <r>
    <x v="8606"/>
    <n v="2548.1999999999998"/>
    <x v="24"/>
  </r>
  <r>
    <x v="8607"/>
    <n v="2548.1999999999998"/>
    <x v="24"/>
  </r>
  <r>
    <x v="8608"/>
    <n v="2548.1999999999998"/>
    <x v="24"/>
  </r>
  <r>
    <x v="8609"/>
    <n v="2537.6799999999998"/>
    <x v="24"/>
  </r>
  <r>
    <x v="8610"/>
    <n v="2550.7399999999998"/>
    <x v="24"/>
  </r>
  <r>
    <x v="8611"/>
    <n v="2566.66"/>
    <x v="24"/>
  </r>
  <r>
    <x v="8612"/>
    <n v="2556.21"/>
    <x v="24"/>
  </r>
  <r>
    <x v="8613"/>
    <n v="2585.11"/>
    <x v="24"/>
  </r>
  <r>
    <x v="8614"/>
    <n v="2585.11"/>
    <x v="24"/>
  </r>
  <r>
    <x v="8615"/>
    <n v="2585.11"/>
    <x v="24"/>
  </r>
  <r>
    <x v="8616"/>
    <n v="2585.11"/>
    <x v="24"/>
  </r>
  <r>
    <x v="8617"/>
    <n v="2598.6799999999998"/>
    <x v="24"/>
  </r>
  <r>
    <x v="8618"/>
    <n v="2626.8"/>
    <x v="24"/>
  </r>
  <r>
    <x v="8619"/>
    <n v="2623.91"/>
    <x v="24"/>
  </r>
  <r>
    <x v="8620"/>
    <n v="2642.97"/>
    <x v="24"/>
  </r>
  <r>
    <x v="8621"/>
    <n v="2642.97"/>
    <x v="24"/>
  </r>
  <r>
    <x v="8622"/>
    <n v="2642.97"/>
    <x v="24"/>
  </r>
  <r>
    <x v="8623"/>
    <n v="2665.41"/>
    <x v="24"/>
  </r>
  <r>
    <x v="8624"/>
    <n v="2690.15"/>
    <x v="24"/>
  </r>
  <r>
    <x v="8625"/>
    <n v="2690.79"/>
    <x v="24"/>
  </r>
  <r>
    <x v="8626"/>
    <n v="2670.79"/>
    <x v="24"/>
  </r>
  <r>
    <x v="8627"/>
    <n v="2667.37"/>
    <x v="24"/>
  </r>
  <r>
    <x v="8628"/>
    <n v="2667.37"/>
    <x v="24"/>
  </r>
  <r>
    <x v="8629"/>
    <n v="2667.37"/>
    <x v="24"/>
  </r>
  <r>
    <x v="8630"/>
    <n v="2693.54"/>
    <x v="24"/>
  </r>
  <r>
    <x v="8631"/>
    <n v="2688.2"/>
    <x v="24"/>
  </r>
  <r>
    <x v="8632"/>
    <n v="2713.04"/>
    <x v="24"/>
  </r>
  <r>
    <x v="8633"/>
    <n v="2727.23"/>
    <x v="24"/>
  </r>
  <r>
    <x v="8634"/>
    <n v="2751.88"/>
    <x v="24"/>
  </r>
  <r>
    <x v="8635"/>
    <n v="2751.88"/>
    <x v="24"/>
  </r>
  <r>
    <x v="8636"/>
    <n v="2751.88"/>
    <x v="24"/>
  </r>
  <r>
    <x v="8637"/>
    <n v="2751.88"/>
    <x v="24"/>
  </r>
  <r>
    <x v="8638"/>
    <n v="2765.1"/>
    <x v="24"/>
  </r>
  <r>
    <x v="8639"/>
    <n v="2790.26"/>
    <x v="24"/>
  </r>
  <r>
    <x v="8640"/>
    <n v="2807.36"/>
    <x v="24"/>
  </r>
  <r>
    <x v="8641"/>
    <n v="2857.46"/>
    <x v="24"/>
  </r>
  <r>
    <x v="8642"/>
    <n v="2857.46"/>
    <x v="24"/>
  </r>
  <r>
    <x v="8643"/>
    <n v="2857.46"/>
    <x v="24"/>
  </r>
  <r>
    <x v="8644"/>
    <n v="2854.13"/>
    <x v="24"/>
  </r>
  <r>
    <x v="8645"/>
    <n v="2855.44"/>
    <x v="24"/>
  </r>
  <r>
    <x v="8646"/>
    <n v="2855.32"/>
    <x v="24"/>
  </r>
  <r>
    <x v="8647"/>
    <n v="2866.04"/>
    <x v="24"/>
  </r>
  <r>
    <x v="8648"/>
    <n v="2862.51"/>
    <x v="24"/>
  </r>
  <r>
    <x v="8649"/>
    <n v="2862.51"/>
    <x v="24"/>
  </r>
  <r>
    <x v="8650"/>
    <n v="2862.51"/>
    <x v="24"/>
  </r>
  <r>
    <x v="8651"/>
    <n v="2902.98"/>
    <x v="24"/>
  </r>
  <r>
    <x v="8652"/>
    <n v="2906.95"/>
    <x v="24"/>
  </r>
  <r>
    <x v="8653"/>
    <n v="2945.97"/>
    <x v="24"/>
  </r>
  <r>
    <x v="8654"/>
    <n v="2955.31"/>
    <x v="24"/>
  </r>
  <r>
    <x v="8655"/>
    <n v="2955.31"/>
    <x v="24"/>
  </r>
  <r>
    <x v="8656"/>
    <n v="2955.31"/>
    <x v="24"/>
  </r>
  <r>
    <x v="8657"/>
    <n v="2955.31"/>
    <x v="24"/>
  </r>
  <r>
    <x v="8658"/>
    <n v="2913.45"/>
    <x v="24"/>
  </r>
  <r>
    <x v="8659"/>
    <n v="2943.97"/>
    <x v="24"/>
  </r>
  <r>
    <x v="8660"/>
    <n v="2937.63"/>
    <x v="24"/>
  </r>
  <r>
    <x v="8661"/>
    <n v="2966.12"/>
    <x v="24"/>
  </r>
  <r>
    <x v="8662"/>
    <n v="2983.12"/>
    <x v="24"/>
  </r>
  <r>
    <x v="8663"/>
    <n v="2983.12"/>
    <x v="24"/>
  </r>
  <r>
    <x v="8664"/>
    <n v="2983.12"/>
    <x v="24"/>
  </r>
  <r>
    <x v="8665"/>
    <n v="2983.12"/>
    <x v="24"/>
  </r>
  <r>
    <x v="8666"/>
    <n v="3003.35"/>
    <x v="24"/>
  </r>
  <r>
    <x v="8667"/>
    <n v="3027.2"/>
    <x v="24"/>
  </r>
  <r>
    <x v="8668"/>
    <n v="3053.65"/>
    <x v="24"/>
  </r>
  <r>
    <x v="8669"/>
    <n v="3102.6"/>
    <x v="24"/>
  </r>
  <r>
    <x v="8670"/>
    <n v="3102.6"/>
    <x v="24"/>
  </r>
  <r>
    <x v="8671"/>
    <n v="3102.6"/>
    <x v="24"/>
  </r>
  <r>
    <x v="8672"/>
    <n v="3208.37"/>
    <x v="24"/>
  </r>
  <r>
    <x v="8673"/>
    <n v="3194.24"/>
    <x v="24"/>
  </r>
  <r>
    <x v="8674"/>
    <n v="3238.51"/>
    <x v="24"/>
  </r>
  <r>
    <x v="8675"/>
    <n v="3195.47"/>
    <x v="24"/>
  </r>
  <r>
    <x v="8676"/>
    <n v="3101.1"/>
    <x v="24"/>
  </r>
  <r>
    <x v="8677"/>
    <n v="3101.1"/>
    <x v="24"/>
  </r>
  <r>
    <x v="8678"/>
    <n v="3101.1"/>
    <x v="24"/>
  </r>
  <r>
    <x v="8679"/>
    <n v="3079.97"/>
    <x v="24"/>
  </r>
  <r>
    <x v="8680"/>
    <n v="3093.64"/>
    <x v="24"/>
  </r>
  <r>
    <x v="8681"/>
    <n v="3142.34"/>
    <x v="24"/>
  </r>
  <r>
    <x v="8682"/>
    <n v="3119.93"/>
    <x v="24"/>
  </r>
  <r>
    <x v="8683"/>
    <n v="3113.55"/>
    <x v="24"/>
  </r>
  <r>
    <x v="8684"/>
    <n v="3113.55"/>
    <x v="24"/>
  </r>
  <r>
    <x v="8685"/>
    <n v="3113.55"/>
    <x v="24"/>
  </r>
  <r>
    <x v="8686"/>
    <n v="3113.55"/>
    <x v="24"/>
  </r>
  <r>
    <x v="8687"/>
    <n v="3138.46"/>
    <x v="24"/>
  </r>
  <r>
    <x v="8688"/>
    <n v="3105.4"/>
    <x v="24"/>
  </r>
  <r>
    <x v="8689"/>
    <n v="3080.57"/>
    <x v="24"/>
  </r>
  <r>
    <x v="8690"/>
    <n v="3012.96"/>
    <x v="24"/>
  </r>
  <r>
    <x v="8691"/>
    <n v="3012.96"/>
    <x v="24"/>
  </r>
  <r>
    <x v="8692"/>
    <n v="3012.96"/>
    <x v="24"/>
  </r>
  <r>
    <x v="8693"/>
    <n v="3032.59"/>
    <x v="24"/>
  </r>
  <r>
    <x v="8694"/>
    <n v="3025.28"/>
    <x v="24"/>
  </r>
  <r>
    <x v="8695"/>
    <n v="2989.04"/>
    <x v="24"/>
  </r>
  <r>
    <x v="8696"/>
    <n v="2975.13"/>
    <x v="24"/>
  </r>
  <r>
    <x v="8697"/>
    <n v="2984.9"/>
    <x v="24"/>
  </r>
  <r>
    <x v="8698"/>
    <n v="2984.9"/>
    <x v="24"/>
  </r>
  <r>
    <x v="8699"/>
    <n v="2984.9"/>
    <x v="24"/>
  </r>
  <r>
    <x v="8700"/>
    <n v="3001.68"/>
    <x v="24"/>
  </r>
  <r>
    <x v="8701"/>
    <n v="3065.74"/>
    <x v="24"/>
  </r>
  <r>
    <x v="8702"/>
    <n v="3099.28"/>
    <x v="24"/>
  </r>
  <r>
    <x v="8703"/>
    <n v="3135.17"/>
    <x v="24"/>
  </r>
  <r>
    <x v="8704"/>
    <n v="3080.44"/>
    <x v="24"/>
  </r>
  <r>
    <x v="8705"/>
    <n v="3080.44"/>
    <x v="24"/>
  </r>
  <r>
    <x v="8706"/>
    <n v="3080.44"/>
    <x v="24"/>
  </r>
  <r>
    <x v="8707"/>
    <n v="3096.98"/>
    <x v="24"/>
  </r>
  <r>
    <x v="8708"/>
    <n v="3121.94"/>
    <x v="24"/>
  </r>
  <r>
    <x v="8709"/>
    <n v="3086.75"/>
    <x v="24"/>
  </r>
  <r>
    <x v="8710"/>
    <n v="3061.85"/>
    <x v="24"/>
  </r>
  <r>
    <x v="8711"/>
    <n v="3034.9"/>
    <x v="24"/>
  </r>
  <r>
    <x v="8712"/>
    <n v="3034.9"/>
    <x v="24"/>
  </r>
  <r>
    <x v="8713"/>
    <n v="3034.9"/>
    <x v="24"/>
  </r>
  <r>
    <x v="8714"/>
    <n v="2971.15"/>
    <x v="24"/>
  </r>
  <r>
    <x v="8715"/>
    <n v="2913.74"/>
    <x v="24"/>
  </r>
  <r>
    <x v="8716"/>
    <n v="2891.91"/>
    <x v="24"/>
  </r>
  <r>
    <x v="8717"/>
    <n v="2887.21"/>
    <x v="24"/>
  </r>
  <r>
    <x v="8718"/>
    <n v="2855.74"/>
    <x v="24"/>
  </r>
  <r>
    <x v="8719"/>
    <n v="2855.74"/>
    <x v="24"/>
  </r>
  <r>
    <x v="8720"/>
    <n v="2855.74"/>
    <x v="24"/>
  </r>
  <r>
    <x v="8721"/>
    <n v="2855.74"/>
    <x v="24"/>
  </r>
  <r>
    <x v="8722"/>
    <n v="2910.7"/>
    <x v="24"/>
  </r>
  <r>
    <x v="8723"/>
    <n v="2928.69"/>
    <x v="24"/>
  </r>
  <r>
    <x v="8724"/>
    <n v="2908.87"/>
    <x v="24"/>
  </r>
  <r>
    <x v="8725"/>
    <n v="2879.89"/>
    <x v="24"/>
  </r>
  <r>
    <x v="8726"/>
    <n v="2879.89"/>
    <x v="24"/>
  </r>
  <r>
    <x v="8727"/>
    <n v="2879.89"/>
    <x v="24"/>
  </r>
  <r>
    <x v="8728"/>
    <n v="2912.99"/>
    <x v="24"/>
  </r>
  <r>
    <x v="8729"/>
    <n v="2929.19"/>
    <x v="24"/>
  </r>
  <r>
    <x v="8730"/>
    <n v="2966.68"/>
    <x v="24"/>
  </r>
  <r>
    <x v="8731"/>
    <n v="2925.36"/>
    <x v="24"/>
  </r>
  <r>
    <x v="8732"/>
    <n v="2912.08"/>
    <x v="24"/>
  </r>
  <r>
    <x v="8733"/>
    <n v="2912.08"/>
    <x v="24"/>
  </r>
  <r>
    <x v="8734"/>
    <n v="2912.08"/>
    <x v="24"/>
  </r>
  <r>
    <x v="8735"/>
    <n v="2918.21"/>
    <x v="24"/>
  </r>
  <r>
    <x v="8736"/>
    <n v="2950.87"/>
    <x v="24"/>
  </r>
  <r>
    <x v="8737"/>
    <n v="2926.75"/>
    <x v="24"/>
  </r>
  <r>
    <x v="8738"/>
    <n v="2921.32"/>
    <x v="24"/>
  </r>
  <r>
    <x v="8739"/>
    <n v="2897.83"/>
    <x v="24"/>
  </r>
  <r>
    <x v="8740"/>
    <n v="2897.83"/>
    <x v="24"/>
  </r>
  <r>
    <x v="8741"/>
    <n v="2897.83"/>
    <x v="24"/>
  </r>
  <r>
    <x v="8742"/>
    <n v="2897.83"/>
    <x v="24"/>
  </r>
  <r>
    <x v="8743"/>
    <n v="2825.25"/>
    <x v="24"/>
  </r>
  <r>
    <x v="8744"/>
    <n v="2819.63"/>
    <x v="24"/>
  </r>
  <r>
    <x v="8745"/>
    <n v="2853.32"/>
    <x v="24"/>
  </r>
  <r>
    <x v="8746"/>
    <n v="2896.19"/>
    <x v="24"/>
  </r>
  <r>
    <x v="8747"/>
    <n v="2896.19"/>
    <x v="24"/>
  </r>
  <r>
    <x v="8748"/>
    <n v="2896.19"/>
    <x v="24"/>
  </r>
  <r>
    <x v="8749"/>
    <n v="2921.15"/>
    <x v="24"/>
  </r>
  <r>
    <x v="8750"/>
    <n v="2935.86"/>
    <x v="24"/>
  </r>
  <r>
    <x v="8751"/>
    <n v="2935.86"/>
    <x v="24"/>
  </r>
  <r>
    <x v="8752"/>
    <n v="3009.36"/>
    <x v="24"/>
  </r>
  <r>
    <x v="8753"/>
    <n v="3073.23"/>
    <x v="24"/>
  </r>
  <r>
    <x v="8754"/>
    <n v="3073.23"/>
    <x v="24"/>
  </r>
  <r>
    <x v="8755"/>
    <n v="3073.23"/>
    <x v="24"/>
  </r>
  <r>
    <x v="8756"/>
    <n v="3073.23"/>
    <x v="24"/>
  </r>
  <r>
    <x v="8757"/>
    <n v="3069.24"/>
    <x v="24"/>
  </r>
  <r>
    <x v="8758"/>
    <n v="3108.7"/>
    <x v="24"/>
  </r>
  <r>
    <x v="8759"/>
    <n v="3082.04"/>
    <x v="24"/>
  </r>
  <r>
    <x v="8760"/>
    <n v="3047.31"/>
    <x v="24"/>
  </r>
  <r>
    <x v="8761"/>
    <n v="3047.31"/>
    <x v="24"/>
  </r>
  <r>
    <x v="8762"/>
    <n v="3047.31"/>
    <x v="24"/>
  </r>
  <r>
    <x v="8763"/>
    <n v="3086.82"/>
    <x v="24"/>
  </r>
  <r>
    <x v="8764"/>
    <n v="3074.35"/>
    <x v="24"/>
  </r>
  <r>
    <x v="8765"/>
    <n v="3099.75"/>
    <x v="24"/>
  </r>
  <r>
    <x v="8766"/>
    <n v="3099.75"/>
    <x v="24"/>
  </r>
  <r>
    <x v="8767"/>
    <n v="3101.1"/>
    <x v="24"/>
  </r>
  <r>
    <x v="8768"/>
    <n v="3101.1"/>
    <x v="24"/>
  </r>
  <r>
    <x v="8769"/>
    <n v="3101.1"/>
    <x v="24"/>
  </r>
  <r>
    <x v="8770"/>
    <n v="3142.11"/>
    <x v="24"/>
  </r>
  <r>
    <x v="8771"/>
    <n v="3131.95"/>
    <x v="24"/>
  </r>
  <r>
    <x v="8772"/>
    <n v="3166.67"/>
    <x v="24"/>
  </r>
  <r>
    <x v="8773"/>
    <n v="3149.12"/>
    <x v="24"/>
  </r>
  <r>
    <x v="8774"/>
    <n v="3179.22"/>
    <x v="24"/>
  </r>
  <r>
    <x v="8775"/>
    <n v="3179.22"/>
    <x v="24"/>
  </r>
  <r>
    <x v="8776"/>
    <n v="3179.22"/>
    <x v="24"/>
  </r>
  <r>
    <x v="8777"/>
    <n v="3287.03"/>
    <x v="24"/>
  </r>
  <r>
    <x v="8778"/>
    <n v="3287.03"/>
    <x v="24"/>
  </r>
  <r>
    <x v="8779"/>
    <n v="3294.02"/>
    <x v="24"/>
  </r>
  <r>
    <x v="8780"/>
    <n v="3259.56"/>
    <x v="24"/>
  </r>
  <r>
    <x v="8781"/>
    <n v="3299.36"/>
    <x v="24"/>
  </r>
  <r>
    <x v="8782"/>
    <n v="3299.36"/>
    <x v="24"/>
  </r>
  <r>
    <x v="8783"/>
    <n v="3299.36"/>
    <x v="24"/>
  </r>
  <r>
    <x v="8784"/>
    <n v="3356"/>
    <x v="24"/>
  </r>
  <r>
    <x v="8785"/>
    <n v="3328.08"/>
    <x v="24"/>
  </r>
  <r>
    <x v="8786"/>
    <n v="3317.72"/>
    <x v="24"/>
  </r>
  <r>
    <x v="8787"/>
    <n v="3333.37"/>
    <x v="24"/>
  </r>
  <r>
    <x v="8788"/>
    <n v="3337.68"/>
    <x v="24"/>
  </r>
  <r>
    <x v="8789"/>
    <n v="3337.68"/>
    <x v="24"/>
  </r>
  <r>
    <x v="8790"/>
    <n v="3337.68"/>
    <x v="24"/>
  </r>
  <r>
    <x v="8791"/>
    <n v="3332.7"/>
    <x v="24"/>
  </r>
  <r>
    <x v="8792"/>
    <n v="3307.24"/>
    <x v="24"/>
  </r>
  <r>
    <x v="8793"/>
    <n v="3255.19"/>
    <x v="24"/>
  </r>
  <r>
    <x v="8794"/>
    <n v="3172.03"/>
    <x v="24"/>
  </r>
  <r>
    <x v="8795"/>
    <n v="3172.03"/>
    <x v="24"/>
  </r>
  <r>
    <x v="8796"/>
    <n v="3172.03"/>
    <x v="24"/>
  </r>
  <r>
    <x v="8797"/>
    <n v="3172.03"/>
    <x v="24"/>
  </r>
  <r>
    <x v="8798"/>
    <n v="3180.87"/>
    <x v="24"/>
  </r>
  <r>
    <x v="8799"/>
    <n v="3155.22"/>
    <x v="24"/>
  </r>
  <r>
    <x v="8800"/>
    <n v="3149.47"/>
    <x v="24"/>
  </r>
  <r>
    <x v="8801"/>
    <n v="3149.47"/>
    <x v="25"/>
  </r>
  <r>
    <x v="8802"/>
    <n v="3149.47"/>
    <x v="25"/>
  </r>
  <r>
    <x v="8803"/>
    <n v="3149.47"/>
    <x v="25"/>
  </r>
  <r>
    <x v="8804"/>
    <n v="3149.47"/>
    <x v="25"/>
  </r>
  <r>
    <x v="8805"/>
    <n v="3213.24"/>
    <x v="25"/>
  </r>
  <r>
    <x v="8806"/>
    <n v="3203.86"/>
    <x v="25"/>
  </r>
  <r>
    <x v="8807"/>
    <n v="3250.69"/>
    <x v="25"/>
  </r>
  <r>
    <x v="8808"/>
    <n v="3287.28"/>
    <x v="25"/>
  </r>
  <r>
    <x v="8809"/>
    <n v="3268.37"/>
    <x v="25"/>
  </r>
  <r>
    <x v="8810"/>
    <n v="3268.37"/>
    <x v="25"/>
  </r>
  <r>
    <x v="8811"/>
    <n v="3268.37"/>
    <x v="25"/>
  </r>
  <r>
    <x v="8812"/>
    <n v="3268.37"/>
    <x v="25"/>
  </r>
  <r>
    <x v="8813"/>
    <n v="3246.51"/>
    <x v="25"/>
  </r>
  <r>
    <x v="8814"/>
    <n v="3235.45"/>
    <x v="25"/>
  </r>
  <r>
    <x v="8815"/>
    <n v="3240.71"/>
    <x v="25"/>
  </r>
  <r>
    <x v="8816"/>
    <n v="3293.94"/>
    <x v="25"/>
  </r>
  <r>
    <x v="8817"/>
    <n v="3293.94"/>
    <x v="25"/>
  </r>
  <r>
    <x v="8818"/>
    <n v="3293.94"/>
    <x v="25"/>
  </r>
  <r>
    <x v="8819"/>
    <n v="3293.94"/>
    <x v="25"/>
  </r>
  <r>
    <x v="8820"/>
    <n v="3297.46"/>
    <x v="25"/>
  </r>
  <r>
    <x v="8821"/>
    <n v="3357.67"/>
    <x v="25"/>
  </r>
  <r>
    <x v="8822"/>
    <n v="3368.49"/>
    <x v="25"/>
  </r>
  <r>
    <x v="8823"/>
    <n v="3281.74"/>
    <x v="25"/>
  </r>
  <r>
    <x v="8824"/>
    <n v="3281.74"/>
    <x v="25"/>
  </r>
  <r>
    <x v="8825"/>
    <n v="3281.74"/>
    <x v="25"/>
  </r>
  <r>
    <x v="8826"/>
    <n v="3362.38"/>
    <x v="25"/>
  </r>
  <r>
    <x v="8827"/>
    <n v="3375.8"/>
    <x v="25"/>
  </r>
  <r>
    <x v="8828"/>
    <n v="3366.63"/>
    <x v="25"/>
  </r>
  <r>
    <x v="8829"/>
    <n v="3302.92"/>
    <x v="25"/>
  </r>
  <r>
    <x v="8830"/>
    <n v="3287.31"/>
    <x v="25"/>
  </r>
  <r>
    <x v="8831"/>
    <n v="3287.31"/>
    <x v="25"/>
  </r>
  <r>
    <x v="8832"/>
    <n v="3287.31"/>
    <x v="25"/>
  </r>
  <r>
    <x v="8833"/>
    <n v="3326.82"/>
    <x v="25"/>
  </r>
  <r>
    <x v="8834"/>
    <n v="3387.69"/>
    <x v="25"/>
  </r>
  <r>
    <x v="8835"/>
    <n v="3382.2"/>
    <x v="25"/>
  </r>
  <r>
    <x v="8836"/>
    <n v="3315.75"/>
    <x v="25"/>
  </r>
  <r>
    <x v="8837"/>
    <n v="3320.49"/>
    <x v="25"/>
  </r>
  <r>
    <x v="8838"/>
    <n v="3320.49"/>
    <x v="25"/>
  </r>
  <r>
    <x v="8839"/>
    <n v="3320.49"/>
    <x v="25"/>
  </r>
  <r>
    <x v="8840"/>
    <n v="3367.02"/>
    <x v="25"/>
  </r>
  <r>
    <x v="8841"/>
    <n v="3391.93"/>
    <x v="25"/>
  </r>
  <r>
    <x v="8842"/>
    <n v="3385.65"/>
    <x v="25"/>
  </r>
  <r>
    <x v="8843"/>
    <n v="3434.89"/>
    <x v="25"/>
  </r>
  <r>
    <x v="8844"/>
    <n v="3409.82"/>
    <x v="25"/>
  </r>
  <r>
    <x v="8845"/>
    <n v="3409.82"/>
    <x v="25"/>
  </r>
  <r>
    <x v="8846"/>
    <n v="3409.82"/>
    <x v="25"/>
  </r>
  <r>
    <x v="8847"/>
    <n v="3409.82"/>
    <x v="25"/>
  </r>
  <r>
    <x v="8848"/>
    <n v="3406.87"/>
    <x v="25"/>
  </r>
  <r>
    <x v="8849"/>
    <n v="3391.87"/>
    <x v="25"/>
  </r>
  <r>
    <x v="8850"/>
    <n v="3338.03"/>
    <x v="25"/>
  </r>
  <r>
    <x v="8851"/>
    <n v="3356.78"/>
    <x v="25"/>
  </r>
  <r>
    <x v="8852"/>
    <n v="3356.78"/>
    <x v="25"/>
  </r>
  <r>
    <x v="8853"/>
    <n v="3356.78"/>
    <x v="25"/>
  </r>
  <r>
    <x v="8854"/>
    <n v="3314.24"/>
    <x v="25"/>
  </r>
  <r>
    <x v="8855"/>
    <n v="3322.54"/>
    <x v="25"/>
  </r>
  <r>
    <x v="8856"/>
    <n v="3341.69"/>
    <x v="25"/>
  </r>
  <r>
    <x v="8857"/>
    <n v="3310.16"/>
    <x v="25"/>
  </r>
  <r>
    <x v="8858"/>
    <n v="3306"/>
    <x v="25"/>
  </r>
  <r>
    <x v="8859"/>
    <n v="3306"/>
    <x v="25"/>
  </r>
  <r>
    <x v="8860"/>
    <n v="3306"/>
    <x v="25"/>
  </r>
  <r>
    <x v="8861"/>
    <n v="3319.8"/>
    <x v="25"/>
  </r>
  <r>
    <x v="8862"/>
    <n v="3268.86"/>
    <x v="25"/>
  </r>
  <r>
    <x v="8863"/>
    <n v="3205.6"/>
    <x v="25"/>
  </r>
  <r>
    <x v="8864"/>
    <n v="3203.03"/>
    <x v="25"/>
  </r>
  <r>
    <x v="8865"/>
    <n v="3163.25"/>
    <x v="25"/>
  </r>
  <r>
    <x v="8866"/>
    <n v="3163.25"/>
    <x v="25"/>
  </r>
  <r>
    <x v="8867"/>
    <n v="3163.25"/>
    <x v="25"/>
  </r>
  <r>
    <x v="8868"/>
    <n v="3135.28"/>
    <x v="25"/>
  </r>
  <r>
    <x v="8869"/>
    <n v="3155.9"/>
    <x v="25"/>
  </r>
  <r>
    <x v="8870"/>
    <n v="3192.49"/>
    <x v="25"/>
  </r>
  <r>
    <x v="8871"/>
    <n v="3204.27"/>
    <x v="25"/>
  </r>
  <r>
    <x v="8872"/>
    <n v="3164.12"/>
    <x v="25"/>
  </r>
  <r>
    <x v="8873"/>
    <n v="3164.12"/>
    <x v="25"/>
  </r>
  <r>
    <x v="8874"/>
    <n v="3164.12"/>
    <x v="25"/>
  </r>
  <r>
    <x v="8875"/>
    <n v="3175.95"/>
    <x v="25"/>
  </r>
  <r>
    <x v="8876"/>
    <n v="3175.88"/>
    <x v="25"/>
  </r>
  <r>
    <x v="8877"/>
    <n v="3155.9"/>
    <x v="25"/>
  </r>
  <r>
    <x v="8878"/>
    <n v="3087.39"/>
    <x v="25"/>
  </r>
  <r>
    <x v="8879"/>
    <n v="3065.79"/>
    <x v="25"/>
  </r>
  <r>
    <x v="8880"/>
    <n v="3065.79"/>
    <x v="25"/>
  </r>
  <r>
    <x v="8881"/>
    <n v="3065.79"/>
    <x v="25"/>
  </r>
  <r>
    <x v="8882"/>
    <n v="3065.79"/>
    <x v="25"/>
  </r>
  <r>
    <x v="8883"/>
    <n v="3050.31"/>
    <x v="25"/>
  </r>
  <r>
    <x v="8884"/>
    <n v="3058.8"/>
    <x v="25"/>
  </r>
  <r>
    <x v="8885"/>
    <n v="3058.8"/>
    <x v="25"/>
  </r>
  <r>
    <x v="8886"/>
    <n v="3058.8"/>
    <x v="25"/>
  </r>
  <r>
    <x v="8887"/>
    <n v="3058.8"/>
    <x v="25"/>
  </r>
  <r>
    <x v="8888"/>
    <n v="3058.8"/>
    <x v="25"/>
  </r>
  <r>
    <x v="8889"/>
    <n v="3047.85"/>
    <x v="25"/>
  </r>
  <r>
    <x v="8890"/>
    <n v="3052.33"/>
    <x v="25"/>
  </r>
  <r>
    <x v="8891"/>
    <n v="3022.35"/>
    <x v="25"/>
  </r>
  <r>
    <x v="8892"/>
    <n v="3000.63"/>
    <x v="25"/>
  </r>
  <r>
    <x v="8893"/>
    <n v="3038.48"/>
    <x v="25"/>
  </r>
  <r>
    <x v="8894"/>
    <n v="3038.48"/>
    <x v="25"/>
  </r>
  <r>
    <x v="8895"/>
    <n v="3038.48"/>
    <x v="25"/>
  </r>
  <r>
    <x v="8896"/>
    <n v="3066.94"/>
    <x v="25"/>
  </r>
  <r>
    <x v="8897"/>
    <n v="3085.82"/>
    <x v="25"/>
  </r>
  <r>
    <x v="8898"/>
    <n v="3081.39"/>
    <x v="25"/>
  </r>
  <r>
    <x v="8899"/>
    <n v="3109.6"/>
    <x v="25"/>
  </r>
  <r>
    <x v="8900"/>
    <n v="3076.29"/>
    <x v="25"/>
  </r>
  <r>
    <x v="8901"/>
    <n v="3076.29"/>
    <x v="25"/>
  </r>
  <r>
    <x v="8902"/>
    <n v="3076.29"/>
    <x v="25"/>
  </r>
  <r>
    <x v="8903"/>
    <n v="3057.96"/>
    <x v="25"/>
  </r>
  <r>
    <x v="8904"/>
    <n v="3036.57"/>
    <x v="25"/>
  </r>
  <r>
    <x v="8905"/>
    <n v="3006.35"/>
    <x v="25"/>
  </r>
  <r>
    <x v="8906"/>
    <n v="3000.78"/>
    <x v="25"/>
  </r>
  <r>
    <x v="8907"/>
    <n v="2999.38"/>
    <x v="25"/>
  </r>
  <r>
    <x v="8908"/>
    <n v="2999.38"/>
    <x v="25"/>
  </r>
  <r>
    <x v="8909"/>
    <n v="2999.38"/>
    <x v="25"/>
  </r>
  <r>
    <x v="8910"/>
    <n v="2995.86"/>
    <x v="25"/>
  </r>
  <r>
    <x v="8911"/>
    <n v="2912.2"/>
    <x v="25"/>
  </r>
  <r>
    <x v="8912"/>
    <n v="2899.92"/>
    <x v="25"/>
  </r>
  <r>
    <x v="8913"/>
    <n v="2928.7"/>
    <x v="25"/>
  </r>
  <r>
    <x v="8914"/>
    <n v="2939.7"/>
    <x v="25"/>
  </r>
  <r>
    <x v="8915"/>
    <n v="2939.7"/>
    <x v="25"/>
  </r>
  <r>
    <x v="8916"/>
    <n v="2939.7"/>
    <x v="25"/>
  </r>
  <r>
    <x v="8917"/>
    <n v="2962.08"/>
    <x v="25"/>
  </r>
  <r>
    <x v="8918"/>
    <n v="2945.37"/>
    <x v="25"/>
  </r>
  <r>
    <x v="8919"/>
    <n v="2943.23"/>
    <x v="25"/>
  </r>
  <r>
    <x v="8920"/>
    <n v="2885.72"/>
    <x v="25"/>
  </r>
  <r>
    <x v="8921"/>
    <n v="2851.14"/>
    <x v="25"/>
  </r>
  <r>
    <x v="8922"/>
    <n v="2851.14"/>
    <x v="25"/>
  </r>
  <r>
    <x v="8923"/>
    <n v="2851.14"/>
    <x v="25"/>
  </r>
  <r>
    <x v="8924"/>
    <n v="2833.78"/>
    <x v="25"/>
  </r>
  <r>
    <x v="8925"/>
    <n v="2895.51"/>
    <x v="25"/>
  </r>
  <r>
    <x v="8926"/>
    <n v="2942.16"/>
    <x v="25"/>
  </r>
  <r>
    <x v="8927"/>
    <n v="2952.37"/>
    <x v="25"/>
  </r>
  <r>
    <x v="8928"/>
    <n v="2969.62"/>
    <x v="25"/>
  </r>
  <r>
    <x v="8929"/>
    <n v="2969.62"/>
    <x v="25"/>
  </r>
  <r>
    <x v="8930"/>
    <n v="2969.62"/>
    <x v="25"/>
  </r>
  <r>
    <x v="8931"/>
    <n v="2969.62"/>
    <x v="25"/>
  </r>
  <r>
    <x v="8932"/>
    <n v="2979.54"/>
    <x v="25"/>
  </r>
  <r>
    <x v="8933"/>
    <n v="2956.82"/>
    <x v="25"/>
  </r>
  <r>
    <x v="8934"/>
    <n v="2934.88"/>
    <x v="25"/>
  </r>
  <r>
    <x v="8935"/>
    <n v="2983.82"/>
    <x v="25"/>
  </r>
  <r>
    <x v="8936"/>
    <n v="2983.82"/>
    <x v="25"/>
  </r>
  <r>
    <x v="8937"/>
    <n v="2983.82"/>
    <x v="25"/>
  </r>
  <r>
    <x v="8938"/>
    <n v="3007.74"/>
    <x v="25"/>
  </r>
  <r>
    <x v="8939"/>
    <n v="3020.89"/>
    <x v="25"/>
  </r>
  <r>
    <x v="8940"/>
    <n v="3031.48"/>
    <x v="25"/>
  </r>
  <r>
    <x v="8941"/>
    <n v="3056.06"/>
    <x v="25"/>
  </r>
  <r>
    <x v="8942"/>
    <n v="3047.99"/>
    <x v="25"/>
  </r>
  <r>
    <x v="8943"/>
    <n v="3047.99"/>
    <x v="25"/>
  </r>
  <r>
    <x v="8944"/>
    <n v="3047.99"/>
    <x v="25"/>
  </r>
  <r>
    <x v="8945"/>
    <n v="3058.25"/>
    <x v="25"/>
  </r>
  <r>
    <x v="8946"/>
    <n v="3059.92"/>
    <x v="25"/>
  </r>
  <r>
    <x v="8947"/>
    <n v="3061.89"/>
    <x v="25"/>
  </r>
  <r>
    <x v="8948"/>
    <n v="3054.6"/>
    <x v="25"/>
  </r>
  <r>
    <x v="8949"/>
    <n v="3069.17"/>
    <x v="25"/>
  </r>
  <r>
    <x v="8950"/>
    <n v="3069.17"/>
    <x v="25"/>
  </r>
  <r>
    <x v="8951"/>
    <n v="3069.17"/>
    <x v="25"/>
  </r>
  <r>
    <x v="8952"/>
    <n v="3069.17"/>
    <x v="25"/>
  </r>
  <r>
    <x v="8953"/>
    <n v="3089.65"/>
    <x v="25"/>
  </r>
  <r>
    <x v="8954"/>
    <n v="3117.83"/>
    <x v="25"/>
  </r>
  <r>
    <x v="8955"/>
    <n v="3110.88"/>
    <x v="25"/>
  </r>
  <r>
    <x v="8956"/>
    <n v="3017.71"/>
    <x v="25"/>
  </r>
  <r>
    <x v="8957"/>
    <n v="3017.71"/>
    <x v="25"/>
  </r>
  <r>
    <x v="8958"/>
    <n v="3017.71"/>
    <x v="25"/>
  </r>
  <r>
    <x v="8959"/>
    <n v="3017.71"/>
    <x v="25"/>
  </r>
  <r>
    <x v="8960"/>
    <n v="2950.95"/>
    <x v="25"/>
  </r>
  <r>
    <x v="8961"/>
    <n v="2905.23"/>
    <x v="25"/>
  </r>
  <r>
    <x v="8962"/>
    <n v="2942.13"/>
    <x v="25"/>
  </r>
  <r>
    <x v="8963"/>
    <n v="2969.83"/>
    <x v="25"/>
  </r>
  <r>
    <x v="8964"/>
    <n v="2969.83"/>
    <x v="25"/>
  </r>
  <r>
    <x v="8965"/>
    <n v="2969.83"/>
    <x v="25"/>
  </r>
  <r>
    <x v="8966"/>
    <n v="2990.35"/>
    <x v="25"/>
  </r>
  <r>
    <x v="8967"/>
    <n v="3003.28"/>
    <x v="25"/>
  </r>
  <r>
    <x v="8968"/>
    <n v="2989.56"/>
    <x v="25"/>
  </r>
  <r>
    <x v="8969"/>
    <n v="3019.12"/>
    <x v="25"/>
  </r>
  <r>
    <x v="8970"/>
    <n v="3010.91"/>
    <x v="25"/>
  </r>
  <r>
    <x v="8971"/>
    <n v="3010.91"/>
    <x v="25"/>
  </r>
  <r>
    <x v="8972"/>
    <n v="3010.91"/>
    <x v="25"/>
  </r>
  <r>
    <x v="8973"/>
    <n v="2972.97"/>
    <x v="25"/>
  </r>
  <r>
    <x v="8974"/>
    <n v="2976.29"/>
    <x v="25"/>
  </r>
  <r>
    <x v="8975"/>
    <n v="2944.06"/>
    <x v="25"/>
  </r>
  <r>
    <x v="8976"/>
    <n v="2897.53"/>
    <x v="25"/>
  </r>
  <r>
    <x v="8977"/>
    <n v="2972.92"/>
    <x v="25"/>
  </r>
  <r>
    <x v="8978"/>
    <n v="2972.92"/>
    <x v="25"/>
  </r>
  <r>
    <x v="8979"/>
    <n v="2972.92"/>
    <x v="25"/>
  </r>
  <r>
    <x v="8980"/>
    <n v="3022.78"/>
    <x v="25"/>
  </r>
  <r>
    <x v="8981"/>
    <n v="3005.18"/>
    <x v="25"/>
  </r>
  <r>
    <x v="8982"/>
    <n v="2916.15"/>
    <x v="25"/>
  </r>
  <r>
    <x v="8983"/>
    <n v="2919.01"/>
    <x v="25"/>
  </r>
  <r>
    <x v="8984"/>
    <n v="2914.38"/>
    <x v="25"/>
  </r>
  <r>
    <x v="8985"/>
    <n v="2914.38"/>
    <x v="25"/>
  </r>
  <r>
    <x v="8986"/>
    <n v="2914.38"/>
    <x v="25"/>
  </r>
  <r>
    <x v="8987"/>
    <n v="2914.38"/>
    <x v="25"/>
  </r>
  <r>
    <x v="8988"/>
    <n v="2966.87"/>
    <x v="25"/>
  </r>
  <r>
    <x v="8989"/>
    <n v="3003.2"/>
    <x v="25"/>
  </r>
  <r>
    <x v="8990"/>
    <n v="2986.49"/>
    <x v="25"/>
  </r>
  <r>
    <x v="8991"/>
    <n v="2952.64"/>
    <x v="25"/>
  </r>
  <r>
    <x v="8992"/>
    <n v="2952.64"/>
    <x v="25"/>
  </r>
  <r>
    <x v="8993"/>
    <n v="2952.64"/>
    <x v="25"/>
  </r>
  <r>
    <x v="8994"/>
    <n v="2929.81"/>
    <x v="25"/>
  </r>
  <r>
    <x v="8995"/>
    <n v="2911.91"/>
    <x v="25"/>
  </r>
  <r>
    <x v="8996"/>
    <n v="2936.53"/>
    <x v="25"/>
  </r>
  <r>
    <x v="8997"/>
    <n v="2923.07"/>
    <x v="25"/>
  </r>
  <r>
    <x v="8998"/>
    <n v="2923.46"/>
    <x v="25"/>
  </r>
  <r>
    <x v="8999"/>
    <n v="2923.46"/>
    <x v="25"/>
  </r>
  <r>
    <x v="9000"/>
    <n v="2923.46"/>
    <x v="25"/>
  </r>
  <r>
    <x v="9001"/>
    <n v="2928.3"/>
    <x v="25"/>
  </r>
  <r>
    <x v="9002"/>
    <n v="2931.08"/>
    <x v="25"/>
  </r>
  <r>
    <x v="9003"/>
    <n v="2931.08"/>
    <x v="25"/>
  </r>
  <r>
    <x v="9004"/>
    <n v="2928.67"/>
    <x v="25"/>
  </r>
  <r>
    <x v="9005"/>
    <n v="2942.65"/>
    <x v="25"/>
  </r>
  <r>
    <x v="9006"/>
    <n v="2942.65"/>
    <x v="25"/>
  </r>
  <r>
    <x v="9007"/>
    <n v="2942.65"/>
    <x v="25"/>
  </r>
  <r>
    <x v="9008"/>
    <n v="2997.25"/>
    <x v="25"/>
  </r>
  <r>
    <x v="9009"/>
    <n v="3055.15"/>
    <x v="25"/>
  </r>
  <r>
    <x v="9010"/>
    <n v="3073.52"/>
    <x v="25"/>
  </r>
  <r>
    <x v="9011"/>
    <n v="3091.78"/>
    <x v="25"/>
  </r>
  <r>
    <x v="9012"/>
    <n v="3081.75"/>
    <x v="25"/>
  </r>
  <r>
    <x v="9013"/>
    <n v="3081.75"/>
    <x v="25"/>
  </r>
  <r>
    <x v="9014"/>
    <n v="3081.75"/>
    <x v="25"/>
  </r>
  <r>
    <x v="9015"/>
    <n v="3090.28"/>
    <x v="25"/>
  </r>
  <r>
    <x v="9016"/>
    <n v="3084.81"/>
    <x v="25"/>
  </r>
  <r>
    <x v="9017"/>
    <n v="3110.43"/>
    <x v="25"/>
  </r>
  <r>
    <x v="9018"/>
    <n v="3079.83"/>
    <x v="25"/>
  </r>
  <r>
    <x v="9019"/>
    <n v="3052.8"/>
    <x v="25"/>
  </r>
  <r>
    <x v="9020"/>
    <n v="3052.8"/>
    <x v="25"/>
  </r>
  <r>
    <x v="9021"/>
    <n v="3052.8"/>
    <x v="25"/>
  </r>
  <r>
    <x v="9022"/>
    <n v="2992.5"/>
    <x v="25"/>
  </r>
  <r>
    <x v="9023"/>
    <n v="2974.31"/>
    <x v="25"/>
  </r>
  <r>
    <x v="9024"/>
    <n v="2954.9"/>
    <x v="25"/>
  </r>
  <r>
    <x v="9025"/>
    <n v="2911.26"/>
    <x v="25"/>
  </r>
  <r>
    <x v="9026"/>
    <n v="2908.67"/>
    <x v="25"/>
  </r>
  <r>
    <x v="9027"/>
    <n v="2908.67"/>
    <x v="25"/>
  </r>
  <r>
    <x v="9028"/>
    <n v="2908.67"/>
    <x v="25"/>
  </r>
  <r>
    <x v="9029"/>
    <n v="2908.67"/>
    <x v="25"/>
  </r>
  <r>
    <x v="9030"/>
    <n v="2905.3"/>
    <x v="25"/>
  </r>
  <r>
    <x v="9031"/>
    <n v="2918.07"/>
    <x v="25"/>
  </r>
  <r>
    <x v="9032"/>
    <n v="2884.02"/>
    <x v="25"/>
  </r>
  <r>
    <x v="9033"/>
    <n v="2867.37"/>
    <x v="25"/>
  </r>
  <r>
    <x v="9034"/>
    <n v="2867.37"/>
    <x v="25"/>
  </r>
  <r>
    <x v="9035"/>
    <n v="2867.37"/>
    <x v="25"/>
  </r>
  <r>
    <x v="9036"/>
    <n v="2883.89"/>
    <x v="25"/>
  </r>
  <r>
    <x v="9037"/>
    <n v="2909.1"/>
    <x v="25"/>
  </r>
  <r>
    <x v="9038"/>
    <n v="2938.28"/>
    <x v="25"/>
  </r>
  <r>
    <x v="9039"/>
    <n v="2915.67"/>
    <x v="25"/>
  </r>
  <r>
    <x v="9040"/>
    <n v="2882.69"/>
    <x v="25"/>
  </r>
  <r>
    <x v="9041"/>
    <n v="2882.69"/>
    <x v="25"/>
  </r>
  <r>
    <x v="9042"/>
    <n v="2882.69"/>
    <x v="25"/>
  </r>
  <r>
    <x v="9043"/>
    <n v="2924.29"/>
    <x v="25"/>
  </r>
  <r>
    <x v="9044"/>
    <n v="2933.82"/>
    <x v="25"/>
  </r>
  <r>
    <x v="9045"/>
    <n v="2956.53"/>
    <x v="25"/>
  </r>
  <r>
    <x v="9046"/>
    <n v="2986.36"/>
    <x v="25"/>
  </r>
  <r>
    <x v="9047"/>
    <n v="2957.56"/>
    <x v="25"/>
  </r>
  <r>
    <x v="9048"/>
    <n v="2957.56"/>
    <x v="25"/>
  </r>
  <r>
    <x v="9049"/>
    <n v="2957.56"/>
    <x v="25"/>
  </r>
  <r>
    <x v="9050"/>
    <n v="2957.56"/>
    <x v="25"/>
  </r>
  <r>
    <x v="9051"/>
    <n v="2887.64"/>
    <x v="25"/>
  </r>
  <r>
    <x v="9052"/>
    <n v="2840.38"/>
    <x v="25"/>
  </r>
  <r>
    <x v="9053"/>
    <n v="2846.13"/>
    <x v="25"/>
  </r>
  <r>
    <x v="9054"/>
    <n v="2899.29"/>
    <x v="25"/>
  </r>
  <r>
    <x v="9055"/>
    <n v="2899.29"/>
    <x v="25"/>
  </r>
  <r>
    <x v="9056"/>
    <n v="2899.29"/>
    <x v="25"/>
  </r>
  <r>
    <x v="9057"/>
    <n v="2942.29"/>
    <x v="25"/>
  </r>
  <r>
    <x v="9058"/>
    <n v="2976.19"/>
    <x v="25"/>
  </r>
  <r>
    <x v="9059"/>
    <n v="2972.65"/>
    <x v="25"/>
  </r>
  <r>
    <x v="9060"/>
    <n v="2938.5"/>
    <x v="25"/>
  </r>
  <r>
    <x v="9061"/>
    <n v="2956.58"/>
    <x v="25"/>
  </r>
  <r>
    <x v="9062"/>
    <n v="2956.58"/>
    <x v="25"/>
  </r>
  <r>
    <x v="9063"/>
    <n v="2956.58"/>
    <x v="25"/>
  </r>
  <r>
    <x v="9064"/>
    <n v="2928.18"/>
    <x v="25"/>
  </r>
  <r>
    <x v="9065"/>
    <n v="2911.11"/>
    <x v="25"/>
  </r>
  <r>
    <x v="9066"/>
    <n v="2894.15"/>
    <x v="25"/>
  </r>
  <r>
    <x v="9067"/>
    <n v="2862.52"/>
    <x v="25"/>
  </r>
  <r>
    <x v="9068"/>
    <n v="2917.95"/>
    <x v="25"/>
  </r>
  <r>
    <x v="9069"/>
    <n v="2917.95"/>
    <x v="25"/>
  </r>
  <r>
    <x v="9070"/>
    <n v="2917.95"/>
    <x v="25"/>
  </r>
  <r>
    <x v="9071"/>
    <n v="2917.58"/>
    <x v="25"/>
  </r>
  <r>
    <x v="9072"/>
    <n v="2921.99"/>
    <x v="25"/>
  </r>
  <r>
    <x v="9073"/>
    <n v="2914.11"/>
    <x v="25"/>
  </r>
  <r>
    <x v="9074"/>
    <n v="2879.95"/>
    <x v="25"/>
  </r>
  <r>
    <x v="9075"/>
    <n v="2880.08"/>
    <x v="25"/>
  </r>
  <r>
    <x v="9076"/>
    <n v="2880.08"/>
    <x v="25"/>
  </r>
  <r>
    <x v="9077"/>
    <n v="2880.08"/>
    <x v="25"/>
  </r>
  <r>
    <x v="9078"/>
    <n v="2937.23"/>
    <x v="25"/>
  </r>
  <r>
    <x v="9079"/>
    <n v="2963.06"/>
    <x v="25"/>
  </r>
  <r>
    <x v="9080"/>
    <n v="2964.93"/>
    <x v="25"/>
  </r>
  <r>
    <x v="9081"/>
    <n v="2924.8"/>
    <x v="25"/>
  </r>
  <r>
    <x v="9082"/>
    <n v="2913.96"/>
    <x v="25"/>
  </r>
  <r>
    <x v="9083"/>
    <n v="2913.96"/>
    <x v="25"/>
  </r>
  <r>
    <x v="9084"/>
    <n v="2913.96"/>
    <x v="25"/>
  </r>
  <r>
    <x v="9085"/>
    <n v="2913.96"/>
    <x v="25"/>
  </r>
  <r>
    <x v="9086"/>
    <n v="2919.51"/>
    <x v="25"/>
  </r>
  <r>
    <x v="9087"/>
    <n v="2919.18"/>
    <x v="25"/>
  </r>
  <r>
    <x v="9088"/>
    <n v="2930.78"/>
    <x v="25"/>
  </r>
  <r>
    <x v="9089"/>
    <n v="2915.67"/>
    <x v="25"/>
  </r>
  <r>
    <x v="9090"/>
    <n v="2915.67"/>
    <x v="25"/>
  </r>
  <r>
    <x v="9091"/>
    <n v="2915.67"/>
    <x v="25"/>
  </r>
  <r>
    <x v="9092"/>
    <n v="2915.67"/>
    <x v="25"/>
  </r>
  <r>
    <x v="9093"/>
    <n v="2905.93"/>
    <x v="25"/>
  </r>
  <r>
    <x v="9094"/>
    <n v="2914.15"/>
    <x v="25"/>
  </r>
  <r>
    <x v="9095"/>
    <n v="2934.03"/>
    <x v="25"/>
  </r>
  <r>
    <x v="9096"/>
    <n v="2944.25"/>
    <x v="25"/>
  </r>
  <r>
    <x v="9097"/>
    <n v="2944.25"/>
    <x v="25"/>
  </r>
  <r>
    <x v="9098"/>
    <n v="2944.25"/>
    <x v="25"/>
  </r>
  <r>
    <x v="9099"/>
    <n v="2929.83"/>
    <x v="25"/>
  </r>
  <r>
    <x v="9100"/>
    <n v="2941.34"/>
    <x v="25"/>
  </r>
  <r>
    <x v="9101"/>
    <n v="2965.18"/>
    <x v="25"/>
  </r>
  <r>
    <x v="9102"/>
    <n v="2966.61"/>
    <x v="25"/>
  </r>
  <r>
    <x v="9103"/>
    <n v="2967.66"/>
    <x v="25"/>
  </r>
  <r>
    <x v="9104"/>
    <n v="2967.66"/>
    <x v="25"/>
  </r>
  <r>
    <x v="9105"/>
    <n v="2967.66"/>
    <x v="25"/>
  </r>
  <r>
    <x v="9106"/>
    <n v="2998.55"/>
    <x v="25"/>
  </r>
  <r>
    <x v="9107"/>
    <n v="3026.68"/>
    <x v="25"/>
  </r>
  <r>
    <x v="9108"/>
    <n v="3070.54"/>
    <x v="25"/>
  </r>
  <r>
    <x v="9109"/>
    <n v="3071.12"/>
    <x v="25"/>
  </r>
  <r>
    <x v="9110"/>
    <n v="3070.4"/>
    <x v="25"/>
  </r>
  <r>
    <x v="9111"/>
    <n v="3070.4"/>
    <x v="25"/>
  </r>
  <r>
    <x v="9112"/>
    <n v="3070.4"/>
    <x v="25"/>
  </r>
  <r>
    <x v="9113"/>
    <n v="3070.4"/>
    <x v="25"/>
  </r>
  <r>
    <x v="9114"/>
    <n v="2984.78"/>
    <x v="25"/>
  </r>
  <r>
    <x v="9115"/>
    <n v="3012.12"/>
    <x v="25"/>
  </r>
  <r>
    <x v="9116"/>
    <n v="3100.12"/>
    <x v="25"/>
  </r>
  <r>
    <x v="9117"/>
    <n v="3100.12"/>
    <x v="25"/>
  </r>
  <r>
    <x v="9118"/>
    <n v="3100.12"/>
    <x v="25"/>
  </r>
  <r>
    <x v="9119"/>
    <n v="3100.12"/>
    <x v="25"/>
  </r>
  <r>
    <x v="9120"/>
    <n v="3100.12"/>
    <x v="25"/>
  </r>
  <r>
    <x v="9121"/>
    <n v="3124.91"/>
    <x v="25"/>
  </r>
  <r>
    <x v="9122"/>
    <n v="3131.11"/>
    <x v="25"/>
  </r>
  <r>
    <x v="9123"/>
    <n v="3135.65"/>
    <x v="25"/>
  </r>
  <r>
    <x v="9124"/>
    <n v="3163.49"/>
    <x v="25"/>
  </r>
  <r>
    <x v="9125"/>
    <n v="3163.49"/>
    <x v="25"/>
  </r>
  <r>
    <x v="9126"/>
    <n v="3163.49"/>
    <x v="25"/>
  </r>
  <r>
    <x v="9127"/>
    <n v="3144.72"/>
    <x v="25"/>
  </r>
  <r>
    <x v="9128"/>
    <n v="3139.76"/>
    <x v="25"/>
  </r>
  <r>
    <x v="9129"/>
    <n v="3187.97"/>
    <x v="25"/>
  </r>
  <r>
    <x v="9130"/>
    <n v="3187.97"/>
    <x v="25"/>
  </r>
  <r>
    <x v="9131"/>
    <n v="3170.64"/>
    <x v="25"/>
  </r>
  <r>
    <x v="9132"/>
    <n v="3170.64"/>
    <x v="25"/>
  </r>
  <r>
    <x v="9133"/>
    <n v="3170.64"/>
    <x v="25"/>
  </r>
  <r>
    <x v="9134"/>
    <n v="3142.2"/>
    <x v="25"/>
  </r>
  <r>
    <x v="9135"/>
    <n v="3165.09"/>
    <x v="25"/>
  </r>
  <r>
    <x v="9136"/>
    <n v="3085.6"/>
    <x v="25"/>
  </r>
  <r>
    <x v="9137"/>
    <n v="3068.34"/>
    <x v="25"/>
  </r>
  <r>
    <x v="9138"/>
    <n v="3061.04"/>
    <x v="25"/>
  </r>
  <r>
    <x v="9139"/>
    <n v="3061.04"/>
    <x v="25"/>
  </r>
  <r>
    <x v="9140"/>
    <n v="3061.04"/>
    <x v="25"/>
  </r>
  <r>
    <x v="9141"/>
    <n v="3049.47"/>
    <x v="25"/>
  </r>
  <r>
    <x v="9142"/>
    <n v="3015.47"/>
    <x v="25"/>
  </r>
  <r>
    <x v="9143"/>
    <n v="2989.71"/>
    <x v="25"/>
  </r>
  <r>
    <x v="9144"/>
    <n v="2989.71"/>
    <x v="25"/>
  </r>
  <r>
    <x v="9145"/>
    <n v="3002.8"/>
    <x v="25"/>
  </r>
  <r>
    <x v="9146"/>
    <n v="3002.8"/>
    <x v="25"/>
  </r>
  <r>
    <x v="9147"/>
    <n v="3002.8"/>
    <x v="25"/>
  </r>
  <r>
    <x v="9148"/>
    <n v="2984.02"/>
    <x v="25"/>
  </r>
  <r>
    <x v="9149"/>
    <n v="2982.29"/>
    <x v="25"/>
  </r>
  <r>
    <x v="9150"/>
    <n v="2964.56"/>
    <x v="25"/>
  </r>
  <r>
    <x v="9151"/>
    <n v="3000.47"/>
    <x v="25"/>
  </r>
  <r>
    <x v="9152"/>
    <n v="2997.2"/>
    <x v="25"/>
  </r>
  <r>
    <x v="9153"/>
    <n v="2997.2"/>
    <x v="25"/>
  </r>
  <r>
    <x v="9154"/>
    <n v="2997.2"/>
    <x v="25"/>
  </r>
  <r>
    <x v="9155"/>
    <n v="3019.44"/>
    <x v="25"/>
  </r>
  <r>
    <x v="9156"/>
    <n v="2988.06"/>
    <x v="25"/>
  </r>
  <r>
    <x v="9157"/>
    <n v="2989.14"/>
    <x v="25"/>
  </r>
  <r>
    <x v="9158"/>
    <n v="2996.03"/>
    <x v="25"/>
  </r>
  <r>
    <x v="9159"/>
    <n v="2996.6"/>
    <x v="25"/>
  </r>
  <r>
    <x v="9160"/>
    <n v="2996.6"/>
    <x v="25"/>
  </r>
  <r>
    <x v="9161"/>
    <n v="2996.6"/>
    <x v="25"/>
  </r>
  <r>
    <x v="9162"/>
    <n v="2996.6"/>
    <x v="25"/>
  </r>
  <r>
    <x v="9163"/>
    <n v="2992.81"/>
    <x v="25"/>
  </r>
  <r>
    <x v="9164"/>
    <n v="3019.72"/>
    <x v="25"/>
  </r>
  <r>
    <x v="9165"/>
    <n v="3000.71"/>
    <x v="25"/>
  </r>
  <r>
    <x v="9166"/>
    <n v="3000.71"/>
    <x v="25"/>
  </r>
  <r>
    <x v="9167"/>
    <n v="3000.71"/>
    <x v="26"/>
  </r>
  <r>
    <x v="9168"/>
    <n v="3000.71"/>
    <x v="26"/>
  </r>
  <r>
    <x v="9169"/>
    <n v="3000.71"/>
    <x v="26"/>
  </r>
  <r>
    <x v="9170"/>
    <n v="2981.06"/>
    <x v="26"/>
  </r>
  <r>
    <x v="9171"/>
    <n v="2965.36"/>
    <x v="26"/>
  </r>
  <r>
    <x v="9172"/>
    <n v="2941.08"/>
    <x v="26"/>
  </r>
  <r>
    <x v="9173"/>
    <n v="2919.01"/>
    <x v="26"/>
  </r>
  <r>
    <x v="9174"/>
    <n v="2919.01"/>
    <x v="26"/>
  </r>
  <r>
    <x v="9175"/>
    <n v="2919.01"/>
    <x v="26"/>
  </r>
  <r>
    <x v="9176"/>
    <n v="2919.01"/>
    <x v="26"/>
  </r>
  <r>
    <x v="9177"/>
    <n v="2949.6"/>
    <x v="26"/>
  </r>
  <r>
    <x v="9178"/>
    <n v="2980.8"/>
    <x v="26"/>
  </r>
  <r>
    <x v="9179"/>
    <n v="2930.19"/>
    <x v="26"/>
  </r>
  <r>
    <x v="9180"/>
    <n v="2935.96"/>
    <x v="26"/>
  </r>
  <r>
    <x v="9181"/>
    <n v="2935.96"/>
    <x v="26"/>
  </r>
  <r>
    <x v="9182"/>
    <n v="2935.96"/>
    <x v="26"/>
  </r>
  <r>
    <x v="9183"/>
    <n v="2935.96"/>
    <x v="26"/>
  </r>
  <r>
    <x v="9184"/>
    <n v="2924.77"/>
    <x v="26"/>
  </r>
  <r>
    <x v="9185"/>
    <n v="2934.58"/>
    <x v="26"/>
  </r>
  <r>
    <x v="9186"/>
    <n v="2938.24"/>
    <x v="26"/>
  </r>
  <r>
    <x v="9187"/>
    <n v="2927.91"/>
    <x v="26"/>
  </r>
  <r>
    <x v="9188"/>
    <n v="2927.91"/>
    <x v="26"/>
  </r>
  <r>
    <x v="9189"/>
    <n v="2927.91"/>
    <x v="26"/>
  </r>
  <r>
    <x v="9190"/>
    <n v="2908.53"/>
    <x v="26"/>
  </r>
  <r>
    <x v="9191"/>
    <n v="2932.01"/>
    <x v="26"/>
  </r>
  <r>
    <x v="9192"/>
    <n v="2927.53"/>
    <x v="26"/>
  </r>
  <r>
    <x v="9193"/>
    <n v="2936.72"/>
    <x v="26"/>
  </r>
  <r>
    <x v="9194"/>
    <n v="2930.17"/>
    <x v="26"/>
  </r>
  <r>
    <x v="9195"/>
    <n v="2930.17"/>
    <x v="26"/>
  </r>
  <r>
    <x v="9196"/>
    <n v="2930.17"/>
    <x v="26"/>
  </r>
  <r>
    <x v="9197"/>
    <n v="2936.66"/>
    <x v="26"/>
  </r>
  <r>
    <x v="9198"/>
    <n v="2921.9"/>
    <x v="26"/>
  </r>
  <r>
    <x v="9199"/>
    <n v="2906.78"/>
    <x v="26"/>
  </r>
  <r>
    <x v="9200"/>
    <n v="2882.2"/>
    <x v="26"/>
  </r>
  <r>
    <x v="9201"/>
    <n v="2855.8"/>
    <x v="26"/>
  </r>
  <r>
    <x v="9202"/>
    <n v="2855.8"/>
    <x v="26"/>
  </r>
  <r>
    <x v="9203"/>
    <n v="2855.8"/>
    <x v="26"/>
  </r>
  <r>
    <x v="9204"/>
    <n v="2853.99"/>
    <x v="26"/>
  </r>
  <r>
    <x v="9205"/>
    <n v="2867.76"/>
    <x v="26"/>
  </r>
  <r>
    <x v="9206"/>
    <n v="2879.49"/>
    <x v="26"/>
  </r>
  <r>
    <x v="9207"/>
    <n v="2862.63"/>
    <x v="26"/>
  </r>
  <r>
    <x v="9208"/>
    <n v="2851.98"/>
    <x v="26"/>
  </r>
  <r>
    <x v="9209"/>
    <n v="2851.98"/>
    <x v="26"/>
  </r>
  <r>
    <x v="9210"/>
    <n v="2851.98"/>
    <x v="26"/>
  </r>
  <r>
    <x v="9211"/>
    <n v="2875.46"/>
    <x v="26"/>
  </r>
  <r>
    <x v="9212"/>
    <n v="2867.64"/>
    <x v="26"/>
  </r>
  <r>
    <x v="9213"/>
    <n v="2876.03"/>
    <x v="26"/>
  </r>
  <r>
    <x v="9214"/>
    <n v="2875.68"/>
    <x v="26"/>
  </r>
  <r>
    <x v="9215"/>
    <n v="2902.81"/>
    <x v="26"/>
  </r>
  <r>
    <x v="9216"/>
    <n v="2902.81"/>
    <x v="26"/>
  </r>
  <r>
    <x v="9217"/>
    <n v="2902.81"/>
    <x v="26"/>
  </r>
  <r>
    <x v="9218"/>
    <n v="2902.81"/>
    <x v="26"/>
  </r>
  <r>
    <x v="9219"/>
    <n v="2902.68"/>
    <x v="26"/>
  </r>
  <r>
    <x v="9220"/>
    <n v="2893.55"/>
    <x v="26"/>
  </r>
  <r>
    <x v="9221"/>
    <n v="2871.67"/>
    <x v="26"/>
  </r>
  <r>
    <x v="9222"/>
    <n v="2886.52"/>
    <x v="26"/>
  </r>
  <r>
    <x v="9223"/>
    <n v="2886.52"/>
    <x v="26"/>
  </r>
  <r>
    <x v="9224"/>
    <n v="2886.52"/>
    <x v="26"/>
  </r>
  <r>
    <x v="9225"/>
    <n v="2896.27"/>
    <x v="26"/>
  </r>
  <r>
    <x v="9226"/>
    <n v="2919.17"/>
    <x v="26"/>
  </r>
  <r>
    <x v="9227"/>
    <n v="2935.75"/>
    <x v="26"/>
  </r>
  <r>
    <x v="9228"/>
    <n v="2960.91"/>
    <x v="26"/>
  </r>
  <r>
    <x v="9229"/>
    <n v="2977.43"/>
    <x v="26"/>
  </r>
  <r>
    <x v="9230"/>
    <n v="2977.43"/>
    <x v="26"/>
  </r>
  <r>
    <x v="9231"/>
    <n v="2977.43"/>
    <x v="26"/>
  </r>
  <r>
    <x v="9232"/>
    <n v="2966.67"/>
    <x v="26"/>
  </r>
  <r>
    <x v="9233"/>
    <n v="2972.44"/>
    <x v="26"/>
  </r>
  <r>
    <x v="9234"/>
    <n v="2987.88"/>
    <x v="26"/>
  </r>
  <r>
    <x v="9235"/>
    <n v="3004.43"/>
    <x v="26"/>
  </r>
  <r>
    <x v="9236"/>
    <n v="2980.83"/>
    <x v="26"/>
  </r>
  <r>
    <x v="9237"/>
    <n v="2980.83"/>
    <x v="26"/>
  </r>
  <r>
    <x v="9238"/>
    <n v="2980.83"/>
    <x v="26"/>
  </r>
  <r>
    <x v="9239"/>
    <n v="2987.93"/>
    <x v="26"/>
  </r>
  <r>
    <x v="9240"/>
    <n v="2997.73"/>
    <x v="26"/>
  </r>
  <r>
    <x v="9241"/>
    <n v="2972.61"/>
    <x v="26"/>
  </r>
  <r>
    <x v="9242"/>
    <n v="2923.96"/>
    <x v="26"/>
  </r>
  <r>
    <x v="9243"/>
    <n v="2912.53"/>
    <x v="26"/>
  </r>
  <r>
    <x v="9244"/>
    <n v="2912.53"/>
    <x v="26"/>
  </r>
  <r>
    <x v="9245"/>
    <n v="2912.53"/>
    <x v="26"/>
  </r>
  <r>
    <x v="9246"/>
    <n v="2912.53"/>
    <x v="26"/>
  </r>
  <r>
    <x v="9247"/>
    <n v="2904.87"/>
    <x v="26"/>
  </r>
  <r>
    <x v="9248"/>
    <n v="2936.82"/>
    <x v="26"/>
  </r>
  <r>
    <x v="9249"/>
    <n v="2921.25"/>
    <x v="26"/>
  </r>
  <r>
    <x v="9250"/>
    <n v="2899.94"/>
    <x v="26"/>
  </r>
  <r>
    <x v="9251"/>
    <n v="2899.94"/>
    <x v="26"/>
  </r>
  <r>
    <x v="9252"/>
    <n v="2899.94"/>
    <x v="26"/>
  </r>
  <r>
    <x v="9253"/>
    <n v="2913.48"/>
    <x v="26"/>
  </r>
  <r>
    <x v="9254"/>
    <n v="2911.99"/>
    <x v="26"/>
  </r>
  <r>
    <x v="9255"/>
    <n v="2888.02"/>
    <x v="26"/>
  </r>
  <r>
    <x v="9256"/>
    <n v="2880.24"/>
    <x v="26"/>
  </r>
  <r>
    <x v="9257"/>
    <n v="2885.57"/>
    <x v="26"/>
  </r>
  <r>
    <x v="9258"/>
    <n v="2885.57"/>
    <x v="26"/>
  </r>
  <r>
    <x v="9259"/>
    <n v="2885.57"/>
    <x v="26"/>
  </r>
  <r>
    <x v="9260"/>
    <n v="2866.87"/>
    <x v="26"/>
  </r>
  <r>
    <x v="9261"/>
    <n v="2869.32"/>
    <x v="26"/>
  </r>
  <r>
    <x v="9262"/>
    <n v="2857.65"/>
    <x v="26"/>
  </r>
  <r>
    <x v="9263"/>
    <n v="2853.1"/>
    <x v="26"/>
  </r>
  <r>
    <x v="9264"/>
    <n v="2858"/>
    <x v="26"/>
  </r>
  <r>
    <x v="9265"/>
    <n v="2858"/>
    <x v="26"/>
  </r>
  <r>
    <x v="9266"/>
    <n v="2858"/>
    <x v="26"/>
  </r>
  <r>
    <x v="9267"/>
    <n v="2867.13"/>
    <x v="26"/>
  </r>
  <r>
    <x v="9268"/>
    <n v="2868.6"/>
    <x v="26"/>
  </r>
  <r>
    <x v="9269"/>
    <n v="2872.55"/>
    <x v="26"/>
  </r>
  <r>
    <x v="9270"/>
    <n v="2872.55"/>
    <x v="26"/>
  </r>
  <r>
    <x v="9271"/>
    <n v="2872.55"/>
    <x v="26"/>
  </r>
  <r>
    <x v="9272"/>
    <n v="2872.55"/>
    <x v="26"/>
  </r>
  <r>
    <x v="9273"/>
    <n v="2872.55"/>
    <x v="26"/>
  </r>
  <r>
    <x v="9274"/>
    <n v="2854.89"/>
    <x v="26"/>
  </r>
  <r>
    <x v="9275"/>
    <n v="2837.9"/>
    <x v="26"/>
  </r>
  <r>
    <x v="9276"/>
    <n v="2856.48"/>
    <x v="26"/>
  </r>
  <r>
    <x v="9277"/>
    <n v="2863.39"/>
    <x v="26"/>
  </r>
  <r>
    <x v="9278"/>
    <n v="2868.89"/>
    <x v="26"/>
  </r>
  <r>
    <x v="9279"/>
    <n v="2868.89"/>
    <x v="26"/>
  </r>
  <r>
    <x v="9280"/>
    <n v="2868.89"/>
    <x v="26"/>
  </r>
  <r>
    <x v="9281"/>
    <n v="2871.98"/>
    <x v="26"/>
  </r>
  <r>
    <x v="9282"/>
    <n v="2899.13"/>
    <x v="26"/>
  </r>
  <r>
    <x v="9283"/>
    <n v="2928.07"/>
    <x v="26"/>
  </r>
  <r>
    <x v="9284"/>
    <n v="2944.31"/>
    <x v="26"/>
  </r>
  <r>
    <x v="9285"/>
    <n v="2947.85"/>
    <x v="26"/>
  </r>
  <r>
    <x v="9286"/>
    <n v="2947.85"/>
    <x v="26"/>
  </r>
  <r>
    <x v="9287"/>
    <n v="2947.85"/>
    <x v="26"/>
  </r>
  <r>
    <x v="9288"/>
    <n v="2947.85"/>
    <x v="26"/>
  </r>
  <r>
    <x v="9289"/>
    <n v="2945.53"/>
    <x v="26"/>
  </r>
  <r>
    <x v="9290"/>
    <n v="2930.17"/>
    <x v="26"/>
  </r>
  <r>
    <x v="9291"/>
    <n v="2967.44"/>
    <x v="26"/>
  </r>
  <r>
    <x v="9292"/>
    <n v="2961.78"/>
    <x v="26"/>
  </r>
  <r>
    <x v="9293"/>
    <n v="2961.78"/>
    <x v="26"/>
  </r>
  <r>
    <x v="9294"/>
    <n v="2961.78"/>
    <x v="26"/>
  </r>
  <r>
    <x v="9295"/>
    <n v="2959.26"/>
    <x v="26"/>
  </r>
  <r>
    <x v="9296"/>
    <n v="2967.24"/>
    <x v="26"/>
  </r>
  <r>
    <x v="9297"/>
    <n v="2949.35"/>
    <x v="26"/>
  </r>
  <r>
    <x v="9298"/>
    <n v="2933.92"/>
    <x v="26"/>
  </r>
  <r>
    <x v="9299"/>
    <n v="2918.69"/>
    <x v="26"/>
  </r>
  <r>
    <x v="9300"/>
    <n v="2918.69"/>
    <x v="26"/>
  </r>
  <r>
    <x v="9301"/>
    <n v="2918.69"/>
    <x v="26"/>
  </r>
  <r>
    <x v="9302"/>
    <n v="2883.87"/>
    <x v="26"/>
  </r>
  <r>
    <x v="9303"/>
    <n v="2873.22"/>
    <x v="26"/>
  </r>
  <r>
    <x v="9304"/>
    <n v="2893.4"/>
    <x v="26"/>
  </r>
  <r>
    <x v="9305"/>
    <n v="2932.16"/>
    <x v="26"/>
  </r>
  <r>
    <x v="9306"/>
    <n v="2889.45"/>
    <x v="26"/>
  </r>
  <r>
    <x v="9307"/>
    <n v="2889.45"/>
    <x v="26"/>
  </r>
  <r>
    <x v="9308"/>
    <n v="2889.45"/>
    <x v="26"/>
  </r>
  <r>
    <x v="9309"/>
    <n v="2895.12"/>
    <x v="26"/>
  </r>
  <r>
    <x v="9310"/>
    <n v="2904.61"/>
    <x v="26"/>
  </r>
  <r>
    <x v="9311"/>
    <n v="2905.29"/>
    <x v="26"/>
  </r>
  <r>
    <x v="9312"/>
    <n v="2911.66"/>
    <x v="26"/>
  </r>
  <r>
    <x v="9313"/>
    <n v="2913.47"/>
    <x v="26"/>
  </r>
  <r>
    <x v="9314"/>
    <n v="2913.47"/>
    <x v="26"/>
  </r>
  <r>
    <x v="9315"/>
    <n v="2913.47"/>
    <x v="26"/>
  </r>
  <r>
    <x v="9316"/>
    <n v="2913.47"/>
    <x v="26"/>
  </r>
  <r>
    <x v="9317"/>
    <n v="2920.42"/>
    <x v="26"/>
  </r>
  <r>
    <x v="9318"/>
    <n v="2921"/>
    <x v="26"/>
  </r>
  <r>
    <x v="9319"/>
    <n v="2895.73"/>
    <x v="26"/>
  </r>
  <r>
    <x v="9320"/>
    <n v="2894.72"/>
    <x v="26"/>
  </r>
  <r>
    <x v="9321"/>
    <n v="2894.72"/>
    <x v="26"/>
  </r>
  <r>
    <x v="9322"/>
    <n v="2894.72"/>
    <x v="26"/>
  </r>
  <r>
    <x v="9323"/>
    <n v="2895.85"/>
    <x v="26"/>
  </r>
  <r>
    <x v="9324"/>
    <n v="2893.76"/>
    <x v="26"/>
  </r>
  <r>
    <x v="9325"/>
    <n v="2907.1"/>
    <x v="26"/>
  </r>
  <r>
    <x v="9326"/>
    <n v="2919.82"/>
    <x v="26"/>
  </r>
  <r>
    <x v="9327"/>
    <n v="2919.58"/>
    <x v="26"/>
  </r>
  <r>
    <x v="9328"/>
    <n v="2919.58"/>
    <x v="26"/>
  </r>
  <r>
    <x v="9329"/>
    <n v="2919.58"/>
    <x v="26"/>
  </r>
  <r>
    <x v="9330"/>
    <n v="2929.2"/>
    <x v="26"/>
  </r>
  <r>
    <x v="9331"/>
    <n v="2933.13"/>
    <x v="26"/>
  </r>
  <r>
    <x v="9332"/>
    <n v="2924.75"/>
    <x v="26"/>
  </r>
  <r>
    <x v="9333"/>
    <n v="2953.83"/>
    <x v="26"/>
  </r>
  <r>
    <x v="9334"/>
    <n v="2961.68"/>
    <x v="26"/>
  </r>
  <r>
    <x v="9335"/>
    <n v="2961.68"/>
    <x v="26"/>
  </r>
  <r>
    <x v="9336"/>
    <n v="2961.68"/>
    <x v="26"/>
  </r>
  <r>
    <x v="9337"/>
    <n v="2961.68"/>
    <x v="26"/>
  </r>
  <r>
    <x v="9338"/>
    <n v="3029.53"/>
    <x v="26"/>
  </r>
  <r>
    <x v="9339"/>
    <n v="3053.9"/>
    <x v="26"/>
  </r>
  <r>
    <x v="9340"/>
    <n v="3035.83"/>
    <x v="26"/>
  </r>
  <r>
    <x v="9341"/>
    <n v="3010.68"/>
    <x v="26"/>
  </r>
  <r>
    <x v="9342"/>
    <n v="3010.68"/>
    <x v="26"/>
  </r>
  <r>
    <x v="9343"/>
    <n v="3010.68"/>
    <x v="26"/>
  </r>
  <r>
    <x v="9344"/>
    <n v="3010.68"/>
    <x v="26"/>
  </r>
  <r>
    <x v="9345"/>
    <n v="3025.28"/>
    <x v="26"/>
  </r>
  <r>
    <x v="9346"/>
    <n v="3023.64"/>
    <x v="26"/>
  </r>
  <r>
    <x v="9347"/>
    <n v="3038.26"/>
    <x v="26"/>
  </r>
  <r>
    <x v="9348"/>
    <n v="3050.43"/>
    <x v="26"/>
  </r>
  <r>
    <x v="9349"/>
    <n v="3050.43"/>
    <x v="26"/>
  </r>
  <r>
    <x v="9350"/>
    <n v="3050.43"/>
    <x v="26"/>
  </r>
  <r>
    <x v="9351"/>
    <n v="3050.43"/>
    <x v="26"/>
  </r>
  <r>
    <x v="9352"/>
    <n v="3050.43"/>
    <x v="26"/>
  </r>
  <r>
    <x v="9353"/>
    <n v="3068.93"/>
    <x v="26"/>
  </r>
  <r>
    <x v="9354"/>
    <n v="3084.19"/>
    <x v="26"/>
  </r>
  <r>
    <x v="9355"/>
    <n v="3092.65"/>
    <x v="26"/>
  </r>
  <r>
    <x v="9356"/>
    <n v="3092.65"/>
    <x v="26"/>
  </r>
  <r>
    <x v="9357"/>
    <n v="3092.65"/>
    <x v="26"/>
  </r>
  <r>
    <x v="9358"/>
    <n v="3067.33"/>
    <x v="26"/>
  </r>
  <r>
    <x v="9359"/>
    <n v="3067.73"/>
    <x v="26"/>
  </r>
  <r>
    <x v="9360"/>
    <n v="3052.3"/>
    <x v="26"/>
  </r>
  <r>
    <x v="9361"/>
    <n v="3043.6"/>
    <x v="26"/>
  </r>
  <r>
    <x v="9362"/>
    <n v="3019.56"/>
    <x v="26"/>
  </r>
  <r>
    <x v="9363"/>
    <n v="3019.56"/>
    <x v="26"/>
  </r>
  <r>
    <x v="9364"/>
    <n v="3019.56"/>
    <x v="26"/>
  </r>
  <r>
    <x v="9365"/>
    <n v="3030.6"/>
    <x v="26"/>
  </r>
  <r>
    <x v="9366"/>
    <n v="3013.26"/>
    <x v="26"/>
  </r>
  <r>
    <x v="9367"/>
    <n v="3010"/>
    <x v="26"/>
  </r>
  <r>
    <x v="9368"/>
    <n v="3010"/>
    <x v="26"/>
  </r>
  <r>
    <x v="9369"/>
    <n v="3010.77"/>
    <x v="26"/>
  </r>
  <r>
    <x v="9370"/>
    <n v="3010.77"/>
    <x v="26"/>
  </r>
  <r>
    <x v="9371"/>
    <n v="3010.77"/>
    <x v="26"/>
  </r>
  <r>
    <x v="9372"/>
    <n v="3023.67"/>
    <x v="26"/>
  </r>
  <r>
    <x v="9373"/>
    <n v="3026.55"/>
    <x v="26"/>
  </r>
  <r>
    <x v="9374"/>
    <n v="3026.22"/>
    <x v="26"/>
  </r>
  <r>
    <x v="9375"/>
    <n v="3002.94"/>
    <x v="26"/>
  </r>
  <r>
    <x v="9376"/>
    <n v="2995.23"/>
    <x v="26"/>
  </r>
  <r>
    <x v="9377"/>
    <n v="2995.23"/>
    <x v="26"/>
  </r>
  <r>
    <x v="9378"/>
    <n v="2995.23"/>
    <x v="26"/>
  </r>
  <r>
    <x v="9379"/>
    <n v="2997.59"/>
    <x v="26"/>
  </r>
  <r>
    <x v="9380"/>
    <n v="2973.03"/>
    <x v="26"/>
  </r>
  <r>
    <x v="9381"/>
    <n v="2964.66"/>
    <x v="26"/>
  </r>
  <r>
    <x v="9382"/>
    <n v="2954.54"/>
    <x v="26"/>
  </r>
  <r>
    <x v="9383"/>
    <n v="2974.39"/>
    <x v="26"/>
  </r>
  <r>
    <x v="9384"/>
    <n v="2974.39"/>
    <x v="26"/>
  </r>
  <r>
    <x v="9385"/>
    <n v="2974.39"/>
    <x v="26"/>
  </r>
  <r>
    <x v="9386"/>
    <n v="2974.39"/>
    <x v="26"/>
  </r>
  <r>
    <x v="9387"/>
    <n v="2994.62"/>
    <x v="26"/>
  </r>
  <r>
    <x v="9388"/>
    <n v="3011.14"/>
    <x v="26"/>
  </r>
  <r>
    <x v="9389"/>
    <n v="2994.85"/>
    <x v="26"/>
  </r>
  <r>
    <x v="9390"/>
    <n v="2984.99"/>
    <x v="26"/>
  </r>
  <r>
    <x v="9391"/>
    <n v="2984.99"/>
    <x v="26"/>
  </r>
  <r>
    <x v="9392"/>
    <n v="2984.99"/>
    <x v="26"/>
  </r>
  <r>
    <x v="9393"/>
    <n v="2966.54"/>
    <x v="26"/>
  </r>
  <r>
    <x v="9394"/>
    <n v="2974.7"/>
    <x v="26"/>
  </r>
  <r>
    <x v="9395"/>
    <n v="2967.32"/>
    <x v="26"/>
  </r>
  <r>
    <x v="9396"/>
    <n v="2980.03"/>
    <x v="26"/>
  </r>
  <r>
    <x v="9397"/>
    <n v="2994.39"/>
    <x v="26"/>
  </r>
  <r>
    <x v="9398"/>
    <n v="2994.39"/>
    <x v="26"/>
  </r>
  <r>
    <x v="9399"/>
    <n v="2994.39"/>
    <x v="26"/>
  </r>
  <r>
    <x v="9400"/>
    <n v="2994.39"/>
    <x v="26"/>
  </r>
  <r>
    <x v="9401"/>
    <n v="2986.83"/>
    <x v="26"/>
  </r>
  <r>
    <x v="9402"/>
    <n v="2986.88"/>
    <x v="26"/>
  </r>
  <r>
    <x v="9403"/>
    <n v="2972.98"/>
    <x v="26"/>
  </r>
  <r>
    <x v="9404"/>
    <n v="2933.96"/>
    <x v="26"/>
  </r>
  <r>
    <x v="9405"/>
    <n v="2933.96"/>
    <x v="26"/>
  </r>
  <r>
    <x v="9406"/>
    <n v="2933.96"/>
    <x v="26"/>
  </r>
  <r>
    <x v="9407"/>
    <n v="2934.23"/>
    <x v="26"/>
  </r>
  <r>
    <x v="9408"/>
    <n v="2940.35"/>
    <x v="26"/>
  </r>
  <r>
    <x v="9409"/>
    <n v="2937.09"/>
    <x v="26"/>
  </r>
  <r>
    <x v="9410"/>
    <n v="2948.09"/>
    <x v="26"/>
  </r>
  <r>
    <x v="9411"/>
    <n v="2936.07"/>
    <x v="26"/>
  </r>
  <r>
    <x v="9412"/>
    <n v="2936.07"/>
    <x v="26"/>
  </r>
  <r>
    <x v="9413"/>
    <n v="2936.07"/>
    <x v="26"/>
  </r>
  <r>
    <x v="9414"/>
    <n v="2936.07"/>
    <x v="26"/>
  </r>
  <r>
    <x v="9415"/>
    <n v="2923.49"/>
    <x v="26"/>
  </r>
  <r>
    <x v="9416"/>
    <n v="2919.5"/>
    <x v="26"/>
  </r>
  <r>
    <x v="9417"/>
    <n v="2907.96"/>
    <x v="26"/>
  </r>
  <r>
    <x v="9418"/>
    <n v="2909.15"/>
    <x v="26"/>
  </r>
  <r>
    <x v="9419"/>
    <n v="2909.15"/>
    <x v="26"/>
  </r>
  <r>
    <x v="9420"/>
    <n v="2909.15"/>
    <x v="26"/>
  </r>
  <r>
    <x v="9421"/>
    <n v="2916.1"/>
    <x v="26"/>
  </r>
  <r>
    <x v="9422"/>
    <n v="2923.03"/>
    <x v="26"/>
  </r>
  <r>
    <x v="9423"/>
    <n v="2909.52"/>
    <x v="26"/>
  </r>
  <r>
    <x v="9424"/>
    <n v="2905.98"/>
    <x v="26"/>
  </r>
  <r>
    <x v="9425"/>
    <n v="2897.83"/>
    <x v="26"/>
  </r>
  <r>
    <x v="9426"/>
    <n v="2897.83"/>
    <x v="26"/>
  </r>
  <r>
    <x v="9427"/>
    <n v="2897.83"/>
    <x v="26"/>
  </r>
  <r>
    <x v="9428"/>
    <n v="2906.06"/>
    <x v="26"/>
  </r>
  <r>
    <x v="9429"/>
    <n v="2904.6"/>
    <x v="26"/>
  </r>
  <r>
    <x v="9430"/>
    <n v="2893.18"/>
    <x v="26"/>
  </r>
  <r>
    <x v="9431"/>
    <n v="2913.96"/>
    <x v="26"/>
  </r>
  <r>
    <x v="9432"/>
    <n v="2900.73"/>
    <x v="26"/>
  </r>
  <r>
    <x v="9433"/>
    <n v="2900.73"/>
    <x v="26"/>
  </r>
  <r>
    <x v="9434"/>
    <n v="2900.73"/>
    <x v="26"/>
  </r>
  <r>
    <x v="9435"/>
    <n v="2924.57"/>
    <x v="26"/>
  </r>
  <r>
    <x v="9436"/>
    <n v="2930.7"/>
    <x v="26"/>
  </r>
  <r>
    <x v="9437"/>
    <n v="2940.66"/>
    <x v="26"/>
  </r>
  <r>
    <x v="9438"/>
    <n v="2941.07"/>
    <x v="26"/>
  </r>
  <r>
    <x v="9439"/>
    <n v="2936.67"/>
    <x v="26"/>
  </r>
  <r>
    <x v="9440"/>
    <n v="2936.67"/>
    <x v="26"/>
  </r>
  <r>
    <x v="9441"/>
    <n v="2936.67"/>
    <x v="26"/>
  </r>
  <r>
    <x v="9442"/>
    <n v="2949.33"/>
    <x v="26"/>
  </r>
  <r>
    <x v="9443"/>
    <n v="2953.81"/>
    <x v="26"/>
  </r>
  <r>
    <x v="9444"/>
    <n v="2945.59"/>
    <x v="26"/>
  </r>
  <r>
    <x v="9445"/>
    <n v="2926.82"/>
    <x v="26"/>
  </r>
  <r>
    <x v="9446"/>
    <n v="2942.19"/>
    <x v="26"/>
  </r>
  <r>
    <x v="9447"/>
    <n v="2942.19"/>
    <x v="26"/>
  </r>
  <r>
    <x v="9448"/>
    <n v="2942.19"/>
    <x v="26"/>
  </r>
  <r>
    <x v="9449"/>
    <n v="2942.19"/>
    <x v="26"/>
  </r>
  <r>
    <x v="9450"/>
    <n v="2947.06"/>
    <x v="26"/>
  </r>
  <r>
    <x v="9451"/>
    <n v="2953.77"/>
    <x v="26"/>
  </r>
  <r>
    <x v="9452"/>
    <n v="2949.69"/>
    <x v="26"/>
  </r>
  <r>
    <x v="9453"/>
    <n v="2932.05"/>
    <x v="26"/>
  </r>
  <r>
    <x v="9454"/>
    <n v="2932.05"/>
    <x v="26"/>
  </r>
  <r>
    <x v="9455"/>
    <n v="2932.05"/>
    <x v="26"/>
  </r>
  <r>
    <x v="9456"/>
    <n v="2932.05"/>
    <x v="26"/>
  </r>
  <r>
    <x v="9457"/>
    <n v="2944.27"/>
    <x v="26"/>
  </r>
  <r>
    <x v="9458"/>
    <n v="2935.66"/>
    <x v="26"/>
  </r>
  <r>
    <x v="9459"/>
    <n v="2921.92"/>
    <x v="26"/>
  </r>
  <r>
    <x v="9460"/>
    <n v="2936.66"/>
    <x v="26"/>
  </r>
  <r>
    <x v="9461"/>
    <n v="2936.66"/>
    <x v="26"/>
  </r>
  <r>
    <x v="9462"/>
    <n v="2936.66"/>
    <x v="26"/>
  </r>
  <r>
    <x v="9463"/>
    <n v="2947.69"/>
    <x v="26"/>
  </r>
  <r>
    <x v="9464"/>
    <n v="2971.36"/>
    <x v="26"/>
  </r>
  <r>
    <x v="9465"/>
    <n v="2989.39"/>
    <x v="26"/>
  </r>
  <r>
    <x v="9466"/>
    <n v="3008.8"/>
    <x v="26"/>
  </r>
  <r>
    <x v="9467"/>
    <n v="3009.85"/>
    <x v="26"/>
  </r>
  <r>
    <x v="9468"/>
    <n v="3009.85"/>
    <x v="26"/>
  </r>
  <r>
    <x v="9469"/>
    <n v="3009.85"/>
    <x v="26"/>
  </r>
  <r>
    <x v="9470"/>
    <n v="3011.44"/>
    <x v="26"/>
  </r>
  <r>
    <x v="9471"/>
    <n v="3039.19"/>
    <x v="26"/>
  </r>
  <r>
    <x v="9472"/>
    <n v="3038.56"/>
    <x v="26"/>
  </r>
  <r>
    <x v="9473"/>
    <n v="3054.38"/>
    <x v="26"/>
  </r>
  <r>
    <x v="9474"/>
    <n v="3055.57"/>
    <x v="26"/>
  </r>
  <r>
    <x v="9475"/>
    <n v="3055.57"/>
    <x v="26"/>
  </r>
  <r>
    <x v="9476"/>
    <n v="3055.57"/>
    <x v="26"/>
  </r>
  <r>
    <x v="9477"/>
    <n v="3055.57"/>
    <x v="26"/>
  </r>
  <r>
    <x v="9478"/>
    <n v="3026.94"/>
    <x v="26"/>
  </r>
  <r>
    <x v="9479"/>
    <n v="3017.78"/>
    <x v="26"/>
  </r>
  <r>
    <x v="9480"/>
    <n v="3015.52"/>
    <x v="26"/>
  </r>
  <r>
    <x v="9481"/>
    <n v="3004.88"/>
    <x v="26"/>
  </r>
  <r>
    <x v="9482"/>
    <n v="3004.88"/>
    <x v="26"/>
  </r>
  <r>
    <x v="9483"/>
    <n v="3004.88"/>
    <x v="26"/>
  </r>
  <r>
    <x v="9484"/>
    <n v="3004.88"/>
    <x v="26"/>
  </r>
  <r>
    <x v="9485"/>
    <n v="3016.7"/>
    <x v="26"/>
  </r>
  <r>
    <x v="9486"/>
    <n v="3023.88"/>
    <x v="26"/>
  </r>
  <r>
    <x v="9487"/>
    <n v="3015.79"/>
    <x v="26"/>
  </r>
  <r>
    <x v="9488"/>
    <n v="3003.19"/>
    <x v="26"/>
  </r>
  <r>
    <x v="9489"/>
    <n v="3003.19"/>
    <x v="26"/>
  </r>
  <r>
    <x v="9490"/>
    <n v="3003.19"/>
    <x v="26"/>
  </r>
  <r>
    <x v="9491"/>
    <n v="3011.32"/>
    <x v="26"/>
  </r>
  <r>
    <x v="9492"/>
    <n v="3001.07"/>
    <x v="26"/>
  </r>
  <r>
    <x v="9493"/>
    <n v="2982.73"/>
    <x v="26"/>
  </r>
  <r>
    <x v="9494"/>
    <n v="2982.73"/>
    <x v="26"/>
  </r>
  <r>
    <x v="9495"/>
    <n v="2976.39"/>
    <x v="26"/>
  </r>
  <r>
    <x v="9496"/>
    <n v="2976.39"/>
    <x v="26"/>
  </r>
  <r>
    <x v="9497"/>
    <n v="2976.39"/>
    <x v="26"/>
  </r>
  <r>
    <x v="9498"/>
    <n v="2986.84"/>
    <x v="26"/>
  </r>
  <r>
    <x v="9499"/>
    <n v="3003.94"/>
    <x v="26"/>
  </r>
  <r>
    <x v="9500"/>
    <n v="3006.09"/>
    <x v="26"/>
  </r>
  <r>
    <x v="9501"/>
    <n v="3006.04"/>
    <x v="26"/>
  </r>
  <r>
    <x v="9502"/>
    <n v="3005.76"/>
    <x v="26"/>
  </r>
  <r>
    <x v="9503"/>
    <n v="3005.76"/>
    <x v="26"/>
  </r>
  <r>
    <x v="9504"/>
    <n v="3005.76"/>
    <x v="26"/>
  </r>
  <r>
    <x v="9505"/>
    <n v="2993.49"/>
    <x v="26"/>
  </r>
  <r>
    <x v="9506"/>
    <n v="2996.53"/>
    <x v="26"/>
  </r>
  <r>
    <x v="9507"/>
    <n v="3007.07"/>
    <x v="26"/>
  </r>
  <r>
    <x v="9508"/>
    <n v="3016.18"/>
    <x v="26"/>
  </r>
  <r>
    <x v="9509"/>
    <n v="3016.18"/>
    <x v="26"/>
  </r>
  <r>
    <x v="9510"/>
    <n v="3016.18"/>
    <x v="26"/>
  </r>
  <r>
    <x v="9511"/>
    <n v="3016.18"/>
    <x v="26"/>
  </r>
  <r>
    <x v="9512"/>
    <n v="3013.99"/>
    <x v="26"/>
  </r>
  <r>
    <x v="9513"/>
    <n v="3029.75"/>
    <x v="26"/>
  </r>
  <r>
    <x v="9514"/>
    <n v="3015.41"/>
    <x v="26"/>
  </r>
  <r>
    <x v="9515"/>
    <n v="2999.07"/>
    <x v="26"/>
  </r>
  <r>
    <x v="9516"/>
    <n v="2996.61"/>
    <x v="26"/>
  </r>
  <r>
    <x v="9517"/>
    <n v="2996.61"/>
    <x v="26"/>
  </r>
  <r>
    <x v="9518"/>
    <n v="2996.61"/>
    <x v="26"/>
  </r>
  <r>
    <x v="9519"/>
    <n v="2975.59"/>
    <x v="26"/>
  </r>
  <r>
    <x v="9520"/>
    <n v="2972.05"/>
    <x v="26"/>
  </r>
  <r>
    <x v="9521"/>
    <n v="2965.77"/>
    <x v="26"/>
  </r>
  <r>
    <x v="9522"/>
    <n v="2963.58"/>
    <x v="26"/>
  </r>
  <r>
    <x v="9523"/>
    <n v="2962.14"/>
    <x v="26"/>
  </r>
  <r>
    <x v="9524"/>
    <n v="2962.14"/>
    <x v="26"/>
  </r>
  <r>
    <x v="9525"/>
    <n v="2962.14"/>
    <x v="26"/>
  </r>
  <r>
    <x v="9526"/>
    <n v="2962.14"/>
    <x v="26"/>
  </r>
  <r>
    <x v="9527"/>
    <n v="2962.26"/>
    <x v="26"/>
  </r>
  <r>
    <x v="9528"/>
    <n v="2971.63"/>
    <x v="26"/>
  </r>
  <r>
    <x v="9529"/>
    <n v="2984"/>
    <x v="26"/>
  </r>
  <r>
    <x v="9530"/>
    <n v="2984"/>
    <x v="26"/>
  </r>
  <r>
    <x v="9531"/>
    <n v="2984"/>
    <x v="26"/>
  </r>
  <r>
    <x v="9532"/>
    <n v="2984"/>
    <x v="27"/>
  </r>
  <r>
    <x v="9533"/>
    <n v="2984"/>
    <x v="27"/>
  </r>
  <r>
    <x v="9534"/>
    <n v="2940.94"/>
    <x v="27"/>
  </r>
  <r>
    <x v="9535"/>
    <n v="2908.68"/>
    <x v="27"/>
  </r>
  <r>
    <x v="9536"/>
    <n v="2885.76"/>
    <x v="27"/>
  </r>
  <r>
    <x v="9537"/>
    <n v="2898.32"/>
    <x v="27"/>
  </r>
  <r>
    <x v="9538"/>
    <n v="2898.32"/>
    <x v="27"/>
  </r>
  <r>
    <x v="9539"/>
    <n v="2898.32"/>
    <x v="27"/>
  </r>
  <r>
    <x v="9540"/>
    <n v="2898.32"/>
    <x v="27"/>
  </r>
  <r>
    <x v="9541"/>
    <n v="2914.37"/>
    <x v="27"/>
  </r>
  <r>
    <x v="9542"/>
    <n v="2895.69"/>
    <x v="27"/>
  </r>
  <r>
    <x v="9543"/>
    <n v="2865.79"/>
    <x v="27"/>
  </r>
  <r>
    <x v="9544"/>
    <n v="2855.86"/>
    <x v="27"/>
  </r>
  <r>
    <x v="9545"/>
    <n v="2855.86"/>
    <x v="27"/>
  </r>
  <r>
    <x v="9546"/>
    <n v="2855.86"/>
    <x v="27"/>
  </r>
  <r>
    <x v="9547"/>
    <n v="2855.86"/>
    <x v="27"/>
  </r>
  <r>
    <x v="9548"/>
    <n v="2868.03"/>
    <x v="27"/>
  </r>
  <r>
    <x v="9549"/>
    <n v="2851.13"/>
    <x v="27"/>
  </r>
  <r>
    <x v="9550"/>
    <n v="2836.85"/>
    <x v="27"/>
  </r>
  <r>
    <x v="9551"/>
    <n v="2851.75"/>
    <x v="27"/>
  </r>
  <r>
    <x v="9552"/>
    <n v="2851.75"/>
    <x v="27"/>
  </r>
  <r>
    <x v="9553"/>
    <n v="2851.75"/>
    <x v="27"/>
  </r>
  <r>
    <x v="9554"/>
    <n v="2854.2"/>
    <x v="27"/>
  </r>
  <r>
    <x v="9555"/>
    <n v="2858.5"/>
    <x v="27"/>
  </r>
  <r>
    <x v="9556"/>
    <n v="2820.53"/>
    <x v="27"/>
  </r>
  <r>
    <x v="9557"/>
    <n v="2783.13"/>
    <x v="27"/>
  </r>
  <r>
    <x v="9558"/>
    <n v="2805.12"/>
    <x v="27"/>
  </r>
  <r>
    <x v="9559"/>
    <n v="2805.12"/>
    <x v="27"/>
  </r>
  <r>
    <x v="9560"/>
    <n v="2805.12"/>
    <x v="27"/>
  </r>
  <r>
    <x v="9561"/>
    <n v="2842.67"/>
    <x v="27"/>
  </r>
  <r>
    <x v="9562"/>
    <n v="2844.14"/>
    <x v="27"/>
  </r>
  <r>
    <x v="9563"/>
    <n v="2835.05"/>
    <x v="27"/>
  </r>
  <r>
    <x v="9564"/>
    <n v="2806.67"/>
    <x v="27"/>
  </r>
  <r>
    <x v="9565"/>
    <n v="2832.13"/>
    <x v="27"/>
  </r>
  <r>
    <x v="9566"/>
    <n v="2832.13"/>
    <x v="27"/>
  </r>
  <r>
    <x v="9567"/>
    <n v="2832.13"/>
    <x v="27"/>
  </r>
  <r>
    <x v="9568"/>
    <n v="2843.6"/>
    <x v="27"/>
  </r>
  <r>
    <x v="9569"/>
    <n v="2844.83"/>
    <x v="27"/>
  </r>
  <r>
    <x v="9570"/>
    <n v="2830.89"/>
    <x v="27"/>
  </r>
  <r>
    <x v="9571"/>
    <n v="2862.78"/>
    <x v="27"/>
  </r>
  <r>
    <x v="9572"/>
    <n v="2908.7"/>
    <x v="27"/>
  </r>
  <r>
    <x v="9573"/>
    <n v="2908.7"/>
    <x v="27"/>
  </r>
  <r>
    <x v="9574"/>
    <n v="2908.7"/>
    <x v="27"/>
  </r>
  <r>
    <x v="9575"/>
    <n v="2904.29"/>
    <x v="27"/>
  </r>
  <r>
    <x v="9576"/>
    <n v="2904.71"/>
    <x v="27"/>
  </r>
  <r>
    <x v="9577"/>
    <n v="2895.79"/>
    <x v="27"/>
  </r>
  <r>
    <x v="9578"/>
    <n v="2851.74"/>
    <x v="27"/>
  </r>
  <r>
    <x v="9579"/>
    <n v="2853.16"/>
    <x v="27"/>
  </r>
  <r>
    <x v="9580"/>
    <n v="2853.16"/>
    <x v="27"/>
  </r>
  <r>
    <x v="9581"/>
    <n v="2853.16"/>
    <x v="27"/>
  </r>
  <r>
    <x v="9582"/>
    <n v="2853.16"/>
    <x v="27"/>
  </r>
  <r>
    <x v="9583"/>
    <n v="2862.01"/>
    <x v="27"/>
  </r>
  <r>
    <x v="9584"/>
    <n v="2877.94"/>
    <x v="27"/>
  </r>
  <r>
    <x v="9585"/>
    <n v="2877.04"/>
    <x v="27"/>
  </r>
  <r>
    <x v="9586"/>
    <n v="2849.59"/>
    <x v="27"/>
  </r>
  <r>
    <x v="9587"/>
    <n v="2849.59"/>
    <x v="27"/>
  </r>
  <r>
    <x v="9588"/>
    <n v="2849.59"/>
    <x v="27"/>
  </r>
  <r>
    <x v="9589"/>
    <n v="2849.91"/>
    <x v="27"/>
  </r>
  <r>
    <x v="9590"/>
    <n v="2855.93"/>
    <x v="27"/>
  </r>
  <r>
    <x v="9591"/>
    <n v="2867.94"/>
    <x v="27"/>
  </r>
  <r>
    <x v="9592"/>
    <n v="2879.05"/>
    <x v="27"/>
  </r>
  <r>
    <x v="9593"/>
    <n v="2879.15"/>
    <x v="27"/>
  </r>
  <r>
    <x v="9594"/>
    <n v="2879.15"/>
    <x v="27"/>
  </r>
  <r>
    <x v="9595"/>
    <n v="2879.15"/>
    <x v="27"/>
  </r>
  <r>
    <x v="9596"/>
    <n v="2859.09"/>
    <x v="27"/>
  </r>
  <r>
    <x v="9597"/>
    <n v="2845.05"/>
    <x v="27"/>
  </r>
  <r>
    <x v="9598"/>
    <n v="2858.88"/>
    <x v="27"/>
  </r>
  <r>
    <x v="9599"/>
    <n v="2871.36"/>
    <x v="27"/>
  </r>
  <r>
    <x v="9600"/>
    <n v="2866.93"/>
    <x v="27"/>
  </r>
  <r>
    <x v="9601"/>
    <n v="2866.93"/>
    <x v="27"/>
  </r>
  <r>
    <x v="9602"/>
    <n v="2866.93"/>
    <x v="27"/>
  </r>
  <r>
    <x v="9603"/>
    <n v="2851.84"/>
    <x v="27"/>
  </r>
  <r>
    <x v="9604"/>
    <n v="2848.38"/>
    <x v="27"/>
  </r>
  <r>
    <x v="9605"/>
    <n v="2845.76"/>
    <x v="27"/>
  </r>
  <r>
    <x v="9606"/>
    <n v="2850.04"/>
    <x v="27"/>
  </r>
  <r>
    <x v="9607"/>
    <n v="2852.48"/>
    <x v="27"/>
  </r>
  <r>
    <x v="9608"/>
    <n v="2852.48"/>
    <x v="27"/>
  </r>
  <r>
    <x v="9609"/>
    <n v="2852.48"/>
    <x v="27"/>
  </r>
  <r>
    <x v="9610"/>
    <n v="2852.48"/>
    <x v="27"/>
  </r>
  <r>
    <x v="9611"/>
    <n v="2866.92"/>
    <x v="27"/>
  </r>
  <r>
    <x v="9612"/>
    <n v="2850.69"/>
    <x v="27"/>
  </r>
  <r>
    <x v="9613"/>
    <n v="2857.88"/>
    <x v="27"/>
  </r>
  <r>
    <x v="9614"/>
    <n v="2849.01"/>
    <x v="27"/>
  </r>
  <r>
    <x v="9615"/>
    <n v="2849.01"/>
    <x v="27"/>
  </r>
  <r>
    <x v="9616"/>
    <n v="2849.01"/>
    <x v="27"/>
  </r>
  <r>
    <x v="9617"/>
    <n v="2816.33"/>
    <x v="27"/>
  </r>
  <r>
    <x v="9618"/>
    <n v="2780.04"/>
    <x v="27"/>
  </r>
  <r>
    <x v="9619"/>
    <n v="2780.47"/>
    <x v="27"/>
  </r>
  <r>
    <x v="9620"/>
    <n v="2780.47"/>
    <x v="27"/>
  </r>
  <r>
    <x v="9621"/>
    <n v="2780.47"/>
    <x v="27"/>
  </r>
  <r>
    <x v="9622"/>
    <n v="2780.47"/>
    <x v="27"/>
  </r>
  <r>
    <x v="9623"/>
    <n v="2780.47"/>
    <x v="27"/>
  </r>
  <r>
    <x v="9624"/>
    <n v="2792.96"/>
    <x v="27"/>
  </r>
  <r>
    <x v="9625"/>
    <n v="2778.27"/>
    <x v="27"/>
  </r>
  <r>
    <x v="9626"/>
    <n v="2791.57"/>
    <x v="27"/>
  </r>
  <r>
    <x v="9627"/>
    <n v="2787.36"/>
    <x v="27"/>
  </r>
  <r>
    <x v="9628"/>
    <n v="2791.88"/>
    <x v="27"/>
  </r>
  <r>
    <x v="9629"/>
    <n v="2791.88"/>
    <x v="27"/>
  </r>
  <r>
    <x v="9630"/>
    <n v="2791.88"/>
    <x v="27"/>
  </r>
  <r>
    <x v="9631"/>
    <n v="2781.95"/>
    <x v="27"/>
  </r>
  <r>
    <x v="9632"/>
    <n v="2767.82"/>
    <x v="27"/>
  </r>
  <r>
    <x v="9633"/>
    <n v="2733.24"/>
    <x v="27"/>
  </r>
  <r>
    <x v="9634"/>
    <n v="2710.03"/>
    <x v="27"/>
  </r>
  <r>
    <x v="9635"/>
    <n v="2705.34"/>
    <x v="27"/>
  </r>
  <r>
    <x v="9636"/>
    <n v="2705.34"/>
    <x v="27"/>
  </r>
  <r>
    <x v="9637"/>
    <n v="2705.34"/>
    <x v="27"/>
  </r>
  <r>
    <x v="9638"/>
    <n v="2726.47"/>
    <x v="27"/>
  </r>
  <r>
    <x v="9639"/>
    <n v="2725.66"/>
    <x v="27"/>
  </r>
  <r>
    <x v="9640"/>
    <n v="2705.64"/>
    <x v="27"/>
  </r>
  <r>
    <x v="9641"/>
    <n v="2724.47"/>
    <x v="27"/>
  </r>
  <r>
    <x v="9642"/>
    <n v="2757.96"/>
    <x v="27"/>
  </r>
  <r>
    <x v="9643"/>
    <n v="2757.96"/>
    <x v="27"/>
  </r>
  <r>
    <x v="9644"/>
    <n v="2757.96"/>
    <x v="27"/>
  </r>
  <r>
    <x v="9645"/>
    <n v="2799.45"/>
    <x v="27"/>
  </r>
  <r>
    <x v="9646"/>
    <n v="2785.22"/>
    <x v="27"/>
  </r>
  <r>
    <x v="9647"/>
    <n v="2820.29"/>
    <x v="27"/>
  </r>
  <r>
    <x v="9648"/>
    <n v="2812.83"/>
    <x v="27"/>
  </r>
  <r>
    <x v="9649"/>
    <n v="2806.28"/>
    <x v="27"/>
  </r>
  <r>
    <x v="9650"/>
    <n v="2806.28"/>
    <x v="27"/>
  </r>
  <r>
    <x v="9651"/>
    <n v="2806.28"/>
    <x v="27"/>
  </r>
  <r>
    <x v="9652"/>
    <n v="2809.92"/>
    <x v="27"/>
  </r>
  <r>
    <x v="9653"/>
    <n v="2809.92"/>
    <x v="27"/>
  </r>
  <r>
    <x v="9654"/>
    <n v="2831.99"/>
    <x v="27"/>
  </r>
  <r>
    <x v="9655"/>
    <n v="2857.85"/>
    <x v="27"/>
  </r>
  <r>
    <x v="9656"/>
    <n v="2843.41"/>
    <x v="27"/>
  </r>
  <r>
    <x v="9657"/>
    <n v="2843.41"/>
    <x v="27"/>
  </r>
  <r>
    <x v="9658"/>
    <n v="2843.41"/>
    <x v="27"/>
  </r>
  <r>
    <x v="9659"/>
    <n v="2817.2"/>
    <x v="27"/>
  </r>
  <r>
    <x v="9660"/>
    <n v="2866"/>
    <x v="27"/>
  </r>
  <r>
    <x v="9661"/>
    <n v="2859.51"/>
    <x v="27"/>
  </r>
  <r>
    <x v="9662"/>
    <n v="2822.37"/>
    <x v="27"/>
  </r>
  <r>
    <x v="9663"/>
    <n v="2824.05"/>
    <x v="27"/>
  </r>
  <r>
    <x v="9664"/>
    <n v="2824.05"/>
    <x v="27"/>
  </r>
  <r>
    <x v="9665"/>
    <n v="2824.05"/>
    <x v="27"/>
  </r>
  <r>
    <x v="9666"/>
    <n v="2824.05"/>
    <x v="27"/>
  </r>
  <r>
    <x v="9667"/>
    <n v="2889.87"/>
    <x v="27"/>
  </r>
  <r>
    <x v="9668"/>
    <n v="2865.37"/>
    <x v="27"/>
  </r>
  <r>
    <x v="9669"/>
    <n v="2886.23"/>
    <x v="27"/>
  </r>
  <r>
    <x v="9670"/>
    <n v="2925.67"/>
    <x v="27"/>
  </r>
  <r>
    <x v="9671"/>
    <n v="2925.67"/>
    <x v="27"/>
  </r>
  <r>
    <x v="9672"/>
    <n v="2925.67"/>
    <x v="27"/>
  </r>
  <r>
    <x v="9673"/>
    <n v="2897.37"/>
    <x v="27"/>
  </r>
  <r>
    <x v="9674"/>
    <n v="2851.42"/>
    <x v="27"/>
  </r>
  <r>
    <x v="9675"/>
    <n v="2863.24"/>
    <x v="27"/>
  </r>
  <r>
    <x v="9676"/>
    <n v="2863.12"/>
    <x v="27"/>
  </r>
  <r>
    <x v="9677"/>
    <n v="2887.16"/>
    <x v="27"/>
  </r>
  <r>
    <x v="9678"/>
    <n v="2887.16"/>
    <x v="27"/>
  </r>
  <r>
    <x v="9679"/>
    <n v="2887.16"/>
    <x v="27"/>
  </r>
  <r>
    <x v="9680"/>
    <n v="2887.16"/>
    <x v="27"/>
  </r>
  <r>
    <x v="9681"/>
    <n v="2893.82"/>
    <x v="27"/>
  </r>
  <r>
    <x v="9682"/>
    <n v="2879.32"/>
    <x v="27"/>
  </r>
  <r>
    <x v="9683"/>
    <n v="2889.32"/>
    <x v="27"/>
  </r>
  <r>
    <x v="9684"/>
    <n v="2868.22"/>
    <x v="27"/>
  </r>
  <r>
    <x v="9685"/>
    <n v="2868.22"/>
    <x v="27"/>
  </r>
  <r>
    <x v="9686"/>
    <n v="2868.22"/>
    <x v="27"/>
  </r>
  <r>
    <x v="9687"/>
    <n v="2868.22"/>
    <x v="27"/>
  </r>
  <r>
    <x v="9688"/>
    <n v="2865.37"/>
    <x v="27"/>
  </r>
  <r>
    <x v="9689"/>
    <n v="2828.42"/>
    <x v="27"/>
  </r>
  <r>
    <x v="9690"/>
    <n v="2835.78"/>
    <x v="27"/>
  </r>
  <r>
    <x v="9691"/>
    <n v="2855.8"/>
    <x v="27"/>
  </r>
  <r>
    <x v="9692"/>
    <n v="2855.8"/>
    <x v="27"/>
  </r>
  <r>
    <x v="9693"/>
    <n v="2855.8"/>
    <x v="27"/>
  </r>
  <r>
    <x v="9694"/>
    <n v="2855.8"/>
    <x v="27"/>
  </r>
  <r>
    <x v="9695"/>
    <n v="2857.11"/>
    <x v="27"/>
  </r>
  <r>
    <x v="9696"/>
    <n v="2859.17"/>
    <x v="27"/>
  </r>
  <r>
    <x v="9697"/>
    <n v="2859.78"/>
    <x v="27"/>
  </r>
  <r>
    <x v="9698"/>
    <n v="2890.06"/>
    <x v="27"/>
  </r>
  <r>
    <x v="9699"/>
    <n v="2890.06"/>
    <x v="27"/>
  </r>
  <r>
    <x v="9700"/>
    <n v="2890.06"/>
    <x v="27"/>
  </r>
  <r>
    <x v="9701"/>
    <n v="2919.14"/>
    <x v="27"/>
  </r>
  <r>
    <x v="9702"/>
    <n v="2931.78"/>
    <x v="27"/>
  </r>
  <r>
    <x v="9703"/>
    <n v="2916.49"/>
    <x v="27"/>
  </r>
  <r>
    <x v="9704"/>
    <n v="2944.82"/>
    <x v="27"/>
  </r>
  <r>
    <x v="9705"/>
    <n v="2918.22"/>
    <x v="27"/>
  </r>
  <r>
    <x v="9706"/>
    <n v="2918.22"/>
    <x v="27"/>
  </r>
  <r>
    <x v="9707"/>
    <n v="2918.22"/>
    <x v="27"/>
  </r>
  <r>
    <x v="9708"/>
    <n v="2927.67"/>
    <x v="27"/>
  </r>
  <r>
    <x v="9709"/>
    <n v="2924.1"/>
    <x v="27"/>
  </r>
  <r>
    <x v="9710"/>
    <n v="2934.91"/>
    <x v="27"/>
  </r>
  <r>
    <x v="9711"/>
    <n v="2945.09"/>
    <x v="27"/>
  </r>
  <r>
    <x v="9712"/>
    <n v="2930.8"/>
    <x v="27"/>
  </r>
  <r>
    <x v="9713"/>
    <n v="2930.8"/>
    <x v="27"/>
  </r>
  <r>
    <x v="9714"/>
    <n v="2930.8"/>
    <x v="27"/>
  </r>
  <r>
    <x v="9715"/>
    <n v="2930.8"/>
    <x v="27"/>
  </r>
  <r>
    <x v="9716"/>
    <n v="2909.83"/>
    <x v="27"/>
  </r>
  <r>
    <x v="9717"/>
    <n v="2909.83"/>
    <x v="27"/>
  </r>
  <r>
    <x v="9718"/>
    <n v="2885.53"/>
    <x v="27"/>
  </r>
  <r>
    <x v="9719"/>
    <n v="2867.94"/>
    <x v="27"/>
  </r>
  <r>
    <x v="9720"/>
    <n v="2867.94"/>
    <x v="27"/>
  </r>
  <r>
    <x v="9721"/>
    <n v="2867.94"/>
    <x v="27"/>
  </r>
  <r>
    <x v="9722"/>
    <n v="2881.09"/>
    <x v="27"/>
  </r>
  <r>
    <x v="9723"/>
    <n v="2872.62"/>
    <x v="27"/>
  </r>
  <r>
    <x v="9724"/>
    <n v="2880.1"/>
    <x v="27"/>
  </r>
  <r>
    <x v="9725"/>
    <n v="2882.02"/>
    <x v="27"/>
  </r>
  <r>
    <x v="9726"/>
    <n v="2861.7"/>
    <x v="27"/>
  </r>
  <r>
    <x v="9727"/>
    <n v="2861.7"/>
    <x v="27"/>
  </r>
  <r>
    <x v="9728"/>
    <n v="2861.7"/>
    <x v="27"/>
  </r>
  <r>
    <x v="9729"/>
    <n v="2868.96"/>
    <x v="27"/>
  </r>
  <r>
    <x v="9730"/>
    <n v="2878.28"/>
    <x v="27"/>
  </r>
  <r>
    <x v="9731"/>
    <n v="2876.93"/>
    <x v="27"/>
  </r>
  <r>
    <x v="9732"/>
    <n v="2883.81"/>
    <x v="27"/>
  </r>
  <r>
    <x v="9733"/>
    <n v="2883.81"/>
    <x v="27"/>
  </r>
  <r>
    <x v="9734"/>
    <n v="2883.81"/>
    <x v="27"/>
  </r>
  <r>
    <x v="9735"/>
    <n v="2883.81"/>
    <x v="27"/>
  </r>
  <r>
    <x v="9736"/>
    <n v="2897.73"/>
    <x v="27"/>
  </r>
  <r>
    <x v="9737"/>
    <n v="2898.36"/>
    <x v="27"/>
  </r>
  <r>
    <x v="9738"/>
    <n v="2882.84"/>
    <x v="27"/>
  </r>
  <r>
    <x v="9739"/>
    <n v="2886.21"/>
    <x v="27"/>
  </r>
  <r>
    <x v="9740"/>
    <n v="2880.79"/>
    <x v="27"/>
  </r>
  <r>
    <x v="9741"/>
    <n v="2880.79"/>
    <x v="27"/>
  </r>
  <r>
    <x v="9742"/>
    <n v="2880.79"/>
    <x v="27"/>
  </r>
  <r>
    <x v="9743"/>
    <n v="2875.72"/>
    <x v="27"/>
  </r>
  <r>
    <x v="9744"/>
    <n v="2886.8"/>
    <x v="27"/>
  </r>
  <r>
    <x v="9745"/>
    <n v="2892.62"/>
    <x v="27"/>
  </r>
  <r>
    <x v="9746"/>
    <n v="2904.9"/>
    <x v="27"/>
  </r>
  <r>
    <x v="9747"/>
    <n v="2898.99"/>
    <x v="27"/>
  </r>
  <r>
    <x v="9748"/>
    <n v="2898.99"/>
    <x v="27"/>
  </r>
  <r>
    <x v="9749"/>
    <n v="2898.99"/>
    <x v="27"/>
  </r>
  <r>
    <x v="9750"/>
    <n v="2898.86"/>
    <x v="27"/>
  </r>
  <r>
    <x v="9751"/>
    <n v="2898.86"/>
    <x v="27"/>
  </r>
  <r>
    <x v="9752"/>
    <n v="2908.9"/>
    <x v="27"/>
  </r>
  <r>
    <x v="9753"/>
    <n v="2919.44"/>
    <x v="27"/>
  </r>
  <r>
    <x v="9754"/>
    <n v="2940.95"/>
    <x v="27"/>
  </r>
  <r>
    <x v="9755"/>
    <n v="2940.95"/>
    <x v="27"/>
  </r>
  <r>
    <x v="9756"/>
    <n v="2940.95"/>
    <x v="27"/>
  </r>
  <r>
    <x v="9757"/>
    <n v="2983.93"/>
    <x v="27"/>
  </r>
  <r>
    <x v="9758"/>
    <n v="3002.66"/>
    <x v="27"/>
  </r>
  <r>
    <x v="9759"/>
    <n v="3046.76"/>
    <x v="27"/>
  </r>
  <r>
    <x v="9760"/>
    <n v="3019.55"/>
    <x v="27"/>
  </r>
  <r>
    <x v="9761"/>
    <n v="3024.02"/>
    <x v="27"/>
  </r>
  <r>
    <x v="9762"/>
    <n v="3024.02"/>
    <x v="27"/>
  </r>
  <r>
    <x v="9763"/>
    <n v="3024.02"/>
    <x v="27"/>
  </r>
  <r>
    <x v="9764"/>
    <n v="3024.02"/>
    <x v="27"/>
  </r>
  <r>
    <x v="9765"/>
    <n v="2990.78"/>
    <x v="27"/>
  </r>
  <r>
    <x v="9766"/>
    <n v="2965.45"/>
    <x v="27"/>
  </r>
  <r>
    <x v="9767"/>
    <n v="2980.64"/>
    <x v="27"/>
  </r>
  <r>
    <x v="9768"/>
    <n v="2958.45"/>
    <x v="27"/>
  </r>
  <r>
    <x v="9769"/>
    <n v="2958.45"/>
    <x v="27"/>
  </r>
  <r>
    <x v="9770"/>
    <n v="2958.45"/>
    <x v="27"/>
  </r>
  <r>
    <x v="9771"/>
    <n v="2934.31"/>
    <x v="27"/>
  </r>
  <r>
    <x v="9772"/>
    <n v="2966"/>
    <x v="27"/>
  </r>
  <r>
    <x v="9773"/>
    <n v="2999.57"/>
    <x v="27"/>
  </r>
  <r>
    <x v="9774"/>
    <n v="3027.39"/>
    <x v="27"/>
  </r>
  <r>
    <x v="9775"/>
    <n v="3053.14"/>
    <x v="27"/>
  </r>
  <r>
    <x v="9776"/>
    <n v="3053.14"/>
    <x v="27"/>
  </r>
  <r>
    <x v="9777"/>
    <n v="3053.14"/>
    <x v="27"/>
  </r>
  <r>
    <x v="9778"/>
    <n v="3053.14"/>
    <x v="27"/>
  </r>
  <r>
    <x v="9779"/>
    <n v="3088.47"/>
    <x v="27"/>
  </r>
  <r>
    <x v="9780"/>
    <n v="3100.37"/>
    <x v="27"/>
  </r>
  <r>
    <x v="9781"/>
    <n v="3089.47"/>
    <x v="27"/>
  </r>
  <r>
    <x v="9782"/>
    <n v="3070.15"/>
    <x v="27"/>
  </r>
  <r>
    <x v="9783"/>
    <n v="3070.15"/>
    <x v="27"/>
  </r>
  <r>
    <x v="9784"/>
    <n v="3070.15"/>
    <x v="27"/>
  </r>
  <r>
    <x v="9785"/>
    <n v="3069.49"/>
    <x v="27"/>
  </r>
  <r>
    <x v="9786"/>
    <n v="3087.73"/>
    <x v="27"/>
  </r>
  <r>
    <x v="9787"/>
    <n v="3055.01"/>
    <x v="27"/>
  </r>
  <r>
    <x v="9788"/>
    <n v="3019.38"/>
    <x v="27"/>
  </r>
  <r>
    <x v="9789"/>
    <n v="3026.05"/>
    <x v="27"/>
  </r>
  <r>
    <x v="9790"/>
    <n v="3026.05"/>
    <x v="27"/>
  </r>
  <r>
    <x v="9791"/>
    <n v="3026.05"/>
    <x v="27"/>
  </r>
  <r>
    <x v="9792"/>
    <n v="3013.38"/>
    <x v="27"/>
  </r>
  <r>
    <x v="9793"/>
    <n v="3007.03"/>
    <x v="27"/>
  </r>
  <r>
    <x v="9794"/>
    <n v="3018.63"/>
    <x v="27"/>
  </r>
  <r>
    <x v="9795"/>
    <n v="3014.18"/>
    <x v="27"/>
  </r>
  <r>
    <x v="9796"/>
    <n v="3006.96"/>
    <x v="27"/>
  </r>
  <r>
    <x v="9797"/>
    <n v="3006.96"/>
    <x v="27"/>
  </r>
  <r>
    <x v="9798"/>
    <n v="3006.96"/>
    <x v="27"/>
  </r>
  <r>
    <x v="9799"/>
    <n v="2991.9"/>
    <x v="27"/>
  </r>
  <r>
    <x v="9800"/>
    <n v="3001.88"/>
    <x v="27"/>
  </r>
  <r>
    <x v="9801"/>
    <n v="3000.14"/>
    <x v="27"/>
  </r>
  <r>
    <x v="9802"/>
    <n v="2989.58"/>
    <x v="27"/>
  </r>
  <r>
    <x v="9803"/>
    <n v="2972.18"/>
    <x v="27"/>
  </r>
  <r>
    <x v="9804"/>
    <n v="2972.18"/>
    <x v="27"/>
  </r>
  <r>
    <x v="9805"/>
    <n v="2972.18"/>
    <x v="27"/>
  </r>
  <r>
    <x v="9806"/>
    <n v="2993.74"/>
    <x v="27"/>
  </r>
  <r>
    <x v="9807"/>
    <n v="3005.5"/>
    <x v="27"/>
  </r>
  <r>
    <x v="9808"/>
    <n v="3012.65"/>
    <x v="27"/>
  </r>
  <r>
    <x v="9809"/>
    <n v="3028.16"/>
    <x v="27"/>
  </r>
  <r>
    <x v="9810"/>
    <n v="3031.31"/>
    <x v="27"/>
  </r>
  <r>
    <x v="9811"/>
    <n v="3031.31"/>
    <x v="27"/>
  </r>
  <r>
    <x v="9812"/>
    <n v="3031.31"/>
    <x v="27"/>
  </r>
  <r>
    <x v="9813"/>
    <n v="3031.31"/>
    <x v="27"/>
  </r>
  <r>
    <x v="9814"/>
    <n v="3057.55"/>
    <x v="27"/>
  </r>
  <r>
    <x v="9815"/>
    <n v="3090.3"/>
    <x v="27"/>
  </r>
  <r>
    <x v="9816"/>
    <n v="3087.34"/>
    <x v="27"/>
  </r>
  <r>
    <x v="9817"/>
    <n v="3088.78"/>
    <x v="27"/>
  </r>
  <r>
    <x v="9818"/>
    <n v="3088.78"/>
    <x v="27"/>
  </r>
  <r>
    <x v="9819"/>
    <n v="3088.78"/>
    <x v="27"/>
  </r>
  <r>
    <x v="9820"/>
    <n v="3088.78"/>
    <x v="27"/>
  </r>
  <r>
    <x v="9821"/>
    <n v="3055.93"/>
    <x v="27"/>
  </r>
  <r>
    <x v="9822"/>
    <n v="3056.37"/>
    <x v="27"/>
  </r>
  <r>
    <x v="9823"/>
    <n v="3088.47"/>
    <x v="27"/>
  </r>
  <r>
    <x v="9824"/>
    <n v="3079.88"/>
    <x v="27"/>
  </r>
  <r>
    <x v="9825"/>
    <n v="3079.88"/>
    <x v="27"/>
  </r>
  <r>
    <x v="9826"/>
    <n v="3079.88"/>
    <x v="27"/>
  </r>
  <r>
    <x v="9827"/>
    <n v="3087.58"/>
    <x v="27"/>
  </r>
  <r>
    <x v="9828"/>
    <n v="3110.2"/>
    <x v="27"/>
  </r>
  <r>
    <x v="9829"/>
    <n v="3149.7"/>
    <x v="27"/>
  </r>
  <r>
    <x v="9830"/>
    <n v="3167.18"/>
    <x v="27"/>
  </r>
  <r>
    <x v="9831"/>
    <n v="3185.26"/>
    <x v="27"/>
  </r>
  <r>
    <x v="9832"/>
    <n v="3185.26"/>
    <x v="27"/>
  </r>
  <r>
    <x v="9833"/>
    <n v="3185.26"/>
    <x v="27"/>
  </r>
  <r>
    <x v="9834"/>
    <n v="3188.69"/>
    <x v="27"/>
  </r>
  <r>
    <x v="9835"/>
    <n v="3202.44"/>
    <x v="27"/>
  </r>
  <r>
    <x v="9836"/>
    <n v="3219.85"/>
    <x v="27"/>
  </r>
  <r>
    <x v="9837"/>
    <n v="3193.8"/>
    <x v="27"/>
  </r>
  <r>
    <x v="9838"/>
    <n v="3177.57"/>
    <x v="27"/>
  </r>
  <r>
    <x v="9839"/>
    <n v="3177.57"/>
    <x v="27"/>
  </r>
  <r>
    <x v="9840"/>
    <n v="3177.57"/>
    <x v="27"/>
  </r>
  <r>
    <x v="9841"/>
    <n v="3177.57"/>
    <x v="27"/>
  </r>
  <r>
    <x v="9842"/>
    <n v="3154.55"/>
    <x v="27"/>
  </r>
  <r>
    <x v="9843"/>
    <n v="3140.25"/>
    <x v="27"/>
  </r>
  <r>
    <x v="9844"/>
    <n v="3145.39"/>
    <x v="27"/>
  </r>
  <r>
    <x v="9845"/>
    <n v="3176.89"/>
    <x v="27"/>
  </r>
  <r>
    <x v="9846"/>
    <n v="3176.89"/>
    <x v="27"/>
  </r>
  <r>
    <x v="9847"/>
    <n v="3176.89"/>
    <x v="27"/>
  </r>
  <r>
    <x v="9848"/>
    <n v="3176.89"/>
    <x v="27"/>
  </r>
  <r>
    <x v="9849"/>
    <n v="3197.2"/>
    <x v="27"/>
  </r>
  <r>
    <x v="9850"/>
    <n v="3194.7"/>
    <x v="27"/>
  </r>
  <r>
    <x v="9851"/>
    <n v="3198.29"/>
    <x v="27"/>
  </r>
  <r>
    <x v="9852"/>
    <n v="3173.59"/>
    <x v="27"/>
  </r>
  <r>
    <x v="9853"/>
    <n v="3173.59"/>
    <x v="27"/>
  </r>
  <r>
    <x v="9854"/>
    <n v="3173.59"/>
    <x v="27"/>
  </r>
  <r>
    <x v="9855"/>
    <n v="3178.81"/>
    <x v="27"/>
  </r>
  <r>
    <x v="9856"/>
    <n v="3189.51"/>
    <x v="27"/>
  </r>
  <r>
    <x v="9857"/>
    <n v="3196.26"/>
    <x v="27"/>
  </r>
  <r>
    <x v="9858"/>
    <n v="3196.26"/>
    <x v="27"/>
  </r>
  <r>
    <x v="9859"/>
    <n v="3223.95"/>
    <x v="27"/>
  </r>
  <r>
    <x v="9860"/>
    <n v="3223.95"/>
    <x v="27"/>
  </r>
  <r>
    <x v="9861"/>
    <n v="3223.95"/>
    <x v="27"/>
  </r>
  <r>
    <x v="9862"/>
    <n v="3240.65"/>
    <x v="27"/>
  </r>
  <r>
    <x v="9863"/>
    <n v="3250.56"/>
    <x v="27"/>
  </r>
  <r>
    <x v="9864"/>
    <n v="3274.47"/>
    <x v="27"/>
  </r>
  <r>
    <x v="9865"/>
    <n v="3240.02"/>
    <x v="27"/>
  </r>
  <r>
    <x v="9866"/>
    <n v="3235.27"/>
    <x v="27"/>
  </r>
  <r>
    <x v="9867"/>
    <n v="3235.27"/>
    <x v="27"/>
  </r>
  <r>
    <x v="9868"/>
    <n v="3235.27"/>
    <x v="27"/>
  </r>
  <r>
    <x v="9869"/>
    <n v="3196.15"/>
    <x v="27"/>
  </r>
  <r>
    <x v="9870"/>
    <n v="3174.11"/>
    <x v="27"/>
  </r>
  <r>
    <x v="9871"/>
    <n v="3162.29"/>
    <x v="27"/>
  </r>
  <r>
    <x v="9872"/>
    <n v="3187.86"/>
    <x v="27"/>
  </r>
  <r>
    <x v="9873"/>
    <n v="3153.29"/>
    <x v="27"/>
  </r>
  <r>
    <x v="9874"/>
    <n v="3153.29"/>
    <x v="27"/>
  </r>
  <r>
    <x v="9875"/>
    <n v="3153.29"/>
    <x v="27"/>
  </r>
  <r>
    <x v="9876"/>
    <n v="3176.12"/>
    <x v="27"/>
  </r>
  <r>
    <x v="9877"/>
    <n v="3184.7"/>
    <x v="27"/>
  </r>
  <r>
    <x v="9878"/>
    <n v="3169.36"/>
    <x v="27"/>
  </r>
  <r>
    <x v="9879"/>
    <n v="3178.4"/>
    <x v="27"/>
  </r>
  <r>
    <x v="9880"/>
    <n v="3196.3"/>
    <x v="27"/>
  </r>
  <r>
    <x v="9881"/>
    <n v="3196.3"/>
    <x v="27"/>
  </r>
  <r>
    <x v="9882"/>
    <n v="3196.3"/>
    <x v="27"/>
  </r>
  <r>
    <x v="9883"/>
    <n v="3188.66"/>
    <x v="27"/>
  </r>
  <r>
    <x v="9884"/>
    <n v="3198.45"/>
    <x v="27"/>
  </r>
  <r>
    <x v="9885"/>
    <n v="3216.55"/>
    <x v="27"/>
  </r>
  <r>
    <x v="9886"/>
    <n v="3246.86"/>
    <x v="27"/>
  </r>
  <r>
    <x v="9887"/>
    <n v="3285.34"/>
    <x v="27"/>
  </r>
  <r>
    <x v="9888"/>
    <n v="3285.34"/>
    <x v="27"/>
  </r>
  <r>
    <x v="9889"/>
    <n v="3285.34"/>
    <x v="27"/>
  </r>
  <r>
    <x v="9890"/>
    <n v="3285.51"/>
    <x v="27"/>
  </r>
  <r>
    <x v="9891"/>
    <n v="3285.51"/>
    <x v="27"/>
  </r>
  <r>
    <x v="9892"/>
    <n v="3289.69"/>
    <x v="27"/>
  </r>
  <r>
    <x v="9893"/>
    <n v="3275.01"/>
    <x v="27"/>
  </r>
  <r>
    <x v="9894"/>
    <n v="3249.75"/>
    <x v="27"/>
  </r>
  <r>
    <x v="9895"/>
    <n v="3249.75"/>
    <x v="27"/>
  </r>
  <r>
    <x v="9896"/>
    <n v="3249.75"/>
    <x v="27"/>
  </r>
</pivotCacheRecords>
</file>

<file path=xl/pivotCache/pivotCacheRecords6.xml><?xml version="1.0" encoding="utf-8"?>
<pivotCacheRecords xmlns="http://schemas.openxmlformats.org/spreadsheetml/2006/main" xmlns:r="http://schemas.openxmlformats.org/officeDocument/2006/relationships" count="15">
  <r>
    <s v="INDICADORES ESTRATEGICOS"/>
    <s v="EBITDA"/>
    <m/>
    <n v="632682"/>
    <n v="576940"/>
    <n v="449772"/>
    <n v="423650"/>
    <n v="314108"/>
    <n v="242507"/>
    <n v="194786.44324000011"/>
    <n v="222259.41412122466"/>
    <n v="294108.22400741908"/>
    <n v="289467.15763164929"/>
    <n v="292041.92813749349"/>
    <n v="-55742"/>
    <n v="-127168"/>
    <n v="-26122"/>
    <n v="-109542"/>
    <n v="-71601"/>
    <n v="-8.8104292519780913E-2"/>
    <n v="-0.22041806773667971"/>
    <n v="-5.8078315235274736E-2"/>
    <n v="-0.2585672135017113"/>
    <n v="-0.22795025914653555"/>
    <n v="-0.19678012082125418"/>
    <n v="0.14104149356726325"/>
    <n v="0.32326554162068777"/>
    <n v="-1.5780131247376206E-2"/>
    <n v="8.894862294259509E-3"/>
    <m/>
    <s v="(Cuentas por cobrar a partes relacionadas+Activo+Efectivo y equivalente de efectivo+Cliente  neto  de estimaciones incobrables)-(Pasivo y capital contable+Proveedores+Deuda a corto plazo)"/>
  </r>
  <r>
    <s v="INDICADORES ESTRATEGICOS"/>
    <s v="Margen Ebitda"/>
    <m/>
    <n v="0.36150860857223177"/>
    <n v="0.33451420818572397"/>
    <n v="0.31517429564881033"/>
    <n v="0.32208745208412209"/>
    <n v="0.26035659905524705"/>
    <n v="0.2188041637456026"/>
    <n v="0.19103027605168418"/>
    <n v="0.21488411752589617"/>
    <n v="0.2804820644343044"/>
    <n v="0.27252788648419063"/>
    <n v="0.27171853749671659"/>
    <n v="-2.69944003865078E-2"/>
    <n v="-1.9339912536913639E-2"/>
    <n v="6.9131564353117625E-3"/>
    <n v="-6.1730853028875043E-2"/>
    <n v="-4.1552435309644448E-2"/>
    <n v="-7.4671528551204958E-2"/>
    <n v="-5.7814921051652424E-2"/>
    <n v="2.1934391639015116E-2"/>
    <n v="-0.19165867105171275"/>
    <n v="-0.15959816444225072"/>
    <n v="-0.12693491393614575"/>
    <n v="0.12486942890538577"/>
    <n v="0.30527126743326138"/>
    <n v="-2.8358953953638077E-2"/>
    <n v="-2.9697841124268765E-3"/>
    <m/>
    <s v="Ebitda / Ingresos"/>
  </r>
  <r>
    <s v="INDICADORES ESTRATEGICOS"/>
    <s v="KTNO"/>
    <m/>
    <n v="54022"/>
    <n v="21898"/>
    <n v="-31575"/>
    <n v="-62026"/>
    <n v="-60439"/>
    <n v="-32212"/>
    <n v="-42104.663457382063"/>
    <n v="-53092.90866269343"/>
    <n v="-45300.357978589687"/>
    <n v="-47003.233273414982"/>
    <n v="-49495.169360580505"/>
    <n v="-32124"/>
    <n v="-53473"/>
    <n v="-30451"/>
    <n v="1587"/>
    <n v="28227"/>
    <n v="-0.59464662544889113"/>
    <n v="-2.4419125034249705"/>
    <n v="0.9644022169437847"/>
    <n v="-2.5586044561957899E-2"/>
    <n v="-0.46703287612303312"/>
    <n v="0.30711112186086131"/>
    <n v="0.26097454065708336"/>
    <n v="-0.1467719678650663"/>
    <n v="3.7590769053748474E-2"/>
    <n v="5.3016269597244037E-2"/>
    <m/>
    <s v="(Estimaciones Incobrabes + Otras cuentas por cobrar +"/>
  </r>
  <r>
    <s v="INDICADORES ESTRATEGICOS"/>
    <s v="PKT"/>
    <m/>
    <n v="3.0867668200279298E-2"/>
    <n v="1.2696627259075438E-2"/>
    <n v="-2.2125940221070201E-2"/>
    <n v="-4.7156370359895568E-2"/>
    <n v="-5.0096439728692294E-2"/>
    <n v="-2.9063572278628456E-2"/>
    <n v="-4.1292737572176386E-2"/>
    <n v="-5.1331111755038142E-2"/>
    <n v="-4.3201573054711083E-2"/>
    <n v="-4.4252660394128958E-2"/>
    <n v="-4.6050767838642509E-2"/>
    <n v="-1.8171040941203857E-2"/>
    <n v="-3.4822567480145637E-2"/>
    <n v="-2.5030430138825367E-2"/>
    <n v="-2.9400693687967258E-3"/>
    <n v="2.1032867450063837E-2"/>
    <n v="-0.58867553011469276"/>
    <n v="-2.7426628166353999"/>
    <n v="1.1312708019968918"/>
    <n v="6.2347236361879332E-2"/>
    <n v="-0.41984754932629365"/>
    <n v="0.42077295854441465"/>
    <n v="0.24310265613451976"/>
    <n v="-0.15837449107127799"/>
    <n v="2.4329839519657392E-2"/>
    <n v="4.0632753567785729E-2"/>
    <m/>
    <s v="(Inventarios Neto+Cliente  neto  de estimaciones incobrables+Otras cuentas por cobrar+Anticipos de Impuestos)-(Proveedores+Otras cuentas y gastos acumulados por pagar+Impuesto por pagar)"/>
  </r>
  <r>
    <s v="INDICADORES ESTRATEGICOS"/>
    <s v="Gastos Financieros"/>
    <m/>
    <n v="0.17980913002108484"/>
    <n v="0.15677366797240613"/>
    <n v="0.16396752132191422"/>
    <n v="0.15036232739289507"/>
    <n v="0.20138296382136081"/>
    <n v="0.24329194621186193"/>
    <n v="0.25466565934919921"/>
    <n v="0.22318702762774414"/>
    <n v="0.13139330982810324"/>
    <n v="0.13349995666580872"/>
    <n v="0.16393995309282894"/>
    <n v="-2.3035462048678707E-2"/>
    <n v="7.1938533495080892E-3"/>
    <n v="-1.3605193929019155E-2"/>
    <n v="5.1020636428465743E-2"/>
    <n v="4.1908982390501115E-2"/>
    <n v="-0.12811063623953645"/>
    <n v="4.5886872728998718E-2"/>
    <n v="-8.2974931982464639E-2"/>
    <n v="0.33931794827270401"/>
    <n v="0.20810589731749585"/>
    <n v="4.6749238166038154E-2"/>
    <n v="-0.12360768154567459"/>
    <n v="-0.41128608044704351"/>
    <n v="1.6033136241575097E-2"/>
    <n v="0.22801502852334887"/>
    <m/>
    <s v="Gastos financieros/EBITDA*-1"/>
  </r>
  <r>
    <s v="INDICADORES ESTRATEGICOS"/>
    <s v="Deuda Financiera"/>
    <m/>
    <n v="4.0465826434132789E-2"/>
    <n v="2.733213159080667E-2"/>
    <n v="3.582481790773992E-2"/>
    <n v="5.8017231205004134E-2"/>
    <n v="5.5786544755307095E-2"/>
    <n v="2.9421831122400592E-2"/>
    <n v="6.3294959315054605E-2"/>
    <n v="4.3786671707376927E-2"/>
    <n v="3.7504901596093237E-2"/>
    <n v="3.5863308587187892E-2"/>
    <n v="3.6658691675805086E-2"/>
    <n v="-1.3133694843326119E-2"/>
    <n v="8.4926863169332498E-3"/>
    <n v="2.2192413297264214E-2"/>
    <n v="-2.2306864496970391E-3"/>
    <n v="-2.6364713632906503E-2"/>
    <n v="-0.32456262482873433"/>
    <n v="0.31072169723454057"/>
    <n v="0.61947037258965554"/>
    <n v="-3.8448688490750227E-2"/>
    <n v="-0.47259986702077239"/>
    <n v="1.151292319357526"/>
    <n v="-0.30821234137419951"/>
    <n v="-0.14346306458879299"/>
    <n v="-4.3770092415769568E-2"/>
    <n v="2.2178184890095265E-2"/>
    <m/>
    <s v="(Deuda a corto plazo+Deuda a largo plazo)/EBITDA"/>
  </r>
  <r>
    <s v="INDICADORES ESTRATEGICOS"/>
    <s v="Endeudamiento"/>
    <m/>
    <n v="-8.0749886989040301E-2"/>
    <n v="-6.24033695011613E-2"/>
    <n v="-8.3424490630808493E-2"/>
    <n v="-4.7983004838900035E-2"/>
    <n v="-8.7966559272606867E-2"/>
    <n v="-0.1236706569294907"/>
    <n v="-8.9385899811042668E-2"/>
    <n v="-0.10487226508256403"/>
    <n v="-7.1434526018225378E-2"/>
    <n v="-7.6255696736430928E-2"/>
    <n v="-7.5794274680694537E-2"/>
    <n v="1.8346517487879001E-2"/>
    <n v="-2.1021121129647193E-2"/>
    <n v="3.5441485791908457E-2"/>
    <n v="-3.9983554433706832E-2"/>
    <n v="-3.5704097656883829E-2"/>
    <n v="-0.2272017729308905"/>
    <n v="0.33685875134123955"/>
    <n v="-0.42483310984484446"/>
    <n v="0.83328575540337946"/>
    <n v="0.40588262121560814"/>
    <n v="-0.27722628770376034"/>
    <n v="0.17325288780734738"/>
    <n v="-0.31884253704269405"/>
    <n v="6.7490763737628745E-2"/>
    <n v="-6.0509847196235089E-3"/>
    <m/>
    <s v="(Deuda a corto plazo+Deuda a largo plazo-Efectivo y equivalente de efectivo)/EBITDA"/>
  </r>
  <r>
    <s v="INDICADORES ESTRATEGICOS"/>
    <s v="UODI "/>
    <m/>
    <n v="397459"/>
    <n v="336425"/>
    <n v="272349"/>
    <n v="234673"/>
    <n v="181828"/>
    <n v="131218"/>
    <n v="97613.333963205994"/>
    <n v="118566.72370561327"/>
    <n v="165841.70413093391"/>
    <n v="162657.09343671185"/>
    <n v="166585.23977673083"/>
    <n v="-61034"/>
    <n v="-64076"/>
    <n v="-37676"/>
    <n v="-52845"/>
    <n v="-50610"/>
    <n v="-0.15356049303198571"/>
    <n v="-0.19046146986698376"/>
    <n v="-0.13833720703949715"/>
    <n v="-0.2251856839090991"/>
    <n v="-0.27833996964163932"/>
    <n v="-0.25609798988548826"/>
    <n v="0.21465704419342302"/>
    <n v="0.39872047525491761"/>
    <n v="-1.9202713279572792E-2"/>
    <n v="2.4149861878279388E-2"/>
    <m/>
    <s v="Resultados de la operación antes de otros gastos, neto+Impuestos a la utilidad"/>
  </r>
  <r>
    <s v="INDICADORES ESTRATEGICOS"/>
    <s v="Activo de operación inicial"/>
    <m/>
    <n v="3432871"/>
    <n v="3166508"/>
    <n v="2869547"/>
    <n v="2960858"/>
    <n v="2895399"/>
    <n v="2690179"/>
    <n v="2653933.5664300588"/>
    <n v="2565339.2489266815"/>
    <n v="2502349.0658104895"/>
    <n v="2430869.6473678388"/>
    <n v="2362210.725561745"/>
    <n v="-266363"/>
    <n v="-296961"/>
    <n v="91311"/>
    <n v="-65459"/>
    <n v="-205220"/>
    <n v="-7.7591904851653348E-2"/>
    <n v="-9.3781856859354251E-2"/>
    <n v="3.1820702013244606E-2"/>
    <n v="-2.2108118660199128E-2"/>
    <n v="-7.087796880499031E-2"/>
    <n v="-1.3473242326975665E-2"/>
    <n v="-3.3382266468165667E-2"/>
    <n v="-2.4554328688709104E-2"/>
    <n v="-2.8564927019683828E-2"/>
    <n v="-2.8244592169077487E-2"/>
    <m/>
    <s v="Otros inversiones y cuentas por cobrar+Crédito mercantil  activos intangibles  y activos diferidos neto+Propiedades  maquinaria y equipo neto+KTNO"/>
  </r>
  <r>
    <s v="INDICADORES ESTRATEGICOS"/>
    <s v="Rentabilidad del activo neto"/>
    <m/>
    <n v="0.11641187166251543"/>
    <n v="0.10706353608654572"/>
    <n v="9.5605366557621974E-2"/>
    <n v="7.9612996289953566E-2"/>
    <n v="6.3023555672633E-2"/>
    <n v="4.8854878842000349E-2"/>
    <n v="3.6840397948729092E-2"/>
    <n v="4.6296440608611426E-2"/>
    <n v="6.6388648939135333E-2"/>
    <n v="6.7031867725023633E-2"/>
    <n v="7.0649690791490194E-2"/>
    <n v="-9.3483355759697156E-3"/>
    <n v="-1.1458169528923742E-2"/>
    <n v="-1.5992370267668407E-2"/>
    <n v="-1.6589440617320567E-2"/>
    <n v="-1.4168676830632651E-2"/>
    <n v="-8.030397108527787E-2"/>
    <n v="-0.10702214729449466"/>
    <n v="-0.16727481775857955"/>
    <n v="-0.20837603645642466"/>
    <n v="-0.22481557378688455"/>
    <n v="-0.24592182353223757"/>
    <n v="0.25667590977280819"/>
    <n v="0.43399034712803886"/>
    <n v="9.6886861860676632E-3"/>
    <n v="5.3971688232043569E-2"/>
    <m/>
    <s v="UODI /(KTNO+Propiedades  maquinaria y equipo neto+Crédito mercantil  activos intangibles  y activos diferidos neto)"/>
  </r>
  <r>
    <s v="INDICADORES ESTRATEGICOS"/>
    <s v="ROIC"/>
    <m/>
    <n v="0.19725457832962734"/>
    <n v="0.10484618812412297"/>
    <n v="8.722839766278849E-2"/>
    <n v="7.9749365398699229E-2"/>
    <n v="5.6513344398610076E-2"/>
    <n v="4.236584684242569E-2"/>
    <n v="3.1692906057573106E-2"/>
    <n v="4.0595380526701912E-2"/>
    <n v="6.1809005160629586E-2"/>
    <n v="6.2279654598470187E-2"/>
    <n v="6.4928551231943493E-2"/>
    <n v="-9.240839020550437E-2"/>
    <n v="-1.7617790461334479E-2"/>
    <n v="-7.4790322640892609E-3"/>
    <n v="-2.3236021000089153E-2"/>
    <n v="-1.4147497556184385E-2"/>
    <n v="-0.46847272690970421"/>
    <n v="-0.16803463031462351"/>
    <n v="-8.5740796168262134E-2"/>
    <n v="-0.29136308337907035"/>
    <n v="-0.25033906074283474"/>
    <n v="-0.25192322543555457"/>
    <n v="0.28089801714480322"/>
    <n v="0.52256252703369177"/>
    <n v="7.6145771415907504E-3"/>
    <n v="4.2532294865013087E-2"/>
    <m/>
    <s v="(Resultados de la operación+Impuestos a la utilidad)/((Total del Activo Circulante-Efectivo y equivalente de efectivo+Total del Activo no Circulante-Activos por Impuestos diferidos)-(Total del Pasivo Circulante-Deuda a corto plazo+Total del Pasivo a largo plazo-Pasivos por Impuestos diferidos-Deuda a largo plazo))"/>
  </r>
  <r>
    <s v="INDICADORES ESTRATEGICOS"/>
    <s v="ROE"/>
    <m/>
    <n v="0.19448238890292119"/>
    <n v="0.19515422936000509"/>
    <n v="7.251664053037063E-2"/>
    <n v="9.4828656547104942E-2"/>
    <n v="2.9872751604781454E-2"/>
    <n v="4.1352107701563189E-2"/>
    <n v="3.4355447342325957E-2"/>
    <n v="4.7307699697348979E-2"/>
    <n v="7.8904832594212965E-2"/>
    <n v="7.8904098483110779E-2"/>
    <n v="7.9198164101525331E-2"/>
    <n v="6.7184045708390538E-4"/>
    <n v="-0.12263758882963446"/>
    <n v="2.2312016016734312E-2"/>
    <n v="-6.4955904942323492E-2"/>
    <n v="1.1479356096781735E-2"/>
    <n v="3.4545053712768947E-3"/>
    <n v="-0.6284136871223136"/>
    <n v="0.30768132463871978"/>
    <n v="-0.68498181148498571"/>
    <n v="0.38427514976371779"/>
    <n v="-0.16919718844156384"/>
    <n v="0.37700723922944901"/>
    <n v="0.66790676991286091"/>
    <n v="-9.3037533703821396E-6"/>
    <n v="3.7268738135003421E-3"/>
    <m/>
    <s v="UTILIDAD NETA DE LA PARTICIPACIÓN CONTROLADORA/Total del capital contable"/>
  </r>
  <r>
    <s v="INDICADORES ESTRATEGICOS"/>
    <s v="ROA"/>
    <m/>
    <n v="6.884294082441679E-2"/>
    <n v="7.8473796908098303E-2"/>
    <n v="2.9869593641399718E-2"/>
    <n v="4.242307064249088E-2"/>
    <n v="1.3993671502849584E-2"/>
    <n v="2.0590718296360531E-2"/>
    <n v="1.7150223527692226E-2"/>
    <n v="2.3467830633698433E-2"/>
    <n v="4.4567789528225557E-2"/>
    <n v="4.4425688100645296E-2"/>
    <n v="4.4309836233048107E-2"/>
    <n v="9.6308560836815132E-3"/>
    <n v="-4.8604203266698585E-2"/>
    <n v="1.2553477001091162E-2"/>
    <n v="-2.8429399139641296E-2"/>
    <n v="6.5970467935109467E-3"/>
    <n v="0.13989605859873011"/>
    <n v="-0.61936856863979206"/>
    <n v="0.42027612266180436"/>
    <n v="-0.67014006079905153"/>
    <n v="0.4714307315394366"/>
    <n v="-0.16708959440605931"/>
    <n v="0.36836879098428388"/>
    <n v="0.89910137941036683"/>
    <n v="-3.1884333749661042E-3"/>
    <n v="-2.6077675450907334E-3"/>
    <m/>
    <s v="UTILIDAD NETA DE LA PARTICIPACIÓN CONTROLADORA/Total del Activo"/>
  </r>
  <r>
    <s v="INDICADORES ESTRATEGICOS"/>
    <s v="Capex"/>
    <m/>
    <n v="-92311"/>
    <n v="-134401"/>
    <n v="-186628"/>
    <n v="-187408"/>
    <n v="-68878"/>
    <n v="-2950"/>
    <n v="-44914.386591802584"/>
    <n v="-45560.113416219901"/>
    <n v="-46137.573475246136"/>
    <n v="-46786.148721475089"/>
    <n v="-47342.903273609474"/>
    <n v="-42090"/>
    <n v="-52227"/>
    <n v="-780"/>
    <n v="118530"/>
    <n v="65928"/>
    <n v="0.45595866148129693"/>
    <n v="0.38859085869896792"/>
    <n v="4.1794371691279419E-3"/>
    <n v="-0.63247033210962178"/>
    <n v="-0.95717064955428444"/>
    <n v="14.225215793831385"/>
    <n v="1.4376837209999271E-2"/>
    <n v="1.2674684405431069E-2"/>
    <n v="1.4057419958960926E-2"/>
    <n v="1.1899986798418194E-2"/>
    <m/>
    <m/>
  </r>
  <r>
    <s v="INDICADORES ESTRATEGICOS"/>
    <s v="Capex/Ingresos"/>
    <m/>
    <n v="5.2745646574284218E-2"/>
    <n v="7.792672391300566E-2"/>
    <n v="0.13077814636826254"/>
    <n v="0.14248026724933591"/>
    <n v="5.7091324734573165E-2"/>
    <n v="2.6616645418463289E-3"/>
    <n v="4.4048279369999679E-2"/>
    <n v="4.4048279369999679E-2"/>
    <n v="4.3999999999999997E-2"/>
    <n v="4.4048279369999679E-2"/>
    <n v="4.4048279369999679E-2"/>
    <n v="2.5181077338721443E-2"/>
    <n v="5.2851422455256883E-2"/>
    <n v="1.1702120881073363E-2"/>
    <n v="-8.5388942514762742E-2"/>
    <n v="-5.4429660192726839E-2"/>
    <n v="0.47740579505946013"/>
    <n v="0.67821948365567297"/>
    <n v="8.9480706112173847E-2"/>
    <n v="-0.59930363806333142"/>
    <n v="-0.95337882674432872"/>
    <n v="15.549147601990637"/>
    <n v="0"/>
    <n v="-1.0960557526922265E-3"/>
    <n v="1.0972584090835902E-3"/>
    <n v="0"/>
    <m/>
    <m/>
  </r>
</pivotCacheRecords>
</file>

<file path=xl/pivotCache/pivotCacheRecords7.xml><?xml version="1.0" encoding="utf-8"?>
<pivotCacheRecords xmlns="http://schemas.openxmlformats.org/spreadsheetml/2006/main" xmlns:r="http://schemas.openxmlformats.org/officeDocument/2006/relationships" count="130">
  <r>
    <s v="INDICADORES ESTRATEGICOS"/>
    <x v="0"/>
    <x v="0"/>
    <n v="-55742"/>
    <x v="0"/>
  </r>
  <r>
    <s v="INDICADORES ESTRATEGICOS"/>
    <x v="0"/>
    <x v="1"/>
    <n v="-127168"/>
    <x v="0"/>
  </r>
  <r>
    <s v="INDICADORES ESTRATEGICOS"/>
    <x v="0"/>
    <x v="2"/>
    <n v="-26122"/>
    <x v="0"/>
  </r>
  <r>
    <s v="INDICADORES ESTRATEGICOS"/>
    <x v="0"/>
    <x v="3"/>
    <n v="-113323"/>
    <x v="0"/>
  </r>
  <r>
    <s v="INDICADORES ESTRATEGICOS"/>
    <x v="0"/>
    <x v="4"/>
    <n v="-71601"/>
    <x v="0"/>
  </r>
  <r>
    <s v="INDICADORES ESTRATEGICOS"/>
    <x v="0"/>
    <x v="5"/>
    <n v="-8.8104292519780913E-2"/>
    <x v="1"/>
  </r>
  <r>
    <s v="INDICADORES ESTRATEGICOS"/>
    <x v="0"/>
    <x v="6"/>
    <n v="-0.22041806773667971"/>
    <x v="1"/>
  </r>
  <r>
    <s v="INDICADORES ESTRATEGICOS"/>
    <x v="0"/>
    <x v="7"/>
    <n v="-5.8078315235274736E-2"/>
    <x v="1"/>
  </r>
  <r>
    <s v="INDICADORES ESTRATEGICOS"/>
    <x v="0"/>
    <x v="8"/>
    <n v="-0.26749203351823436"/>
    <x v="1"/>
  </r>
  <r>
    <s v="INDICADORES ESTRATEGICOS"/>
    <x v="0"/>
    <x v="4"/>
    <n v="-0.22795025914653555"/>
    <x v="1"/>
  </r>
  <r>
    <s v="INDICADORES ESTRATEGICOS"/>
    <x v="1"/>
    <x v="0"/>
    <n v="-2.69944003865078E-2"/>
    <x v="0"/>
  </r>
  <r>
    <s v="INDICADORES ESTRATEGICOS"/>
    <x v="1"/>
    <x v="1"/>
    <n v="-1.9339912536913639E-2"/>
    <x v="0"/>
  </r>
  <r>
    <s v="INDICADORES ESTRATEGICOS"/>
    <x v="1"/>
    <x v="2"/>
    <n v="6.9131564353117625E-3"/>
    <x v="0"/>
  </r>
  <r>
    <s v="INDICADORES ESTRATEGICOS"/>
    <x v="1"/>
    <x v="3"/>
    <n v="-7.240706827114321E-2"/>
    <x v="0"/>
  </r>
  <r>
    <s v="INDICADORES ESTRATEGICOS"/>
    <x v="1"/>
    <x v="9"/>
    <n v="-4.1552435309644448E-2"/>
    <x v="0"/>
  </r>
  <r>
    <s v="INDICADORES ESTRATEGICOS"/>
    <x v="1"/>
    <x v="5"/>
    <n v="-7.4671528551204958E-2"/>
    <x v="1"/>
  </r>
  <r>
    <s v="INDICADORES ESTRATEGICOS"/>
    <x v="1"/>
    <x v="6"/>
    <n v="-5.7814921051652424E-2"/>
    <x v="1"/>
  </r>
  <r>
    <s v="INDICADORES ESTRATEGICOS"/>
    <x v="1"/>
    <x v="7"/>
    <n v="2.1934391639015116E-2"/>
    <x v="1"/>
  </r>
  <r>
    <s v="INDICADORES ESTRATEGICOS"/>
    <x v="1"/>
    <x v="8"/>
    <n v="-0.22480561661940213"/>
    <x v="1"/>
  </r>
  <r>
    <s v="INDICADORES ESTRATEGICOS"/>
    <x v="1"/>
    <x v="4"/>
    <n v="-0.15959816444225072"/>
    <x v="1"/>
  </r>
  <r>
    <s v="INDICADORES ESTRATEGICOS"/>
    <x v="2"/>
    <x v="0"/>
    <n v="-32124"/>
    <x v="0"/>
  </r>
  <r>
    <s v="INDICADORES ESTRATEGICOS"/>
    <x v="2"/>
    <x v="1"/>
    <n v="-53473"/>
    <x v="0"/>
  </r>
  <r>
    <s v="INDICADORES ESTRATEGICOS"/>
    <x v="2"/>
    <x v="2"/>
    <n v="-30451"/>
    <x v="0"/>
  </r>
  <r>
    <s v="INDICADORES ESTRATEGICOS"/>
    <x v="2"/>
    <x v="3"/>
    <n v="1587"/>
    <x v="0"/>
  </r>
  <r>
    <s v="INDICADORES ESTRATEGICOS"/>
    <x v="2"/>
    <x v="9"/>
    <n v="28227"/>
    <x v="0"/>
  </r>
  <r>
    <s v="INDICADORES ESTRATEGICOS"/>
    <x v="2"/>
    <x v="5"/>
    <n v="-0.59464662544889113"/>
    <x v="1"/>
  </r>
  <r>
    <s v="INDICADORES ESTRATEGICOS"/>
    <x v="2"/>
    <x v="6"/>
    <n v="-2.4419125034249705"/>
    <x v="1"/>
  </r>
  <r>
    <s v="INDICADORES ESTRATEGICOS"/>
    <x v="2"/>
    <x v="7"/>
    <n v="0.9644022169437847"/>
    <x v="1"/>
  </r>
  <r>
    <s v="INDICADORES ESTRATEGICOS"/>
    <x v="2"/>
    <x v="8"/>
    <n v="-2.5586044561957899E-2"/>
    <x v="1"/>
  </r>
  <r>
    <s v="INDICADORES ESTRATEGICOS"/>
    <x v="2"/>
    <x v="4"/>
    <n v="-0.46703287612303312"/>
    <x v="1"/>
  </r>
  <r>
    <s v="INDICADORES ESTRATEGICOS"/>
    <x v="3"/>
    <x v="0"/>
    <n v="-1.8171040941203857E-2"/>
    <x v="0"/>
  </r>
  <r>
    <s v="INDICADORES ESTRATEGICOS"/>
    <x v="3"/>
    <x v="1"/>
    <n v="-3.4822567480145637E-2"/>
    <x v="0"/>
  </r>
  <r>
    <s v="INDICADORES ESTRATEGICOS"/>
    <x v="3"/>
    <x v="2"/>
    <n v="-2.5030430138825367E-2"/>
    <x v="0"/>
  </r>
  <r>
    <s v="INDICADORES ESTRATEGICOS"/>
    <x v="3"/>
    <x v="3"/>
    <n v="-1.4711506655795889E-3"/>
    <x v="0"/>
  </r>
  <r>
    <s v="INDICADORES ESTRATEGICOS"/>
    <x v="3"/>
    <x v="9"/>
    <n v="2.1032867450063837E-2"/>
    <x v="0"/>
  </r>
  <r>
    <s v="INDICADORES ESTRATEGICOS"/>
    <x v="3"/>
    <x v="5"/>
    <n v="-0.58867553011469276"/>
    <x v="1"/>
  </r>
  <r>
    <s v="INDICADORES ESTRATEGICOS"/>
    <x v="3"/>
    <x v="6"/>
    <n v="-2.7426628166353999"/>
    <x v="1"/>
  </r>
  <r>
    <s v="INDICADORES ESTRATEGICOS"/>
    <x v="3"/>
    <x v="7"/>
    <n v="1.1312708019968918"/>
    <x v="1"/>
  </r>
  <r>
    <s v="INDICADORES ESTRATEGICOS"/>
    <x v="3"/>
    <x v="8"/>
    <n v="3.119728372543995E-2"/>
    <x v="1"/>
  </r>
  <r>
    <s v="INDICADORES ESTRATEGICOS"/>
    <x v="3"/>
    <x v="4"/>
    <n v="-0.41984754932629365"/>
    <x v="1"/>
  </r>
  <r>
    <s v="INDICADORES ESTRATEGICOS"/>
    <x v="4"/>
    <x v="0"/>
    <n v="-2.3035462048678707E-2"/>
    <x v="0"/>
  </r>
  <r>
    <s v="INDICADORES ESTRATEGICOS"/>
    <x v="4"/>
    <x v="1"/>
    <n v="7.1938533495080892E-3"/>
    <x v="0"/>
  </r>
  <r>
    <s v="INDICADORES ESTRATEGICOS"/>
    <x v="4"/>
    <x v="2"/>
    <n v="-1.3605193929019155E-2"/>
    <x v="0"/>
  </r>
  <r>
    <s v="INDICADORES ESTRATEGICOS"/>
    <x v="4"/>
    <x v="3"/>
    <n v="5.3583832625408195E-2"/>
    <x v="0"/>
  </r>
  <r>
    <s v="INDICADORES ESTRATEGICOS"/>
    <x v="4"/>
    <x v="9"/>
    <n v="4.1908982390501115E-2"/>
    <x v="0"/>
  </r>
  <r>
    <s v="INDICADORES ESTRATEGICOS"/>
    <x v="4"/>
    <x v="5"/>
    <n v="-0.12811063623953645"/>
    <x v="1"/>
  </r>
  <r>
    <s v="INDICADORES ESTRATEGICOS"/>
    <x v="4"/>
    <x v="6"/>
    <n v="4.5886872728998718E-2"/>
    <x v="1"/>
  </r>
  <r>
    <s v="INDICADORES ESTRATEGICOS"/>
    <x v="4"/>
    <x v="7"/>
    <n v="-8.2974931982464639E-2"/>
    <x v="1"/>
  </r>
  <r>
    <s v="INDICADORES ESTRATEGICOS"/>
    <x v="4"/>
    <x v="8"/>
    <n v="0.35636474610687729"/>
    <x v="1"/>
  </r>
  <r>
    <s v="INDICADORES ESTRATEGICOS"/>
    <x v="4"/>
    <x v="4"/>
    <n v="0.20810589731749585"/>
    <x v="1"/>
  </r>
  <r>
    <s v="INDICADORES ESTRATEGICOS"/>
    <x v="5"/>
    <x v="0"/>
    <n v="-1.3133694843326119E-2"/>
    <x v="0"/>
  </r>
  <r>
    <s v="INDICADORES ESTRATEGICOS"/>
    <x v="5"/>
    <x v="1"/>
    <n v="8.4926863169332498E-3"/>
    <x v="0"/>
  </r>
  <r>
    <s v="INDICADORES ESTRATEGICOS"/>
    <x v="5"/>
    <x v="2"/>
    <n v="2.2192413297264214E-2"/>
    <x v="0"/>
  </r>
  <r>
    <s v="INDICADORES ESTRATEGICOS"/>
    <x v="5"/>
    <x v="3"/>
    <n v="-1.5509875330065315E-3"/>
    <x v="0"/>
  </r>
  <r>
    <s v="INDICADORES ESTRATEGICOS"/>
    <x v="5"/>
    <x v="9"/>
    <n v="-2.6364713632906503E-2"/>
    <x v="0"/>
  </r>
  <r>
    <s v="INDICADORES ESTRATEGICOS"/>
    <x v="5"/>
    <x v="5"/>
    <n v="-0.32456262482873433"/>
    <x v="1"/>
  </r>
  <r>
    <s v="INDICADORES ESTRATEGICOS"/>
    <x v="5"/>
    <x v="6"/>
    <n v="0.31072169723454057"/>
    <x v="1"/>
  </r>
  <r>
    <s v="INDICADORES ESTRATEGICOS"/>
    <x v="5"/>
    <x v="7"/>
    <n v="0.61947037258965554"/>
    <x v="1"/>
  </r>
  <r>
    <s v="INDICADORES ESTRATEGICOS"/>
    <x v="5"/>
    <x v="8"/>
    <n v="-2.6733222196111184E-2"/>
    <x v="1"/>
  </r>
  <r>
    <s v="INDICADORES ESTRATEGICOS"/>
    <x v="5"/>
    <x v="4"/>
    <n v="-0.47259986702077239"/>
    <x v="1"/>
  </r>
  <r>
    <s v="INDICADORES ESTRATEGICOS"/>
    <x v="6"/>
    <x v="0"/>
    <n v="1.8346517487879001E-2"/>
    <x v="0"/>
  </r>
  <r>
    <s v="INDICADORES ESTRATEGICOS"/>
    <x v="6"/>
    <x v="1"/>
    <n v="-2.1021121129647193E-2"/>
    <x v="0"/>
  </r>
  <r>
    <s v="INDICADORES ESTRATEGICOS"/>
    <x v="6"/>
    <x v="2"/>
    <n v="3.5441485791908457E-2"/>
    <x v="0"/>
  </r>
  <r>
    <s v="INDICADORES ESTRATEGICOS"/>
    <x v="6"/>
    <x v="3"/>
    <n v="-4.1055332141124258E-2"/>
    <x v="0"/>
  </r>
  <r>
    <s v="INDICADORES ESTRATEGICOS"/>
    <x v="6"/>
    <x v="9"/>
    <n v="-3.9983554433706832E-2"/>
    <x v="0"/>
  </r>
  <r>
    <s v="INDICADORES ESTRATEGICOS"/>
    <x v="6"/>
    <x v="5"/>
    <n v="-0.2272017729308905"/>
    <x v="1"/>
  </r>
  <r>
    <s v="INDICADORES ESTRATEGICOS"/>
    <x v="6"/>
    <x v="6"/>
    <n v="0.33685875134123955"/>
    <x v="1"/>
  </r>
  <r>
    <s v="INDICADORES ESTRATEGICOS"/>
    <x v="6"/>
    <x v="7"/>
    <n v="-0.42483310984484446"/>
    <x v="1"/>
  </r>
  <r>
    <s v="INDICADORES ESTRATEGICOS"/>
    <x v="6"/>
    <x v="8"/>
    <n v="0.85562236627249577"/>
    <x v="1"/>
  </r>
  <r>
    <s v="INDICADORES ESTRATEGICOS"/>
    <x v="6"/>
    <x v="4"/>
    <n v="0.40588262121560814"/>
    <x v="1"/>
  </r>
  <r>
    <s v="INDICADORES ESTRATEGICOS"/>
    <x v="7"/>
    <x v="0"/>
    <n v="-61034"/>
    <x v="0"/>
  </r>
  <r>
    <s v="INDICADORES ESTRATEGICOS"/>
    <x v="7"/>
    <x v="1"/>
    <n v="-64076"/>
    <x v="0"/>
  </r>
  <r>
    <s v="INDICADORES ESTRATEGICOS"/>
    <x v="7"/>
    <x v="2"/>
    <n v="-37676"/>
    <x v="0"/>
  </r>
  <r>
    <s v="INDICADORES ESTRATEGICOS"/>
    <x v="7"/>
    <x v="3"/>
    <n v="-41159"/>
    <x v="0"/>
  </r>
  <r>
    <s v="INDICADORES ESTRATEGICOS"/>
    <x v="7"/>
    <x v="9"/>
    <n v="-50610"/>
    <x v="0"/>
  </r>
  <r>
    <s v="INDICADORES ESTRATEGICOS"/>
    <x v="7"/>
    <x v="5"/>
    <n v="-0.15356049303198571"/>
    <x v="1"/>
  </r>
  <r>
    <s v="INDICADORES ESTRATEGICOS"/>
    <x v="7"/>
    <x v="6"/>
    <n v="-0.19046146986698376"/>
    <x v="1"/>
  </r>
  <r>
    <s v="INDICADORES ESTRATEGICOS"/>
    <x v="7"/>
    <x v="7"/>
    <n v="-0.13833720703949715"/>
    <x v="1"/>
  </r>
  <r>
    <s v="INDICADORES ESTRATEGICOS"/>
    <x v="7"/>
    <x v="8"/>
    <n v="-0.17538873240636976"/>
    <x v="1"/>
  </r>
  <r>
    <s v="INDICADORES ESTRATEGICOS"/>
    <x v="7"/>
    <x v="4"/>
    <n v="-0.27833996964163932"/>
    <x v="1"/>
  </r>
  <r>
    <s v="INDICADORES ESTRATEGICOS"/>
    <x v="8"/>
    <x v="0"/>
    <n v="-266363"/>
    <x v="0"/>
  </r>
  <r>
    <s v="INDICADORES ESTRATEGICOS"/>
    <x v="8"/>
    <x v="1"/>
    <n v="-296961"/>
    <x v="0"/>
  </r>
  <r>
    <s v="INDICADORES ESTRATEGICOS"/>
    <x v="8"/>
    <x v="2"/>
    <n v="91311"/>
    <x v="0"/>
  </r>
  <r>
    <s v="INDICADORES ESTRATEGICOS"/>
    <x v="8"/>
    <x v="3"/>
    <n v="-65459"/>
    <x v="0"/>
  </r>
  <r>
    <s v="INDICADORES ESTRATEGICOS"/>
    <x v="8"/>
    <x v="9"/>
    <n v="-205220"/>
    <x v="0"/>
  </r>
  <r>
    <s v="INDICADORES ESTRATEGICOS"/>
    <x v="8"/>
    <x v="5"/>
    <n v="-7.7591904851653348E-2"/>
    <x v="1"/>
  </r>
  <r>
    <s v="INDICADORES ESTRATEGICOS"/>
    <x v="8"/>
    <x v="6"/>
    <n v="-9.3781856859354251E-2"/>
    <x v="1"/>
  </r>
  <r>
    <s v="INDICADORES ESTRATEGICOS"/>
    <x v="8"/>
    <x v="7"/>
    <n v="3.1820702013244606E-2"/>
    <x v="1"/>
  </r>
  <r>
    <s v="INDICADORES ESTRATEGICOS"/>
    <x v="8"/>
    <x v="8"/>
    <n v="-2.2108118660199128E-2"/>
    <x v="1"/>
  </r>
  <r>
    <s v="INDICADORES ESTRATEGICOS"/>
    <x v="8"/>
    <x v="4"/>
    <n v="-7.087796880499031E-2"/>
    <x v="1"/>
  </r>
  <r>
    <s v="INDICADORES ESTRATEGICOS"/>
    <x v="9"/>
    <x v="0"/>
    <n v="-9.3483355759697156E-3"/>
    <x v="0"/>
  </r>
  <r>
    <s v="INDICADORES ESTRATEGICOS"/>
    <x v="9"/>
    <x v="1"/>
    <n v="-1.1458169528923742E-2"/>
    <x v="0"/>
  </r>
  <r>
    <s v="INDICADORES ESTRATEGICOS"/>
    <x v="9"/>
    <x v="2"/>
    <n v="-1.5992370267668407E-2"/>
    <x v="0"/>
  </r>
  <r>
    <s v="INDICADORES ESTRATEGICOS"/>
    <x v="9"/>
    <x v="3"/>
    <n v="-1.2538946350263855E-2"/>
    <x v="0"/>
  </r>
  <r>
    <s v="INDICADORES ESTRATEGICOS"/>
    <x v="9"/>
    <x v="9"/>
    <n v="-1.4168676830632651E-2"/>
    <x v="0"/>
  </r>
  <r>
    <s v="INDICADORES ESTRATEGICOS"/>
    <x v="9"/>
    <x v="5"/>
    <n v="-8.030397108527787E-2"/>
    <x v="1"/>
  </r>
  <r>
    <s v="INDICADORES ESTRATEGICOS"/>
    <x v="9"/>
    <x v="6"/>
    <n v="-0.10702214729449466"/>
    <x v="1"/>
  </r>
  <r>
    <s v="INDICADORES ESTRATEGICOS"/>
    <x v="9"/>
    <x v="7"/>
    <n v="-0.16727481775857955"/>
    <x v="1"/>
  </r>
  <r>
    <s v="INDICADORES ESTRATEGICOS"/>
    <x v="9"/>
    <x v="8"/>
    <n v="-0.15749873682176885"/>
    <x v="1"/>
  </r>
  <r>
    <s v="INDICADORES ESTRATEGICOS"/>
    <x v="9"/>
    <x v="4"/>
    <n v="-0.22481557378688455"/>
    <x v="1"/>
  </r>
  <r>
    <s v="INDICADORES ESTRATEGICOS"/>
    <x v="10"/>
    <x v="0"/>
    <n v="-2.3452664392220962E-2"/>
    <x v="0"/>
  </r>
  <r>
    <s v="INDICADORES ESTRATEGICOS"/>
    <x v="10"/>
    <x v="1"/>
    <n v="-6.613894030668567E-2"/>
    <x v="0"/>
  </r>
  <r>
    <s v="INDICADORES ESTRATEGICOS"/>
    <x v="10"/>
    <x v="2"/>
    <n v="-1.7893690687942748E-3"/>
    <x v="0"/>
  </r>
  <r>
    <s v="INDICADORES ESTRATEGICOS"/>
    <x v="10"/>
    <x v="3"/>
    <n v="-4.6778874519668216E-2"/>
    <x v="0"/>
  </r>
  <r>
    <s v="INDICADORES ESTRATEGICOS"/>
    <x v="10"/>
    <x v="9"/>
    <n v="-1.4147497556184385E-2"/>
    <x v="0"/>
  </r>
  <r>
    <s v="INDICADORES ESTRATEGICOS"/>
    <x v="10"/>
    <x v="5"/>
    <n v="-0.11889541216645316"/>
    <x v="1"/>
  </r>
  <r>
    <s v="INDICADORES ESTRATEGICOS"/>
    <x v="10"/>
    <x v="6"/>
    <n v="-0.38054207119091432"/>
    <x v="1"/>
  </r>
  <r>
    <s v="INDICADORES ESTRATEGICOS"/>
    <x v="10"/>
    <x v="7"/>
    <n v="-1.66200970347683E-2"/>
    <x v="1"/>
  </r>
  <r>
    <s v="INDICADORES ESTRATEGICOS"/>
    <x v="10"/>
    <x v="8"/>
    <n v="-0.44183698772914481"/>
    <x v="1"/>
  </r>
  <r>
    <s v="INDICADORES ESTRATEGICOS"/>
    <x v="10"/>
    <x v="4"/>
    <n v="-0.25033906074283474"/>
    <x v="1"/>
  </r>
  <r>
    <s v="INDICADORES ESTRATEGICOS"/>
    <x v="11"/>
    <x v="0"/>
    <n v="6.7184045708390538E-4"/>
    <x v="0"/>
  </r>
  <r>
    <s v="INDICADORES ESTRATEGICOS"/>
    <x v="11"/>
    <x v="1"/>
    <n v="-0.12263758882963446"/>
    <x v="0"/>
  </r>
  <r>
    <s v="INDICADORES ESTRATEGICOS"/>
    <x v="11"/>
    <x v="2"/>
    <n v="2.2312016016734312E-2"/>
    <x v="0"/>
  </r>
  <r>
    <s v="INDICADORES ESTRATEGICOS"/>
    <x v="11"/>
    <x v="3"/>
    <n v="-6.4955904942323492E-2"/>
    <x v="0"/>
  </r>
  <r>
    <s v="INDICADORES ESTRATEGICOS"/>
    <x v="11"/>
    <x v="9"/>
    <n v="1.1479356096781735E-2"/>
    <x v="0"/>
  </r>
  <r>
    <s v="INDICADORES ESTRATEGICOS"/>
    <x v="11"/>
    <x v="5"/>
    <n v="3.4545053712768947E-3"/>
    <x v="1"/>
  </r>
  <r>
    <s v="INDICADORES ESTRATEGICOS"/>
    <x v="11"/>
    <x v="6"/>
    <n v="-0.6284136871223136"/>
    <x v="1"/>
  </r>
  <r>
    <s v="INDICADORES ESTRATEGICOS"/>
    <x v="11"/>
    <x v="7"/>
    <n v="0.30768132463871978"/>
    <x v="1"/>
  </r>
  <r>
    <s v="INDICADORES ESTRATEGICOS"/>
    <x v="11"/>
    <x v="8"/>
    <n v="-0.68498181148498571"/>
    <x v="1"/>
  </r>
  <r>
    <s v="INDICADORES ESTRATEGICOS"/>
    <x v="11"/>
    <x v="4"/>
    <n v="0.38427514976371779"/>
    <x v="1"/>
  </r>
  <r>
    <s v="INDICADORES ESTRATEGICOS"/>
    <x v="12"/>
    <x v="0"/>
    <n v="9.6308560836815132E-3"/>
    <x v="0"/>
  </r>
  <r>
    <s v="INDICADORES ESTRATEGICOS"/>
    <x v="12"/>
    <x v="1"/>
    <n v="-4.8604203266698585E-2"/>
    <x v="0"/>
  </r>
  <r>
    <s v="INDICADORES ESTRATEGICOS"/>
    <x v="12"/>
    <x v="2"/>
    <n v="1.2553477001091162E-2"/>
    <x v="0"/>
  </r>
  <r>
    <s v="INDICADORES ESTRATEGICOS"/>
    <x v="12"/>
    <x v="3"/>
    <n v="-2.8429399139641296E-2"/>
    <x v="0"/>
  </r>
  <r>
    <s v="INDICADORES ESTRATEGICOS"/>
    <x v="12"/>
    <x v="9"/>
    <n v="6.5970467935109467E-3"/>
    <x v="0"/>
  </r>
  <r>
    <s v="INDICADORES ESTRATEGICOS"/>
    <x v="12"/>
    <x v="5"/>
    <n v="0.13989605859873011"/>
    <x v="1"/>
  </r>
  <r>
    <s v="INDICADORES ESTRATEGICOS"/>
    <x v="12"/>
    <x v="6"/>
    <n v="-0.61936856863979206"/>
    <x v="1"/>
  </r>
  <r>
    <s v="INDICADORES ESTRATEGICOS"/>
    <x v="12"/>
    <x v="7"/>
    <n v="0.42027612266180436"/>
    <x v="1"/>
  </r>
  <r>
    <s v="INDICADORES ESTRATEGICOS"/>
    <x v="12"/>
    <x v="8"/>
    <n v="-0.67014006079905153"/>
    <x v="1"/>
  </r>
  <r>
    <s v="INDICADORES ESTRATEGICOS"/>
    <x v="12"/>
    <x v="4"/>
    <n v="0.4714307315394366"/>
    <x v="1"/>
  </r>
</pivotCacheRecords>
</file>

<file path=xl/pivotCache/pivotCacheRecords8.xml><?xml version="1.0" encoding="utf-8"?>
<pivotCacheRecords xmlns="http://schemas.openxmlformats.org/spreadsheetml/2006/main" xmlns:r="http://schemas.openxmlformats.org/officeDocument/2006/relationships" count="27">
  <r>
    <x v="0"/>
    <x v="0"/>
    <x v="0"/>
    <n v="4.3999999999999997E-2"/>
    <n v="0.03"/>
    <n v="1.2999999999999999E-2"/>
    <n v="1.7000000000000001E-2"/>
    <n v="2.8000000000000001E-2"/>
  </r>
  <r>
    <x v="0"/>
    <x v="1"/>
    <x v="1"/>
    <n v="0.13600000000000001"/>
    <n v="7.0000000000000007E-2"/>
    <n v="-1.2999999999999999E-2"/>
    <n v="4.0000000000000001E-3"/>
    <n v="4.2000000000000003E-2"/>
  </r>
  <r>
    <x v="0"/>
    <x v="2"/>
    <x v="2"/>
    <n v="3.6600000000000001E-2"/>
    <n v="6.7699999999999996E-2"/>
    <n v="5.7500000000000002E-2"/>
    <n v="4.0899999999999999E-2"/>
    <n v="3.1800000000000002E-2"/>
  </r>
  <r>
    <x v="0"/>
    <x v="3"/>
    <x v="3"/>
    <n v="0.2417"/>
    <n v="0.316"/>
    <n v="-4.7E-2"/>
    <n v="-5.5999999999999999E-3"/>
    <n v="8.9058310991957157E-2"/>
  </r>
  <r>
    <x v="0"/>
    <x v="4"/>
    <x v="4"/>
    <n v="993323"/>
    <n v="724709"/>
    <n v="665072"/>
    <n v="565645"/>
    <n v="524330"/>
  </r>
  <r>
    <x v="1"/>
    <x v="0"/>
    <x v="5"/>
    <n v="3.5000000000000003E-2"/>
    <n v="3.5999999999999997E-2"/>
    <n v="4.2000000000000003E-2"/>
    <n v="3.2000000000000001E-2"/>
    <n v="1.9E-2"/>
  </r>
  <r>
    <x v="1"/>
    <x v="1"/>
    <x v="6"/>
    <n v="2.1000000000000001E-2"/>
    <n v="9.4E-2"/>
    <n v="-3.4000000000000002E-2"/>
    <n v="-5.5E-2"/>
    <n v="0.218"/>
  </r>
  <r>
    <x v="1"/>
    <x v="2"/>
    <x v="7"/>
    <n v="5.1299999999999998E-2"/>
    <n v="-8.0999999999999996E-3"/>
    <n v="7.7000000000000002E-3"/>
    <n v="2.5700000000000001E-2"/>
    <n v="2.0299999999999999E-2"/>
  </r>
  <r>
    <x v="1"/>
    <x v="3"/>
    <x v="8"/>
    <n v="7.3999999999999996E-2"/>
    <n v="-1.1999999999999999E-3"/>
    <n v="2.98E-2"/>
    <n v="2.0400000000000001E-2"/>
    <n v="6.8400000000000002E-2"/>
  </r>
  <r>
    <x v="1"/>
    <x v="4"/>
    <x v="9"/>
    <n v="152503"/>
    <n v="166931"/>
    <n v="132528"/>
    <n v="128794"/>
    <n v="124780"/>
  </r>
  <r>
    <x v="2"/>
    <x v="0"/>
    <x v="10"/>
    <n v="4.1000000000000002E-2"/>
    <n v="0.04"/>
    <n v="0.03"/>
    <n v="2.9000000000000001E-2"/>
    <n v="3.5000000000000003E-2"/>
  </r>
  <r>
    <x v="2"/>
    <x v="1"/>
    <x v="11"/>
    <n v="5.6000000000000001E-2"/>
    <n v="3.9E-2"/>
    <n v="4.2999999999999997E-2"/>
    <n v="5.2999999999999999E-2"/>
    <m/>
  </r>
  <r>
    <x v="2"/>
    <x v="2"/>
    <x v="12"/>
    <n v="2.9499999999999998E-2"/>
    <n v="3.0700000000000002E-2"/>
    <n v="4.2299999999999997E-2"/>
    <n v="5.6800000000000003E-2"/>
    <n v="2.3099999999999999E-2"/>
  </r>
  <r>
    <x v="3"/>
    <x v="4"/>
    <x v="13"/>
    <n v="263640"/>
    <n v="250891"/>
    <n v="261425"/>
    <n v="245933"/>
    <n v="237391"/>
  </r>
  <r>
    <x v="4"/>
    <x v="0"/>
    <x v="14"/>
    <n v="4.8000000000000001E-2"/>
    <n v="4.8000000000000001E-2"/>
    <n v="4.7E-2"/>
    <n v="4.9000000000000002E-2"/>
    <n v="-4.3999999999999997E-2"/>
  </r>
  <r>
    <x v="4"/>
    <x v="1"/>
    <x v="15"/>
    <n v="0.2903"/>
    <n v="0.21310000000000001"/>
    <n v="-5.0900000000000001E-2"/>
    <n v="4.9399999999999999E-2"/>
    <n v="-7.7700000000000005E-2"/>
  </r>
  <r>
    <x v="4"/>
    <x v="2"/>
    <x v="16"/>
    <n v="6.4799999999999996E-2"/>
    <n v="3.0499999999999999E-2"/>
    <n v="3.1300000000000001E-2"/>
    <n v="5.6800000000000003E-2"/>
    <n v="3.8899999999999997E-2"/>
  </r>
  <r>
    <x v="3"/>
    <x v="4"/>
    <x v="13"/>
    <n v="263640"/>
    <n v="250891"/>
    <n v="261425"/>
    <n v="245933"/>
    <n v="237391"/>
  </r>
  <r>
    <x v="5"/>
    <x v="0"/>
    <x v="17"/>
    <n v="6.3E-2"/>
    <n v="5.2999999999999999E-2"/>
    <n v="4.4999999999999998E-2"/>
    <n v="4.9000000000000002E-2"/>
    <n v="0.04"/>
  </r>
  <r>
    <x v="5"/>
    <x v="1"/>
    <x v="18"/>
    <n v="0.21199999999999999"/>
    <n v="0.122"/>
    <n v="8.4000000000000005E-2"/>
    <n v="0.06"/>
    <n v="2.1000000000000001E-2"/>
  </r>
  <r>
    <x v="5"/>
    <x v="2"/>
    <x v="19"/>
    <n v="1.9E-2"/>
    <n v="0"/>
    <n v="1.4999999999999999E-2"/>
    <n v="5.0000000000000001E-3"/>
    <n v="2E-3"/>
  </r>
  <r>
    <x v="5"/>
    <x v="4"/>
    <x v="20"/>
    <n v="315244"/>
    <n v="284527"/>
    <n v="256301"/>
    <n v="266081"/>
    <n v="221828"/>
  </r>
  <r>
    <x v="3"/>
    <x v="4"/>
    <x v="13"/>
    <n v="263640"/>
    <n v="250891"/>
    <n v="261425"/>
    <n v="245933"/>
    <n v="237391"/>
  </r>
  <r>
    <x v="6"/>
    <x v="0"/>
    <x v="21"/>
    <n v="8.9999999999999993E-3"/>
    <n v="2.4E-2"/>
    <n v="3.2000000000000001E-2"/>
    <n v="2.4E-2"/>
    <n v="2.1000000000000001E-2"/>
  </r>
  <r>
    <x v="6"/>
    <x v="1"/>
    <x v="22"/>
    <n v="-0.152"/>
    <n v="6.6000000000000003E-2"/>
    <n v="0.10299999999999999"/>
    <n v="2.1999999999999999E-2"/>
    <n v="4.7E-2"/>
  </r>
  <r>
    <x v="6"/>
    <x v="2"/>
    <x v="23"/>
    <n v="1.0999999999999999E-2"/>
    <n v="-7.0000000000000001E-3"/>
    <n v="6.0000000000000001E-3"/>
    <n v="0.01"/>
    <n v="4.0000000000000001E-3"/>
  </r>
  <r>
    <x v="3"/>
    <x v="4"/>
    <x v="13"/>
    <n v="263640"/>
    <n v="250891"/>
    <n v="261425"/>
    <n v="245933"/>
    <n v="237391"/>
  </r>
</pivotCacheRecords>
</file>

<file path=xl/pivotCache/pivotCacheRecords9.xml><?xml version="1.0" encoding="utf-8"?>
<pivotCacheRecords xmlns="http://schemas.openxmlformats.org/spreadsheetml/2006/main" xmlns:r="http://schemas.openxmlformats.org/officeDocument/2006/relationships" count="21">
  <r>
    <x v="0"/>
    <s v="CEMEX ESPAÑA S.A."/>
    <n v="407890342"/>
    <n v="0.73219999999999996"/>
  </r>
  <r>
    <x v="1"/>
    <s v="FONDO DE PENSIONES OBLIGATORIAS PORVENIR MODERADO"/>
    <n v="21064552"/>
    <n v="3.78E-2"/>
  </r>
  <r>
    <x v="1"/>
    <s v="FDO DE PENSIONES OBLIGATORIAS PROTECCION MODERADO"/>
    <n v="17596061"/>
    <n v="3.1600000000000003E-2"/>
  </r>
  <r>
    <x v="2"/>
    <s v="NORGES BANK-CB NEW YORK"/>
    <n v="13302569"/>
    <n v="2.3900000000000001E-2"/>
  </r>
  <r>
    <x v="2"/>
    <s v="FONDO BURSATIL ISHARES COLCAP"/>
    <n v="6959475"/>
    <n v="1.2500000000000001E-2"/>
  </r>
  <r>
    <x v="2"/>
    <s v="INVERSIONES ODISEA"/>
    <n v="6059041"/>
    <n v="1.09E-2"/>
  </r>
  <r>
    <x v="1"/>
    <s v="FONDO DE PENSIONES OBLIGATORIAS COLFONDOS MODERADO"/>
    <n v="5900179"/>
    <n v="1.06E-2"/>
  </r>
  <r>
    <x v="2"/>
    <s v="BANCARD INTERNATIONAL INVESTMENT INC"/>
    <n v="4330666"/>
    <n v="7.7999999999999996E-3"/>
  </r>
  <r>
    <x v="1"/>
    <s v="OLD MUTUAL FONDO DE PENS. OBLIGATORIAS - MODERADO"/>
    <n v="3766068"/>
    <n v="6.7999999999999996E-3"/>
  </r>
  <r>
    <x v="1"/>
    <s v="FONDO BURSATIL HORIZONS COLOMBIA SELECT DE S&amp;P"/>
    <n v="3092647"/>
    <n v="5.5999999999999999E-3"/>
  </r>
  <r>
    <x v="2"/>
    <s v="VANGUARD EMERGING MARKERTS STOCK INDEX FUND"/>
    <n v="2714977"/>
    <n v="4.8999999999999998E-3"/>
  </r>
  <r>
    <x v="2"/>
    <s v="CARMIGNAC PORTFOLIO EMERGING DISCOVERY"/>
    <n v="2269969"/>
    <n v="4.1000000000000003E-3"/>
  </r>
  <r>
    <x v="2"/>
    <s v="ALLIANCEBERNSTEIN NEXT 50 EMERGING MARKETS (MASTER"/>
    <n v="2056300"/>
    <n v="3.7000000000000002E-3"/>
  </r>
  <r>
    <x v="2"/>
    <s v="VANGUARD TOTAL INTERNATIONAL STOCK INDEX FUND"/>
    <n v="1993598"/>
    <n v="3.5999999999999999E-3"/>
  </r>
  <r>
    <x v="2"/>
    <s v="MFS INTERNATIONAL NEW DISCOVERY FUND"/>
    <n v="1901177"/>
    <n v="3.3999999999999998E-3"/>
  </r>
  <r>
    <x v="1"/>
    <s v="FONDO DE CESANTIAS PROTECCION- LARGO PLAZO"/>
    <n v="1874006"/>
    <n v="3.3999999999999998E-3"/>
  </r>
  <r>
    <x v="1"/>
    <s v="FONDO DE CESANTIAS PORVENIR"/>
    <n v="1844632"/>
    <n v="3.3E-3"/>
  </r>
  <r>
    <x v="1"/>
    <s v="FONDO PENSIONES OBLIGATORIAS PORVENIR CONSERVADOR"/>
    <n v="1574244"/>
    <n v="2.8E-3"/>
  </r>
  <r>
    <x v="2"/>
    <s v="SBS SEGUROS COLOMBIA S.A."/>
    <n v="1546000"/>
    <n v="2.8E-3"/>
  </r>
  <r>
    <x v="1"/>
    <s v="FONDO DE PENSIONES OBLIGATORIAS PROTECCION RETIRO"/>
    <n v="1329266"/>
    <n v="2.3999999999999998E-3"/>
  </r>
  <r>
    <x v="2"/>
    <s v="Otros accionistas con menor participación"/>
    <n v="48013460"/>
    <n v="8.6199999999999999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 cacheId="44"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U1:AB7" firstHeaderRow="1" firstDataRow="2" firstDataCol="1"/>
  <pivotFields count="6">
    <pivotField axis="axisCol" showAll="0">
      <items count="23">
        <item h="1" x="21"/>
        <item h="1" x="0"/>
        <item h="1" x="1"/>
        <item h="1" x="2"/>
        <item h="1" x="3"/>
        <item x="4"/>
        <item x="5"/>
        <item h="1" x="6"/>
        <item h="1" x="7"/>
        <item x="8"/>
        <item x="9"/>
        <item h="1" x="10"/>
        <item h="1" x="11"/>
        <item x="12"/>
        <item h="1" x="20"/>
        <item x="13"/>
        <item h="1" x="14"/>
        <item h="1" x="15"/>
        <item h="1" x="16"/>
        <item h="1" x="17"/>
        <item h="1" x="18"/>
        <item h="1" x="19"/>
        <item t="default"/>
      </items>
    </pivotField>
    <pivotField dataField="1" numFmtId="41" showAll="0">
      <items count="23">
        <item x="16"/>
        <item x="12"/>
        <item x="18"/>
        <item x="14"/>
        <item x="8"/>
        <item x="5"/>
        <item x="10"/>
        <item x="20"/>
        <item x="6"/>
        <item x="13"/>
        <item x="9"/>
        <item x="1"/>
        <item x="17"/>
        <item x="3"/>
        <item x="7"/>
        <item x="19"/>
        <item x="15"/>
        <item x="4"/>
        <item x="0"/>
        <item x="11"/>
        <item x="2"/>
        <item x="21"/>
        <item t="default"/>
      </items>
    </pivotField>
    <pivotField dataField="1" numFmtId="41" showAll="0"/>
    <pivotField dataField="1" numFmtId="41" showAll="0"/>
    <pivotField dataField="1" numFmtId="41" showAll="0"/>
    <pivotField dataField="1" numFmtId="41" showAll="0"/>
  </pivotFields>
  <rowFields count="1">
    <field x="-2"/>
  </rowFields>
  <rowItems count="5">
    <i>
      <x/>
    </i>
    <i i="1">
      <x v="1"/>
    </i>
    <i i="2">
      <x v="2"/>
    </i>
    <i i="3">
      <x v="3"/>
    </i>
    <i i="4">
      <x v="4"/>
    </i>
  </rowItems>
  <colFields count="1">
    <field x="0"/>
  </colFields>
  <colItems count="7">
    <i>
      <x v="5"/>
    </i>
    <i>
      <x v="6"/>
    </i>
    <i>
      <x v="9"/>
    </i>
    <i>
      <x v="10"/>
    </i>
    <i>
      <x v="13"/>
    </i>
    <i>
      <x v="15"/>
    </i>
    <i t="grand">
      <x/>
    </i>
  </colItems>
  <dataFields count="5">
    <dataField name="2.013" fld="1" baseField="0" baseItem="5"/>
    <dataField name="2.014" fld="2" baseField="0" baseItem="5"/>
    <dataField name="2.015" fld="3" baseField="0" baseItem="5"/>
    <dataField name="2.016*" fld="4" baseField="0" baseItem="5"/>
    <dataField name="2.017F**" fld="5" baseField="0" baseItem="5"/>
  </dataFields>
  <chartFormats count="12">
    <chartFormat chart="2" format="32" series="1">
      <pivotArea type="data" outline="0" fieldPosition="0">
        <references count="1">
          <reference field="4294967294" count="1" selected="0">
            <x v="0"/>
          </reference>
        </references>
      </pivotArea>
    </chartFormat>
    <chartFormat chart="2" format="33" series="1">
      <pivotArea type="data" outline="0" fieldPosition="0">
        <references count="1">
          <reference field="4294967294" count="1" selected="0">
            <x v="1"/>
          </reference>
        </references>
      </pivotArea>
    </chartFormat>
    <chartFormat chart="2" format="34" series="1">
      <pivotArea type="data" outline="0" fieldPosition="0">
        <references count="1">
          <reference field="4294967294" count="1" selected="0">
            <x v="2"/>
          </reference>
        </references>
      </pivotArea>
    </chartFormat>
    <chartFormat chart="2" format="35" series="1">
      <pivotArea type="data" outline="0" fieldPosition="0">
        <references count="1">
          <reference field="4294967294" count="1" selected="0">
            <x v="3"/>
          </reference>
        </references>
      </pivotArea>
    </chartFormat>
    <chartFormat chart="2" format="36" series="1">
      <pivotArea type="data" outline="0" fieldPosition="0">
        <references count="1">
          <reference field="4294967294" count="1" selected="0">
            <x v="4"/>
          </reference>
        </references>
      </pivotArea>
    </chartFormat>
    <chartFormat chart="2" format="37" series="1">
      <pivotArea type="data" outline="0" fieldPosition="0">
        <references count="2">
          <reference field="4294967294" count="1" selected="0">
            <x v="0"/>
          </reference>
          <reference field="0" count="1" selected="0">
            <x v="5"/>
          </reference>
        </references>
      </pivotArea>
    </chartFormat>
    <chartFormat chart="2" format="38" series="1">
      <pivotArea type="data" outline="0" fieldPosition="0">
        <references count="2">
          <reference field="4294967294" count="1" selected="0">
            <x v="0"/>
          </reference>
          <reference field="0" count="1" selected="0">
            <x v="10"/>
          </reference>
        </references>
      </pivotArea>
    </chartFormat>
    <chartFormat chart="2" format="39" series="1">
      <pivotArea type="data" outline="0" fieldPosition="0">
        <references count="2">
          <reference field="4294967294" count="1" selected="0">
            <x v="0"/>
          </reference>
          <reference field="0" count="1" selected="0">
            <x v="15"/>
          </reference>
        </references>
      </pivotArea>
    </chartFormat>
    <chartFormat chart="2" format="40" series="1">
      <pivotArea type="data" outline="0" fieldPosition="0">
        <references count="2">
          <reference field="4294967294" count="1" selected="0">
            <x v="0"/>
          </reference>
          <reference field="0" count="1" selected="0">
            <x v="6"/>
          </reference>
        </references>
      </pivotArea>
    </chartFormat>
    <chartFormat chart="2" format="41">
      <pivotArea type="data" outline="0" fieldPosition="0">
        <references count="2">
          <reference field="4294967294" count="1" selected="0">
            <x v="1"/>
          </reference>
          <reference field="0" count="1" selected="0">
            <x v="6"/>
          </reference>
        </references>
      </pivotArea>
    </chartFormat>
    <chartFormat chart="2" format="42" series="1">
      <pivotArea type="data" outline="0" fieldPosition="0">
        <references count="2">
          <reference field="4294967294" count="1" selected="0">
            <x v="0"/>
          </reference>
          <reference field="0" count="1" selected="0">
            <x v="9"/>
          </reference>
        </references>
      </pivotArea>
    </chartFormat>
    <chartFormat chart="2" format="43" series="1">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45"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U50:AB56" firstHeaderRow="1" firstDataRow="2" firstDataCol="1"/>
  <pivotFields count="6">
    <pivotField axis="axisCol" showAll="0">
      <items count="23">
        <item h="1" x="21"/>
        <item h="1" x="0"/>
        <item h="1" x="1"/>
        <item h="1" x="2"/>
        <item h="1" x="3"/>
        <item x="4"/>
        <item x="5"/>
        <item h="1" x="6"/>
        <item h="1" x="7"/>
        <item x="8"/>
        <item x="9"/>
        <item h="1" x="10"/>
        <item h="1" x="11"/>
        <item x="12"/>
        <item h="1" x="20"/>
        <item x="13"/>
        <item h="1" x="14"/>
        <item h="1" x="15"/>
        <item h="1" x="16"/>
        <item h="1" x="17"/>
        <item h="1" x="18"/>
        <item h="1" x="19"/>
        <item t="default"/>
      </items>
    </pivotField>
    <pivotField dataField="1" numFmtId="41" showAll="0"/>
    <pivotField dataField="1" numFmtId="41" showAll="0"/>
    <pivotField dataField="1" numFmtId="41" showAll="0"/>
    <pivotField dataField="1" numFmtId="41" showAll="0"/>
    <pivotField dataField="1" numFmtId="41" showAll="0"/>
  </pivotFields>
  <rowFields count="1">
    <field x="-2"/>
  </rowFields>
  <rowItems count="5">
    <i>
      <x/>
    </i>
    <i i="1">
      <x v="1"/>
    </i>
    <i i="2">
      <x v="2"/>
    </i>
    <i i="3">
      <x v="3"/>
    </i>
    <i i="4">
      <x v="4"/>
    </i>
  </rowItems>
  <colFields count="1">
    <field x="0"/>
  </colFields>
  <colItems count="7">
    <i>
      <x v="5"/>
    </i>
    <i>
      <x v="6"/>
    </i>
    <i>
      <x v="9"/>
    </i>
    <i>
      <x v="10"/>
    </i>
    <i>
      <x v="13"/>
    </i>
    <i>
      <x v="15"/>
    </i>
    <i t="grand">
      <x/>
    </i>
  </colItems>
  <dataFields count="5">
    <dataField name="Sum of 2013" fld="1" baseField="0" baseItem="0"/>
    <dataField name="Sum of 2014" fld="2" baseField="0" baseItem="0"/>
    <dataField name="Sum of 2015" fld="3" baseField="0" baseItem="0"/>
    <dataField name="Sum of 2016*" fld="4" baseField="0" baseItem="0"/>
    <dataField name="Sum of 2017F**" fld="5" baseField="0" baseItem="0"/>
  </dataFields>
  <chartFormats count="66">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 chart="1" format="5" series="1">
      <pivotArea type="data" outline="0" fieldPosition="0">
        <references count="2">
          <reference field="4294967294" count="1" selected="0">
            <x v="0"/>
          </reference>
          <reference field="0" count="1" selected="0">
            <x v="5"/>
          </reference>
        </references>
      </pivotArea>
    </chartFormat>
    <chartFormat chart="1" format="6" series="1">
      <pivotArea type="data" outline="0" fieldPosition="0">
        <references count="2">
          <reference field="4294967294" count="1" selected="0">
            <x v="0"/>
          </reference>
          <reference field="0" count="1" selected="0">
            <x v="6"/>
          </reference>
        </references>
      </pivotArea>
    </chartFormat>
    <chartFormat chart="1" format="7"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0"/>
          </reference>
          <reference field="0" count="1" selected="0">
            <x v="9"/>
          </reference>
        </references>
      </pivotArea>
    </chartFormat>
    <chartFormat chart="1" format="10" series="1">
      <pivotArea type="data" outline="0" fieldPosition="0">
        <references count="2">
          <reference field="4294967294" count="1" selected="0">
            <x v="0"/>
          </reference>
          <reference field="0" count="1" selected="0">
            <x v="10"/>
          </reference>
        </references>
      </pivotArea>
    </chartFormat>
    <chartFormat chart="1" format="11" series="1">
      <pivotArea type="data" outline="0" fieldPosition="0">
        <references count="2">
          <reference field="4294967294" count="1" selected="0">
            <x v="0"/>
          </reference>
          <reference field="0" count="1" selected="0">
            <x v="11"/>
          </reference>
        </references>
      </pivotArea>
    </chartFormat>
    <chartFormat chart="1" format="12" series="1">
      <pivotArea type="data" outline="0" fieldPosition="0">
        <references count="2">
          <reference field="4294967294" count="1" selected="0">
            <x v="0"/>
          </reference>
          <reference field="0" count="1" selected="0">
            <x v="12"/>
          </reference>
        </references>
      </pivotArea>
    </chartFormat>
    <chartFormat chart="1" format="13" series="1">
      <pivotArea type="data" outline="0" fieldPosition="0">
        <references count="2">
          <reference field="4294967294" count="1" selected="0">
            <x v="0"/>
          </reference>
          <reference field="0" count="1" selected="0">
            <x v="13"/>
          </reference>
        </references>
      </pivotArea>
    </chartFormat>
    <chartFormat chart="1" format="14" series="1">
      <pivotArea type="data" outline="0" fieldPosition="0">
        <references count="2">
          <reference field="4294967294" count="1" selected="0">
            <x v="0"/>
          </reference>
          <reference field="0" count="1" selected="0">
            <x v="14"/>
          </reference>
        </references>
      </pivotArea>
    </chartFormat>
    <chartFormat chart="1"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16"/>
          </reference>
        </references>
      </pivotArea>
    </chartFormat>
    <chartFormat chart="1" format="17" series="1">
      <pivotArea type="data" outline="0" fieldPosition="0">
        <references count="2">
          <reference field="4294967294" count="1" selected="0">
            <x v="0"/>
          </reference>
          <reference field="0" count="1" selected="0">
            <x v="17"/>
          </reference>
        </references>
      </pivotArea>
    </chartFormat>
    <chartFormat chart="1" format="18" series="1">
      <pivotArea type="data" outline="0" fieldPosition="0">
        <references count="2">
          <reference field="4294967294" count="1" selected="0">
            <x v="0"/>
          </reference>
          <reference field="0" count="1" selected="0">
            <x v="18"/>
          </reference>
        </references>
      </pivotArea>
    </chartFormat>
    <chartFormat chart="1" format="19" series="1">
      <pivotArea type="data" outline="0" fieldPosition="0">
        <references count="2">
          <reference field="4294967294" count="1" selected="0">
            <x v="0"/>
          </reference>
          <reference field="0" count="1" selected="0">
            <x v="19"/>
          </reference>
        </references>
      </pivotArea>
    </chartFormat>
    <chartFormat chart="1" format="20" series="1">
      <pivotArea type="data" outline="0" fieldPosition="0">
        <references count="2">
          <reference field="4294967294" count="1" selected="0">
            <x v="0"/>
          </reference>
          <reference field="0" count="1" selected="0">
            <x v="20"/>
          </reference>
        </references>
      </pivotArea>
    </chartFormat>
    <chartFormat chart="1" format="21" series="1">
      <pivotArea type="data" outline="0" fieldPosition="0">
        <references count="2">
          <reference field="4294967294" count="1" selected="0">
            <x v="0"/>
          </reference>
          <reference field="0" count="1" selected="0">
            <x v="21"/>
          </reference>
        </references>
      </pivotArea>
    </chartFormat>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0" format="16" series="1">
      <pivotArea type="data" outline="0" fieldPosition="0">
        <references count="2">
          <reference field="4294967294" count="1" selected="0">
            <x v="0"/>
          </reference>
          <reference field="0" count="1" selected="0">
            <x v="16"/>
          </reference>
        </references>
      </pivotArea>
    </chartFormat>
    <chartFormat chart="0" format="17" series="1">
      <pivotArea type="data" outline="0" fieldPosition="0">
        <references count="2">
          <reference field="4294967294" count="1" selected="0">
            <x v="0"/>
          </reference>
          <reference field="0" count="1" selected="0">
            <x v="17"/>
          </reference>
        </references>
      </pivotArea>
    </chartFormat>
    <chartFormat chart="0" format="18" series="1">
      <pivotArea type="data" outline="0" fieldPosition="0">
        <references count="2">
          <reference field="4294967294" count="1" selected="0">
            <x v="0"/>
          </reference>
          <reference field="0" count="1" selected="0">
            <x v="18"/>
          </reference>
        </references>
      </pivotArea>
    </chartFormat>
    <chartFormat chart="0" format="19" series="1">
      <pivotArea type="data" outline="0" fieldPosition="0">
        <references count="2">
          <reference field="4294967294" count="1" selected="0">
            <x v="0"/>
          </reference>
          <reference field="0" count="1" selected="0">
            <x v="19"/>
          </reference>
        </references>
      </pivotArea>
    </chartFormat>
    <chartFormat chart="0" format="20" series="1">
      <pivotArea type="data" outline="0" fieldPosition="0">
        <references count="2">
          <reference field="4294967294" count="1" selected="0">
            <x v="0"/>
          </reference>
          <reference field="0" count="1" selected="0">
            <x v="20"/>
          </reference>
        </references>
      </pivotArea>
    </chartFormat>
    <chartFormat chart="0" format="21" series="1">
      <pivotArea type="data" outline="0" fieldPosition="0">
        <references count="2">
          <reference field="4294967294" count="1" selected="0">
            <x v="0"/>
          </reference>
          <reference field="0" count="1" selected="0">
            <x v="21"/>
          </reference>
        </references>
      </pivotArea>
    </chartFormat>
    <chartFormat chart="0" format="22" series="1">
      <pivotArea type="data" outline="0" fieldPosition="0">
        <references count="2">
          <reference field="4294967294" count="1" selected="0">
            <x v="1"/>
          </reference>
          <reference field="0" count="1" selected="0">
            <x v="11"/>
          </reference>
        </references>
      </pivotArea>
    </chartFormat>
    <chartFormat chart="0" format="23" series="1">
      <pivotArea type="data" outline="0" fieldPosition="0">
        <references count="2">
          <reference field="4294967294" count="1" selected="0">
            <x v="1"/>
          </reference>
          <reference field="0" count="1" selected="0">
            <x v="12"/>
          </reference>
        </references>
      </pivotArea>
    </chartFormat>
    <chartFormat chart="0" format="24" series="1">
      <pivotArea type="data" outline="0" fieldPosition="0">
        <references count="2">
          <reference field="4294967294" count="1" selected="0">
            <x v="1"/>
          </reference>
          <reference field="0" count="1" selected="0">
            <x v="13"/>
          </reference>
        </references>
      </pivotArea>
    </chartFormat>
    <chartFormat chart="0" format="25" series="1">
      <pivotArea type="data" outline="0" fieldPosition="0">
        <references count="2">
          <reference field="4294967294" count="1" selected="0">
            <x v="1"/>
          </reference>
          <reference field="0" count="1" selected="0">
            <x v="14"/>
          </reference>
        </references>
      </pivotArea>
    </chartFormat>
    <chartFormat chart="0" format="26" series="1">
      <pivotArea type="data" outline="0" fieldPosition="0">
        <references count="2">
          <reference field="4294967294" count="1" selected="0">
            <x v="1"/>
          </reference>
          <reference field="0" count="1" selected="0">
            <x v="15"/>
          </reference>
        </references>
      </pivotArea>
    </chartFormat>
    <chartFormat chart="0" format="27" series="1">
      <pivotArea type="data" outline="0" fieldPosition="0">
        <references count="2">
          <reference field="4294967294" count="1" selected="0">
            <x v="1"/>
          </reference>
          <reference field="0" count="1" selected="0">
            <x v="16"/>
          </reference>
        </references>
      </pivotArea>
    </chartFormat>
    <chartFormat chart="0" format="28" series="1">
      <pivotArea type="data" outline="0" fieldPosition="0">
        <references count="2">
          <reference field="4294967294" count="1" selected="0">
            <x v="1"/>
          </reference>
          <reference field="0" count="1" selected="0">
            <x v="17"/>
          </reference>
        </references>
      </pivotArea>
    </chartFormat>
    <chartFormat chart="0" format="29" series="1">
      <pivotArea type="data" outline="0" fieldPosition="0">
        <references count="2">
          <reference field="4294967294" count="1" selected="0">
            <x v="1"/>
          </reference>
          <reference field="0" count="1" selected="0">
            <x v="18"/>
          </reference>
        </references>
      </pivotArea>
    </chartFormat>
    <chartFormat chart="0" format="30" series="1">
      <pivotArea type="data" outline="0" fieldPosition="0">
        <references count="2">
          <reference field="4294967294" count="1" selected="0">
            <x v="1"/>
          </reference>
          <reference field="0" count="1" selected="0">
            <x v="19"/>
          </reference>
        </references>
      </pivotArea>
    </chartFormat>
    <chartFormat chart="0" format="31" series="1">
      <pivotArea type="data" outline="0" fieldPosition="0">
        <references count="2">
          <reference field="4294967294" count="1" selected="0">
            <x v="1"/>
          </reference>
          <reference field="0" count="1" selected="0">
            <x v="20"/>
          </reference>
        </references>
      </pivotArea>
    </chartFormat>
    <chartFormat chart="0" format="32" series="1">
      <pivotArea type="data" outline="0" fieldPosition="0">
        <references count="2">
          <reference field="4294967294" count="1" selected="0">
            <x v="1"/>
          </reference>
          <reference field="0" count="1" selected="0">
            <x v="21"/>
          </reference>
        </references>
      </pivotArea>
    </chartFormat>
    <chartFormat chart="0" format="33" series="1">
      <pivotArea type="data" outline="0" fieldPosition="0">
        <references count="2">
          <reference field="4294967294" count="1" selected="0">
            <x v="1"/>
          </reference>
          <reference field="0" count="1" selected="0">
            <x v="0"/>
          </reference>
        </references>
      </pivotArea>
    </chartFormat>
    <chartFormat chart="0" format="34" series="1">
      <pivotArea type="data" outline="0" fieldPosition="0">
        <references count="2">
          <reference field="4294967294" count="1" selected="0">
            <x v="1"/>
          </reference>
          <reference field="0" count="1" selected="0">
            <x v="1"/>
          </reference>
        </references>
      </pivotArea>
    </chartFormat>
    <chartFormat chart="0" format="35" series="1">
      <pivotArea type="data" outline="0" fieldPosition="0">
        <references count="2">
          <reference field="4294967294" count="1" selected="0">
            <x v="1"/>
          </reference>
          <reference field="0" count="1" selected="0">
            <x v="2"/>
          </reference>
        </references>
      </pivotArea>
    </chartFormat>
    <chartFormat chart="0" format="36" series="1">
      <pivotArea type="data" outline="0" fieldPosition="0">
        <references count="2">
          <reference field="4294967294" count="1" selected="0">
            <x v="1"/>
          </reference>
          <reference field="0" count="1" selected="0">
            <x v="3"/>
          </reference>
        </references>
      </pivotArea>
    </chartFormat>
    <chartFormat chart="0" format="37" series="1">
      <pivotArea type="data" outline="0" fieldPosition="0">
        <references count="2">
          <reference field="4294967294" count="1" selected="0">
            <x v="1"/>
          </reference>
          <reference field="0" count="1" selected="0">
            <x v="4"/>
          </reference>
        </references>
      </pivotArea>
    </chartFormat>
    <chartFormat chart="0" format="38" series="1">
      <pivotArea type="data" outline="0" fieldPosition="0">
        <references count="2">
          <reference field="4294967294" count="1" selected="0">
            <x v="1"/>
          </reference>
          <reference field="0" count="1" selected="0">
            <x v="5"/>
          </reference>
        </references>
      </pivotArea>
    </chartFormat>
    <chartFormat chart="0" format="39" series="1">
      <pivotArea type="data" outline="0" fieldPosition="0">
        <references count="2">
          <reference field="4294967294" count="1" selected="0">
            <x v="1"/>
          </reference>
          <reference field="0" count="1" selected="0">
            <x v="6"/>
          </reference>
        </references>
      </pivotArea>
    </chartFormat>
    <chartFormat chart="0" format="40" series="1">
      <pivotArea type="data" outline="0" fieldPosition="0">
        <references count="2">
          <reference field="4294967294" count="1" selected="0">
            <x v="1"/>
          </reference>
          <reference field="0" count="1" selected="0">
            <x v="7"/>
          </reference>
        </references>
      </pivotArea>
    </chartFormat>
    <chartFormat chart="0" format="41" series="1">
      <pivotArea type="data" outline="0" fieldPosition="0">
        <references count="2">
          <reference field="4294967294" count="1" selected="0">
            <x v="1"/>
          </reference>
          <reference field="0" count="1" selected="0">
            <x v="8"/>
          </reference>
        </references>
      </pivotArea>
    </chartFormat>
    <chartFormat chart="0" format="42" series="1">
      <pivotArea type="data" outline="0" fieldPosition="0">
        <references count="2">
          <reference field="4294967294" count="1" selected="0">
            <x v="1"/>
          </reference>
          <reference field="0" count="1" selected="0">
            <x v="9"/>
          </reference>
        </references>
      </pivotArea>
    </chartFormat>
    <chartFormat chart="0" format="43" series="1">
      <pivotArea type="data" outline="0" fieldPosition="0">
        <references count="2">
          <reference field="4294967294" count="1" selected="0">
            <x v="1"/>
          </reference>
          <reference field="0"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5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9">
  <location ref="J74:Q80" firstHeaderRow="1" firstDataRow="2" firstDataCol="1" rowPageCount="1" colPageCount="1"/>
  <pivotFields count="8">
    <pivotField axis="axisCol" showAll="0">
      <items count="8">
        <item x="0"/>
        <item x="1"/>
        <item x="2"/>
        <item x="4"/>
        <item x="5"/>
        <item x="3"/>
        <item x="6"/>
        <item t="default"/>
      </items>
    </pivotField>
    <pivotField axis="axisPage" showAll="0">
      <items count="6">
        <item x="2"/>
        <item x="0"/>
        <item x="1"/>
        <item x="3"/>
        <item x="4"/>
        <item t="default"/>
      </items>
    </pivotField>
    <pivotField showAll="0">
      <items count="25">
        <item x="15"/>
        <item x="6"/>
        <item x="8"/>
        <item x="23"/>
        <item x="2"/>
        <item x="5"/>
        <item x="21"/>
        <item x="10"/>
        <item x="7"/>
        <item x="19"/>
        <item x="12"/>
        <item x="14"/>
        <item x="11"/>
        <item x="1"/>
        <item x="16"/>
        <item x="0"/>
        <item x="17"/>
        <item x="22"/>
        <item x="3"/>
        <item x="9"/>
        <item x="13"/>
        <item x="20"/>
        <item x="4"/>
        <item x="18"/>
        <item t="default"/>
      </items>
    </pivotField>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7">
    <i>
      <x/>
    </i>
    <i>
      <x v="1"/>
    </i>
    <i>
      <x v="2"/>
    </i>
    <i>
      <x v="3"/>
    </i>
    <i>
      <x v="4"/>
    </i>
    <i>
      <x v="6"/>
    </i>
    <i t="grand">
      <x/>
    </i>
  </colItems>
  <pageFields count="1">
    <pageField fld="1" item="2" hier="-1"/>
  </pageFields>
  <dataFields count="5">
    <dataField name="2014." fld="3" baseField="0" baseItem="0" numFmtId="166"/>
    <dataField name="2015." fld="4" baseField="0" baseItem="0" numFmtId="166"/>
    <dataField name="2016." fld="5" baseField="0" baseItem="0" numFmtId="166"/>
    <dataField name="2017." fld="6" baseField="0" baseItem="0"/>
    <dataField name="2018." fld="7" baseField="0" baseItem="0"/>
  </dataFields>
  <chartFormats count="30">
    <chartFormat chart="3" format="20">
      <pivotArea type="data" outline="0" fieldPosition="0">
        <references count="2">
          <reference field="4294967294" count="1" selected="0">
            <x v="1"/>
          </reference>
          <reference field="0" count="1" selected="0">
            <x v="1"/>
          </reference>
        </references>
      </pivotArea>
    </chartFormat>
    <chartFormat chart="3" format="21">
      <pivotArea type="data" outline="0" fieldPosition="0">
        <references count="2">
          <reference field="4294967294" count="1" selected="0">
            <x v="2"/>
          </reference>
          <reference field="0" count="1" selected="0">
            <x v="1"/>
          </reference>
        </references>
      </pivotArea>
    </chartFormat>
    <chartFormat chart="3" format="24">
      <pivotArea type="data" outline="0" fieldPosition="0">
        <references count="2">
          <reference field="4294967294" count="1" selected="0">
            <x v="0"/>
          </reference>
          <reference field="0" count="1" selected="0">
            <x v="2"/>
          </reference>
        </references>
      </pivotArea>
    </chartFormat>
    <chartFormat chart="3" format="25">
      <pivotArea type="data" outline="0" fieldPosition="0">
        <references count="2">
          <reference field="4294967294" count="1" selected="0">
            <x v="3"/>
          </reference>
          <reference field="0" count="1" selected="0">
            <x v="2"/>
          </reference>
        </references>
      </pivotArea>
    </chartFormat>
    <chartFormat chart="3" format="27">
      <pivotArea type="data" outline="0" fieldPosition="0">
        <references count="2">
          <reference field="4294967294" count="1" selected="0">
            <x v="2"/>
          </reference>
          <reference field="0" count="1" selected="0">
            <x v="3"/>
          </reference>
        </references>
      </pivotArea>
    </chartFormat>
    <chartFormat chart="3" format="29">
      <pivotArea type="data" outline="0" fieldPosition="0">
        <references count="2">
          <reference field="4294967294" count="1" selected="0">
            <x v="0"/>
          </reference>
          <reference field="0" count="1" selected="0">
            <x v="4"/>
          </reference>
        </references>
      </pivotArea>
    </chartFormat>
    <chartFormat chart="3" format="30">
      <pivotArea type="data" outline="0" fieldPosition="0">
        <references count="2">
          <reference field="4294967294" count="1" selected="0">
            <x v="1"/>
          </reference>
          <reference field="0" count="1" selected="0">
            <x v="4"/>
          </reference>
        </references>
      </pivotArea>
    </chartFormat>
    <chartFormat chart="3" format="31">
      <pivotArea type="data" outline="0" fieldPosition="0">
        <references count="2">
          <reference field="4294967294" count="1" selected="0">
            <x v="2"/>
          </reference>
          <reference field="0" count="1" selected="0">
            <x v="4"/>
          </reference>
        </references>
      </pivotArea>
    </chartFormat>
    <chartFormat chart="3" format="32">
      <pivotArea type="data" outline="0" fieldPosition="0">
        <references count="2">
          <reference field="4294967294" count="1" selected="0">
            <x v="3"/>
          </reference>
          <reference field="0" count="1" selected="0">
            <x v="4"/>
          </reference>
        </references>
      </pivotArea>
    </chartFormat>
    <chartFormat chart="4" format="36">
      <pivotArea type="data" outline="0" fieldPosition="0">
        <references count="2">
          <reference field="4294967294" count="1" selected="0">
            <x v="1"/>
          </reference>
          <reference field="0" count="1" selected="0">
            <x v="1"/>
          </reference>
        </references>
      </pivotArea>
    </chartFormat>
    <chartFormat chart="4" format="37">
      <pivotArea type="data" outline="0" fieldPosition="0">
        <references count="2">
          <reference field="4294967294" count="1" selected="0">
            <x v="2"/>
          </reference>
          <reference field="0" count="1" selected="0">
            <x v="1"/>
          </reference>
        </references>
      </pivotArea>
    </chartFormat>
    <chartFormat chart="4" format="40">
      <pivotArea type="data" outline="0" fieldPosition="0">
        <references count="2">
          <reference field="4294967294" count="1" selected="0">
            <x v="0"/>
          </reference>
          <reference field="0" count="1" selected="0">
            <x v="2"/>
          </reference>
        </references>
      </pivotArea>
    </chartFormat>
    <chartFormat chart="4" format="41">
      <pivotArea type="data" outline="0" fieldPosition="0">
        <references count="2">
          <reference field="4294967294" count="1" selected="0">
            <x v="3"/>
          </reference>
          <reference field="0" count="1" selected="0">
            <x v="2"/>
          </reference>
        </references>
      </pivotArea>
    </chartFormat>
    <chartFormat chart="4" format="43">
      <pivotArea type="data" outline="0" fieldPosition="0">
        <references count="2">
          <reference field="4294967294" count="1" selected="0">
            <x v="2"/>
          </reference>
          <reference field="0" count="1" selected="0">
            <x v="3"/>
          </reference>
        </references>
      </pivotArea>
    </chartFormat>
    <chartFormat chart="4" format="45">
      <pivotArea type="data" outline="0" fieldPosition="0">
        <references count="2">
          <reference field="4294967294" count="1" selected="0">
            <x v="0"/>
          </reference>
          <reference field="0" count="1" selected="0">
            <x v="4"/>
          </reference>
        </references>
      </pivotArea>
    </chartFormat>
    <chartFormat chart="4" format="46">
      <pivotArea type="data" outline="0" fieldPosition="0">
        <references count="2">
          <reference field="4294967294" count="1" selected="0">
            <x v="1"/>
          </reference>
          <reference field="0" count="1" selected="0">
            <x v="4"/>
          </reference>
        </references>
      </pivotArea>
    </chartFormat>
    <chartFormat chart="4" format="47">
      <pivotArea type="data" outline="0" fieldPosition="0">
        <references count="2">
          <reference field="4294967294" count="1" selected="0">
            <x v="2"/>
          </reference>
          <reference field="0" count="1" selected="0">
            <x v="4"/>
          </reference>
        </references>
      </pivotArea>
    </chartFormat>
    <chartFormat chart="4" format="48">
      <pivotArea type="data" outline="0" fieldPosition="0">
        <references count="2">
          <reference field="4294967294" count="1" selected="0">
            <x v="3"/>
          </reference>
          <reference field="0" count="1" selected="0">
            <x v="4"/>
          </reference>
        </references>
      </pivotArea>
    </chartFormat>
    <chartFormat chart="0" format="18" series="1">
      <pivotArea type="data" outline="0" fieldPosition="0">
        <references count="2">
          <reference field="4294967294" count="1" selected="0">
            <x v="0"/>
          </reference>
          <reference field="0" count="1" selected="0">
            <x v="0"/>
          </reference>
        </references>
      </pivotArea>
    </chartFormat>
    <chartFormat chart="0" format="19" series="1">
      <pivotArea type="data" outline="0" fieldPosition="0">
        <references count="2">
          <reference field="4294967294" count="1" selected="0">
            <x v="0"/>
          </reference>
          <reference field="0" count="1" selected="0">
            <x v="1"/>
          </reference>
        </references>
      </pivotArea>
    </chartFormat>
    <chartFormat chart="0" format="20" series="1">
      <pivotArea type="data" outline="0" fieldPosition="0">
        <references count="2">
          <reference field="4294967294" count="1" selected="0">
            <x v="0"/>
          </reference>
          <reference field="0" count="1" selected="0">
            <x v="2"/>
          </reference>
        </references>
      </pivotArea>
    </chartFormat>
    <chartFormat chart="0" format="21" series="1">
      <pivotArea type="data" outline="0" fieldPosition="0">
        <references count="2">
          <reference field="4294967294" count="1" selected="0">
            <x v="0"/>
          </reference>
          <reference field="0" count="1" selected="0">
            <x v="3"/>
          </reference>
        </references>
      </pivotArea>
    </chartFormat>
    <chartFormat chart="0" format="22" series="1">
      <pivotArea type="data" outline="0" fieldPosition="0">
        <references count="2">
          <reference field="4294967294" count="1" selected="0">
            <x v="0"/>
          </reference>
          <reference field="0" count="1" selected="0">
            <x v="4"/>
          </reference>
        </references>
      </pivotArea>
    </chartFormat>
    <chartFormat chart="0" format="23" series="1">
      <pivotArea type="data" outline="0" fieldPosition="0">
        <references count="2">
          <reference field="4294967294" count="1" selected="0">
            <x v="0"/>
          </reference>
          <reference field="0" count="1" selected="0">
            <x v="6"/>
          </reference>
        </references>
      </pivotArea>
    </chartFormat>
    <chartFormat chart="0" format="24">
      <pivotArea type="data" outline="0" fieldPosition="0">
        <references count="2">
          <reference field="4294967294" count="1" selected="0">
            <x v="2"/>
          </reference>
          <reference field="0" count="1" selected="0">
            <x v="6"/>
          </reference>
        </references>
      </pivotArea>
    </chartFormat>
    <chartFormat chart="0" format="25">
      <pivotArea type="data" outline="0" fieldPosition="0">
        <references count="2">
          <reference field="4294967294" count="1" selected="0">
            <x v="3"/>
          </reference>
          <reference field="0" count="1" selected="0">
            <x v="3"/>
          </reference>
        </references>
      </pivotArea>
    </chartFormat>
    <chartFormat chart="0" format="26">
      <pivotArea type="data" outline="0" fieldPosition="0">
        <references count="2">
          <reference field="4294967294" count="1" selected="0">
            <x v="4"/>
          </reference>
          <reference field="0" count="1" selected="0">
            <x v="6"/>
          </reference>
        </references>
      </pivotArea>
    </chartFormat>
    <chartFormat chart="0" format="27">
      <pivotArea type="data" outline="0" fieldPosition="0">
        <references count="2">
          <reference field="4294967294" count="1" selected="0">
            <x v="1"/>
          </reference>
          <reference field="0" count="1" selected="0">
            <x v="1"/>
          </reference>
        </references>
      </pivotArea>
    </chartFormat>
    <chartFormat chart="0" format="28">
      <pivotArea type="data" outline="0" fieldPosition="0">
        <references count="2">
          <reference field="4294967294" count="1" selected="0">
            <x v="0"/>
          </reference>
          <reference field="0" count="1" selected="0">
            <x v="2"/>
          </reference>
        </references>
      </pivotArea>
    </chartFormat>
    <chartFormat chart="0" format="29">
      <pivotArea type="data" outline="0" fieldPosition="0">
        <references count="2">
          <reference field="4294967294" count="1" selected="0">
            <x v="2"/>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49"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location ref="H4:M6" firstHeaderRow="1" firstDataRow="2" firstDataCol="1" rowPageCount="2" colPageCount="1"/>
  <pivotFields count="5">
    <pivotField showAll="0"/>
    <pivotField axis="axisPage" showAll="0">
      <items count="14">
        <item x="8"/>
        <item x="5"/>
        <item x="0"/>
        <item x="6"/>
        <item x="4"/>
        <item x="2"/>
        <item x="1"/>
        <item x="3"/>
        <item x="9"/>
        <item x="12"/>
        <item x="11"/>
        <item x="10"/>
        <item x="7"/>
        <item t="default"/>
      </items>
    </pivotField>
    <pivotField axis="axisCol" showAll="0">
      <items count="11">
        <item x="5"/>
        <item x="6"/>
        <item x="7"/>
        <item x="8"/>
        <item x="0"/>
        <item x="1"/>
        <item x="2"/>
        <item x="3"/>
        <item x="4"/>
        <item x="9"/>
        <item t="default"/>
      </items>
    </pivotField>
    <pivotField dataField="1" showAll="0"/>
    <pivotField axis="axisPage" showAll="0">
      <items count="3">
        <item x="0"/>
        <item x="1"/>
        <item t="default"/>
      </items>
    </pivotField>
  </pivotFields>
  <rowItems count="1">
    <i/>
  </rowItems>
  <colFields count="1">
    <field x="2"/>
  </colFields>
  <colItems count="5">
    <i>
      <x/>
    </i>
    <i>
      <x v="1"/>
    </i>
    <i>
      <x v="2"/>
    </i>
    <i>
      <x v="3"/>
    </i>
    <i>
      <x v="8"/>
    </i>
  </colItems>
  <pageFields count="2">
    <pageField fld="4" item="1" hier="-1"/>
    <pageField fld="1" item="5" hier="-1"/>
  </pageFields>
  <dataFields count="1">
    <dataField name="Sum of Value" fld="3" baseField="0" baseItem="0" numFmtId="2"/>
  </dataFields>
  <chartFormats count="11">
    <chartFormat chart="2" format="24" series="1">
      <pivotArea type="data" outline="0" fieldPosition="0">
        <references count="2">
          <reference field="4294967294" count="1" selected="0">
            <x v="0"/>
          </reference>
          <reference field="2" count="1" selected="0">
            <x v="0"/>
          </reference>
        </references>
      </pivotArea>
    </chartFormat>
    <chartFormat chart="2" format="25" series="1">
      <pivotArea type="data" outline="0" fieldPosition="0">
        <references count="2">
          <reference field="4294967294" count="1" selected="0">
            <x v="0"/>
          </reference>
          <reference field="2" count="1" selected="0">
            <x v="1"/>
          </reference>
        </references>
      </pivotArea>
    </chartFormat>
    <chartFormat chart="2" format="26" series="1">
      <pivotArea type="data" outline="0" fieldPosition="0">
        <references count="2">
          <reference field="4294967294" count="1" selected="0">
            <x v="0"/>
          </reference>
          <reference field="2" count="1" selected="0">
            <x v="2"/>
          </reference>
        </references>
      </pivotArea>
    </chartFormat>
    <chartFormat chart="2" format="27" series="1">
      <pivotArea type="data" outline="0" fieldPosition="0">
        <references count="2">
          <reference field="4294967294" count="1" selected="0">
            <x v="0"/>
          </reference>
          <reference field="2" count="1" selected="0">
            <x v="3"/>
          </reference>
        </references>
      </pivotArea>
    </chartFormat>
    <chartFormat chart="2" format="28" series="1">
      <pivotArea type="data" outline="0" fieldPosition="0">
        <references count="2">
          <reference field="4294967294" count="1" selected="0">
            <x v="0"/>
          </reference>
          <reference field="2" count="1" selected="0">
            <x v="8"/>
          </reference>
        </references>
      </pivotArea>
    </chartFormat>
    <chartFormat chart="2" format="29">
      <pivotArea type="data" outline="0" fieldPosition="0">
        <references count="2">
          <reference field="4294967294" count="1" selected="0">
            <x v="0"/>
          </reference>
          <reference field="2" count="1" selected="0">
            <x v="3"/>
          </reference>
        </references>
      </pivotArea>
    </chartFormat>
    <chartFormat chart="2" format="30" series="1">
      <pivotArea type="data" outline="0" fieldPosition="0">
        <references count="2">
          <reference field="4294967294" count="1" selected="0">
            <x v="0"/>
          </reference>
          <reference field="2" count="1" selected="0">
            <x v="4"/>
          </reference>
        </references>
      </pivotArea>
    </chartFormat>
    <chartFormat chart="2" format="31" series="1">
      <pivotArea type="data" outline="0" fieldPosition="0">
        <references count="2">
          <reference field="4294967294" count="1" selected="0">
            <x v="0"/>
          </reference>
          <reference field="2" count="1" selected="0">
            <x v="5"/>
          </reference>
        </references>
      </pivotArea>
    </chartFormat>
    <chartFormat chart="2" format="32" series="1">
      <pivotArea type="data" outline="0" fieldPosition="0">
        <references count="2">
          <reference field="4294967294" count="1" selected="0">
            <x v="0"/>
          </reference>
          <reference field="2" count="1" selected="0">
            <x v="6"/>
          </reference>
        </references>
      </pivotArea>
    </chartFormat>
    <chartFormat chart="2" format="33" series="1">
      <pivotArea type="data" outline="0" fieldPosition="0">
        <references count="2">
          <reference field="4294967294" count="1" selected="0">
            <x v="0"/>
          </reference>
          <reference field="2" count="1" selected="0">
            <x v="7"/>
          </reference>
        </references>
      </pivotArea>
    </chartFormat>
    <chartFormat chart="2" format="34" series="1">
      <pivotArea type="data" outline="0" fieldPosition="0">
        <references count="2">
          <reference field="4294967294" count="1" selected="0">
            <x v="0"/>
          </reference>
          <reference field="2"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7" cacheId="4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A3:E4" firstHeaderRow="0" firstDataRow="1" firstDataCol="0"/>
  <pivotFields count="31">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defaultSubtotal="0"/>
    <pivotField dataField="1" numFmtId="166" showAll="0"/>
    <pivotField dataField="1" numFmtId="166" showAll="0"/>
    <pivotField dataField="1" numFmtId="166" showAll="0"/>
    <pivotField dataField="1" numFmtId="166" showAll="0"/>
    <pivotField dataField="1" numFmtId="166" showAll="0" defaultSubtotal="0"/>
    <pivotField numFmtId="166" showAll="0" defaultSubtotal="0"/>
    <pivotField numFmtId="166" showAll="0" defaultSubtotal="0"/>
    <pivotField numFmtId="166" showAll="0" defaultSubtotal="0"/>
    <pivotField numFmtId="166" showAll="0" defaultSubtotal="0"/>
    <pivotField numFmtId="166" showAll="0" defaultSubtotal="0"/>
    <pivotField showAll="0"/>
    <pivotField showAll="0" defaultSubtotal="0"/>
  </pivotFields>
  <rowItems count="1">
    <i/>
  </rowItems>
  <colFields count="1">
    <field x="-2"/>
  </colFields>
  <colItems count="5">
    <i>
      <x/>
    </i>
    <i i="1">
      <x v="1"/>
    </i>
    <i i="2">
      <x v="2"/>
    </i>
    <i i="3">
      <x v="3"/>
    </i>
    <i i="4">
      <x v="4"/>
    </i>
  </colItems>
  <dataFields count="5">
    <dataField name="% Var 2013 vs 2014" fld="19" baseField="0" baseItem="1" numFmtId="10"/>
    <dataField name="% Var 2014 vs 2015" fld="20" baseField="0" baseItem="1" numFmtId="10"/>
    <dataField name="% Var 2015 vs 2016" fld="21" baseField="0" baseItem="1" numFmtId="10"/>
    <dataField name="% Var 2016 vs 2017" fld="22" baseField="0" baseItem="1" numFmtId="10"/>
    <dataField name="Suma de % Var. 2017 vs 2018" fld="23" baseField="0" baseItem="0" numFmtId="9"/>
  </dataFields>
  <formats count="1">
    <format dxfId="37">
      <pivotArea outline="0" collapsedLevelsAreSubtotals="1" fieldPosition="0">
        <references count="1">
          <reference field="4294967294"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4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H3:I2561" firstHeaderRow="1" firstDataRow="1" firstDataCol="1" rowPageCount="1" colPageCount="1"/>
  <pivotFields count="3">
    <pivotField axis="axisRow" showAll="0">
      <items count="98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t="default"/>
      </items>
    </pivotField>
    <pivotField dataField="1" numFmtId="168" showAll="0"/>
    <pivotField axis="axisPage" multipleItemSelectionAllowed="1" showAll="0">
      <items count="29">
        <item h="1" x="0"/>
        <item h="1" x="1"/>
        <item h="1" x="2"/>
        <item h="1" x="3"/>
        <item h="1" x="4"/>
        <item h="1" x="5"/>
        <item h="1" x="6"/>
        <item h="1" x="7"/>
        <item h="1" x="8"/>
        <item h="1" x="9"/>
        <item h="1" x="10"/>
        <item h="1" x="11"/>
        <item h="1" x="12"/>
        <item h="1" x="13"/>
        <item h="1" x="14"/>
        <item h="1" x="15"/>
        <item h="1" x="16"/>
        <item h="1" x="17"/>
        <item h="1" x="18"/>
        <item h="1" x="19"/>
        <item h="1" x="20"/>
        <item x="21"/>
        <item x="22"/>
        <item x="23"/>
        <item x="24"/>
        <item x="25"/>
        <item x="26"/>
        <item x="27"/>
        <item t="default"/>
      </items>
    </pivotField>
  </pivotFields>
  <rowFields count="1">
    <field x="0"/>
  </rowFields>
  <rowItems count="2558">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t="grand">
      <x/>
    </i>
  </rowItems>
  <colItems count="1">
    <i/>
  </colItems>
  <pageFields count="1">
    <pageField fld="2" hier="-1"/>
  </pageFields>
  <dataFields count="1">
    <dataField name="Suma de Tasa de cambio representativa del mercado (TRM)" fld="1" baseField="0" baseItem="0"/>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2" cacheId="4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
  <location ref="W3:X1874" firstHeaderRow="1" firstDataRow="1" firstDataCol="1" rowPageCount="1" colPageCount="1"/>
  <pivotFields count="7">
    <pivotField axis="axisRow" numFmtId="171" showAll="0">
      <items count="1871">
        <item x="1869"/>
        <item x="1868"/>
        <item x="1867"/>
        <item x="1866"/>
        <item x="1865"/>
        <item x="1864"/>
        <item x="1863"/>
        <item x="1862"/>
        <item x="1861"/>
        <item x="1860"/>
        <item x="1859"/>
        <item x="1858"/>
        <item x="1857"/>
        <item x="1856"/>
        <item x="1855"/>
        <item x="1854"/>
        <item x="1853"/>
        <item x="1852"/>
        <item x="1851"/>
        <item x="1850"/>
        <item x="1849"/>
        <item x="1848"/>
        <item x="1847"/>
        <item x="1846"/>
        <item x="1845"/>
        <item x="1844"/>
        <item x="1843"/>
        <item x="1842"/>
        <item x="1841"/>
        <item x="1840"/>
        <item x="1839"/>
        <item x="1838"/>
        <item x="1837"/>
        <item x="1836"/>
        <item x="1835"/>
        <item x="1834"/>
        <item x="1833"/>
        <item x="1832"/>
        <item x="1831"/>
        <item x="1830"/>
        <item x="1829"/>
        <item x="1828"/>
        <item x="1827"/>
        <item x="1826"/>
        <item x="1825"/>
        <item x="1824"/>
        <item x="1823"/>
        <item x="1822"/>
        <item x="1821"/>
        <item x="1820"/>
        <item x="1819"/>
        <item x="1818"/>
        <item x="1817"/>
        <item x="1816"/>
        <item x="1815"/>
        <item x="1814"/>
        <item x="1813"/>
        <item x="1812"/>
        <item x="1811"/>
        <item x="1810"/>
        <item x="1809"/>
        <item x="1808"/>
        <item x="1807"/>
        <item x="1806"/>
        <item x="1805"/>
        <item x="1804"/>
        <item x="1803"/>
        <item x="1802"/>
        <item x="1801"/>
        <item x="1800"/>
        <item x="1799"/>
        <item x="1798"/>
        <item x="1797"/>
        <item x="1796"/>
        <item x="1795"/>
        <item x="1794"/>
        <item x="1793"/>
        <item x="1792"/>
        <item x="1791"/>
        <item x="1790"/>
        <item x="1789"/>
        <item x="1788"/>
        <item x="1787"/>
        <item x="1786"/>
        <item x="1785"/>
        <item x="1784"/>
        <item x="1783"/>
        <item x="1782"/>
        <item x="1781"/>
        <item x="1780"/>
        <item x="1779"/>
        <item x="1778"/>
        <item x="1777"/>
        <item x="1776"/>
        <item x="1775"/>
        <item x="1774"/>
        <item x="1773"/>
        <item x="1772"/>
        <item x="1771"/>
        <item x="1770"/>
        <item x="1769"/>
        <item x="1768"/>
        <item x="1767"/>
        <item x="1766"/>
        <item x="1765"/>
        <item x="1764"/>
        <item x="1763"/>
        <item x="1762"/>
        <item x="1761"/>
        <item x="1760"/>
        <item x="1759"/>
        <item x="1758"/>
        <item x="1757"/>
        <item x="1756"/>
        <item x="1755"/>
        <item x="1754"/>
        <item x="1753"/>
        <item x="1752"/>
        <item x="1751"/>
        <item x="1750"/>
        <item x="1749"/>
        <item x="1748"/>
        <item x="1747"/>
        <item x="1746"/>
        <item x="1745"/>
        <item x="1744"/>
        <item x="1743"/>
        <item x="1742"/>
        <item x="1741"/>
        <item x="1740"/>
        <item x="1739"/>
        <item x="1738"/>
        <item x="1737"/>
        <item x="1736"/>
        <item x="1735"/>
        <item x="1734"/>
        <item x="1733"/>
        <item x="1732"/>
        <item x="1731"/>
        <item x="1730"/>
        <item x="1729"/>
        <item x="1728"/>
        <item x="1727"/>
        <item x="1726"/>
        <item x="1725"/>
        <item x="1724"/>
        <item x="1723"/>
        <item x="1722"/>
        <item x="1721"/>
        <item x="1720"/>
        <item x="1719"/>
        <item x="1718"/>
        <item x="1717"/>
        <item x="1716"/>
        <item x="1715"/>
        <item x="1714"/>
        <item x="1713"/>
        <item x="1712"/>
        <item x="1711"/>
        <item x="1710"/>
        <item x="1709"/>
        <item x="1708"/>
        <item x="1707"/>
        <item x="1706"/>
        <item x="1705"/>
        <item x="1704"/>
        <item x="1703"/>
        <item x="1702"/>
        <item x="1701"/>
        <item x="1700"/>
        <item x="1699"/>
        <item x="1698"/>
        <item x="1697"/>
        <item x="1696"/>
        <item x="1695"/>
        <item x="1694"/>
        <item x="1693"/>
        <item x="1692"/>
        <item x="1691"/>
        <item x="1690"/>
        <item x="1689"/>
        <item x="1688"/>
        <item x="1687"/>
        <item x="1686"/>
        <item x="1685"/>
        <item x="1684"/>
        <item x="1683"/>
        <item x="1682"/>
        <item x="1681"/>
        <item x="1680"/>
        <item x="1679"/>
        <item x="1678"/>
        <item x="1677"/>
        <item x="1676"/>
        <item x="1675"/>
        <item x="1674"/>
        <item x="1673"/>
        <item x="1672"/>
        <item x="1671"/>
        <item x="1670"/>
        <item x="1669"/>
        <item x="1668"/>
        <item x="1667"/>
        <item x="1666"/>
        <item x="1665"/>
        <item x="1664"/>
        <item x="1663"/>
        <item x="1662"/>
        <item x="1661"/>
        <item x="1660"/>
        <item x="1659"/>
        <item x="1658"/>
        <item x="1657"/>
        <item x="1656"/>
        <item x="1655"/>
        <item x="1654"/>
        <item x="1653"/>
        <item x="1652"/>
        <item x="1651"/>
        <item x="1650"/>
        <item x="1649"/>
        <item x="1648"/>
        <item x="1647"/>
        <item x="1646"/>
        <item x="1645"/>
        <item x="1644"/>
        <item x="1643"/>
        <item x="1642"/>
        <item x="1641"/>
        <item x="1640"/>
        <item x="1639"/>
        <item x="1638"/>
        <item x="1637"/>
        <item x="1636"/>
        <item x="1635"/>
        <item x="1634"/>
        <item x="1633"/>
        <item x="1632"/>
        <item x="1631"/>
        <item x="1630"/>
        <item x="1629"/>
        <item x="1628"/>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576"/>
        <item x="1575"/>
        <item x="1574"/>
        <item x="1573"/>
        <item x="1572"/>
        <item x="1571"/>
        <item x="1570"/>
        <item x="1569"/>
        <item x="1568"/>
        <item x="1567"/>
        <item x="1566"/>
        <item x="1565"/>
        <item x="1564"/>
        <item x="1563"/>
        <item x="1562"/>
        <item x="1561"/>
        <item x="1560"/>
        <item x="1559"/>
        <item x="1558"/>
        <item x="1557"/>
        <item x="1556"/>
        <item x="1555"/>
        <item x="1554"/>
        <item x="1553"/>
        <item x="1552"/>
        <item x="1551"/>
        <item x="1550"/>
        <item x="1549"/>
        <item x="1548"/>
        <item x="1547"/>
        <item x="1546"/>
        <item x="1545"/>
        <item x="1544"/>
        <item x="1543"/>
        <item x="1542"/>
        <item x="1541"/>
        <item x="1540"/>
        <item x="1539"/>
        <item x="1538"/>
        <item x="1537"/>
        <item x="1536"/>
        <item x="1535"/>
        <item x="1534"/>
        <item x="1533"/>
        <item x="1532"/>
        <item x="1531"/>
        <item x="1530"/>
        <item x="1529"/>
        <item x="1528"/>
        <item x="1527"/>
        <item x="1526"/>
        <item x="1525"/>
        <item x="1524"/>
        <item x="1523"/>
        <item x="1522"/>
        <item x="1521"/>
        <item x="1520"/>
        <item x="1519"/>
        <item x="1518"/>
        <item x="1517"/>
        <item x="1516"/>
        <item x="1515"/>
        <item x="1514"/>
        <item x="1513"/>
        <item x="1512"/>
        <item x="1511"/>
        <item x="1510"/>
        <item x="1509"/>
        <item x="1508"/>
        <item x="1507"/>
        <item x="1506"/>
        <item x="1505"/>
        <item x="1504"/>
        <item x="1503"/>
        <item x="1502"/>
        <item x="1501"/>
        <item x="1500"/>
        <item x="1499"/>
        <item x="1498"/>
        <item x="1497"/>
        <item x="1496"/>
        <item x="1495"/>
        <item x="1494"/>
        <item x="1493"/>
        <item x="1492"/>
        <item x="1491"/>
        <item x="1490"/>
        <item x="1489"/>
        <item x="1488"/>
        <item x="1487"/>
        <item x="1486"/>
        <item x="1485"/>
        <item x="1484"/>
        <item x="1483"/>
        <item x="1482"/>
        <item x="1481"/>
        <item x="1480"/>
        <item x="1479"/>
        <item x="1478"/>
        <item x="1477"/>
        <item x="1476"/>
        <item x="1475"/>
        <item x="1474"/>
        <item x="1473"/>
        <item x="1472"/>
        <item x="1471"/>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2"/>
        <item x="1421"/>
        <item x="1420"/>
        <item x="1419"/>
        <item x="1418"/>
        <item x="1417"/>
        <item x="1416"/>
        <item x="1415"/>
        <item x="1414"/>
        <item x="1413"/>
        <item x="1412"/>
        <item x="1411"/>
        <item x="1410"/>
        <item x="1409"/>
        <item x="1408"/>
        <item x="1407"/>
        <item x="1406"/>
        <item x="1405"/>
        <item x="1404"/>
        <item x="1403"/>
        <item x="1402"/>
        <item x="1401"/>
        <item x="1400"/>
        <item x="1399"/>
        <item x="1398"/>
        <item x="1397"/>
        <item x="1396"/>
        <item x="1395"/>
        <item x="1394"/>
        <item x="1393"/>
        <item x="1392"/>
        <item x="1391"/>
        <item x="1390"/>
        <item x="1389"/>
        <item x="1388"/>
        <item x="1387"/>
        <item x="1386"/>
        <item x="1385"/>
        <item x="1384"/>
        <item x="1383"/>
        <item x="1382"/>
        <item x="1381"/>
        <item x="1380"/>
        <item x="1379"/>
        <item x="1378"/>
        <item x="1377"/>
        <item x="1376"/>
        <item x="1375"/>
        <item x="1374"/>
        <item x="1373"/>
        <item x="1372"/>
        <item x="1371"/>
        <item x="1370"/>
        <item x="1369"/>
        <item x="1368"/>
        <item x="1367"/>
        <item x="1366"/>
        <item x="1365"/>
        <item x="1364"/>
        <item x="1363"/>
        <item x="1362"/>
        <item x="1361"/>
        <item x="1360"/>
        <item x="1359"/>
        <item x="1358"/>
        <item x="1357"/>
        <item x="1356"/>
        <item x="1355"/>
        <item x="1354"/>
        <item x="1353"/>
        <item x="1352"/>
        <item x="1351"/>
        <item x="1350"/>
        <item x="1349"/>
        <item x="1348"/>
        <item x="1347"/>
        <item x="1346"/>
        <item x="1345"/>
        <item x="1344"/>
        <item x="1343"/>
        <item x="1342"/>
        <item x="1341"/>
        <item x="1340"/>
        <item x="1339"/>
        <item x="1338"/>
        <item x="1337"/>
        <item x="1336"/>
        <item x="1335"/>
        <item x="1334"/>
        <item x="1333"/>
        <item x="1332"/>
        <item x="1331"/>
        <item x="1330"/>
        <item x="1329"/>
        <item x="1328"/>
        <item x="1327"/>
        <item x="1326"/>
        <item x="1325"/>
        <item x="1324"/>
        <item x="1323"/>
        <item x="1322"/>
        <item x="1321"/>
        <item x="1320"/>
        <item x="1319"/>
        <item x="1318"/>
        <item x="1317"/>
        <item x="1316"/>
        <item x="1315"/>
        <item x="1314"/>
        <item x="1313"/>
        <item x="1312"/>
        <item x="1311"/>
        <item x="1310"/>
        <item x="1309"/>
        <item x="1308"/>
        <item x="1307"/>
        <item x="1306"/>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dataField="1" showAll="0">
      <items count="1030">
        <item x="920"/>
        <item x="902"/>
        <item x="903"/>
        <item x="904"/>
        <item x="905"/>
        <item x="906"/>
        <item x="907"/>
        <item x="908"/>
        <item x="909"/>
        <item x="910"/>
        <item x="911"/>
        <item x="912"/>
        <item x="913"/>
        <item x="914"/>
        <item x="925"/>
        <item x="915"/>
        <item x="926"/>
        <item x="916"/>
        <item x="1017"/>
        <item x="975"/>
        <item x="917"/>
        <item x="918"/>
        <item x="919"/>
        <item x="922"/>
        <item x="923"/>
        <item x="1019"/>
        <item x="1018"/>
        <item x="921"/>
        <item x="924"/>
        <item x="890"/>
        <item x="973"/>
        <item x="972"/>
        <item x="966"/>
        <item x="933"/>
        <item x="961"/>
        <item x="891"/>
        <item x="974"/>
        <item x="892"/>
        <item x="960"/>
        <item x="893"/>
        <item x="944"/>
        <item x="888"/>
        <item x="894"/>
        <item x="969"/>
        <item x="959"/>
        <item x="968"/>
        <item x="889"/>
        <item x="895"/>
        <item x="896"/>
        <item x="953"/>
        <item x="885"/>
        <item x="965"/>
        <item x="897"/>
        <item x="899"/>
        <item x="886"/>
        <item x="900"/>
        <item x="934"/>
        <item x="898"/>
        <item x="901"/>
        <item x="981"/>
        <item x="970"/>
        <item x="887"/>
        <item x="963"/>
        <item x="971"/>
        <item x="946"/>
        <item x="962"/>
        <item x="945"/>
        <item x="976"/>
        <item x="964"/>
        <item x="938"/>
        <item x="977"/>
        <item x="967"/>
        <item x="992"/>
        <item x="1016"/>
        <item x="1015"/>
        <item x="991"/>
        <item x="984"/>
        <item x="985"/>
        <item x="980"/>
        <item x="937"/>
        <item x="883"/>
        <item x="884"/>
        <item x="955"/>
        <item x="957"/>
        <item x="987"/>
        <item x="956"/>
        <item x="958"/>
        <item x="983"/>
        <item x="882"/>
        <item x="982"/>
        <item x="954"/>
        <item x="986"/>
        <item x="949"/>
        <item x="942"/>
        <item x="943"/>
        <item x="927"/>
        <item x="928"/>
        <item x="940"/>
        <item x="1014"/>
        <item x="929"/>
        <item x="930"/>
        <item x="931"/>
        <item x="932"/>
        <item x="994"/>
        <item x="990"/>
        <item x="989"/>
        <item x="995"/>
        <item x="939"/>
        <item x="1010"/>
        <item x="997"/>
        <item x="941"/>
        <item x="1021"/>
        <item x="936"/>
        <item x="998"/>
        <item x="935"/>
        <item x="952"/>
        <item x="951"/>
        <item x="864"/>
        <item x="993"/>
        <item x="865"/>
        <item x="866"/>
        <item x="1008"/>
        <item x="1011"/>
        <item x="867"/>
        <item x="868"/>
        <item x="948"/>
        <item x="988"/>
        <item x="869"/>
        <item x="870"/>
        <item x="871"/>
        <item x="996"/>
        <item x="1002"/>
        <item x="872"/>
        <item x="873"/>
        <item x="874"/>
        <item x="875"/>
        <item x="1003"/>
        <item x="876"/>
        <item x="1001"/>
        <item x="877"/>
        <item x="878"/>
        <item x="999"/>
        <item x="879"/>
        <item x="880"/>
        <item x="1004"/>
        <item x="881"/>
        <item x="1022"/>
        <item x="979"/>
        <item x="1028"/>
        <item x="950"/>
        <item x="1005"/>
        <item x="1012"/>
        <item x="1006"/>
        <item x="1007"/>
        <item x="978"/>
        <item x="1000"/>
        <item x="947"/>
        <item x="1020"/>
        <item x="1013"/>
        <item x="1027"/>
        <item x="1009"/>
        <item x="1023"/>
        <item x="1025"/>
        <item x="1026"/>
        <item x="1024"/>
        <item x="610"/>
        <item x="615"/>
        <item x="608"/>
        <item x="607"/>
        <item x="616"/>
        <item x="624"/>
        <item x="710"/>
        <item x="711"/>
        <item x="712"/>
        <item x="713"/>
        <item x="714"/>
        <item x="715"/>
        <item x="709"/>
        <item x="612"/>
        <item x="613"/>
        <item x="618"/>
        <item x="606"/>
        <item x="605"/>
        <item x="609"/>
        <item x="611"/>
        <item x="706"/>
        <item x="604"/>
        <item x="614"/>
        <item x="619"/>
        <item x="620"/>
        <item x="700"/>
        <item x="621"/>
        <item x="622"/>
        <item x="701"/>
        <item x="702"/>
        <item x="703"/>
        <item x="704"/>
        <item x="705"/>
        <item x="623"/>
        <item x="708"/>
        <item x="707"/>
        <item x="669"/>
        <item x="666"/>
        <item x="655"/>
        <item x="665"/>
        <item x="656"/>
        <item x="653"/>
        <item x="664"/>
        <item x="668"/>
        <item x="657"/>
        <item x="658"/>
        <item x="652"/>
        <item x="650"/>
        <item x="627"/>
        <item x="626"/>
        <item x="628"/>
        <item x="625"/>
        <item x="629"/>
        <item x="640"/>
        <item x="631"/>
        <item x="637"/>
        <item x="636"/>
        <item x="617"/>
        <item x="680"/>
        <item x="679"/>
        <item x="671"/>
        <item x="670"/>
        <item x="678"/>
        <item x="674"/>
        <item x="603"/>
        <item x="643"/>
        <item x="683"/>
        <item x="645"/>
        <item x="685"/>
        <item x="687"/>
        <item x="551"/>
        <item x="552"/>
        <item x="591"/>
        <item x="690"/>
        <item x="689"/>
        <item x="688"/>
        <item x="590"/>
        <item x="722"/>
        <item x="553"/>
        <item x="646"/>
        <item x="555"/>
        <item x="717"/>
        <item x="558"/>
        <item x="557"/>
        <item x="554"/>
        <item x="556"/>
        <item x="559"/>
        <item x="589"/>
        <item x="718"/>
        <item x="647"/>
        <item x="560"/>
        <item x="536"/>
        <item x="723"/>
        <item x="663"/>
        <item x="719"/>
        <item x="566"/>
        <item x="684"/>
        <item x="565"/>
        <item x="532"/>
        <item x="567"/>
        <item x="725"/>
        <item x="534"/>
        <item x="535"/>
        <item x="659"/>
        <item x="570"/>
        <item x="692"/>
        <item x="561"/>
        <item x="572"/>
        <item x="538"/>
        <item x="569"/>
        <item x="571"/>
        <item x="588"/>
        <item x="562"/>
        <item x="758"/>
        <item x="548"/>
        <item x="547"/>
        <item x="539"/>
        <item x="716"/>
        <item x="563"/>
        <item x="720"/>
        <item x="667"/>
        <item x="593"/>
        <item x="587"/>
        <item x="512"/>
        <item x="721"/>
        <item x="660"/>
        <item x="693"/>
        <item x="695"/>
        <item x="586"/>
        <item x="696"/>
        <item x="649"/>
        <item x="546"/>
        <item x="533"/>
        <item x="698"/>
        <item x="530"/>
        <item x="602"/>
        <item x="585"/>
        <item x="641"/>
        <item x="542"/>
        <item x="541"/>
        <item x="573"/>
        <item x="544"/>
        <item x="543"/>
        <item x="545"/>
        <item x="699"/>
        <item x="676"/>
        <item x="677"/>
        <item x="639"/>
        <item x="601"/>
        <item x="594"/>
        <item x="595"/>
        <item x="761"/>
        <item x="584"/>
        <item x="856"/>
        <item x="638"/>
        <item x="759"/>
        <item x="644"/>
        <item x="592"/>
        <item x="760"/>
        <item x="518"/>
        <item x="694"/>
        <item x="596"/>
        <item x="519"/>
        <item x="517"/>
        <item x="529"/>
        <item x="516"/>
        <item x="672"/>
        <item x="521"/>
        <item x="632"/>
        <item x="523"/>
        <item x="524"/>
        <item x="630"/>
        <item x="697"/>
        <item x="520"/>
        <item x="633"/>
        <item x="642"/>
        <item x="522"/>
        <item x="651"/>
        <item x="574"/>
        <item x="525"/>
        <item x="661"/>
        <item x="634"/>
        <item x="583"/>
        <item x="600"/>
        <item x="673"/>
        <item x="526"/>
        <item x="575"/>
        <item x="681"/>
        <item x="527"/>
        <item x="686"/>
        <item x="568"/>
        <item x="510"/>
        <item x="582"/>
        <item x="597"/>
        <item x="576"/>
        <item x="581"/>
        <item x="726"/>
        <item x="511"/>
        <item x="762"/>
        <item x="577"/>
        <item x="727"/>
        <item x="507"/>
        <item x="580"/>
        <item x="728"/>
        <item x="578"/>
        <item x="810"/>
        <item x="729"/>
        <item x="504"/>
        <item x="812"/>
        <item x="599"/>
        <item x="809"/>
        <item x="550"/>
        <item x="763"/>
        <item x="537"/>
        <item x="549"/>
        <item x="506"/>
        <item x="540"/>
        <item x="746"/>
        <item x="747"/>
        <item x="730"/>
        <item x="764"/>
        <item x="682"/>
        <item x="744"/>
        <item x="731"/>
        <item x="808"/>
        <item x="748"/>
        <item x="691"/>
        <item x="635"/>
        <item x="675"/>
        <item x="579"/>
        <item x="564"/>
        <item x="732"/>
        <item x="733"/>
        <item x="743"/>
        <item x="648"/>
        <item x="598"/>
        <item x="742"/>
        <item x="857"/>
        <item x="734"/>
        <item x="807"/>
        <item x="735"/>
        <item x="784"/>
        <item x="782"/>
        <item x="776"/>
        <item x="774"/>
        <item x="654"/>
        <item x="662"/>
        <item x="531"/>
        <item x="741"/>
        <item x="767"/>
        <item x="515"/>
        <item x="765"/>
        <item x="505"/>
        <item x="766"/>
        <item x="768"/>
        <item x="769"/>
        <item x="814"/>
        <item x="816"/>
        <item x="736"/>
        <item x="815"/>
        <item x="772"/>
        <item x="799"/>
        <item x="798"/>
        <item x="796"/>
        <item x="778"/>
        <item x="783"/>
        <item x="777"/>
        <item x="528"/>
        <item x="775"/>
        <item x="785"/>
        <item x="779"/>
        <item x="780"/>
        <item x="514"/>
        <item x="788"/>
        <item x="781"/>
        <item x="789"/>
        <item x="787"/>
        <item x="786"/>
        <item x="739"/>
        <item x="740"/>
        <item x="801"/>
        <item x="513"/>
        <item x="757"/>
        <item x="752"/>
        <item x="508"/>
        <item x="817"/>
        <item x="751"/>
        <item x="749"/>
        <item x="750"/>
        <item x="498"/>
        <item x="753"/>
        <item x="755"/>
        <item x="770"/>
        <item x="503"/>
        <item x="496"/>
        <item x="509"/>
        <item x="500"/>
        <item x="724"/>
        <item x="501"/>
        <item x="813"/>
        <item x="818"/>
        <item x="811"/>
        <item x="495"/>
        <item x="805"/>
        <item x="806"/>
        <item x="804"/>
        <item x="803"/>
        <item x="819"/>
        <item x="771"/>
        <item x="797"/>
        <item x="795"/>
        <item x="802"/>
        <item x="820"/>
        <item x="793"/>
        <item x="792"/>
        <item x="791"/>
        <item x="790"/>
        <item x="794"/>
        <item x="800"/>
        <item x="773"/>
        <item x="499"/>
        <item x="497"/>
        <item x="863"/>
        <item x="737"/>
        <item x="738"/>
        <item x="821"/>
        <item x="756"/>
        <item x="494"/>
        <item x="493"/>
        <item x="851"/>
        <item x="492"/>
        <item x="490"/>
        <item x="852"/>
        <item x="489"/>
        <item x="491"/>
        <item x="853"/>
        <item x="854"/>
        <item x="855"/>
        <item x="502"/>
        <item x="473"/>
        <item x="471"/>
        <item x="477"/>
        <item x="472"/>
        <item x="476"/>
        <item x="485"/>
        <item x="486"/>
        <item x="488"/>
        <item x="487"/>
        <item x="754"/>
        <item x="480"/>
        <item x="481"/>
        <item x="470"/>
        <item x="843"/>
        <item x="844"/>
        <item x="845"/>
        <item x="467"/>
        <item x="468"/>
        <item x="466"/>
        <item x="463"/>
        <item x="745"/>
        <item x="465"/>
        <item x="469"/>
        <item x="478"/>
        <item x="479"/>
        <item x="458"/>
        <item x="462"/>
        <item x="456"/>
        <item x="846"/>
        <item x="847"/>
        <item x="848"/>
        <item x="483"/>
        <item x="475"/>
        <item x="482"/>
        <item x="474"/>
        <item x="455"/>
        <item x="374"/>
        <item x="849"/>
        <item x="396"/>
        <item x="395"/>
        <item x="397"/>
        <item x="393"/>
        <item x="394"/>
        <item x="444"/>
        <item x="398"/>
        <item x="400"/>
        <item x="399"/>
        <item x="401"/>
        <item x="392"/>
        <item x="445"/>
        <item x="460"/>
        <item x="484"/>
        <item x="440"/>
        <item x="448"/>
        <item x="441"/>
        <item x="451"/>
        <item x="450"/>
        <item x="365"/>
        <item x="453"/>
        <item x="464"/>
        <item x="452"/>
        <item x="459"/>
        <item x="410"/>
        <item x="438"/>
        <item x="447"/>
        <item x="391"/>
        <item x="406"/>
        <item x="413"/>
        <item x="407"/>
        <item x="454"/>
        <item x="461"/>
        <item x="404"/>
        <item x="837"/>
        <item x="836"/>
        <item x="436"/>
        <item x="850"/>
        <item x="457"/>
        <item x="841"/>
        <item x="405"/>
        <item x="835"/>
        <item x="842"/>
        <item x="435"/>
        <item x="434"/>
        <item x="427"/>
        <item x="431"/>
        <item x="428"/>
        <item x="429"/>
        <item x="423"/>
        <item x="402"/>
        <item x="425"/>
        <item x="421"/>
        <item x="833"/>
        <item x="424"/>
        <item x="834"/>
        <item x="403"/>
        <item x="371"/>
        <item x="838"/>
        <item x="384"/>
        <item x="419"/>
        <item x="446"/>
        <item x="383"/>
        <item x="373"/>
        <item x="832"/>
        <item x="372"/>
        <item x="409"/>
        <item x="389"/>
        <item x="375"/>
        <item x="376"/>
        <item x="386"/>
        <item x="385"/>
        <item x="370"/>
        <item x="822"/>
        <item x="387"/>
        <item x="388"/>
        <item x="416"/>
        <item x="449"/>
        <item x="377"/>
        <item x="417"/>
        <item x="840"/>
        <item x="368"/>
        <item x="430"/>
        <item x="382"/>
        <item x="443"/>
        <item x="414"/>
        <item x="412"/>
        <item x="442"/>
        <item x="862"/>
        <item x="390"/>
        <item x="378"/>
        <item x="829"/>
        <item x="830"/>
        <item x="379"/>
        <item x="415"/>
        <item x="839"/>
        <item x="408"/>
        <item x="831"/>
        <item x="828"/>
        <item x="437"/>
        <item x="439"/>
        <item x="432"/>
        <item x="824"/>
        <item x="433"/>
        <item x="823"/>
        <item x="367"/>
        <item x="325"/>
        <item x="827"/>
        <item x="422"/>
        <item x="313"/>
        <item x="426"/>
        <item x="420"/>
        <item x="366"/>
        <item x="411"/>
        <item x="309"/>
        <item x="312"/>
        <item x="335"/>
        <item x="336"/>
        <item x="380"/>
        <item x="418"/>
        <item x="381"/>
        <item x="337"/>
        <item x="364"/>
        <item x="311"/>
        <item x="333"/>
        <item x="369"/>
        <item x="825"/>
        <item x="323"/>
        <item x="331"/>
        <item x="826"/>
        <item x="330"/>
        <item x="363"/>
        <item x="338"/>
        <item x="858"/>
        <item x="859"/>
        <item x="329"/>
        <item x="332"/>
        <item x="860"/>
        <item x="317"/>
        <item x="308"/>
        <item x="339"/>
        <item x="362"/>
        <item x="361"/>
        <item x="303"/>
        <item x="358"/>
        <item x="328"/>
        <item x="357"/>
        <item x="861"/>
        <item x="348"/>
        <item x="314"/>
        <item x="345"/>
        <item x="350"/>
        <item x="341"/>
        <item x="342"/>
        <item x="351"/>
        <item x="352"/>
        <item x="318"/>
        <item x="343"/>
        <item x="334"/>
        <item x="340"/>
        <item x="310"/>
        <item x="356"/>
        <item x="316"/>
        <item x="353"/>
        <item x="355"/>
        <item x="315"/>
        <item x="354"/>
        <item x="322"/>
        <item x="320"/>
        <item x="319"/>
        <item x="324"/>
        <item x="321"/>
        <item x="307"/>
        <item x="327"/>
        <item x="301"/>
        <item x="349"/>
        <item x="360"/>
        <item x="68"/>
        <item x="347"/>
        <item x="326"/>
        <item x="359"/>
        <item x="305"/>
        <item x="98"/>
        <item x="346"/>
        <item x="344"/>
        <item x="306"/>
        <item x="91"/>
        <item x="95"/>
        <item x="75"/>
        <item x="114"/>
        <item x="97"/>
        <item x="113"/>
        <item x="85"/>
        <item x="99"/>
        <item x="185"/>
        <item x="100"/>
        <item x="110"/>
        <item x="102"/>
        <item x="107"/>
        <item x="111"/>
        <item x="109"/>
        <item x="108"/>
        <item x="183"/>
        <item x="96"/>
        <item x="184"/>
        <item x="112"/>
        <item x="94"/>
        <item x="93"/>
        <item x="167"/>
        <item x="86"/>
        <item x="103"/>
        <item x="106"/>
        <item x="101"/>
        <item x="105"/>
        <item x="46"/>
        <item x="165"/>
        <item x="92"/>
        <item x="104"/>
        <item x="90"/>
        <item x="82"/>
        <item x="74"/>
        <item x="118"/>
        <item x="117"/>
        <item x="302"/>
        <item x="70"/>
        <item x="119"/>
        <item x="72"/>
        <item x="65"/>
        <item x="120"/>
        <item x="69"/>
        <item x="71"/>
        <item x="77"/>
        <item x="78"/>
        <item x="87"/>
        <item x="170"/>
        <item x="79"/>
        <item x="63"/>
        <item x="61"/>
        <item x="52"/>
        <item x="64"/>
        <item x="73"/>
        <item x="59"/>
        <item x="81"/>
        <item x="60"/>
        <item x="56"/>
        <item x="57"/>
        <item x="62"/>
        <item x="76"/>
        <item x="58"/>
        <item x="55"/>
        <item x="54"/>
        <item x="66"/>
        <item x="67"/>
        <item x="51"/>
        <item x="115"/>
        <item x="182"/>
        <item x="80"/>
        <item x="89"/>
        <item x="172"/>
        <item x="83"/>
        <item x="84"/>
        <item x="286"/>
        <item x="287"/>
        <item x="285"/>
        <item x="171"/>
        <item x="121"/>
        <item x="116"/>
        <item x="50"/>
        <item x="122"/>
        <item x="179"/>
        <item x="282"/>
        <item x="176"/>
        <item x="180"/>
        <item x="175"/>
        <item x="168"/>
        <item x="53"/>
        <item x="49"/>
        <item x="178"/>
        <item x="48"/>
        <item x="177"/>
        <item x="201"/>
        <item x="88"/>
        <item x="186"/>
        <item x="174"/>
        <item x="181"/>
        <item x="284"/>
        <item x="297"/>
        <item x="169"/>
        <item x="173"/>
        <item x="123"/>
        <item x="47"/>
        <item x="45"/>
        <item x="300"/>
        <item x="277"/>
        <item x="304"/>
        <item x="194"/>
        <item x="188"/>
        <item x="124"/>
        <item x="299"/>
        <item x="273"/>
        <item x="275"/>
        <item x="197"/>
        <item x="288"/>
        <item x="279"/>
        <item x="187"/>
        <item x="272"/>
        <item x="158"/>
        <item x="126"/>
        <item x="195"/>
        <item x="129"/>
        <item x="198"/>
        <item x="127"/>
        <item x="128"/>
        <item x="44"/>
        <item x="190"/>
        <item x="136"/>
        <item x="131"/>
        <item x="134"/>
        <item x="278"/>
        <item x="166"/>
        <item x="159"/>
        <item x="191"/>
        <item x="139"/>
        <item x="151"/>
        <item x="135"/>
        <item x="140"/>
        <item x="154"/>
        <item x="156"/>
        <item x="125"/>
        <item x="157"/>
        <item x="281"/>
        <item x="153"/>
        <item x="141"/>
        <item x="152"/>
        <item x="155"/>
        <item x="149"/>
        <item x="192"/>
        <item x="150"/>
        <item x="274"/>
        <item x="164"/>
        <item x="132"/>
        <item x="130"/>
        <item x="137"/>
        <item x="163"/>
        <item x="147"/>
        <item x="160"/>
        <item x="133"/>
        <item x="138"/>
        <item x="161"/>
        <item x="43"/>
        <item x="162"/>
        <item x="280"/>
        <item x="271"/>
        <item x="199"/>
        <item x="41"/>
        <item x="196"/>
        <item x="200"/>
        <item x="289"/>
        <item x="189"/>
        <item x="283"/>
        <item x="193"/>
        <item x="269"/>
        <item x="148"/>
        <item x="145"/>
        <item x="276"/>
        <item x="144"/>
        <item x="202"/>
        <item x="263"/>
        <item x="264"/>
        <item x="270"/>
        <item x="212"/>
        <item x="210"/>
        <item x="290"/>
        <item x="262"/>
        <item x="258"/>
        <item x="42"/>
        <item x="254"/>
        <item x="257"/>
        <item x="253"/>
        <item x="256"/>
        <item x="259"/>
        <item x="267"/>
        <item x="268"/>
        <item x="213"/>
        <item x="261"/>
        <item x="142"/>
        <item x="260"/>
        <item x="255"/>
        <item x="146"/>
        <item x="265"/>
        <item x="266"/>
        <item x="206"/>
        <item x="252"/>
        <item x="203"/>
        <item x="214"/>
        <item x="209"/>
        <item x="296"/>
        <item x="215"/>
        <item x="298"/>
        <item x="241"/>
        <item x="240"/>
        <item x="233"/>
        <item x="251"/>
        <item x="216"/>
        <item x="238"/>
        <item x="232"/>
        <item x="207"/>
        <item x="204"/>
        <item x="239"/>
        <item x="234"/>
        <item x="143"/>
        <item x="249"/>
        <item x="237"/>
        <item x="250"/>
        <item x="244"/>
        <item x="242"/>
        <item x="205"/>
        <item x="208"/>
        <item x="235"/>
        <item x="40"/>
        <item x="231"/>
        <item x="248"/>
        <item x="211"/>
        <item x="247"/>
        <item x="25"/>
        <item x="30"/>
        <item x="217"/>
        <item x="236"/>
        <item x="229"/>
        <item x="230"/>
        <item x="243"/>
        <item x="218"/>
        <item x="28"/>
        <item x="20"/>
        <item x="19"/>
        <item x="228"/>
        <item x="23"/>
        <item x="219"/>
        <item x="245"/>
        <item x="27"/>
        <item x="246"/>
        <item x="26"/>
        <item x="32"/>
        <item x="22"/>
        <item x="24"/>
        <item x="18"/>
        <item x="226"/>
        <item x="220"/>
        <item x="17"/>
        <item x="224"/>
        <item x="21"/>
        <item x="227"/>
        <item x="33"/>
        <item x="295"/>
        <item x="221"/>
        <item x="222"/>
        <item x="31"/>
        <item x="29"/>
        <item x="39"/>
        <item x="223"/>
        <item x="225"/>
        <item x="16"/>
        <item x="38"/>
        <item x="34"/>
        <item x="15"/>
        <item x="11"/>
        <item x="14"/>
        <item x="36"/>
        <item x="294"/>
        <item x="37"/>
        <item x="35"/>
        <item x="13"/>
        <item x="10"/>
        <item x="12"/>
        <item x="291"/>
        <item x="293"/>
        <item x="9"/>
        <item x="292"/>
        <item x="8"/>
        <item x="1"/>
        <item x="0"/>
        <item x="2"/>
        <item x="4"/>
        <item x="6"/>
        <item x="5"/>
        <item x="7"/>
        <item x="3"/>
        <item t="default"/>
      </items>
    </pivotField>
    <pivotField showAll="0"/>
    <pivotField showAll="0"/>
    <pivotField showAll="0"/>
    <pivotField numFmtId="10" showAll="0"/>
    <pivotField axis="axisPage" multipleItemSelectionAllowed="1" showAll="0">
      <items count="9">
        <item x="7"/>
        <item x="6"/>
        <item x="5"/>
        <item x="4"/>
        <item x="3"/>
        <item x="2"/>
        <item x="1"/>
        <item x="0"/>
        <item t="default"/>
      </items>
    </pivotField>
  </pivotFields>
  <rowFields count="1">
    <field x="0"/>
  </rowFields>
  <rowItems count="18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t="grand">
      <x/>
    </i>
  </rowItems>
  <colItems count="1">
    <i/>
  </colItems>
  <pageFields count="1">
    <pageField fld="6" hier="-1"/>
  </pageFields>
  <dataFields count="1">
    <dataField name="Suma de Último" fld="1" baseField="0" baseItem="0"/>
  </dataField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6" cacheId="5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F3:G7" firstHeaderRow="1" firstDataRow="1" firstDataCol="1"/>
  <pivotFields count="4">
    <pivotField axis="axisRow" showAll="0">
      <items count="5">
        <item x="0"/>
        <item x="1"/>
        <item x="2"/>
        <item m="1" x="3"/>
        <item t="default"/>
      </items>
    </pivotField>
    <pivotField showAll="0"/>
    <pivotField numFmtId="41" showAll="0"/>
    <pivotField dataField="1" numFmtId="10" showAll="0"/>
  </pivotFields>
  <rowFields count="1">
    <field x="0"/>
  </rowFields>
  <rowItems count="4">
    <i>
      <x/>
    </i>
    <i>
      <x v="1"/>
    </i>
    <i>
      <x v="2"/>
    </i>
    <i t="grand">
      <x/>
    </i>
  </rowItems>
  <colItems count="1">
    <i/>
  </colItems>
  <dataFields count="1">
    <dataField name="Suma de % Particiación" fld="3"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 cacheId="4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1:F7" firstHeaderRow="1" firstDataRow="2" firstDataCol="1"/>
  <pivotFields count="4">
    <pivotField axis="axisCol" showAll="0">
      <items count="5">
        <item x="0"/>
        <item x="2"/>
        <item x="1"/>
        <item x="3"/>
        <item t="default"/>
      </items>
    </pivotField>
    <pivotField showAll="0"/>
    <pivotField axis="axisRow" showAll="0">
      <items count="5">
        <item x="0"/>
        <item x="1"/>
        <item x="2"/>
        <item x="3"/>
        <item t="default"/>
      </items>
    </pivotField>
    <pivotField dataField="1" showAll="0"/>
  </pivotFields>
  <rowFields count="1">
    <field x="2"/>
  </rowFields>
  <rowItems count="5">
    <i>
      <x/>
    </i>
    <i>
      <x v="1"/>
    </i>
    <i>
      <x v="2"/>
    </i>
    <i>
      <x v="3"/>
    </i>
    <i t="grand">
      <x/>
    </i>
  </rowItems>
  <colFields count="1">
    <field x="0"/>
  </colFields>
  <colItems count="5">
    <i>
      <x/>
    </i>
    <i>
      <x v="1"/>
    </i>
    <i>
      <x v="2"/>
    </i>
    <i>
      <x v="3"/>
    </i>
    <i t="grand">
      <x/>
    </i>
  </colItems>
  <dataFields count="1">
    <dataField name="Sum of Valor" fld="3" baseField="0" baseItem="0"/>
  </dataFields>
  <chartFormats count="8">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1">
          <reference field="0" count="1" selected="0">
            <x v="3"/>
          </reference>
        </references>
      </pivotArea>
    </chartFormat>
    <chartFormat chart="0" format="4" series="1">
      <pivotArea type="data" outline="0" fieldPosition="0">
        <references count="2">
          <reference field="4294967294" count="1" selected="0">
            <x v="0"/>
          </reference>
          <reference field="0"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 chart="0" format="6" series="1">
      <pivotArea type="data" outline="0" fieldPosition="0">
        <references count="2">
          <reference field="4294967294" count="1" selected="0">
            <x v="0"/>
          </reference>
          <reference field="0" count="1" selected="0">
            <x v="2"/>
          </reference>
        </references>
      </pivotArea>
    </chartFormat>
    <chartFormat chart="0" format="7"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7" autoFormatId="16" applyNumberFormats="0" applyBorderFormats="0" applyFontFormats="0" applyPatternFormats="0" applyAlignmentFormats="0" applyWidthHeightFormats="0">
  <queryTableRefresh nextId="6">
    <queryTableFields count="5">
      <queryTableField id="1" name="Orden" tableColumnId="1"/>
      <queryTableField id="2" name="INDICADOR FINANCIERO" tableColumnId="2"/>
      <queryTableField id="3" name="Attribute" tableColumnId="3"/>
      <queryTableField id="4" name="Value" tableColumnId="4"/>
      <queryTableField id="5" name="Attribute - Copy" tableColumnId="5"/>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DICADOR_FINANCIERO" sourceName="INDICADOR FINANCIERO">
  <pivotTables>
    <pivotTable tabId="34" name="PivotTable3"/>
  </pivotTables>
  <data>
    <tabular pivotCacheId="402579389">
      <items count="13">
        <i x="8"/>
        <i x="5"/>
        <i x="0"/>
        <i x="6"/>
        <i x="4"/>
        <i x="2" s="1"/>
        <i x="1"/>
        <i x="3"/>
        <i x="9"/>
        <i x="12"/>
        <i x="11"/>
        <i x="10"/>
        <i x="7"/>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ipo_Variacion" sourceName="Tipo Variacion">
  <pivotTables>
    <pivotTable tabId="34" name="PivotTable3"/>
  </pivotTables>
  <data>
    <tabular pivotCacheId="402579389">
      <items count="2">
        <i x="0"/>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DICADOR FINANCIERO 1" cache="Slicer_INDICADOR_FINANCIERO" caption="INDICADOR FINANCIERO" startItem="7" rowHeight="257175"/>
  <slicer name="Tipo Variacion" cache="Slicer_Tipo_Variacion" caption="Tipo Variacion" rowHeight="257175"/>
</slicers>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9" name="Años" displayName="Años" ref="A1:A6" totalsRowShown="0">
  <autoFilter ref="A1:A6"/>
  <tableColumns count="1">
    <tableColumn id="1" name="Años"/>
  </tableColumns>
  <tableStyleInfo name="TableStyleLight9" showFirstColumn="0" showLastColumn="0" showRowStripes="1" showColumnStripes="0"/>
</table>
</file>

<file path=xl/tables/table10.xml><?xml version="1.0" encoding="utf-8"?>
<table xmlns="http://schemas.openxmlformats.org/spreadsheetml/2006/main" id="2" name="ResultadosOpertivosyFinancieros" displayName="ResultadosOpertivosyFinancieros" ref="A2:F20" totalsRowShown="0">
  <autoFilter ref="A2:F20"/>
  <tableColumns count="6">
    <tableColumn id="1" name="Concepto"/>
    <tableColumn id="2" name="2014" dataDxfId="20"/>
    <tableColumn id="3" name="2015"/>
    <tableColumn id="4" name="2016" dataDxfId="19"/>
    <tableColumn id="5" name="2017" dataDxfId="18"/>
    <tableColumn id="6" name="2018"/>
  </tableColumns>
  <tableStyleInfo name="TableStyleLight9" showFirstColumn="0" showLastColumn="0" showRowStripes="1" showColumnStripes="0"/>
</table>
</file>

<file path=xl/tables/table11.xml><?xml version="1.0" encoding="utf-8"?>
<table xmlns="http://schemas.openxmlformats.org/spreadsheetml/2006/main" id="1" name="ResultadosOperativos" displayName="ResultadosOperativos" ref="A1:D49" totalsRowShown="0" headerRowDxfId="17" dataDxfId="16">
  <autoFilter ref="A1:D49">
    <filterColumn colId="1">
      <filters>
        <filter val="Ventas netas"/>
      </filters>
    </filterColumn>
    <filterColumn colId="2">
      <filters>
        <filter val="2015"/>
      </filters>
    </filterColumn>
  </autoFilter>
  <tableColumns count="4">
    <tableColumn id="1" name="Pais"/>
    <tableColumn id="2" name="Concepto" dataDxfId="15"/>
    <tableColumn id="7" name="Año" dataDxfId="14"/>
    <tableColumn id="8" name="Valor" dataDxfId="13"/>
  </tableColumns>
  <tableStyleInfo name="TableStyleLight9" showFirstColumn="0" showLastColumn="0" showRowStripes="1" showColumnStripes="0"/>
</table>
</file>

<file path=xl/tables/table2.xml><?xml version="1.0" encoding="utf-8"?>
<table xmlns="http://schemas.openxmlformats.org/spreadsheetml/2006/main" id="4" name="BalanceGeneral" displayName="BalanceGeneral" ref="B3:Y48" totalsRowCount="1" headerRowDxfId="285" dataDxfId="284">
  <autoFilter ref="B3:Y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5" hiddenButton="1"/>
    <filterColumn colId="16" hiddenButton="1"/>
    <filterColumn colId="17" hiddenButton="1"/>
    <filterColumn colId="18" hiddenButton="1"/>
    <filterColumn colId="20" hiddenButton="1"/>
    <filterColumn colId="21" hiddenButton="1"/>
    <filterColumn colId="22" hiddenButton="1"/>
  </autoFilter>
  <tableColumns count="24">
    <tableColumn id="1" name="Tipo Cuenta"/>
    <tableColumn id="2" name="Cuenta"/>
    <tableColumn id="3" name="2013" totalsRowFunction="custom" dataDxfId="283" totalsRowDxfId="282">
      <totalsRowFormula>+D45/D44</totalsRowFormula>
    </tableColumn>
    <tableColumn id="4" name="2014" totalsRowFunction="custom" dataDxfId="281" totalsRowDxfId="280">
      <totalsRowFormula>+E45/E44</totalsRowFormula>
    </tableColumn>
    <tableColumn id="5" name="2015" totalsRowFunction="custom" dataDxfId="279" totalsRowDxfId="278">
      <totalsRowFormula>+F45/F44</totalsRowFormula>
    </tableColumn>
    <tableColumn id="6" name="2016" totalsRowFunction="custom" dataDxfId="277" totalsRowDxfId="276">
      <totalsRowFormula>+G45/G44</totalsRowFormula>
    </tableColumn>
    <tableColumn id="7" name="2017" totalsRowFunction="custom" dataDxfId="275" totalsRowDxfId="274">
      <totalsRowFormula>+H45/H44</totalsRowFormula>
    </tableColumn>
    <tableColumn id="21" name="2018" totalsRowFunction="custom" dataDxfId="273" totalsRowDxfId="272">
      <totalsRowFormula>+I45/I44</totalsRowFormula>
    </tableColumn>
    <tableColumn id="8" name="Tendencia" dataDxfId="271" totalsRowDxfId="270"/>
    <tableColumn id="9" name=" Análisis Vertical 2013" dataDxfId="269" totalsRowDxfId="268"/>
    <tableColumn id="10" name=" Análisis Vertical 2014" dataDxfId="267" totalsRowDxfId="266"/>
    <tableColumn id="11" name=" Análisis Vertical 2015" dataDxfId="265" totalsRowDxfId="264"/>
    <tableColumn id="12" name=" Análisis Vertical 2016" dataDxfId="263" totalsRowDxfId="262"/>
    <tableColumn id="13" name=" Análisis Vertical 2017" dataDxfId="261" totalsRowDxfId="260"/>
    <tableColumn id="22" name=" Análisis Vertical 2018" dataDxfId="259" totalsRowDxfId="258">
      <calculatedColumnFormula>I4/I$20</calculatedColumnFormula>
    </tableColumn>
    <tableColumn id="14" name=" Horizontal 2014vs2013" dataDxfId="257" totalsRowDxfId="256">
      <calculatedColumnFormula>(E4-D4)/E4</calculatedColumnFormula>
    </tableColumn>
    <tableColumn id="15" name=" Horizontal 2015vs2014" dataDxfId="255" totalsRowDxfId="254">
      <calculatedColumnFormula>(F4-E4)/F4</calculatedColumnFormula>
    </tableColumn>
    <tableColumn id="16" name=" Horizontal 2016vs2015" dataDxfId="253" totalsRowDxfId="252">
      <calculatedColumnFormula>(G4-F4)/G4</calculatedColumnFormula>
    </tableColumn>
    <tableColumn id="17" name=" Horizontal 2017vs2016" dataDxfId="251" totalsRowDxfId="250">
      <calculatedColumnFormula>(H4-G4)/H4</calculatedColumnFormula>
    </tableColumn>
    <tableColumn id="24" name=" Horizontal 2018vs2017" dataDxfId="249" totalsRowDxfId="248">
      <calculatedColumnFormula>(I4-H4)/I4</calculatedColumnFormula>
    </tableColumn>
    <tableColumn id="18" name="Tendencia2" dataDxfId="247" totalsRowDxfId="246"/>
    <tableColumn id="19" name="Promedio 2014-2017" dataDxfId="245" totalsRowDxfId="244">
      <calculatedColumnFormula>E4-D4</calculatedColumnFormula>
    </tableColumn>
    <tableColumn id="20" name="Promedio 2016-2017" dataDxfId="243" totalsRowDxfId="242">
      <calculatedColumnFormula>F4-E4</calculatedColumnFormula>
    </tableColumn>
    <tableColumn id="23" name="Promedio 2017-2018" dataDxfId="241">
      <calculatedColumnFormula>AVERAGE(BalanceGeneral[[#This Row],[2017]:[2018]])</calculatedColumnFormula>
    </tableColumn>
  </tableColumns>
  <tableStyleInfo name="TableStyleLight9" showFirstColumn="1" showLastColumn="0" showRowStripes="1" showColumnStripes="0"/>
</table>
</file>

<file path=xl/tables/table3.xml><?xml version="1.0" encoding="utf-8"?>
<table xmlns="http://schemas.openxmlformats.org/spreadsheetml/2006/main" id="5" name="EstadosDeResultados" displayName="EstadosDeResultados" ref="A2:V22" totalsRowShown="0" headerRowDxfId="240" dataDxfId="239">
  <autoFilter ref="A2:V22">
    <filterColumn colId="0" hiddenButton="1"/>
    <filterColumn colId="1" hiddenButton="1"/>
    <filterColumn colId="2" hiddenButton="1"/>
    <filterColumn colId="3" hiddenButton="1"/>
    <filterColumn colId="4" hiddenButton="1"/>
    <filterColumn colId="5" hiddenButton="1"/>
    <filterColumn colId="6" hiddenButton="1"/>
    <filterColumn colId="8" hiddenButton="1"/>
    <filterColumn colId="9" hiddenButton="1"/>
    <filterColumn colId="10" hiddenButton="1"/>
    <filterColumn colId="11" hiddenButton="1"/>
    <filterColumn colId="12" hiddenButton="1"/>
    <filterColumn colId="14" hiddenButton="1"/>
    <filterColumn colId="15" hiddenButton="1"/>
    <filterColumn colId="16" hiddenButton="1"/>
    <filterColumn colId="17" hiddenButton="1"/>
  </autoFilter>
  <tableColumns count="22">
    <tableColumn id="1" name="Orden" dataDxfId="238"/>
    <tableColumn id="2" name="Cuenta"/>
    <tableColumn id="3" name="2013"/>
    <tableColumn id="4" name="2014"/>
    <tableColumn id="5" name="2015"/>
    <tableColumn id="6" name="2016"/>
    <tableColumn id="7" name="2017"/>
    <tableColumn id="13" name="2018" dataDxfId="237"/>
    <tableColumn id="8" name="Vertical 2013" dataDxfId="236">
      <calculatedColumnFormula>+C3/C$3</calculatedColumnFormula>
    </tableColumn>
    <tableColumn id="21" name="Vertical 2014" dataDxfId="235">
      <calculatedColumnFormula>+D3/D$3</calculatedColumnFormula>
    </tableColumn>
    <tableColumn id="9" name="Vertical 2015" dataDxfId="234">
      <calculatedColumnFormula>+E3/E$3</calculatedColumnFormula>
    </tableColumn>
    <tableColumn id="10" name="Vertical 2016" dataDxfId="233">
      <calculatedColumnFormula>+F3/F$3</calculatedColumnFormula>
    </tableColumn>
    <tableColumn id="16" name="Vertical 2017" dataDxfId="232">
      <calculatedColumnFormula>+G3/G$3</calculatedColumnFormula>
    </tableColumn>
    <tableColumn id="14" name="Vertical 2018" dataDxfId="231">
      <calculatedColumnFormula>+H3/H$3</calculatedColumnFormula>
    </tableColumn>
    <tableColumn id="17" name="Horizontal 2014vs2013" dataDxfId="230">
      <calculatedColumnFormula>IFERROR((D3-C3)/D3,)</calculatedColumnFormula>
    </tableColumn>
    <tableColumn id="18" name="Horizontal 2015vs2014" dataDxfId="229">
      <calculatedColumnFormula>IFERROR((E3-D3)/E3,)</calculatedColumnFormula>
    </tableColumn>
    <tableColumn id="19" name="Horizontal 2016vs2015" dataDxfId="228">
      <calculatedColumnFormula>IFERROR((F3-E3)/F3,)</calculatedColumnFormula>
    </tableColumn>
    <tableColumn id="20" name="Horizontal 2017vs2016" dataDxfId="227">
      <calculatedColumnFormula>IFERROR((G3-F3)/G3,)</calculatedColumnFormula>
    </tableColumn>
    <tableColumn id="22" name="Horizontal 2018vs2017" dataDxfId="226">
      <calculatedColumnFormula>IFERROR((H3-G3)/H3,)</calculatedColumnFormula>
    </tableColumn>
    <tableColumn id="11" name="Promedio 2013-2016" dataDxfId="225">
      <calculatedColumnFormula>AVERAGE(EstadosDeResultados[[#This Row],[2013]:[2017]])</calculatedColumnFormula>
    </tableColumn>
    <tableColumn id="12" name="Promedio 2016-2017" dataDxfId="224">
      <calculatedColumnFormula>AVERAGE(EstadosDeResultados[[#This Row],[2016]:[2017]])</calculatedColumnFormula>
    </tableColumn>
    <tableColumn id="15" name="Promedio 2017-2018" dataDxfId="223">
      <calculatedColumnFormula>AVERAGE(EstadosDeResultados[[#This Row],[2017]:[2018]])</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7" name="Indicadores" displayName="Indicadores" ref="A2:AE46" headerRowDxfId="222" dataDxfId="221">
  <tableColumns count="31">
    <tableColumn id="1" name="Tipo Indicador" totalsRowLabel="Total"/>
    <tableColumn id="2" name="INDICADOR FINANCIERO" dataDxfId="220" totalsRowDxfId="219"/>
    <tableColumn id="10" name="Tendencia" totalsRowFunction="count" dataDxfId="218" totalsRowDxfId="217"/>
    <tableColumn id="3" name="2013" dataDxfId="216" totalsRowDxfId="215"/>
    <tableColumn id="4" name="2014" dataDxfId="214" totalsRowDxfId="213"/>
    <tableColumn id="5" name="2015" dataDxfId="212" totalsRowDxfId="211"/>
    <tableColumn id="6" name="2016" dataDxfId="210" totalsRowDxfId="209"/>
    <tableColumn id="7" name="2017" dataDxfId="208" totalsRowDxfId="207"/>
    <tableColumn id="20" name="2018" dataDxfId="206" totalsRowDxfId="205"/>
    <tableColumn id="21" name="2019P" dataDxfId="204" totalsRowDxfId="203">
      <calculatedColumnFormula>'BG Proyectado'!J13/'BG Proyectado'!J28</calculatedColumnFormula>
    </tableColumn>
    <tableColumn id="22" name="2020P" dataDxfId="202" totalsRowDxfId="201">
      <calculatedColumnFormula>'BG Proyectado'!K13/'BG Proyectado'!K28</calculatedColumnFormula>
    </tableColumn>
    <tableColumn id="23" name="2021P" dataDxfId="200" totalsRowDxfId="199">
      <calculatedColumnFormula>'BG Proyectado'!L13/'BG Proyectado'!L28</calculatedColumnFormula>
    </tableColumn>
    <tableColumn id="24" name="2022P" dataDxfId="198" totalsRowDxfId="197">
      <calculatedColumnFormula>'BG Proyectado'!M13/'BG Proyectado'!M28</calculatedColumnFormula>
    </tableColumn>
    <tableColumn id="25" name="2023P" dataDxfId="196" totalsRowDxfId="195">
      <calculatedColumnFormula>'BG Proyectado'!N13/'BG Proyectado'!N28</calculatedColumnFormula>
    </tableColumn>
    <tableColumn id="11" name="Horizontal 2014vs2013" dataDxfId="194" totalsRowDxfId="193">
      <calculatedColumnFormula>E3-D3</calculatedColumnFormula>
    </tableColumn>
    <tableColumn id="12" name="Horizontal 2015vs2016" dataDxfId="192" totalsRowDxfId="191">
      <calculatedColumnFormula>F3-E3</calculatedColumnFormula>
    </tableColumn>
    <tableColumn id="13" name="Horizontal 2016vs2015" dataDxfId="190" totalsRowDxfId="189">
      <calculatedColumnFormula>G3-F3</calculatedColumnFormula>
    </tableColumn>
    <tableColumn id="14" name="Horizontal 2017vs2016" dataDxfId="188" totalsRowDxfId="187">
      <calculatedColumnFormula>H3-G3</calculatedColumnFormula>
    </tableColumn>
    <tableColumn id="15" name="% Var. 2014 vs 2013" dataDxfId="186" totalsRowDxfId="185">
      <calculatedColumnFormula>E3/D3-1</calculatedColumnFormula>
    </tableColumn>
    <tableColumn id="16" name="% Var. 2015 vs 2014" dataDxfId="184" totalsRowDxfId="183">
      <calculatedColumnFormula>F3/E3-1</calculatedColumnFormula>
    </tableColumn>
    <tableColumn id="17" name="% Var. 2016 vs 2015" dataDxfId="182" totalsRowDxfId="181">
      <calculatedColumnFormula>G3/F3-1</calculatedColumnFormula>
    </tableColumn>
    <tableColumn id="18" name="% Var. 2017 vs 2016" dataDxfId="180" totalsRowDxfId="179">
      <calculatedColumnFormula>H3/G3-1</calculatedColumnFormula>
    </tableColumn>
    <tableColumn id="29" name="% Var. 2018 vs 2017" dataDxfId="178" totalsRowDxfId="177">
      <calculatedColumnFormula>I3/H3-1</calculatedColumnFormula>
    </tableColumn>
    <tableColumn id="28" name="% Var. 2019 vs 2018" dataDxfId="176" totalsRowDxfId="175">
      <calculatedColumnFormula>J3/I3-1</calculatedColumnFormula>
    </tableColumn>
    <tableColumn id="27" name="% Var. 2020 vs 2019" dataDxfId="174" totalsRowDxfId="173">
      <calculatedColumnFormula>K3/J3-1</calculatedColumnFormula>
    </tableColumn>
    <tableColumn id="26" name="% Var. 2021 vs 2020" dataDxfId="172" totalsRowDxfId="171">
      <calculatedColumnFormula>L3/K3-1</calculatedColumnFormula>
    </tableColumn>
    <tableColumn id="30" name="% Var. 2022 vs 2021" dataDxfId="170" totalsRowDxfId="169">
      <calculatedColumnFormula>M3/L3-1</calculatedColumnFormula>
    </tableColumn>
    <tableColumn id="32" name="% Var. 2023 vs 2022" dataDxfId="168" totalsRowDxfId="167">
      <calculatedColumnFormula>N3/M3-1</calculatedColumnFormula>
    </tableColumn>
    <tableColumn id="8" name="Observaciones" dataDxfId="166" totalsRowDxfId="165"/>
    <tableColumn id="9" name="Explicación" totalsRowFunction="custom" dataDxfId="164" totalsRowDxfId="163">
      <totalsRowFormula>'Indicadores Estrategicos'!#REF!</totalsRowFormula>
    </tableColumn>
    <tableColumn id="19" name="Tendencia Variación" dataDxfId="162" totalsRowDxfId="161"/>
  </tableColumns>
  <tableStyleInfo name="TableStyleLight9" showFirstColumn="1" showLastColumn="0" showRowStripes="0" showColumnStripes="0"/>
</table>
</file>

<file path=xl/tables/table5.xml><?xml version="1.0" encoding="utf-8"?>
<table xmlns="http://schemas.openxmlformats.org/spreadsheetml/2006/main" id="6" name="IndicadoresEstrategicos_2" displayName="IndicadoresEstrategicos_2" ref="A1:E131" tableType="queryTable" totalsRowShown="0">
  <autoFilter ref="A1:E131"/>
  <tableColumns count="5">
    <tableColumn id="1" uniqueName="1" name="Orden" queryTableFieldId="1" dataDxfId="160"/>
    <tableColumn id="2" uniqueName="2" name="INDICADOR FINANCIERO" queryTableFieldId="2" dataDxfId="159"/>
    <tableColumn id="3" uniqueName="3" name="Variacion" queryTableFieldId="3" dataDxfId="158"/>
    <tableColumn id="4" uniqueName="4" name="Value" queryTableFieldId="4"/>
    <tableColumn id="5" uniqueName="5" name="Tipo Variacion" queryTableFieldId="5" dataDxfId="157"/>
  </tableColumns>
  <tableStyleInfo name="TableStyleMedium7" showFirstColumn="0" showLastColumn="0" showRowStripes="1" showColumnStripes="0"/>
</table>
</file>

<file path=xl/tables/table6.xml><?xml version="1.0" encoding="utf-8"?>
<table xmlns="http://schemas.openxmlformats.org/spreadsheetml/2006/main" id="8" name="IndicadoresEstrategicos" displayName="IndicadoresEstrategicos" ref="A2:AE20" totalsRowShown="0" headerRowDxfId="156" dataDxfId="155" tableBorderDxfId="154">
  <tableColumns count="31">
    <tableColumn id="1" name="Orden" dataDxfId="153" totalsRowDxfId="152"/>
    <tableColumn id="2" name="INDICADOR FINANCIERO" totalsRowDxfId="151"/>
    <tableColumn id="16" name="Tendencia" dataDxfId="150" totalsRowDxfId="149"/>
    <tableColumn id="3" name="2013" dataDxfId="148" totalsRowDxfId="147"/>
    <tableColumn id="4" name="2014" dataDxfId="146" totalsRowDxfId="145"/>
    <tableColumn id="5" name="2015" dataDxfId="144" totalsRowDxfId="143"/>
    <tableColumn id="6" name="2016" dataDxfId="142" totalsRowDxfId="141"/>
    <tableColumn id="7" name="2017" dataDxfId="140" totalsRowDxfId="139"/>
    <tableColumn id="19" name="2018" dataDxfId="138" totalsRowDxfId="137">
      <calculatedColumnFormula>'Estados de Resultados Consolida'!H13</calculatedColumnFormula>
    </tableColumn>
    <tableColumn id="22" name="2019" dataDxfId="136" totalsRowDxfId="135"/>
    <tableColumn id="21" name="2020" dataDxfId="134" totalsRowDxfId="133"/>
    <tableColumn id="20" name="2021" dataDxfId="132" totalsRowDxfId="131"/>
    <tableColumn id="23" name="2022" dataDxfId="130" totalsRowDxfId="129"/>
    <tableColumn id="24" name="2023" dataDxfId="128" totalsRowDxfId="127"/>
    <tableColumn id="8" name="Variación 2013vs2014" dataDxfId="126" totalsRowDxfId="125">
      <calculatedColumnFormula>E3-D3</calculatedColumnFormula>
    </tableColumn>
    <tableColumn id="9" name="Variación 2014vs2015" dataDxfId="124" totalsRowDxfId="123">
      <calculatedColumnFormula>F3-E3</calculatedColumnFormula>
    </tableColumn>
    <tableColumn id="10" name="Variación 2015vs2016" dataDxfId="122" totalsRowDxfId="121">
      <calculatedColumnFormula>G3-F3</calculatedColumnFormula>
    </tableColumn>
    <tableColumn id="11" name="Variación 2016vs2017" dataDxfId="120" totalsRowDxfId="119">
      <calculatedColumnFormula>H3-G3</calculatedColumnFormula>
    </tableColumn>
    <tableColumn id="31" name="Variación 2017vs2018" dataDxfId="118" totalsRowDxfId="117">
      <calculatedColumnFormula>I3-H3</calculatedColumnFormula>
    </tableColumn>
    <tableColumn id="12" name="% Var. 2013 vs 2014" dataDxfId="116" totalsRowDxfId="115">
      <calculatedColumnFormula>E3/D3-1</calculatedColumnFormula>
    </tableColumn>
    <tableColumn id="13" name="% Var. 2014 vs 2015" dataDxfId="114" totalsRowDxfId="113">
      <calculatedColumnFormula>F3/E3-1</calculatedColumnFormula>
    </tableColumn>
    <tableColumn id="14" name="% Var. 2015 vs 2016" dataDxfId="112" totalsRowDxfId="111">
      <calculatedColumnFormula>G3/F3-1</calculatedColumnFormula>
    </tableColumn>
    <tableColumn id="15" name="% Var. 2016 vs 2017" dataDxfId="110" totalsRowDxfId="109">
      <calculatedColumnFormula>H3/G3-1</calculatedColumnFormula>
    </tableColumn>
    <tableColumn id="30" name="% Var. 2017 vs 2018" dataDxfId="108" totalsRowDxfId="107">
      <calculatedColumnFormula>I3/H3-1</calculatedColumnFormula>
    </tableColumn>
    <tableColumn id="29" name="% Var. 2018 vs 2019" dataDxfId="106" totalsRowDxfId="105">
      <calculatedColumnFormula>J3/I3-1</calculatedColumnFormula>
    </tableColumn>
    <tableColumn id="28" name="% Var. 2019 vs 2020" dataDxfId="104" totalsRowDxfId="103">
      <calculatedColumnFormula>K3/J3-1</calculatedColumnFormula>
    </tableColumn>
    <tableColumn id="27" name="% Var. 2020 vs 2021" dataDxfId="102" totalsRowDxfId="101">
      <calculatedColumnFormula>L3/K3-1</calculatedColumnFormula>
    </tableColumn>
    <tableColumn id="26" name="% Var. 2021 vs 2022" dataDxfId="100" totalsRowDxfId="99">
      <calculatedColumnFormula>M3/L3-1</calculatedColumnFormula>
    </tableColumn>
    <tableColumn id="25" name="% Var. 2022 vs 2023" dataDxfId="98" totalsRowDxfId="97">
      <calculatedColumnFormula>N3/M3-1</calculatedColumnFormula>
    </tableColumn>
    <tableColumn id="17" name="Tendencia Variación" dataDxfId="96" totalsRowDxfId="95"/>
    <tableColumn id="18" name="Formula Descriptiva" dataDxfId="94" totalsRowDxfId="93"/>
  </tableColumns>
  <tableStyleInfo name="TableStyleLight9" showFirstColumn="0" showLastColumn="0" showRowStripes="1" showColumnStripes="0"/>
</table>
</file>

<file path=xl/tables/table7.xml><?xml version="1.0" encoding="utf-8"?>
<table xmlns="http://schemas.openxmlformats.org/spreadsheetml/2006/main" id="10" name="EstadosDeResultados11" displayName="EstadosDeResultados11" ref="A2:X23" totalsRowShown="0" headerRowDxfId="92" dataDxfId="91">
  <tableColumns count="24">
    <tableColumn id="1" name="Orden" dataDxfId="90"/>
    <tableColumn id="2" name="Cuenta"/>
    <tableColumn id="3" name="2013"/>
    <tableColumn id="4" name="2014"/>
    <tableColumn id="5" name="2015"/>
    <tableColumn id="6" name="2016"/>
    <tableColumn id="7" name="2017" dataDxfId="89"/>
    <tableColumn id="13" name="2018" dataDxfId="88"/>
    <tableColumn id="22" name="2019P" dataDxfId="87">
      <calculatedColumnFormula>#REF!+I2</calculatedColumnFormula>
    </tableColumn>
    <tableColumn id="15" name="2020P" dataDxfId="86"/>
    <tableColumn id="24" name="2021P" dataDxfId="85"/>
    <tableColumn id="23" name="2022P" dataDxfId="84"/>
    <tableColumn id="19" name="2023P" dataDxfId="83"/>
    <tableColumn id="8" name="Vertical 2013" dataDxfId="82">
      <calculatedColumnFormula>+C3/C$3</calculatedColumnFormula>
    </tableColumn>
    <tableColumn id="21" name="Vertical 2014" dataDxfId="81">
      <calculatedColumnFormula>+D3/D$3</calculatedColumnFormula>
    </tableColumn>
    <tableColumn id="9" name="Vertical 2015" dataDxfId="80">
      <calculatedColumnFormula>+E3/E$3</calculatedColumnFormula>
    </tableColumn>
    <tableColumn id="10" name="Vertical 2016" dataDxfId="79">
      <calculatedColumnFormula>+F3/F$3</calculatedColumnFormula>
    </tableColumn>
    <tableColumn id="16" name="Vertical 2017" dataDxfId="78">
      <calculatedColumnFormula>+G3/G$3</calculatedColumnFormula>
    </tableColumn>
    <tableColumn id="14" name="Vertical 2018" dataDxfId="77">
      <calculatedColumnFormula>+H3/H$3</calculatedColumnFormula>
    </tableColumn>
    <tableColumn id="11" name="Vertical 2019" dataDxfId="76">
      <calculatedColumnFormula>+I3/I$3</calculatedColumnFormula>
    </tableColumn>
    <tableColumn id="17" name="Vertical 2020" dataDxfId="75">
      <calculatedColumnFormula>+J3/J$3</calculatedColumnFormula>
    </tableColumn>
    <tableColumn id="12" name="Vertical 2021" dataDxfId="74">
      <calculatedColumnFormula>+K3/K$3</calculatedColumnFormula>
    </tableColumn>
    <tableColumn id="20" name="Vertical 2022" dataDxfId="73">
      <calculatedColumnFormula>+L3/L$3</calculatedColumnFormula>
    </tableColumn>
    <tableColumn id="18" name="Vertical 2023" dataDxfId="72">
      <calculatedColumnFormula>+M3/M$3</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1" name="BalanceGeneral12" displayName="BalanceGeneral12" ref="B3:S48" totalsRowCount="1" headerRowDxfId="71" dataDxfId="70">
  <autoFilter ref="B3:S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name="Tipo Cuenta"/>
    <tableColumn id="2" name="Cuenta"/>
    <tableColumn id="3" name="2013" dataDxfId="69" totalsRowDxfId="68"/>
    <tableColumn id="4" name="2014" dataDxfId="67" totalsRowDxfId="66"/>
    <tableColumn id="5" name="2015" dataDxfId="65" totalsRowDxfId="64"/>
    <tableColumn id="6" name="2016" dataDxfId="63" totalsRowDxfId="62"/>
    <tableColumn id="7" name="2017" totalsRowFunction="custom" dataDxfId="61" totalsRowDxfId="60">
      <totalsRowFormula>+H47-H20</totalsRowFormula>
    </tableColumn>
    <tableColumn id="21" name="2018" totalsRowFunction="custom" dataDxfId="59" totalsRowDxfId="58">
      <totalsRowFormula>+I47-I20</totalsRowFormula>
    </tableColumn>
    <tableColumn id="17" name="2019P" totalsRowFunction="custom" dataDxfId="57" totalsRowDxfId="56">
      <totalsRowFormula>+J47-J20</totalsRowFormula>
    </tableColumn>
    <tableColumn id="16" name="2020P" totalsRowFunction="custom" dataDxfId="55" totalsRowDxfId="54">
      <totalsRowFormula>+K47-K20</totalsRowFormula>
    </tableColumn>
    <tableColumn id="15" name="2021P" totalsRowFunction="custom" dataDxfId="53" totalsRowDxfId="52">
      <totalsRowFormula>+L47-L20</totalsRowFormula>
    </tableColumn>
    <tableColumn id="14" name="2022P" totalsRowFunction="custom" dataDxfId="51" totalsRowDxfId="50">
      <totalsRowFormula>+M47-M20</totalsRowFormula>
    </tableColumn>
    <tableColumn id="8" name="2023P" totalsRowFunction="custom" dataDxfId="49" totalsRowDxfId="48">
      <totalsRowFormula>+N47-N20</totalsRowFormula>
    </tableColumn>
    <tableColumn id="9" name=" Análisis Vertical 2013" dataDxfId="47" totalsRowDxfId="46"/>
    <tableColumn id="10" name=" Análisis Vertical 2014" dataDxfId="45" totalsRowDxfId="44"/>
    <tableColumn id="11" name=" Análisis Vertical 2015" dataDxfId="43" totalsRowDxfId="42"/>
    <tableColumn id="12" name=" Análisis Vertical 2016" dataDxfId="41" totalsRowDxfId="40"/>
    <tableColumn id="13" name=" Análisis Vertical 2017" dataDxfId="39" totalsRowDxfId="38"/>
  </tableColumns>
  <tableStyleInfo name="TableStyleLight9" showFirstColumn="1" showLastColumn="0" showRowStripes="1" showColumnStripes="0"/>
</table>
</file>

<file path=xl/tables/table9.xml><?xml version="1.0" encoding="utf-8"?>
<table xmlns="http://schemas.openxmlformats.org/spreadsheetml/2006/main" id="3" name="Accion" displayName="Accion" ref="A2:M1422" totalsRowCount="1" headerRowDxfId="36" dataDxfId="35" tableBorderDxfId="34">
  <autoFilter ref="A2:M1421">
    <filterColumn colId="1">
      <filters>
        <dateGroupItem year="2019" dateTimeGrouping="year"/>
        <dateGroupItem year="2018" dateTimeGrouping="year"/>
      </filters>
    </filterColumn>
  </autoFilter>
  <tableColumns count="13">
    <tableColumn id="1" name="Nemotécnico" totalsRowLabel="Total" dataDxfId="33" totalsRowDxfId="12"/>
    <tableColumn id="2" name="fecha" dataDxfId="32" totalsRowDxfId="11"/>
    <tableColumn id="3" name="Cantidad" dataDxfId="31" totalsRowDxfId="10"/>
    <tableColumn id="4" name="Volumen" totalsRowFunction="average" dataDxfId="30" totalsRowDxfId="9"/>
    <tableColumn id="13" name="Precio Mayor" dataDxfId="29" totalsRowDxfId="8"/>
    <tableColumn id="14" name="Precio Menor" dataDxfId="28" totalsRowDxfId="7"/>
    <tableColumn id="5" name="Precio Cierre" dataDxfId="27" totalsRowDxfId="6"/>
    <tableColumn id="7" name="Precio Medio" dataDxfId="26" totalsRowDxfId="5"/>
    <tableColumn id="9" name="Variación%" dataDxfId="25" totalsRowDxfId="4"/>
    <tableColumn id="10" name="Variación Absoluta" dataDxfId="24" totalsRowDxfId="3"/>
    <tableColumn id="15" name="Año" dataDxfId="23" totalsRowDxfId="2">
      <calculatedColumnFormula>YEAR(Accion[[#This Row],[fecha]])</calculatedColumnFormula>
    </tableColumn>
    <tableColumn id="6" name="Máximo Valor" dataDxfId="22" totalsRowDxfId="1">
      <calculatedColumnFormula>IF(Accion[[#This Row],[Precio Cierre]]=MAX(Accion[Precio Cierre]),Accion[[#This Row],[Precio Cierre]],"NA")</calculatedColumnFormula>
    </tableColumn>
    <tableColumn id="8" name="Mínimo Valor" totalsRowFunction="count" dataDxfId="21" totalsRowDxfId="0">
      <calculatedColumnFormula>IF(Accion[[#This Row],[Precio Cierre]]=MIN(Accion[Precio Cierre]),Accion[[#This Row],[Precio Cierre]],"NA")</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hyperlink" Target="https://datos.bancomundial.org/pais/Panama?view=chart" TargetMode="External"/><Relationship Id="rId2" Type="http://schemas.openxmlformats.org/officeDocument/2006/relationships/hyperlink" Target="https://datos.bancomundial.org/pais/Panama?view=chart" TargetMode="External"/><Relationship Id="rId1" Type="http://schemas.openxmlformats.org/officeDocument/2006/relationships/hyperlink" Target="https://www.fedesarrollo.org.co/sites/default/files/prospectivaeconomica/prospectiva_septiembre_2018-acceso_libre.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datos.bancomundial.org/pais/Panama?view=char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datos.bancomundial.org/pais/Panama?view=chart" TargetMode="External"/><Relationship Id="rId2" Type="http://schemas.openxmlformats.org/officeDocument/2006/relationships/hyperlink" Target="https://datos.bancomundial.org/pais/Panama?view=chart" TargetMode="External"/><Relationship Id="rId1" Type="http://schemas.openxmlformats.org/officeDocument/2006/relationships/hyperlink" Target="https://www.fedesarrollo.org.co/sites/default/files/prospectivaeconomica/prospectiva_septiembre_2018-acceso_libre.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datos.bancomundial.org/pais/Panama?view=chart"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pages.stern.nyu.edu/~adamodar/New_Home_Page/datafile/Betas.html" TargetMode="External"/><Relationship Id="rId1" Type="http://schemas.openxmlformats.org/officeDocument/2006/relationships/hyperlink" Target="https://www.treasury.gov/resource-center/data-chart-center/interest-rates/Pages/TextView.aspx?data=yieldYear&amp;year=2018-%20bloomberg" TargetMode="External"/><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5.vml"/><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6.xml.rels><?xml version="1.0" encoding="UTF-8" standalone="yes"?>
<Relationships xmlns="http://schemas.openxmlformats.org/package/2006/relationships"><Relationship Id="rId3" Type="http://schemas.openxmlformats.org/officeDocument/2006/relationships/hyperlink" Target="https://csimarket.com/Industry/industry_ManagementEffectiveness.php?&amp;hist=1" TargetMode="External"/><Relationship Id="rId7" Type="http://schemas.openxmlformats.org/officeDocument/2006/relationships/comments" Target="../comments3.xml"/><Relationship Id="rId2" Type="http://schemas.openxmlformats.org/officeDocument/2006/relationships/hyperlink" Target="https://ycharts.com/indicators/sp_500_operating_pe_ratio" TargetMode="External"/><Relationship Id="rId1" Type="http://schemas.openxmlformats.org/officeDocument/2006/relationships/hyperlink" Target="https://www.treasury.gov/resource-center/data-chart-center/interest-rates/Pages/TextView.aspx?data=yieldYear&amp;year=2018" TargetMode="External"/><Relationship Id="rId6" Type="http://schemas.openxmlformats.org/officeDocument/2006/relationships/vmlDrawing" Target="../drawings/vmlDrawing6.vml"/><Relationship Id="rId5" Type="http://schemas.openxmlformats.org/officeDocument/2006/relationships/drawing" Target="../drawings/drawing26.xml"/><Relationship Id="rId4" Type="http://schemas.openxmlformats.org/officeDocument/2006/relationships/hyperlink" Target="https://data.oecd.org/gdp/real-gdp-forecast.ht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10.xml"/><Relationship Id="rId1" Type="http://schemas.openxmlformats.org/officeDocument/2006/relationships/vmlDrawing" Target="../drawings/vmlDrawing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8.bin"/><Relationship Id="rId1" Type="http://schemas.openxmlformats.org/officeDocument/2006/relationships/pivotTable" Target="../pivotTables/pivotTable8.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ivotTable" Target="../pivotTables/pivotTable9.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6"/>
  <sheetViews>
    <sheetView workbookViewId="0">
      <selection activeCell="A4" sqref="A4"/>
    </sheetView>
  </sheetViews>
  <sheetFormatPr baseColWidth="10" defaultColWidth="11" defaultRowHeight="15.75"/>
  <sheetData>
    <row r="1" spans="1:1">
      <c r="A1" t="s">
        <v>170</v>
      </c>
    </row>
    <row r="2" spans="1:1">
      <c r="A2">
        <v>2013</v>
      </c>
    </row>
    <row r="3" spans="1:1">
      <c r="A3">
        <v>2014</v>
      </c>
    </row>
    <row r="4" spans="1:1">
      <c r="A4">
        <v>2015</v>
      </c>
    </row>
    <row r="5" spans="1:1">
      <c r="A5">
        <v>2016</v>
      </c>
    </row>
    <row r="6" spans="1:1">
      <c r="A6">
        <v>2017</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AE46"/>
  <sheetViews>
    <sheetView showGridLines="0" topLeftCell="J8" zoomScale="70" zoomScaleNormal="70" workbookViewId="0">
      <selection activeCell="B2" sqref="B2:N46"/>
    </sheetView>
  </sheetViews>
  <sheetFormatPr baseColWidth="10" defaultColWidth="19" defaultRowHeight="15.75"/>
  <cols>
    <col min="1" max="1" width="52.5" hidden="1" customWidth="1"/>
    <col min="2" max="2" width="52.125" bestFit="1" customWidth="1"/>
    <col min="3" max="3" width="14.125" bestFit="1" customWidth="1"/>
    <col min="4" max="4" width="15.75" hidden="1" customWidth="1"/>
    <col min="5" max="5" width="15.125" bestFit="1" customWidth="1"/>
    <col min="6" max="6" width="16.125" customWidth="1"/>
    <col min="7" max="7" width="15.75" customWidth="1"/>
    <col min="8" max="8" width="16.125" customWidth="1"/>
    <col min="9" max="9" width="15.125" bestFit="1" customWidth="1"/>
    <col min="10" max="10" width="14.75" customWidth="1"/>
    <col min="11" max="11" width="15.375" customWidth="1"/>
    <col min="12" max="14" width="14.75" customWidth="1"/>
    <col min="15" max="18" width="27.875" customWidth="1"/>
    <col min="19" max="24" width="24.75" customWidth="1"/>
    <col min="25" max="27" width="25.125" customWidth="1"/>
    <col min="28" max="28" width="25.5" customWidth="1"/>
    <col min="29" max="29" width="98.25" customWidth="1"/>
    <col min="30" max="30" width="222.625" hidden="1" customWidth="1"/>
    <col min="31" max="31" width="26" bestFit="1" customWidth="1"/>
  </cols>
  <sheetData>
    <row r="1" spans="1:31" ht="61.5">
      <c r="C1" s="278"/>
      <c r="D1" s="625" t="s">
        <v>177</v>
      </c>
      <c r="E1" s="625"/>
      <c r="F1" s="625"/>
      <c r="G1" s="625"/>
      <c r="H1" s="625"/>
      <c r="I1" s="625"/>
      <c r="J1" s="625"/>
      <c r="K1" s="625"/>
      <c r="L1" s="625"/>
      <c r="M1" s="625"/>
      <c r="N1" s="625"/>
      <c r="O1" s="278"/>
      <c r="P1" s="278"/>
      <c r="Q1" s="278"/>
      <c r="R1" s="278"/>
      <c r="S1" s="278"/>
      <c r="T1" s="278"/>
      <c r="U1" s="278"/>
      <c r="V1" s="278"/>
      <c r="W1" s="278"/>
      <c r="X1" s="278"/>
      <c r="Y1" s="278"/>
      <c r="Z1" s="278"/>
      <c r="AA1" s="278"/>
      <c r="AB1" s="278"/>
      <c r="AC1" s="278"/>
      <c r="AD1" s="278"/>
      <c r="AE1" s="278"/>
    </row>
    <row r="2" spans="1:31">
      <c r="A2" s="56" t="s">
        <v>108</v>
      </c>
      <c r="B2" s="57" t="s">
        <v>95</v>
      </c>
      <c r="C2" s="59" t="s">
        <v>167</v>
      </c>
      <c r="D2" s="58" t="s">
        <v>168</v>
      </c>
      <c r="E2" s="58" t="s">
        <v>63</v>
      </c>
      <c r="F2" s="58" t="s">
        <v>62</v>
      </c>
      <c r="G2" s="58" t="s">
        <v>61</v>
      </c>
      <c r="H2" s="58" t="s">
        <v>60</v>
      </c>
      <c r="I2" s="58" t="s">
        <v>695</v>
      </c>
      <c r="J2" s="319" t="s">
        <v>771</v>
      </c>
      <c r="K2" s="319" t="s">
        <v>772</v>
      </c>
      <c r="L2" s="319" t="s">
        <v>773</v>
      </c>
      <c r="M2" s="319" t="s">
        <v>774</v>
      </c>
      <c r="N2" s="319" t="s">
        <v>859</v>
      </c>
      <c r="O2" s="145" t="s">
        <v>1266</v>
      </c>
      <c r="P2" s="145" t="s">
        <v>603</v>
      </c>
      <c r="Q2" s="145" t="s">
        <v>1268</v>
      </c>
      <c r="R2" s="145" t="s">
        <v>1269</v>
      </c>
      <c r="S2" s="145" t="s">
        <v>1271</v>
      </c>
      <c r="T2" s="145" t="s">
        <v>1272</v>
      </c>
      <c r="U2" s="145" t="s">
        <v>1273</v>
      </c>
      <c r="V2" s="145" t="s">
        <v>1274</v>
      </c>
      <c r="W2" s="145" t="s">
        <v>1275</v>
      </c>
      <c r="X2" s="142" t="s">
        <v>1276</v>
      </c>
      <c r="Y2" s="142" t="s">
        <v>1277</v>
      </c>
      <c r="Z2" s="142" t="s">
        <v>1278</v>
      </c>
      <c r="AA2" s="142" t="s">
        <v>1279</v>
      </c>
      <c r="AB2" s="142" t="s">
        <v>1280</v>
      </c>
      <c r="AC2" s="58" t="s">
        <v>115</v>
      </c>
      <c r="AD2" s="58" t="s">
        <v>1314</v>
      </c>
      <c r="AE2" s="61" t="s">
        <v>175</v>
      </c>
    </row>
    <row r="3" spans="1:31">
      <c r="A3" s="356" t="s">
        <v>103</v>
      </c>
      <c r="B3" s="10" t="s">
        <v>970</v>
      </c>
      <c r="C3" s="186"/>
      <c r="D3" s="12">
        <f>'Balance General'!D13/'Balance General'!D28</f>
        <v>0.70079127802540375</v>
      </c>
      <c r="E3" s="12">
        <f>'Balance General'!E13/'Balance General'!E28</f>
        <v>0.80777709240058682</v>
      </c>
      <c r="F3" s="12">
        <f>'Balance General'!F13/'Balance General'!F28</f>
        <v>0.54815782697021431</v>
      </c>
      <c r="G3" s="12">
        <f>'Balance General'!G13/'Balance General'!G28</f>
        <v>0.57084979568124095</v>
      </c>
      <c r="H3" s="12">
        <f>'Balance General'!H13/'Balance General'!H28</f>
        <v>0.4793047242606947</v>
      </c>
      <c r="I3" s="12">
        <f>'Balance General'!I13/'Balance General'!I28</f>
        <v>1.0496134873725629</v>
      </c>
      <c r="J3" s="12">
        <f>'BG Proyectado'!J13/'BG Proyectado'!J28</f>
        <v>0.99554764994806255</v>
      </c>
      <c r="K3" s="12">
        <f>'BG Proyectado'!K13/'BG Proyectado'!K28</f>
        <v>0.61630690314045289</v>
      </c>
      <c r="L3" s="12">
        <f>'BG Proyectado'!L13/'BG Proyectado'!L28</f>
        <v>1.0291922439416561</v>
      </c>
      <c r="M3" s="12">
        <f>'BG Proyectado'!M13/'BG Proyectado'!M28</f>
        <v>1.047285902954076</v>
      </c>
      <c r="N3" s="12">
        <f>'BG Proyectado'!N13/'BG Proyectado'!N28</f>
        <v>1.0631130141130463</v>
      </c>
      <c r="O3" s="12">
        <f t="shared" ref="O3:O30" si="0">E3-D3</f>
        <v>0.10698581437518306</v>
      </c>
      <c r="P3" s="12">
        <f t="shared" ref="P3:P30" si="1">F3-E3</f>
        <v>-0.2596192654303725</v>
      </c>
      <c r="Q3" s="12">
        <f t="shared" ref="Q3:Q30" si="2">G3-F3</f>
        <v>2.2691968711026633E-2</v>
      </c>
      <c r="R3" s="12">
        <f t="shared" ref="R3:R30" si="3">H3-G3</f>
        <v>-9.1545071420546242E-2</v>
      </c>
      <c r="S3" s="12">
        <f t="shared" ref="S3:S30" si="4">E3/D3-1</f>
        <v>0.15266430637754724</v>
      </c>
      <c r="T3" s="12">
        <f t="shared" ref="T3:T30" si="5">F3/E3-1</f>
        <v>-0.32139963843097452</v>
      </c>
      <c r="U3" s="12">
        <f t="shared" ref="U3:U30" si="6">G3/F3-1</f>
        <v>4.1396779530541439E-2</v>
      </c>
      <c r="V3" s="12">
        <f t="shared" ref="V3:AB30" si="7">H3/G3-1</f>
        <v>-0.16036630320818135</v>
      </c>
      <c r="W3" s="12">
        <f t="shared" si="7"/>
        <v>1.1898667679346224</v>
      </c>
      <c r="X3" s="12">
        <f t="shared" si="7"/>
        <v>-5.1510235029315621E-2</v>
      </c>
      <c r="Y3" s="12">
        <f t="shared" si="7"/>
        <v>-0.38093681083712527</v>
      </c>
      <c r="Z3" s="12">
        <f t="shared" si="7"/>
        <v>0.66993463597000957</v>
      </c>
      <c r="AA3" s="12">
        <f t="shared" si="7"/>
        <v>1.7580446334422239E-2</v>
      </c>
      <c r="AB3" s="12">
        <f t="shared" si="7"/>
        <v>1.5112502817355544E-2</v>
      </c>
      <c r="AC3" s="22" t="s">
        <v>143</v>
      </c>
      <c r="AD3" s="185" t="s">
        <v>116</v>
      </c>
      <c r="AE3" s="186"/>
    </row>
    <row r="4" spans="1:31">
      <c r="A4" s="356" t="s">
        <v>103</v>
      </c>
      <c r="B4" s="10" t="s">
        <v>971</v>
      </c>
      <c r="C4" s="186"/>
      <c r="D4" s="60">
        <f>('Balance General'!D13-'Balance General'!D11)/'Balance General'!D28</f>
        <v>0.53925932388494302</v>
      </c>
      <c r="E4" s="60">
        <f>('Balance General'!E13-'Balance General'!E11)/'Balance General'!E28</f>
        <v>0.5550916289231359</v>
      </c>
      <c r="F4" s="60">
        <f>('Balance General'!F13-'Balance General'!F11)/'Balance General'!F28</f>
        <v>0.38385678451868877</v>
      </c>
      <c r="G4" s="60">
        <f>('Balance General'!G13-'Balance General'!G11)/'Balance General'!G28</f>
        <v>0.41448206122792192</v>
      </c>
      <c r="H4" s="60">
        <f>('Balance General'!H13-'Balance General'!H11)/'Balance General'!H28</f>
        <v>0.35822897704723089</v>
      </c>
      <c r="I4" s="60">
        <f>('Balance General'!I13-'Balance General'!I11)/'Balance General'!I28</f>
        <v>0.77404033854228549</v>
      </c>
      <c r="J4" s="60">
        <f>('BG Proyectado'!J13-'BG Proyectado'!J11)/'BG Proyectado'!J28</f>
        <v>0.74518097568468666</v>
      </c>
      <c r="K4" s="60">
        <f>('BG Proyectado'!K13-'BG Proyectado'!K11)/'BG Proyectado'!K28</f>
        <v>0.47085404537205294</v>
      </c>
      <c r="L4" s="60">
        <f>('BG Proyectado'!L13-'BG Proyectado'!L11)/'BG Proyectado'!L28</f>
        <v>0.79731176687407623</v>
      </c>
      <c r="M4" s="60">
        <f>('BG Proyectado'!M13-'BG Proyectado'!M11)/'BG Proyectado'!M28</f>
        <v>0.82049688893635253</v>
      </c>
      <c r="N4" s="60">
        <f>('BG Proyectado'!N13-'BG Proyectado'!N11)/'BG Proyectado'!N28</f>
        <v>0.84684284146976596</v>
      </c>
      <c r="O4" s="60">
        <f t="shared" si="0"/>
        <v>1.5832305038192884E-2</v>
      </c>
      <c r="P4" s="60">
        <f t="shared" si="1"/>
        <v>-0.17123484440444714</v>
      </c>
      <c r="Q4" s="60">
        <f t="shared" si="2"/>
        <v>3.0625276709233151E-2</v>
      </c>
      <c r="R4" s="60">
        <f t="shared" si="3"/>
        <v>-5.6253084180691026E-2</v>
      </c>
      <c r="S4" s="12">
        <f t="shared" si="4"/>
        <v>2.9359353351803952E-2</v>
      </c>
      <c r="T4" s="12">
        <f t="shared" si="5"/>
        <v>-0.30848032195448261</v>
      </c>
      <c r="U4" s="12">
        <f t="shared" si="6"/>
        <v>7.9783080420562591E-2</v>
      </c>
      <c r="V4" s="12">
        <f t="shared" si="7"/>
        <v>-0.13571898386636738</v>
      </c>
      <c r="W4" s="12">
        <f t="shared" si="7"/>
        <v>1.1607418387045549</v>
      </c>
      <c r="X4" s="12">
        <f t="shared" si="7"/>
        <v>-3.7284055391671567E-2</v>
      </c>
      <c r="Y4" s="12">
        <f t="shared" si="7"/>
        <v>-0.36813464012628183</v>
      </c>
      <c r="Z4" s="12">
        <f t="shared" si="7"/>
        <v>0.69333103264317808</v>
      </c>
      <c r="AA4" s="12">
        <f t="shared" si="7"/>
        <v>2.9079116884447087E-2</v>
      </c>
      <c r="AB4" s="12">
        <f t="shared" si="7"/>
        <v>3.2109753112613104E-2</v>
      </c>
      <c r="AC4" s="185" t="s">
        <v>144</v>
      </c>
      <c r="AD4" s="185" t="s">
        <v>117</v>
      </c>
      <c r="AE4" s="186"/>
    </row>
    <row r="5" spans="1:31" ht="31.5">
      <c r="A5" s="356" t="s">
        <v>103</v>
      </c>
      <c r="B5" s="10" t="s">
        <v>972</v>
      </c>
      <c r="C5" s="186"/>
      <c r="D5" s="62">
        <f>'Balance General'!D13-'Balance General'!D28</f>
        <v>-192054</v>
      </c>
      <c r="E5" s="62">
        <f>'Balance General'!E13-'Balance General'!E28</f>
        <v>-78218</v>
      </c>
      <c r="F5" s="62">
        <f>'Balance General'!F13-'Balance General'!F28</f>
        <v>-236876</v>
      </c>
      <c r="G5" s="62">
        <f>'Balance General'!G13-'Balance General'!G28</f>
        <v>-196492</v>
      </c>
      <c r="H5" s="62">
        <f>'Balance General'!H13-'Balance General'!H28</f>
        <v>-355550</v>
      </c>
      <c r="I5" s="62">
        <f>'Balance General'!I13-'Balance General'!I28</f>
        <v>14614</v>
      </c>
      <c r="J5" s="62">
        <f>'BG Proyectado'!J13-'BG Proyectado'!J28</f>
        <v>-1297.3647180175758</v>
      </c>
      <c r="K5" s="62">
        <f>'BG Proyectado'!K13-'BG Proyectado'!K28</f>
        <v>-186217.38816551986</v>
      </c>
      <c r="L5" s="62">
        <f>'BG Proyectado'!L13-'BG Proyectado'!L28</f>
        <v>8719.9645056053996</v>
      </c>
      <c r="M5" s="62">
        <f>'BG Proyectado'!M13-'BG Proyectado'!M28</f>
        <v>14222.097353105666</v>
      </c>
      <c r="N5" s="62">
        <f>'BG Proyectado'!N13-'BG Proyectado'!N28</f>
        <v>19282.517976735195</v>
      </c>
      <c r="O5" s="62">
        <f t="shared" si="0"/>
        <v>113836</v>
      </c>
      <c r="P5" s="62">
        <f t="shared" si="1"/>
        <v>-158658</v>
      </c>
      <c r="Q5" s="62">
        <f t="shared" si="2"/>
        <v>40384</v>
      </c>
      <c r="R5" s="62">
        <f t="shared" si="3"/>
        <v>-159058</v>
      </c>
      <c r="S5" s="12">
        <f t="shared" si="4"/>
        <v>-0.59272912826600854</v>
      </c>
      <c r="T5" s="12">
        <f t="shared" si="5"/>
        <v>2.028407783374671</v>
      </c>
      <c r="U5" s="12">
        <f t="shared" si="6"/>
        <v>-0.17048582380654853</v>
      </c>
      <c r="V5" s="12">
        <f t="shared" si="7"/>
        <v>0.8094884270097511</v>
      </c>
      <c r="W5" s="12">
        <f t="shared" si="7"/>
        <v>-1.0411025172268316</v>
      </c>
      <c r="X5" s="12">
        <f t="shared" si="7"/>
        <v>-1.0887754699615146</v>
      </c>
      <c r="Y5" s="12">
        <f t="shared" si="7"/>
        <v>142.53511050467546</v>
      </c>
      <c r="Z5" s="12">
        <f t="shared" si="7"/>
        <v>-1.0468268006092676</v>
      </c>
      <c r="AA5" s="12">
        <f t="shared" si="7"/>
        <v>0.63098110593952139</v>
      </c>
      <c r="AB5" s="12">
        <f t="shared" si="7"/>
        <v>0.35581394909552411</v>
      </c>
      <c r="AC5" s="185" t="str">
        <f>'Balance General'!C13&amp;"-"&amp;'Balance General'!C28</f>
        <v>Total del Activo Circulante-Total del Pasivo Circulante</v>
      </c>
      <c r="AD5" s="185" t="s">
        <v>118</v>
      </c>
      <c r="AE5" s="186"/>
    </row>
    <row r="6" spans="1:31" ht="23.25">
      <c r="A6" s="356" t="s">
        <v>104</v>
      </c>
      <c r="B6" s="10" t="s">
        <v>973</v>
      </c>
      <c r="C6" s="186"/>
      <c r="D6" s="60">
        <f>'Estados de Resultados Consolida'!C3/'Balance General'!D7</f>
        <v>10.658765492250069</v>
      </c>
      <c r="E6" s="60">
        <f>'Estados de Resultados Consolida'!D3/'Balance General'!E7</f>
        <v>14.136619591321525</v>
      </c>
      <c r="F6" s="60">
        <f>'Estados de Resultados Consolida'!E3/'Balance General'!F7</f>
        <v>15.584680237637603</v>
      </c>
      <c r="G6" s="60">
        <f>'Estados de Resultados Consolida'!F3/'Balance General'!G7</f>
        <v>13.108167902415691</v>
      </c>
      <c r="H6" s="60">
        <f>'Estados de Resultados Consolida'!G3/'Balance General'!H7</f>
        <v>10.447741935483871</v>
      </c>
      <c r="I6" s="60">
        <f>'Estados de Resultados Consolida'!H3/'Balance General'!I7</f>
        <v>12.671685817184017</v>
      </c>
      <c r="J6" s="60">
        <f>'ER Proyectado'!I3/'BG Proyectado'!J7</f>
        <v>12.857142857142858</v>
      </c>
      <c r="K6" s="60">
        <f>'ER Proyectado'!J3/'BG Proyectado'!K7</f>
        <v>13.09090909090909</v>
      </c>
      <c r="L6" s="60">
        <f>'ER Proyectado'!K3/'BG Proyectado'!L7</f>
        <v>13.333333333333332</v>
      </c>
      <c r="M6" s="60">
        <f>'ER Proyectado'!L3/'BG Proyectado'!M7</f>
        <v>13.584905660377359</v>
      </c>
      <c r="N6" s="60">
        <f>'ER Proyectado'!M3/'BG Proyectado'!N7</f>
        <v>14.007782101167313</v>
      </c>
      <c r="O6" s="60">
        <f t="shared" si="0"/>
        <v>3.4778540990714557</v>
      </c>
      <c r="P6" s="60">
        <f t="shared" si="1"/>
        <v>1.4480606463160779</v>
      </c>
      <c r="Q6" s="60">
        <f t="shared" si="2"/>
        <v>-2.4765123352219121</v>
      </c>
      <c r="R6" s="60">
        <f t="shared" si="3"/>
        <v>-2.66042596693182</v>
      </c>
      <c r="S6" s="12">
        <f t="shared" si="4"/>
        <v>0.32629051662691944</v>
      </c>
      <c r="T6" s="12">
        <f t="shared" si="5"/>
        <v>0.10243330358871949</v>
      </c>
      <c r="U6" s="12">
        <f t="shared" si="6"/>
        <v>-0.15890684296755986</v>
      </c>
      <c r="V6" s="12">
        <f t="shared" si="7"/>
        <v>-0.20295940567266713</v>
      </c>
      <c r="W6" s="12">
        <f t="shared" si="7"/>
        <v>0.21286359248087106</v>
      </c>
      <c r="X6" s="12">
        <f t="shared" si="7"/>
        <v>1.4635545943487926E-2</v>
      </c>
      <c r="Y6" s="12">
        <f t="shared" si="7"/>
        <v>1.8181818181818077E-2</v>
      </c>
      <c r="Z6" s="12">
        <f t="shared" si="7"/>
        <v>1.8518518518518601E-2</v>
      </c>
      <c r="AA6" s="12">
        <f t="shared" si="7"/>
        <v>1.8867924528302105E-2</v>
      </c>
      <c r="AB6" s="12">
        <f t="shared" si="7"/>
        <v>3.112840466926059E-2</v>
      </c>
      <c r="AC6" s="185" t="s">
        <v>145</v>
      </c>
      <c r="AD6" s="185" t="s">
        <v>119</v>
      </c>
      <c r="AE6" s="186"/>
    </row>
    <row r="7" spans="1:31">
      <c r="A7" s="356" t="s">
        <v>104</v>
      </c>
      <c r="B7" s="10" t="s">
        <v>974</v>
      </c>
      <c r="C7" s="186"/>
      <c r="D7" s="60">
        <f>360/D6</f>
        <v>33.775018341641349</v>
      </c>
      <c r="E7" s="60">
        <f t="shared" ref="E7:H7" si="8">360/E6</f>
        <v>25.465776855239433</v>
      </c>
      <c r="F7" s="60">
        <f t="shared" si="8"/>
        <v>23.099607724423254</v>
      </c>
      <c r="G7" s="60">
        <f t="shared" si="8"/>
        <v>27.463792246180795</v>
      </c>
      <c r="H7" s="60">
        <f t="shared" si="8"/>
        <v>34.457206372730646</v>
      </c>
      <c r="I7" s="60">
        <f t="shared" ref="I7:N7" si="9">360/I6</f>
        <v>28.409795286417662</v>
      </c>
      <c r="J7" s="60">
        <f t="shared" si="9"/>
        <v>28</v>
      </c>
      <c r="K7" s="60">
        <f t="shared" si="9"/>
        <v>27.500000000000004</v>
      </c>
      <c r="L7" s="60">
        <f t="shared" si="9"/>
        <v>27.000000000000004</v>
      </c>
      <c r="M7" s="60">
        <f t="shared" si="9"/>
        <v>26.5</v>
      </c>
      <c r="N7" s="60">
        <f t="shared" si="9"/>
        <v>25.700000000000003</v>
      </c>
      <c r="O7" s="60">
        <f t="shared" si="0"/>
        <v>-8.3092414864019162</v>
      </c>
      <c r="P7" s="60">
        <f t="shared" si="1"/>
        <v>-2.3661691308161785</v>
      </c>
      <c r="Q7" s="60">
        <f t="shared" si="2"/>
        <v>4.3641845217575401</v>
      </c>
      <c r="R7" s="60">
        <f t="shared" si="3"/>
        <v>6.9934141265498511</v>
      </c>
      <c r="S7" s="12">
        <f t="shared" si="4"/>
        <v>-0.24601737895009279</v>
      </c>
      <c r="T7" s="12">
        <f t="shared" si="5"/>
        <v>-9.2915646919656147E-2</v>
      </c>
      <c r="U7" s="12">
        <f t="shared" si="6"/>
        <v>0.18892894519344061</v>
      </c>
      <c r="V7" s="12">
        <f t="shared" si="7"/>
        <v>0.25464124050539216</v>
      </c>
      <c r="W7" s="12">
        <f t="shared" si="7"/>
        <v>-0.17550497335439508</v>
      </c>
      <c r="X7" s="12">
        <f t="shared" si="7"/>
        <v>-1.4424436441243138E-2</v>
      </c>
      <c r="Y7" s="12">
        <f t="shared" si="7"/>
        <v>-1.7857142857142683E-2</v>
      </c>
      <c r="Z7" s="12">
        <f t="shared" si="7"/>
        <v>-1.8181818181818188E-2</v>
      </c>
      <c r="AA7" s="12">
        <f t="shared" si="7"/>
        <v>-1.8518518518518601E-2</v>
      </c>
      <c r="AB7" s="12">
        <f t="shared" si="7"/>
        <v>-3.0188679245282901E-2</v>
      </c>
      <c r="AC7" s="185" t="s">
        <v>1315</v>
      </c>
      <c r="AD7" s="185" t="s">
        <v>120</v>
      </c>
      <c r="AE7" s="186"/>
    </row>
    <row r="8" spans="1:31">
      <c r="A8" s="356" t="s">
        <v>104</v>
      </c>
      <c r="B8" s="10" t="s">
        <v>975</v>
      </c>
      <c r="C8" s="186"/>
      <c r="D8" s="60">
        <f>(ABS('Estados de Resultados Consolida'!C4/'Balance General'!D11))</f>
        <v>8.2189076319165153</v>
      </c>
      <c r="E8" s="60">
        <f>(ABS('Estados de Resultados Consolida'!D4/'Balance General'!E11))</f>
        <v>8.4553544509390104</v>
      </c>
      <c r="F8" s="60">
        <f>(ABS('Estados de Resultados Consolida'!E4/'Balance General'!F11))</f>
        <v>8.7032530707966664</v>
      </c>
      <c r="G8" s="60">
        <f>(ABS('Estados de Resultados Consolida'!F4/'Balance General'!G11))</f>
        <v>9.4540121516865696</v>
      </c>
      <c r="H8" s="60">
        <f>(ABS('Estados de Resultados Consolida'!G4/'Balance General'!H11))</f>
        <v>8.1062957363169037</v>
      </c>
      <c r="I8" s="60">
        <f>(ABS('Estados de Resultados Consolida'!H4/'Balance General'!I11))</f>
        <v>8.0036219385995171</v>
      </c>
      <c r="J8" s="60">
        <f>(ABS('ER Proyectado'!I4/'BG Proyectado'!J11))</f>
        <v>8.3720930232558146</v>
      </c>
      <c r="K8" s="60">
        <f>(ABS('ER Proyectado'!J4/'BG Proyectado'!K11))</f>
        <v>8.5714285714285712</v>
      </c>
      <c r="L8" s="60">
        <f>(ABS('ER Proyectado'!K4/'BG Proyectado'!L11))</f>
        <v>8.7804878048780495</v>
      </c>
      <c r="M8" s="60">
        <f>(ABS('ER Proyectado'!L4/'BG Proyectado'!M11))</f>
        <v>9</v>
      </c>
      <c r="N8" s="60">
        <f>(ABS('ER Proyectado'!M4/'BG Proyectado'!N11))</f>
        <v>9.473684210526315</v>
      </c>
      <c r="O8" s="60">
        <f t="shared" si="0"/>
        <v>0.23644681902249509</v>
      </c>
      <c r="P8" s="60">
        <f t="shared" si="1"/>
        <v>0.24789861985765604</v>
      </c>
      <c r="Q8" s="60">
        <f t="shared" si="2"/>
        <v>0.75075908088990317</v>
      </c>
      <c r="R8" s="60">
        <f t="shared" si="3"/>
        <v>-1.3477164153696659</v>
      </c>
      <c r="S8" s="12">
        <f t="shared" si="4"/>
        <v>2.8768642940370848E-2</v>
      </c>
      <c r="T8" s="12">
        <f t="shared" si="5"/>
        <v>2.9318536709022958E-2</v>
      </c>
      <c r="U8" s="12">
        <f t="shared" si="6"/>
        <v>8.6261892511093174E-2</v>
      </c>
      <c r="V8" s="12">
        <f t="shared" si="7"/>
        <v>-0.14255496965161374</v>
      </c>
      <c r="W8" s="12">
        <f t="shared" si="7"/>
        <v>-1.2665932881944952E-2</v>
      </c>
      <c r="X8" s="12">
        <f t="shared" si="7"/>
        <v>4.6038042211770547E-2</v>
      </c>
      <c r="Y8" s="12">
        <f t="shared" si="7"/>
        <v>2.3809523809523725E-2</v>
      </c>
      <c r="Z8" s="12">
        <f t="shared" si="7"/>
        <v>2.4390243902439046E-2</v>
      </c>
      <c r="AA8" s="12">
        <f t="shared" si="7"/>
        <v>2.4999999999999911E-2</v>
      </c>
      <c r="AB8" s="12">
        <f t="shared" si="7"/>
        <v>5.2631578947368363E-2</v>
      </c>
      <c r="AC8" s="185" t="s">
        <v>1316</v>
      </c>
      <c r="AD8" s="185" t="s">
        <v>121</v>
      </c>
      <c r="AE8" s="186"/>
    </row>
    <row r="9" spans="1:31" ht="23.25">
      <c r="A9" s="356" t="s">
        <v>104</v>
      </c>
      <c r="B9" s="10" t="s">
        <v>976</v>
      </c>
      <c r="C9" s="186"/>
      <c r="D9" s="60">
        <f>ABS(360/D8)</f>
        <v>43.801441276941794</v>
      </c>
      <c r="E9" s="60">
        <f t="shared" ref="E9:H9" si="10">ABS(360/E8)</f>
        <v>42.576571105191242</v>
      </c>
      <c r="F9" s="60">
        <f t="shared" si="10"/>
        <v>41.363843734242558</v>
      </c>
      <c r="G9" s="60">
        <f t="shared" si="10"/>
        <v>38.079071004343589</v>
      </c>
      <c r="H9" s="60">
        <f t="shared" si="10"/>
        <v>44.409926766817669</v>
      </c>
      <c r="I9" s="60">
        <f t="shared" ref="I9:N9" si="11">ABS(360/I8)</f>
        <v>44.979635815106128</v>
      </c>
      <c r="J9" s="60">
        <f t="shared" si="11"/>
        <v>43</v>
      </c>
      <c r="K9" s="60">
        <f t="shared" si="11"/>
        <v>42</v>
      </c>
      <c r="L9" s="60">
        <f t="shared" si="11"/>
        <v>41</v>
      </c>
      <c r="M9" s="60">
        <f t="shared" si="11"/>
        <v>40</v>
      </c>
      <c r="N9" s="60">
        <f t="shared" si="11"/>
        <v>38</v>
      </c>
      <c r="O9" s="60">
        <f>E9-D9</f>
        <v>-1.2248701717505526</v>
      </c>
      <c r="P9" s="60">
        <f t="shared" si="1"/>
        <v>-1.2127273709486843</v>
      </c>
      <c r="Q9" s="60">
        <f t="shared" si="2"/>
        <v>-3.2847727298989682</v>
      </c>
      <c r="R9" s="60">
        <f t="shared" si="3"/>
        <v>6.33085576247408</v>
      </c>
      <c r="S9" s="12">
        <f t="shared" si="4"/>
        <v>-2.7964152229743133E-2</v>
      </c>
      <c r="T9" s="12">
        <f t="shared" si="5"/>
        <v>-2.848344381590695E-2</v>
      </c>
      <c r="U9" s="12">
        <f t="shared" si="6"/>
        <v>-7.9411689856562107E-2</v>
      </c>
      <c r="V9" s="12">
        <f t="shared" si="7"/>
        <v>0.16625552030279134</v>
      </c>
      <c r="W9" s="12">
        <f t="shared" si="7"/>
        <v>1.2828416747449722E-2</v>
      </c>
      <c r="X9" s="12">
        <f t="shared" si="7"/>
        <v>-4.4011824000613209E-2</v>
      </c>
      <c r="Y9" s="12">
        <f t="shared" si="7"/>
        <v>-2.3255813953488413E-2</v>
      </c>
      <c r="Z9" s="12">
        <f t="shared" si="7"/>
        <v>-2.3809523809523836E-2</v>
      </c>
      <c r="AA9" s="12">
        <f t="shared" si="7"/>
        <v>-2.4390243902439046E-2</v>
      </c>
      <c r="AB9" s="12">
        <f t="shared" si="7"/>
        <v>-5.0000000000000044E-2</v>
      </c>
      <c r="AC9" s="185" t="s">
        <v>1317</v>
      </c>
      <c r="AD9" s="185" t="s">
        <v>1318</v>
      </c>
      <c r="AE9" s="186"/>
    </row>
    <row r="10" spans="1:31">
      <c r="A10" s="356" t="s">
        <v>104</v>
      </c>
      <c r="B10" s="10" t="s">
        <v>977</v>
      </c>
      <c r="C10" s="186"/>
      <c r="D10" s="60">
        <f>'Informacion Complementaria'!B7/'Balance General'!D24</f>
        <v>6.6655102876524994</v>
      </c>
      <c r="E10" s="60">
        <f>'Informacion Complementaria'!C7/'Balance General'!E24</f>
        <v>8.4245210727969351</v>
      </c>
      <c r="F10" s="60">
        <f>'Informacion Complementaria'!D7/'Balance General'!F24</f>
        <v>6.0940768578412623</v>
      </c>
      <c r="G10" s="60">
        <f>'Informacion Complementaria'!E7/'Balance General'!G24</f>
        <v>4.3732857039096187</v>
      </c>
      <c r="H10" s="60">
        <f>'Informacion Complementaria'!F7/'Balance General'!H24</f>
        <v>4.1047906536762886</v>
      </c>
      <c r="I10" s="60">
        <f>'Informacion Complementaria'!G7/'Balance General'!I24</f>
        <v>4.3348983099590033</v>
      </c>
      <c r="J10" s="60">
        <f>'Informacion Complementaria'!H7/'BG Proyectado'!J24</f>
        <v>4.3373493975903612</v>
      </c>
      <c r="K10" s="60">
        <f>'Informacion Complementaria'!I7/'BG Proyectado'!K24</f>
        <v>4.2352941176470589</v>
      </c>
      <c r="L10" s="60">
        <f>'Informacion Complementaria'!J7/'BG Proyectado'!L24</f>
        <v>4.1379310344827589</v>
      </c>
      <c r="M10" s="60">
        <f>'Informacion Complementaria'!K7/'BG Proyectado'!M24</f>
        <v>4.0770101925254814</v>
      </c>
      <c r="N10" s="60">
        <f>'Informacion Complementaria'!L7/'BG Proyectado'!N24</f>
        <v>4.0449438202247192</v>
      </c>
      <c r="O10" s="60">
        <f t="shared" si="0"/>
        <v>1.7590107851444357</v>
      </c>
      <c r="P10" s="60">
        <f t="shared" si="1"/>
        <v>-2.3304442149556728</v>
      </c>
      <c r="Q10" s="60">
        <f t="shared" si="2"/>
        <v>-1.7207911539316436</v>
      </c>
      <c r="R10" s="60">
        <f t="shared" si="3"/>
        <v>-0.26849505023333009</v>
      </c>
      <c r="S10" s="12">
        <f t="shared" si="4"/>
        <v>0.26389739258266665</v>
      </c>
      <c r="T10" s="12">
        <f t="shared" si="5"/>
        <v>-0.27662631440032315</v>
      </c>
      <c r="U10" s="12">
        <f t="shared" si="6"/>
        <v>-0.28237109476515676</v>
      </c>
      <c r="V10" s="12">
        <f t="shared" si="7"/>
        <v>-6.1394353904960175E-2</v>
      </c>
      <c r="W10" s="12">
        <f t="shared" si="7"/>
        <v>5.6058317146241876E-2</v>
      </c>
      <c r="X10" s="12">
        <f t="shared" si="7"/>
        <v>5.6543140256071212E-4</v>
      </c>
      <c r="Y10" s="12">
        <f t="shared" si="7"/>
        <v>-2.3529411764705799E-2</v>
      </c>
      <c r="Z10" s="12">
        <f t="shared" si="7"/>
        <v>-2.2988505747126409E-2</v>
      </c>
      <c r="AA10" s="12">
        <f t="shared" si="7"/>
        <v>-1.4722536806342057E-2</v>
      </c>
      <c r="AB10" s="12">
        <f t="shared" si="7"/>
        <v>-7.8651685393258397E-3</v>
      </c>
      <c r="AC10" s="185" t="str">
        <f>'Informacion Complementaria'!A7&amp;"/"&amp;'Balance General'!C24</f>
        <v>Compras año/Proveedores</v>
      </c>
      <c r="AD10" s="185" t="s">
        <v>122</v>
      </c>
      <c r="AE10" s="186"/>
    </row>
    <row r="11" spans="1:31">
      <c r="A11" s="356" t="s">
        <v>104</v>
      </c>
      <c r="B11" s="10" t="s">
        <v>978</v>
      </c>
      <c r="C11" s="186"/>
      <c r="D11" s="60">
        <f>360/D10</f>
        <v>54.009368295009715</v>
      </c>
      <c r="E11" s="60">
        <f>360/E10</f>
        <v>42.732399490631252</v>
      </c>
      <c r="F11" s="60">
        <f t="shared" ref="F11:H11" si="12">360/F10</f>
        <v>59.073754466484488</v>
      </c>
      <c r="G11" s="60">
        <f t="shared" si="12"/>
        <v>82.317969685394246</v>
      </c>
      <c r="H11" s="60">
        <f t="shared" si="12"/>
        <v>87.702401991580416</v>
      </c>
      <c r="I11" s="60">
        <f t="shared" ref="I11:N11" si="13">360/I10</f>
        <v>83.046930806412533</v>
      </c>
      <c r="J11" s="60">
        <f t="shared" si="13"/>
        <v>83</v>
      </c>
      <c r="K11" s="60">
        <f t="shared" si="13"/>
        <v>85</v>
      </c>
      <c r="L11" s="60">
        <f t="shared" si="13"/>
        <v>87</v>
      </c>
      <c r="M11" s="60">
        <f t="shared" si="13"/>
        <v>88.3</v>
      </c>
      <c r="N11" s="60">
        <f t="shared" si="13"/>
        <v>89</v>
      </c>
      <c r="O11" s="60">
        <f t="shared" si="0"/>
        <v>-11.276968804378463</v>
      </c>
      <c r="P11" s="60">
        <f t="shared" si="1"/>
        <v>16.341354975853235</v>
      </c>
      <c r="Q11" s="60">
        <f t="shared" si="2"/>
        <v>23.244215218909758</v>
      </c>
      <c r="R11" s="60">
        <f t="shared" si="3"/>
        <v>5.3844323061861701</v>
      </c>
      <c r="S11" s="12">
        <f t="shared" si="4"/>
        <v>-0.20879653216422489</v>
      </c>
      <c r="T11" s="12">
        <f t="shared" si="5"/>
        <v>0.38241135931147396</v>
      </c>
      <c r="U11" s="12">
        <f t="shared" si="6"/>
        <v>0.39347787234511</v>
      </c>
      <c r="V11" s="12">
        <f t="shared" si="7"/>
        <v>6.5410168967536375E-2</v>
      </c>
      <c r="W11" s="12">
        <f t="shared" si="7"/>
        <v>-5.3082596137045579E-2</v>
      </c>
      <c r="X11" s="12">
        <f t="shared" si="7"/>
        <v>-5.651118705630731E-4</v>
      </c>
      <c r="Y11" s="12">
        <f t="shared" si="7"/>
        <v>2.4096385542168752E-2</v>
      </c>
      <c r="Z11" s="12">
        <f t="shared" si="7"/>
        <v>2.3529411764705799E-2</v>
      </c>
      <c r="AA11" s="12">
        <f t="shared" si="7"/>
        <v>1.4942528735632177E-2</v>
      </c>
      <c r="AB11" s="12">
        <f t="shared" si="7"/>
        <v>7.9275198187995777E-3</v>
      </c>
      <c r="AC11" s="185" t="str">
        <f>"Dias Año/"&amp;B10</f>
        <v xml:space="preserve">Dias Año/ROTACION PROVEEDORES (VECES)  </v>
      </c>
      <c r="AD11" s="185" t="s">
        <v>123</v>
      </c>
      <c r="AE11" s="186"/>
    </row>
    <row r="12" spans="1:31">
      <c r="A12" s="356" t="s">
        <v>104</v>
      </c>
      <c r="B12" s="10" t="s">
        <v>1374</v>
      </c>
      <c r="C12" s="186"/>
      <c r="D12" s="60">
        <f t="shared" ref="D12:H12" si="14">D7+D9</f>
        <v>77.576459618583144</v>
      </c>
      <c r="E12" s="60">
        <f t="shared" si="14"/>
        <v>68.042347960430675</v>
      </c>
      <c r="F12" s="60">
        <f t="shared" si="14"/>
        <v>64.463451458665816</v>
      </c>
      <c r="G12" s="60">
        <f t="shared" si="14"/>
        <v>65.542863250524391</v>
      </c>
      <c r="H12" s="60">
        <f t="shared" si="14"/>
        <v>78.867133139548315</v>
      </c>
      <c r="I12" s="60">
        <f t="shared" ref="I12:N12" si="15">I7+I9</f>
        <v>73.389431101523797</v>
      </c>
      <c r="J12" s="60">
        <f t="shared" si="15"/>
        <v>71</v>
      </c>
      <c r="K12" s="60">
        <f t="shared" si="15"/>
        <v>69.5</v>
      </c>
      <c r="L12" s="60">
        <f t="shared" si="15"/>
        <v>68</v>
      </c>
      <c r="M12" s="60">
        <f t="shared" si="15"/>
        <v>66.5</v>
      </c>
      <c r="N12" s="60">
        <f t="shared" si="15"/>
        <v>63.7</v>
      </c>
      <c r="O12" s="60">
        <f t="shared" si="0"/>
        <v>-9.5341116581524687</v>
      </c>
      <c r="P12" s="60">
        <f t="shared" si="1"/>
        <v>-3.5788965017648593</v>
      </c>
      <c r="Q12" s="60">
        <f t="shared" si="2"/>
        <v>1.0794117918585755</v>
      </c>
      <c r="R12" s="60">
        <f t="shared" si="3"/>
        <v>13.324269889023924</v>
      </c>
      <c r="S12" s="12">
        <f t="shared" si="4"/>
        <v>-0.12289954588065022</v>
      </c>
      <c r="T12" s="12">
        <f t="shared" si="5"/>
        <v>-5.2598074714384158E-2</v>
      </c>
      <c r="U12" s="12">
        <f t="shared" si="6"/>
        <v>1.6744554742786244E-2</v>
      </c>
      <c r="V12" s="12">
        <f t="shared" si="7"/>
        <v>0.20329093402731857</v>
      </c>
      <c r="W12" s="12">
        <f t="shared" si="7"/>
        <v>-6.9454813684329264E-2</v>
      </c>
      <c r="X12" s="12">
        <f t="shared" si="7"/>
        <v>-3.2558245317617529E-2</v>
      </c>
      <c r="Y12" s="12">
        <f t="shared" si="7"/>
        <v>-2.1126760563380254E-2</v>
      </c>
      <c r="Z12" s="12">
        <f t="shared" si="7"/>
        <v>-2.1582733812949617E-2</v>
      </c>
      <c r="AA12" s="12">
        <f t="shared" si="7"/>
        <v>-2.2058823529411797E-2</v>
      </c>
      <c r="AB12" s="12">
        <f t="shared" si="7"/>
        <v>-4.2105263157894646E-2</v>
      </c>
      <c r="AC12" s="185" t="str">
        <f>B9&amp;"+"&amp;B7</f>
        <v xml:space="preserve">ROTACION DE INVENTARIOS (DIAS)  +ROTACION DE CXC (DIAS)  </v>
      </c>
      <c r="AD12" s="185" t="s">
        <v>124</v>
      </c>
      <c r="AE12" s="186"/>
    </row>
    <row r="13" spans="1:31">
      <c r="A13" s="356" t="s">
        <v>104</v>
      </c>
      <c r="B13" s="10" t="s">
        <v>979</v>
      </c>
      <c r="C13" s="186"/>
      <c r="D13" s="60">
        <f>D12-D11</f>
        <v>23.567091323573429</v>
      </c>
      <c r="E13" s="60">
        <f>E12-E11</f>
        <v>25.309948469799423</v>
      </c>
      <c r="F13" s="60">
        <f t="shared" ref="F13:H13" si="16">F12-F11</f>
        <v>5.389696992181328</v>
      </c>
      <c r="G13" s="60">
        <f t="shared" si="16"/>
        <v>-16.775106434869855</v>
      </c>
      <c r="H13" s="60">
        <f t="shared" si="16"/>
        <v>-8.835268852032101</v>
      </c>
      <c r="I13" s="60">
        <f t="shared" ref="I13:N13" si="17">I12-I11</f>
        <v>-9.6574997048887354</v>
      </c>
      <c r="J13" s="60">
        <f t="shared" si="17"/>
        <v>-12</v>
      </c>
      <c r="K13" s="60">
        <f t="shared" si="17"/>
        <v>-15.5</v>
      </c>
      <c r="L13" s="60">
        <f t="shared" si="17"/>
        <v>-19</v>
      </c>
      <c r="M13" s="60">
        <f t="shared" si="17"/>
        <v>-21.799999999999997</v>
      </c>
      <c r="N13" s="60">
        <f t="shared" si="17"/>
        <v>-25.299999999999997</v>
      </c>
      <c r="O13" s="60">
        <f t="shared" si="0"/>
        <v>1.7428571462259939</v>
      </c>
      <c r="P13" s="60">
        <f t="shared" si="1"/>
        <v>-19.920251477618095</v>
      </c>
      <c r="Q13" s="60">
        <f t="shared" si="2"/>
        <v>-22.164803427051183</v>
      </c>
      <c r="R13" s="60">
        <f t="shared" si="3"/>
        <v>7.9398375828377539</v>
      </c>
      <c r="S13" s="12">
        <f t="shared" si="4"/>
        <v>7.3953001764060167E-2</v>
      </c>
      <c r="T13" s="12">
        <f t="shared" si="5"/>
        <v>-0.78705223368540345</v>
      </c>
      <c r="U13" s="12">
        <f t="shared" si="6"/>
        <v>-4.1124396156602128</v>
      </c>
      <c r="V13" s="12">
        <f t="shared" si="7"/>
        <v>-0.47331071273166281</v>
      </c>
      <c r="W13" s="12">
        <f t="shared" si="7"/>
        <v>9.3062346672962093E-2</v>
      </c>
      <c r="X13" s="12">
        <f t="shared" si="7"/>
        <v>0.24255763569171673</v>
      </c>
      <c r="Y13" s="12">
        <f t="shared" si="7"/>
        <v>0.29166666666666674</v>
      </c>
      <c r="Z13" s="12">
        <f t="shared" si="7"/>
        <v>0.22580645161290325</v>
      </c>
      <c r="AA13" s="12">
        <f t="shared" si="7"/>
        <v>0.14736842105263137</v>
      </c>
      <c r="AB13" s="12">
        <f t="shared" si="7"/>
        <v>0.16055045871559637</v>
      </c>
      <c r="AC13" s="185" t="str">
        <f>B12&amp;"-"&amp;B11</f>
        <v xml:space="preserve">CICLO OPERATIVO DEL NEGOCIO (CON)-ROTACION PROVEEDORES (DIAS)  </v>
      </c>
      <c r="AD13" s="185" t="s">
        <v>125</v>
      </c>
      <c r="AE13" s="186"/>
    </row>
    <row r="14" spans="1:31" ht="23.25" hidden="1">
      <c r="A14" s="356" t="s">
        <v>104</v>
      </c>
      <c r="B14" s="10" t="s">
        <v>980</v>
      </c>
      <c r="C14" s="186"/>
      <c r="D14" s="60">
        <f>'Estados de Resultados Consolida'!C3/'Balance General'!D13</f>
        <v>3.8907115973313711</v>
      </c>
      <c r="E14" s="60">
        <f>'Estados de Resultados Consolida'!D3/'Balance General'!E13</f>
        <v>5.2471440088836152</v>
      </c>
      <c r="F14" s="60">
        <f>'Estados de Resultados Consolida'!E3/'Balance General'!F13</f>
        <v>4.9659427426061962</v>
      </c>
      <c r="G14" s="60">
        <f>'Estados de Resultados Consolida'!F3/'Balance General'!G13</f>
        <v>5.0324098694958508</v>
      </c>
      <c r="H14" s="60">
        <f>'Estados de Resultados Consolida'!G3/'Balance General'!H13</f>
        <v>3.6862234063681112</v>
      </c>
      <c r="I14" s="60">
        <f>'Estados de Resultados Consolida'!H3/'Balance General'!I13</f>
        <v>3.5848413984494019</v>
      </c>
      <c r="J14" s="60">
        <f>'ER Proyectado'!I3/'BG Proyectado'!J13</f>
        <v>3.5149705585746895</v>
      </c>
      <c r="K14" s="60">
        <f>'ER Proyectado'!J3/'BG Proyectado'!K13</f>
        <v>3.4579807435879326</v>
      </c>
      <c r="L14" s="60">
        <f>'ER Proyectado'!K3/'BG Proyectado'!L13</f>
        <v>3.4108163097644679</v>
      </c>
      <c r="M14" s="60">
        <f>'ER Proyectado'!L3/'BG Proyectado'!M13</f>
        <v>3.37187468799572</v>
      </c>
      <c r="N14" s="60">
        <f>'ER Proyectado'!M3/'BG Proyectado'!N13</f>
        <v>3.3517240203050931</v>
      </c>
      <c r="O14" s="60">
        <f t="shared" si="0"/>
        <v>1.3564324115522441</v>
      </c>
      <c r="P14" s="60">
        <f t="shared" si="1"/>
        <v>-0.28120126627741904</v>
      </c>
      <c r="Q14" s="60">
        <f t="shared" si="2"/>
        <v>6.6467126889654615E-2</v>
      </c>
      <c r="R14" s="60">
        <f t="shared" si="3"/>
        <v>-1.3461864631277396</v>
      </c>
      <c r="S14" s="12">
        <f t="shared" si="4"/>
        <v>0.34863350254041392</v>
      </c>
      <c r="T14" s="12">
        <f t="shared" si="5"/>
        <v>-5.359129953386732E-2</v>
      </c>
      <c r="U14" s="12">
        <f t="shared" si="6"/>
        <v>1.3384593889774088E-2</v>
      </c>
      <c r="V14" s="12">
        <f t="shared" si="7"/>
        <v>-0.26750334293867861</v>
      </c>
      <c r="W14" s="12">
        <f t="shared" si="7"/>
        <v>-2.7502947255873766E-2</v>
      </c>
      <c r="X14" s="12">
        <f t="shared" si="7"/>
        <v>-1.9490636295634856E-2</v>
      </c>
      <c r="Y14" s="12">
        <f t="shared" si="7"/>
        <v>-1.621345443356037E-2</v>
      </c>
      <c r="Z14" s="12">
        <f t="shared" si="7"/>
        <v>-1.363929915194606E-2</v>
      </c>
      <c r="AA14" s="12">
        <f t="shared" si="7"/>
        <v>-1.1417097325724046E-2</v>
      </c>
      <c r="AB14" s="12">
        <f t="shared" si="7"/>
        <v>-5.9761021850442964E-3</v>
      </c>
      <c r="AC14" s="185" t="str">
        <f>'Estados de Resultados Consolida'!B3&amp;"/"&amp;'Balance General'!C13</f>
        <v>Ingresos/Total del Activo Circulante</v>
      </c>
      <c r="AD14" s="185" t="s">
        <v>126</v>
      </c>
      <c r="AE14" s="186"/>
    </row>
    <row r="15" spans="1:31">
      <c r="A15" s="356" t="s">
        <v>104</v>
      </c>
      <c r="B15" s="10" t="s">
        <v>981</v>
      </c>
      <c r="C15" s="186"/>
      <c r="D15" s="60">
        <f>'Estados de Resultados Consolida'!C3/'Balance General'!D16</f>
        <v>1.4516869142831548</v>
      </c>
      <c r="E15" s="60">
        <f>'Estados de Resultados Consolida'!D3/'Balance General'!E16</f>
        <v>1.5469347155538375</v>
      </c>
      <c r="F15" s="60">
        <f>'Estados de Resultados Consolida'!E3/'Balance General'!F16</f>
        <v>1.3052053351186572</v>
      </c>
      <c r="G15" s="60">
        <f>'Estados de Resultados Consolida'!F3/'Balance General'!G16</f>
        <v>1.0640504793107632</v>
      </c>
      <c r="H15" s="60">
        <f>'Estados de Resultados Consolida'!G3/'Balance General'!H16</f>
        <v>0.9647602879119983</v>
      </c>
      <c r="I15" s="60">
        <f>'Estados de Resultados Consolida'!H3/'Balance General'!I16</f>
        <v>0.95326024880619808</v>
      </c>
      <c r="J15" s="60">
        <f>'ER Proyectado'!I3/'BG Proyectado'!J16</f>
        <v>0.87917778107268452</v>
      </c>
      <c r="K15" s="60">
        <f>'ER Proyectado'!J3/'BG Proyectado'!K16</f>
        <v>0.93566718070870114</v>
      </c>
      <c r="L15" s="60">
        <f>'ER Proyectado'!K3/'BG Proyectado'!L16</f>
        <v>0.99108076694128155</v>
      </c>
      <c r="M15" s="60">
        <f>'ER Proyectado'!L3/'BG Proyectado'!M16</f>
        <v>1.0499837423581377</v>
      </c>
      <c r="N15" s="60">
        <f>'ER Proyectado'!M3/'BG Proyectado'!N16</f>
        <v>1.1231110648408729</v>
      </c>
      <c r="O15" s="60">
        <f t="shared" si="0"/>
        <v>9.5247801270682775E-2</v>
      </c>
      <c r="P15" s="60">
        <f t="shared" si="1"/>
        <v>-0.24172938043518033</v>
      </c>
      <c r="Q15" s="60">
        <f t="shared" si="2"/>
        <v>-0.24115485580789398</v>
      </c>
      <c r="R15" s="60">
        <f t="shared" si="3"/>
        <v>-9.9290191398764938E-2</v>
      </c>
      <c r="S15" s="12">
        <f t="shared" si="4"/>
        <v>6.5611806742582823E-2</v>
      </c>
      <c r="T15" s="12">
        <f t="shared" si="5"/>
        <v>-0.15626346606917785</v>
      </c>
      <c r="U15" s="12">
        <f t="shared" si="6"/>
        <v>-0.18476392129210106</v>
      </c>
      <c r="V15" s="12">
        <f t="shared" si="7"/>
        <v>-9.3313421993926449E-2</v>
      </c>
      <c r="W15" s="12">
        <f t="shared" si="7"/>
        <v>-1.1920099997782208E-2</v>
      </c>
      <c r="X15" s="12">
        <f t="shared" si="7"/>
        <v>-7.771484002012008E-2</v>
      </c>
      <c r="Y15" s="12">
        <f t="shared" si="7"/>
        <v>6.4252533278416069E-2</v>
      </c>
      <c r="Z15" s="12">
        <f t="shared" si="7"/>
        <v>5.9223607897210373E-2</v>
      </c>
      <c r="AA15" s="12">
        <f t="shared" si="7"/>
        <v>5.9433072844956136E-2</v>
      </c>
      <c r="AB15" s="12">
        <f t="shared" si="7"/>
        <v>6.9646147395101554E-2</v>
      </c>
      <c r="AC15" s="185" t="str">
        <f>'Estados de Resultados Consolida'!B3&amp;"/"&amp;'Balance General'!C16</f>
        <v>Ingresos/Propiedades  maquinaria y equipo neto</v>
      </c>
      <c r="AD15" s="185" t="s">
        <v>127</v>
      </c>
      <c r="AE15" s="186"/>
    </row>
    <row r="16" spans="1:31" ht="72.75" hidden="1" customHeight="1">
      <c r="A16" s="356" t="s">
        <v>104</v>
      </c>
      <c r="B16" s="10" t="s">
        <v>982</v>
      </c>
      <c r="C16" s="186"/>
      <c r="D16" s="60">
        <f>+'Estados de Resultados Consolida'!C3/('Balance General'!D7+'Balance General'!D8+'Balance General'!D9+'Balance General'!D11+'Balance General'!D12+'Balance General'!D15+'Balance General'!D16+'Balance General'!D17)</f>
        <v>0.47455663756335931</v>
      </c>
      <c r="E16" s="60">
        <f>+'Estados de Resultados Consolida'!D3/('Balance General'!E7+'Balance General'!E8+'Balance General'!E9+'Balance General'!E11+'Balance General'!E12+'Balance General'!E15+'Balance General'!E16+'Balance General'!E17)</f>
        <v>0.50614014545245389</v>
      </c>
      <c r="F16" s="60">
        <f>+'Estados de Resultados Consolida'!E3/('Balance General'!F7+'Balance General'!F8+'Balance General'!F9+'Balance General'!F11+'Balance General'!F12+'Balance General'!F15+'Balance General'!F16+'Balance General'!F17)</f>
        <v>0.45898491586637036</v>
      </c>
      <c r="G16" s="60">
        <f>+'Estados de Resultados Consolida'!F3/('Balance General'!G7+'Balance General'!G8+'Balance General'!G9+'Balance General'!G11+'Balance General'!G12+'Balance General'!G15+'Balance General'!G16+'Balance General'!G17)</f>
        <v>0.40754872021138944</v>
      </c>
      <c r="H16" s="60">
        <f>+'Estados de Resultados Consolida'!G3/('Balance General'!H7+'Balance General'!H8+'Balance General'!H9+'Balance General'!H11+'Balance General'!H12+'Balance General'!H15+'Balance General'!H16+'Balance General'!H17)</f>
        <v>0.37652073176136175</v>
      </c>
      <c r="I16" s="60">
        <f>+'ER Proyectado'!H3/('BG Proyectado'!I7+'BG Proyectado'!I8+'BG Proyectado'!I9+'BG Proyectado'!I11+'BG Proyectado'!I12+'BG Proyectado'!I15+'BG Proyectado'!I16+'BG Proyectado'!I17)</f>
        <v>0.37383682886189007</v>
      </c>
      <c r="J16" s="60">
        <f>+'ER Proyectado'!I3/('BG Proyectado'!J7+'BG Proyectado'!J8+'BG Proyectado'!J9+'BG Proyectado'!J11+'BG Proyectado'!J12+'BG Proyectado'!J15+'BG Proyectado'!J16+'BG Proyectado'!J17)</f>
        <v>0.34890980230269669</v>
      </c>
      <c r="K16" s="60">
        <f>+'ER Proyectado'!J3/('BG Proyectado'!K7+'BG Proyectado'!K8+'BG Proyectado'!K9+'BG Proyectado'!K11+'BG Proyectado'!K12+'BG Proyectado'!K15+'BG Proyectado'!K16+'BG Proyectado'!K17)</f>
        <v>0.36394753749173075</v>
      </c>
      <c r="L16" s="60">
        <f>+'ER Proyectado'!K3/('BG Proyectado'!L7+'BG Proyectado'!L8+'BG Proyectado'!L9+'BG Proyectado'!L11+'BG Proyectado'!L12+'BG Proyectado'!L15+'BG Proyectado'!L16+'BG Proyectado'!L17)</f>
        <v>0.37860661480513103</v>
      </c>
      <c r="M16" s="60">
        <f>+'ER Proyectado'!L3/('BG Proyectado'!M7+'BG Proyectado'!M8+'BG Proyectado'!M9+'BG Proyectado'!M11+'BG Proyectado'!M12+'BG Proyectado'!M15+'BG Proyectado'!M16+'BG Proyectado'!M17)</f>
        <v>0.39363060877385597</v>
      </c>
      <c r="N16" s="60">
        <f>+'ER Proyectado'!M3/('BG Proyectado'!N7+'BG Proyectado'!N8+'BG Proyectado'!N9+'BG Proyectado'!N11+'BG Proyectado'!N12+'BG Proyectado'!N15+'BG Proyectado'!N16+'BG Proyectado'!N17)</f>
        <v>0.41392291764229633</v>
      </c>
      <c r="O16" s="60">
        <f t="shared" si="0"/>
        <v>3.1583507889094586E-2</v>
      </c>
      <c r="P16" s="60">
        <f t="shared" si="1"/>
        <v>-4.7155229586083536E-2</v>
      </c>
      <c r="Q16" s="60">
        <f t="shared" si="2"/>
        <v>-5.1436195654980921E-2</v>
      </c>
      <c r="R16" s="60">
        <f t="shared" si="3"/>
        <v>-3.1027988450027688E-2</v>
      </c>
      <c r="S16" s="12">
        <f t="shared" si="4"/>
        <v>6.6553716435749477E-2</v>
      </c>
      <c r="T16" s="12">
        <f t="shared" si="5"/>
        <v>-9.316634930021217E-2</v>
      </c>
      <c r="U16" s="12">
        <f t="shared" si="6"/>
        <v>-0.11206511124203511</v>
      </c>
      <c r="V16" s="12">
        <f t="shared" si="7"/>
        <v>-7.6133200550682512E-2</v>
      </c>
      <c r="W16" s="12">
        <f t="shared" si="7"/>
        <v>-7.1281676494051593E-3</v>
      </c>
      <c r="X16" s="12">
        <f t="shared" si="7"/>
        <v>-6.6678894733515959E-2</v>
      </c>
      <c r="Y16" s="12">
        <f t="shared" si="7"/>
        <v>4.3099205266775797E-2</v>
      </c>
      <c r="Z16" s="12">
        <f t="shared" si="7"/>
        <v>4.0277995599113936E-2</v>
      </c>
      <c r="AA16" s="12">
        <f t="shared" si="7"/>
        <v>3.9682333538883841E-2</v>
      </c>
      <c r="AB16" s="12">
        <f t="shared" si="7"/>
        <v>5.1551653799612129E-2</v>
      </c>
      <c r="AC16" s="185" t="str">
        <f>+'Estados de Resultados Consolida'!B3&amp;"/("&amp;'Balance General'!C7&amp;"+"&amp;'Balance General'!C8&amp;"+"&amp;'Balance General'!C9&amp;"+"&amp;'Balance General'!C11&amp;"+"&amp;'Balance General'!C12&amp;"+"&amp;'Balance General'!C15&amp;"+"&amp;'Balance General'!C16&amp;"+"&amp;'Balance General'!C17&amp;")"</f>
        <v>Ingresos/(Cliente  neto  de estimaciones incobrables+Cuentas por cobrar a partes relacionadas+Otras cuentas por cobrar+Inventarios Neto+Otros activos circulantes+Otros inversiones y cuentas por cobrar+Propiedades  maquinaria y equipo neto+Crédito mercantil  activos intangibles  y activos diferidos neto)</v>
      </c>
      <c r="AD16" s="185" t="s">
        <v>128</v>
      </c>
      <c r="AE16" s="186"/>
    </row>
    <row r="17" spans="1:31">
      <c r="A17" s="356" t="s">
        <v>104</v>
      </c>
      <c r="B17" s="10" t="s">
        <v>983</v>
      </c>
      <c r="C17" s="186"/>
      <c r="D17" s="60">
        <f>('Estados de Resultados Consolida'!C3)/'Balance General'!D20</f>
        <v>0.45619751469640635</v>
      </c>
      <c r="E17" s="60">
        <f>('Estados de Resultados Consolida'!D3)/'Balance General'!E20</f>
        <v>0.49504583890652537</v>
      </c>
      <c r="F17" s="60">
        <f>('Estados de Resultados Consolida'!E3)/'Balance General'!F20</f>
        <v>0.44638387452962686</v>
      </c>
      <c r="G17" s="60">
        <f>('Estados de Resultados Consolida'!F3)/'Balance General'!G20</f>
        <v>0.39923135899881201</v>
      </c>
      <c r="H17" s="60">
        <f>('Estados de Resultados Consolida'!G3)/'Balance General'!H20</f>
        <v>0.36625896443491462</v>
      </c>
      <c r="I17" s="60">
        <f>('Estados de Resultados Consolida'!H3)/'Balance General'!I20</f>
        <v>0.3636511284767508</v>
      </c>
      <c r="J17" s="60">
        <f>('ER Proyectado'!I3)/'BG Proyectado'!J20</f>
        <v>0.33992482532651702</v>
      </c>
      <c r="K17" s="60">
        <f>('ER Proyectado'!J3)/'BG Proyectado'!K20</f>
        <v>0.35271918264280883</v>
      </c>
      <c r="L17" s="60">
        <f>('ER Proyectado'!K3)/'BG Proyectado'!L20</f>
        <v>0.36544990349615836</v>
      </c>
      <c r="M17" s="60">
        <f>('ER Proyectado'!L3)/'BG Proyectado'!M20</f>
        <v>0.37832350140574983</v>
      </c>
      <c r="N17" s="60">
        <f>('ER Proyectado'!M3)/'BG Proyectado'!N20</f>
        <v>0.39566093254155543</v>
      </c>
      <c r="O17" s="60">
        <f t="shared" si="0"/>
        <v>3.8848324210119023E-2</v>
      </c>
      <c r="P17" s="60">
        <f t="shared" si="1"/>
        <v>-4.8661964376898514E-2</v>
      </c>
      <c r="Q17" s="60">
        <f t="shared" si="2"/>
        <v>-4.7152515530814842E-2</v>
      </c>
      <c r="R17" s="60">
        <f t="shared" si="3"/>
        <v>-3.2972394563897389E-2</v>
      </c>
      <c r="S17" s="12">
        <f t="shared" si="4"/>
        <v>8.5156808089960956E-2</v>
      </c>
      <c r="T17" s="12">
        <f t="shared" si="5"/>
        <v>-9.8297895977440763E-2</v>
      </c>
      <c r="U17" s="12">
        <f t="shared" si="6"/>
        <v>-0.10563221079726814</v>
      </c>
      <c r="V17" s="12">
        <f t="shared" si="7"/>
        <v>-8.2589690966624496E-2</v>
      </c>
      <c r="W17" s="12">
        <f t="shared" si="7"/>
        <v>-7.120196940946788E-3</v>
      </c>
      <c r="X17" s="12">
        <f t="shared" si="7"/>
        <v>-6.5244684512922313E-2</v>
      </c>
      <c r="Y17" s="12">
        <f t="shared" si="7"/>
        <v>3.7638784704830286E-2</v>
      </c>
      <c r="Z17" s="12">
        <f t="shared" si="7"/>
        <v>3.6093077665814599E-2</v>
      </c>
      <c r="AA17" s="12">
        <f t="shared" si="7"/>
        <v>3.5226710382006754E-2</v>
      </c>
      <c r="AB17" s="12">
        <f t="shared" si="7"/>
        <v>4.5827000097494075E-2</v>
      </c>
      <c r="AC17" s="185" t="str">
        <f>('Estados de Resultados Consolida'!B3)&amp;"/"&amp;'Balance General'!C20</f>
        <v>Ingresos/Total del Activo</v>
      </c>
      <c r="AD17" s="185" t="s">
        <v>129</v>
      </c>
      <c r="AE17" s="186"/>
    </row>
    <row r="18" spans="1:31" hidden="1">
      <c r="A18" s="356" t="s">
        <v>105</v>
      </c>
      <c r="B18" s="362" t="s">
        <v>984</v>
      </c>
      <c r="C18" s="186"/>
      <c r="D18" s="12">
        <f>'Balance General'!D36/'Balance General'!D20</f>
        <v>0.64601966680499401</v>
      </c>
      <c r="E18" s="12">
        <f>'Balance General'!E36/'Balance General'!E20</f>
        <v>0.59788831036125767</v>
      </c>
      <c r="F18" s="12">
        <f>'Balance General'!F36/'Balance General'!F20</f>
        <v>0.58810014607764327</v>
      </c>
      <c r="G18" s="12">
        <f>'Balance General'!G36/'Balance General'!G20</f>
        <v>0.5526344863757745</v>
      </c>
      <c r="H18" s="12">
        <f>'Balance General'!H36/'Balance General'!H20</f>
        <v>0.53155733064075195</v>
      </c>
      <c r="I18" s="12">
        <f>'Balance General'!I36/'Balance General'!I20</f>
        <v>0.50206363252477781</v>
      </c>
      <c r="J18" s="12">
        <f>'BG Proyectado'!J36/'BG Proyectado'!J20</f>
        <v>0.50503833809272625</v>
      </c>
      <c r="K18" s="12">
        <f>'BG Proyectado'!K36/'BG Proyectado'!K20</f>
        <v>0.50036547342905546</v>
      </c>
      <c r="L18" s="12">
        <f>'BG Proyectado'!L36/'BG Proyectado'!L20</f>
        <v>0.49444379048438902</v>
      </c>
      <c r="M18" s="12">
        <f>'BG Proyectado'!M36/'BG Proyectado'!M20</f>
        <v>0.48855963337510988</v>
      </c>
      <c r="N18" s="12">
        <f>'BG Proyectado'!N36/'BG Proyectado'!N20</f>
        <v>0.48664290734921029</v>
      </c>
      <c r="O18" s="12">
        <f t="shared" si="0"/>
        <v>-4.8131356443736339E-2</v>
      </c>
      <c r="P18" s="12">
        <f t="shared" si="1"/>
        <v>-9.7881642836143978E-3</v>
      </c>
      <c r="Q18" s="12">
        <f t="shared" si="2"/>
        <v>-3.5465659701868768E-2</v>
      </c>
      <c r="R18" s="12">
        <f t="shared" si="3"/>
        <v>-2.1077155735022557E-2</v>
      </c>
      <c r="S18" s="12">
        <f t="shared" si="4"/>
        <v>-7.4504475508893719E-2</v>
      </c>
      <c r="T18" s="12">
        <f t="shared" si="5"/>
        <v>-1.6371225384386845E-2</v>
      </c>
      <c r="U18" s="12">
        <f t="shared" si="6"/>
        <v>-6.0305476777056333E-2</v>
      </c>
      <c r="V18" s="12">
        <f t="shared" si="7"/>
        <v>-3.8139414485781398E-2</v>
      </c>
      <c r="W18" s="12">
        <f t="shared" si="7"/>
        <v>-5.548545079873457E-2</v>
      </c>
      <c r="X18" s="12">
        <f t="shared" si="7"/>
        <v>5.9249572668493844E-3</v>
      </c>
      <c r="Y18" s="12">
        <f t="shared" si="7"/>
        <v>-9.252494932004196E-3</v>
      </c>
      <c r="Z18" s="12">
        <f t="shared" si="7"/>
        <v>-1.1834715341337509E-2</v>
      </c>
      <c r="AA18" s="12">
        <f t="shared" si="7"/>
        <v>-1.1900558208071788E-2</v>
      </c>
      <c r="AB18" s="12">
        <f t="shared" si="7"/>
        <v>-3.9232181599988536E-3</v>
      </c>
      <c r="AC18" s="185" t="str">
        <f>'Balance General'!C36&amp;"/"&amp;'Balance General'!C20</f>
        <v>Total del Pasivo/Total del Activo</v>
      </c>
      <c r="AD18" s="185" t="s">
        <v>130</v>
      </c>
      <c r="AE18" s="186"/>
    </row>
    <row r="19" spans="1:31" hidden="1">
      <c r="A19" s="356" t="s">
        <v>105</v>
      </c>
      <c r="B19" s="10" t="s">
        <v>985</v>
      </c>
      <c r="C19" s="186"/>
      <c r="D19" s="12">
        <f>'Balance General'!D46/'Balance General'!D20</f>
        <v>0.35398033319500605</v>
      </c>
      <c r="E19" s="12">
        <f>'Balance General'!E46/'Balance General'!E20</f>
        <v>0.40211168963874233</v>
      </c>
      <c r="F19" s="12">
        <f>'Balance General'!F46/'Balance General'!F20</f>
        <v>0.41189985392235678</v>
      </c>
      <c r="G19" s="12">
        <f>'Balance General'!G46/'Balance General'!G20</f>
        <v>0.4473655136242255</v>
      </c>
      <c r="H19" s="12">
        <f>'Balance General'!H46/'Balance General'!H20</f>
        <v>0.468442669359248</v>
      </c>
      <c r="I19" s="12">
        <f>'Balance General'!I46/'Balance General'!I20</f>
        <v>0.49793636747522213</v>
      </c>
      <c r="J19" s="12">
        <f>'BG Proyectado'!J46/'BG Proyectado'!J20</f>
        <v>0.49496166190727381</v>
      </c>
      <c r="K19" s="12">
        <f>'BG Proyectado'!K46/'BG Proyectado'!K20</f>
        <v>0.49963452657094454</v>
      </c>
      <c r="L19" s="12">
        <f>'BG Proyectado'!L46/'BG Proyectado'!L20</f>
        <v>0.50555620951561109</v>
      </c>
      <c r="M19" s="12">
        <f>'BG Proyectado'!M46/'BG Proyectado'!M20</f>
        <v>0.51144036662489023</v>
      </c>
      <c r="N19" s="12">
        <f>'BG Proyectado'!N46/'BG Proyectado'!N20</f>
        <v>0.51335709265078966</v>
      </c>
      <c r="O19" s="12">
        <f t="shared" si="0"/>
        <v>4.8131356443736284E-2</v>
      </c>
      <c r="P19" s="12">
        <f t="shared" si="1"/>
        <v>9.7881642836144533E-3</v>
      </c>
      <c r="Q19" s="12">
        <f t="shared" si="2"/>
        <v>3.5465659701868713E-2</v>
      </c>
      <c r="R19" s="12">
        <f t="shared" si="3"/>
        <v>2.1077155735022501E-2</v>
      </c>
      <c r="S19" s="12">
        <f t="shared" si="4"/>
        <v>0.13597183778348776</v>
      </c>
      <c r="T19" s="12">
        <f t="shared" si="5"/>
        <v>2.4341904341075304E-2</v>
      </c>
      <c r="U19" s="12">
        <f t="shared" si="6"/>
        <v>8.6102627529831555E-2</v>
      </c>
      <c r="V19" s="12">
        <f t="shared" si="7"/>
        <v>4.7113948422780494E-2</v>
      </c>
      <c r="W19" s="12">
        <f t="shared" si="7"/>
        <v>6.2961169093149971E-2</v>
      </c>
      <c r="X19" s="12">
        <f t="shared" si="7"/>
        <v>-5.9740676967049433E-3</v>
      </c>
      <c r="Y19" s="12">
        <f t="shared" si="7"/>
        <v>9.4408618349639539E-3</v>
      </c>
      <c r="Z19" s="12">
        <f t="shared" si="7"/>
        <v>1.1852029092760619E-2</v>
      </c>
      <c r="AA19" s="12">
        <f t="shared" si="7"/>
        <v>1.163897702872041E-2</v>
      </c>
      <c r="AB19" s="12">
        <f t="shared" si="7"/>
        <v>3.7477018846758803E-3</v>
      </c>
      <c r="AC19" s="185" t="str">
        <f>'Balance General'!C46&amp;"/"&amp;'Balance General'!C20</f>
        <v>Total Patrimonio/Total del Activo</v>
      </c>
      <c r="AD19" s="185" t="s">
        <v>131</v>
      </c>
      <c r="AE19" s="186"/>
    </row>
    <row r="20" spans="1:31" hidden="1">
      <c r="A20" s="356" t="s">
        <v>105</v>
      </c>
      <c r="B20" s="10" t="s">
        <v>986</v>
      </c>
      <c r="C20" s="186"/>
      <c r="D20" s="12">
        <f>'Balance General'!D36/'Balance General'!D46</f>
        <v>1.8250157034828962</v>
      </c>
      <c r="E20" s="12">
        <f>'Balance General'!E36/'Balance General'!E46</f>
        <v>1.486871249374524</v>
      </c>
      <c r="F20" s="12">
        <f>'Balance General'!F36/'Balance General'!F46</f>
        <v>1.4277745924826191</v>
      </c>
      <c r="G20" s="12">
        <f>'Balance General'!G36/'Balance General'!G46</f>
        <v>1.2353086448231949</v>
      </c>
      <c r="H20" s="12">
        <f>'Balance General'!H36/'Balance General'!H46</f>
        <v>1.1347329468680434</v>
      </c>
      <c r="I20" s="12">
        <f>'Balance General'!I36/'Balance General'!I46</f>
        <v>1.0082887399257117</v>
      </c>
      <c r="J20" s="12">
        <f>'BG Proyectado'!J36/'BG Proyectado'!J46</f>
        <v>1.0203584983665668</v>
      </c>
      <c r="K20" s="12">
        <f>'BG Proyectado'!K36/'BG Proyectado'!K46</f>
        <v>1.0014629630644774</v>
      </c>
      <c r="L20" s="12">
        <f>'BG Proyectado'!L36/'BG Proyectado'!L46</f>
        <v>0.97801941936017511</v>
      </c>
      <c r="M20" s="12">
        <f>'BG Proyectado'!M36/'BG Proyectado'!M46</f>
        <v>0.95526216790282825</v>
      </c>
      <c r="N20" s="12">
        <f>'BG Proyectado'!N36/'BG Proyectado'!N46</f>
        <v>0.94796178783926599</v>
      </c>
      <c r="O20" s="12">
        <f t="shared" si="0"/>
        <v>-0.33814445410837224</v>
      </c>
      <c r="P20" s="12">
        <f t="shared" si="1"/>
        <v>-5.9096656891904908E-2</v>
      </c>
      <c r="Q20" s="12">
        <f t="shared" si="2"/>
        <v>-0.19246594765942415</v>
      </c>
      <c r="R20" s="12">
        <f t="shared" si="3"/>
        <v>-0.10057569795515153</v>
      </c>
      <c r="S20" s="12">
        <f t="shared" si="4"/>
        <v>-0.18528303809279589</v>
      </c>
      <c r="T20" s="12">
        <f t="shared" si="5"/>
        <v>-3.974564503602096E-2</v>
      </c>
      <c r="U20" s="12">
        <f t="shared" si="6"/>
        <v>-0.13480135356993839</v>
      </c>
      <c r="V20" s="12">
        <f t="shared" si="7"/>
        <v>-8.1417464677053686E-2</v>
      </c>
      <c r="W20" s="12">
        <f t="shared" si="7"/>
        <v>-0.11143080606880074</v>
      </c>
      <c r="X20" s="12">
        <f t="shared" si="7"/>
        <v>1.1970537766537337E-2</v>
      </c>
      <c r="Y20" s="12">
        <f t="shared" si="7"/>
        <v>-1.8518525922348039E-2</v>
      </c>
      <c r="Z20" s="12">
        <f t="shared" si="7"/>
        <v>-2.3409296767765597E-2</v>
      </c>
      <c r="AA20" s="12">
        <f t="shared" si="7"/>
        <v>-2.3268711241168138E-2</v>
      </c>
      <c r="AB20" s="12">
        <f t="shared" si="7"/>
        <v>-7.6422790610345404E-3</v>
      </c>
      <c r="AC20" s="185" t="str">
        <f>'Balance General'!C36&amp;"/"&amp;'Balance General'!C46</f>
        <v>Total del Pasivo/Total Patrimonio</v>
      </c>
      <c r="AD20" s="185" t="s">
        <v>132</v>
      </c>
      <c r="AE20" s="186"/>
    </row>
    <row r="21" spans="1:31" ht="20.25" hidden="1">
      <c r="A21" s="356" t="s">
        <v>105</v>
      </c>
      <c r="B21" s="10" t="s">
        <v>987</v>
      </c>
      <c r="C21" s="186"/>
      <c r="D21" s="12">
        <f>('Balance General'!D23+'Balance General'!D30)/'Balance General'!D36</f>
        <v>1.0330330911947669E-2</v>
      </c>
      <c r="E21" s="12">
        <f>('Balance General'!E23+'Balance General'!E30)/'Balance General'!E36</f>
        <v>7.5703058127025019E-3</v>
      </c>
      <c r="F21" s="12">
        <f>('Balance General'!F23+'Balance General'!F30)/'Balance General'!F36</f>
        <v>8.5702204386433802E-3</v>
      </c>
      <c r="G21" s="12">
        <f>('Balance General'!G23+'Balance General'!G30)/'Balance General'!G36</f>
        <v>1.3499493336482244E-2</v>
      </c>
      <c r="H21" s="12">
        <f>('Balance General'!H23+'Balance General'!H30)/'Balance General'!H36</f>
        <v>1.0007744393881244E-2</v>
      </c>
      <c r="I21" s="12">
        <f>('Balance General'!I23+'Balance General'!I30)/'Balance General'!I36</f>
        <v>4.662850122207845E-3</v>
      </c>
      <c r="J21" s="12">
        <f>('BG Proyectado'!J23+'BG Proyectado'!J30)/'BG Proyectado'!J36</f>
        <v>8.1382282119414149E-3</v>
      </c>
      <c r="K21" s="12">
        <f>('BG Proyectado'!K23+'BG Proyectado'!K30)/'BG Proyectado'!K36</f>
        <v>6.6326639985104857E-3</v>
      </c>
      <c r="L21" s="12">
        <f>('BG Proyectado'!L23+'BG Proyectado'!L30)/'BG Proyectado'!L36</f>
        <v>7.7750653862724744E-3</v>
      </c>
      <c r="M21" s="12">
        <f>('BG Proyectado'!M23+'BG Proyectado'!M30)/'BG Proyectado'!M36</f>
        <v>7.5687950366640231E-3</v>
      </c>
      <c r="N21" s="12">
        <f>('BG Proyectado'!N23+'BG Proyectado'!N30)/'BG Proyectado'!N36</f>
        <v>7.9954411431108329E-3</v>
      </c>
      <c r="O21" s="12">
        <f t="shared" si="0"/>
        <v>-2.7600250992451669E-3</v>
      </c>
      <c r="P21" s="12">
        <f t="shared" si="1"/>
        <v>9.9991462594087831E-4</v>
      </c>
      <c r="Q21" s="12">
        <f t="shared" si="2"/>
        <v>4.9292728978388642E-3</v>
      </c>
      <c r="R21" s="12">
        <f t="shared" si="3"/>
        <v>-3.4917489426010001E-3</v>
      </c>
      <c r="S21" s="12">
        <f t="shared" si="4"/>
        <v>-0.26717683322738739</v>
      </c>
      <c r="T21" s="12">
        <f t="shared" si="5"/>
        <v>0.13208378243625041</v>
      </c>
      <c r="U21" s="12">
        <f t="shared" si="6"/>
        <v>0.57516290661703695</v>
      </c>
      <c r="V21" s="12">
        <f t="shared" si="7"/>
        <v>-0.25865777741188134</v>
      </c>
      <c r="W21" s="12">
        <f t="shared" si="7"/>
        <v>-0.53407581781777713</v>
      </c>
      <c r="X21" s="12">
        <f t="shared" si="7"/>
        <v>0.74533343312522971</v>
      </c>
      <c r="Y21" s="12">
        <f t="shared" si="7"/>
        <v>-0.18499901627503879</v>
      </c>
      <c r="Z21" s="12">
        <f t="shared" si="7"/>
        <v>0.17223869443990236</v>
      </c>
      <c r="AA21" s="12">
        <f t="shared" si="7"/>
        <v>-2.6529725392745784E-2</v>
      </c>
      <c r="AB21" s="12">
        <f t="shared" si="7"/>
        <v>5.6369092356193029E-2</v>
      </c>
      <c r="AC21" s="185" t="str">
        <f>"("&amp;'Balance General'!C23&amp;"+"&amp;'Balance General'!C30&amp;")"&amp;"/"&amp;'Balance General'!C36</f>
        <v>(Deuda a corto plazo+Deuda a largo plazo)/Total del Pasivo</v>
      </c>
      <c r="AD21" s="185" t="s">
        <v>133</v>
      </c>
      <c r="AE21" s="186"/>
    </row>
    <row r="22" spans="1:31" hidden="1">
      <c r="A22" s="356" t="s">
        <v>105</v>
      </c>
      <c r="B22" s="10" t="s">
        <v>988</v>
      </c>
      <c r="C22" s="186"/>
      <c r="D22" s="60">
        <f>'Estados de Resultados Consolida'!C17/'Estados de Resultados Consolida'!C14</f>
        <v>-3.5386508676007806</v>
      </c>
      <c r="E22" s="60">
        <f>'Estados de Resultados Consolida'!D17/'Estados de Resultados Consolida'!D14</f>
        <v>-4.633296111620913</v>
      </c>
      <c r="F22" s="60">
        <f>'Estados de Resultados Consolida'!E17/'Estados de Resultados Consolida'!E14</f>
        <v>-2.5562862721700927</v>
      </c>
      <c r="G22" s="60">
        <f>'Estados de Resultados Consolida'!F17/'Estados de Resultados Consolida'!F14</f>
        <v>-3.8941617870991037</v>
      </c>
      <c r="H22" s="60">
        <f>'Estados de Resultados Consolida'!G17/'Estados de Resultados Consolida'!G14</f>
        <v>-2.1568072593904137</v>
      </c>
      <c r="I22" s="60">
        <f>'Estados de Resultados Consolida'!H17/'Estados de Resultados Consolida'!H14</f>
        <v>-1.849135593220339</v>
      </c>
      <c r="J22" s="60">
        <f>'ER Proyectado'!I18/'ER Proyectado'!I15</f>
        <v>-1.7916338713602584</v>
      </c>
      <c r="K22" s="60">
        <f>'ER Proyectado'!J18/'ER Proyectado'!J15</f>
        <v>-2.3621088106736807</v>
      </c>
      <c r="L22" s="60">
        <f>'ER Proyectado'!K18/'ER Proyectado'!K15</f>
        <v>-2.8724635589856562</v>
      </c>
      <c r="M22" s="60">
        <f>'ER Proyectado'!L18/'ER Proyectado'!L15</f>
        <v>-3.3335794099178151</v>
      </c>
      <c r="N22" s="60">
        <f>'ER Proyectado'!M18/'ER Proyectado'!M15</f>
        <v>-2.9201914113100673</v>
      </c>
      <c r="O22" s="60">
        <f t="shared" si="0"/>
        <v>-1.0946452440201324</v>
      </c>
      <c r="P22" s="60">
        <f t="shared" si="1"/>
        <v>2.0770098394508203</v>
      </c>
      <c r="Q22" s="60">
        <f t="shared" si="2"/>
        <v>-1.3378755149290109</v>
      </c>
      <c r="R22" s="60">
        <f t="shared" si="3"/>
        <v>1.7373545277086899</v>
      </c>
      <c r="S22" s="12">
        <f t="shared" si="4"/>
        <v>0.30933971306480035</v>
      </c>
      <c r="T22" s="12">
        <f t="shared" si="5"/>
        <v>-0.44827910615110655</v>
      </c>
      <c r="U22" s="12">
        <f t="shared" si="6"/>
        <v>0.52336685820139239</v>
      </c>
      <c r="V22" s="12">
        <f t="shared" si="7"/>
        <v>-0.44614338661129582</v>
      </c>
      <c r="W22" s="12">
        <f t="shared" si="7"/>
        <v>-0.14265144223273485</v>
      </c>
      <c r="X22" s="12">
        <f t="shared" si="7"/>
        <v>-3.1096541579159864E-2</v>
      </c>
      <c r="Y22" s="12">
        <f t="shared" si="7"/>
        <v>0.31841044558970166</v>
      </c>
      <c r="Z22" s="12">
        <f t="shared" si="7"/>
        <v>0.21605894953095772</v>
      </c>
      <c r="AA22" s="12">
        <f t="shared" si="7"/>
        <v>0.16052974788477092</v>
      </c>
      <c r="AB22" s="12">
        <f t="shared" si="7"/>
        <v>-0.12400724499853422</v>
      </c>
      <c r="AC22" s="185" t="str">
        <f>'Estados de Resultados Consolida'!B17&amp;"/"&amp;'Estados de Resultados Consolida'!B14</f>
        <v>Utilidad antes de impuestos/Gastos financieros</v>
      </c>
      <c r="AD22" s="185" t="s">
        <v>134</v>
      </c>
      <c r="AE22" s="186"/>
    </row>
    <row r="23" spans="1:31" hidden="1">
      <c r="A23" s="356" t="s">
        <v>105</v>
      </c>
      <c r="B23" s="10" t="s">
        <v>989</v>
      </c>
      <c r="C23" s="186"/>
      <c r="D23" s="12">
        <f>+'Balance General'!D35/('Balance General'!D36+'Balance General'!D46)</f>
        <v>0.47870454749248759</v>
      </c>
      <c r="E23" s="12">
        <f>+'Balance General'!E35/('Balance General'!E36+'Balance General'!E46)</f>
        <v>0.481091522816122</v>
      </c>
      <c r="F23" s="12">
        <f>+'Balance General'!F35/('Balance General'!F36+'Balance General'!F46)</f>
        <v>0.42411626153841342</v>
      </c>
      <c r="G23" s="12">
        <f>+'Balance General'!G35/('Balance General'!G36+'Balance General'!G46)</f>
        <v>0.41366265146543818</v>
      </c>
      <c r="H23" s="12">
        <f>+'Balance General'!H35/('Balance General'!H36+'Balance General'!H46)</f>
        <v>0.32425943134600632</v>
      </c>
      <c r="I23" s="12">
        <f>+'BG Proyectado'!I35/('BG Proyectado'!I36+'BG Proyectado'!I46)</f>
        <v>0.40541725274880314</v>
      </c>
      <c r="J23" s="12">
        <f>+'BG Proyectado'!J35/('BG Proyectado'!J36+'BG Proyectado'!J46)</f>
        <v>0.40789810531996518</v>
      </c>
      <c r="K23" s="12">
        <f>+'BG Proyectado'!K35/('BG Proyectado'!K36+'BG Proyectado'!K46)</f>
        <v>0.33486109912722828</v>
      </c>
      <c r="L23" s="12">
        <f>+'BG Proyectado'!L35/('BG Proyectado'!L36+'BG Proyectado'!L46)</f>
        <v>0.39033844833379699</v>
      </c>
      <c r="M23" s="12">
        <f>+'BG Proyectado'!M35/('BG Proyectado'!M36+'BG Proyectado'!M46)</f>
        <v>0.38142580202792442</v>
      </c>
      <c r="N23" s="12">
        <f>+'BG Proyectado'!N35/('BG Proyectado'!N36+'BG Proyectado'!N46)</f>
        <v>0.3756039221971047</v>
      </c>
      <c r="O23" s="12">
        <f t="shared" si="0"/>
        <v>2.3869753236344105E-3</v>
      </c>
      <c r="P23" s="12">
        <f t="shared" si="1"/>
        <v>-5.6975261277708578E-2</v>
      </c>
      <c r="Q23" s="12">
        <f t="shared" si="2"/>
        <v>-1.0453610072975239E-2</v>
      </c>
      <c r="R23" s="12">
        <f t="shared" si="3"/>
        <v>-8.9403220119431859E-2</v>
      </c>
      <c r="S23" s="12">
        <f t="shared" si="4"/>
        <v>4.9863226412567574E-3</v>
      </c>
      <c r="T23" s="12">
        <f t="shared" si="5"/>
        <v>-0.11842915240783636</v>
      </c>
      <c r="U23" s="12">
        <f t="shared" si="6"/>
        <v>-2.4647982218499398E-2</v>
      </c>
      <c r="V23" s="12">
        <f t="shared" si="7"/>
        <v>-0.2161259175869823</v>
      </c>
      <c r="W23" s="12">
        <f t="shared" si="7"/>
        <v>0.2502866950266005</v>
      </c>
      <c r="X23" s="12">
        <f t="shared" si="7"/>
        <v>6.1192575164017438E-3</v>
      </c>
      <c r="Y23" s="12">
        <f t="shared" si="7"/>
        <v>-0.1790569881059999</v>
      </c>
      <c r="Z23" s="12">
        <f t="shared" si="7"/>
        <v>0.16567272027465463</v>
      </c>
      <c r="AA23" s="12">
        <f t="shared" si="7"/>
        <v>-2.2833124289747042E-2</v>
      </c>
      <c r="AB23" s="12">
        <f t="shared" si="7"/>
        <v>-1.526346618363672E-2</v>
      </c>
      <c r="AC23" s="185" t="str">
        <f>+'Balance General'!C35&amp;"/("&amp;'Balance General'!C36&amp;"+"&amp;'Balance General'!C46&amp;")"</f>
        <v>Total del Pasivo a largo plazo/(Total del Pasivo+Total Patrimonio)</v>
      </c>
      <c r="AD23" s="185" t="s">
        <v>135</v>
      </c>
      <c r="AE23" s="186"/>
    </row>
    <row r="24" spans="1:31" ht="30.75" hidden="1" customHeight="1">
      <c r="A24" s="356" t="s">
        <v>105</v>
      </c>
      <c r="B24" s="10" t="s">
        <v>990</v>
      </c>
      <c r="C24" s="186"/>
      <c r="D24" s="354">
        <f>'Balance General'!D20/'Balance General'!D46</f>
        <v>2.8250157034828964</v>
      </c>
      <c r="E24" s="354">
        <f>'Balance General'!E20/'Balance General'!E46</f>
        <v>2.486871249374524</v>
      </c>
      <c r="F24" s="354">
        <f>'Balance General'!F20/'Balance General'!F46</f>
        <v>2.4277745924826188</v>
      </c>
      <c r="G24" s="354">
        <f>'Balance General'!G20/'Balance General'!G46</f>
        <v>2.2353086448231947</v>
      </c>
      <c r="H24" s="354">
        <f>'Balance General'!H20/'Balance General'!H46</f>
        <v>2.1347329468680436</v>
      </c>
      <c r="I24" s="354">
        <f>'Balance General'!I20/'Balance General'!I46</f>
        <v>2.0082887399257117</v>
      </c>
      <c r="J24" s="354">
        <f>'BG Proyectado'!J20/'BG Proyectado'!J46</f>
        <v>2.0203584983665666</v>
      </c>
      <c r="K24" s="354">
        <f>'BG Proyectado'!K20/'BG Proyectado'!K46</f>
        <v>2.0014629630644771</v>
      </c>
      <c r="L24" s="354">
        <f>'BG Proyectado'!L20/'BG Proyectado'!L46</f>
        <v>1.978019419360175</v>
      </c>
      <c r="M24" s="354">
        <f>'BG Proyectado'!M20/'BG Proyectado'!M46</f>
        <v>1.9552621679028281</v>
      </c>
      <c r="N24" s="354">
        <f>'BG Proyectado'!N20/'BG Proyectado'!N46</f>
        <v>1.9479617878392661</v>
      </c>
      <c r="O24" s="12">
        <f t="shared" si="0"/>
        <v>-0.33814445410837246</v>
      </c>
      <c r="P24" s="12">
        <f t="shared" si="1"/>
        <v>-5.909665689190513E-2</v>
      </c>
      <c r="Q24" s="12">
        <f t="shared" si="2"/>
        <v>-0.19246594765942415</v>
      </c>
      <c r="R24" s="12">
        <f t="shared" si="3"/>
        <v>-0.10057569795515109</v>
      </c>
      <c r="S24" s="12">
        <f t="shared" si="4"/>
        <v>-0.1196964865333251</v>
      </c>
      <c r="T24" s="12">
        <f t="shared" si="5"/>
        <v>-2.3763456554805051E-2</v>
      </c>
      <c r="U24" s="12">
        <f t="shared" si="6"/>
        <v>-7.9276695725944757E-2</v>
      </c>
      <c r="V24" s="12">
        <f t="shared" si="7"/>
        <v>-4.4994098773821101E-2</v>
      </c>
      <c r="W24" s="12">
        <f t="shared" si="7"/>
        <v>-5.9231861825079113E-2</v>
      </c>
      <c r="X24" s="12">
        <f t="shared" si="7"/>
        <v>6.0099716743426956E-3</v>
      </c>
      <c r="Y24" s="12">
        <f t="shared" si="7"/>
        <v>-9.3525655557497034E-3</v>
      </c>
      <c r="Z24" s="12">
        <f t="shared" si="7"/>
        <v>-1.1713203859844201E-2</v>
      </c>
      <c r="AA24" s="12">
        <f t="shared" si="7"/>
        <v>-1.1505069785769928E-2</v>
      </c>
      <c r="AB24" s="12">
        <f t="shared" si="7"/>
        <v>-3.7337090562091779E-3</v>
      </c>
      <c r="AC24" s="185" t="str">
        <f>'Balance General'!C20&amp;"/"&amp;'Balance General'!C46</f>
        <v>Total del Activo/Total Patrimonio</v>
      </c>
      <c r="AD24" s="185" t="s">
        <v>136</v>
      </c>
      <c r="AE24" s="186"/>
    </row>
    <row r="25" spans="1:31">
      <c r="A25" s="356" t="s">
        <v>106</v>
      </c>
      <c r="B25" s="10" t="s">
        <v>1287</v>
      </c>
      <c r="C25" s="186"/>
      <c r="D25" s="12">
        <f>'Estados de Resultados Consolida'!C5/'Estados de Resultados Consolida'!C3</f>
        <v>0.5130831327751989</v>
      </c>
      <c r="E25" s="12">
        <f>'Estados de Resultados Consolida'!D5/'Estados de Resultados Consolida'!D3</f>
        <v>0.49592221300972339</v>
      </c>
      <c r="F25" s="12">
        <f>'Estados de Resultados Consolida'!E5/'Estados de Resultados Consolida'!E3</f>
        <v>0.47469128795045473</v>
      </c>
      <c r="G25" s="12">
        <f>'Estados de Resultados Consolida'!F5/'Estados de Resultados Consolida'!F3</f>
        <v>0.48540513910619876</v>
      </c>
      <c r="H25" s="12">
        <f>'Estados de Resultados Consolida'!G5/'Estados de Resultados Consolida'!G3</f>
        <v>0.44449721621977817</v>
      </c>
      <c r="I25" s="12">
        <f>'Estados de Resultados Consolida'!H5/'Estados de Resultados Consolida'!H3</f>
        <v>0.41382928715210016</v>
      </c>
      <c r="J25" s="12">
        <f>'ER Proyectado'!I5/'ER Proyectado'!I3</f>
        <v>0.40100000000000002</v>
      </c>
      <c r="K25" s="12">
        <f>'ER Proyectado'!J5/'ER Proyectado'!J3</f>
        <v>0.41500000000000004</v>
      </c>
      <c r="L25" s="12">
        <f>'ER Proyectado'!K5/'ER Proyectado'!K3</f>
        <v>0.42000000000000004</v>
      </c>
      <c r="M25" s="12">
        <f>'ER Proyectado'!L5/'ER Proyectado'!L3</f>
        <v>0.42200000000000004</v>
      </c>
      <c r="N25" s="12">
        <f>'ER Proyectado'!M5/'ER Proyectado'!M3</f>
        <v>0.42500000000000004</v>
      </c>
      <c r="O25" s="12">
        <f t="shared" si="0"/>
        <v>-1.7160919765475513E-2</v>
      </c>
      <c r="P25" s="12">
        <f t="shared" si="1"/>
        <v>-2.1230925059268657E-2</v>
      </c>
      <c r="Q25" s="12">
        <f t="shared" si="2"/>
        <v>1.0713851155744025E-2</v>
      </c>
      <c r="R25" s="12">
        <f t="shared" si="3"/>
        <v>-4.0907922886420589E-2</v>
      </c>
      <c r="S25" s="12">
        <f t="shared" si="4"/>
        <v>-3.3446665207359949E-2</v>
      </c>
      <c r="T25" s="12">
        <f t="shared" si="5"/>
        <v>-4.2810998383031484E-2</v>
      </c>
      <c r="U25" s="12">
        <f t="shared" si="6"/>
        <v>2.2570144908288903E-2</v>
      </c>
      <c r="V25" s="12">
        <f t="shared" si="7"/>
        <v>-8.4275833918335596E-2</v>
      </c>
      <c r="W25" s="12">
        <f t="shared" si="7"/>
        <v>-6.8994648219606658E-2</v>
      </c>
      <c r="X25" s="12">
        <f t="shared" si="7"/>
        <v>-3.1001399732698998E-2</v>
      </c>
      <c r="Y25" s="12">
        <f t="shared" si="7"/>
        <v>3.4912718204488824E-2</v>
      </c>
      <c r="Z25" s="12">
        <f t="shared" si="7"/>
        <v>1.2048192771084265E-2</v>
      </c>
      <c r="AA25" s="12">
        <f t="shared" si="7"/>
        <v>4.761904761904745E-3</v>
      </c>
      <c r="AB25" s="12">
        <f t="shared" si="7"/>
        <v>7.1090047393365108E-3</v>
      </c>
      <c r="AC25" s="185" t="str">
        <f>'Estados de Resultados Consolida'!B5&amp;"/"&amp;'Estados de Resultados Consolida'!B3</f>
        <v>Utilidad Bruta/Ingresos</v>
      </c>
      <c r="AD25" s="185" t="s">
        <v>137</v>
      </c>
      <c r="AE25" s="186"/>
    </row>
    <row r="26" spans="1:31">
      <c r="A26" s="356" t="s">
        <v>106</v>
      </c>
      <c r="B26" s="10" t="s">
        <v>1372</v>
      </c>
      <c r="C26" s="186"/>
      <c r="D26" s="12">
        <f>'Estados de Resultados Consolida'!C9/'Estados de Resultados Consolida'!C3</f>
        <v>0.30586315421377785</v>
      </c>
      <c r="E26" s="12">
        <f>'Estados de Resultados Consolida'!D9/'Estados de Resultados Consolida'!D3</f>
        <v>0.27896341993726481</v>
      </c>
      <c r="F26" s="12">
        <f>'Estados de Resultados Consolida'!E9/'Estados de Resultados Consolida'!E3</f>
        <v>0.25564342864831002</v>
      </c>
      <c r="G26" s="12">
        <f>'Estados de Resultados Consolida'!F9/'Estados de Resultados Consolida'!F3</f>
        <v>0.26036587127449773</v>
      </c>
      <c r="H26" s="12">
        <f>'Estados de Resultados Consolida'!G9/'Estados de Resultados Consolida'!G3</f>
        <v>0.19787094897190358</v>
      </c>
      <c r="I26" s="12">
        <f>'Estados de Resultados Consolida'!H9/'Estados de Resultados Consolida'!H3</f>
        <v>0.15140901302772011</v>
      </c>
      <c r="J26" s="12">
        <f>'ER Proyectado'!I9/'ER Proyectado'!I3</f>
        <v>0.13399999999999998</v>
      </c>
      <c r="K26" s="12">
        <f>'ER Proyectado'!J9/'ER Proyectado'!J3</f>
        <v>0.16100000000000003</v>
      </c>
      <c r="L26" s="12">
        <f>'ER Proyectado'!K9/'ER Proyectado'!K3</f>
        <v>0.17900000000000002</v>
      </c>
      <c r="M26" s="12">
        <f>'ER Proyectado'!L9/'ER Proyectado'!L3</f>
        <v>0.19000000000000003</v>
      </c>
      <c r="N26" s="12">
        <f>'ER Proyectado'!M9/'ER Proyectado'!M3</f>
        <v>0.19700000000000006</v>
      </c>
      <c r="O26" s="12">
        <f t="shared" si="0"/>
        <v>-2.6899734276513043E-2</v>
      </c>
      <c r="P26" s="12">
        <f t="shared" si="1"/>
        <v>-2.3319991288954789E-2</v>
      </c>
      <c r="Q26" s="12">
        <f t="shared" si="2"/>
        <v>4.7224426261877062E-3</v>
      </c>
      <c r="R26" s="12">
        <f t="shared" si="3"/>
        <v>-6.2494922302594152E-2</v>
      </c>
      <c r="S26" s="12">
        <f t="shared" si="4"/>
        <v>-8.7946958977974665E-2</v>
      </c>
      <c r="T26" s="12">
        <f t="shared" si="5"/>
        <v>-8.3595158441200468E-2</v>
      </c>
      <c r="U26" s="12">
        <f t="shared" si="6"/>
        <v>1.8472771434639101E-2</v>
      </c>
      <c r="V26" s="12">
        <f t="shared" si="7"/>
        <v>-0.24002732000426896</v>
      </c>
      <c r="W26" s="12">
        <f t="shared" si="7"/>
        <v>-0.23480928446338412</v>
      </c>
      <c r="X26" s="12">
        <f t="shared" si="7"/>
        <v>-0.11498003110642341</v>
      </c>
      <c r="Y26" s="12">
        <f t="shared" si="7"/>
        <v>0.20149253731343331</v>
      </c>
      <c r="Z26" s="12">
        <f t="shared" si="7"/>
        <v>0.11180124223602483</v>
      </c>
      <c r="AA26" s="12">
        <f t="shared" si="7"/>
        <v>6.1452513966480549E-2</v>
      </c>
      <c r="AB26" s="12">
        <f t="shared" si="7"/>
        <v>3.6842105263158009E-2</v>
      </c>
      <c r="AC26" s="185" t="str">
        <f>'Estados de Resultados Consolida'!B9&amp;"/"&amp;'Estados de Resultados Consolida'!B3</f>
        <v>Resultados de la operación antes de otros gastos, neto/Ingresos</v>
      </c>
      <c r="AD26" s="185" t="s">
        <v>138</v>
      </c>
      <c r="AE26" s="186"/>
    </row>
    <row r="27" spans="1:31">
      <c r="A27" s="356" t="s">
        <v>106</v>
      </c>
      <c r="B27" s="362" t="s">
        <v>1286</v>
      </c>
      <c r="C27" s="186"/>
      <c r="D27" s="12">
        <f>'Estados de Resultados Consolida'!C22/'Estados de Resultados Consolida'!C3</f>
        <v>0.15090599708819302</v>
      </c>
      <c r="E27" s="12">
        <f>'Estados de Resultados Consolida'!D22/'Estados de Resultados Consolida'!D3</f>
        <v>0.15851824364675801</v>
      </c>
      <c r="F27" s="12">
        <f>'Estados de Resultados Consolida'!E22/'Estados de Resultados Consolida'!E3</f>
        <v>6.6914589315921286E-2</v>
      </c>
      <c r="G27" s="12">
        <f>'Estados de Resultados Consolida'!F22/'Estados de Resultados Consolida'!F3</f>
        <v>0.10626186968097642</v>
      </c>
      <c r="H27" s="12">
        <f>'Estados de Resultados Consolida'!G22/'Estados de Resultados Consolida'!G3</f>
        <v>3.8207041633615234E-2</v>
      </c>
      <c r="I27" s="12">
        <f>'Estados de Resultados Consolida'!H22/'Estados de Resultados Consolida'!H3</f>
        <v>5.6622176267155329E-2</v>
      </c>
      <c r="J27" s="12">
        <f>'ER Proyectado'!I23/'ER Proyectado'!I3</f>
        <v>6.1292868482694073E-2</v>
      </c>
      <c r="K27" s="12">
        <f>'ER Proyectado'!J23/'ER Proyectado'!J3</f>
        <v>7.9123081544070314E-2</v>
      </c>
      <c r="L27" s="12">
        <f>'ER Proyectado'!K23/'ER Proyectado'!K3</f>
        <v>9.3012995870558973E-2</v>
      </c>
      <c r="M27" s="12">
        <f>'ER Proyectado'!L23/'ER Proyectado'!L3</f>
        <v>0.10234348006536047</v>
      </c>
      <c r="N27" s="12">
        <f>'ER Proyectado'!M23/'ER Proyectado'!M3</f>
        <v>0.10375733684702027</v>
      </c>
      <c r="O27" s="12">
        <f t="shared" si="0"/>
        <v>7.612246558564989E-3</v>
      </c>
      <c r="P27" s="12">
        <f t="shared" si="1"/>
        <v>-9.1603654330836726E-2</v>
      </c>
      <c r="Q27" s="12">
        <f t="shared" si="2"/>
        <v>3.9347280365055137E-2</v>
      </c>
      <c r="R27" s="12">
        <f t="shared" si="3"/>
        <v>-6.8054828047361182E-2</v>
      </c>
      <c r="S27" s="12">
        <f t="shared" si="4"/>
        <v>5.0443631833373859E-2</v>
      </c>
      <c r="T27" s="12">
        <f t="shared" si="5"/>
        <v>-0.57787452234814229</v>
      </c>
      <c r="U27" s="12">
        <f t="shared" si="6"/>
        <v>0.58802244424285899</v>
      </c>
      <c r="V27" s="12">
        <f t="shared" si="7"/>
        <v>-0.6404444816534669</v>
      </c>
      <c r="W27" s="12">
        <f t="shared" si="7"/>
        <v>0.48198274051498746</v>
      </c>
      <c r="X27" s="12">
        <f t="shared" si="7"/>
        <v>8.2488744224549659E-2</v>
      </c>
      <c r="Y27" s="12">
        <f t="shared" si="7"/>
        <v>0.29090191897953943</v>
      </c>
      <c r="Z27" s="12">
        <f t="shared" si="7"/>
        <v>0.17554819725710757</v>
      </c>
      <c r="AA27" s="12">
        <f t="shared" si="7"/>
        <v>0.10031376914024159</v>
      </c>
      <c r="AB27" s="12">
        <f t="shared" si="7"/>
        <v>1.3814820257791238E-2</v>
      </c>
      <c r="AC27" s="185" t="str">
        <f>'Estados de Resultados Consolida'!B22&amp;"/"&amp;'Estados de Resultados Consolida'!B3</f>
        <v>Utilidad Neta De La Participación Controladora/Ingresos</v>
      </c>
      <c r="AD27" s="185" t="s">
        <v>139</v>
      </c>
      <c r="AE27" s="186"/>
    </row>
    <row r="28" spans="1:31" ht="31.5" hidden="1">
      <c r="A28" s="356" t="s">
        <v>106</v>
      </c>
      <c r="B28" s="10" t="s">
        <v>991</v>
      </c>
      <c r="C28" s="186"/>
      <c r="D28" s="12">
        <f>'Estados de Resultados Consolida'!C9/('Balance General'!D6+'Balance General'!D11+'Balance General'!D16+'Balance General'!D17)</f>
        <v>0.15118793424843247</v>
      </c>
      <c r="E28" s="12">
        <f>'Estados de Resultados Consolida'!D9/('Balance General'!E6+'Balance General'!E11+'Balance General'!E16+'Balance General'!E17)</f>
        <v>0.1469107673066283</v>
      </c>
      <c r="F28" s="12">
        <f>'Estados de Resultados Consolida'!E9/('Balance General'!F6+'Balance General'!F11+'Balance General'!F16+'Balance General'!F17)</f>
        <v>0.1207997422536186</v>
      </c>
      <c r="G28" s="12">
        <f>'Estados de Resultados Consolida'!F9/('Balance General'!G6+'Balance General'!G11+'Balance General'!G16+'Balance General'!G17)</f>
        <v>0.10954705393129038</v>
      </c>
      <c r="H28" s="12">
        <f>'Estados de Resultados Consolida'!G9/('Balance General'!H6+'Balance General'!H11+'Balance General'!H16+'Balance General'!H17)</f>
        <v>7.7674900466852437E-2</v>
      </c>
      <c r="I28" s="12">
        <f>'Estados de Resultados Consolida'!H9/('Balance General'!I6+'Balance General'!I11+'Balance General'!I16+'Balance General'!I17)</f>
        <v>5.9163730709146121E-2</v>
      </c>
      <c r="J28" s="12">
        <f>'ER Proyectado'!I9/('BG Proyectado'!J6+'BG Proyectado'!J11+'BG Proyectado'!J16+'BG Proyectado'!J17)</f>
        <v>4.8821245135376959E-2</v>
      </c>
      <c r="K28" s="12">
        <f>'ER Proyectado'!J9/('BG Proyectado'!K6+'BG Proyectado'!K11+'BG Proyectado'!K16+'BG Proyectado'!K17)</f>
        <v>6.1015207473363545E-2</v>
      </c>
      <c r="L28" s="12">
        <f>'ER Proyectado'!K9/('BG Proyectado'!L6+'BG Proyectado'!L11+'BG Proyectado'!L16+'BG Proyectado'!L17)</f>
        <v>7.0352161722346859E-2</v>
      </c>
      <c r="M28" s="12">
        <f>'ER Proyectado'!L9/('BG Proyectado'!M6+'BG Proyectado'!M11+'BG Proyectado'!M16+'BG Proyectado'!M17)</f>
        <v>7.7434137473238518E-2</v>
      </c>
      <c r="N28" s="12">
        <f>'ER Proyectado'!M9/('BG Proyectado'!N6+'BG Proyectado'!N11+'BG Proyectado'!N16+'BG Proyectado'!N17)</f>
        <v>8.4084821670907195E-2</v>
      </c>
      <c r="O28" s="12">
        <f t="shared" si="0"/>
        <v>-4.2771669418041613E-3</v>
      </c>
      <c r="P28" s="12">
        <f t="shared" si="1"/>
        <v>-2.6111025053009704E-2</v>
      </c>
      <c r="Q28" s="12">
        <f t="shared" si="2"/>
        <v>-1.1252688322328216E-2</v>
      </c>
      <c r="R28" s="12">
        <f t="shared" si="3"/>
        <v>-3.1872153464437947E-2</v>
      </c>
      <c r="S28" s="12">
        <f t="shared" si="4"/>
        <v>-2.8290398721738663E-2</v>
      </c>
      <c r="T28" s="12">
        <f t="shared" si="5"/>
        <v>-0.17773390971753256</v>
      </c>
      <c r="U28" s="12">
        <f t="shared" si="6"/>
        <v>-9.3151592150778284E-2</v>
      </c>
      <c r="V28" s="12">
        <f t="shared" si="7"/>
        <v>-0.29094487090842858</v>
      </c>
      <c r="W28" s="12">
        <f t="shared" si="7"/>
        <v>-0.23831597654387604</v>
      </c>
      <c r="X28" s="12">
        <f t="shared" si="7"/>
        <v>-0.17481124752956656</v>
      </c>
      <c r="Y28" s="12">
        <f t="shared" si="7"/>
        <v>0.24976754083542563</v>
      </c>
      <c r="Z28" s="12">
        <f t="shared" si="7"/>
        <v>0.15302667376914858</v>
      </c>
      <c r="AA28" s="12">
        <f t="shared" si="7"/>
        <v>0.10066465020423276</v>
      </c>
      <c r="AB28" s="12">
        <f t="shared" si="7"/>
        <v>8.5888271177130049E-2</v>
      </c>
      <c r="AC28" s="185" t="str">
        <f>'Estados de Resultados Consolida'!B9&amp;"/("&amp;'Balance General'!C6&amp;"+"&amp;'Balance General'!C11&amp;"+"&amp;'Balance General'!C16&amp;"+"&amp;'Balance General'!C17&amp;")"</f>
        <v>Resultados de la operación antes de otros gastos, neto/(Efectivo y equivalente de efectivo+Inventarios Neto+Propiedades  maquinaria y equipo neto+Crédito mercantil  activos intangibles  y activos diferidos neto)</v>
      </c>
      <c r="AD28" s="185" t="s">
        <v>140</v>
      </c>
      <c r="AE28" s="186"/>
    </row>
    <row r="29" spans="1:31" ht="23.25" hidden="1">
      <c r="A29" s="356" t="s">
        <v>106</v>
      </c>
      <c r="B29" s="10" t="s">
        <v>992</v>
      </c>
      <c r="C29" s="186"/>
      <c r="D29" s="12">
        <f>'Estados de Resultados Consolida'!C22/'Balance General'!D20</f>
        <v>6.884294082441679E-2</v>
      </c>
      <c r="E29" s="12">
        <f>'Estados de Resultados Consolida'!D22/'Balance General'!E20</f>
        <v>7.8473796908098303E-2</v>
      </c>
      <c r="F29" s="12">
        <f>'Estados de Resultados Consolida'!E22/'Balance General'!F20</f>
        <v>2.9869593641399718E-2</v>
      </c>
      <c r="G29" s="12">
        <f>'Estados de Resultados Consolida'!F22/'Balance General'!G20</f>
        <v>4.242307064249088E-2</v>
      </c>
      <c r="H29" s="12">
        <f>'Estados de Resultados Consolida'!G22/'Balance General'!H20</f>
        <v>1.3993671502849584E-2</v>
      </c>
      <c r="I29" s="12">
        <f>'Estados de Resultados Consolida'!H22/'Balance General'!I20</f>
        <v>2.0590718296360531E-2</v>
      </c>
      <c r="J29" s="12">
        <f>'ER Proyectado'!I23/'BG Proyectado'!J20</f>
        <v>2.0834967612740962E-2</v>
      </c>
      <c r="K29" s="12">
        <f>'ER Proyectado'!J23/'BG Proyectado'!K20</f>
        <v>2.7908228650404793E-2</v>
      </c>
      <c r="L29" s="12">
        <f>'ER Proyectado'!K23/'BG Proyectado'!L20</f>
        <v>3.3991590364784351E-2</v>
      </c>
      <c r="M29" s="12">
        <f>'ER Proyectado'!L23/'BG Proyectado'!M20</f>
        <v>3.8718943724376731E-2</v>
      </c>
      <c r="N29" s="12">
        <f>'ER Proyectado'!M23/'BG Proyectado'!N20</f>
        <v>4.1052724654920332E-2</v>
      </c>
      <c r="O29" s="12">
        <f t="shared" si="0"/>
        <v>9.6308560836815132E-3</v>
      </c>
      <c r="P29" s="12">
        <f t="shared" si="1"/>
        <v>-4.8604203266698585E-2</v>
      </c>
      <c r="Q29" s="12">
        <f t="shared" si="2"/>
        <v>1.2553477001091162E-2</v>
      </c>
      <c r="R29" s="12">
        <f t="shared" si="3"/>
        <v>-2.8429399139641296E-2</v>
      </c>
      <c r="S29" s="12">
        <f t="shared" si="4"/>
        <v>0.13989605859873011</v>
      </c>
      <c r="T29" s="12">
        <f t="shared" si="5"/>
        <v>-0.61936856863979206</v>
      </c>
      <c r="U29" s="12">
        <f t="shared" si="6"/>
        <v>0.42027612266180436</v>
      </c>
      <c r="V29" s="12">
        <f t="shared" si="7"/>
        <v>-0.67014006079905153</v>
      </c>
      <c r="W29" s="12">
        <f t="shared" si="7"/>
        <v>0.4714307315394366</v>
      </c>
      <c r="X29" s="12">
        <f t="shared" si="7"/>
        <v>1.1862107618829443E-2</v>
      </c>
      <c r="Y29" s="12">
        <f t="shared" si="7"/>
        <v>0.33948989838306276</v>
      </c>
      <c r="Z29" s="12">
        <f t="shared" si="7"/>
        <v>0.21797734964061655</v>
      </c>
      <c r="AA29" s="12">
        <f t="shared" si="7"/>
        <v>0.13907420361507916</v>
      </c>
      <c r="AB29" s="12">
        <f t="shared" si="7"/>
        <v>6.0274912124586022E-2</v>
      </c>
      <c r="AC29" s="185" t="str">
        <f>'Estados de Resultados Consolida'!B22&amp;"/"&amp;'Balance General'!C20</f>
        <v>Utilidad Neta De La Participación Controladora/Total del Activo</v>
      </c>
      <c r="AD29" s="185" t="s">
        <v>141</v>
      </c>
      <c r="AE29" s="186"/>
    </row>
    <row r="30" spans="1:31" hidden="1">
      <c r="A30" s="356" t="s">
        <v>106</v>
      </c>
      <c r="B30" s="10" t="s">
        <v>993</v>
      </c>
      <c r="C30" s="186"/>
      <c r="D30" s="12">
        <f>'Estados de Resultados Consolida'!C22/'Balance General'!D46</f>
        <v>0.19448238890292119</v>
      </c>
      <c r="E30" s="12">
        <f>'Estados de Resultados Consolida'!D22/'Balance General'!E46</f>
        <v>0.19515422936000509</v>
      </c>
      <c r="F30" s="12">
        <f>'Estados de Resultados Consolida'!E22/'Balance General'!F46</f>
        <v>7.251664053037063E-2</v>
      </c>
      <c r="G30" s="12">
        <f>'Estados de Resultados Consolida'!F22/'Balance General'!G46</f>
        <v>9.4828656547104942E-2</v>
      </c>
      <c r="H30" s="12">
        <f>'Estados de Resultados Consolida'!G22/'Balance General'!H46</f>
        <v>2.9872751604781454E-2</v>
      </c>
      <c r="I30" s="12">
        <f>'Estados de Resultados Consolida'!H22/'Balance General'!I46</f>
        <v>4.1352107701563189E-2</v>
      </c>
      <c r="J30" s="12">
        <f>'ER Proyectado'!I23/'BG Proyectado'!J46</f>
        <v>4.2094103879593378E-2</v>
      </c>
      <c r="K30" s="12">
        <f>'ER Proyectado'!J23/'BG Proyectado'!K46</f>
        <v>5.5857286008520114E-2</v>
      </c>
      <c r="L30" s="12">
        <f>'ER Proyectado'!K23/'BG Proyectado'!L46</f>
        <v>6.7236025836479654E-2</v>
      </c>
      <c r="M30" s="12">
        <f>'ER Proyectado'!L23/'BG Proyectado'!M46</f>
        <v>7.5705685845432441E-2</v>
      </c>
      <c r="N30" s="12">
        <f>'ER Proyectado'!M23/'BG Proyectado'!N46</f>
        <v>7.996913891447173E-2</v>
      </c>
      <c r="O30" s="12">
        <f t="shared" si="0"/>
        <v>6.7184045708390538E-4</v>
      </c>
      <c r="P30" s="12">
        <f t="shared" si="1"/>
        <v>-0.12263758882963446</v>
      </c>
      <c r="Q30" s="12">
        <f t="shared" si="2"/>
        <v>2.2312016016734312E-2</v>
      </c>
      <c r="R30" s="12">
        <f t="shared" si="3"/>
        <v>-6.4955904942323492E-2</v>
      </c>
      <c r="S30" s="12">
        <f t="shared" si="4"/>
        <v>3.4545053712768947E-3</v>
      </c>
      <c r="T30" s="12">
        <f t="shared" si="5"/>
        <v>-0.6284136871223136</v>
      </c>
      <c r="U30" s="12">
        <f t="shared" si="6"/>
        <v>0.30768132463871978</v>
      </c>
      <c r="V30" s="12">
        <f t="shared" si="7"/>
        <v>-0.68498181148498571</v>
      </c>
      <c r="W30" s="12">
        <f t="shared" si="7"/>
        <v>0.38427514976371779</v>
      </c>
      <c r="X30" s="12">
        <f t="shared" si="7"/>
        <v>1.794337022395931E-2</v>
      </c>
      <c r="Y30" s="12">
        <f t="shared" si="7"/>
        <v>0.3269622312971705</v>
      </c>
      <c r="Z30" s="12">
        <f t="shared" si="7"/>
        <v>0.20371093264760298</v>
      </c>
      <c r="AA30" s="12">
        <f t="shared" si="7"/>
        <v>0.12596907541131741</v>
      </c>
      <c r="AB30" s="12">
        <f t="shared" si="7"/>
        <v>5.6316154083115189E-2</v>
      </c>
      <c r="AC30" s="185" t="str">
        <f>'Estados de Resultados Consolida'!B22&amp;"/"&amp;'Balance General'!C46</f>
        <v>Utilidad Neta De La Participación Controladora/Total Patrimonio</v>
      </c>
      <c r="AD30" s="185" t="s">
        <v>142</v>
      </c>
      <c r="AE30" s="186"/>
    </row>
    <row r="31" spans="1:31">
      <c r="A31" s="356" t="str">
        <f>'Indicadores Estrategicos'!A3</f>
        <v>INDICADORES ESTRATEGICOS</v>
      </c>
      <c r="B31" s="10" t="str">
        <f>'Indicadores Estrategicos'!B3</f>
        <v>EBITDA</v>
      </c>
      <c r="C31" s="186"/>
      <c r="D31" s="360">
        <f>'Indicadores Estrategicos'!D3</f>
        <v>632682</v>
      </c>
      <c r="E31" s="360">
        <f>'Indicadores Estrategicos'!E3</f>
        <v>576940</v>
      </c>
      <c r="F31" s="360">
        <f>'Indicadores Estrategicos'!F3</f>
        <v>449772</v>
      </c>
      <c r="G31" s="360">
        <f>'Indicadores Estrategicos'!G3</f>
        <v>423650</v>
      </c>
      <c r="H31" s="360">
        <f>'Indicadores Estrategicos'!H3</f>
        <v>314108</v>
      </c>
      <c r="I31" s="360">
        <f>'Indicadores Estrategicos'!I3</f>
        <v>242507</v>
      </c>
      <c r="J31" s="360">
        <f>'Indicadores Estrategicos'!J3</f>
        <v>211675.79911999998</v>
      </c>
      <c r="K31" s="360">
        <f>'Indicadores Estrategicos'!K3</f>
        <v>241394.37490187492</v>
      </c>
      <c r="L31" s="360">
        <f>'Indicadores Estrategicos'!L3</f>
        <v>262650.78754702408</v>
      </c>
      <c r="M31" s="360">
        <f>'Indicadores Estrategicos'!M3</f>
        <v>276712.12847464992</v>
      </c>
      <c r="N31" s="360">
        <f>'Indicadores Estrategicos'!N3</f>
        <v>289399.32783746679</v>
      </c>
      <c r="O31" s="360">
        <f>'Indicadores Estrategicos'!O3</f>
        <v>-55742</v>
      </c>
      <c r="P31" s="360">
        <f>'Indicadores Estrategicos'!P3</f>
        <v>-127168</v>
      </c>
      <c r="Q31" s="360">
        <f>'Indicadores Estrategicos'!Q3</f>
        <v>-26122</v>
      </c>
      <c r="R31" s="360">
        <f>'Indicadores Estrategicos'!R3</f>
        <v>-109542</v>
      </c>
      <c r="S31" s="360">
        <f>'Indicadores Estrategicos'!S3</f>
        <v>-71601</v>
      </c>
      <c r="T31" s="12">
        <f>'Indicadores Estrategicos'!T3</f>
        <v>-8.8104292519780913E-2</v>
      </c>
      <c r="U31" s="12">
        <f>'Indicadores Estrategicos'!U3</f>
        <v>-0.22041806773667971</v>
      </c>
      <c r="V31" s="12">
        <f>'Indicadores Estrategicos'!V3</f>
        <v>-5.8078315235274736E-2</v>
      </c>
      <c r="W31" s="12">
        <f>'Indicadores Estrategicos'!W3</f>
        <v>-0.2585672135017113</v>
      </c>
      <c r="X31" s="12">
        <f>'Indicadores Estrategicos'!X3</f>
        <v>-0.22795025914653555</v>
      </c>
      <c r="Y31" s="12">
        <f>'Indicadores Estrategicos'!Y3</f>
        <v>-0.12713530281600127</v>
      </c>
      <c r="Z31" s="12">
        <f>'Indicadores Estrategicos'!Z3</f>
        <v>0.14039666275230323</v>
      </c>
      <c r="AA31" s="12">
        <f>'Indicadores Estrategicos'!AA3</f>
        <v>8.8056785307403018E-2</v>
      </c>
      <c r="AB31" s="12">
        <f>'Indicadores Estrategicos'!AB3</f>
        <v>5.3536260290513393E-2</v>
      </c>
      <c r="AC31" s="355" t="str">
        <f>'Indicadores Estrategicos'!AE3</f>
        <v>(Utilidad Operacional + Depreciaciones y Amortizaciones)</v>
      </c>
      <c r="AD31" s="355"/>
      <c r="AE31" s="186"/>
    </row>
    <row r="32" spans="1:31">
      <c r="A32" s="356" t="str">
        <f>'Indicadores Estrategicos'!A4</f>
        <v>INDICADORES ESTRATEGICOS</v>
      </c>
      <c r="B32" s="10" t="s">
        <v>1083</v>
      </c>
      <c r="C32" s="186"/>
      <c r="D32" s="12">
        <f>'Indicadores Estrategicos'!D4</f>
        <v>0.36150860857223177</v>
      </c>
      <c r="E32" s="12">
        <f>'Indicadores Estrategicos'!E4</f>
        <v>0.33451420818572397</v>
      </c>
      <c r="F32" s="12">
        <f>'Indicadores Estrategicos'!F4</f>
        <v>0.31517429564881033</v>
      </c>
      <c r="G32" s="12">
        <f>'Indicadores Estrategicos'!G4</f>
        <v>0.32208745208412209</v>
      </c>
      <c r="H32" s="12">
        <f>'Indicadores Estrategicos'!H4</f>
        <v>0.26035659905524705</v>
      </c>
      <c r="I32" s="12">
        <f>'Indicadores Estrategicos'!I4</f>
        <v>0.2188041637456026</v>
      </c>
      <c r="J32" s="12">
        <f>'Indicadores Estrategicos'!J4</f>
        <v>0.20759394579391685</v>
      </c>
      <c r="K32" s="12">
        <f>'Indicadores Estrategicos'!K4</f>
        <v>0.23338411752589622</v>
      </c>
      <c r="L32" s="12">
        <f>'Indicadores Estrategicos'!L4</f>
        <v>0.25048206443430449</v>
      </c>
      <c r="M32" s="12">
        <f>'Indicadores Estrategicos'!M4</f>
        <v>0.2605310864191574</v>
      </c>
      <c r="N32" s="12">
        <f>'Indicadores Estrategicos'!N4</f>
        <v>0.26583062246689371</v>
      </c>
      <c r="O32" s="12">
        <f>'Indicadores Estrategicos'!O4</f>
        <v>-2.69944003865078E-2</v>
      </c>
      <c r="P32" s="12">
        <f>'Indicadores Estrategicos'!P4</f>
        <v>-1.9339912536913639E-2</v>
      </c>
      <c r="Q32" s="12">
        <f>'Indicadores Estrategicos'!Q4</f>
        <v>6.9131564353117625E-3</v>
      </c>
      <c r="R32" s="12">
        <f>'Indicadores Estrategicos'!R4</f>
        <v>-6.1730853028875043E-2</v>
      </c>
      <c r="S32" s="12">
        <f>'Indicadores Estrategicos'!S4</f>
        <v>-4.1552435309644448E-2</v>
      </c>
      <c r="T32" s="12">
        <f>'Indicadores Estrategicos'!T4</f>
        <v>-7.4671528551204958E-2</v>
      </c>
      <c r="U32" s="12">
        <f>'Indicadores Estrategicos'!U4</f>
        <v>-5.7814921051652424E-2</v>
      </c>
      <c r="V32" s="12">
        <f>'Indicadores Estrategicos'!V4</f>
        <v>2.1934391639015116E-2</v>
      </c>
      <c r="W32" s="12">
        <f>'Indicadores Estrategicos'!W4</f>
        <v>-0.19165867105171275</v>
      </c>
      <c r="X32" s="12">
        <f>'Indicadores Estrategicos'!X4</f>
        <v>-0.15959816444225072</v>
      </c>
      <c r="Y32" s="12">
        <f>'Indicadores Estrategicos'!Y4</f>
        <v>-5.1234024800001277E-2</v>
      </c>
      <c r="Z32" s="12">
        <f>'Indicadores Estrategicos'!Z4</f>
        <v>0.12423373732479592</v>
      </c>
      <c r="AA32" s="12">
        <f>'Indicadores Estrategicos'!AA4</f>
        <v>7.3260970325073949E-2</v>
      </c>
      <c r="AB32" s="12">
        <f>'Indicadores Estrategicos'!AB4</f>
        <v>4.0118728690407002E-2</v>
      </c>
      <c r="AC32" s="355" t="str">
        <f>'Indicadores Estrategicos'!AE4</f>
        <v>EBITDA/Ingresos</v>
      </c>
      <c r="AD32" s="355"/>
      <c r="AE32" s="186"/>
    </row>
    <row r="33" spans="1:31" ht="31.5">
      <c r="A33" s="356" t="str">
        <f>'Indicadores Estrategicos'!A5</f>
        <v>INDICADORES ESTRATEGICOS</v>
      </c>
      <c r="B33" s="10" t="str">
        <f>'Indicadores Estrategicos'!B5</f>
        <v>KTNO</v>
      </c>
      <c r="C33" s="186"/>
      <c r="D33" s="360">
        <f>'Indicadores Estrategicos'!D5</f>
        <v>0</v>
      </c>
      <c r="E33" s="360">
        <f>'Indicadores Estrategicos'!E5</f>
        <v>33629</v>
      </c>
      <c r="F33" s="360">
        <f>'Indicadores Estrategicos'!F5</f>
        <v>54447</v>
      </c>
      <c r="G33" s="360">
        <f>'Indicadores Estrategicos'!G5</f>
        <v>32363</v>
      </c>
      <c r="H33" s="360">
        <f>'Indicadores Estrategicos'!H5</f>
        <v>-21248</v>
      </c>
      <c r="I33" s="360">
        <f>'Indicadores Estrategicos'!I5</f>
        <v>-52540</v>
      </c>
      <c r="J33" s="360">
        <f>'Indicadores Estrategicos'!J5</f>
        <v>7580.1207180175697</v>
      </c>
      <c r="K33" s="360">
        <f>'Indicadores Estrategicos'!K5</f>
        <v>4051.584579646209</v>
      </c>
      <c r="L33" s="360">
        <f>'Indicadores Estrategicos'!L5</f>
        <v>8582.6165622406988</v>
      </c>
      <c r="M33" s="360">
        <f>'Indicadores Estrategicos'!M5</f>
        <v>4121.8655201384972</v>
      </c>
      <c r="N33" s="360">
        <f>'Indicadores Estrategicos'!N5</f>
        <v>6807.0681279638957</v>
      </c>
      <c r="O33" s="66">
        <f>'Indicadores Estrategicos'!O5</f>
        <v>33629</v>
      </c>
      <c r="P33" s="66">
        <f>'Indicadores Estrategicos'!P5</f>
        <v>20818</v>
      </c>
      <c r="Q33" s="66">
        <f>'Indicadores Estrategicos'!Q5</f>
        <v>-22084</v>
      </c>
      <c r="R33" s="66">
        <f>'Indicadores Estrategicos'!R5</f>
        <v>-53611</v>
      </c>
      <c r="S33" s="66">
        <f>'Indicadores Estrategicos'!S5</f>
        <v>-31292</v>
      </c>
      <c r="T33" s="12">
        <f>'Indicadores Estrategicos'!T5</f>
        <v>0</v>
      </c>
      <c r="U33" s="12">
        <f>'Indicadores Estrategicos'!U5</f>
        <v>0.61904903505902653</v>
      </c>
      <c r="V33" s="12">
        <f>'Indicadores Estrategicos'!V5</f>
        <v>-0.40560545117270008</v>
      </c>
      <c r="W33" s="12">
        <f>'Indicadores Estrategicos'!W5</f>
        <v>-1.6565522355776658</v>
      </c>
      <c r="X33" s="12">
        <f>'Indicadores Estrategicos'!X5</f>
        <v>1.4727033132530121</v>
      </c>
      <c r="Y33" s="12">
        <f>'Indicadores Estrategicos'!Y5</f>
        <v>-1.1442733292352032</v>
      </c>
      <c r="Z33" s="12">
        <f>'Indicadores Estrategicos'!Z5</f>
        <v>-0.46549867338975304</v>
      </c>
      <c r="AA33" s="12">
        <f>'Indicadores Estrategicos'!AA5</f>
        <v>1.118335775428918</v>
      </c>
      <c r="AB33" s="12">
        <f>'Indicadores Estrategicos'!AB5</f>
        <v>-0.51974255283957538</v>
      </c>
      <c r="AC33" s="355" t="str">
        <f>'Indicadores Estrategicos'!AE5</f>
        <v>(Inventarios Neto+Cliente  neto  de estimaciones incobrables+Otras cuentas por cobrar+Anticipos de Impuestos)-(Proveedores+Otras cuentas y gastos acumulados por pagar+Impuesto por pagar)</v>
      </c>
      <c r="AD33" s="355"/>
      <c r="AE33" s="186"/>
    </row>
    <row r="34" spans="1:31">
      <c r="A34" s="356" t="str">
        <f>'Indicadores Estrategicos'!A6</f>
        <v>INDICADORES ESTRATEGICOS</v>
      </c>
      <c r="B34" s="10" t="str">
        <f>'Indicadores Estrategicos'!B6</f>
        <v>PKT</v>
      </c>
      <c r="C34" s="186"/>
      <c r="D34" s="12">
        <f>'Indicadores Estrategicos'!D6</f>
        <v>0</v>
      </c>
      <c r="E34" s="12">
        <f>'Indicadores Estrategicos'!E6</f>
        <v>1.949835044732158E-2</v>
      </c>
      <c r="F34" s="12">
        <f>'Indicadores Estrategicos'!F6</f>
        <v>3.8153319626812648E-2</v>
      </c>
      <c r="G34" s="12">
        <f>'Indicadores Estrategicos'!G6</f>
        <v>2.4604546705531555E-2</v>
      </c>
      <c r="H34" s="12">
        <f>'Indicadores Estrategicos'!H6</f>
        <v>-1.7611958360582634E-2</v>
      </c>
      <c r="I34" s="12">
        <f>'Indicadores Estrategicos'!I6</f>
        <v>-4.7404696619866481E-2</v>
      </c>
      <c r="J34" s="12">
        <f>'Indicadores Estrategicos'!J6</f>
        <v>7.4339493507966483E-3</v>
      </c>
      <c r="K34" s="12">
        <f>'Indicadores Estrategicos'!K6</f>
        <v>3.9171397100144908E-3</v>
      </c>
      <c r="L34" s="12">
        <f>'Indicadores Estrategicos'!L6</f>
        <v>8.1849802729916134E-3</v>
      </c>
      <c r="M34" s="12">
        <f>'Indicadores Estrategicos'!M6</f>
        <v>3.8808349599816242E-3</v>
      </c>
      <c r="N34" s="12">
        <f>'Indicadores Estrategicos'!N6</f>
        <v>6.2526999324872884E-3</v>
      </c>
      <c r="O34" s="12">
        <f>'Indicadores Estrategicos'!O6</f>
        <v>1.949835044732158E-2</v>
      </c>
      <c r="P34" s="12">
        <f>'Indicadores Estrategicos'!P6</f>
        <v>1.8654969179491068E-2</v>
      </c>
      <c r="Q34" s="12">
        <f>'Indicadores Estrategicos'!Q6</f>
        <v>-1.3548772921281094E-2</v>
      </c>
      <c r="R34" s="12">
        <f>'Indicadores Estrategicos'!R6</f>
        <v>-4.2216505066114185E-2</v>
      </c>
      <c r="S34" s="12">
        <f>'Indicadores Estrategicos'!S6</f>
        <v>-2.9792738259283847E-2</v>
      </c>
      <c r="T34" s="12">
        <f>'Indicadores Estrategicos'!T6</f>
        <v>0</v>
      </c>
      <c r="U34" s="12">
        <f>'Indicadores Estrategicos'!U6</f>
        <v>0.95674601961283523</v>
      </c>
      <c r="V34" s="12">
        <f>'Indicadores Estrategicos'!V6</f>
        <v>-0.35511386830307556</v>
      </c>
      <c r="W34" s="12">
        <f>'Indicadores Estrategicos'!W6</f>
        <v>-1.7158009684699107</v>
      </c>
      <c r="X34" s="12">
        <f>'Indicadores Estrategicos'!X6</f>
        <v>1.6916198442737094</v>
      </c>
      <c r="Y34" s="12">
        <f>'Indicadores Estrategicos'!Y6</f>
        <v>-1.1568188361252207</v>
      </c>
      <c r="Z34" s="12">
        <f>'Indicadores Estrategicos'!Z6</f>
        <v>-0.47307419984039623</v>
      </c>
      <c r="AA34" s="12">
        <f>'Indicadores Estrategicos'!AA6</f>
        <v>1.0895298301630745</v>
      </c>
      <c r="AB34" s="12">
        <f>'Indicadores Estrategicos'!AB6</f>
        <v>-0.52585897209949195</v>
      </c>
      <c r="AC34" s="355" t="s">
        <v>1304</v>
      </c>
      <c r="AD34" s="355"/>
      <c r="AE34" s="186"/>
    </row>
    <row r="35" spans="1:31">
      <c r="A35" s="356" t="str">
        <f>'Indicadores Estrategicos'!A7</f>
        <v>INDICADORES ESTRATEGICOS</v>
      </c>
      <c r="B35" s="10" t="str">
        <f>UPPER('Indicadores Estrategicos'!B7)</f>
        <v>COBERTURA DE INTERESES</v>
      </c>
      <c r="C35" s="186"/>
      <c r="D35" s="358">
        <f>'Indicadores Estrategicos'!D7</f>
        <v>5.5614528577205045</v>
      </c>
      <c r="E35" s="354">
        <f>'Indicadores Estrategicos'!E7</f>
        <v>6.3786222069895739</v>
      </c>
      <c r="F35" s="354">
        <f>'Indicadores Estrategicos'!F7</f>
        <v>6.0987687801703094</v>
      </c>
      <c r="G35" s="354">
        <f>'Indicadores Estrategicos'!G7</f>
        <v>6.6506020313652847</v>
      </c>
      <c r="H35" s="354">
        <f>'Indicadores Estrategicos'!H7</f>
        <v>4.9656633362843055</v>
      </c>
      <c r="I35" s="354">
        <f>'Indicadores Estrategicos'!I7</f>
        <v>4.1102881355932199</v>
      </c>
      <c r="J35" s="354">
        <f>'Indicadores Estrategicos'!J7</f>
        <v>4.2174453211337255</v>
      </c>
      <c r="K35" s="354">
        <f>'Indicadores Estrategicos'!K7</f>
        <v>4.8848910518237592</v>
      </c>
      <c r="L35" s="354">
        <f>'Indicadores Estrategicos'!L7</f>
        <v>5.4292309991179257</v>
      </c>
      <c r="M35" s="354">
        <f>'Indicadores Estrategicos'!M7</f>
        <v>5.9580826340007054</v>
      </c>
      <c r="N35" s="354">
        <f>'Indicadores Estrategicos'!N7</f>
        <v>5.2520281291568685</v>
      </c>
      <c r="O35" s="12">
        <f>'Indicadores Estrategicos'!O7</f>
        <v>0.81716934926906948</v>
      </c>
      <c r="P35" s="12">
        <f>'Indicadores Estrategicos'!P7</f>
        <v>-0.27985342681926451</v>
      </c>
      <c r="Q35" s="12">
        <f>'Indicadores Estrategicos'!Q7</f>
        <v>0.55183325119497528</v>
      </c>
      <c r="R35" s="12">
        <f>'Indicadores Estrategicos'!R7</f>
        <v>-1.6849386950809793</v>
      </c>
      <c r="S35" s="12">
        <f>'Indicadores Estrategicos'!S7</f>
        <v>-0.85537520069108552</v>
      </c>
      <c r="T35" s="12">
        <f>'Indicadores Estrategicos'!T7</f>
        <v>0.14693450977196743</v>
      </c>
      <c r="U35" s="12">
        <f>'Indicadores Estrategicos'!U7</f>
        <v>-4.3873648217103489E-2</v>
      </c>
      <c r="V35" s="12">
        <f>'Indicadores Estrategicos'!V7</f>
        <v>9.0482730381453269E-2</v>
      </c>
      <c r="W35" s="12">
        <f>'Indicadores Estrategicos'!W7</f>
        <v>-0.25335130370672365</v>
      </c>
      <c r="X35" s="12">
        <f>'Indicadores Estrategicos'!X7</f>
        <v>-0.1722579930944621</v>
      </c>
      <c r="Y35" s="12">
        <f>'Indicadores Estrategicos'!Y7</f>
        <v>2.6070480220735215E-2</v>
      </c>
      <c r="Z35" s="12">
        <f>'Indicadores Estrategicos'!Z7</f>
        <v>0.15825830090681814</v>
      </c>
      <c r="AA35" s="12">
        <f>'Indicadores Estrategicos'!AA7</f>
        <v>0.11143338541622927</v>
      </c>
      <c r="AB35" s="12">
        <f>'Indicadores Estrategicos'!AB7</f>
        <v>9.740820292389496E-2</v>
      </c>
      <c r="AC35" s="355" t="str">
        <f>'Indicadores Estrategicos'!AE7</f>
        <v>Gastos financieros/EBITDA</v>
      </c>
      <c r="AD35" s="355"/>
      <c r="AE35" s="186"/>
    </row>
    <row r="36" spans="1:31">
      <c r="A36" s="356" t="str">
        <f>'Indicadores Estrategicos'!A8</f>
        <v>INDICADORES ESTRATEGICOS</v>
      </c>
      <c r="B36" s="10" t="str">
        <f>UPPER('Indicadores Estrategicos'!B8)</f>
        <v>DEUDA BRUTA / EBITDA</v>
      </c>
      <c r="C36" s="186"/>
      <c r="D36" s="12">
        <f>'Indicadores Estrategicos'!D8</f>
        <v>2.3200991967528712</v>
      </c>
      <c r="E36" s="416">
        <f>'Indicadores Estrategicos'!E8</f>
        <v>2.1127638922591605</v>
      </c>
      <c r="F36" s="416">
        <f>'Indicadores Estrategicos'!F8</f>
        <v>2.461275935362806</v>
      </c>
      <c r="G36" s="416">
        <f>'Indicadores Estrategicos'!G8</f>
        <v>2.3980337542782957</v>
      </c>
      <c r="H36" s="416">
        <f>'Indicadores Estrategicos'!H8</f>
        <v>3.0573592522317163</v>
      </c>
      <c r="I36" s="416">
        <f>'Indicadores Estrategicos'!I8</f>
        <v>3.6498204175549573</v>
      </c>
      <c r="J36" s="416">
        <f>'Indicadores Estrategicos'!J8</f>
        <v>4.3246654479783624</v>
      </c>
      <c r="K36" s="416">
        <f>'Indicadores Estrategicos'!K8</f>
        <v>3.726628398566465</v>
      </c>
      <c r="L36" s="416">
        <f>'Indicadores Estrategicos'!L8</f>
        <v>3.3308907028681753</v>
      </c>
      <c r="M36" s="416">
        <f>'Indicadores Estrategicos'!M8</f>
        <v>3.079017733576312</v>
      </c>
      <c r="N36" s="416">
        <f>'Indicadores Estrategicos'!N8</f>
        <v>2.8985056023999793</v>
      </c>
      <c r="O36" s="12">
        <f>'Indicadores Estrategicos'!O8</f>
        <v>-0.20733530449371074</v>
      </c>
      <c r="P36" s="12">
        <f>'Indicadores Estrategicos'!P8</f>
        <v>0.34851204310364547</v>
      </c>
      <c r="Q36" s="12">
        <f>'Indicadores Estrategicos'!Q8</f>
        <v>-6.3242181084510296E-2</v>
      </c>
      <c r="R36" s="12">
        <f>'Indicadores Estrategicos'!R8</f>
        <v>0.65932549795342066</v>
      </c>
      <c r="S36" s="12">
        <f>'Indicadores Estrategicos'!S8</f>
        <v>0.592461165323241</v>
      </c>
      <c r="T36" s="12">
        <f>'Indicadores Estrategicos'!T8</f>
        <v>-8.9364844737625848E-2</v>
      </c>
      <c r="U36" s="12">
        <f>'Indicadores Estrategicos'!U8</f>
        <v>0.1649555089333643</v>
      </c>
      <c r="V36" s="12">
        <f>'Indicadores Estrategicos'!V8</f>
        <v>-2.5694876456502702E-2</v>
      </c>
      <c r="W36" s="12">
        <f>'Indicadores Estrategicos'!W8</f>
        <v>0.27494421076314213</v>
      </c>
      <c r="X36" s="12">
        <f>'Indicadores Estrategicos'!X8</f>
        <v>0.19378199172726407</v>
      </c>
      <c r="Y36" s="12">
        <f>'Indicadores Estrategicos'!Y8</f>
        <v>0.18489814654373848</v>
      </c>
      <c r="Z36" s="12">
        <f>'Indicadores Estrategicos'!Z8</f>
        <v>-0.13828515907316252</v>
      </c>
      <c r="AA36" s="12">
        <f>'Indicadores Estrategicos'!AA8</f>
        <v>-0.10619188536493718</v>
      </c>
      <c r="AB36" s="12">
        <f>'Indicadores Estrategicos'!AB8</f>
        <v>-7.561730232546493E-2</v>
      </c>
      <c r="AC36" s="355" t="str">
        <f>'Indicadores Estrategicos'!AE8</f>
        <v>(Deuda a corto plazo+Deuda a largo plazo)/EBITDA</v>
      </c>
      <c r="AD36" s="355"/>
      <c r="AE36" s="186"/>
    </row>
    <row r="37" spans="1:31">
      <c r="A37" s="356" t="str">
        <f>'Indicadores Estrategicos'!A9</f>
        <v>INDICADORES ESTRATEGICOS</v>
      </c>
      <c r="B37" s="10" t="str">
        <f>UPPER('Indicadores Estrategicos'!B9)</f>
        <v>DEUDA NETA / EBITDA</v>
      </c>
      <c r="C37" s="186"/>
      <c r="D37" s="416">
        <f>'Indicadores Estrategicos'!D9</f>
        <v>2.198883483329698</v>
      </c>
      <c r="E37" s="416">
        <f>'Indicadores Estrategicos'!E9</f>
        <v>2.0230283911671925</v>
      </c>
      <c r="F37" s="416">
        <f>'Indicadores Estrategicos'!F9</f>
        <v>2.3420266268242576</v>
      </c>
      <c r="G37" s="416">
        <f>'Indicadores Estrategicos'!G9</f>
        <v>2.2920335182343914</v>
      </c>
      <c r="H37" s="416">
        <f>'Indicadores Estrategicos'!H9</f>
        <v>2.9136061482038027</v>
      </c>
      <c r="I37" s="416">
        <f>'Indicadores Estrategicos'!I9</f>
        <v>3.496727929503066</v>
      </c>
      <c r="J37" s="416">
        <f>'Indicadores Estrategicos'!J9</f>
        <v>4.1640955758375622</v>
      </c>
      <c r="K37" s="416">
        <f>'Indicadores Estrategicos'!K9</f>
        <v>3.5421447412722702</v>
      </c>
      <c r="L37" s="416">
        <f>'Indicadores Estrategicos'!L9</f>
        <v>3.1201858849524795</v>
      </c>
      <c r="M37" s="416">
        <f>'Indicadores Estrategicos'!M9</f>
        <v>2.8465865239734383</v>
      </c>
      <c r="N37" s="416">
        <f>'Indicadores Estrategicos'!N9</f>
        <v>2.6341350903588769</v>
      </c>
      <c r="O37" s="12">
        <f>'Indicadores Estrategicos'!O9</f>
        <v>-0.1758550921625055</v>
      </c>
      <c r="P37" s="12">
        <f>'Indicadores Estrategicos'!P9</f>
        <v>0.31899823565706509</v>
      </c>
      <c r="Q37" s="12">
        <f>'Indicadores Estrategicos'!Q9</f>
        <v>-4.9993108589866164E-2</v>
      </c>
      <c r="R37" s="12">
        <f>'Indicadores Estrategicos'!R9</f>
        <v>0.62157262996941132</v>
      </c>
      <c r="S37" s="12">
        <f>'Indicadores Estrategicos'!S9</f>
        <v>0.58312178129926329</v>
      </c>
      <c r="T37" s="12">
        <f>'Indicadores Estrategicos'!T9</f>
        <v>-7.9974720577833391E-2</v>
      </c>
      <c r="U37" s="12">
        <f>'Indicadores Estrategicos'!U9</f>
        <v>0.15768351895102084</v>
      </c>
      <c r="V37" s="12">
        <f>'Indicadores Estrategicos'!V9</f>
        <v>-2.1346088903205995E-2</v>
      </c>
      <c r="W37" s="12">
        <f>'Indicadores Estrategicos'!W9</f>
        <v>0.27118828107200788</v>
      </c>
      <c r="X37" s="12">
        <f>'Indicadores Estrategicos'!X9</f>
        <v>0.20013747625386835</v>
      </c>
      <c r="Y37" s="12">
        <f>'Indicadores Estrategicos'!Y9</f>
        <v>0.19085489628852503</v>
      </c>
      <c r="Z37" s="12">
        <f>'Indicadores Estrategicos'!Z9</f>
        <v>-0.14936036487111448</v>
      </c>
      <c r="AA37" s="12">
        <f>'Indicadores Estrategicos'!AA9</f>
        <v>-0.11912524392445667</v>
      </c>
      <c r="AB37" s="12">
        <f>'Indicadores Estrategicos'!AB9</f>
        <v>-8.7686878624286924E-2</v>
      </c>
      <c r="AC37" s="355" t="str">
        <f>'Indicadores Estrategicos'!AE9</f>
        <v>(Deuda a corto plazo+Deuda a largo plazo-Efectivo y equivalente de efectivo)/EBITDA</v>
      </c>
      <c r="AD37" s="355"/>
      <c r="AE37" s="186"/>
    </row>
    <row r="38" spans="1:31">
      <c r="A38" s="356" t="str">
        <f>'Indicadores Estrategicos'!A10</f>
        <v>INDICADORES ESTRATEGICOS</v>
      </c>
      <c r="B38" s="10" t="str">
        <f>UPPER('Indicadores Estrategicos'!B10)</f>
        <v xml:space="preserve">UODI </v>
      </c>
      <c r="C38" s="186"/>
      <c r="D38" s="11">
        <f>'Indicadores Estrategicos'!D10</f>
        <v>397459</v>
      </c>
      <c r="E38" s="11">
        <f>'Indicadores Estrategicos'!E10</f>
        <v>336425</v>
      </c>
      <c r="F38" s="11">
        <f>'Indicadores Estrategicos'!F10</f>
        <v>272349</v>
      </c>
      <c r="G38" s="11">
        <f>'Indicadores Estrategicos'!G10</f>
        <v>234673</v>
      </c>
      <c r="H38" s="11">
        <f>'Indicadores Estrategicos'!H10</f>
        <v>181828</v>
      </c>
      <c r="I38" s="11">
        <f>'Indicadores Estrategicos'!I10</f>
        <v>131218</v>
      </c>
      <c r="J38" s="11">
        <f>'Indicadores Estrategicos'!J10</f>
        <v>109602.55322665248</v>
      </c>
      <c r="K38" s="11">
        <f>'Indicadores Estrategicos'!K10</f>
        <v>131988.09692739006</v>
      </c>
      <c r="L38" s="11">
        <f>'Indicadores Estrategicos'!L10</f>
        <v>146579.44226016273</v>
      </c>
      <c r="M38" s="11">
        <f>'Indicadores Estrategicos'!M10</f>
        <v>155991.09247187499</v>
      </c>
      <c r="N38" s="11">
        <f>'Indicadores Estrategicos'!N10</f>
        <v>166855.49983301689</v>
      </c>
      <c r="O38" s="11">
        <f>'Indicadores Estrategicos'!O10</f>
        <v>-61034</v>
      </c>
      <c r="P38" s="11">
        <f>'Indicadores Estrategicos'!P10</f>
        <v>-64076</v>
      </c>
      <c r="Q38" s="11">
        <f>'Indicadores Estrategicos'!Q10</f>
        <v>-37676</v>
      </c>
      <c r="R38" s="11">
        <f>'Indicadores Estrategicos'!R10</f>
        <v>-52845</v>
      </c>
      <c r="S38" s="11">
        <f>'Indicadores Estrategicos'!S10</f>
        <v>-50610</v>
      </c>
      <c r="T38" s="12">
        <f>'Indicadores Estrategicos'!T10</f>
        <v>-0.15356049303198571</v>
      </c>
      <c r="U38" s="12">
        <f>'Indicadores Estrategicos'!U10</f>
        <v>-0.19046146986698376</v>
      </c>
      <c r="V38" s="12">
        <f>'Indicadores Estrategicos'!V10</f>
        <v>-0.13833720703949715</v>
      </c>
      <c r="W38" s="12">
        <f>'Indicadores Estrategicos'!W10</f>
        <v>-0.2251856839090991</v>
      </c>
      <c r="X38" s="12">
        <f>'Indicadores Estrategicos'!X10</f>
        <v>-0.27833996964163932</v>
      </c>
      <c r="Y38" s="12">
        <f>'Indicadores Estrategicos'!Y10</f>
        <v>-0.1647292808406432</v>
      </c>
      <c r="Z38" s="12">
        <f>'Indicadores Estrategicos'!Z10</f>
        <v>0.20424290348825558</v>
      </c>
      <c r="AA38" s="12">
        <f>'Indicadores Estrategicos'!AA10</f>
        <v>0.11055046381038247</v>
      </c>
      <c r="AB38" s="12">
        <f>'Indicadores Estrategicos'!AB10</f>
        <v>6.4208527925816439E-2</v>
      </c>
      <c r="AC38" s="355" t="str">
        <f>'Indicadores Estrategicos'!AE10</f>
        <v>Utilidad operacional despues de Impuestos</v>
      </c>
      <c r="AD38" s="355"/>
      <c r="AE38" s="186"/>
    </row>
    <row r="39" spans="1:31" ht="31.5" hidden="1">
      <c r="A39" s="356" t="str">
        <f>'Indicadores Estrategicos'!A11</f>
        <v>INDICADORES ESTRATEGICOS</v>
      </c>
      <c r="B39" s="10" t="str">
        <f>'Indicadores Estrategicos'!B11</f>
        <v>Activo de operación inicial</v>
      </c>
      <c r="C39" s="186"/>
      <c r="D39" s="11">
        <f>'Indicadores Estrategicos'!D11</f>
        <v>3378849</v>
      </c>
      <c r="E39" s="11">
        <f>'Indicadores Estrategicos'!E11</f>
        <v>3178239</v>
      </c>
      <c r="F39" s="11">
        <f>'Indicadores Estrategicos'!F11</f>
        <v>2955569</v>
      </c>
      <c r="G39" s="11">
        <f>'Indicadores Estrategicos'!G11</f>
        <v>3055247</v>
      </c>
      <c r="H39" s="11">
        <f>'Indicadores Estrategicos'!H11</f>
        <v>2934590</v>
      </c>
      <c r="I39" s="11">
        <f>'Indicadores Estrategicos'!I11</f>
        <v>2669851</v>
      </c>
      <c r="J39" s="11">
        <f>'Indicadores Estrategicos'!J11</f>
        <v>2703618.3506054585</v>
      </c>
      <c r="K39" s="11">
        <f>'Indicadores Estrategicos'!K11</f>
        <v>2622483.7421690212</v>
      </c>
      <c r="L39" s="11">
        <f>'Indicadores Estrategicos'!L11</f>
        <v>2556232.0403513201</v>
      </c>
      <c r="M39" s="11">
        <f>'Indicadores Estrategicos'!M11</f>
        <v>2481992.6235139058</v>
      </c>
      <c r="N39" s="11">
        <f>'Indicadores Estrategicos'!N11</f>
        <v>2419121.5638550329</v>
      </c>
      <c r="O39" s="11">
        <f>'Indicadores Estrategicos'!O11</f>
        <v>-200610</v>
      </c>
      <c r="P39" s="11">
        <f>'Indicadores Estrategicos'!P11</f>
        <v>-222670</v>
      </c>
      <c r="Q39" s="11">
        <f>'Indicadores Estrategicos'!Q11</f>
        <v>99678</v>
      </c>
      <c r="R39" s="11">
        <f>'Indicadores Estrategicos'!R11</f>
        <v>-120657</v>
      </c>
      <c r="S39" s="11">
        <f>'Indicadores Estrategicos'!S11</f>
        <v>-264739</v>
      </c>
      <c r="T39" s="12">
        <f>'Indicadores Estrategicos'!T11</f>
        <v>-5.9372289202624939E-2</v>
      </c>
      <c r="U39" s="12">
        <f>'Indicadores Estrategicos'!U11</f>
        <v>-7.0060810404755536E-2</v>
      </c>
      <c r="V39" s="12">
        <f>'Indicadores Estrategicos'!V11</f>
        <v>3.3725485684820811E-2</v>
      </c>
      <c r="W39" s="12">
        <f>'Indicadores Estrategicos'!W11</f>
        <v>-3.9491733401587514E-2</v>
      </c>
      <c r="X39" s="12">
        <f>'Indicadores Estrategicos'!X11</f>
        <v>-9.0213283627355145E-2</v>
      </c>
      <c r="Y39" s="12">
        <f>'Indicadores Estrategicos'!Y11</f>
        <v>1.2647653597694486E-2</v>
      </c>
      <c r="Z39" s="12">
        <f>'Indicadores Estrategicos'!Z11</f>
        <v>-3.0009638164450125E-2</v>
      </c>
      <c r="AA39" s="12">
        <f>'Indicadores Estrategicos'!AA11</f>
        <v>-2.526295997660033E-2</v>
      </c>
      <c r="AB39" s="12">
        <f>'Indicadores Estrategicos'!AB11</f>
        <v>-2.9042518701553832E-2</v>
      </c>
      <c r="AC39" s="355" t="str">
        <f>'Indicadores Estrategicos'!AE11</f>
        <v>Otros inversiones y cuentas por cobrar+Crédito mercantil  activos intangibles  y activos diferidos neto+Propiedades  maquinaria y equipo neto+KTNO</v>
      </c>
      <c r="AD39" s="355"/>
      <c r="AE39" s="186"/>
    </row>
    <row r="40" spans="1:31">
      <c r="A40" s="356" t="str">
        <f>'Indicadores Estrategicos'!A12</f>
        <v>INDICADORES ESTRATEGICOS</v>
      </c>
      <c r="B40" s="10" t="str">
        <f>UPPER('Indicadores Estrategicos'!B12)</f>
        <v>RENTABILIDAD DEL ACTIVO NETO</v>
      </c>
      <c r="C40" s="186"/>
      <c r="D40" s="12">
        <f>'Indicadores Estrategicos'!D12</f>
        <v>0.11828341307995355</v>
      </c>
      <c r="E40" s="12">
        <f>'Indicadores Estrategicos'!E12</f>
        <v>0.10666532657963287</v>
      </c>
      <c r="F40" s="12">
        <f>'Indicadores Estrategicos'!F12</f>
        <v>9.280298061029045E-2</v>
      </c>
      <c r="G40" s="12">
        <f>'Indicadores Estrategicos'!G12</f>
        <v>7.7142766039208291E-2</v>
      </c>
      <c r="H40" s="12">
        <f>'Indicadores Estrategicos'!H12</f>
        <v>6.217891570240925E-2</v>
      </c>
      <c r="I40" s="12">
        <f>'Indicadores Estrategicos'!I12</f>
        <v>4.9227456298805684E-2</v>
      </c>
      <c r="J40" s="12">
        <f>'Indicadores Estrategicos'!J12</f>
        <v>4.0603879429540086E-2</v>
      </c>
      <c r="K40" s="12">
        <f>'Indicadores Estrategicos'!K12</f>
        <v>5.0412198836449096E-2</v>
      </c>
      <c r="L40" s="12">
        <f>'Indicadores Estrategicos'!L12</f>
        <v>5.7438750160636841E-2</v>
      </c>
      <c r="M40" s="12">
        <f>'Indicadores Estrategicos'!M12</f>
        <v>6.29583624464361E-2</v>
      </c>
      <c r="N40" s="12">
        <f>'Indicadores Estrategicos'!N12</f>
        <v>6.9096581258838372E-2</v>
      </c>
      <c r="O40" s="12">
        <f>'Indicadores Estrategicos'!O12</f>
        <v>-1.1618086500320673E-2</v>
      </c>
      <c r="P40" s="12">
        <f>'Indicadores Estrategicos'!P12</f>
        <v>-1.3862345969342424E-2</v>
      </c>
      <c r="Q40" s="12">
        <f>'Indicadores Estrategicos'!Q12</f>
        <v>-1.5660214571082159E-2</v>
      </c>
      <c r="R40" s="12">
        <f>'Indicadores Estrategicos'!R12</f>
        <v>-1.4963850336799041E-2</v>
      </c>
      <c r="S40" s="12">
        <f>'Indicadores Estrategicos'!S12</f>
        <v>-1.2951459403603566E-2</v>
      </c>
      <c r="T40" s="12">
        <f>'Indicadores Estrategicos'!T12</f>
        <v>-9.8222448928383943E-2</v>
      </c>
      <c r="U40" s="12">
        <f>'Indicadores Estrategicos'!U12</f>
        <v>-0.12996112620527389</v>
      </c>
      <c r="V40" s="12">
        <f>'Indicadores Estrategicos'!V12</f>
        <v>-0.16874689226679518</v>
      </c>
      <c r="W40" s="12">
        <f>'Indicadores Estrategicos'!W12</f>
        <v>-0.19397606677978818</v>
      </c>
      <c r="X40" s="12">
        <f>'Indicadores Estrategicos'!X12</f>
        <v>-0.2082934264339662</v>
      </c>
      <c r="Y40" s="12">
        <f>'Indicadores Estrategicos'!Y12</f>
        <v>-0.17517819358614339</v>
      </c>
      <c r="Z40" s="12">
        <f>'Indicadores Estrategicos'!Z12</f>
        <v>0.24156114008587259</v>
      </c>
      <c r="AA40" s="12">
        <f>'Indicadores Estrategicos'!AA12</f>
        <v>0.13938196480942611</v>
      </c>
      <c r="AB40" s="12">
        <f>'Indicadores Estrategicos'!AB12</f>
        <v>9.6095619601101356E-2</v>
      </c>
      <c r="AC40" s="355" t="str">
        <f>'Indicadores Estrategicos'!AE12</f>
        <v>UODI /(KTNO+Propiedades  maquinaria y equipo neto+Crédito mercantil  activos intangibles  y activos diferidos neto)</v>
      </c>
      <c r="AD40" s="355"/>
      <c r="AE40" s="186"/>
    </row>
    <row r="41" spans="1:31">
      <c r="A41" s="356" t="str">
        <f>'Indicadores Estrategicos'!A13</f>
        <v>INDICADORES ESTRATEGICOS</v>
      </c>
      <c r="B41" s="10" t="str">
        <f>'Indicadores Estrategicos'!B13</f>
        <v>ROIC</v>
      </c>
      <c r="C41" s="186"/>
      <c r="D41" s="12">
        <f>'Indicadores Estrategicos'!D13</f>
        <v>0.19725457832962734</v>
      </c>
      <c r="E41" s="12">
        <f>'Indicadores Estrategicos'!E13</f>
        <v>0.10483287595278545</v>
      </c>
      <c r="F41" s="12">
        <f>'Indicadores Estrategicos'!F13</f>
        <v>8.7217322397240366E-2</v>
      </c>
      <c r="G41" s="12">
        <f>'Indicadores Estrategicos'!G13</f>
        <v>7.9739239735236972E-2</v>
      </c>
      <c r="H41" s="12">
        <f>'Indicadores Estrategicos'!H13</f>
        <v>5.650616897967544E-2</v>
      </c>
      <c r="I41" s="12">
        <f>'Indicadores Estrategicos'!I13</f>
        <v>4.2360467711127586E-2</v>
      </c>
      <c r="J41" s="12">
        <f>'Indicadores Estrategicos'!J13</f>
        <v>3.5913947547210376E-2</v>
      </c>
      <c r="K41" s="12">
        <f>'Indicadores Estrategicos'!K13</f>
        <v>4.545401071781853E-2</v>
      </c>
      <c r="L41" s="12">
        <f>'Indicadores Estrategicos'!L13</f>
        <v>5.2863552982657512E-2</v>
      </c>
      <c r="M41" s="12">
        <f>'Indicadores Estrategicos'!M13</f>
        <v>5.8564524499737751E-2</v>
      </c>
      <c r="N41" s="12">
        <f>'Indicadores Estrategicos'!N13</f>
        <v>6.4155167331097995E-2</v>
      </c>
      <c r="O41" s="12">
        <f>'Indicadores Estrategicos'!O13</f>
        <v>-9.2421702376841885E-2</v>
      </c>
      <c r="P41" s="12">
        <f>'Indicadores Estrategicos'!P13</f>
        <v>-1.7615553555545088E-2</v>
      </c>
      <c r="Q41" s="12">
        <f>'Indicadores Estrategicos'!Q13</f>
        <v>-7.4780826620033936E-3</v>
      </c>
      <c r="R41" s="12">
        <f>'Indicadores Estrategicos'!R13</f>
        <v>-2.3233070755561532E-2</v>
      </c>
      <c r="S41" s="12">
        <f>'Indicadores Estrategicos'!S13</f>
        <v>-1.4145701268547854E-2</v>
      </c>
      <c r="T41" s="12">
        <f>'Indicadores Estrategicos'!T13</f>
        <v>-0.46854021417134473</v>
      </c>
      <c r="U41" s="12">
        <f>'Indicadores Estrategicos'!U13</f>
        <v>-0.16803463031462351</v>
      </c>
      <c r="V41" s="12">
        <f>'Indicadores Estrategicos'!V13</f>
        <v>-8.5740796168262134E-2</v>
      </c>
      <c r="W41" s="12">
        <f>'Indicadores Estrategicos'!W13</f>
        <v>-0.29136308337907035</v>
      </c>
      <c r="X41" s="12">
        <f>'Indicadores Estrategicos'!X13</f>
        <v>-0.25033906074283474</v>
      </c>
      <c r="Y41" s="12">
        <f>'Indicadores Estrategicos'!Y13</f>
        <v>-0.15218245954880683</v>
      </c>
      <c r="Z41" s="12">
        <f>'Indicadores Estrategicos'!Z13</f>
        <v>0.26563671838266578</v>
      </c>
      <c r="AA41" s="12">
        <f>'Indicadores Estrategicos'!AA13</f>
        <v>0.16301184753173725</v>
      </c>
      <c r="AB41" s="12">
        <f>'Indicadores Estrategicos'!AB13</f>
        <v>0.10784313946795265</v>
      </c>
      <c r="AC41" s="355" t="str">
        <f>'Indicadores Estrategicos'!AE13</f>
        <v>(Utilidad Operativa - Impuestos(tasa Teorica))/Capital Invertio</v>
      </c>
      <c r="AD41" s="355"/>
      <c r="AE41" s="186"/>
    </row>
    <row r="42" spans="1:31">
      <c r="A42" s="356" t="str">
        <f>'Indicadores Estrategicos'!A14</f>
        <v>INDICADORES ESTRATEGICOS</v>
      </c>
      <c r="B42" s="10" t="str">
        <f>'Indicadores Estrategicos'!B14</f>
        <v>ROE</v>
      </c>
      <c r="C42" s="186"/>
      <c r="D42" s="12">
        <f>'Indicadores Estrategicos'!D14</f>
        <v>0.19448238890292119</v>
      </c>
      <c r="E42" s="12">
        <f>'Indicadores Estrategicos'!E14</f>
        <v>0.19515422936000509</v>
      </c>
      <c r="F42" s="12">
        <f>'Indicadores Estrategicos'!F14</f>
        <v>7.251664053037063E-2</v>
      </c>
      <c r="G42" s="12">
        <f>'Indicadores Estrategicos'!G14</f>
        <v>9.4828656547104942E-2</v>
      </c>
      <c r="H42" s="12">
        <f>'Indicadores Estrategicos'!H14</f>
        <v>2.9872751604781454E-2</v>
      </c>
      <c r="I42" s="12">
        <f>'Indicadores Estrategicos'!I14</f>
        <v>4.1352107701563189E-2</v>
      </c>
      <c r="J42" s="12">
        <f>'Indicadores Estrategicos'!J14</f>
        <v>4.2094103879593378E-2</v>
      </c>
      <c r="K42" s="12">
        <f>'Indicadores Estrategicos'!K14</f>
        <v>5.5857286008520114E-2</v>
      </c>
      <c r="L42" s="12">
        <f>'Indicadores Estrategicos'!L14</f>
        <v>6.7236025836479654E-2</v>
      </c>
      <c r="M42" s="12">
        <f>'Indicadores Estrategicos'!M14</f>
        <v>7.5705685845432441E-2</v>
      </c>
      <c r="N42" s="12">
        <f>'Indicadores Estrategicos'!N14</f>
        <v>7.996913891447173E-2</v>
      </c>
      <c r="O42" s="12">
        <f>'Indicadores Estrategicos'!O14</f>
        <v>6.7184045708390538E-4</v>
      </c>
      <c r="P42" s="12">
        <f>'Indicadores Estrategicos'!P14</f>
        <v>-0.12263758882963446</v>
      </c>
      <c r="Q42" s="12">
        <f>'Indicadores Estrategicos'!Q14</f>
        <v>2.2312016016734312E-2</v>
      </c>
      <c r="R42" s="12">
        <f>'Indicadores Estrategicos'!R14</f>
        <v>-6.4955904942323492E-2</v>
      </c>
      <c r="S42" s="12">
        <f>'Indicadores Estrategicos'!S14</f>
        <v>1.1479356096781735E-2</v>
      </c>
      <c r="T42" s="12">
        <f>'Indicadores Estrategicos'!T14</f>
        <v>3.4545053712768947E-3</v>
      </c>
      <c r="U42" s="12">
        <f>'Indicadores Estrategicos'!U14</f>
        <v>-0.6284136871223136</v>
      </c>
      <c r="V42" s="12">
        <f>'Indicadores Estrategicos'!V14</f>
        <v>0.30768132463871978</v>
      </c>
      <c r="W42" s="12">
        <f>'Indicadores Estrategicos'!W14</f>
        <v>-0.68498181148498571</v>
      </c>
      <c r="X42" s="12">
        <f>'Indicadores Estrategicos'!X14</f>
        <v>0.38427514976371779</v>
      </c>
      <c r="Y42" s="12">
        <f>'Indicadores Estrategicos'!Y14</f>
        <v>1.794337022395931E-2</v>
      </c>
      <c r="Z42" s="12">
        <f>'Indicadores Estrategicos'!Z14</f>
        <v>0.3269622312971705</v>
      </c>
      <c r="AA42" s="12">
        <f>'Indicadores Estrategicos'!AA14</f>
        <v>0.20371093264760298</v>
      </c>
      <c r="AB42" s="12">
        <f>'Indicadores Estrategicos'!AB14</f>
        <v>0.12596907541131741</v>
      </c>
      <c r="AC42" s="355" t="str">
        <f>'Indicadores Estrategicos'!AE14</f>
        <v>Utilidad Neta De La Participación Controladora/Total Patrimonio</v>
      </c>
      <c r="AD42" s="355"/>
      <c r="AE42" s="186"/>
    </row>
    <row r="43" spans="1:31">
      <c r="A43" s="356" t="str">
        <f>'Indicadores Estrategicos'!A15</f>
        <v>INDICADORES ESTRATEGICOS</v>
      </c>
      <c r="B43" s="10" t="str">
        <f>'Indicadores Estrategicos'!B15</f>
        <v>ROA</v>
      </c>
      <c r="C43" s="186"/>
      <c r="D43" s="12">
        <f>'Indicadores Estrategicos'!D15</f>
        <v>6.884294082441679E-2</v>
      </c>
      <c r="E43" s="12">
        <f>'Indicadores Estrategicos'!E15</f>
        <v>7.8473796908098303E-2</v>
      </c>
      <c r="F43" s="12">
        <f>'Indicadores Estrategicos'!F15</f>
        <v>2.9869593641399718E-2</v>
      </c>
      <c r="G43" s="12">
        <f>'Indicadores Estrategicos'!G15</f>
        <v>4.242307064249088E-2</v>
      </c>
      <c r="H43" s="12">
        <f>'Indicadores Estrategicos'!H15</f>
        <v>1.3993671502849584E-2</v>
      </c>
      <c r="I43" s="12">
        <f>'Indicadores Estrategicos'!I15</f>
        <v>2.0590718296360531E-2</v>
      </c>
      <c r="J43" s="12">
        <f>'Indicadores Estrategicos'!J15</f>
        <v>2.0834967612740962E-2</v>
      </c>
      <c r="K43" s="12">
        <f>'Indicadores Estrategicos'!K15</f>
        <v>2.7908228650404793E-2</v>
      </c>
      <c r="L43" s="12">
        <f>'Indicadores Estrategicos'!L15</f>
        <v>3.3991590364784351E-2</v>
      </c>
      <c r="M43" s="12">
        <f>'Indicadores Estrategicos'!M15</f>
        <v>3.8718943724376731E-2</v>
      </c>
      <c r="N43" s="12">
        <f>'Indicadores Estrategicos'!N15</f>
        <v>4.1052724654920332E-2</v>
      </c>
      <c r="O43" s="12">
        <f>'Indicadores Estrategicos'!O15</f>
        <v>9.6308560836815132E-3</v>
      </c>
      <c r="P43" s="12">
        <f>'Indicadores Estrategicos'!P15</f>
        <v>-4.8604203266698585E-2</v>
      </c>
      <c r="Q43" s="12">
        <f>'Indicadores Estrategicos'!Q15</f>
        <v>1.2553477001091162E-2</v>
      </c>
      <c r="R43" s="12">
        <f>'Indicadores Estrategicos'!R15</f>
        <v>-2.8429399139641296E-2</v>
      </c>
      <c r="S43" s="12">
        <f>'Indicadores Estrategicos'!S15</f>
        <v>6.5970467935109467E-3</v>
      </c>
      <c r="T43" s="12">
        <f>'Indicadores Estrategicos'!T15</f>
        <v>0.13989605859873011</v>
      </c>
      <c r="U43" s="12">
        <f>'Indicadores Estrategicos'!U15</f>
        <v>-0.61936856863979206</v>
      </c>
      <c r="V43" s="12">
        <f>'Indicadores Estrategicos'!V15</f>
        <v>0.42027612266180436</v>
      </c>
      <c r="W43" s="12">
        <f>'Indicadores Estrategicos'!W15</f>
        <v>-0.67014006079905153</v>
      </c>
      <c r="X43" s="12">
        <f>'Indicadores Estrategicos'!X15</f>
        <v>0.4714307315394366</v>
      </c>
      <c r="Y43" s="12">
        <f>'Indicadores Estrategicos'!Y15</f>
        <v>1.1862107618829443E-2</v>
      </c>
      <c r="Z43" s="12">
        <f>'Indicadores Estrategicos'!Z15</f>
        <v>0.33948989838306276</v>
      </c>
      <c r="AA43" s="12">
        <f>'Indicadores Estrategicos'!AA15</f>
        <v>0.21797734964061655</v>
      </c>
      <c r="AB43" s="12">
        <f>'Indicadores Estrategicos'!AB15</f>
        <v>0.13907420361507916</v>
      </c>
      <c r="AC43" s="355" t="str">
        <f>'Indicadores Estrategicos'!AE15</f>
        <v>Utilidad Neta De La Participación Controladora/Total del Activo</v>
      </c>
      <c r="AD43" s="355"/>
      <c r="AE43" s="186"/>
    </row>
    <row r="44" spans="1:31">
      <c r="A44" s="356" t="str">
        <f>'Indicadores Estrategicos'!A16</f>
        <v>INDICADORES ESTRATEGICOS</v>
      </c>
      <c r="B44" s="10" t="s">
        <v>1373</v>
      </c>
      <c r="C44" s="186"/>
      <c r="D44" s="11">
        <f>'Indicadores Estrategicos'!D16</f>
        <v>-92311</v>
      </c>
      <c r="E44" s="11">
        <f>'Indicadores Estrategicos'!E16</f>
        <v>-134401</v>
      </c>
      <c r="F44" s="11">
        <f>'Indicadores Estrategicos'!F16</f>
        <v>-186628</v>
      </c>
      <c r="G44" s="11">
        <f>'Indicadores Estrategicos'!G16</f>
        <v>-187408</v>
      </c>
      <c r="H44" s="11">
        <f>'Indicadores Estrategicos'!H16</f>
        <v>-68878</v>
      </c>
      <c r="I44" s="11">
        <f>'Indicadores Estrategicos'!I16</f>
        <v>-2950</v>
      </c>
      <c r="J44" s="11">
        <f>'Indicadores Estrategicos'!J16</f>
        <v>-44914.386591802584</v>
      </c>
      <c r="K44" s="11">
        <f>'Indicadores Estrategicos'!K16</f>
        <v>-45560.113416219901</v>
      </c>
      <c r="L44" s="11">
        <f>'Indicadores Estrategicos'!L16</f>
        <v>-46137.573475246136</v>
      </c>
      <c r="M44" s="11">
        <f>'Indicadores Estrategicos'!M16</f>
        <v>-46784.026073989306</v>
      </c>
      <c r="N44" s="11">
        <f>'Indicadores Estrategicos'!N16</f>
        <v>-47953.626725839036</v>
      </c>
      <c r="O44" s="14">
        <f>'Indicadores Estrategicos'!O16</f>
        <v>-42090</v>
      </c>
      <c r="P44" s="14">
        <f>'Indicadores Estrategicos'!P16</f>
        <v>-52227</v>
      </c>
      <c r="Q44" s="14">
        <f>'Indicadores Estrategicos'!Q16</f>
        <v>-780</v>
      </c>
      <c r="R44" s="14">
        <f>'Indicadores Estrategicos'!R16</f>
        <v>118530</v>
      </c>
      <c r="S44" s="14">
        <f>'Indicadores Estrategicos'!S16</f>
        <v>65928</v>
      </c>
      <c r="T44" s="12">
        <f>'Indicadores Estrategicos'!T16</f>
        <v>0.45595866148129693</v>
      </c>
      <c r="U44" s="12">
        <f>'Indicadores Estrategicos'!U16</f>
        <v>0.38859085869896792</v>
      </c>
      <c r="V44" s="12">
        <f>'Indicadores Estrategicos'!V16</f>
        <v>4.1794371691279419E-3</v>
      </c>
      <c r="W44" s="12">
        <f>'Indicadores Estrategicos'!W16</f>
        <v>-0.63247033210962178</v>
      </c>
      <c r="X44" s="12">
        <f>'Indicadores Estrategicos'!X16</f>
        <v>-0.95717064955428444</v>
      </c>
      <c r="Y44" s="12">
        <f>'Indicadores Estrategicos'!Y16</f>
        <v>14.225215793831385</v>
      </c>
      <c r="Z44" s="12">
        <f>'Indicadores Estrategicos'!Z16</f>
        <v>1.4376837209999271E-2</v>
      </c>
      <c r="AA44" s="12">
        <f>'Indicadores Estrategicos'!AA16</f>
        <v>1.2674684405431069E-2</v>
      </c>
      <c r="AB44" s="12">
        <f>'Indicadores Estrategicos'!AB16</f>
        <v>1.4011413042560816E-2</v>
      </c>
      <c r="AC44" s="355" t="s">
        <v>1289</v>
      </c>
      <c r="AD44" s="355"/>
      <c r="AE44" s="186"/>
    </row>
    <row r="45" spans="1:31">
      <c r="A45" s="356" t="str">
        <f>'Indicadores Estrategicos'!A17</f>
        <v>INDICADORES ESTRATEGICOS</v>
      </c>
      <c r="B45" s="10" t="str">
        <f>UPPER('Indicadores Estrategicos'!B17)</f>
        <v>CAPEX/INGRESOS</v>
      </c>
      <c r="C45" s="186"/>
      <c r="D45" s="12">
        <f>'Indicadores Estrategicos'!D17</f>
        <v>5.2745646574284218E-2</v>
      </c>
      <c r="E45" s="12">
        <f>'Indicadores Estrategicos'!E17</f>
        <v>7.792672391300566E-2</v>
      </c>
      <c r="F45" s="12">
        <f>'Indicadores Estrategicos'!F17</f>
        <v>0.13077814636826254</v>
      </c>
      <c r="G45" s="12">
        <f>'Indicadores Estrategicos'!G17</f>
        <v>0.14248026724933591</v>
      </c>
      <c r="H45" s="12">
        <f>'Indicadores Estrategicos'!H17</f>
        <v>5.7091324734573165E-2</v>
      </c>
      <c r="I45" s="12">
        <f>'Indicadores Estrategicos'!I17</f>
        <v>2.6616645418463289E-3</v>
      </c>
      <c r="J45" s="12">
        <f>'Indicadores Estrategicos'!J17</f>
        <v>4.4048279369999679E-2</v>
      </c>
      <c r="K45" s="12">
        <f>'Indicadores Estrategicos'!K17</f>
        <v>4.4048279369999679E-2</v>
      </c>
      <c r="L45" s="12">
        <f>'Indicadores Estrategicos'!L17</f>
        <v>4.3999999999999997E-2</v>
      </c>
      <c r="M45" s="12">
        <f>'Indicadores Estrategicos'!M17</f>
        <v>4.4048279369999679E-2</v>
      </c>
      <c r="N45" s="12">
        <f>'Indicadores Estrategicos'!N17</f>
        <v>4.4048279369999679E-2</v>
      </c>
      <c r="O45" s="12">
        <f>'Indicadores Estrategicos'!O17</f>
        <v>2.5181077338721443E-2</v>
      </c>
      <c r="P45" s="12">
        <f>'Indicadores Estrategicos'!P17</f>
        <v>5.2851422455256883E-2</v>
      </c>
      <c r="Q45" s="12">
        <f>'Indicadores Estrategicos'!Q17</f>
        <v>1.1702120881073363E-2</v>
      </c>
      <c r="R45" s="12">
        <f>'Indicadores Estrategicos'!R17</f>
        <v>-8.5388942514762742E-2</v>
      </c>
      <c r="S45" s="12">
        <f>'Indicadores Estrategicos'!S17</f>
        <v>-5.4429660192726839E-2</v>
      </c>
      <c r="T45" s="12">
        <f>'Indicadores Estrategicos'!T17</f>
        <v>0.47740579505946013</v>
      </c>
      <c r="U45" s="12">
        <f>'Indicadores Estrategicos'!U17</f>
        <v>0.67821948365567297</v>
      </c>
      <c r="V45" s="12">
        <f>'Indicadores Estrategicos'!V17</f>
        <v>8.9480706112173847E-2</v>
      </c>
      <c r="W45" s="12">
        <f>'Indicadores Estrategicos'!W17</f>
        <v>-0.59930363806333142</v>
      </c>
      <c r="X45" s="12">
        <f>'Indicadores Estrategicos'!X17</f>
        <v>-0.95337882674432872</v>
      </c>
      <c r="Y45" s="12">
        <f>'Indicadores Estrategicos'!Y17</f>
        <v>15.549147601990637</v>
      </c>
      <c r="Z45" s="12">
        <f>'Indicadores Estrategicos'!Z17</f>
        <v>0</v>
      </c>
      <c r="AA45" s="12">
        <f>'Indicadores Estrategicos'!AA17</f>
        <v>-1.0960557526922265E-3</v>
      </c>
      <c r="AB45" s="12">
        <f>'Indicadores Estrategicos'!AB17</f>
        <v>1.0972584090835902E-3</v>
      </c>
      <c r="AC45" s="355" t="str">
        <f>'Indicadores Estrategicos'!AE17</f>
        <v>Capex/Ingresos</v>
      </c>
      <c r="AD45" s="355"/>
      <c r="AE45" s="186"/>
    </row>
    <row r="46" spans="1:31" ht="31.5">
      <c r="A46" s="356" t="str">
        <f>'Indicadores Estrategicos'!A18</f>
        <v>INDICADORES ESTRATEGICOS</v>
      </c>
      <c r="B46" s="10" t="str">
        <f>UPPER('Indicadores Estrategicos'!B18)</f>
        <v>ENDEUDAMIENTO NETO</v>
      </c>
      <c r="C46" s="186"/>
      <c r="D46" s="11">
        <f>'Indicadores Estrategicos'!D18</f>
        <v>1391194</v>
      </c>
      <c r="E46" s="11">
        <f>'Indicadores Estrategicos'!E18</f>
        <v>1167166</v>
      </c>
      <c r="F46" s="11">
        <f>'Indicadores Estrategicos'!F18</f>
        <v>1053378</v>
      </c>
      <c r="G46" s="11">
        <f>'Indicadores Estrategicos'!G18</f>
        <v>971020</v>
      </c>
      <c r="H46" s="11">
        <f>'Indicadores Estrategicos'!H18</f>
        <v>915187</v>
      </c>
      <c r="I46" s="11">
        <f>'Indicadores Estrategicos'!I18</f>
        <v>847981</v>
      </c>
      <c r="J46" s="11">
        <f>'Indicadores Estrategicos'!J18</f>
        <v>881438.25862747245</v>
      </c>
      <c r="K46" s="11">
        <f>'Indicadores Estrategicos'!K18</f>
        <v>855053.8156313831</v>
      </c>
      <c r="L46" s="11">
        <f>'Indicadores Estrategicos'!L18</f>
        <v>819519.27997587703</v>
      </c>
      <c r="M46" s="11">
        <f>'Indicadores Estrategicos'!M18</f>
        <v>787685.01593594521</v>
      </c>
      <c r="N46" s="11">
        <f>'Indicadores Estrategicos'!N18</f>
        <v>762316.92458294379</v>
      </c>
      <c r="O46" s="11">
        <f>'Indicadores Estrategicos'!O18</f>
        <v>-224028</v>
      </c>
      <c r="P46" s="11">
        <f>'Indicadores Estrategicos'!P18</f>
        <v>-113788</v>
      </c>
      <c r="Q46" s="11">
        <f>'Indicadores Estrategicos'!Q18</f>
        <v>-82358</v>
      </c>
      <c r="R46" s="11">
        <f>'Indicadores Estrategicos'!R18</f>
        <v>-55833</v>
      </c>
      <c r="S46" s="11">
        <f>'Indicadores Estrategicos'!S18</f>
        <v>-67206</v>
      </c>
      <c r="T46" s="12">
        <f>'Indicadores Estrategicos'!T18</f>
        <v>-0.16103289692163714</v>
      </c>
      <c r="U46" s="12">
        <f>'Indicadores Estrategicos'!U18</f>
        <v>-9.7490845346763E-2</v>
      </c>
      <c r="V46" s="12">
        <f>'Indicadores Estrategicos'!V18</f>
        <v>-7.8184659258120015E-2</v>
      </c>
      <c r="W46" s="12">
        <f>'Indicadores Estrategicos'!W18</f>
        <v>-5.7499330600811471E-2</v>
      </c>
      <c r="X46" s="12">
        <f>'Indicadores Estrategicos'!X18</f>
        <v>-7.34341724696701E-2</v>
      </c>
      <c r="Y46" s="12">
        <f>'Indicadores Estrategicos'!Y18</f>
        <v>3.94551984389655E-2</v>
      </c>
      <c r="Z46" s="12">
        <f>'Indicadores Estrategicos'!Z18</f>
        <v>-2.9933398894182117E-2</v>
      </c>
      <c r="AA46" s="12">
        <f>'Indicadores Estrategicos'!AA18</f>
        <v>-4.1558244646001441E-2</v>
      </c>
      <c r="AB46" s="12">
        <f>'Indicadores Estrategicos'!AB18</f>
        <v>-3.8845045891865881E-2</v>
      </c>
      <c r="AC46" s="355" t="str">
        <f>'Indicadores Estrategicos'!AE18</f>
        <v>(Pasivo+Deuda a largo plazo+Cuentas por pagar a partes relacionadas+Cuentas por pagar a partes relacionadas  a largo plazo)-Efectivo y equivalente de efectivo</v>
      </c>
      <c r="AD46" s="185"/>
      <c r="AE46" s="186"/>
    </row>
  </sheetData>
  <mergeCells count="1">
    <mergeCell ref="D1:N1"/>
  </mergeCells>
  <conditionalFormatting sqref="D22">
    <cfRule type="iconSet" priority="59">
      <iconSet>
        <cfvo type="percent" val="0"/>
        <cfvo type="num" val="0"/>
        <cfvo type="num" val="0"/>
      </iconSet>
    </cfRule>
  </conditionalFormatting>
  <conditionalFormatting sqref="D4:H5 O4:R5">
    <cfRule type="iconSet" priority="55">
      <iconSet>
        <cfvo type="percent" val="0"/>
        <cfvo type="num" val="0"/>
        <cfvo type="num" val="0"/>
      </iconSet>
    </cfRule>
  </conditionalFormatting>
  <conditionalFormatting sqref="I30:N30">
    <cfRule type="iconSet" priority="52">
      <iconSet>
        <cfvo type="percent" val="0"/>
        <cfvo type="num" val="0"/>
        <cfvo type="num" val="0"/>
      </iconSet>
    </cfRule>
  </conditionalFormatting>
  <conditionalFormatting sqref="I29:N29">
    <cfRule type="iconSet" priority="51">
      <iconSet>
        <cfvo type="percent" val="0"/>
        <cfvo type="num" val="0"/>
        <cfvo type="num" val="0"/>
      </iconSet>
    </cfRule>
  </conditionalFormatting>
  <conditionalFormatting sqref="I24:N24 I26:N27">
    <cfRule type="iconSet" priority="50">
      <iconSet>
        <cfvo type="percent" val="0"/>
        <cfvo type="num" val="0"/>
        <cfvo type="num" val="0"/>
      </iconSet>
    </cfRule>
  </conditionalFormatting>
  <conditionalFormatting sqref="I28:N28 I23:N23 I25:N25">
    <cfRule type="iconSet" priority="49">
      <iconSet>
        <cfvo type="percent" val="0"/>
        <cfvo type="num" val="0"/>
        <cfvo type="num" val="0"/>
      </iconSet>
    </cfRule>
  </conditionalFormatting>
  <conditionalFormatting sqref="I18:N21">
    <cfRule type="iconSet" priority="48">
      <iconSet>
        <cfvo type="percent" val="0"/>
        <cfvo type="num" val="0"/>
        <cfvo type="num" val="0"/>
      </iconSet>
    </cfRule>
  </conditionalFormatting>
  <conditionalFormatting sqref="I16:N17">
    <cfRule type="iconSet" priority="47">
      <iconSet>
        <cfvo type="percent" val="0"/>
        <cfvo type="num" val="0"/>
        <cfvo type="num" val="0"/>
      </iconSet>
    </cfRule>
  </conditionalFormatting>
  <conditionalFormatting sqref="I22:N22">
    <cfRule type="iconSet" priority="46">
      <iconSet>
        <cfvo type="percent" val="0"/>
        <cfvo type="num" val="0"/>
        <cfvo type="num" val="0"/>
      </iconSet>
    </cfRule>
  </conditionalFormatting>
  <conditionalFormatting sqref="I7:N15">
    <cfRule type="iconSet" priority="45">
      <iconSet>
        <cfvo type="percent" val="0"/>
        <cfvo type="num" val="0"/>
        <cfvo type="num" val="0"/>
      </iconSet>
    </cfRule>
  </conditionalFormatting>
  <conditionalFormatting sqref="I3:N3">
    <cfRule type="iconSet" priority="44">
      <iconSet>
        <cfvo type="percent" val="0"/>
        <cfvo type="num" val="0"/>
        <cfvo type="num" val="0"/>
      </iconSet>
    </cfRule>
  </conditionalFormatting>
  <conditionalFormatting sqref="I4:N5">
    <cfRule type="iconSet" priority="43">
      <iconSet>
        <cfvo type="percent" val="0"/>
        <cfvo type="num" val="0"/>
        <cfvo type="num" val="0"/>
      </iconSet>
    </cfRule>
  </conditionalFormatting>
  <conditionalFormatting sqref="E6:N6">
    <cfRule type="iconSet" priority="42">
      <iconSet>
        <cfvo type="percent" val="0"/>
        <cfvo type="num" val="0"/>
        <cfvo type="num" val="0"/>
      </iconSet>
    </cfRule>
  </conditionalFormatting>
  <conditionalFormatting sqref="D6">
    <cfRule type="iconSet" priority="40">
      <iconSet>
        <cfvo type="percent" val="0"/>
        <cfvo type="num" val="0"/>
        <cfvo type="num" val="0"/>
      </iconSet>
    </cfRule>
  </conditionalFormatting>
  <conditionalFormatting sqref="D30:H30 S3:AB30 O30:AB30">
    <cfRule type="iconSet" priority="116">
      <iconSet>
        <cfvo type="percent" val="0"/>
        <cfvo type="num" val="0"/>
        <cfvo type="num" val="0"/>
      </iconSet>
    </cfRule>
  </conditionalFormatting>
  <conditionalFormatting sqref="D29:H29 O29:AB29">
    <cfRule type="iconSet" priority="119">
      <iconSet>
        <cfvo type="percent" val="0"/>
        <cfvo type="num" val="0"/>
        <cfvo type="num" val="0"/>
      </iconSet>
    </cfRule>
  </conditionalFormatting>
  <conditionalFormatting sqref="D24:H24 D26:H27 O26:AB27 O24:AB24">
    <cfRule type="iconSet" priority="121">
      <iconSet>
        <cfvo type="percent" val="0"/>
        <cfvo type="num" val="0"/>
        <cfvo type="num" val="0"/>
      </iconSet>
    </cfRule>
  </conditionalFormatting>
  <conditionalFormatting sqref="D28:H28 D23:H23 D25:H25 O28:AB28 O25:AB25 O23:AB23">
    <cfRule type="iconSet" priority="127">
      <iconSet>
        <cfvo type="percent" val="0"/>
        <cfvo type="num" val="0"/>
        <cfvo type="num" val="0"/>
      </iconSet>
    </cfRule>
  </conditionalFormatting>
  <conditionalFormatting sqref="D18:H21 O18:AB21">
    <cfRule type="iconSet" priority="135">
      <iconSet>
        <cfvo type="percent" val="0"/>
        <cfvo type="num" val="0"/>
        <cfvo type="num" val="0"/>
      </iconSet>
    </cfRule>
  </conditionalFormatting>
  <conditionalFormatting sqref="D16:H17 O16:AB17">
    <cfRule type="iconSet" priority="137">
      <iconSet>
        <cfvo type="percent" val="0"/>
        <cfvo type="num" val="0"/>
        <cfvo type="num" val="0"/>
      </iconSet>
    </cfRule>
  </conditionalFormatting>
  <conditionalFormatting sqref="E22:H22 O22:AB22">
    <cfRule type="iconSet" priority="139">
      <iconSet>
        <cfvo type="percent" val="0"/>
        <cfvo type="num" val="0"/>
        <cfvo type="num" val="0"/>
      </iconSet>
    </cfRule>
  </conditionalFormatting>
  <conditionalFormatting sqref="D7:H15 O6:AB15">
    <cfRule type="iconSet" priority="141">
      <iconSet>
        <cfvo type="percent" val="0"/>
        <cfvo type="num" val="0"/>
        <cfvo type="num" val="0"/>
      </iconSet>
    </cfRule>
  </conditionalFormatting>
  <conditionalFormatting sqref="D3:H3 O3:AB3">
    <cfRule type="iconSet" priority="143">
      <iconSet>
        <cfvo type="percent" val="0"/>
        <cfvo type="num" val="0"/>
        <cfvo type="num" val="0"/>
      </iconSet>
    </cfRule>
  </conditionalFormatting>
  <conditionalFormatting sqref="D40:H40 D41:D43">
    <cfRule type="iconSet" priority="34">
      <iconSet>
        <cfvo type="percent" val="0"/>
        <cfvo type="num" val="0"/>
        <cfvo type="num" val="0"/>
      </iconSet>
    </cfRule>
  </conditionalFormatting>
  <conditionalFormatting sqref="O40:W43">
    <cfRule type="iconSet" priority="33">
      <iconSet>
        <cfvo type="percent" val="0"/>
        <cfvo type="num" val="0"/>
        <cfvo type="num" val="0"/>
      </iconSet>
    </cfRule>
  </conditionalFormatting>
  <conditionalFormatting sqref="T31:W39">
    <cfRule type="iconSet" priority="32">
      <iconSet>
        <cfvo type="percent" val="0"/>
        <cfvo type="num" val="0"/>
        <cfvo type="num" val="0"/>
      </iconSet>
    </cfRule>
  </conditionalFormatting>
  <conditionalFormatting sqref="O34:S34 D34:H34">
    <cfRule type="iconSet" priority="31">
      <iconSet>
        <cfvo type="percent" val="0"/>
        <cfvo type="num" val="0"/>
        <cfvo type="num" val="0"/>
      </iconSet>
    </cfRule>
  </conditionalFormatting>
  <conditionalFormatting sqref="D35:S35">
    <cfRule type="iconSet" priority="30">
      <iconSet>
        <cfvo type="percent" val="0"/>
        <cfvo type="num" val="0"/>
        <cfvo type="num" val="0"/>
      </iconSet>
    </cfRule>
  </conditionalFormatting>
  <conditionalFormatting sqref="O36:S37 D37:H37 D36">
    <cfRule type="iconSet" priority="29">
      <iconSet>
        <cfvo type="percent" val="0"/>
        <cfvo type="num" val="0"/>
        <cfvo type="num" val="0"/>
      </iconSet>
    </cfRule>
  </conditionalFormatting>
  <conditionalFormatting sqref="D32:N32 P32:S32">
    <cfRule type="iconSet" priority="35">
      <iconSet>
        <cfvo type="percent" val="0"/>
        <cfvo type="num" val="0"/>
        <cfvo type="num" val="0"/>
      </iconSet>
    </cfRule>
  </conditionalFormatting>
  <conditionalFormatting sqref="I43:N43 I40:L42 N40:N42">
    <cfRule type="iconSet" priority="36">
      <iconSet>
        <cfvo type="percent" val="0"/>
        <cfvo type="num" val="0"/>
        <cfvo type="num" val="0"/>
      </iconSet>
    </cfRule>
  </conditionalFormatting>
  <conditionalFormatting sqref="I34:N34">
    <cfRule type="iconSet" priority="37">
      <iconSet>
        <cfvo type="percent" val="0"/>
        <cfvo type="num" val="0"/>
        <cfvo type="num" val="0"/>
      </iconSet>
    </cfRule>
  </conditionalFormatting>
  <conditionalFormatting sqref="I35:N35">
    <cfRule type="iconSet" priority="38">
      <iconSet>
        <cfvo type="percent" val="0"/>
        <cfvo type="num" val="0"/>
        <cfvo type="num" val="0"/>
      </iconSet>
    </cfRule>
  </conditionalFormatting>
  <conditionalFormatting sqref="I37:N37">
    <cfRule type="iconSet" priority="39">
      <iconSet>
        <cfvo type="percent" val="0"/>
        <cfvo type="num" val="0"/>
        <cfvo type="num" val="0"/>
      </iconSet>
    </cfRule>
  </conditionalFormatting>
  <conditionalFormatting sqref="O32">
    <cfRule type="iconSet" priority="28">
      <iconSet>
        <cfvo type="percent" val="0"/>
        <cfvo type="num" val="0"/>
        <cfvo type="num" val="0"/>
      </iconSet>
    </cfRule>
  </conditionalFormatting>
  <conditionalFormatting sqref="X40:X43">
    <cfRule type="iconSet" priority="27">
      <iconSet>
        <cfvo type="percent" val="0"/>
        <cfvo type="num" val="0"/>
        <cfvo type="num" val="0"/>
      </iconSet>
    </cfRule>
  </conditionalFormatting>
  <conditionalFormatting sqref="X31:X39">
    <cfRule type="iconSet" priority="26">
      <iconSet>
        <cfvo type="percent" val="0"/>
        <cfvo type="num" val="0"/>
        <cfvo type="num" val="0"/>
      </iconSet>
    </cfRule>
  </conditionalFormatting>
  <conditionalFormatting sqref="Y40:Y43">
    <cfRule type="iconSet" priority="25">
      <iconSet>
        <cfvo type="percent" val="0"/>
        <cfvo type="num" val="0"/>
        <cfvo type="num" val="0"/>
      </iconSet>
    </cfRule>
  </conditionalFormatting>
  <conditionalFormatting sqref="Y31:Y39">
    <cfRule type="iconSet" priority="24">
      <iconSet>
        <cfvo type="percent" val="0"/>
        <cfvo type="num" val="0"/>
        <cfvo type="num" val="0"/>
      </iconSet>
    </cfRule>
  </conditionalFormatting>
  <conditionalFormatting sqref="Z40:Z43">
    <cfRule type="iconSet" priority="23">
      <iconSet>
        <cfvo type="percent" val="0"/>
        <cfvo type="num" val="0"/>
        <cfvo type="num" val="0"/>
      </iconSet>
    </cfRule>
  </conditionalFormatting>
  <conditionalFormatting sqref="Z31:Z39">
    <cfRule type="iconSet" priority="22">
      <iconSet>
        <cfvo type="percent" val="0"/>
        <cfvo type="num" val="0"/>
        <cfvo type="num" val="0"/>
      </iconSet>
    </cfRule>
  </conditionalFormatting>
  <conditionalFormatting sqref="AA40:AA43">
    <cfRule type="iconSet" priority="21">
      <iconSet>
        <cfvo type="percent" val="0"/>
        <cfvo type="num" val="0"/>
        <cfvo type="num" val="0"/>
      </iconSet>
    </cfRule>
  </conditionalFormatting>
  <conditionalFormatting sqref="AA31:AA39">
    <cfRule type="iconSet" priority="20">
      <iconSet>
        <cfvo type="percent" val="0"/>
        <cfvo type="num" val="0"/>
        <cfvo type="num" val="0"/>
      </iconSet>
    </cfRule>
  </conditionalFormatting>
  <conditionalFormatting sqref="AB40:AB43">
    <cfRule type="iconSet" priority="19">
      <iconSet>
        <cfvo type="percent" val="0"/>
        <cfvo type="num" val="0"/>
        <cfvo type="num" val="0"/>
      </iconSet>
    </cfRule>
  </conditionalFormatting>
  <conditionalFormatting sqref="AB31:AB39">
    <cfRule type="iconSet" priority="18">
      <iconSet>
        <cfvo type="percent" val="0"/>
        <cfvo type="num" val="0"/>
        <cfvo type="num" val="0"/>
      </iconSet>
    </cfRule>
  </conditionalFormatting>
  <conditionalFormatting sqref="E41:H41">
    <cfRule type="iconSet" priority="15">
      <iconSet>
        <cfvo type="percent" val="0"/>
        <cfvo type="num" val="0"/>
        <cfvo type="num" val="0"/>
      </iconSet>
    </cfRule>
  </conditionalFormatting>
  <conditionalFormatting sqref="E42:H42">
    <cfRule type="iconSet" priority="14">
      <iconSet>
        <cfvo type="percent" val="0"/>
        <cfvo type="num" val="0"/>
        <cfvo type="num" val="0"/>
      </iconSet>
    </cfRule>
  </conditionalFormatting>
  <conditionalFormatting sqref="E43:H43">
    <cfRule type="iconSet" priority="13">
      <iconSet>
        <cfvo type="percent" val="0"/>
        <cfvo type="num" val="0"/>
        <cfvo type="num" val="0"/>
      </iconSet>
    </cfRule>
  </conditionalFormatting>
  <conditionalFormatting sqref="D45:N45">
    <cfRule type="iconSet" priority="12">
      <iconSet>
        <cfvo type="percent" val="0"/>
        <cfvo type="num" val="0"/>
        <cfvo type="num" val="0"/>
      </iconSet>
    </cfRule>
  </conditionalFormatting>
  <conditionalFormatting sqref="O45:AB45">
    <cfRule type="iconSet" priority="11">
      <iconSet>
        <cfvo type="percent" val="0"/>
        <cfvo type="num" val="0"/>
        <cfvo type="num" val="0"/>
      </iconSet>
    </cfRule>
  </conditionalFormatting>
  <conditionalFormatting sqref="T44:AB44">
    <cfRule type="iconSet" priority="10">
      <iconSet>
        <cfvo type="percent" val="0"/>
        <cfvo type="num" val="0"/>
        <cfvo type="num" val="0"/>
      </iconSet>
    </cfRule>
  </conditionalFormatting>
  <conditionalFormatting sqref="O44:S44">
    <cfRule type="iconSet" priority="9">
      <iconSet>
        <cfvo type="percent" val="0"/>
        <cfvo type="num" val="0"/>
        <cfvo type="num" val="0"/>
      </iconSet>
    </cfRule>
  </conditionalFormatting>
  <conditionalFormatting sqref="M40:M42">
    <cfRule type="iconSet" priority="8">
      <iconSet>
        <cfvo type="percent" val="0"/>
        <cfvo type="num" val="0"/>
        <cfvo type="num" val="0"/>
      </iconSet>
    </cfRule>
  </conditionalFormatting>
  <conditionalFormatting sqref="T46:W46">
    <cfRule type="iconSet" priority="7">
      <iconSet>
        <cfvo type="percent" val="0"/>
        <cfvo type="num" val="0"/>
        <cfvo type="num" val="0"/>
      </iconSet>
    </cfRule>
  </conditionalFormatting>
  <conditionalFormatting sqref="X46">
    <cfRule type="iconSet" priority="6">
      <iconSet>
        <cfvo type="percent" val="0"/>
        <cfvo type="num" val="0"/>
        <cfvo type="num" val="0"/>
      </iconSet>
    </cfRule>
  </conditionalFormatting>
  <conditionalFormatting sqref="Y46">
    <cfRule type="iconSet" priority="5">
      <iconSet>
        <cfvo type="percent" val="0"/>
        <cfvo type="num" val="0"/>
        <cfvo type="num" val="0"/>
      </iconSet>
    </cfRule>
  </conditionalFormatting>
  <conditionalFormatting sqref="Z46">
    <cfRule type="iconSet" priority="4">
      <iconSet>
        <cfvo type="percent" val="0"/>
        <cfvo type="num" val="0"/>
        <cfvo type="num" val="0"/>
      </iconSet>
    </cfRule>
  </conditionalFormatting>
  <conditionalFormatting sqref="AA46">
    <cfRule type="iconSet" priority="3">
      <iconSet>
        <cfvo type="percent" val="0"/>
        <cfvo type="num" val="0"/>
        <cfvo type="num" val="0"/>
      </iconSet>
    </cfRule>
  </conditionalFormatting>
  <conditionalFormatting sqref="AB46">
    <cfRule type="iconSet" priority="2">
      <iconSet>
        <cfvo type="percent" val="0"/>
        <cfvo type="num" val="0"/>
        <cfvo type="num" val="0"/>
      </iconSet>
    </cfRule>
  </conditionalFormatting>
  <conditionalFormatting sqref="E36:N36">
    <cfRule type="iconSet" priority="1">
      <iconSet>
        <cfvo type="percent" val="0"/>
        <cfvo type="num" val="0"/>
        <cfvo type="num" val="0"/>
      </iconSet>
    </cfRule>
  </conditionalFormatting>
  <pageMargins left="0.7" right="0.7" top="0.75" bottom="0.75" header="0.3" footer="0.3"/>
  <pageSetup orientation="portrait"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Indicadores!D3:H3</xm:f>
              <xm:sqref>C3</xm:sqref>
            </x14:sparkline>
            <x14:sparkline>
              <xm:f>Indicadores!D4:H4</xm:f>
              <xm:sqref>C4</xm:sqref>
            </x14:sparkline>
            <x14:sparkline>
              <xm:f>Indicadores!D5:N5</xm:f>
              <xm:sqref>C5</xm:sqref>
            </x14:sparkline>
            <x14:sparkline>
              <xm:f>Indicadores!D6:H6</xm:f>
              <xm:sqref>C6</xm:sqref>
            </x14:sparkline>
            <x14:sparkline>
              <xm:f>Indicadores!D7:H7</xm:f>
              <xm:sqref>C7</xm:sqref>
            </x14:sparkline>
            <x14:sparkline>
              <xm:f>Indicadores!D8:H8</xm:f>
              <xm:sqref>C8</xm:sqref>
            </x14:sparkline>
            <x14:sparkline>
              <xm:f>Indicadores!D9:H9</xm:f>
              <xm:sqref>C9</xm:sqref>
            </x14:sparkline>
            <x14:sparkline>
              <xm:f>Indicadores!D10:H10</xm:f>
              <xm:sqref>C10</xm:sqref>
            </x14:sparkline>
            <x14:sparkline>
              <xm:f>Indicadores!D11:H11</xm:f>
              <xm:sqref>C11</xm:sqref>
            </x14:sparkline>
            <x14:sparkline>
              <xm:f>Indicadores!D12:H12</xm:f>
              <xm:sqref>C12</xm:sqref>
            </x14:sparkline>
            <x14:sparkline>
              <xm:f>Indicadores!D13:H13</xm:f>
              <xm:sqref>C13</xm:sqref>
            </x14:sparkline>
            <x14:sparkline>
              <xm:f>Indicadores!D14:H14</xm:f>
              <xm:sqref>C14</xm:sqref>
            </x14:sparkline>
            <x14:sparkline>
              <xm:f>Indicadores!D15:H15</xm:f>
              <xm:sqref>C15</xm:sqref>
            </x14:sparkline>
            <x14:sparkline>
              <xm:f>Indicadores!D16:H16</xm:f>
              <xm:sqref>C16</xm:sqref>
            </x14:sparkline>
            <x14:sparkline>
              <xm:f>Indicadores!D17:H17</xm:f>
              <xm:sqref>C17</xm:sqref>
            </x14:sparkline>
            <x14:sparkline>
              <xm:f>Indicadores!D18:H18</xm:f>
              <xm:sqref>C18</xm:sqref>
            </x14:sparkline>
            <x14:sparkline>
              <xm:f>Indicadores!D19:H19</xm:f>
              <xm:sqref>C19</xm:sqref>
            </x14:sparkline>
            <x14:sparkline>
              <xm:f>Indicadores!D20:H20</xm:f>
              <xm:sqref>C20</xm:sqref>
            </x14:sparkline>
            <x14:sparkline>
              <xm:f>Indicadores!D21:H21</xm:f>
              <xm:sqref>C21</xm:sqref>
            </x14:sparkline>
            <x14:sparkline>
              <xm:f>Indicadores!D22:H22</xm:f>
              <xm:sqref>C22</xm:sqref>
            </x14:sparkline>
            <x14:sparkline>
              <xm:f>Indicadores!D23:H23</xm:f>
              <xm:sqref>C23</xm:sqref>
            </x14:sparkline>
            <x14:sparkline>
              <xm:f>Indicadores!D24:H24</xm:f>
              <xm:sqref>C24</xm:sqref>
            </x14:sparkline>
            <x14:sparkline>
              <xm:f>Indicadores!D25:H25</xm:f>
              <xm:sqref>C25</xm:sqref>
            </x14:sparkline>
            <x14:sparkline>
              <xm:f>Indicadores!D26:H26</xm:f>
              <xm:sqref>C26</xm:sqref>
            </x14:sparkline>
            <x14:sparkline>
              <xm:f>Indicadores!D27:H27</xm:f>
              <xm:sqref>C27</xm:sqref>
            </x14:sparkline>
            <x14:sparkline>
              <xm:f>Indicadores!D28:H28</xm:f>
              <xm:sqref>C28</xm:sqref>
            </x14:sparkline>
            <x14:sparkline>
              <xm:f>Indicadores!D29:H29</xm:f>
              <xm:sqref>C29</xm:sqref>
            </x14:sparkline>
            <x14:sparkline>
              <xm:f>Indicadores!D30:H30</xm:f>
              <xm:sqref>C30</xm:sqref>
            </x14:sparkline>
            <x14:sparkline>
              <xm:f>Indicadores!D31:H31</xm:f>
              <xm:sqref>C31</xm:sqref>
            </x14:sparkline>
            <x14:sparkline>
              <xm:f>Indicadores!D32:H32</xm:f>
              <xm:sqref>C32</xm:sqref>
            </x14:sparkline>
            <x14:sparkline>
              <xm:f>Indicadores!D33:H33</xm:f>
              <xm:sqref>C33</xm:sqref>
            </x14:sparkline>
            <x14:sparkline>
              <xm:f>Indicadores!D34:H34</xm:f>
              <xm:sqref>C34</xm:sqref>
            </x14:sparkline>
            <x14:sparkline>
              <xm:f>Indicadores!D35:H35</xm:f>
              <xm:sqref>C35</xm:sqref>
            </x14:sparkline>
            <x14:sparkline>
              <xm:f>Indicadores!D36:H36</xm:f>
              <xm:sqref>C36</xm:sqref>
            </x14:sparkline>
            <x14:sparkline>
              <xm:f>Indicadores!D37:H37</xm:f>
              <xm:sqref>C37</xm:sqref>
            </x14:sparkline>
            <x14:sparkline>
              <xm:f>Indicadores!D38:H38</xm:f>
              <xm:sqref>C38</xm:sqref>
            </x14:sparkline>
            <x14:sparkline>
              <xm:f>Indicadores!D39:H39</xm:f>
              <xm:sqref>C39</xm:sqref>
            </x14:sparkline>
            <x14:sparkline>
              <xm:f>Indicadores!D40:H40</xm:f>
              <xm:sqref>C40</xm:sqref>
            </x14:sparkline>
            <x14:sparkline>
              <xm:f>Indicadores!D41:H41</xm:f>
              <xm:sqref>C41</xm:sqref>
            </x14:sparkline>
            <x14:sparkline>
              <xm:f>Indicadores!D42:H42</xm:f>
              <xm:sqref>C42</xm:sqref>
            </x14:sparkline>
            <x14:sparkline>
              <xm:f>Indicadores!D43:H43</xm:f>
              <xm:sqref>C43</xm:sqref>
            </x14:sparkline>
            <x14:sparkline>
              <xm:f>Indicadores!D44:H44</xm:f>
              <xm:sqref>C44</xm:sqref>
            </x14:sparkline>
            <x14:sparkline>
              <xm:f>Indicadores!D45:H45</xm:f>
              <xm:sqref>C45</xm:sqref>
            </x14:sparkline>
            <x14:sparkline>
              <xm:f>Indicadores!D46:H46</xm:f>
              <xm:sqref>C46</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Indicadores!S3:AB3</xm:f>
              <xm:sqref>AE3</xm:sqref>
            </x14:sparkline>
            <x14:sparkline>
              <xm:f>Indicadores!S4:V4</xm:f>
              <xm:sqref>AE4</xm:sqref>
            </x14:sparkline>
            <x14:sparkline>
              <xm:f>Indicadores!S5:V5</xm:f>
              <xm:sqref>AE5</xm:sqref>
            </x14:sparkline>
            <x14:sparkline>
              <xm:f>Indicadores!S6:V6</xm:f>
              <xm:sqref>AE6</xm:sqref>
            </x14:sparkline>
            <x14:sparkline>
              <xm:f>Indicadores!S7:V7</xm:f>
              <xm:sqref>AE7</xm:sqref>
            </x14:sparkline>
            <x14:sparkline>
              <xm:f>Indicadores!S8:V8</xm:f>
              <xm:sqref>AE8</xm:sqref>
            </x14:sparkline>
            <x14:sparkline>
              <xm:f>Indicadores!S9:V9</xm:f>
              <xm:sqref>AE9</xm:sqref>
            </x14:sparkline>
            <x14:sparkline>
              <xm:f>Indicadores!S10:V10</xm:f>
              <xm:sqref>AE10</xm:sqref>
            </x14:sparkline>
            <x14:sparkline>
              <xm:f>Indicadores!S11:V11</xm:f>
              <xm:sqref>AE11</xm:sqref>
            </x14:sparkline>
            <x14:sparkline>
              <xm:f>Indicadores!S12:V12</xm:f>
              <xm:sqref>AE12</xm:sqref>
            </x14:sparkline>
            <x14:sparkline>
              <xm:f>Indicadores!S13:V13</xm:f>
              <xm:sqref>AE13</xm:sqref>
            </x14:sparkline>
            <x14:sparkline>
              <xm:f>Indicadores!S14:V14</xm:f>
              <xm:sqref>AE14</xm:sqref>
            </x14:sparkline>
            <x14:sparkline>
              <xm:f>Indicadores!S15:V15</xm:f>
              <xm:sqref>AE15</xm:sqref>
            </x14:sparkline>
            <x14:sparkline>
              <xm:f>Indicadores!S16:V16</xm:f>
              <xm:sqref>AE16</xm:sqref>
            </x14:sparkline>
            <x14:sparkline>
              <xm:f>Indicadores!S17:V17</xm:f>
              <xm:sqref>AE17</xm:sqref>
            </x14:sparkline>
            <x14:sparkline>
              <xm:f>Indicadores!S18:V18</xm:f>
              <xm:sqref>AE18</xm:sqref>
            </x14:sparkline>
            <x14:sparkline>
              <xm:f>Indicadores!S19:V19</xm:f>
              <xm:sqref>AE19</xm:sqref>
            </x14:sparkline>
            <x14:sparkline>
              <xm:f>Indicadores!S20:V20</xm:f>
              <xm:sqref>AE20</xm:sqref>
            </x14:sparkline>
            <x14:sparkline>
              <xm:f>Indicadores!S21:V21</xm:f>
              <xm:sqref>AE21</xm:sqref>
            </x14:sparkline>
            <x14:sparkline>
              <xm:f>Indicadores!S22:V22</xm:f>
              <xm:sqref>AE22</xm:sqref>
            </x14:sparkline>
            <x14:sparkline>
              <xm:f>Indicadores!S23:V23</xm:f>
              <xm:sqref>AE23</xm:sqref>
            </x14:sparkline>
            <x14:sparkline>
              <xm:f>Indicadores!S24:V24</xm:f>
              <xm:sqref>AE24</xm:sqref>
            </x14:sparkline>
            <x14:sparkline>
              <xm:f>Indicadores!S25:V25</xm:f>
              <xm:sqref>AE25</xm:sqref>
            </x14:sparkline>
            <x14:sparkline>
              <xm:f>Indicadores!S26:V26</xm:f>
              <xm:sqref>AE26</xm:sqref>
            </x14:sparkline>
            <x14:sparkline>
              <xm:f>Indicadores!S27:V27</xm:f>
              <xm:sqref>AE27</xm:sqref>
            </x14:sparkline>
            <x14:sparkline>
              <xm:f>Indicadores!S28:V28</xm:f>
              <xm:sqref>AE28</xm:sqref>
            </x14:sparkline>
            <x14:sparkline>
              <xm:f>Indicadores!S29:V29</xm:f>
              <xm:sqref>AE29</xm:sqref>
            </x14:sparkline>
            <x14:sparkline>
              <xm:f>Indicadores!S30:V30</xm:f>
              <xm:sqref>AE30</xm:sqref>
            </x14:sparkline>
            <x14:sparkline>
              <xm:f>Indicadores!S31:V31</xm:f>
              <xm:sqref>AE31</xm:sqref>
            </x14:sparkline>
            <x14:sparkline>
              <xm:f>Indicadores!S32:V32</xm:f>
              <xm:sqref>AE32</xm:sqref>
            </x14:sparkline>
            <x14:sparkline>
              <xm:f>Indicadores!S33:V33</xm:f>
              <xm:sqref>AE33</xm:sqref>
            </x14:sparkline>
            <x14:sparkline>
              <xm:f>Indicadores!S34:V34</xm:f>
              <xm:sqref>AE34</xm:sqref>
            </x14:sparkline>
            <x14:sparkline>
              <xm:f>Indicadores!S35:V35</xm:f>
              <xm:sqref>AE35</xm:sqref>
            </x14:sparkline>
            <x14:sparkline>
              <xm:f>Indicadores!S36:V36</xm:f>
              <xm:sqref>AE36</xm:sqref>
            </x14:sparkline>
            <x14:sparkline>
              <xm:f>Indicadores!S37:V37</xm:f>
              <xm:sqref>AE37</xm:sqref>
            </x14:sparkline>
            <x14:sparkline>
              <xm:f>Indicadores!S38:V38</xm:f>
              <xm:sqref>AE38</xm:sqref>
            </x14:sparkline>
            <x14:sparkline>
              <xm:f>Indicadores!S39:V39</xm:f>
              <xm:sqref>AE39</xm:sqref>
            </x14:sparkline>
            <x14:sparkline>
              <xm:f>Indicadores!S40:V40</xm:f>
              <xm:sqref>AE40</xm:sqref>
            </x14:sparkline>
            <x14:sparkline>
              <xm:f>Indicadores!S41:V41</xm:f>
              <xm:sqref>AE41</xm:sqref>
            </x14:sparkline>
            <x14:sparkline>
              <xm:f>Indicadores!S42:V42</xm:f>
              <xm:sqref>AE42</xm:sqref>
            </x14:sparkline>
            <x14:sparkline>
              <xm:f>Indicadores!S43:V43</xm:f>
              <xm:sqref>AE43</xm:sqref>
            </x14:sparkline>
            <x14:sparkline>
              <xm:f>Indicadores!S44:V44</xm:f>
              <xm:sqref>AE44</xm:sqref>
            </x14:sparkline>
            <x14:sparkline>
              <xm:f>Indicadores!S45:V45</xm:f>
              <xm:sqref>AE45</xm:sqref>
            </x14:sparkline>
            <x14:sparkline>
              <xm:f>Indicadores!S46:V46</xm:f>
              <xm:sqref>AE46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31"/>
  <sheetViews>
    <sheetView topLeftCell="A59" workbookViewId="0">
      <selection activeCell="D126" sqref="D126"/>
    </sheetView>
  </sheetViews>
  <sheetFormatPr baseColWidth="10" defaultColWidth="9" defaultRowHeight="15.75"/>
  <cols>
    <col min="1" max="1" width="25.5" bestFit="1" customWidth="1"/>
    <col min="2" max="2" width="24" bestFit="1" customWidth="1"/>
    <col min="3" max="3" width="19" bestFit="1" customWidth="1"/>
    <col min="4" max="4" width="12.5" bestFit="1" customWidth="1"/>
    <col min="5" max="5" width="16.875" bestFit="1" customWidth="1"/>
    <col min="8" max="8" width="21.25" customWidth="1"/>
    <col min="9" max="9" width="21.5" customWidth="1"/>
    <col min="10" max="13" width="17.625" customWidth="1"/>
    <col min="14" max="16" width="19.375" bestFit="1" customWidth="1"/>
    <col min="17" max="17" width="12.5" bestFit="1" customWidth="1"/>
  </cols>
  <sheetData>
    <row r="1" spans="1:13">
      <c r="A1" t="s">
        <v>69</v>
      </c>
      <c r="B1" t="s">
        <v>95</v>
      </c>
      <c r="C1" t="s">
        <v>615</v>
      </c>
      <c r="D1" t="s">
        <v>188</v>
      </c>
      <c r="E1" t="s">
        <v>614</v>
      </c>
      <c r="H1" s="84" t="s">
        <v>614</v>
      </c>
      <c r="I1" t="s">
        <v>613</v>
      </c>
    </row>
    <row r="2" spans="1:13">
      <c r="A2" t="s">
        <v>107</v>
      </c>
      <c r="B2" t="s">
        <v>39</v>
      </c>
      <c r="C2" t="s">
        <v>109</v>
      </c>
      <c r="D2">
        <v>-55742</v>
      </c>
      <c r="E2" t="s">
        <v>612</v>
      </c>
      <c r="H2" s="84" t="s">
        <v>95</v>
      </c>
      <c r="I2" t="s">
        <v>97</v>
      </c>
    </row>
    <row r="3" spans="1:13">
      <c r="A3" t="s">
        <v>107</v>
      </c>
      <c r="B3" t="s">
        <v>39</v>
      </c>
      <c r="C3" t="s">
        <v>111</v>
      </c>
      <c r="D3">
        <v>-127168</v>
      </c>
      <c r="E3" t="s">
        <v>612</v>
      </c>
    </row>
    <row r="4" spans="1:13">
      <c r="A4" t="s">
        <v>107</v>
      </c>
      <c r="B4" t="s">
        <v>39</v>
      </c>
      <c r="C4" t="s">
        <v>110</v>
      </c>
      <c r="D4">
        <v>-26122</v>
      </c>
      <c r="E4" t="s">
        <v>612</v>
      </c>
      <c r="I4" s="84" t="s">
        <v>964</v>
      </c>
    </row>
    <row r="5" spans="1:13">
      <c r="A5" t="s">
        <v>107</v>
      </c>
      <c r="B5" t="s">
        <v>39</v>
      </c>
      <c r="C5" t="s">
        <v>147</v>
      </c>
      <c r="D5">
        <v>-113323</v>
      </c>
      <c r="E5" t="s">
        <v>612</v>
      </c>
      <c r="I5" t="s">
        <v>148</v>
      </c>
      <c r="J5" t="s">
        <v>149</v>
      </c>
      <c r="K5" t="s">
        <v>150</v>
      </c>
      <c r="L5" t="s">
        <v>151</v>
      </c>
      <c r="M5" t="s">
        <v>914</v>
      </c>
    </row>
    <row r="6" spans="1:13">
      <c r="A6" t="s">
        <v>107</v>
      </c>
      <c r="B6" t="s">
        <v>39</v>
      </c>
      <c r="C6" t="s">
        <v>914</v>
      </c>
      <c r="D6">
        <v>-71601</v>
      </c>
      <c r="E6" t="s">
        <v>612</v>
      </c>
      <c r="H6" t="s">
        <v>616</v>
      </c>
      <c r="I6" s="353">
        <v>-0.59464662544889113</v>
      </c>
      <c r="J6" s="353">
        <v>-2.4419125034249705</v>
      </c>
      <c r="K6" s="353">
        <v>0.9644022169437847</v>
      </c>
      <c r="L6" s="353">
        <v>-2.5586044561957899E-2</v>
      </c>
      <c r="M6" s="353">
        <v>-0.46703287612303312</v>
      </c>
    </row>
    <row r="7" spans="1:13">
      <c r="A7" t="s">
        <v>107</v>
      </c>
      <c r="B7" t="s">
        <v>39</v>
      </c>
      <c r="C7" t="s">
        <v>148</v>
      </c>
      <c r="D7">
        <v>-8.8104292519780913E-2</v>
      </c>
      <c r="E7" t="s">
        <v>613</v>
      </c>
    </row>
    <row r="8" spans="1:13">
      <c r="A8" t="s">
        <v>107</v>
      </c>
      <c r="B8" t="s">
        <v>39</v>
      </c>
      <c r="C8" t="s">
        <v>149</v>
      </c>
      <c r="D8">
        <v>-0.22041806773667971</v>
      </c>
      <c r="E8" t="s">
        <v>613</v>
      </c>
    </row>
    <row r="9" spans="1:13">
      <c r="A9" t="s">
        <v>107</v>
      </c>
      <c r="B9" t="s">
        <v>39</v>
      </c>
      <c r="C9" t="s">
        <v>150</v>
      </c>
      <c r="D9">
        <v>-5.8078315235274736E-2</v>
      </c>
      <c r="E9" t="s">
        <v>613</v>
      </c>
    </row>
    <row r="10" spans="1:13">
      <c r="A10" t="s">
        <v>107</v>
      </c>
      <c r="B10" t="s">
        <v>39</v>
      </c>
      <c r="C10" t="s">
        <v>151</v>
      </c>
      <c r="D10">
        <v>-0.26749203351823436</v>
      </c>
      <c r="E10" t="s">
        <v>613</v>
      </c>
    </row>
    <row r="11" spans="1:13">
      <c r="A11" t="s">
        <v>107</v>
      </c>
      <c r="B11" t="s">
        <v>39</v>
      </c>
      <c r="C11" t="s">
        <v>914</v>
      </c>
      <c r="D11">
        <v>-0.22795025914653555</v>
      </c>
      <c r="E11" t="s">
        <v>613</v>
      </c>
    </row>
    <row r="12" spans="1:13">
      <c r="A12" t="s">
        <v>107</v>
      </c>
      <c r="B12" t="s">
        <v>96</v>
      </c>
      <c r="C12" t="s">
        <v>109</v>
      </c>
      <c r="D12">
        <v>-2.69944003865078E-2</v>
      </c>
      <c r="E12" t="s">
        <v>612</v>
      </c>
    </row>
    <row r="13" spans="1:13">
      <c r="A13" t="s">
        <v>107</v>
      </c>
      <c r="B13" t="s">
        <v>96</v>
      </c>
      <c r="C13" t="s">
        <v>111</v>
      </c>
      <c r="D13">
        <v>-1.9339912536913639E-2</v>
      </c>
      <c r="E13" t="s">
        <v>612</v>
      </c>
    </row>
    <row r="14" spans="1:13">
      <c r="A14" t="s">
        <v>107</v>
      </c>
      <c r="B14" t="s">
        <v>96</v>
      </c>
      <c r="C14" t="s">
        <v>110</v>
      </c>
      <c r="D14">
        <v>6.9131564353117625E-3</v>
      </c>
      <c r="E14" t="s">
        <v>612</v>
      </c>
    </row>
    <row r="15" spans="1:13">
      <c r="A15" t="s">
        <v>107</v>
      </c>
      <c r="B15" t="s">
        <v>96</v>
      </c>
      <c r="C15" t="s">
        <v>147</v>
      </c>
      <c r="D15">
        <v>-7.240706827114321E-2</v>
      </c>
      <c r="E15" t="s">
        <v>612</v>
      </c>
    </row>
    <row r="16" spans="1:13">
      <c r="A16" t="s">
        <v>107</v>
      </c>
      <c r="B16" t="s">
        <v>96</v>
      </c>
      <c r="C16" t="s">
        <v>962</v>
      </c>
      <c r="D16">
        <v>-4.1552435309644448E-2</v>
      </c>
      <c r="E16" t="s">
        <v>612</v>
      </c>
    </row>
    <row r="17" spans="1:5">
      <c r="A17" t="s">
        <v>107</v>
      </c>
      <c r="B17" t="s">
        <v>96</v>
      </c>
      <c r="C17" t="s">
        <v>148</v>
      </c>
      <c r="D17">
        <v>-7.4671528551204958E-2</v>
      </c>
      <c r="E17" t="s">
        <v>613</v>
      </c>
    </row>
    <row r="18" spans="1:5">
      <c r="A18" t="s">
        <v>107</v>
      </c>
      <c r="B18" t="s">
        <v>96</v>
      </c>
      <c r="C18" t="s">
        <v>149</v>
      </c>
      <c r="D18">
        <v>-5.7814921051652424E-2</v>
      </c>
      <c r="E18" t="s">
        <v>613</v>
      </c>
    </row>
    <row r="19" spans="1:5">
      <c r="A19" t="s">
        <v>107</v>
      </c>
      <c r="B19" t="s">
        <v>96</v>
      </c>
      <c r="C19" t="s">
        <v>150</v>
      </c>
      <c r="D19">
        <v>2.1934391639015116E-2</v>
      </c>
      <c r="E19" t="s">
        <v>613</v>
      </c>
    </row>
    <row r="20" spans="1:5">
      <c r="A20" t="s">
        <v>107</v>
      </c>
      <c r="B20" t="s">
        <v>96</v>
      </c>
      <c r="C20" t="s">
        <v>151</v>
      </c>
      <c r="D20">
        <v>-0.22480561661940213</v>
      </c>
      <c r="E20" t="s">
        <v>613</v>
      </c>
    </row>
    <row r="21" spans="1:5">
      <c r="A21" t="s">
        <v>107</v>
      </c>
      <c r="B21" t="s">
        <v>96</v>
      </c>
      <c r="C21" t="s">
        <v>914</v>
      </c>
      <c r="D21">
        <v>-0.15959816444225072</v>
      </c>
      <c r="E21" t="s">
        <v>613</v>
      </c>
    </row>
    <row r="22" spans="1:5">
      <c r="A22" t="s">
        <v>107</v>
      </c>
      <c r="B22" t="s">
        <v>97</v>
      </c>
      <c r="C22" t="s">
        <v>109</v>
      </c>
      <c r="D22">
        <v>-32124</v>
      </c>
      <c r="E22" t="s">
        <v>612</v>
      </c>
    </row>
    <row r="23" spans="1:5">
      <c r="A23" t="s">
        <v>107</v>
      </c>
      <c r="B23" t="s">
        <v>97</v>
      </c>
      <c r="C23" t="s">
        <v>111</v>
      </c>
      <c r="D23">
        <v>-53473</v>
      </c>
      <c r="E23" t="s">
        <v>612</v>
      </c>
    </row>
    <row r="24" spans="1:5">
      <c r="A24" t="s">
        <v>107</v>
      </c>
      <c r="B24" t="s">
        <v>97</v>
      </c>
      <c r="C24" t="s">
        <v>110</v>
      </c>
      <c r="D24">
        <v>-30451</v>
      </c>
      <c r="E24" t="s">
        <v>612</v>
      </c>
    </row>
    <row r="25" spans="1:5">
      <c r="A25" t="s">
        <v>107</v>
      </c>
      <c r="B25" t="s">
        <v>97</v>
      </c>
      <c r="C25" t="s">
        <v>147</v>
      </c>
      <c r="D25">
        <v>1587</v>
      </c>
      <c r="E25" t="s">
        <v>612</v>
      </c>
    </row>
    <row r="26" spans="1:5">
      <c r="A26" t="s">
        <v>107</v>
      </c>
      <c r="B26" t="s">
        <v>97</v>
      </c>
      <c r="C26" t="s">
        <v>962</v>
      </c>
      <c r="D26">
        <v>28227</v>
      </c>
      <c r="E26" t="s">
        <v>612</v>
      </c>
    </row>
    <row r="27" spans="1:5">
      <c r="A27" t="s">
        <v>107</v>
      </c>
      <c r="B27" t="s">
        <v>97</v>
      </c>
      <c r="C27" t="s">
        <v>148</v>
      </c>
      <c r="D27">
        <v>-0.59464662544889113</v>
      </c>
      <c r="E27" t="s">
        <v>613</v>
      </c>
    </row>
    <row r="28" spans="1:5">
      <c r="A28" t="s">
        <v>107</v>
      </c>
      <c r="B28" t="s">
        <v>97</v>
      </c>
      <c r="C28" t="s">
        <v>149</v>
      </c>
      <c r="D28">
        <v>-2.4419125034249705</v>
      </c>
      <c r="E28" t="s">
        <v>613</v>
      </c>
    </row>
    <row r="29" spans="1:5">
      <c r="A29" t="s">
        <v>107</v>
      </c>
      <c r="B29" t="s">
        <v>97</v>
      </c>
      <c r="C29" t="s">
        <v>150</v>
      </c>
      <c r="D29">
        <v>0.9644022169437847</v>
      </c>
      <c r="E29" t="s">
        <v>613</v>
      </c>
    </row>
    <row r="30" spans="1:5">
      <c r="A30" t="s">
        <v>107</v>
      </c>
      <c r="B30" t="s">
        <v>97</v>
      </c>
      <c r="C30" t="s">
        <v>151</v>
      </c>
      <c r="D30">
        <v>-2.5586044561957899E-2</v>
      </c>
      <c r="E30" t="s">
        <v>613</v>
      </c>
    </row>
    <row r="31" spans="1:5">
      <c r="A31" t="s">
        <v>107</v>
      </c>
      <c r="B31" t="s">
        <v>97</v>
      </c>
      <c r="C31" t="s">
        <v>914</v>
      </c>
      <c r="D31">
        <v>-0.46703287612303312</v>
      </c>
      <c r="E31" t="s">
        <v>613</v>
      </c>
    </row>
    <row r="32" spans="1:5">
      <c r="A32" t="s">
        <v>107</v>
      </c>
      <c r="B32" t="s">
        <v>98</v>
      </c>
      <c r="C32" t="s">
        <v>109</v>
      </c>
      <c r="D32">
        <v>-1.8171040941203857E-2</v>
      </c>
      <c r="E32" t="s">
        <v>612</v>
      </c>
    </row>
    <row r="33" spans="1:5">
      <c r="A33" t="s">
        <v>107</v>
      </c>
      <c r="B33" t="s">
        <v>98</v>
      </c>
      <c r="C33" t="s">
        <v>111</v>
      </c>
      <c r="D33">
        <v>-3.4822567480145637E-2</v>
      </c>
      <c r="E33" t="s">
        <v>612</v>
      </c>
    </row>
    <row r="34" spans="1:5">
      <c r="A34" t="s">
        <v>107</v>
      </c>
      <c r="B34" t="s">
        <v>98</v>
      </c>
      <c r="C34" t="s">
        <v>110</v>
      </c>
      <c r="D34">
        <v>-2.5030430138825367E-2</v>
      </c>
      <c r="E34" t="s">
        <v>612</v>
      </c>
    </row>
    <row r="35" spans="1:5">
      <c r="A35" t="s">
        <v>107</v>
      </c>
      <c r="B35" t="s">
        <v>98</v>
      </c>
      <c r="C35" t="s">
        <v>147</v>
      </c>
      <c r="D35">
        <v>-1.4711506655795889E-3</v>
      </c>
      <c r="E35" t="s">
        <v>612</v>
      </c>
    </row>
    <row r="36" spans="1:5">
      <c r="A36" t="s">
        <v>107</v>
      </c>
      <c r="B36" t="s">
        <v>98</v>
      </c>
      <c r="C36" t="s">
        <v>962</v>
      </c>
      <c r="D36">
        <v>2.1032867450063837E-2</v>
      </c>
      <c r="E36" t="s">
        <v>612</v>
      </c>
    </row>
    <row r="37" spans="1:5">
      <c r="A37" t="s">
        <v>107</v>
      </c>
      <c r="B37" t="s">
        <v>98</v>
      </c>
      <c r="C37" t="s">
        <v>148</v>
      </c>
      <c r="D37">
        <v>-0.58867553011469276</v>
      </c>
      <c r="E37" t="s">
        <v>613</v>
      </c>
    </row>
    <row r="38" spans="1:5">
      <c r="A38" t="s">
        <v>107</v>
      </c>
      <c r="B38" t="s">
        <v>98</v>
      </c>
      <c r="C38" t="s">
        <v>149</v>
      </c>
      <c r="D38">
        <v>-2.7426628166353999</v>
      </c>
      <c r="E38" t="s">
        <v>613</v>
      </c>
    </row>
    <row r="39" spans="1:5">
      <c r="A39" t="s">
        <v>107</v>
      </c>
      <c r="B39" t="s">
        <v>98</v>
      </c>
      <c r="C39" t="s">
        <v>150</v>
      </c>
      <c r="D39">
        <v>1.1312708019968918</v>
      </c>
      <c r="E39" t="s">
        <v>613</v>
      </c>
    </row>
    <row r="40" spans="1:5">
      <c r="A40" t="s">
        <v>107</v>
      </c>
      <c r="B40" t="s">
        <v>98</v>
      </c>
      <c r="C40" t="s">
        <v>151</v>
      </c>
      <c r="D40">
        <v>3.119728372543995E-2</v>
      </c>
      <c r="E40" t="s">
        <v>613</v>
      </c>
    </row>
    <row r="41" spans="1:5">
      <c r="A41" t="s">
        <v>107</v>
      </c>
      <c r="B41" t="s">
        <v>98</v>
      </c>
      <c r="C41" t="s">
        <v>914</v>
      </c>
      <c r="D41">
        <v>-0.41984754932629365</v>
      </c>
      <c r="E41" t="s">
        <v>613</v>
      </c>
    </row>
    <row r="42" spans="1:5">
      <c r="A42" t="s">
        <v>107</v>
      </c>
      <c r="B42" t="s">
        <v>99</v>
      </c>
      <c r="C42" t="s">
        <v>109</v>
      </c>
      <c r="D42">
        <v>-2.3035462048678707E-2</v>
      </c>
      <c r="E42" t="s">
        <v>612</v>
      </c>
    </row>
    <row r="43" spans="1:5">
      <c r="A43" t="s">
        <v>107</v>
      </c>
      <c r="B43" t="s">
        <v>99</v>
      </c>
      <c r="C43" t="s">
        <v>111</v>
      </c>
      <c r="D43">
        <v>7.1938533495080892E-3</v>
      </c>
      <c r="E43" t="s">
        <v>612</v>
      </c>
    </row>
    <row r="44" spans="1:5">
      <c r="A44" t="s">
        <v>107</v>
      </c>
      <c r="B44" t="s">
        <v>99</v>
      </c>
      <c r="C44" t="s">
        <v>110</v>
      </c>
      <c r="D44">
        <v>-1.3605193929019155E-2</v>
      </c>
      <c r="E44" t="s">
        <v>612</v>
      </c>
    </row>
    <row r="45" spans="1:5">
      <c r="A45" t="s">
        <v>107</v>
      </c>
      <c r="B45" t="s">
        <v>99</v>
      </c>
      <c r="C45" t="s">
        <v>147</v>
      </c>
      <c r="D45">
        <v>5.3583832625408195E-2</v>
      </c>
      <c r="E45" t="s">
        <v>612</v>
      </c>
    </row>
    <row r="46" spans="1:5">
      <c r="A46" t="s">
        <v>107</v>
      </c>
      <c r="B46" t="s">
        <v>99</v>
      </c>
      <c r="C46" t="s">
        <v>962</v>
      </c>
      <c r="D46">
        <v>4.1908982390501115E-2</v>
      </c>
      <c r="E46" t="s">
        <v>612</v>
      </c>
    </row>
    <row r="47" spans="1:5">
      <c r="A47" t="s">
        <v>107</v>
      </c>
      <c r="B47" t="s">
        <v>99</v>
      </c>
      <c r="C47" t="s">
        <v>148</v>
      </c>
      <c r="D47">
        <v>-0.12811063623953645</v>
      </c>
      <c r="E47" t="s">
        <v>613</v>
      </c>
    </row>
    <row r="48" spans="1:5">
      <c r="A48" t="s">
        <v>107</v>
      </c>
      <c r="B48" t="s">
        <v>99</v>
      </c>
      <c r="C48" t="s">
        <v>149</v>
      </c>
      <c r="D48">
        <v>4.5886872728998718E-2</v>
      </c>
      <c r="E48" t="s">
        <v>613</v>
      </c>
    </row>
    <row r="49" spans="1:5">
      <c r="A49" t="s">
        <v>107</v>
      </c>
      <c r="B49" t="s">
        <v>99</v>
      </c>
      <c r="C49" t="s">
        <v>150</v>
      </c>
      <c r="D49">
        <v>-8.2974931982464639E-2</v>
      </c>
      <c r="E49" t="s">
        <v>613</v>
      </c>
    </row>
    <row r="50" spans="1:5">
      <c r="A50" t="s">
        <v>107</v>
      </c>
      <c r="B50" t="s">
        <v>99</v>
      </c>
      <c r="C50" t="s">
        <v>151</v>
      </c>
      <c r="D50">
        <v>0.35636474610687729</v>
      </c>
      <c r="E50" t="s">
        <v>613</v>
      </c>
    </row>
    <row r="51" spans="1:5">
      <c r="A51" t="s">
        <v>107</v>
      </c>
      <c r="B51" t="s">
        <v>99</v>
      </c>
      <c r="C51" t="s">
        <v>914</v>
      </c>
      <c r="D51">
        <v>0.20810589731749585</v>
      </c>
      <c r="E51" t="s">
        <v>613</v>
      </c>
    </row>
    <row r="52" spans="1:5">
      <c r="A52" t="s">
        <v>107</v>
      </c>
      <c r="B52" t="s">
        <v>100</v>
      </c>
      <c r="C52" t="s">
        <v>109</v>
      </c>
      <c r="D52">
        <v>-1.3133694843326119E-2</v>
      </c>
      <c r="E52" t="s">
        <v>612</v>
      </c>
    </row>
    <row r="53" spans="1:5">
      <c r="A53" t="s">
        <v>107</v>
      </c>
      <c r="B53" t="s">
        <v>100</v>
      </c>
      <c r="C53" t="s">
        <v>111</v>
      </c>
      <c r="D53">
        <v>8.4926863169332498E-3</v>
      </c>
      <c r="E53" t="s">
        <v>612</v>
      </c>
    </row>
    <row r="54" spans="1:5">
      <c r="A54" t="s">
        <v>107</v>
      </c>
      <c r="B54" t="s">
        <v>100</v>
      </c>
      <c r="C54" t="s">
        <v>110</v>
      </c>
      <c r="D54">
        <v>2.2192413297264214E-2</v>
      </c>
      <c r="E54" t="s">
        <v>612</v>
      </c>
    </row>
    <row r="55" spans="1:5">
      <c r="A55" t="s">
        <v>107</v>
      </c>
      <c r="B55" t="s">
        <v>100</v>
      </c>
      <c r="C55" t="s">
        <v>147</v>
      </c>
      <c r="D55">
        <v>-1.5509875330065315E-3</v>
      </c>
      <c r="E55" t="s">
        <v>612</v>
      </c>
    </row>
    <row r="56" spans="1:5">
      <c r="A56" t="s">
        <v>107</v>
      </c>
      <c r="B56" t="s">
        <v>100</v>
      </c>
      <c r="C56" t="s">
        <v>962</v>
      </c>
      <c r="D56">
        <v>-2.6364713632906503E-2</v>
      </c>
      <c r="E56" t="s">
        <v>612</v>
      </c>
    </row>
    <row r="57" spans="1:5">
      <c r="A57" t="s">
        <v>107</v>
      </c>
      <c r="B57" t="s">
        <v>100</v>
      </c>
      <c r="C57" t="s">
        <v>148</v>
      </c>
      <c r="D57">
        <v>-0.32456262482873433</v>
      </c>
      <c r="E57" t="s">
        <v>613</v>
      </c>
    </row>
    <row r="58" spans="1:5">
      <c r="A58" t="s">
        <v>107</v>
      </c>
      <c r="B58" t="s">
        <v>100</v>
      </c>
      <c r="C58" t="s">
        <v>149</v>
      </c>
      <c r="D58">
        <v>0.31072169723454057</v>
      </c>
      <c r="E58" t="s">
        <v>613</v>
      </c>
    </row>
    <row r="59" spans="1:5">
      <c r="A59" t="s">
        <v>107</v>
      </c>
      <c r="B59" t="s">
        <v>100</v>
      </c>
      <c r="C59" t="s">
        <v>150</v>
      </c>
      <c r="D59">
        <v>0.61947037258965554</v>
      </c>
      <c r="E59" t="s">
        <v>613</v>
      </c>
    </row>
    <row r="60" spans="1:5">
      <c r="A60" t="s">
        <v>107</v>
      </c>
      <c r="B60" t="s">
        <v>100</v>
      </c>
      <c r="C60" t="s">
        <v>151</v>
      </c>
      <c r="D60">
        <v>-2.6733222196111184E-2</v>
      </c>
      <c r="E60" t="s">
        <v>613</v>
      </c>
    </row>
    <row r="61" spans="1:5">
      <c r="A61" t="s">
        <v>107</v>
      </c>
      <c r="B61" t="s">
        <v>100</v>
      </c>
      <c r="C61" t="s">
        <v>914</v>
      </c>
      <c r="D61">
        <v>-0.47259986702077239</v>
      </c>
      <c r="E61" t="s">
        <v>613</v>
      </c>
    </row>
    <row r="62" spans="1:5">
      <c r="A62" t="s">
        <v>107</v>
      </c>
      <c r="B62" t="s">
        <v>157</v>
      </c>
      <c r="C62" t="s">
        <v>109</v>
      </c>
      <c r="D62">
        <v>1.8346517487879001E-2</v>
      </c>
      <c r="E62" t="s">
        <v>612</v>
      </c>
    </row>
    <row r="63" spans="1:5">
      <c r="A63" t="s">
        <v>107</v>
      </c>
      <c r="B63" t="s">
        <v>157</v>
      </c>
      <c r="C63" t="s">
        <v>111</v>
      </c>
      <c r="D63">
        <v>-2.1021121129647193E-2</v>
      </c>
      <c r="E63" t="s">
        <v>612</v>
      </c>
    </row>
    <row r="64" spans="1:5">
      <c r="A64" t="s">
        <v>107</v>
      </c>
      <c r="B64" t="s">
        <v>157</v>
      </c>
      <c r="C64" t="s">
        <v>110</v>
      </c>
      <c r="D64">
        <v>3.5441485791908457E-2</v>
      </c>
      <c r="E64" t="s">
        <v>612</v>
      </c>
    </row>
    <row r="65" spans="1:5">
      <c r="A65" t="s">
        <v>107</v>
      </c>
      <c r="B65" t="s">
        <v>157</v>
      </c>
      <c r="C65" t="s">
        <v>147</v>
      </c>
      <c r="D65">
        <v>-4.1055332141124258E-2</v>
      </c>
      <c r="E65" t="s">
        <v>612</v>
      </c>
    </row>
    <row r="66" spans="1:5">
      <c r="A66" t="s">
        <v>107</v>
      </c>
      <c r="B66" t="s">
        <v>157</v>
      </c>
      <c r="C66" t="s">
        <v>962</v>
      </c>
      <c r="D66">
        <v>-3.9983554433706832E-2</v>
      </c>
      <c r="E66" t="s">
        <v>612</v>
      </c>
    </row>
    <row r="67" spans="1:5">
      <c r="A67" t="s">
        <v>107</v>
      </c>
      <c r="B67" t="s">
        <v>157</v>
      </c>
      <c r="C67" t="s">
        <v>148</v>
      </c>
      <c r="D67">
        <v>-0.2272017729308905</v>
      </c>
      <c r="E67" t="s">
        <v>613</v>
      </c>
    </row>
    <row r="68" spans="1:5">
      <c r="A68" t="s">
        <v>107</v>
      </c>
      <c r="B68" t="s">
        <v>157</v>
      </c>
      <c r="C68" t="s">
        <v>149</v>
      </c>
      <c r="D68">
        <v>0.33685875134123955</v>
      </c>
      <c r="E68" t="s">
        <v>613</v>
      </c>
    </row>
    <row r="69" spans="1:5">
      <c r="A69" t="s">
        <v>107</v>
      </c>
      <c r="B69" t="s">
        <v>157</v>
      </c>
      <c r="C69" t="s">
        <v>150</v>
      </c>
      <c r="D69">
        <v>-0.42483310984484446</v>
      </c>
      <c r="E69" t="s">
        <v>613</v>
      </c>
    </row>
    <row r="70" spans="1:5">
      <c r="A70" t="s">
        <v>107</v>
      </c>
      <c r="B70" t="s">
        <v>157</v>
      </c>
      <c r="C70" t="s">
        <v>151</v>
      </c>
      <c r="D70">
        <v>0.85562236627249577</v>
      </c>
      <c r="E70" t="s">
        <v>613</v>
      </c>
    </row>
    <row r="71" spans="1:5">
      <c r="A71" t="s">
        <v>107</v>
      </c>
      <c r="B71" t="s">
        <v>157</v>
      </c>
      <c r="C71" t="s">
        <v>914</v>
      </c>
      <c r="D71">
        <v>0.40588262121560814</v>
      </c>
      <c r="E71" t="s">
        <v>613</v>
      </c>
    </row>
    <row r="72" spans="1:5">
      <c r="A72" t="s">
        <v>107</v>
      </c>
      <c r="B72" t="s">
        <v>146</v>
      </c>
      <c r="C72" t="s">
        <v>109</v>
      </c>
      <c r="D72">
        <v>-61034</v>
      </c>
      <c r="E72" t="s">
        <v>612</v>
      </c>
    </row>
    <row r="73" spans="1:5">
      <c r="A73" t="s">
        <v>107</v>
      </c>
      <c r="B73" t="s">
        <v>146</v>
      </c>
      <c r="C73" t="s">
        <v>111</v>
      </c>
      <c r="D73">
        <v>-64076</v>
      </c>
      <c r="E73" t="s">
        <v>612</v>
      </c>
    </row>
    <row r="74" spans="1:5">
      <c r="A74" t="s">
        <v>107</v>
      </c>
      <c r="B74" t="s">
        <v>146</v>
      </c>
      <c r="C74" t="s">
        <v>110</v>
      </c>
      <c r="D74">
        <v>-37676</v>
      </c>
      <c r="E74" t="s">
        <v>612</v>
      </c>
    </row>
    <row r="75" spans="1:5">
      <c r="A75" t="s">
        <v>107</v>
      </c>
      <c r="B75" t="s">
        <v>146</v>
      </c>
      <c r="C75" t="s">
        <v>147</v>
      </c>
      <c r="D75">
        <v>-41159</v>
      </c>
      <c r="E75" t="s">
        <v>612</v>
      </c>
    </row>
    <row r="76" spans="1:5">
      <c r="A76" t="s">
        <v>107</v>
      </c>
      <c r="B76" t="s">
        <v>146</v>
      </c>
      <c r="C76" t="s">
        <v>962</v>
      </c>
      <c r="D76">
        <v>-50610</v>
      </c>
      <c r="E76" t="s">
        <v>612</v>
      </c>
    </row>
    <row r="77" spans="1:5">
      <c r="A77" t="s">
        <v>107</v>
      </c>
      <c r="B77" t="s">
        <v>146</v>
      </c>
      <c r="C77" t="s">
        <v>148</v>
      </c>
      <c r="D77">
        <v>-0.15356049303198571</v>
      </c>
      <c r="E77" t="s">
        <v>613</v>
      </c>
    </row>
    <row r="78" spans="1:5">
      <c r="A78" t="s">
        <v>107</v>
      </c>
      <c r="B78" t="s">
        <v>146</v>
      </c>
      <c r="C78" t="s">
        <v>149</v>
      </c>
      <c r="D78">
        <v>-0.19046146986698376</v>
      </c>
      <c r="E78" t="s">
        <v>613</v>
      </c>
    </row>
    <row r="79" spans="1:5">
      <c r="A79" t="s">
        <v>107</v>
      </c>
      <c r="B79" t="s">
        <v>146</v>
      </c>
      <c r="C79" t="s">
        <v>150</v>
      </c>
      <c r="D79">
        <v>-0.13833720703949715</v>
      </c>
      <c r="E79" t="s">
        <v>613</v>
      </c>
    </row>
    <row r="80" spans="1:5">
      <c r="A80" t="s">
        <v>107</v>
      </c>
      <c r="B80" t="s">
        <v>146</v>
      </c>
      <c r="C80" t="s">
        <v>151</v>
      </c>
      <c r="D80">
        <v>-0.17538873240636976</v>
      </c>
      <c r="E80" t="s">
        <v>613</v>
      </c>
    </row>
    <row r="81" spans="1:5">
      <c r="A81" t="s">
        <v>107</v>
      </c>
      <c r="B81" t="s">
        <v>146</v>
      </c>
      <c r="C81" t="s">
        <v>914</v>
      </c>
      <c r="D81">
        <v>-0.27833996964163932</v>
      </c>
      <c r="E81" t="s">
        <v>613</v>
      </c>
    </row>
    <row r="82" spans="1:5">
      <c r="A82" t="s">
        <v>107</v>
      </c>
      <c r="B82" t="s">
        <v>101</v>
      </c>
      <c r="C82" t="s">
        <v>109</v>
      </c>
      <c r="D82">
        <v>-266363</v>
      </c>
      <c r="E82" t="s">
        <v>612</v>
      </c>
    </row>
    <row r="83" spans="1:5">
      <c r="A83" t="s">
        <v>107</v>
      </c>
      <c r="B83" t="s">
        <v>101</v>
      </c>
      <c r="C83" t="s">
        <v>111</v>
      </c>
      <c r="D83">
        <v>-296961</v>
      </c>
      <c r="E83" t="s">
        <v>612</v>
      </c>
    </row>
    <row r="84" spans="1:5">
      <c r="A84" t="s">
        <v>107</v>
      </c>
      <c r="B84" t="s">
        <v>101</v>
      </c>
      <c r="C84" t="s">
        <v>110</v>
      </c>
      <c r="D84">
        <v>91311</v>
      </c>
      <c r="E84" t="s">
        <v>612</v>
      </c>
    </row>
    <row r="85" spans="1:5">
      <c r="A85" t="s">
        <v>107</v>
      </c>
      <c r="B85" t="s">
        <v>101</v>
      </c>
      <c r="C85" t="s">
        <v>147</v>
      </c>
      <c r="D85">
        <v>-65459</v>
      </c>
      <c r="E85" t="s">
        <v>612</v>
      </c>
    </row>
    <row r="86" spans="1:5">
      <c r="A86" t="s">
        <v>107</v>
      </c>
      <c r="B86" t="s">
        <v>101</v>
      </c>
      <c r="C86" t="s">
        <v>962</v>
      </c>
      <c r="D86">
        <v>-205220</v>
      </c>
      <c r="E86" t="s">
        <v>612</v>
      </c>
    </row>
    <row r="87" spans="1:5">
      <c r="A87" t="s">
        <v>107</v>
      </c>
      <c r="B87" t="s">
        <v>101</v>
      </c>
      <c r="C87" t="s">
        <v>148</v>
      </c>
      <c r="D87">
        <v>-7.7591904851653348E-2</v>
      </c>
      <c r="E87" t="s">
        <v>613</v>
      </c>
    </row>
    <row r="88" spans="1:5">
      <c r="A88" t="s">
        <v>107</v>
      </c>
      <c r="B88" t="s">
        <v>101</v>
      </c>
      <c r="C88" t="s">
        <v>149</v>
      </c>
      <c r="D88">
        <v>-9.3781856859354251E-2</v>
      </c>
      <c r="E88" t="s">
        <v>613</v>
      </c>
    </row>
    <row r="89" spans="1:5">
      <c r="A89" t="s">
        <v>107</v>
      </c>
      <c r="B89" t="s">
        <v>101</v>
      </c>
      <c r="C89" t="s">
        <v>150</v>
      </c>
      <c r="D89">
        <v>3.1820702013244606E-2</v>
      </c>
      <c r="E89" t="s">
        <v>613</v>
      </c>
    </row>
    <row r="90" spans="1:5">
      <c r="A90" t="s">
        <v>107</v>
      </c>
      <c r="B90" t="s">
        <v>101</v>
      </c>
      <c r="C90" t="s">
        <v>151</v>
      </c>
      <c r="D90">
        <v>-2.2108118660199128E-2</v>
      </c>
      <c r="E90" t="s">
        <v>613</v>
      </c>
    </row>
    <row r="91" spans="1:5">
      <c r="A91" t="s">
        <v>107</v>
      </c>
      <c r="B91" t="s">
        <v>101</v>
      </c>
      <c r="C91" t="s">
        <v>914</v>
      </c>
      <c r="D91">
        <v>-7.087796880499031E-2</v>
      </c>
      <c r="E91" t="s">
        <v>613</v>
      </c>
    </row>
    <row r="92" spans="1:5">
      <c r="A92" t="s">
        <v>107</v>
      </c>
      <c r="B92" t="s">
        <v>102</v>
      </c>
      <c r="C92" t="s">
        <v>109</v>
      </c>
      <c r="D92">
        <v>-9.3483355759697156E-3</v>
      </c>
      <c r="E92" t="s">
        <v>612</v>
      </c>
    </row>
    <row r="93" spans="1:5">
      <c r="A93" t="s">
        <v>107</v>
      </c>
      <c r="B93" t="s">
        <v>102</v>
      </c>
      <c r="C93" t="s">
        <v>111</v>
      </c>
      <c r="D93">
        <v>-1.1458169528923742E-2</v>
      </c>
      <c r="E93" t="s">
        <v>612</v>
      </c>
    </row>
    <row r="94" spans="1:5">
      <c r="A94" t="s">
        <v>107</v>
      </c>
      <c r="B94" t="s">
        <v>102</v>
      </c>
      <c r="C94" t="s">
        <v>110</v>
      </c>
      <c r="D94">
        <v>-1.5992370267668407E-2</v>
      </c>
      <c r="E94" t="s">
        <v>612</v>
      </c>
    </row>
    <row r="95" spans="1:5">
      <c r="A95" t="s">
        <v>107</v>
      </c>
      <c r="B95" t="s">
        <v>102</v>
      </c>
      <c r="C95" t="s">
        <v>147</v>
      </c>
      <c r="D95">
        <v>-1.2538946350263855E-2</v>
      </c>
      <c r="E95" t="s">
        <v>612</v>
      </c>
    </row>
    <row r="96" spans="1:5">
      <c r="A96" t="s">
        <v>107</v>
      </c>
      <c r="B96" t="s">
        <v>102</v>
      </c>
      <c r="C96" t="s">
        <v>962</v>
      </c>
      <c r="D96">
        <v>-1.4168676830632651E-2</v>
      </c>
      <c r="E96" t="s">
        <v>612</v>
      </c>
    </row>
    <row r="97" spans="1:5">
      <c r="A97" t="s">
        <v>107</v>
      </c>
      <c r="B97" t="s">
        <v>102</v>
      </c>
      <c r="C97" t="s">
        <v>148</v>
      </c>
      <c r="D97">
        <v>-8.030397108527787E-2</v>
      </c>
      <c r="E97" t="s">
        <v>613</v>
      </c>
    </row>
    <row r="98" spans="1:5">
      <c r="A98" t="s">
        <v>107</v>
      </c>
      <c r="B98" t="s">
        <v>102</v>
      </c>
      <c r="C98" t="s">
        <v>149</v>
      </c>
      <c r="D98">
        <v>-0.10702214729449466</v>
      </c>
      <c r="E98" t="s">
        <v>613</v>
      </c>
    </row>
    <row r="99" spans="1:5">
      <c r="A99" t="s">
        <v>107</v>
      </c>
      <c r="B99" t="s">
        <v>102</v>
      </c>
      <c r="C99" t="s">
        <v>150</v>
      </c>
      <c r="D99">
        <v>-0.16727481775857955</v>
      </c>
      <c r="E99" t="s">
        <v>613</v>
      </c>
    </row>
    <row r="100" spans="1:5">
      <c r="A100" t="s">
        <v>107</v>
      </c>
      <c r="B100" t="s">
        <v>102</v>
      </c>
      <c r="C100" t="s">
        <v>151</v>
      </c>
      <c r="D100">
        <v>-0.15749873682176885</v>
      </c>
      <c r="E100" t="s">
        <v>613</v>
      </c>
    </row>
    <row r="101" spans="1:5">
      <c r="A101" t="s">
        <v>107</v>
      </c>
      <c r="B101" t="s">
        <v>102</v>
      </c>
      <c r="C101" t="s">
        <v>914</v>
      </c>
      <c r="D101">
        <v>-0.22481557378688455</v>
      </c>
      <c r="E101" t="s">
        <v>613</v>
      </c>
    </row>
    <row r="102" spans="1:5">
      <c r="A102" t="s">
        <v>107</v>
      </c>
      <c r="B102" t="s">
        <v>163</v>
      </c>
      <c r="C102" t="s">
        <v>109</v>
      </c>
      <c r="D102">
        <v>-2.3452664392220962E-2</v>
      </c>
      <c r="E102" t="s">
        <v>612</v>
      </c>
    </row>
    <row r="103" spans="1:5">
      <c r="A103" t="s">
        <v>107</v>
      </c>
      <c r="B103" t="s">
        <v>163</v>
      </c>
      <c r="C103" t="s">
        <v>111</v>
      </c>
      <c r="D103">
        <v>-6.613894030668567E-2</v>
      </c>
      <c r="E103" t="s">
        <v>612</v>
      </c>
    </row>
    <row r="104" spans="1:5">
      <c r="A104" t="s">
        <v>107</v>
      </c>
      <c r="B104" t="s">
        <v>163</v>
      </c>
      <c r="C104" t="s">
        <v>110</v>
      </c>
      <c r="D104">
        <v>-1.7893690687942748E-3</v>
      </c>
      <c r="E104" t="s">
        <v>612</v>
      </c>
    </row>
    <row r="105" spans="1:5">
      <c r="A105" t="s">
        <v>107</v>
      </c>
      <c r="B105" t="s">
        <v>163</v>
      </c>
      <c r="C105" t="s">
        <v>147</v>
      </c>
      <c r="D105">
        <v>-4.6778874519668216E-2</v>
      </c>
      <c r="E105" t="s">
        <v>612</v>
      </c>
    </row>
    <row r="106" spans="1:5">
      <c r="A106" t="s">
        <v>107</v>
      </c>
      <c r="B106" t="s">
        <v>163</v>
      </c>
      <c r="C106" t="s">
        <v>962</v>
      </c>
      <c r="D106">
        <v>-1.4147497556184385E-2</v>
      </c>
      <c r="E106" t="s">
        <v>612</v>
      </c>
    </row>
    <row r="107" spans="1:5">
      <c r="A107" t="s">
        <v>107</v>
      </c>
      <c r="B107" t="s">
        <v>163</v>
      </c>
      <c r="C107" t="s">
        <v>148</v>
      </c>
      <c r="D107">
        <v>-0.11889541216645316</v>
      </c>
      <c r="E107" t="s">
        <v>613</v>
      </c>
    </row>
    <row r="108" spans="1:5">
      <c r="A108" t="s">
        <v>107</v>
      </c>
      <c r="B108" t="s">
        <v>163</v>
      </c>
      <c r="C108" t="s">
        <v>149</v>
      </c>
      <c r="D108">
        <v>-0.38054207119091432</v>
      </c>
      <c r="E108" t="s">
        <v>613</v>
      </c>
    </row>
    <row r="109" spans="1:5">
      <c r="A109" t="s">
        <v>107</v>
      </c>
      <c r="B109" t="s">
        <v>163</v>
      </c>
      <c r="C109" t="s">
        <v>150</v>
      </c>
      <c r="D109">
        <v>-1.66200970347683E-2</v>
      </c>
      <c r="E109" t="s">
        <v>613</v>
      </c>
    </row>
    <row r="110" spans="1:5">
      <c r="A110" t="s">
        <v>107</v>
      </c>
      <c r="B110" t="s">
        <v>163</v>
      </c>
      <c r="C110" t="s">
        <v>151</v>
      </c>
      <c r="D110">
        <v>-0.44183698772914481</v>
      </c>
      <c r="E110" t="s">
        <v>613</v>
      </c>
    </row>
    <row r="111" spans="1:5">
      <c r="A111" t="s">
        <v>107</v>
      </c>
      <c r="B111" t="s">
        <v>163</v>
      </c>
      <c r="C111" t="s">
        <v>914</v>
      </c>
      <c r="D111">
        <v>-0.25033906074283474</v>
      </c>
      <c r="E111" t="s">
        <v>613</v>
      </c>
    </row>
    <row r="112" spans="1:5">
      <c r="A112" t="s">
        <v>107</v>
      </c>
      <c r="B112" t="s">
        <v>164</v>
      </c>
      <c r="C112" t="s">
        <v>109</v>
      </c>
      <c r="D112">
        <v>6.7184045708390538E-4</v>
      </c>
      <c r="E112" t="s">
        <v>612</v>
      </c>
    </row>
    <row r="113" spans="1:5">
      <c r="A113" t="s">
        <v>107</v>
      </c>
      <c r="B113" t="s">
        <v>164</v>
      </c>
      <c r="C113" t="s">
        <v>111</v>
      </c>
      <c r="D113">
        <v>-0.12263758882963446</v>
      </c>
      <c r="E113" t="s">
        <v>612</v>
      </c>
    </row>
    <row r="114" spans="1:5">
      <c r="A114" t="s">
        <v>107</v>
      </c>
      <c r="B114" t="s">
        <v>164</v>
      </c>
      <c r="C114" t="s">
        <v>110</v>
      </c>
      <c r="D114">
        <v>2.2312016016734312E-2</v>
      </c>
      <c r="E114" t="s">
        <v>612</v>
      </c>
    </row>
    <row r="115" spans="1:5">
      <c r="A115" t="s">
        <v>107</v>
      </c>
      <c r="B115" t="s">
        <v>164</v>
      </c>
      <c r="C115" t="s">
        <v>147</v>
      </c>
      <c r="D115">
        <v>-6.4955904942323492E-2</v>
      </c>
      <c r="E115" t="s">
        <v>612</v>
      </c>
    </row>
    <row r="116" spans="1:5">
      <c r="A116" t="s">
        <v>107</v>
      </c>
      <c r="B116" t="s">
        <v>164</v>
      </c>
      <c r="C116" t="s">
        <v>962</v>
      </c>
      <c r="D116">
        <v>1.1479356096781735E-2</v>
      </c>
      <c r="E116" t="s">
        <v>612</v>
      </c>
    </row>
    <row r="117" spans="1:5">
      <c r="A117" t="s">
        <v>107</v>
      </c>
      <c r="B117" t="s">
        <v>164</v>
      </c>
      <c r="C117" t="s">
        <v>148</v>
      </c>
      <c r="D117">
        <v>3.4545053712768947E-3</v>
      </c>
      <c r="E117" t="s">
        <v>613</v>
      </c>
    </row>
    <row r="118" spans="1:5">
      <c r="A118" t="s">
        <v>107</v>
      </c>
      <c r="B118" t="s">
        <v>164</v>
      </c>
      <c r="C118" t="s">
        <v>149</v>
      </c>
      <c r="D118">
        <v>-0.6284136871223136</v>
      </c>
      <c r="E118" t="s">
        <v>613</v>
      </c>
    </row>
    <row r="119" spans="1:5">
      <c r="A119" t="s">
        <v>107</v>
      </c>
      <c r="B119" t="s">
        <v>164</v>
      </c>
      <c r="C119" t="s">
        <v>150</v>
      </c>
      <c r="D119">
        <v>0.30768132463871978</v>
      </c>
      <c r="E119" t="s">
        <v>613</v>
      </c>
    </row>
    <row r="120" spans="1:5">
      <c r="A120" t="s">
        <v>107</v>
      </c>
      <c r="B120" t="s">
        <v>164</v>
      </c>
      <c r="C120" t="s">
        <v>151</v>
      </c>
      <c r="D120">
        <v>-0.68498181148498571</v>
      </c>
      <c r="E120" t="s">
        <v>613</v>
      </c>
    </row>
    <row r="121" spans="1:5">
      <c r="A121" t="s">
        <v>107</v>
      </c>
      <c r="B121" t="s">
        <v>164</v>
      </c>
      <c r="C121" t="s">
        <v>914</v>
      </c>
      <c r="D121">
        <v>0.38427514976371779</v>
      </c>
      <c r="E121" t="s">
        <v>613</v>
      </c>
    </row>
    <row r="122" spans="1:5">
      <c r="A122" t="s">
        <v>107</v>
      </c>
      <c r="B122" t="s">
        <v>165</v>
      </c>
      <c r="C122" t="s">
        <v>109</v>
      </c>
      <c r="D122">
        <v>9.6308560836815132E-3</v>
      </c>
      <c r="E122" t="s">
        <v>612</v>
      </c>
    </row>
    <row r="123" spans="1:5">
      <c r="A123" t="s">
        <v>107</v>
      </c>
      <c r="B123" t="s">
        <v>165</v>
      </c>
      <c r="C123" t="s">
        <v>111</v>
      </c>
      <c r="D123">
        <v>-4.8604203266698585E-2</v>
      </c>
      <c r="E123" t="s">
        <v>612</v>
      </c>
    </row>
    <row r="124" spans="1:5">
      <c r="A124" t="s">
        <v>107</v>
      </c>
      <c r="B124" t="s">
        <v>165</v>
      </c>
      <c r="C124" t="s">
        <v>110</v>
      </c>
      <c r="D124">
        <v>1.2553477001091162E-2</v>
      </c>
      <c r="E124" t="s">
        <v>612</v>
      </c>
    </row>
    <row r="125" spans="1:5">
      <c r="A125" t="s">
        <v>107</v>
      </c>
      <c r="B125" t="s">
        <v>165</v>
      </c>
      <c r="C125" t="s">
        <v>147</v>
      </c>
      <c r="D125">
        <v>-2.8429399139641296E-2</v>
      </c>
      <c r="E125" t="s">
        <v>612</v>
      </c>
    </row>
    <row r="126" spans="1:5">
      <c r="A126" t="s">
        <v>107</v>
      </c>
      <c r="B126" t="s">
        <v>165</v>
      </c>
      <c r="C126" t="s">
        <v>962</v>
      </c>
      <c r="D126">
        <v>6.5970467935109467E-3</v>
      </c>
      <c r="E126" t="s">
        <v>612</v>
      </c>
    </row>
    <row r="127" spans="1:5">
      <c r="A127" t="s">
        <v>107</v>
      </c>
      <c r="B127" t="s">
        <v>165</v>
      </c>
      <c r="C127" t="s">
        <v>148</v>
      </c>
      <c r="D127">
        <v>0.13989605859873011</v>
      </c>
      <c r="E127" t="s">
        <v>613</v>
      </c>
    </row>
    <row r="128" spans="1:5">
      <c r="A128" t="s">
        <v>107</v>
      </c>
      <c r="B128" t="s">
        <v>165</v>
      </c>
      <c r="C128" t="s">
        <v>149</v>
      </c>
      <c r="D128">
        <v>-0.61936856863979206</v>
      </c>
      <c r="E128" t="s">
        <v>613</v>
      </c>
    </row>
    <row r="129" spans="1:5">
      <c r="A129" t="s">
        <v>107</v>
      </c>
      <c r="B129" t="s">
        <v>165</v>
      </c>
      <c r="C129" t="s">
        <v>150</v>
      </c>
      <c r="D129">
        <v>0.42027612266180436</v>
      </c>
      <c r="E129" t="s">
        <v>613</v>
      </c>
    </row>
    <row r="130" spans="1:5">
      <c r="A130" t="s">
        <v>107</v>
      </c>
      <c r="B130" t="s">
        <v>165</v>
      </c>
      <c r="C130" t="s">
        <v>151</v>
      </c>
      <c r="D130">
        <v>-0.67014006079905153</v>
      </c>
      <c r="E130" t="s">
        <v>613</v>
      </c>
    </row>
    <row r="131" spans="1:5">
      <c r="A131" t="s">
        <v>107</v>
      </c>
      <c r="B131" t="s">
        <v>165</v>
      </c>
      <c r="C131" t="s">
        <v>914</v>
      </c>
      <c r="D131">
        <v>0.4714307315394366</v>
      </c>
      <c r="E131" t="s">
        <v>613</v>
      </c>
    </row>
  </sheetData>
  <pageMargins left="0.7" right="0.7" top="0.75" bottom="0.75" header="0.3" footer="0.3"/>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E20"/>
  <sheetViews>
    <sheetView showGridLines="0" zoomScale="80" zoomScaleNormal="80" workbookViewId="0">
      <pane xSplit="2" ySplit="2" topLeftCell="C3" activePane="bottomRight" state="frozen"/>
      <selection pane="topRight" activeCell="C1" sqref="C1"/>
      <selection pane="bottomLeft" activeCell="A3" sqref="A3"/>
      <selection pane="bottomRight" activeCell="C7" sqref="C7"/>
    </sheetView>
  </sheetViews>
  <sheetFormatPr baseColWidth="10" defaultColWidth="11" defaultRowHeight="15.75"/>
  <cols>
    <col min="1" max="1" width="26.875" bestFit="1" customWidth="1"/>
    <col min="2" max="2" width="25.375" bestFit="1" customWidth="1"/>
    <col min="3" max="3" width="11.875" customWidth="1"/>
    <col min="4" max="4" width="18.25" bestFit="1" customWidth="1"/>
    <col min="5" max="14" width="12.625" customWidth="1"/>
    <col min="15" max="15" width="14.25" customWidth="1"/>
    <col min="16" max="17" width="12.625" customWidth="1"/>
    <col min="18" max="19" width="12.375" customWidth="1"/>
    <col min="20" max="29" width="11.5" customWidth="1"/>
    <col min="30" max="30" width="11" customWidth="1"/>
    <col min="31" max="31" width="92" customWidth="1"/>
    <col min="32" max="32" width="104.625" customWidth="1"/>
  </cols>
  <sheetData>
    <row r="1" spans="1:31" ht="46.5">
      <c r="B1" s="627" t="s">
        <v>171</v>
      </c>
      <c r="C1" s="627"/>
      <c r="D1" s="627"/>
      <c r="E1" s="627"/>
      <c r="F1" s="627"/>
      <c r="G1" s="627"/>
      <c r="H1" s="627"/>
      <c r="I1" s="627"/>
      <c r="J1" s="627"/>
      <c r="K1" s="627"/>
      <c r="L1" s="627"/>
      <c r="M1" s="627"/>
      <c r="N1" s="627"/>
      <c r="O1" s="291"/>
      <c r="P1" s="233"/>
      <c r="Q1" s="233"/>
      <c r="R1" s="233"/>
      <c r="S1" s="233"/>
      <c r="T1" s="233"/>
      <c r="U1" s="233"/>
      <c r="V1" s="233"/>
      <c r="W1" s="233"/>
      <c r="X1" s="291"/>
      <c r="Y1" s="291"/>
      <c r="Z1" s="291"/>
      <c r="AA1" s="291"/>
      <c r="AB1" s="291"/>
      <c r="AC1" s="291"/>
    </row>
    <row r="2" spans="1:31" ht="31.5">
      <c r="A2" s="9" t="s">
        <v>69</v>
      </c>
      <c r="B2" s="46" t="s">
        <v>95</v>
      </c>
      <c r="C2" s="55" t="s">
        <v>167</v>
      </c>
      <c r="D2" s="47" t="s">
        <v>168</v>
      </c>
      <c r="E2" s="47" t="s">
        <v>63</v>
      </c>
      <c r="F2" s="47" t="s">
        <v>62</v>
      </c>
      <c r="G2" s="47" t="s">
        <v>61</v>
      </c>
      <c r="H2" s="47" t="s">
        <v>60</v>
      </c>
      <c r="I2" s="47" t="s">
        <v>695</v>
      </c>
      <c r="J2" s="47" t="s">
        <v>837</v>
      </c>
      <c r="K2" s="47" t="s">
        <v>838</v>
      </c>
      <c r="L2" s="47" t="s">
        <v>839</v>
      </c>
      <c r="M2" s="47" t="s">
        <v>840</v>
      </c>
      <c r="N2" s="47" t="s">
        <v>841</v>
      </c>
      <c r="O2" s="61" t="s">
        <v>109</v>
      </c>
      <c r="P2" s="61" t="s">
        <v>111</v>
      </c>
      <c r="Q2" s="61" t="s">
        <v>110</v>
      </c>
      <c r="R2" s="61" t="s">
        <v>147</v>
      </c>
      <c r="S2" s="61" t="s">
        <v>962</v>
      </c>
      <c r="T2" s="61" t="s">
        <v>148</v>
      </c>
      <c r="U2" s="61" t="s">
        <v>149</v>
      </c>
      <c r="V2" s="61" t="s">
        <v>150</v>
      </c>
      <c r="W2" s="61" t="s">
        <v>151</v>
      </c>
      <c r="X2" s="61" t="s">
        <v>914</v>
      </c>
      <c r="Y2" s="142" t="s">
        <v>915</v>
      </c>
      <c r="Z2" s="142" t="s">
        <v>916</v>
      </c>
      <c r="AA2" s="142" t="s">
        <v>917</v>
      </c>
      <c r="AB2" s="142" t="s">
        <v>918</v>
      </c>
      <c r="AC2" s="142" t="s">
        <v>919</v>
      </c>
      <c r="AD2" s="55" t="s">
        <v>175</v>
      </c>
      <c r="AE2" s="55" t="s">
        <v>913</v>
      </c>
    </row>
    <row r="3" spans="1:31">
      <c r="A3" s="17" t="s">
        <v>107</v>
      </c>
      <c r="B3" s="10" t="s">
        <v>39</v>
      </c>
      <c r="C3" s="67"/>
      <c r="D3" s="65">
        <f>'Estados de Resultados Consolida'!C13</f>
        <v>632682</v>
      </c>
      <c r="E3" s="65">
        <f>'Estados de Resultados Consolida'!D13</f>
        <v>576940</v>
      </c>
      <c r="F3" s="65">
        <f>'Estados de Resultados Consolida'!E13</f>
        <v>449772</v>
      </c>
      <c r="G3" s="65">
        <f>'Estados de Resultados Consolida'!F13</f>
        <v>423650</v>
      </c>
      <c r="H3" s="65">
        <f>'Estados de Resultados Consolida'!G13</f>
        <v>314108</v>
      </c>
      <c r="I3" s="65">
        <f>'Estados de Resultados Consolida'!H13</f>
        <v>242507</v>
      </c>
      <c r="J3" s="65">
        <f>'ER Proyectado'!I14</f>
        <v>211675.79911999998</v>
      </c>
      <c r="K3" s="65">
        <f>'ER Proyectado'!J14</f>
        <v>241394.37490187492</v>
      </c>
      <c r="L3" s="65">
        <f>'ER Proyectado'!K14</f>
        <v>262650.78754702408</v>
      </c>
      <c r="M3" s="65">
        <f>'ER Proyectado'!L14</f>
        <v>276712.12847464992</v>
      </c>
      <c r="N3" s="65">
        <f>'ER Proyectado'!M14</f>
        <v>289399.32783746679</v>
      </c>
      <c r="O3" s="23">
        <f>E3-D3</f>
        <v>-55742</v>
      </c>
      <c r="P3" s="23">
        <f t="shared" ref="P3:R3" si="0">F3-E3</f>
        <v>-127168</v>
      </c>
      <c r="Q3" s="23">
        <f t="shared" si="0"/>
        <v>-26122</v>
      </c>
      <c r="R3" s="23">
        <f t="shared" si="0"/>
        <v>-109542</v>
      </c>
      <c r="S3" s="23">
        <f t="shared" ref="S3:S17" si="1">I3-H3</f>
        <v>-71601</v>
      </c>
      <c r="T3" s="12">
        <f>E3/D3-1</f>
        <v>-8.8104292519780913E-2</v>
      </c>
      <c r="U3" s="12">
        <f>F3/E3-1</f>
        <v>-0.22041806773667971</v>
      </c>
      <c r="V3" s="12">
        <f>G3/F3-1</f>
        <v>-5.8078315235274736E-2</v>
      </c>
      <c r="W3" s="12">
        <f t="shared" ref="W3:AC3" si="2">H3/G3-1</f>
        <v>-0.2585672135017113</v>
      </c>
      <c r="X3" s="12">
        <f t="shared" si="2"/>
        <v>-0.22795025914653555</v>
      </c>
      <c r="Y3" s="12">
        <f t="shared" si="2"/>
        <v>-0.12713530281600127</v>
      </c>
      <c r="Z3" s="12">
        <f t="shared" si="2"/>
        <v>0.14039666275230323</v>
      </c>
      <c r="AA3" s="12">
        <f t="shared" si="2"/>
        <v>8.8056785307403018E-2</v>
      </c>
      <c r="AB3" s="12">
        <f t="shared" si="2"/>
        <v>5.3536260290513393E-2</v>
      </c>
      <c r="AC3" s="12">
        <f t="shared" si="2"/>
        <v>4.5849813062961431E-2</v>
      </c>
      <c r="AD3" s="67"/>
      <c r="AE3" s="146" t="s">
        <v>1288</v>
      </c>
    </row>
    <row r="4" spans="1:31">
      <c r="A4" s="17" t="s">
        <v>107</v>
      </c>
      <c r="B4" s="10" t="s">
        <v>96</v>
      </c>
      <c r="C4" s="48"/>
      <c r="D4" s="12">
        <f>'Estados de Resultados Consolida'!C13/'Estados de Resultados Consolida'!C3</f>
        <v>0.36150860857223177</v>
      </c>
      <c r="E4" s="12">
        <f>'Estados de Resultados Consolida'!D13/'Estados de Resultados Consolida'!D3</f>
        <v>0.33451420818572397</v>
      </c>
      <c r="F4" s="12">
        <f>'Estados de Resultados Consolida'!E13/'Estados de Resultados Consolida'!E3</f>
        <v>0.31517429564881033</v>
      </c>
      <c r="G4" s="12">
        <f>'Estados de Resultados Consolida'!F13/'Estados de Resultados Consolida'!F3</f>
        <v>0.32208745208412209</v>
      </c>
      <c r="H4" s="12">
        <f>'Estados de Resultados Consolida'!G13/'Estados de Resultados Consolida'!G3</f>
        <v>0.26035659905524705</v>
      </c>
      <c r="I4" s="12">
        <f>'Estados de Resultados Consolida'!H13/'Estados de Resultados Consolida'!H3</f>
        <v>0.2188041637456026</v>
      </c>
      <c r="J4" s="12">
        <f>'ER Proyectado'!I14/'ER Proyectado'!I3</f>
        <v>0.20759394579391685</v>
      </c>
      <c r="K4" s="12">
        <f>'ER Proyectado'!J14/'ER Proyectado'!J3</f>
        <v>0.23338411752589622</v>
      </c>
      <c r="L4" s="12">
        <f>'ER Proyectado'!K14/'ER Proyectado'!K3</f>
        <v>0.25048206443430449</v>
      </c>
      <c r="M4" s="12">
        <f>'ER Proyectado'!L14/'ER Proyectado'!L3</f>
        <v>0.2605310864191574</v>
      </c>
      <c r="N4" s="12">
        <f>'ER Proyectado'!M14/'ER Proyectado'!M3</f>
        <v>0.26583062246689371</v>
      </c>
      <c r="O4" s="12">
        <f t="shared" ref="O4:P12" si="3">E4-D4</f>
        <v>-2.69944003865078E-2</v>
      </c>
      <c r="P4" s="12">
        <f t="shared" si="3"/>
        <v>-1.9339912536913639E-2</v>
      </c>
      <c r="Q4" s="12">
        <f t="shared" ref="Q4:Q12" si="4">G4-F4</f>
        <v>6.9131564353117625E-3</v>
      </c>
      <c r="R4" s="12">
        <f t="shared" ref="R4:R12" si="5">H4-G4</f>
        <v>-6.1730853028875043E-2</v>
      </c>
      <c r="S4" s="12">
        <f t="shared" si="1"/>
        <v>-4.1552435309644448E-2</v>
      </c>
      <c r="T4" s="12">
        <f t="shared" ref="T4:T12" si="6">E4/D4-1</f>
        <v>-7.4671528551204958E-2</v>
      </c>
      <c r="U4" s="12">
        <f t="shared" ref="U4:U12" si="7">F4/E4-1</f>
        <v>-5.7814921051652424E-2</v>
      </c>
      <c r="V4" s="12">
        <f t="shared" ref="V4:V12" si="8">G4/F4-1</f>
        <v>2.1934391639015116E-2</v>
      </c>
      <c r="W4" s="12">
        <f t="shared" ref="W4:AC12" si="9">H4/G4-1</f>
        <v>-0.19165867105171275</v>
      </c>
      <c r="X4" s="12">
        <f t="shared" si="9"/>
        <v>-0.15959816444225072</v>
      </c>
      <c r="Y4" s="12">
        <f t="shared" si="9"/>
        <v>-5.1234024800001277E-2</v>
      </c>
      <c r="Z4" s="12">
        <f t="shared" si="9"/>
        <v>0.12423373732479592</v>
      </c>
      <c r="AA4" s="12">
        <f t="shared" si="9"/>
        <v>7.3260970325073949E-2</v>
      </c>
      <c r="AB4" s="12">
        <f t="shared" si="9"/>
        <v>4.0118728690407002E-2</v>
      </c>
      <c r="AC4" s="12">
        <f t="shared" si="9"/>
        <v>2.0341281037035586E-2</v>
      </c>
      <c r="AD4" s="48"/>
      <c r="AE4" s="67" t="str">
        <f>'Estados de Resultados Consolida'!B13&amp;"/"&amp;'Estados de Resultados Consolida'!B3</f>
        <v>EBITDA/Ingresos</v>
      </c>
    </row>
    <row r="5" spans="1:31" ht="31.5">
      <c r="A5" s="17" t="s">
        <v>107</v>
      </c>
      <c r="B5" s="10" t="s">
        <v>97</v>
      </c>
      <c r="C5" s="48"/>
      <c r="D5" s="65"/>
      <c r="E5" s="65">
        <f>+('BG Proyectado'!D13-'BG Proyectado'!D6)-('BG Proyectado'!E13-'BG Proyectado'!E6)+('BG Proyectado'!E28-'BG Proyectado'!E23-'BG Proyectado'!E25)-('BG Proyectado'!D28-'BG Proyectado'!D23-'BG Proyectado'!D25)</f>
        <v>33629</v>
      </c>
      <c r="F5" s="65">
        <f>+('BG Proyectado'!E13-'BG Proyectado'!E6)-('BG Proyectado'!F13-'BG Proyectado'!F6)+('BG Proyectado'!F28-'BG Proyectado'!F23-'BG Proyectado'!F25)-('BG Proyectado'!E28-'BG Proyectado'!E23-'BG Proyectado'!E25)</f>
        <v>54447</v>
      </c>
      <c r="G5" s="65">
        <f>+('BG Proyectado'!F13-'BG Proyectado'!F6)-('BG Proyectado'!G13-'BG Proyectado'!G6)+('BG Proyectado'!G28-'BG Proyectado'!G23-'BG Proyectado'!G25)-('BG Proyectado'!F28-'BG Proyectado'!F23-'BG Proyectado'!F25)</f>
        <v>32363</v>
      </c>
      <c r="H5" s="65">
        <f>+('BG Proyectado'!G13-'BG Proyectado'!G6)-('BG Proyectado'!H13-'BG Proyectado'!H6)+('BG Proyectado'!H28-'BG Proyectado'!H23-'BG Proyectado'!H25)-('BG Proyectado'!G28-'BG Proyectado'!G23-'BG Proyectado'!G25)</f>
        <v>-21248</v>
      </c>
      <c r="I5" s="65">
        <f>+('BG Proyectado'!H13-'BG Proyectado'!H6)-('BG Proyectado'!I13-'BG Proyectado'!I6)+('BG Proyectado'!I28-'BG Proyectado'!I23-'BG Proyectado'!I25)-('BG Proyectado'!H28-'BG Proyectado'!H23-'BG Proyectado'!H25)</f>
        <v>-52540</v>
      </c>
      <c r="J5" s="65">
        <f>+('BG Proyectado'!I13-'BG Proyectado'!I6)-('BG Proyectado'!J13-'BG Proyectado'!J6)+('BG Proyectado'!J28-'BG Proyectado'!J23-'BG Proyectado'!J25)-('BG Proyectado'!I28-'BG Proyectado'!I23-'BG Proyectado'!I25)</f>
        <v>7580.1207180175697</v>
      </c>
      <c r="K5" s="65">
        <f>+('BG Proyectado'!J13-'BG Proyectado'!J6)-('BG Proyectado'!K13-'BG Proyectado'!K6)+('BG Proyectado'!K28-'BG Proyectado'!K23-'BG Proyectado'!K25)-('BG Proyectado'!J28-'BG Proyectado'!J23-'BG Proyectado'!J25)</f>
        <v>4051.584579646209</v>
      </c>
      <c r="L5" s="65">
        <f>+('BG Proyectado'!K13-'BG Proyectado'!K6)-('BG Proyectado'!L13-'BG Proyectado'!L6)+('BG Proyectado'!L28-'BG Proyectado'!L23-'BG Proyectado'!L25)-('BG Proyectado'!K28-'BG Proyectado'!K23-'BG Proyectado'!K25)</f>
        <v>8582.6165622406988</v>
      </c>
      <c r="M5" s="65">
        <f>+('BG Proyectado'!L13-'BG Proyectado'!L6)-('BG Proyectado'!M13-'BG Proyectado'!M6)+('BG Proyectado'!M28-'BG Proyectado'!M23-'BG Proyectado'!M25)-('BG Proyectado'!L28-'BG Proyectado'!L23-'BG Proyectado'!L25)</f>
        <v>4121.8655201384972</v>
      </c>
      <c r="N5" s="65">
        <f>+('BG Proyectado'!M13-'BG Proyectado'!M6)-('BG Proyectado'!N13-'BG Proyectado'!N6)+('BG Proyectado'!N28-'BG Proyectado'!N23-'BG Proyectado'!N25)-('BG Proyectado'!M28-'BG Proyectado'!M23-'BG Proyectado'!M25)</f>
        <v>6807.0681279638957</v>
      </c>
      <c r="O5" s="66">
        <f>E5-D5</f>
        <v>33629</v>
      </c>
      <c r="P5" s="66">
        <f>F5-E5</f>
        <v>20818</v>
      </c>
      <c r="Q5" s="66">
        <f t="shared" si="4"/>
        <v>-22084</v>
      </c>
      <c r="R5" s="66">
        <f t="shared" si="5"/>
        <v>-53611</v>
      </c>
      <c r="S5" s="66">
        <f t="shared" si="1"/>
        <v>-31292</v>
      </c>
      <c r="T5" s="12"/>
      <c r="U5" s="12">
        <f t="shared" si="7"/>
        <v>0.61904903505902653</v>
      </c>
      <c r="V5" s="12">
        <f t="shared" si="8"/>
        <v>-0.40560545117270008</v>
      </c>
      <c r="W5" s="12">
        <f t="shared" si="9"/>
        <v>-1.6565522355776658</v>
      </c>
      <c r="X5" s="12">
        <f t="shared" si="9"/>
        <v>1.4727033132530121</v>
      </c>
      <c r="Y5" s="12">
        <f t="shared" si="9"/>
        <v>-1.1442733292352032</v>
      </c>
      <c r="Z5" s="12">
        <f t="shared" si="9"/>
        <v>-0.46549867338975304</v>
      </c>
      <c r="AA5" s="12">
        <f t="shared" si="9"/>
        <v>1.118335775428918</v>
      </c>
      <c r="AB5" s="12">
        <f t="shared" si="9"/>
        <v>-0.51974255283957538</v>
      </c>
      <c r="AC5" s="12">
        <f t="shared" si="9"/>
        <v>0.65145323026821456</v>
      </c>
      <c r="AD5" s="48"/>
      <c r="AE5" s="146" t="str">
        <f>"("&amp;'Balance General'!C11&amp;"+"&amp;'Balance General'!C7&amp;"+"&amp;'Balance General'!C9&amp;"+"&amp;'Balance General'!C10&amp;")-("&amp;'Balance General'!C24&amp;"+"&amp;'Balance General'!C27&amp;"+"&amp;'Balance General'!C26&amp;")"</f>
        <v>(Inventarios Neto+Cliente  neto  de estimaciones incobrables+Otras cuentas por cobrar+Anticipos de Impuestos)-(Proveedores+Otras cuentas y gastos acumulados por pagar+Impuesto por pagar)</v>
      </c>
    </row>
    <row r="6" spans="1:31" ht="31.5">
      <c r="A6" s="17" t="s">
        <v>107</v>
      </c>
      <c r="B6" s="10" t="s">
        <v>98</v>
      </c>
      <c r="C6" s="48"/>
      <c r="D6" s="12">
        <f>D5/'Estados de Resultados Consolida'!C3</f>
        <v>0</v>
      </c>
      <c r="E6" s="12">
        <f>E5/'Estados de Resultados Consolida'!D3</f>
        <v>1.949835044732158E-2</v>
      </c>
      <c r="F6" s="12">
        <f>F5/'Estados de Resultados Consolida'!E3</f>
        <v>3.8153319626812648E-2</v>
      </c>
      <c r="G6" s="12">
        <f>G5/'Estados de Resultados Consolida'!F3</f>
        <v>2.4604546705531555E-2</v>
      </c>
      <c r="H6" s="12">
        <f>H5/'Estados de Resultados Consolida'!G3</f>
        <v>-1.7611958360582634E-2</v>
      </c>
      <c r="I6" s="12">
        <f>I5/'Estados de Resultados Consolida'!H3</f>
        <v>-4.7404696619866481E-2</v>
      </c>
      <c r="J6" s="12">
        <f>J5/'ER Proyectado'!I3</f>
        <v>7.4339493507966483E-3</v>
      </c>
      <c r="K6" s="12">
        <f>K5/'ER Proyectado'!J3</f>
        <v>3.9171397100144908E-3</v>
      </c>
      <c r="L6" s="12">
        <f>L5/'ER Proyectado'!K3</f>
        <v>8.1849802729916134E-3</v>
      </c>
      <c r="M6" s="12">
        <f>M5/'ER Proyectado'!L3</f>
        <v>3.8808349599816242E-3</v>
      </c>
      <c r="N6" s="12">
        <f>N5/'ER Proyectado'!M3</f>
        <v>6.2526999324872884E-3</v>
      </c>
      <c r="O6" s="12">
        <f t="shared" ref="O6:O12" si="10">E6-D6</f>
        <v>1.949835044732158E-2</v>
      </c>
      <c r="P6" s="12">
        <f t="shared" si="3"/>
        <v>1.8654969179491068E-2</v>
      </c>
      <c r="Q6" s="12">
        <f t="shared" si="4"/>
        <v>-1.3548772921281094E-2</v>
      </c>
      <c r="R6" s="12">
        <f t="shared" si="5"/>
        <v>-4.2216505066114185E-2</v>
      </c>
      <c r="S6" s="12">
        <f t="shared" si="1"/>
        <v>-2.9792738259283847E-2</v>
      </c>
      <c r="T6" s="12"/>
      <c r="U6" s="12">
        <f t="shared" si="7"/>
        <v>0.95674601961283523</v>
      </c>
      <c r="V6" s="12">
        <f t="shared" si="8"/>
        <v>-0.35511386830307556</v>
      </c>
      <c r="W6" s="12">
        <f t="shared" si="9"/>
        <v>-1.7158009684699107</v>
      </c>
      <c r="X6" s="12">
        <f t="shared" si="9"/>
        <v>1.6916198442737094</v>
      </c>
      <c r="Y6" s="12">
        <f t="shared" si="9"/>
        <v>-1.1568188361252207</v>
      </c>
      <c r="Z6" s="12">
        <f t="shared" si="9"/>
        <v>-0.47307419984039623</v>
      </c>
      <c r="AA6" s="12">
        <f t="shared" si="9"/>
        <v>1.0895298301630745</v>
      </c>
      <c r="AB6" s="12">
        <f t="shared" si="9"/>
        <v>-0.52585897209949195</v>
      </c>
      <c r="AC6" s="12">
        <f t="shared" si="9"/>
        <v>0.61117388318850208</v>
      </c>
      <c r="AD6" s="48"/>
      <c r="AE6" s="146" t="str">
        <f>"(" &amp;'Balance General'!C11&amp;"+"&amp;'Balance General'!C7&amp;"+"&amp;'Balance General'!C9&amp;"+"&amp;'Balance General'!C10&amp;")-("&amp;'Balance General'!C24&amp;"+"&amp;'Balance General'!C27&amp;"+"&amp;'Balance General'!C26&amp;")"</f>
        <v>(Inventarios Neto+Cliente  neto  de estimaciones incobrables+Otras cuentas por cobrar+Anticipos de Impuestos)-(Proveedores+Otras cuentas y gastos acumulados por pagar+Impuesto por pagar)</v>
      </c>
    </row>
    <row r="7" spans="1:31">
      <c r="A7" s="17" t="s">
        <v>107</v>
      </c>
      <c r="B7" s="10" t="s">
        <v>966</v>
      </c>
      <c r="C7" s="48"/>
      <c r="D7" s="433">
        <f>'Indicadores Estrategicos'!D3*-1/'Estados de Resultados Consolida'!C14</f>
        <v>5.5614528577205045</v>
      </c>
      <c r="E7" s="433">
        <f>'Indicadores Estrategicos'!E3*-1/'Estados de Resultados Consolida'!D14</f>
        <v>6.3786222069895739</v>
      </c>
      <c r="F7" s="433">
        <f>'Indicadores Estrategicos'!F3*-1/'Estados de Resultados Consolida'!E14</f>
        <v>6.0987687801703094</v>
      </c>
      <c r="G7" s="433">
        <f>'Indicadores Estrategicos'!G3*-1/'Estados de Resultados Consolida'!F14</f>
        <v>6.6506020313652847</v>
      </c>
      <c r="H7" s="433">
        <f>'Indicadores Estrategicos'!H3*-1/'Estados de Resultados Consolida'!G14</f>
        <v>4.9656633362843055</v>
      </c>
      <c r="I7" s="433">
        <f>'Indicadores Estrategicos'!I3*-1/'Estados de Resultados Consolida'!H14</f>
        <v>4.1102881355932199</v>
      </c>
      <c r="J7" s="433">
        <f>'Indicadores Estrategicos'!J3*-1/'ER Proyectado'!I15</f>
        <v>4.2174453211337255</v>
      </c>
      <c r="K7" s="433">
        <f>'Indicadores Estrategicos'!K3*-1/'ER Proyectado'!J15</f>
        <v>4.8848910518237592</v>
      </c>
      <c r="L7" s="433">
        <f>'Indicadores Estrategicos'!L3*-1/'ER Proyectado'!K15</f>
        <v>5.4292309991179257</v>
      </c>
      <c r="M7" s="433">
        <f>'Indicadores Estrategicos'!M3*-1/'ER Proyectado'!L15</f>
        <v>5.9580826340007054</v>
      </c>
      <c r="N7" s="433">
        <f>'Indicadores Estrategicos'!N3*-1/'ER Proyectado'!M15</f>
        <v>5.2520281291568685</v>
      </c>
      <c r="O7" s="12">
        <f t="shared" si="10"/>
        <v>0.81716934926906948</v>
      </c>
      <c r="P7" s="12">
        <f t="shared" si="3"/>
        <v>-0.27985342681926451</v>
      </c>
      <c r="Q7" s="12">
        <f t="shared" si="4"/>
        <v>0.55183325119497528</v>
      </c>
      <c r="R7" s="12">
        <f t="shared" si="5"/>
        <v>-1.6849386950809793</v>
      </c>
      <c r="S7" s="12">
        <f t="shared" si="1"/>
        <v>-0.85537520069108552</v>
      </c>
      <c r="T7" s="12">
        <f t="shared" si="6"/>
        <v>0.14693450977196743</v>
      </c>
      <c r="U7" s="12">
        <f t="shared" si="7"/>
        <v>-4.3873648217103489E-2</v>
      </c>
      <c r="V7" s="12">
        <f t="shared" si="8"/>
        <v>9.0482730381453269E-2</v>
      </c>
      <c r="W7" s="12">
        <f t="shared" si="9"/>
        <v>-0.25335130370672365</v>
      </c>
      <c r="X7" s="12">
        <f t="shared" si="9"/>
        <v>-0.1722579930944621</v>
      </c>
      <c r="Y7" s="12">
        <f t="shared" si="9"/>
        <v>2.6070480220735215E-2</v>
      </c>
      <c r="Z7" s="12">
        <f t="shared" si="9"/>
        <v>0.15825830090681814</v>
      </c>
      <c r="AA7" s="12">
        <f t="shared" si="9"/>
        <v>0.11143338541622927</v>
      </c>
      <c r="AB7" s="12">
        <f t="shared" si="9"/>
        <v>9.740820292389496E-2</v>
      </c>
      <c r="AC7" s="12">
        <f t="shared" si="9"/>
        <v>-0.11850364424531967</v>
      </c>
      <c r="AD7" s="48"/>
      <c r="AE7" s="48" t="str">
        <f>'Estados de Resultados Consolida'!B14&amp;"/"&amp;'Indicadores Estrategicos'!B3</f>
        <v>Gastos financieros/EBITDA</v>
      </c>
    </row>
    <row r="8" spans="1:31">
      <c r="A8" s="17" t="s">
        <v>107</v>
      </c>
      <c r="B8" s="10" t="s">
        <v>1249</v>
      </c>
      <c r="C8" s="48"/>
      <c r="D8" s="427">
        <f>('Balance General'!D23+'Balance General'!D25+'Balance General'!D31+'Balance General'!D30)/'Indicadores Estrategicos'!D3</f>
        <v>2.3200991967528712</v>
      </c>
      <c r="E8" s="427">
        <f>('Balance General'!E23+'Balance General'!E25+'Balance General'!E31+'Balance General'!E30)/'Indicadores Estrategicos'!E3</f>
        <v>2.1127638922591605</v>
      </c>
      <c r="F8" s="427">
        <f>('Balance General'!F23+'Balance General'!F25+'Balance General'!F31+'Balance General'!F30)/'Indicadores Estrategicos'!F3</f>
        <v>2.461275935362806</v>
      </c>
      <c r="G8" s="427">
        <f>('Balance General'!G23+'Balance General'!G25+'Balance General'!G31+'Balance General'!G30)/'Indicadores Estrategicos'!G3</f>
        <v>2.3980337542782957</v>
      </c>
      <c r="H8" s="427">
        <f>('Balance General'!H23+'Balance General'!H25+'Balance General'!H31+'Balance General'!H30)/'Indicadores Estrategicos'!H3</f>
        <v>3.0573592522317163</v>
      </c>
      <c r="I8" s="427">
        <f>('Balance General'!I23+'Balance General'!I25+'Balance General'!I31+'Balance General'!I30)/'Indicadores Estrategicos'!I3</f>
        <v>3.6498204175549573</v>
      </c>
      <c r="J8" s="427">
        <f>('BG Proyectado'!J23+'BG Proyectado'!J25+'BG Proyectado'!J30+'BG Proyectado'!J31)/J3</f>
        <v>4.3246654479783624</v>
      </c>
      <c r="K8" s="427">
        <f>('BG Proyectado'!K23+'BG Proyectado'!K25+'BG Proyectado'!K30+'BG Proyectado'!K31)/K3</f>
        <v>3.726628398566465</v>
      </c>
      <c r="L8" s="427">
        <f>('BG Proyectado'!L23+'BG Proyectado'!L25+'BG Proyectado'!L30+'BG Proyectado'!L31)/L3</f>
        <v>3.3308907028681753</v>
      </c>
      <c r="M8" s="427">
        <f>('BG Proyectado'!M23+'BG Proyectado'!M25+'BG Proyectado'!M30+'BG Proyectado'!M31)/M3</f>
        <v>3.079017733576312</v>
      </c>
      <c r="N8" s="427">
        <f>('BG Proyectado'!N23+'BG Proyectado'!N25+'BG Proyectado'!N30+'BG Proyectado'!N31)/N3</f>
        <v>2.8985056023999793</v>
      </c>
      <c r="O8" s="12">
        <f>E8-D8</f>
        <v>-0.20733530449371074</v>
      </c>
      <c r="P8" s="12">
        <f t="shared" si="3"/>
        <v>0.34851204310364547</v>
      </c>
      <c r="Q8" s="12">
        <f t="shared" si="4"/>
        <v>-6.3242181084510296E-2</v>
      </c>
      <c r="R8" s="12">
        <f t="shared" si="5"/>
        <v>0.65932549795342066</v>
      </c>
      <c r="S8" s="12">
        <f t="shared" si="1"/>
        <v>0.592461165323241</v>
      </c>
      <c r="T8" s="12">
        <f t="shared" si="6"/>
        <v>-8.9364844737625848E-2</v>
      </c>
      <c r="U8" s="12">
        <f t="shared" si="7"/>
        <v>0.1649555089333643</v>
      </c>
      <c r="V8" s="12">
        <f t="shared" si="8"/>
        <v>-2.5694876456502702E-2</v>
      </c>
      <c r="W8" s="12">
        <f t="shared" si="9"/>
        <v>0.27494421076314213</v>
      </c>
      <c r="X8" s="12">
        <f t="shared" si="9"/>
        <v>0.19378199172726407</v>
      </c>
      <c r="Y8" s="12">
        <f t="shared" si="9"/>
        <v>0.18489814654373848</v>
      </c>
      <c r="Z8" s="12">
        <f t="shared" si="9"/>
        <v>-0.13828515907316252</v>
      </c>
      <c r="AA8" s="12">
        <f t="shared" si="9"/>
        <v>-0.10619188536493718</v>
      </c>
      <c r="AB8" s="12">
        <f t="shared" si="9"/>
        <v>-7.561730232546493E-2</v>
      </c>
      <c r="AC8" s="12">
        <f t="shared" si="9"/>
        <v>-5.8626531834445106E-2</v>
      </c>
      <c r="AD8" s="48"/>
      <c r="AE8" s="146" t="str">
        <f>"("&amp;'Balance General'!C23&amp;"+"&amp;'Balance General'!C30&amp;")/"&amp;'Indicadores Estrategicos'!B3</f>
        <v>(Deuda a corto plazo+Deuda a largo plazo)/EBITDA</v>
      </c>
    </row>
    <row r="9" spans="1:31">
      <c r="A9" s="17" t="s">
        <v>107</v>
      </c>
      <c r="B9" s="10" t="s">
        <v>1247</v>
      </c>
      <c r="C9" s="48"/>
      <c r="D9" s="427">
        <f>('Balance General'!D23+'Balance General'!D25+'Balance General'!D31+'Balance General'!D30-'Balance General'!D6)/'Indicadores Estrategicos'!D3</f>
        <v>2.198883483329698</v>
      </c>
      <c r="E9" s="427">
        <f>('Balance General'!E23+'Balance General'!E25+'Balance General'!E31+'Balance General'!E30-'Balance General'!E6)/'Indicadores Estrategicos'!E3</f>
        <v>2.0230283911671925</v>
      </c>
      <c r="F9" s="427">
        <f>('Balance General'!F23+'Balance General'!F25+'Balance General'!F31+'Balance General'!F30-'Balance General'!F6)/'Indicadores Estrategicos'!F3</f>
        <v>2.3420266268242576</v>
      </c>
      <c r="G9" s="427">
        <f>('Balance General'!G23+'Balance General'!G25+'Balance General'!G31+'Balance General'!G30-'Balance General'!G6)/'Indicadores Estrategicos'!G3</f>
        <v>2.2920335182343914</v>
      </c>
      <c r="H9" s="427">
        <f>('Balance General'!H23+'Balance General'!H25+'Balance General'!H31+'Balance General'!H30-'Balance General'!H6)/'Indicadores Estrategicos'!H3</f>
        <v>2.9136061482038027</v>
      </c>
      <c r="I9" s="427">
        <f>('Balance General'!I23+'Balance General'!I25+'Balance General'!I31+'Balance General'!I30-'Balance General'!I6)/'Indicadores Estrategicos'!I3</f>
        <v>3.496727929503066</v>
      </c>
      <c r="J9" s="427">
        <f>('BG Proyectado'!J23+'BG Proyectado'!J25+'BG Proyectado'!J30+'BG Proyectado'!J31-'BG Proyectado'!J6)/J3</f>
        <v>4.1640955758375622</v>
      </c>
      <c r="K9" s="427">
        <f>('BG Proyectado'!K23+'BG Proyectado'!K25+'BG Proyectado'!K30+'BG Proyectado'!K31-'BG Proyectado'!K6)/K3</f>
        <v>3.5421447412722702</v>
      </c>
      <c r="L9" s="427">
        <f>('BG Proyectado'!L23+'BG Proyectado'!L25+'BG Proyectado'!L30+'BG Proyectado'!L31-'BG Proyectado'!L6)/L3</f>
        <v>3.1201858849524795</v>
      </c>
      <c r="M9" s="427">
        <f>('BG Proyectado'!M23+'BG Proyectado'!M25+'BG Proyectado'!M30+'BG Proyectado'!M31-'BG Proyectado'!M6)/M3</f>
        <v>2.8465865239734383</v>
      </c>
      <c r="N9" s="427">
        <f>('BG Proyectado'!N23+'BG Proyectado'!N25+'BG Proyectado'!N30+'BG Proyectado'!N31-'BG Proyectado'!N6)/N3</f>
        <v>2.6341350903588769</v>
      </c>
      <c r="O9" s="12">
        <f>E9-D9</f>
        <v>-0.1758550921625055</v>
      </c>
      <c r="P9" s="12">
        <f t="shared" ref="P9" si="11">F9-E9</f>
        <v>0.31899823565706509</v>
      </c>
      <c r="Q9" s="12">
        <f t="shared" ref="Q9" si="12">G9-F9</f>
        <v>-4.9993108589866164E-2</v>
      </c>
      <c r="R9" s="12">
        <f t="shared" ref="R9" si="13">H9-G9</f>
        <v>0.62157262996941132</v>
      </c>
      <c r="S9" s="12">
        <f t="shared" si="1"/>
        <v>0.58312178129926329</v>
      </c>
      <c r="T9" s="12">
        <f t="shared" ref="T9" si="14">E9/D9-1</f>
        <v>-7.9974720577833391E-2</v>
      </c>
      <c r="U9" s="12">
        <f t="shared" ref="U9" si="15">F9/E9-1</f>
        <v>0.15768351895102084</v>
      </c>
      <c r="V9" s="12">
        <f t="shared" ref="V9" si="16">G9/F9-1</f>
        <v>-2.1346088903205995E-2</v>
      </c>
      <c r="W9" s="12">
        <f t="shared" ref="W9:AC9" si="17">H9/G9-1</f>
        <v>0.27118828107200788</v>
      </c>
      <c r="X9" s="12">
        <f t="shared" si="17"/>
        <v>0.20013747625386835</v>
      </c>
      <c r="Y9" s="12">
        <f t="shared" si="17"/>
        <v>0.19085489628852503</v>
      </c>
      <c r="Z9" s="12">
        <f t="shared" si="17"/>
        <v>-0.14936036487111448</v>
      </c>
      <c r="AA9" s="12">
        <f t="shared" si="17"/>
        <v>-0.11912524392445667</v>
      </c>
      <c r="AB9" s="12">
        <f t="shared" si="17"/>
        <v>-8.7686878624286924E-2</v>
      </c>
      <c r="AC9" s="12">
        <f t="shared" si="17"/>
        <v>-7.4633752329442138E-2</v>
      </c>
      <c r="AD9" s="48"/>
      <c r="AE9" s="146" t="str">
        <f>"("&amp;'Balance General'!C23&amp;"+"&amp;'Balance General'!C30&amp;"-"&amp;'Balance General'!C6&amp;")/"&amp;'Indicadores Estrategicos'!B3</f>
        <v>(Deuda a corto plazo+Deuda a largo plazo-Efectivo y equivalente de efectivo)/EBITDA</v>
      </c>
    </row>
    <row r="10" spans="1:31">
      <c r="A10" s="17" t="s">
        <v>107</v>
      </c>
      <c r="B10" s="10" t="s">
        <v>618</v>
      </c>
      <c r="C10" s="48"/>
      <c r="D10" s="11">
        <f>'Estados de Resultados Consolida'!C9+'Estados de Resultados Consolida'!C18</f>
        <v>397459</v>
      </c>
      <c r="E10" s="11">
        <f>'Estados de Resultados Consolida'!D9+'Estados de Resultados Consolida'!D18</f>
        <v>336425</v>
      </c>
      <c r="F10" s="11">
        <f>'Estados de Resultados Consolida'!E9+'Estados de Resultados Consolida'!E18</f>
        <v>272349</v>
      </c>
      <c r="G10" s="11">
        <f>'Estados de Resultados Consolida'!F9+'Estados de Resultados Consolida'!F18</f>
        <v>234673</v>
      </c>
      <c r="H10" s="11">
        <f>'Estados de Resultados Consolida'!G9+'Estados de Resultados Consolida'!G18</f>
        <v>181828</v>
      </c>
      <c r="I10" s="11">
        <f>'Estados de Resultados Consolida'!H9+'Estados de Resultados Consolida'!H18</f>
        <v>131218</v>
      </c>
      <c r="J10" s="11">
        <f>'ER Proyectado'!I9+'ER Proyectado'!I19</f>
        <v>109602.55322665248</v>
      </c>
      <c r="K10" s="11">
        <f>'ER Proyectado'!J9+'ER Proyectado'!J19</f>
        <v>131988.09692739006</v>
      </c>
      <c r="L10" s="11">
        <f>'ER Proyectado'!K9+'ER Proyectado'!K19</f>
        <v>146579.44226016273</v>
      </c>
      <c r="M10" s="11">
        <f>'ER Proyectado'!L9+'ER Proyectado'!L19</f>
        <v>155991.09247187499</v>
      </c>
      <c r="N10" s="11">
        <f>'ER Proyectado'!M9+'ER Proyectado'!M19</f>
        <v>166855.49983301689</v>
      </c>
      <c r="O10" s="23">
        <f t="shared" si="10"/>
        <v>-61034</v>
      </c>
      <c r="P10" s="23">
        <f t="shared" si="3"/>
        <v>-64076</v>
      </c>
      <c r="Q10" s="23">
        <f t="shared" si="4"/>
        <v>-37676</v>
      </c>
      <c r="R10" s="23">
        <f t="shared" si="5"/>
        <v>-52845</v>
      </c>
      <c r="S10" s="23">
        <f t="shared" si="1"/>
        <v>-50610</v>
      </c>
      <c r="T10" s="12">
        <f t="shared" si="6"/>
        <v>-0.15356049303198571</v>
      </c>
      <c r="U10" s="12">
        <f t="shared" si="7"/>
        <v>-0.19046146986698376</v>
      </c>
      <c r="V10" s="12">
        <f t="shared" si="8"/>
        <v>-0.13833720703949715</v>
      </c>
      <c r="W10" s="12">
        <f t="shared" si="9"/>
        <v>-0.2251856839090991</v>
      </c>
      <c r="X10" s="12">
        <f t="shared" si="9"/>
        <v>-0.27833996964163932</v>
      </c>
      <c r="Y10" s="12">
        <f t="shared" si="9"/>
        <v>-0.1647292808406432</v>
      </c>
      <c r="Z10" s="12">
        <f t="shared" si="9"/>
        <v>0.20424290348825558</v>
      </c>
      <c r="AA10" s="12">
        <f t="shared" si="9"/>
        <v>0.11055046381038247</v>
      </c>
      <c r="AB10" s="12">
        <f t="shared" si="9"/>
        <v>6.4208527925816439E-2</v>
      </c>
      <c r="AC10" s="12">
        <f t="shared" si="9"/>
        <v>6.9647613777054307E-2</v>
      </c>
      <c r="AD10" s="48"/>
      <c r="AE10" s="146" t="s">
        <v>1290</v>
      </c>
    </row>
    <row r="11" spans="1:31" ht="31.5">
      <c r="A11" s="17" t="s">
        <v>107</v>
      </c>
      <c r="B11" s="10" t="s">
        <v>101</v>
      </c>
      <c r="C11" s="48"/>
      <c r="D11" s="11">
        <f>'Balance General'!D15+'Balance General'!D17+'Balance General'!D16+'Indicadores Estrategicos'!D5</f>
        <v>3378849</v>
      </c>
      <c r="E11" s="11">
        <f>'Balance General'!E15+'Balance General'!E17+'Balance General'!E16+'Indicadores Estrategicos'!E5</f>
        <v>3178239</v>
      </c>
      <c r="F11" s="11">
        <f>'Balance General'!F15+'Balance General'!F17+'Balance General'!F16+'Indicadores Estrategicos'!F5</f>
        <v>2955569</v>
      </c>
      <c r="G11" s="11">
        <f>'Balance General'!G15+'Balance General'!G17+'Balance General'!G16+'Indicadores Estrategicos'!G5</f>
        <v>3055247</v>
      </c>
      <c r="H11" s="11">
        <f>'Balance General'!H15+'Balance General'!H17+'Balance General'!H16+'Indicadores Estrategicos'!H5</f>
        <v>2934590</v>
      </c>
      <c r="I11" s="11">
        <f>'Balance General'!I15+'Balance General'!I17+'Balance General'!I16+'Indicadores Estrategicos'!I5</f>
        <v>2669851</v>
      </c>
      <c r="J11" s="11">
        <f>'BG Proyectado'!J15+'BG Proyectado'!J17+'BG Proyectado'!J16+'Indicadores Estrategicos'!J5</f>
        <v>2703618.3506054585</v>
      </c>
      <c r="K11" s="11">
        <f>'BG Proyectado'!K15+'BG Proyectado'!K17+'BG Proyectado'!K16+'Indicadores Estrategicos'!K5</f>
        <v>2622483.7421690212</v>
      </c>
      <c r="L11" s="11">
        <f>'BG Proyectado'!L15+'BG Proyectado'!L17+'BG Proyectado'!L16+'Indicadores Estrategicos'!L5</f>
        <v>2556232.0403513201</v>
      </c>
      <c r="M11" s="11">
        <f>'BG Proyectado'!M15+'BG Proyectado'!M17+'BG Proyectado'!M16+'Indicadores Estrategicos'!M5</f>
        <v>2481992.6235139058</v>
      </c>
      <c r="N11" s="11">
        <f>'BG Proyectado'!N15+'BG Proyectado'!N17+'BG Proyectado'!N16+'Indicadores Estrategicos'!N5</f>
        <v>2419121.5638550329</v>
      </c>
      <c r="O11" s="23">
        <f t="shared" si="10"/>
        <v>-200610</v>
      </c>
      <c r="P11" s="23">
        <f t="shared" si="3"/>
        <v>-222670</v>
      </c>
      <c r="Q11" s="23">
        <f t="shared" si="4"/>
        <v>99678</v>
      </c>
      <c r="R11" s="23">
        <f t="shared" si="5"/>
        <v>-120657</v>
      </c>
      <c r="S11" s="23">
        <f t="shared" si="1"/>
        <v>-264739</v>
      </c>
      <c r="T11" s="12">
        <f t="shared" si="6"/>
        <v>-5.9372289202624939E-2</v>
      </c>
      <c r="U11" s="12">
        <f t="shared" si="7"/>
        <v>-7.0060810404755536E-2</v>
      </c>
      <c r="V11" s="12">
        <f t="shared" si="8"/>
        <v>3.3725485684820811E-2</v>
      </c>
      <c r="W11" s="12">
        <f t="shared" si="9"/>
        <v>-3.9491733401587514E-2</v>
      </c>
      <c r="X11" s="12">
        <f t="shared" si="9"/>
        <v>-9.0213283627355145E-2</v>
      </c>
      <c r="Y11" s="12">
        <f t="shared" si="9"/>
        <v>1.2647653597694486E-2</v>
      </c>
      <c r="Z11" s="12">
        <f t="shared" si="9"/>
        <v>-3.0009638164450125E-2</v>
      </c>
      <c r="AA11" s="12">
        <f t="shared" si="9"/>
        <v>-2.526295997660033E-2</v>
      </c>
      <c r="AB11" s="12">
        <f t="shared" si="9"/>
        <v>-2.9042518701553832E-2</v>
      </c>
      <c r="AC11" s="12">
        <f t="shared" si="9"/>
        <v>-2.5330880947527779E-2</v>
      </c>
      <c r="AD11" s="48"/>
      <c r="AE11" s="146" t="str">
        <f>'Balance General'!C15&amp;"+"&amp;'Balance General'!C17&amp;"+"&amp;'Balance General'!C16&amp;"+"&amp;'Indicadores Estrategicos'!B5</f>
        <v>Otros inversiones y cuentas por cobrar+Crédito mercantil  activos intangibles  y activos diferidos neto+Propiedades  maquinaria y equipo neto+KTNO</v>
      </c>
    </row>
    <row r="12" spans="1:31" ht="31.5">
      <c r="A12" s="17" t="s">
        <v>107</v>
      </c>
      <c r="B12" s="10" t="s">
        <v>102</v>
      </c>
      <c r="C12" s="48"/>
      <c r="D12" s="12">
        <f>D10/(D5+'Balance General'!D16+'Balance General'!D17)</f>
        <v>0.11828341307995355</v>
      </c>
      <c r="E12" s="12">
        <f>E10/(E5+'Balance General'!E16+'Balance General'!E17)</f>
        <v>0.10666532657963287</v>
      </c>
      <c r="F12" s="12">
        <f>F10/(F5+'Balance General'!F16+'Balance General'!F17)</f>
        <v>9.280298061029045E-2</v>
      </c>
      <c r="G12" s="12">
        <f>G10/(G5+'Balance General'!G16+'Balance General'!G17)</f>
        <v>7.7142766039208291E-2</v>
      </c>
      <c r="H12" s="12">
        <f>H10/(H5+'Balance General'!H16+'Balance General'!H17)</f>
        <v>6.217891570240925E-2</v>
      </c>
      <c r="I12" s="12">
        <f>I10/(I5+'Balance General'!I16+'Balance General'!I17)</f>
        <v>4.9227456298805684E-2</v>
      </c>
      <c r="J12" s="12">
        <f>J10/(J5+'BG Proyectado'!J16+'BG Proyectado'!J17)</f>
        <v>4.0603879429540086E-2</v>
      </c>
      <c r="K12" s="12">
        <f>K10/(K5+'BG Proyectado'!K16+'BG Proyectado'!K17)</f>
        <v>5.0412198836449096E-2</v>
      </c>
      <c r="L12" s="12">
        <f>L10/(L5+'BG Proyectado'!L16+'BG Proyectado'!L17)</f>
        <v>5.7438750160636841E-2</v>
      </c>
      <c r="M12" s="12">
        <f>M10/(M5+'BG Proyectado'!M16+'BG Proyectado'!M17)</f>
        <v>6.29583624464361E-2</v>
      </c>
      <c r="N12" s="12">
        <f>N10/(N5+'BG Proyectado'!N16+'BG Proyectado'!N17)</f>
        <v>6.9096581258838372E-2</v>
      </c>
      <c r="O12" s="12">
        <f t="shared" si="10"/>
        <v>-1.1618086500320673E-2</v>
      </c>
      <c r="P12" s="12">
        <f t="shared" si="3"/>
        <v>-1.3862345969342424E-2</v>
      </c>
      <c r="Q12" s="12">
        <f t="shared" si="4"/>
        <v>-1.5660214571082159E-2</v>
      </c>
      <c r="R12" s="12">
        <f t="shared" si="5"/>
        <v>-1.4963850336799041E-2</v>
      </c>
      <c r="S12" s="12">
        <f t="shared" si="1"/>
        <v>-1.2951459403603566E-2</v>
      </c>
      <c r="T12" s="12">
        <f t="shared" si="6"/>
        <v>-9.8222448928383943E-2</v>
      </c>
      <c r="U12" s="12">
        <f t="shared" si="7"/>
        <v>-0.12996112620527389</v>
      </c>
      <c r="V12" s="12">
        <f t="shared" si="8"/>
        <v>-0.16874689226679518</v>
      </c>
      <c r="W12" s="12">
        <f t="shared" si="9"/>
        <v>-0.19397606677978818</v>
      </c>
      <c r="X12" s="12">
        <f t="shared" si="9"/>
        <v>-0.2082934264339662</v>
      </c>
      <c r="Y12" s="12">
        <f t="shared" si="9"/>
        <v>-0.17517819358614339</v>
      </c>
      <c r="Z12" s="12">
        <f t="shared" si="9"/>
        <v>0.24156114008587259</v>
      </c>
      <c r="AA12" s="12">
        <f t="shared" si="9"/>
        <v>0.13938196480942611</v>
      </c>
      <c r="AB12" s="12">
        <f t="shared" si="9"/>
        <v>9.6095619601101356E-2</v>
      </c>
      <c r="AC12" s="12">
        <f t="shared" si="9"/>
        <v>9.749648138679845E-2</v>
      </c>
      <c r="AD12" s="48"/>
      <c r="AE12" s="146" t="str">
        <f>B10&amp;"/("&amp;B5&amp;"+"&amp;'Balance General'!C16&amp;"+"&amp;'Balance General'!C17&amp;")"</f>
        <v>UODI /(KTNO+Propiedades  maquinaria y equipo neto+Crédito mercantil  activos intangibles  y activos diferidos neto)</v>
      </c>
    </row>
    <row r="13" spans="1:31">
      <c r="A13" s="17" t="s">
        <v>107</v>
      </c>
      <c r="B13" s="10" t="s">
        <v>163</v>
      </c>
      <c r="C13" s="48"/>
      <c r="D13" s="12">
        <f>+('Estados de Resultados Consolida'!C11+'Estados de Resultados Consolida'!C18)/((+'Balance General'!D13-'Balance General'!D6+'Balance General'!D19-'Balance General'!D18)-('Balance General'!D28-'Balance General'!D23+'Balance General'!D35-'Balance General'!D33-'Balance General'!D30))</f>
        <v>0.19725457832962734</v>
      </c>
      <c r="E13" s="12">
        <f>+('Estados de Resultados Consolida'!D9*(1-Suspuestos!$D$21))/((+'Balance General'!E13-'Balance General'!E6+'Balance General'!E19-'Balance General'!E18)-('Balance General'!E28-'Balance General'!E23-'Balance General'!E25+'Balance General'!E35-'Balance General'!E33-'Balance General'!E30-'Balance General'!E31))</f>
        <v>0.10483287595278545</v>
      </c>
      <c r="F13" s="12">
        <f>+('Estados de Resultados Consolida'!E9*(1-Suspuestos!$D$21))/((+'Balance General'!F13-'Balance General'!F6+'Balance General'!F19-'Balance General'!F18)-('Balance General'!F28-'Balance General'!F23-'Balance General'!F25+'Balance General'!F35-'Balance General'!F33-'Balance General'!F30-'Balance General'!F31))</f>
        <v>8.7217322397240366E-2</v>
      </c>
      <c r="G13" s="12">
        <f>+('Estados de Resultados Consolida'!F9*(1-Suspuestos!$D$21))/((+'Balance General'!G13-'Balance General'!G6+'Balance General'!G19-'Balance General'!G18)-('Balance General'!G28-'Balance General'!G23-'Balance General'!G25+'Balance General'!G35-'Balance General'!G33-'Balance General'!G30-'Balance General'!G31))</f>
        <v>7.9739239735236972E-2</v>
      </c>
      <c r="H13" s="12">
        <f>+('Estados de Resultados Consolida'!G9*(1-Suspuestos!$D$21))/((+'Balance General'!H13-'Balance General'!H6+'Balance General'!H19-'Balance General'!H18)-('Balance General'!H28-'Balance General'!H23-'Balance General'!H25+'Balance General'!H35-'Balance General'!H33-'Balance General'!H30-'Balance General'!H31))</f>
        <v>5.650616897967544E-2</v>
      </c>
      <c r="I13" s="12">
        <f>+('ER Proyectado'!H9*(1-Suspuestos!D21))/((+'BG Proyectado'!I13-'BG Proyectado'!I6+'BG Proyectado'!I19-'BG Proyectado'!I18)-('BG Proyectado'!I28-'BG Proyectado'!I23-'BG Proyectado'!I25+'BG Proyectado'!I35-'BG Proyectado'!I33-'BG Proyectado'!I30-'BG Proyectado'!I31))</f>
        <v>4.2360467711127586E-2</v>
      </c>
      <c r="J13" s="12">
        <f>+('ER Proyectado'!I9*(1-Suspuestos!E21))/((+'BG Proyectado'!J13-'BG Proyectado'!J6+'BG Proyectado'!J19-'BG Proyectado'!J18)-('BG Proyectado'!J28-'BG Proyectado'!J23-'BG Proyectado'!J25+'BG Proyectado'!J35-'BG Proyectado'!J33-'BG Proyectado'!J30-'BG Proyectado'!J31))</f>
        <v>3.5913947547210376E-2</v>
      </c>
      <c r="K13" s="12">
        <f>+('ER Proyectado'!J9*(1-Suspuestos!F21))/((+'BG Proyectado'!K13-'BG Proyectado'!K6+'BG Proyectado'!K19-'BG Proyectado'!K18)-('BG Proyectado'!K28-'BG Proyectado'!K23-'BG Proyectado'!K25+'BG Proyectado'!K35-'BG Proyectado'!K33-'BG Proyectado'!K30-'BG Proyectado'!K31))</f>
        <v>4.545401071781853E-2</v>
      </c>
      <c r="L13" s="12">
        <f>+('ER Proyectado'!K9*(1-Suspuestos!G21))/((+'BG Proyectado'!L13-'BG Proyectado'!L6+'BG Proyectado'!L19-'BG Proyectado'!L18)-('BG Proyectado'!L28-'BG Proyectado'!L23-'BG Proyectado'!L25+'BG Proyectado'!L35-'BG Proyectado'!L33-'BG Proyectado'!L30-'BG Proyectado'!L31))</f>
        <v>5.2863552982657512E-2</v>
      </c>
      <c r="M13" s="12">
        <f>+('ER Proyectado'!L9*(1-Suspuestos!H21))/((+'BG Proyectado'!M13-'BG Proyectado'!M6+'BG Proyectado'!M19-'BG Proyectado'!M18)-('BG Proyectado'!M28-'BG Proyectado'!M23-'BG Proyectado'!M25+'BG Proyectado'!M35-'BG Proyectado'!M33-'BG Proyectado'!M30-'BG Proyectado'!M31))</f>
        <v>5.8564524499737751E-2</v>
      </c>
      <c r="N13" s="12">
        <f>+('ER Proyectado'!M9*(1-Suspuestos!I21))/((+'BG Proyectado'!N13-'BG Proyectado'!N6+'BG Proyectado'!N19-'BG Proyectado'!N18)-('BG Proyectado'!N28-'BG Proyectado'!N23-'BG Proyectado'!N25+'BG Proyectado'!N35-'BG Proyectado'!N33-'BG Proyectado'!N30-'BG Proyectado'!N31))</f>
        <v>6.4155167331097995E-2</v>
      </c>
      <c r="O13" s="12">
        <f>E13-D13</f>
        <v>-9.2421702376841885E-2</v>
      </c>
      <c r="P13" s="12">
        <f t="shared" ref="P13" si="18">F13-E13</f>
        <v>-1.7615553555545088E-2</v>
      </c>
      <c r="Q13" s="12">
        <f t="shared" ref="Q13" si="19">G13-F13</f>
        <v>-7.4780826620033936E-3</v>
      </c>
      <c r="R13" s="12">
        <f t="shared" ref="R13" si="20">H13-G13</f>
        <v>-2.3233070755561532E-2</v>
      </c>
      <c r="S13" s="12">
        <f t="shared" si="1"/>
        <v>-1.4145701268547854E-2</v>
      </c>
      <c r="T13" s="12">
        <f t="shared" ref="T13" si="21">E13/D13-1</f>
        <v>-0.46854021417134473</v>
      </c>
      <c r="U13" s="12">
        <f t="shared" ref="U13" si="22">F13/E13-1</f>
        <v>-0.16803463031462351</v>
      </c>
      <c r="V13" s="12">
        <f t="shared" ref="V13" si="23">G13/F13-1</f>
        <v>-8.5740796168262134E-2</v>
      </c>
      <c r="W13" s="12">
        <f t="shared" ref="W13:AC13" si="24">H13/G13-1</f>
        <v>-0.29136308337907035</v>
      </c>
      <c r="X13" s="12">
        <f t="shared" si="24"/>
        <v>-0.25033906074283474</v>
      </c>
      <c r="Y13" s="12">
        <f t="shared" si="24"/>
        <v>-0.15218245954880683</v>
      </c>
      <c r="Z13" s="12">
        <f t="shared" si="24"/>
        <v>0.26563671838266578</v>
      </c>
      <c r="AA13" s="12">
        <f t="shared" si="24"/>
        <v>0.16301184753173725</v>
      </c>
      <c r="AB13" s="12">
        <f t="shared" si="24"/>
        <v>0.10784313946795265</v>
      </c>
      <c r="AC13" s="12">
        <f t="shared" si="24"/>
        <v>9.5461251997107643E-2</v>
      </c>
      <c r="AD13" s="48"/>
      <c r="AE13" s="146" t="s">
        <v>1305</v>
      </c>
    </row>
    <row r="14" spans="1:31">
      <c r="A14" s="17" t="s">
        <v>107</v>
      </c>
      <c r="B14" s="10" t="s">
        <v>164</v>
      </c>
      <c r="C14" s="48"/>
      <c r="D14" s="12">
        <f>+'Estados de Resultados Consolida'!C22/'Balance General'!D46</f>
        <v>0.19448238890292119</v>
      </c>
      <c r="E14" s="12">
        <f>+'Estados de Resultados Consolida'!D22/'Balance General'!E46</f>
        <v>0.19515422936000509</v>
      </c>
      <c r="F14" s="12">
        <f>+'Estados de Resultados Consolida'!E22/'Balance General'!F46</f>
        <v>7.251664053037063E-2</v>
      </c>
      <c r="G14" s="12">
        <f>+'Estados de Resultados Consolida'!F22/'Balance General'!G46</f>
        <v>9.4828656547104942E-2</v>
      </c>
      <c r="H14" s="12">
        <f>+'Estados de Resultados Consolida'!G22/'Balance General'!H46</f>
        <v>2.9872751604781454E-2</v>
      </c>
      <c r="I14" s="12">
        <f>+'Estados de Resultados Consolida'!H22/'Balance General'!I46</f>
        <v>4.1352107701563189E-2</v>
      </c>
      <c r="J14" s="12">
        <f>+'ER Proyectado'!I23/'BG Proyectado'!J46</f>
        <v>4.2094103879593378E-2</v>
      </c>
      <c r="K14" s="12">
        <f>+'ER Proyectado'!J23/'BG Proyectado'!K46</f>
        <v>5.5857286008520114E-2</v>
      </c>
      <c r="L14" s="12">
        <f>+'ER Proyectado'!K23/'BG Proyectado'!L46</f>
        <v>6.7236025836479654E-2</v>
      </c>
      <c r="M14" s="12">
        <f>+'ER Proyectado'!L23/'BG Proyectado'!M46</f>
        <v>7.5705685845432441E-2</v>
      </c>
      <c r="N14" s="12">
        <f>+'ER Proyectado'!M23/'BG Proyectado'!N46</f>
        <v>7.996913891447173E-2</v>
      </c>
      <c r="O14" s="12">
        <f t="shared" ref="O14" si="25">E14-D14</f>
        <v>6.7184045708390538E-4</v>
      </c>
      <c r="P14" s="12">
        <f t="shared" ref="P14" si="26">F14-E14</f>
        <v>-0.12263758882963446</v>
      </c>
      <c r="Q14" s="12">
        <f t="shared" ref="Q14" si="27">G14-F14</f>
        <v>2.2312016016734312E-2</v>
      </c>
      <c r="R14" s="12">
        <f t="shared" ref="R14" si="28">H14-G14</f>
        <v>-6.4955904942323492E-2</v>
      </c>
      <c r="S14" s="12">
        <f t="shared" si="1"/>
        <v>1.1479356096781735E-2</v>
      </c>
      <c r="T14" s="12">
        <f t="shared" ref="T14" si="29">E14/D14-1</f>
        <v>3.4545053712768947E-3</v>
      </c>
      <c r="U14" s="12">
        <f t="shared" ref="U14" si="30">F14/E14-1</f>
        <v>-0.6284136871223136</v>
      </c>
      <c r="V14" s="12">
        <f t="shared" ref="V14" si="31">G14/F14-1</f>
        <v>0.30768132463871978</v>
      </c>
      <c r="W14" s="12">
        <f t="shared" ref="W14:AC14" si="32">H14/G14-1</f>
        <v>-0.68498181148498571</v>
      </c>
      <c r="X14" s="12">
        <f t="shared" si="32"/>
        <v>0.38427514976371779</v>
      </c>
      <c r="Y14" s="12">
        <f t="shared" si="32"/>
        <v>1.794337022395931E-2</v>
      </c>
      <c r="Z14" s="12">
        <f t="shared" si="32"/>
        <v>0.3269622312971705</v>
      </c>
      <c r="AA14" s="12">
        <f t="shared" si="32"/>
        <v>0.20371093264760298</v>
      </c>
      <c r="AB14" s="12">
        <f t="shared" si="32"/>
        <v>0.12596907541131741</v>
      </c>
      <c r="AC14" s="12">
        <f t="shared" si="32"/>
        <v>5.6316154083115189E-2</v>
      </c>
      <c r="AD14" s="48"/>
      <c r="AE14" s="146" t="str">
        <f>'Estados de Resultados Consolida'!B22&amp;"/"&amp;'Balance General'!C46</f>
        <v>Utilidad Neta De La Participación Controladora/Total Patrimonio</v>
      </c>
    </row>
    <row r="15" spans="1:31">
      <c r="A15" s="17" t="s">
        <v>107</v>
      </c>
      <c r="B15" s="10" t="s">
        <v>165</v>
      </c>
      <c r="C15" s="64"/>
      <c r="D15" s="12">
        <f>+'Estados de Resultados Consolida'!C22/'Balance General'!D20</f>
        <v>6.884294082441679E-2</v>
      </c>
      <c r="E15" s="12">
        <f>+'Estados de Resultados Consolida'!D22/'Balance General'!E20</f>
        <v>7.8473796908098303E-2</v>
      </c>
      <c r="F15" s="12">
        <f>+'Estados de Resultados Consolida'!E22/'Balance General'!F20</f>
        <v>2.9869593641399718E-2</v>
      </c>
      <c r="G15" s="12">
        <f>+'Estados de Resultados Consolida'!F22/'Balance General'!G20</f>
        <v>4.242307064249088E-2</v>
      </c>
      <c r="H15" s="12">
        <f>+'Estados de Resultados Consolida'!G22/'Balance General'!H20</f>
        <v>1.3993671502849584E-2</v>
      </c>
      <c r="I15" s="12">
        <f>+'Estados de Resultados Consolida'!H22/'Balance General'!I20</f>
        <v>2.0590718296360531E-2</v>
      </c>
      <c r="J15" s="12">
        <f>+'ER Proyectado'!I23/'BG Proyectado'!J20</f>
        <v>2.0834967612740962E-2</v>
      </c>
      <c r="K15" s="12">
        <f>+'ER Proyectado'!J23/'BG Proyectado'!K20</f>
        <v>2.7908228650404793E-2</v>
      </c>
      <c r="L15" s="12">
        <f>+'ER Proyectado'!K23/'BG Proyectado'!L20</f>
        <v>3.3991590364784351E-2</v>
      </c>
      <c r="M15" s="12">
        <f>+'ER Proyectado'!L23/'BG Proyectado'!M20</f>
        <v>3.8718943724376731E-2</v>
      </c>
      <c r="N15" s="12">
        <f>+'ER Proyectado'!M23/'BG Proyectado'!N20</f>
        <v>4.1052724654920332E-2</v>
      </c>
      <c r="O15" s="12">
        <f t="shared" ref="O15" si="33">E15-D15</f>
        <v>9.6308560836815132E-3</v>
      </c>
      <c r="P15" s="12">
        <f t="shared" ref="P15:P16" si="34">F15-E15</f>
        <v>-4.8604203266698585E-2</v>
      </c>
      <c r="Q15" s="12">
        <f t="shared" ref="Q15:Q16" si="35">G15-F15</f>
        <v>1.2553477001091162E-2</v>
      </c>
      <c r="R15" s="12">
        <f t="shared" ref="R15:R16" si="36">H15-G15</f>
        <v>-2.8429399139641296E-2</v>
      </c>
      <c r="S15" s="12">
        <f t="shared" si="1"/>
        <v>6.5970467935109467E-3</v>
      </c>
      <c r="T15" s="12">
        <f t="shared" ref="T15" si="37">E15/D15-1</f>
        <v>0.13989605859873011</v>
      </c>
      <c r="U15" s="12">
        <f t="shared" ref="U15" si="38">F15/E15-1</f>
        <v>-0.61936856863979206</v>
      </c>
      <c r="V15" s="12">
        <f t="shared" ref="V15" si="39">G15/F15-1</f>
        <v>0.42027612266180436</v>
      </c>
      <c r="W15" s="12">
        <f t="shared" ref="W15:AC15" si="40">H15/G15-1</f>
        <v>-0.67014006079905153</v>
      </c>
      <c r="X15" s="12">
        <f t="shared" si="40"/>
        <v>0.4714307315394366</v>
      </c>
      <c r="Y15" s="12">
        <f t="shared" si="40"/>
        <v>1.1862107618829443E-2</v>
      </c>
      <c r="Z15" s="12">
        <f t="shared" si="40"/>
        <v>0.33948989838306276</v>
      </c>
      <c r="AA15" s="12">
        <f t="shared" si="40"/>
        <v>0.21797734964061655</v>
      </c>
      <c r="AB15" s="12">
        <f t="shared" si="40"/>
        <v>0.13907420361507916</v>
      </c>
      <c r="AC15" s="12">
        <f t="shared" si="40"/>
        <v>6.0274912124586022E-2</v>
      </c>
      <c r="AD15" s="64"/>
      <c r="AE15" s="147" t="str">
        <f>+'Estados de Resultados Consolida'!B22&amp;"/"&amp;'Balance General'!C20</f>
        <v>Utilidad Neta De La Participación Controladora/Total del Activo</v>
      </c>
    </row>
    <row r="16" spans="1:31">
      <c r="A16" s="17" t="s">
        <v>107</v>
      </c>
      <c r="B16" s="10" t="s">
        <v>854</v>
      </c>
      <c r="C16" s="220"/>
      <c r="D16" s="221">
        <v>-92311</v>
      </c>
      <c r="E16" s="221">
        <v>-134401</v>
      </c>
      <c r="F16" s="221">
        <v>-186628</v>
      </c>
      <c r="G16" s="221">
        <v>-187408</v>
      </c>
      <c r="H16" s="221">
        <f>-68278-600</f>
        <v>-68878</v>
      </c>
      <c r="I16" s="221">
        <f>-34364+31414</f>
        <v>-2950</v>
      </c>
      <c r="J16" s="221">
        <f>Suspuestos!E35*'ER Proyectado'!I3*-1</f>
        <v>-44914.386591802584</v>
      </c>
      <c r="K16" s="221">
        <f>Suspuestos!F35*'ER Proyectado'!J3*-1</f>
        <v>-45560.113416219901</v>
      </c>
      <c r="L16" s="221">
        <f>Suspuestos!G35*'ER Proyectado'!K3*-1</f>
        <v>-46137.573475246136</v>
      </c>
      <c r="M16" s="221">
        <f>Suspuestos!H35*'ER Proyectado'!L3*-1</f>
        <v>-46784.026073989306</v>
      </c>
      <c r="N16" s="221">
        <f>Suspuestos!I35*'ER Proyectado'!M3*-1</f>
        <v>-47953.626725839036</v>
      </c>
      <c r="O16" s="14">
        <f t="shared" ref="O16" si="41">E16-D16</f>
        <v>-42090</v>
      </c>
      <c r="P16" s="14">
        <f t="shared" si="34"/>
        <v>-52227</v>
      </c>
      <c r="Q16" s="14">
        <f t="shared" si="35"/>
        <v>-780</v>
      </c>
      <c r="R16" s="14">
        <f t="shared" si="36"/>
        <v>118530</v>
      </c>
      <c r="S16" s="14">
        <f t="shared" si="1"/>
        <v>65928</v>
      </c>
      <c r="T16" s="12">
        <f t="shared" ref="T16:T17" si="42">E16/D16-1</f>
        <v>0.45595866148129693</v>
      </c>
      <c r="U16" s="12">
        <f t="shared" ref="U16:AC17" si="43">F16/E16-1</f>
        <v>0.38859085869896792</v>
      </c>
      <c r="V16" s="12">
        <f t="shared" si="43"/>
        <v>4.1794371691279419E-3</v>
      </c>
      <c r="W16" s="12">
        <f t="shared" si="43"/>
        <v>-0.63247033210962178</v>
      </c>
      <c r="X16" s="12">
        <f t="shared" si="43"/>
        <v>-0.95717064955428444</v>
      </c>
      <c r="Y16" s="12">
        <f t="shared" si="43"/>
        <v>14.225215793831385</v>
      </c>
      <c r="Z16" s="12">
        <f t="shared" si="43"/>
        <v>1.4376837209999271E-2</v>
      </c>
      <c r="AA16" s="12">
        <f t="shared" si="43"/>
        <v>1.2674684405431069E-2</v>
      </c>
      <c r="AB16" s="12">
        <f t="shared" si="43"/>
        <v>1.4011413042560816E-2</v>
      </c>
      <c r="AC16" s="12">
        <f t="shared" si="43"/>
        <v>2.4999999999999911E-2</v>
      </c>
      <c r="AD16" s="220"/>
      <c r="AE16" s="220"/>
    </row>
    <row r="17" spans="1:31">
      <c r="A17" s="219" t="s">
        <v>107</v>
      </c>
      <c r="B17" s="10" t="s">
        <v>855</v>
      </c>
      <c r="C17" s="220"/>
      <c r="D17" s="12">
        <f>D16/'Estados de Resultados Consolida'!C3*-1</f>
        <v>5.2745646574284218E-2</v>
      </c>
      <c r="E17" s="12">
        <f>E16/'Estados de Resultados Consolida'!D3*-1</f>
        <v>7.792672391300566E-2</v>
      </c>
      <c r="F17" s="12">
        <f>F16/'Estados de Resultados Consolida'!E3*-1</f>
        <v>0.13077814636826254</v>
      </c>
      <c r="G17" s="12">
        <f>G16/'Estados de Resultados Consolida'!F3*-1</f>
        <v>0.14248026724933591</v>
      </c>
      <c r="H17" s="12">
        <f>H16/'Estados de Resultados Consolida'!G3*-1</f>
        <v>5.7091324734573165E-2</v>
      </c>
      <c r="I17" s="12">
        <f>I16/'Estados de Resultados Consolida'!H3*-1</f>
        <v>2.6616645418463289E-3</v>
      </c>
      <c r="J17" s="12">
        <f>J16/'ER Proyectado'!I3*-1</f>
        <v>4.4048279369999679E-2</v>
      </c>
      <c r="K17" s="12">
        <f>K16/'ER Proyectado'!J3*-1</f>
        <v>4.4048279369999679E-2</v>
      </c>
      <c r="L17" s="12">
        <f>L16/'ER Proyectado'!K3*-1</f>
        <v>4.3999999999999997E-2</v>
      </c>
      <c r="M17" s="12">
        <f>M16/'ER Proyectado'!L3*-1</f>
        <v>4.4048279369999679E-2</v>
      </c>
      <c r="N17" s="12">
        <f>N16/'ER Proyectado'!M3*-1</f>
        <v>4.4048279369999679E-2</v>
      </c>
      <c r="O17" s="12">
        <f>E17-D17</f>
        <v>2.5181077338721443E-2</v>
      </c>
      <c r="P17" s="12">
        <f t="shared" ref="P17:R17" si="44">F17-E17</f>
        <v>5.2851422455256883E-2</v>
      </c>
      <c r="Q17" s="12">
        <f t="shared" si="44"/>
        <v>1.1702120881073363E-2</v>
      </c>
      <c r="R17" s="12">
        <f t="shared" si="44"/>
        <v>-8.5388942514762742E-2</v>
      </c>
      <c r="S17" s="12">
        <f t="shared" si="1"/>
        <v>-5.4429660192726839E-2</v>
      </c>
      <c r="T17" s="12">
        <f t="shared" si="42"/>
        <v>0.47740579505946013</v>
      </c>
      <c r="U17" s="12">
        <f t="shared" si="43"/>
        <v>0.67821948365567297</v>
      </c>
      <c r="V17" s="12">
        <f t="shared" si="43"/>
        <v>8.9480706112173847E-2</v>
      </c>
      <c r="W17" s="12">
        <f t="shared" si="43"/>
        <v>-0.59930363806333142</v>
      </c>
      <c r="X17" s="12">
        <f t="shared" si="43"/>
        <v>-0.95337882674432872</v>
      </c>
      <c r="Y17" s="12">
        <f t="shared" si="43"/>
        <v>15.549147601990637</v>
      </c>
      <c r="Z17" s="12">
        <f t="shared" si="43"/>
        <v>0</v>
      </c>
      <c r="AA17" s="12">
        <f t="shared" si="43"/>
        <v>-1.0960557526922265E-3</v>
      </c>
      <c r="AB17" s="12">
        <f t="shared" si="43"/>
        <v>1.0972584090835902E-3</v>
      </c>
      <c r="AC17" s="12">
        <f t="shared" si="43"/>
        <v>0</v>
      </c>
      <c r="AD17" s="220"/>
      <c r="AE17" s="220" t="str">
        <f>B16&amp;"/"&amp;'Estados de Resultados Consolida'!B3</f>
        <v>Capex/Ingresos</v>
      </c>
    </row>
    <row r="18" spans="1:31" ht="31.5">
      <c r="A18" s="219" t="s">
        <v>107</v>
      </c>
      <c r="B18" s="10" t="s">
        <v>1248</v>
      </c>
      <c r="C18" s="220"/>
      <c r="D18" s="359">
        <f>('Balance General'!D23+'Balance General'!D30+'Balance General'!D25+'Balance General'!D31)-'Balance General'!D6</f>
        <v>1391194</v>
      </c>
      <c r="E18" s="359">
        <f>('Balance General'!E23+'Balance General'!E30+'Balance General'!E25+'Balance General'!E31)-'Balance General'!E6</f>
        <v>1167166</v>
      </c>
      <c r="F18" s="359">
        <f>('Balance General'!F23+'Balance General'!F30+'Balance General'!F25+'Balance General'!F31)-'Balance General'!F6</f>
        <v>1053378</v>
      </c>
      <c r="G18" s="359">
        <f>('Balance General'!G23+'Balance General'!G30+'Balance General'!G25+'Balance General'!G31)-'Balance General'!G6</f>
        <v>971020</v>
      </c>
      <c r="H18" s="359">
        <f>('Balance General'!H23+'Balance General'!H30+'Balance General'!H25+'Balance General'!H31)-'Balance General'!H6</f>
        <v>915187</v>
      </c>
      <c r="I18" s="359">
        <f>('Balance General'!I23+'Balance General'!I30+'Balance General'!I25+'Balance General'!I31)-'Balance General'!I6</f>
        <v>847981</v>
      </c>
      <c r="J18" s="359">
        <f>('BG Proyectado'!J23+'BG Proyectado'!J30+'BG Proyectado'!J25+'BG Proyectado'!J31)-'BG Proyectado'!J6</f>
        <v>881438.25862747245</v>
      </c>
      <c r="K18" s="359">
        <f>('BG Proyectado'!K23+'BG Proyectado'!K30+'BG Proyectado'!K25+'BG Proyectado'!K31)-'BG Proyectado'!K6</f>
        <v>855053.8156313831</v>
      </c>
      <c r="L18" s="359">
        <f>('BG Proyectado'!L23+'BG Proyectado'!L30+'BG Proyectado'!L25+'BG Proyectado'!L31)-'BG Proyectado'!L6</f>
        <v>819519.27997587703</v>
      </c>
      <c r="M18" s="359">
        <f>('BG Proyectado'!M23+'BG Proyectado'!M30+'BG Proyectado'!M25+'BG Proyectado'!M31)-'BG Proyectado'!M6</f>
        <v>787685.01593594521</v>
      </c>
      <c r="N18" s="359">
        <f>('BG Proyectado'!N23+'BG Proyectado'!N30+'BG Proyectado'!N25+'BG Proyectado'!N31)-'BG Proyectado'!N6</f>
        <v>762316.92458294379</v>
      </c>
      <c r="O18" s="11">
        <f t="shared" ref="O18" si="45">E18-D18</f>
        <v>-224028</v>
      </c>
      <c r="P18" s="11">
        <f t="shared" ref="P18" si="46">F18-E18</f>
        <v>-113788</v>
      </c>
      <c r="Q18" s="11">
        <f t="shared" ref="Q18" si="47">G18-F18</f>
        <v>-82358</v>
      </c>
      <c r="R18" s="11">
        <f t="shared" ref="R18" si="48">H18-G18</f>
        <v>-55833</v>
      </c>
      <c r="S18" s="415">
        <f t="shared" ref="S18" si="49">I18-H18</f>
        <v>-67206</v>
      </c>
      <c r="T18" s="287">
        <f t="shared" ref="T18" si="50">E18/D18-1</f>
        <v>-0.16103289692163714</v>
      </c>
      <c r="U18" s="287">
        <f t="shared" ref="U18" si="51">F18/E18-1</f>
        <v>-9.7490845346763E-2</v>
      </c>
      <c r="V18" s="287">
        <f t="shared" ref="V18" si="52">G18/F18-1</f>
        <v>-7.8184659258120015E-2</v>
      </c>
      <c r="W18" s="287">
        <f t="shared" ref="W18" si="53">H18/G18-1</f>
        <v>-5.7499330600811471E-2</v>
      </c>
      <c r="X18" s="287">
        <f t="shared" ref="X18" si="54">I18/H18-1</f>
        <v>-7.34341724696701E-2</v>
      </c>
      <c r="Y18" s="287">
        <f t="shared" ref="Y18" si="55">J18/I18-1</f>
        <v>3.94551984389655E-2</v>
      </c>
      <c r="Z18" s="287">
        <f t="shared" ref="Z18" si="56">K18/J18-1</f>
        <v>-2.9933398894182117E-2</v>
      </c>
      <c r="AA18" s="287">
        <f t="shared" ref="AA18" si="57">L18/K18-1</f>
        <v>-4.1558244646001441E-2</v>
      </c>
      <c r="AB18" s="287">
        <f t="shared" ref="AB18" si="58">M18/L18-1</f>
        <v>-3.8845045891865881E-2</v>
      </c>
      <c r="AC18" s="287">
        <f t="shared" ref="AC18" si="59">N18/M18-1</f>
        <v>-3.2205882858973078E-2</v>
      </c>
      <c r="AD18" s="220"/>
      <c r="AE18" s="355" t="str">
        <f>"("&amp;'Balance General'!B23&amp;"+"&amp;'Balance General'!C30&amp;"+"&amp;'Balance General'!C25&amp;"+"&amp;'Balance General'!C31&amp;")-"&amp;'Balance General'!C6</f>
        <v>(Pasivo+Deuda a largo plazo+Cuentas por pagar a partes relacionadas+Cuentas por pagar a partes relacionadas  a largo plazo)-Efectivo y equivalente de efectivo</v>
      </c>
    </row>
    <row r="19" spans="1:31">
      <c r="A19" s="219" t="s">
        <v>107</v>
      </c>
      <c r="B19" s="10" t="s">
        <v>1250</v>
      </c>
      <c r="C19" s="220"/>
      <c r="D19" s="422">
        <f>D3/'Estados de Resultados Consolida'!C14*-1</f>
        <v>5.5614528577205045</v>
      </c>
      <c r="E19" s="422">
        <f>E3/'Estados de Resultados Consolida'!D14*-1</f>
        <v>6.3786222069895739</v>
      </c>
      <c r="F19" s="422">
        <f>F3/'Estados de Resultados Consolida'!E14*-1</f>
        <v>6.0987687801703094</v>
      </c>
      <c r="G19" s="422">
        <f>G3/'Estados de Resultados Consolida'!F14*-1</f>
        <v>6.6506020313652847</v>
      </c>
      <c r="H19" s="422">
        <f>H3/'Estados de Resultados Consolida'!G14*-1</f>
        <v>4.9656633362843055</v>
      </c>
      <c r="I19" s="422">
        <f>I3/'Estados de Resultados Consolida'!H14*-1</f>
        <v>4.1102881355932199</v>
      </c>
      <c r="J19" s="422">
        <f>J3/'ER Proyectado'!I15*-1</f>
        <v>4.2174453211337255</v>
      </c>
      <c r="K19" s="422">
        <f>K3/'ER Proyectado'!J15*-1</f>
        <v>4.8848910518237592</v>
      </c>
      <c r="L19" s="422">
        <f>L3/'ER Proyectado'!K15*-1</f>
        <v>5.4292309991179257</v>
      </c>
      <c r="M19" s="422">
        <f>M3/'ER Proyectado'!L15*-1</f>
        <v>5.9580826340007054</v>
      </c>
      <c r="N19" s="422">
        <f>N3/'ER Proyectado'!M15*-1</f>
        <v>5.2520281291568685</v>
      </c>
      <c r="O19" s="423">
        <f t="shared" ref="O19:S20" si="60">E19-D19</f>
        <v>0.81716934926906948</v>
      </c>
      <c r="P19" s="423">
        <f t="shared" si="60"/>
        <v>-0.27985342681926451</v>
      </c>
      <c r="Q19" s="423">
        <f t="shared" si="60"/>
        <v>0.55183325119497528</v>
      </c>
      <c r="R19" s="423">
        <f t="shared" si="60"/>
        <v>-1.6849386950809793</v>
      </c>
      <c r="S19" s="424">
        <f t="shared" si="60"/>
        <v>-0.85537520069108552</v>
      </c>
      <c r="T19" s="425">
        <f t="shared" ref="T19:AC20" si="61">E19/D19-1</f>
        <v>0.14693450977196743</v>
      </c>
      <c r="U19" s="425">
        <f t="shared" si="61"/>
        <v>-4.3873648217103489E-2</v>
      </c>
      <c r="V19" s="425">
        <f t="shared" si="61"/>
        <v>9.0482730381453269E-2</v>
      </c>
      <c r="W19" s="425">
        <f t="shared" si="61"/>
        <v>-0.25335130370672365</v>
      </c>
      <c r="X19" s="424">
        <f t="shared" si="61"/>
        <v>-0.1722579930944621</v>
      </c>
      <c r="Y19" s="419">
        <f t="shared" si="61"/>
        <v>2.6070480220735215E-2</v>
      </c>
      <c r="Z19" s="419">
        <f t="shared" si="61"/>
        <v>0.15825830090681814</v>
      </c>
      <c r="AA19" s="419">
        <f t="shared" si="61"/>
        <v>0.11143338541622927</v>
      </c>
      <c r="AB19" s="419">
        <f t="shared" si="61"/>
        <v>9.740820292389496E-2</v>
      </c>
      <c r="AC19" s="419">
        <f t="shared" si="61"/>
        <v>-0.11850364424531967</v>
      </c>
      <c r="AD19" s="417"/>
      <c r="AE19" s="417"/>
    </row>
    <row r="20" spans="1:31">
      <c r="A20" s="219" t="s">
        <v>107</v>
      </c>
      <c r="B20" s="426" t="s">
        <v>1251</v>
      </c>
      <c r="C20" s="220"/>
      <c r="D20" s="418">
        <f>'Estados de Resultados Consolida'!C15*-1/'ER Proyectado'!C3</f>
        <v>1.1942065554511815E-3</v>
      </c>
      <c r="E20" s="418">
        <f>'Estados de Resultados Consolida'!D15*-1/'ER Proyectado'!D3</f>
        <v>1.2732575331505006E-3</v>
      </c>
      <c r="F20" s="418">
        <f>'Estados de Resultados Consolida'!E15*-1/'ER Proyectado'!E3</f>
        <v>7.1195424432643939E-4</v>
      </c>
      <c r="G20" s="418">
        <f>'Estados de Resultados Consolida'!F15*-1/'ER Proyectado'!F3</f>
        <v>2.6548551461766895E-3</v>
      </c>
      <c r="H20" s="418">
        <f>'Estados de Resultados Consolida'!G15*-1/'ER Proyectado'!G3</f>
        <v>2.729488840427269E-3</v>
      </c>
      <c r="I20" s="418">
        <f>'Estados de Resultados Consolida'!H15*-1/'ER Proyectado'!H3</f>
        <v>1.5536902851048741E-3</v>
      </c>
      <c r="J20" s="418">
        <f>'Estados de Resultados Consolida'!I15*-1/'ER Proyectado'!I3</f>
        <v>1.1711780561108519E-9</v>
      </c>
      <c r="K20" s="418">
        <f>'Estados de Resultados Consolida'!J15*-1/'ER Proyectado'!J3</f>
        <v>1.2310066706331568E-9</v>
      </c>
      <c r="L20" s="418">
        <f>'Estados de Resultados Consolida'!K15*-1/'ER Proyectado'!K3</f>
        <v>6.789691002534072E-10</v>
      </c>
      <c r="M20" s="418">
        <f>'Estados de Resultados Consolida'!L15*-1/'ER Proyectado'!L3</f>
        <v>2.4996096099281357E-9</v>
      </c>
      <c r="N20" s="418">
        <f>'Estados de Resultados Consolida'!M15*-1/'ER Proyectado'!M3</f>
        <v>2.5071990418537668E-9</v>
      </c>
      <c r="O20" s="420">
        <f t="shared" si="60"/>
        <v>7.9050977699319071E-5</v>
      </c>
      <c r="P20" s="420">
        <f t="shared" si="60"/>
        <v>-5.6130328882406121E-4</v>
      </c>
      <c r="Q20" s="420">
        <f t="shared" si="60"/>
        <v>1.9429009018502501E-3</v>
      </c>
      <c r="R20" s="420">
        <f t="shared" si="60"/>
        <v>7.4633694250579499E-5</v>
      </c>
      <c r="S20" s="421">
        <f t="shared" si="60"/>
        <v>-1.1757985553223949E-3</v>
      </c>
      <c r="T20" s="417">
        <f t="shared" si="61"/>
        <v>6.6195397553694413E-2</v>
      </c>
      <c r="U20" s="417">
        <f t="shared" si="61"/>
        <v>-0.44084034392884641</v>
      </c>
      <c r="V20" s="417">
        <f t="shared" si="61"/>
        <v>2.7289687747958804</v>
      </c>
      <c r="W20" s="417">
        <f t="shared" si="61"/>
        <v>2.8112153070972923E-2</v>
      </c>
      <c r="X20" s="419">
        <f t="shared" si="61"/>
        <v>-0.43077609913889137</v>
      </c>
      <c r="Y20" s="419">
        <f t="shared" si="61"/>
        <v>-0.99999924619593283</v>
      </c>
      <c r="Z20" s="419">
        <f t="shared" si="61"/>
        <v>5.108413209258611E-2</v>
      </c>
      <c r="AA20" s="419">
        <f t="shared" si="61"/>
        <v>-0.44844401216429985</v>
      </c>
      <c r="AB20" s="419">
        <f t="shared" si="61"/>
        <v>2.6814777123071178</v>
      </c>
      <c r="AC20" s="419">
        <f t="shared" si="61"/>
        <v>3.0362468985103419E-3</v>
      </c>
      <c r="AD20" s="417"/>
      <c r="AE20" s="417"/>
    </row>
  </sheetData>
  <mergeCells count="1">
    <mergeCell ref="B1:N1"/>
  </mergeCells>
  <conditionalFormatting sqref="D12:H12 D13:D15">
    <cfRule type="iconSet" priority="44">
      <iconSet>
        <cfvo type="percent" val="0"/>
        <cfvo type="num" val="0"/>
        <cfvo type="num" val="0"/>
      </iconSet>
    </cfRule>
  </conditionalFormatting>
  <conditionalFormatting sqref="O12:W15">
    <cfRule type="iconSet" priority="43">
      <iconSet>
        <cfvo type="percent" val="0"/>
        <cfvo type="num" val="0"/>
        <cfvo type="num" val="0"/>
      </iconSet>
    </cfRule>
  </conditionalFormatting>
  <conditionalFormatting sqref="T3:W11">
    <cfRule type="iconSet" priority="42">
      <iconSet>
        <cfvo type="percent" val="0"/>
        <cfvo type="num" val="0"/>
        <cfvo type="num" val="0"/>
      </iconSet>
    </cfRule>
  </conditionalFormatting>
  <conditionalFormatting sqref="O6:S6 D6:H6">
    <cfRule type="iconSet" priority="41">
      <iconSet>
        <cfvo type="percent" val="0"/>
        <cfvo type="num" val="0"/>
        <cfvo type="num" val="0"/>
      </iconSet>
    </cfRule>
  </conditionalFormatting>
  <conditionalFormatting sqref="O7:S7 D7">
    <cfRule type="iconSet" priority="40">
      <iconSet>
        <cfvo type="percent" val="0"/>
        <cfvo type="num" val="0"/>
        <cfvo type="num" val="0"/>
      </iconSet>
    </cfRule>
  </conditionalFormatting>
  <conditionalFormatting sqref="O8:S9 D8:D9">
    <cfRule type="iconSet" priority="39">
      <iconSet>
        <cfvo type="percent" val="0"/>
        <cfvo type="num" val="0"/>
        <cfvo type="num" val="0"/>
      </iconSet>
    </cfRule>
  </conditionalFormatting>
  <conditionalFormatting sqref="D4:N4 P4:S4">
    <cfRule type="iconSet" priority="103">
      <iconSet>
        <cfvo type="percent" val="0"/>
        <cfvo type="num" val="0"/>
        <cfvo type="num" val="0"/>
      </iconSet>
    </cfRule>
  </conditionalFormatting>
  <conditionalFormatting sqref="I15:N15 I12:L14 N12:N14">
    <cfRule type="iconSet" priority="105">
      <iconSet>
        <cfvo type="percent" val="0"/>
        <cfvo type="num" val="0"/>
        <cfvo type="num" val="0"/>
      </iconSet>
    </cfRule>
  </conditionalFormatting>
  <conditionalFormatting sqref="I6:N6">
    <cfRule type="iconSet" priority="106">
      <iconSet>
        <cfvo type="percent" val="0"/>
        <cfvo type="num" val="0"/>
        <cfvo type="num" val="0"/>
      </iconSet>
    </cfRule>
  </conditionalFormatting>
  <conditionalFormatting sqref="J7:N7">
    <cfRule type="iconSet" priority="107">
      <iconSet>
        <cfvo type="percent" val="0"/>
        <cfvo type="num" val="0"/>
        <cfvo type="num" val="0"/>
      </iconSet>
    </cfRule>
  </conditionalFormatting>
  <conditionalFormatting sqref="O4">
    <cfRule type="iconSet" priority="33">
      <iconSet>
        <cfvo type="percent" val="0"/>
        <cfvo type="num" val="0"/>
        <cfvo type="num" val="0"/>
      </iconSet>
    </cfRule>
  </conditionalFormatting>
  <conditionalFormatting sqref="X12:X15">
    <cfRule type="iconSet" priority="32">
      <iconSet>
        <cfvo type="percent" val="0"/>
        <cfvo type="num" val="0"/>
        <cfvo type="num" val="0"/>
      </iconSet>
    </cfRule>
  </conditionalFormatting>
  <conditionalFormatting sqref="X3:X11">
    <cfRule type="iconSet" priority="31">
      <iconSet>
        <cfvo type="percent" val="0"/>
        <cfvo type="num" val="0"/>
        <cfvo type="num" val="0"/>
      </iconSet>
    </cfRule>
  </conditionalFormatting>
  <conditionalFormatting sqref="Y12:Y15">
    <cfRule type="iconSet" priority="30">
      <iconSet>
        <cfvo type="percent" val="0"/>
        <cfvo type="num" val="0"/>
        <cfvo type="num" val="0"/>
      </iconSet>
    </cfRule>
  </conditionalFormatting>
  <conditionalFormatting sqref="Y3:Y11">
    <cfRule type="iconSet" priority="29">
      <iconSet>
        <cfvo type="percent" val="0"/>
        <cfvo type="num" val="0"/>
        <cfvo type="num" val="0"/>
      </iconSet>
    </cfRule>
  </conditionalFormatting>
  <conditionalFormatting sqref="Z12:Z15">
    <cfRule type="iconSet" priority="28">
      <iconSet>
        <cfvo type="percent" val="0"/>
        <cfvo type="num" val="0"/>
        <cfvo type="num" val="0"/>
      </iconSet>
    </cfRule>
  </conditionalFormatting>
  <conditionalFormatting sqref="Z3:Z11">
    <cfRule type="iconSet" priority="27">
      <iconSet>
        <cfvo type="percent" val="0"/>
        <cfvo type="num" val="0"/>
        <cfvo type="num" val="0"/>
      </iconSet>
    </cfRule>
  </conditionalFormatting>
  <conditionalFormatting sqref="AA12:AA15">
    <cfRule type="iconSet" priority="26">
      <iconSet>
        <cfvo type="percent" val="0"/>
        <cfvo type="num" val="0"/>
        <cfvo type="num" val="0"/>
      </iconSet>
    </cfRule>
  </conditionalFormatting>
  <conditionalFormatting sqref="AA3:AA11">
    <cfRule type="iconSet" priority="25">
      <iconSet>
        <cfvo type="percent" val="0"/>
        <cfvo type="num" val="0"/>
        <cfvo type="num" val="0"/>
      </iconSet>
    </cfRule>
  </conditionalFormatting>
  <conditionalFormatting sqref="AB12:AB15">
    <cfRule type="iconSet" priority="24">
      <iconSet>
        <cfvo type="percent" val="0"/>
        <cfvo type="num" val="0"/>
        <cfvo type="num" val="0"/>
      </iconSet>
    </cfRule>
  </conditionalFormatting>
  <conditionalFormatting sqref="AB3:AB11">
    <cfRule type="iconSet" priority="23">
      <iconSet>
        <cfvo type="percent" val="0"/>
        <cfvo type="num" val="0"/>
        <cfvo type="num" val="0"/>
      </iconSet>
    </cfRule>
  </conditionalFormatting>
  <conditionalFormatting sqref="AC12:AC15">
    <cfRule type="iconSet" priority="22">
      <iconSet>
        <cfvo type="percent" val="0"/>
        <cfvo type="num" val="0"/>
        <cfvo type="num" val="0"/>
      </iconSet>
    </cfRule>
  </conditionalFormatting>
  <conditionalFormatting sqref="AC3:AC11">
    <cfRule type="iconSet" priority="21">
      <iconSet>
        <cfvo type="percent" val="0"/>
        <cfvo type="num" val="0"/>
        <cfvo type="num" val="0"/>
      </iconSet>
    </cfRule>
  </conditionalFormatting>
  <conditionalFormatting sqref="E13:H13">
    <cfRule type="iconSet" priority="20">
      <iconSet>
        <cfvo type="percent" val="0"/>
        <cfvo type="num" val="0"/>
        <cfvo type="num" val="0"/>
      </iconSet>
    </cfRule>
  </conditionalFormatting>
  <conditionalFormatting sqref="E14:H14">
    <cfRule type="iconSet" priority="19">
      <iconSet>
        <cfvo type="percent" val="0"/>
        <cfvo type="num" val="0"/>
        <cfvo type="num" val="0"/>
      </iconSet>
    </cfRule>
  </conditionalFormatting>
  <conditionalFormatting sqref="E15:H15">
    <cfRule type="iconSet" priority="18">
      <iconSet>
        <cfvo type="percent" val="0"/>
        <cfvo type="num" val="0"/>
        <cfvo type="num" val="0"/>
      </iconSet>
    </cfRule>
  </conditionalFormatting>
  <conditionalFormatting sqref="D17:N17">
    <cfRule type="iconSet" priority="17">
      <iconSet>
        <cfvo type="percent" val="0"/>
        <cfvo type="num" val="0"/>
        <cfvo type="num" val="0"/>
      </iconSet>
    </cfRule>
  </conditionalFormatting>
  <conditionalFormatting sqref="O17:AC17">
    <cfRule type="iconSet" priority="16">
      <iconSet>
        <cfvo type="percent" val="0"/>
        <cfvo type="num" val="0"/>
        <cfvo type="num" val="0"/>
      </iconSet>
    </cfRule>
  </conditionalFormatting>
  <conditionalFormatting sqref="T16:AC16">
    <cfRule type="iconSet" priority="15">
      <iconSet>
        <cfvo type="percent" val="0"/>
        <cfvo type="num" val="0"/>
        <cfvo type="num" val="0"/>
      </iconSet>
    </cfRule>
  </conditionalFormatting>
  <conditionalFormatting sqref="O16:S16">
    <cfRule type="iconSet" priority="13">
      <iconSet>
        <cfvo type="percent" val="0"/>
        <cfvo type="num" val="0"/>
        <cfvo type="num" val="0"/>
      </iconSet>
    </cfRule>
  </conditionalFormatting>
  <conditionalFormatting sqref="M12:M14">
    <cfRule type="iconSet" priority="12">
      <iconSet>
        <cfvo type="percent" val="0"/>
        <cfvo type="num" val="0"/>
        <cfvo type="num" val="0"/>
      </iconSet>
    </cfRule>
  </conditionalFormatting>
  <conditionalFormatting sqref="E9:N9">
    <cfRule type="iconSet" priority="9">
      <iconSet>
        <cfvo type="percent" val="0"/>
        <cfvo type="num" val="0"/>
        <cfvo type="num" val="0"/>
      </iconSet>
    </cfRule>
  </conditionalFormatting>
  <conditionalFormatting sqref="E8">
    <cfRule type="iconSet" priority="8">
      <iconSet>
        <cfvo type="percent" val="0"/>
        <cfvo type="num" val="0"/>
        <cfvo type="num" val="0"/>
      </iconSet>
    </cfRule>
  </conditionalFormatting>
  <conditionalFormatting sqref="F8">
    <cfRule type="iconSet" priority="7">
      <iconSet>
        <cfvo type="percent" val="0"/>
        <cfvo type="num" val="0"/>
        <cfvo type="num" val="0"/>
      </iconSet>
    </cfRule>
  </conditionalFormatting>
  <conditionalFormatting sqref="G8">
    <cfRule type="iconSet" priority="6">
      <iconSet>
        <cfvo type="percent" val="0"/>
        <cfvo type="num" val="0"/>
        <cfvo type="num" val="0"/>
      </iconSet>
    </cfRule>
  </conditionalFormatting>
  <conditionalFormatting sqref="H8">
    <cfRule type="iconSet" priority="5">
      <iconSet>
        <cfvo type="percent" val="0"/>
        <cfvo type="num" val="0"/>
        <cfvo type="num" val="0"/>
      </iconSet>
    </cfRule>
  </conditionalFormatting>
  <conditionalFormatting sqref="I8">
    <cfRule type="iconSet" priority="4">
      <iconSet>
        <cfvo type="percent" val="0"/>
        <cfvo type="num" val="0"/>
        <cfvo type="num" val="0"/>
      </iconSet>
    </cfRule>
  </conditionalFormatting>
  <conditionalFormatting sqref="J8">
    <cfRule type="iconSet" priority="3">
      <iconSet>
        <cfvo type="percent" val="0"/>
        <cfvo type="num" val="0"/>
        <cfvo type="num" val="0"/>
      </iconSet>
    </cfRule>
  </conditionalFormatting>
  <conditionalFormatting sqref="K8:N8">
    <cfRule type="iconSet" priority="2">
      <iconSet>
        <cfvo type="percent" val="0"/>
        <cfvo type="num" val="0"/>
        <cfvo type="num" val="0"/>
      </iconSet>
    </cfRule>
  </conditionalFormatting>
  <conditionalFormatting sqref="E7:I7">
    <cfRule type="iconSet" priority="1">
      <iconSet>
        <cfvo type="percent" val="0"/>
        <cfvo type="num" val="0"/>
        <cfvo type="num" val="0"/>
      </iconSet>
    </cfRule>
  </conditionalFormatting>
  <pageMargins left="0.7" right="0.7" top="0.75" bottom="0.75" header="0.3" footer="0.3"/>
  <pageSetup paperSize="9" orientation="portrait"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 Estrategicos'!D20:H20</xm:f>
              <xm:sqref>C20</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 Estrategicos'!D19:H19</xm:f>
              <xm:sqref>C19</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 Estrategicos'!T3:W3</xm:f>
              <xm:sqref>AD3</xm:sqref>
            </x14:sparkline>
            <x14:sparkline>
              <xm:f>'Indicadores Estrategicos'!T4:W4</xm:f>
              <xm:sqref>AD4</xm:sqref>
            </x14:sparkline>
            <x14:sparkline>
              <xm:f>'Indicadores Estrategicos'!T5:W5</xm:f>
              <xm:sqref>AD5</xm:sqref>
            </x14:sparkline>
            <x14:sparkline>
              <xm:f>'Indicadores Estrategicos'!T6:W6</xm:f>
              <xm:sqref>AD6</xm:sqref>
            </x14:sparkline>
            <x14:sparkline>
              <xm:f>'Indicadores Estrategicos'!T7:W7</xm:f>
              <xm:sqref>AD7</xm:sqref>
            </x14:sparkline>
            <x14:sparkline>
              <xm:f>'Indicadores Estrategicos'!T8:W8</xm:f>
              <xm:sqref>AD8</xm:sqref>
            </x14:sparkline>
            <x14:sparkline>
              <xm:f>'Indicadores Estrategicos'!T9:W9</xm:f>
              <xm:sqref>AD9</xm:sqref>
            </x14:sparkline>
            <x14:sparkline>
              <xm:f>'Indicadores Estrategicos'!T10:W10</xm:f>
              <xm:sqref>AD10</xm:sqref>
            </x14:sparkline>
            <x14:sparkline>
              <xm:f>'Indicadores Estrategicos'!T11:W11</xm:f>
              <xm:sqref>AD11</xm:sqref>
            </x14:sparkline>
            <x14:sparkline>
              <xm:f>'Indicadores Estrategicos'!T12:W12</xm:f>
              <xm:sqref>AD12</xm:sqref>
            </x14:sparkline>
            <x14:sparkline>
              <xm:f>'Indicadores Estrategicos'!T13:W13</xm:f>
              <xm:sqref>AD13</xm:sqref>
            </x14:sparkline>
            <x14:sparkline>
              <xm:f>'Indicadores Estrategicos'!T14:W14</xm:f>
              <xm:sqref>AD14</xm:sqref>
            </x14:sparkline>
            <x14:sparkline>
              <xm:f>'Indicadores Estrategicos'!T15:W15</xm:f>
              <xm:sqref>AD15</xm:sqref>
            </x14:sparkline>
            <x14:sparkline>
              <xm:f>'Indicadores Estrategicos'!T16:W16</xm:f>
              <xm:sqref>AD16</xm:sqref>
            </x14:sparkline>
            <x14:sparkline>
              <xm:f>'Indicadores Estrategicos'!T17:W17</xm:f>
              <xm:sqref>AD17</xm:sqref>
            </x14:sparkline>
            <x14:sparkline>
              <xm:f>'Indicadores Estrategicos'!T18:W18</xm:f>
              <xm:sqref>AD18</xm:sqref>
            </x14:sparkline>
            <x14:sparkline>
              <xm:f>'Indicadores Estrategicos'!T19:W19</xm:f>
              <xm:sqref>AD19</xm:sqref>
            </x14:sparkline>
            <x14:sparkline>
              <xm:f>'Indicadores Estrategicos'!T20:W20</xm:f>
              <xm:sqref>AD20</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 Estrategicos'!D18:H18</xm:f>
              <xm:sqref>C18</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'Indicadores Estrategicos'!D3:H3</xm:f>
              <xm:sqref>C3</xm:sqref>
            </x14:sparkline>
            <x14:sparkline>
              <xm:f>'Indicadores Estrategicos'!D4:H4</xm:f>
              <xm:sqref>C4</xm:sqref>
            </x14:sparkline>
            <x14:sparkline>
              <xm:f>'Indicadores Estrategicos'!D5:H5</xm:f>
              <xm:sqref>C5</xm:sqref>
            </x14:sparkline>
            <x14:sparkline>
              <xm:f>'Indicadores Estrategicos'!D6:H6</xm:f>
              <xm:sqref>C6</xm:sqref>
            </x14:sparkline>
            <x14:sparkline>
              <xm:f>'Indicadores Estrategicos'!D7:H7</xm:f>
              <xm:sqref>C7</xm:sqref>
            </x14:sparkline>
            <x14:sparkline>
              <xm:f>'Indicadores Estrategicos'!D8:H8</xm:f>
              <xm:sqref>C8</xm:sqref>
            </x14:sparkline>
            <x14:sparkline>
              <xm:f>'Indicadores Estrategicos'!D9:H9</xm:f>
              <xm:sqref>C9</xm:sqref>
            </x14:sparkline>
            <x14:sparkline>
              <xm:f>'Indicadores Estrategicos'!D10:H10</xm:f>
              <xm:sqref>C10</xm:sqref>
            </x14:sparkline>
            <x14:sparkline>
              <xm:f>'Indicadores Estrategicos'!D11:H11</xm:f>
              <xm:sqref>C11</xm:sqref>
            </x14:sparkline>
            <x14:sparkline>
              <xm:f>'Indicadores Estrategicos'!D12:H12</xm:f>
              <xm:sqref>C12</xm:sqref>
            </x14:sparkline>
            <x14:sparkline>
              <xm:f>'Indicadores Estrategicos'!D13:H13</xm:f>
              <xm:sqref>C13</xm:sqref>
            </x14:sparkline>
            <x14:sparkline>
              <xm:f>'Indicadores Estrategicos'!D14:H14</xm:f>
              <xm:sqref>C14</xm:sqref>
            </x14:sparkline>
            <x14:sparkline>
              <xm:f>'Indicadores Estrategicos'!D15:H15</xm:f>
              <xm:sqref>C15</xm:sqref>
            </x14:sparkline>
            <x14:sparkline>
              <xm:f>'Indicadores Estrategicos'!D16:H16</xm:f>
              <xm:sqref>C16</xm:sqref>
            </x14:sparkline>
            <x14:sparkline>
              <xm:f>'Indicadores Estrategicos'!D17:H17</xm:f>
              <xm:sqref>C17</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20"/>
  <sheetViews>
    <sheetView showGridLines="0" topLeftCell="A4" workbookViewId="0">
      <selection activeCell="H16" sqref="C15:L16"/>
    </sheetView>
  </sheetViews>
  <sheetFormatPr baseColWidth="10" defaultColWidth="11" defaultRowHeight="15.75"/>
  <cols>
    <col min="1" max="1" width="16.625" bestFit="1" customWidth="1"/>
    <col min="2" max="2" width="17" bestFit="1" customWidth="1"/>
    <col min="3" max="3" width="13.75" bestFit="1" customWidth="1"/>
    <col min="4" max="4" width="14" bestFit="1" customWidth="1"/>
  </cols>
  <sheetData>
    <row r="1" spans="1:27" ht="33.75">
      <c r="A1" s="496"/>
      <c r="B1" s="632" t="s">
        <v>1407</v>
      </c>
      <c r="C1" s="632"/>
      <c r="D1" s="632"/>
      <c r="E1" s="632"/>
      <c r="F1" s="632"/>
      <c r="G1" s="632"/>
      <c r="H1" s="632"/>
      <c r="I1" s="632"/>
      <c r="J1" s="632"/>
      <c r="K1" s="632"/>
      <c r="L1" s="632"/>
      <c r="M1" s="632"/>
      <c r="N1" s="632"/>
      <c r="O1" s="632"/>
      <c r="P1" s="632"/>
      <c r="Q1" s="632"/>
      <c r="R1" s="632"/>
      <c r="S1" s="496"/>
      <c r="T1" s="496"/>
      <c r="U1" s="496"/>
      <c r="V1" s="496"/>
      <c r="W1" s="496"/>
      <c r="X1" s="496"/>
      <c r="Y1" s="496"/>
      <c r="Z1" s="496"/>
      <c r="AA1" s="496"/>
    </row>
    <row r="2" spans="1:27">
      <c r="A2" s="534" t="s">
        <v>743</v>
      </c>
      <c r="B2" s="534" t="s">
        <v>755</v>
      </c>
      <c r="C2" s="325" t="s">
        <v>771</v>
      </c>
      <c r="D2" s="534" t="s">
        <v>749</v>
      </c>
      <c r="E2" s="325" t="s">
        <v>772</v>
      </c>
      <c r="F2" s="534" t="s">
        <v>749</v>
      </c>
      <c r="G2" s="325" t="s">
        <v>773</v>
      </c>
      <c r="H2" s="534" t="s">
        <v>749</v>
      </c>
      <c r="I2" s="325" t="s">
        <v>774</v>
      </c>
      <c r="J2" s="534" t="s">
        <v>749</v>
      </c>
      <c r="K2" s="325" t="s">
        <v>859</v>
      </c>
      <c r="L2" s="534" t="s">
        <v>749</v>
      </c>
      <c r="M2" s="629" t="s">
        <v>737</v>
      </c>
      <c r="N2" s="629"/>
      <c r="O2" s="629"/>
      <c r="P2" s="629"/>
      <c r="Q2" s="629"/>
      <c r="R2" s="629"/>
      <c r="S2" s="629"/>
      <c r="T2" s="629"/>
      <c r="U2" s="629"/>
      <c r="V2" s="629"/>
      <c r="W2" s="629"/>
      <c r="X2" s="629"/>
      <c r="Y2" s="629"/>
    </row>
    <row r="3" spans="1:27">
      <c r="A3" s="182" t="s">
        <v>756</v>
      </c>
      <c r="B3" s="183" t="s">
        <v>753</v>
      </c>
      <c r="C3" s="292">
        <v>3.2000000000000001E-2</v>
      </c>
      <c r="D3" s="293">
        <v>0.15</v>
      </c>
      <c r="E3" s="292">
        <v>3.3000000000000002E-2</v>
      </c>
      <c r="F3" s="293">
        <v>0.15</v>
      </c>
      <c r="G3" s="292">
        <v>3.1E-2</v>
      </c>
      <c r="H3" s="293">
        <v>0.15</v>
      </c>
      <c r="I3" s="292">
        <v>3.3000000000000002E-2</v>
      </c>
      <c r="J3" s="293">
        <v>0.15</v>
      </c>
      <c r="K3" s="292">
        <v>3.4000000000000002E-2</v>
      </c>
      <c r="L3" s="293">
        <v>0.15</v>
      </c>
      <c r="M3" s="633" t="s">
        <v>888</v>
      </c>
      <c r="N3" s="634"/>
      <c r="O3" s="634"/>
      <c r="P3" s="634"/>
      <c r="Q3" s="634"/>
      <c r="R3" s="634"/>
      <c r="S3" s="634"/>
      <c r="T3" s="634"/>
      <c r="U3" s="634"/>
      <c r="V3" s="634"/>
      <c r="W3" s="634"/>
      <c r="X3" s="634"/>
      <c r="Y3" s="496"/>
    </row>
    <row r="4" spans="1:27">
      <c r="A4" s="182" t="s">
        <v>756</v>
      </c>
      <c r="B4" s="183" t="s">
        <v>754</v>
      </c>
      <c r="C4" s="292">
        <v>3.2000000000000001E-2</v>
      </c>
      <c r="D4" s="295">
        <v>0.8</v>
      </c>
      <c r="E4" s="292">
        <v>3.2000000000000001E-2</v>
      </c>
      <c r="F4" s="295">
        <v>0.8</v>
      </c>
      <c r="G4" s="292">
        <v>3.2000000000000001E-2</v>
      </c>
      <c r="H4" s="295">
        <v>0.8</v>
      </c>
      <c r="I4" s="292">
        <v>3.2000000000000001E-2</v>
      </c>
      <c r="J4" s="295">
        <v>0.8</v>
      </c>
      <c r="K4" s="292">
        <v>3.2000000000000001E-2</v>
      </c>
      <c r="L4" s="295">
        <v>0.8</v>
      </c>
      <c r="M4" s="635" t="s">
        <v>758</v>
      </c>
      <c r="N4" s="636"/>
      <c r="O4" s="636"/>
      <c r="P4" s="636"/>
      <c r="Q4" s="636"/>
      <c r="R4" s="636"/>
      <c r="S4" s="636"/>
      <c r="T4" s="636"/>
      <c r="U4" s="636"/>
      <c r="V4" s="636"/>
      <c r="W4" s="636"/>
      <c r="X4" s="636"/>
      <c r="Y4" s="496"/>
    </row>
    <row r="5" spans="1:27">
      <c r="A5" s="182" t="s">
        <v>756</v>
      </c>
      <c r="B5" s="183" t="s">
        <v>811</v>
      </c>
      <c r="C5" s="292">
        <f>'Proyeccion Efec Conv. Moneda'!G3</f>
        <v>3.0694668820678506E-2</v>
      </c>
      <c r="D5" s="295">
        <v>0.05</v>
      </c>
      <c r="E5" s="292">
        <f>'Proyeccion Efec Conv. Moneda'!H3</f>
        <v>-2.5396825396825307E-2</v>
      </c>
      <c r="F5" s="295">
        <v>0.05</v>
      </c>
      <c r="G5" s="292">
        <f>'Proyeccion Efec Conv. Moneda'!I3</f>
        <v>-1.8575851393188847E-2</v>
      </c>
      <c r="H5" s="295">
        <v>0.05</v>
      </c>
      <c r="I5" s="292">
        <f>'Proyeccion Efec Conv. Moneda'!J3</f>
        <v>-1.8237082066869359E-2</v>
      </c>
      <c r="J5" s="295">
        <v>0.05</v>
      </c>
      <c r="K5" s="292">
        <f>'Proyeccion Efec Conv. Moneda'!K3</f>
        <v>-1.4925373134328401E-2</v>
      </c>
      <c r="L5" s="295">
        <v>0.05</v>
      </c>
      <c r="M5" s="496"/>
      <c r="N5" s="496"/>
      <c r="O5" s="496"/>
      <c r="P5" s="496"/>
      <c r="Q5" s="496"/>
      <c r="R5" s="496"/>
      <c r="S5" s="496"/>
      <c r="T5" s="496"/>
      <c r="U5" s="496"/>
      <c r="V5" s="496"/>
      <c r="W5" s="496"/>
      <c r="X5" s="496"/>
      <c r="Y5" s="496"/>
    </row>
    <row r="6" spans="1:27">
      <c r="A6" s="182" t="s">
        <v>610</v>
      </c>
      <c r="B6" s="183" t="s">
        <v>753</v>
      </c>
      <c r="C6" s="292">
        <v>6.3E-2</v>
      </c>
      <c r="D6" s="293">
        <v>0.15</v>
      </c>
      <c r="E6" s="292">
        <v>0.06</v>
      </c>
      <c r="F6" s="293">
        <v>0.2</v>
      </c>
      <c r="G6" s="292">
        <v>0.06</v>
      </c>
      <c r="H6" s="293">
        <v>0.15</v>
      </c>
      <c r="I6" s="292">
        <v>0.06</v>
      </c>
      <c r="J6" s="293">
        <v>0.15</v>
      </c>
      <c r="K6" s="292">
        <v>0.06</v>
      </c>
      <c r="L6" s="293">
        <v>0.15</v>
      </c>
      <c r="M6" s="635" t="s">
        <v>903</v>
      </c>
      <c r="N6" s="636"/>
      <c r="O6" s="636"/>
      <c r="P6" s="636"/>
      <c r="Q6" s="636"/>
      <c r="R6" s="636"/>
      <c r="S6" s="636"/>
      <c r="T6" s="636"/>
      <c r="U6" s="636"/>
      <c r="V6" s="636"/>
      <c r="W6" s="636"/>
      <c r="X6" s="636"/>
      <c r="Y6" s="496"/>
    </row>
    <row r="7" spans="1:27">
      <c r="A7" s="182" t="s">
        <v>610</v>
      </c>
      <c r="B7" s="183" t="s">
        <v>754</v>
      </c>
      <c r="C7" s="292">
        <v>0.02</v>
      </c>
      <c r="D7" s="295">
        <v>0.8</v>
      </c>
      <c r="E7" s="293">
        <v>0.02</v>
      </c>
      <c r="F7" s="295">
        <v>0.8</v>
      </c>
      <c r="G7" s="292">
        <v>0.02</v>
      </c>
      <c r="H7" s="295">
        <v>0.8</v>
      </c>
      <c r="I7" s="292">
        <v>0.02</v>
      </c>
      <c r="J7" s="295">
        <v>0.8</v>
      </c>
      <c r="K7" s="292">
        <v>0.02</v>
      </c>
      <c r="L7" s="295">
        <v>0.8</v>
      </c>
      <c r="M7" s="496"/>
      <c r="N7" s="496"/>
      <c r="O7" s="496"/>
      <c r="P7" s="496"/>
      <c r="Q7" s="496"/>
      <c r="R7" s="496"/>
      <c r="S7" s="496"/>
      <c r="T7" s="496"/>
      <c r="U7" s="496"/>
      <c r="V7" s="496"/>
      <c r="W7" s="496"/>
      <c r="X7" s="496"/>
      <c r="Y7" s="496"/>
    </row>
    <row r="8" spans="1:27">
      <c r="A8" s="182" t="s">
        <v>57</v>
      </c>
      <c r="B8" s="183" t="s">
        <v>753</v>
      </c>
      <c r="C8" s="292">
        <v>3.2000000000000001E-2</v>
      </c>
      <c r="D8" s="293">
        <v>0.15</v>
      </c>
      <c r="E8" s="292">
        <v>0.03</v>
      </c>
      <c r="F8" s="293">
        <v>0.15</v>
      </c>
      <c r="G8" s="292">
        <v>3.5999999999999997E-2</v>
      </c>
      <c r="H8" s="293">
        <v>0.15</v>
      </c>
      <c r="I8" s="292">
        <v>3.5999999999999997E-2</v>
      </c>
      <c r="J8" s="293">
        <v>0.15</v>
      </c>
      <c r="K8" s="292">
        <v>3.5999999999999997E-2</v>
      </c>
      <c r="L8" s="293">
        <v>0.15</v>
      </c>
      <c r="M8" s="163" t="s">
        <v>759</v>
      </c>
      <c r="N8" s="496"/>
      <c r="O8" s="496"/>
      <c r="P8" s="496"/>
      <c r="Q8" s="496"/>
      <c r="R8" s="496"/>
      <c r="S8" s="496"/>
      <c r="T8" s="496"/>
      <c r="U8" s="496"/>
      <c r="V8" s="496"/>
      <c r="W8" s="496"/>
      <c r="X8" s="496"/>
      <c r="Y8" s="496"/>
    </row>
    <row r="9" spans="1:27">
      <c r="A9" s="182" t="s">
        <v>57</v>
      </c>
      <c r="B9" s="183" t="s">
        <v>754</v>
      </c>
      <c r="C9" s="292">
        <v>1.4E-2</v>
      </c>
      <c r="D9" s="295">
        <v>0.8</v>
      </c>
      <c r="E9" s="292">
        <v>0.02</v>
      </c>
      <c r="F9" s="295">
        <v>0.8</v>
      </c>
      <c r="G9" s="292">
        <v>0.02</v>
      </c>
      <c r="H9" s="295">
        <v>0.8</v>
      </c>
      <c r="I9" s="292">
        <v>0.02</v>
      </c>
      <c r="J9" s="295">
        <v>0.8</v>
      </c>
      <c r="K9" s="292">
        <v>0.02</v>
      </c>
      <c r="L9" s="295">
        <v>0.8</v>
      </c>
      <c r="M9" s="496"/>
      <c r="N9" s="496"/>
      <c r="O9" s="496"/>
      <c r="P9" s="496"/>
      <c r="Q9" s="496"/>
      <c r="R9" s="496"/>
      <c r="S9" s="496"/>
      <c r="T9" s="496"/>
      <c r="U9" s="496"/>
      <c r="V9" s="496"/>
      <c r="W9" s="496"/>
      <c r="X9" s="496"/>
      <c r="Y9" s="496"/>
    </row>
    <row r="10" spans="1:27">
      <c r="A10" s="182" t="s">
        <v>57</v>
      </c>
      <c r="B10" s="183" t="s">
        <v>811</v>
      </c>
      <c r="C10" s="292"/>
      <c r="D10" s="295">
        <v>0.05</v>
      </c>
      <c r="E10" s="292"/>
      <c r="F10" s="295">
        <v>0.05</v>
      </c>
      <c r="G10" s="292"/>
      <c r="H10" s="295">
        <v>0.05</v>
      </c>
      <c r="I10" s="292"/>
      <c r="J10" s="295">
        <v>0.05</v>
      </c>
      <c r="K10" s="292"/>
      <c r="L10" s="295">
        <v>0.05</v>
      </c>
      <c r="M10" s="163" t="s">
        <v>759</v>
      </c>
      <c r="N10" s="496"/>
      <c r="O10" s="496"/>
      <c r="P10" s="496"/>
      <c r="Q10" s="496"/>
      <c r="R10" s="496"/>
      <c r="S10" s="496"/>
      <c r="T10" s="496"/>
      <c r="U10" s="496"/>
      <c r="V10" s="496"/>
      <c r="W10" s="496"/>
      <c r="X10" s="496"/>
      <c r="Y10" s="496"/>
    </row>
    <row r="11" spans="1:27">
      <c r="A11" s="182" t="s">
        <v>757</v>
      </c>
      <c r="B11" s="183" t="s">
        <v>753</v>
      </c>
      <c r="C11" s="292">
        <v>0.02</v>
      </c>
      <c r="D11" s="293">
        <v>0.15</v>
      </c>
      <c r="E11" s="292">
        <v>0.02</v>
      </c>
      <c r="F11" s="293">
        <v>0.15</v>
      </c>
      <c r="G11" s="292">
        <v>0.02</v>
      </c>
      <c r="H11" s="293">
        <v>0.15</v>
      </c>
      <c r="I11" s="292">
        <v>0.02</v>
      </c>
      <c r="J11" s="293">
        <v>0.15</v>
      </c>
      <c r="K11" s="292">
        <v>0.02</v>
      </c>
      <c r="L11" s="293">
        <v>0.15</v>
      </c>
      <c r="M11" s="496"/>
      <c r="N11" s="496"/>
      <c r="O11" s="496"/>
      <c r="P11" s="496"/>
      <c r="Q11" s="496"/>
      <c r="R11" s="496"/>
      <c r="S11" s="496"/>
      <c r="T11" s="496"/>
      <c r="U11" s="496"/>
      <c r="V11" s="496"/>
      <c r="W11" s="496"/>
      <c r="X11" s="496"/>
      <c r="Y11" s="496"/>
    </row>
    <row r="12" spans="1:27">
      <c r="A12" s="182" t="s">
        <v>757</v>
      </c>
      <c r="B12" s="183" t="s">
        <v>754</v>
      </c>
      <c r="C12" s="292">
        <v>0.02</v>
      </c>
      <c r="D12" s="295">
        <v>0.8</v>
      </c>
      <c r="E12" s="292">
        <v>0.02</v>
      </c>
      <c r="F12" s="295">
        <v>0.8</v>
      </c>
      <c r="G12" s="292">
        <v>0.02</v>
      </c>
      <c r="H12" s="295">
        <v>0.8</v>
      </c>
      <c r="I12" s="292">
        <v>0.02</v>
      </c>
      <c r="J12" s="295">
        <v>0.8</v>
      </c>
      <c r="K12" s="292">
        <v>0.02</v>
      </c>
      <c r="L12" s="295">
        <v>0.8</v>
      </c>
      <c r="M12" s="496"/>
      <c r="N12" s="496"/>
      <c r="O12" s="496"/>
      <c r="P12" s="496"/>
      <c r="Q12" s="496"/>
      <c r="R12" s="496"/>
      <c r="S12" s="496"/>
      <c r="T12" s="496"/>
      <c r="U12" s="496"/>
      <c r="V12" s="496"/>
      <c r="W12" s="496"/>
      <c r="X12" s="496"/>
      <c r="Y12" s="496"/>
    </row>
    <row r="13" spans="1:27">
      <c r="A13" s="182" t="s">
        <v>757</v>
      </c>
      <c r="B13" s="183" t="s">
        <v>85</v>
      </c>
      <c r="C13" s="292">
        <v>7.0000000000000007E-2</v>
      </c>
      <c r="D13" s="295">
        <v>0.05</v>
      </c>
      <c r="E13" s="292">
        <v>0.2</v>
      </c>
      <c r="F13" s="295">
        <v>0.05</v>
      </c>
      <c r="G13" s="292">
        <v>0.2</v>
      </c>
      <c r="H13" s="295">
        <v>0.05</v>
      </c>
      <c r="I13" s="292">
        <v>0.12</v>
      </c>
      <c r="J13" s="295">
        <v>0.05</v>
      </c>
      <c r="K13" s="292">
        <v>0.12</v>
      </c>
      <c r="L13" s="295">
        <v>0.05</v>
      </c>
      <c r="M13" s="496"/>
      <c r="N13" s="496"/>
      <c r="O13" s="496"/>
      <c r="P13" s="496"/>
      <c r="Q13" s="496"/>
      <c r="R13" s="496"/>
      <c r="S13" s="496"/>
      <c r="T13" s="496"/>
      <c r="U13" s="496"/>
      <c r="V13" s="496"/>
      <c r="W13" s="496"/>
      <c r="X13" s="496"/>
      <c r="Y13" s="496"/>
    </row>
    <row r="14" spans="1:27">
      <c r="A14" s="626" t="s">
        <v>1253</v>
      </c>
      <c r="B14" s="626"/>
      <c r="C14" s="300">
        <f>SUMPRODUCT(C3:C5,D3:D5)*PorcentajeColombia%+PorcentajePanama*SUMPRODUCT(C6:C7,D6:D7)+PorcentajeCostaRica*SUMPRODUCT(C8:C9,D8:D9)+(PorcentajeSalvador+PorcentajeNicaragua+PorcentajeGuatemala)*SUMPRODUCT(C11:C13,D11:D13)</f>
        <v>1.1865378861196787E-2</v>
      </c>
      <c r="D14" s="301"/>
      <c r="E14" s="549">
        <f>SUMPRODUCT(E3:E5,F3:F5)*PorcentajeColombia%+PorcentajePanama*SUMPRODUCT(E6:E7,F6:F7)+PorcentajeCostaRica*SUMPRODUCT(E8:E9,F8:F9)+(PorcentajeSalvador+PorcentajeNicaragua+PorcentajeGuatemala)*SUMPRODUCT(E11:E13,F11:F13)</f>
        <v>1.4262044624177333E-2</v>
      </c>
      <c r="F14" s="301"/>
      <c r="G14" s="300">
        <f>SUMPRODUCT(G3:G5,H3:H5)*PorcentajeColombia%+PorcentajePanama*SUMPRODUCT(G6:G7,H6:H7)+PorcentajeCostaRica*SUMPRODUCT(G8:G9,H8:H9)+(PorcentajeSalvador+PorcentajeNicaragua+PorcentajeGuatemala)*SUMPRODUCT(G11:G13,H11:H13)</f>
        <v>1.3763125287635264E-2</v>
      </c>
      <c r="H14" s="301"/>
      <c r="I14" s="300">
        <f>SUMPRODUCT(I3:I5,J3:J5)*PorcentajeColombia%+PorcentajePanama*SUMPRODUCT(I6:I7,J6:J7)+PorcentajeCostaRica*SUMPRODUCT(I8:I9,J8:J9)+(PorcentajeSalvador+PorcentajeNicaragua+PorcentajeGuatemala)*SUMPRODUCT(I11:I13,J11:J13)</f>
        <v>1.2907871841646244E-2</v>
      </c>
      <c r="J14" s="301"/>
      <c r="K14" s="300">
        <f>SUMPRODUCT(K3:K5,L3:L5)*PorcentajeColombia%+PorcentajePanama*SUMPRODUCT(K6:K7,L6:L7)+PorcentajeCostaRica*SUMPRODUCT(K8:K9,L8:L9)+(PorcentajeSalvador+PorcentajeNicaragua+PorcentajeGuatemala)*SUMPRODUCT(K11:K13,L11:L13)</f>
        <v>1.2909364818165219E-2</v>
      </c>
      <c r="L14" s="301"/>
      <c r="M14" s="496"/>
      <c r="N14" s="496"/>
      <c r="O14" s="496"/>
      <c r="P14" s="496"/>
      <c r="Q14" s="496"/>
      <c r="R14" s="496"/>
      <c r="S14" s="496"/>
      <c r="T14" s="496"/>
      <c r="U14" s="496"/>
      <c r="V14" s="496"/>
      <c r="W14" s="496"/>
      <c r="X14" s="496"/>
      <c r="Y14" s="496"/>
    </row>
    <row r="15" spans="1:27">
      <c r="A15" s="628" t="s">
        <v>1402</v>
      </c>
      <c r="B15" s="628"/>
      <c r="C15" s="631">
        <f>AVERAGE(C14,E14,G14,I14,K14)</f>
        <v>1.3141557086564171E-2</v>
      </c>
      <c r="D15" s="631"/>
      <c r="E15" s="631"/>
      <c r="F15" s="631"/>
      <c r="G15" s="631"/>
      <c r="H15" s="631"/>
      <c r="I15" s="631"/>
      <c r="J15" s="631"/>
      <c r="K15" s="631"/>
      <c r="L15" s="631"/>
      <c r="M15" s="538"/>
      <c r="N15" s="538"/>
    </row>
    <row r="18" spans="1:4">
      <c r="A18" s="629" t="s">
        <v>1403</v>
      </c>
      <c r="B18" s="629"/>
      <c r="C18" s="629"/>
      <c r="D18" s="630"/>
    </row>
    <row r="19" spans="1:4" s="496" customFormat="1">
      <c r="A19" s="534"/>
      <c r="B19" s="534" t="s">
        <v>1405</v>
      </c>
      <c r="C19" s="534" t="s">
        <v>1404</v>
      </c>
      <c r="D19" s="537" t="s">
        <v>1406</v>
      </c>
    </row>
    <row r="20" spans="1:4" ht="16.5" thickBot="1">
      <c r="A20" s="182" t="s">
        <v>936</v>
      </c>
      <c r="B20" s="536">
        <v>0.01</v>
      </c>
      <c r="C20" s="536">
        <f>C15</f>
        <v>1.3141557086564171E-2</v>
      </c>
      <c r="D20" s="536">
        <v>1.7000000000000001E-2</v>
      </c>
    </row>
  </sheetData>
  <mergeCells count="9">
    <mergeCell ref="A14:B14"/>
    <mergeCell ref="A15:B15"/>
    <mergeCell ref="A18:D18"/>
    <mergeCell ref="C15:L15"/>
    <mergeCell ref="B1:R1"/>
    <mergeCell ref="M2:Y2"/>
    <mergeCell ref="M3:X3"/>
    <mergeCell ref="M4:X4"/>
    <mergeCell ref="M6:X6"/>
  </mergeCells>
  <hyperlinks>
    <hyperlink ref="M4" r:id="rId1"/>
    <hyperlink ref="M6" r:id="rId2" display="https://datos.bancomundial.org/pais/Panama?view=chart"/>
    <hyperlink ref="M8" r:id="rId3"/>
    <hyperlink ref="M10" r:id="rId4"/>
  </hyperlinks>
  <pageMargins left="0.7" right="0.7" top="0.75" bottom="0.75" header="0.3" footer="0.3"/>
  <pageSetup paperSize="9"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AB38"/>
  <sheetViews>
    <sheetView showGridLines="0" zoomScale="80" zoomScaleNormal="80" workbookViewId="0">
      <selection activeCell="I33" sqref="I33"/>
    </sheetView>
  </sheetViews>
  <sheetFormatPr baseColWidth="10" defaultColWidth="9" defaultRowHeight="15.75"/>
  <cols>
    <col min="1" max="1" width="30.25" bestFit="1" customWidth="1"/>
    <col min="2" max="2" width="25.5" customWidth="1"/>
    <col min="3" max="4" width="12.875" customWidth="1"/>
    <col min="5" max="5" width="12.375" bestFit="1" customWidth="1"/>
    <col min="6" max="6" width="10.5" bestFit="1" customWidth="1"/>
    <col min="7" max="9" width="9.375" bestFit="1" customWidth="1"/>
  </cols>
  <sheetData>
    <row r="1" spans="1:28" ht="36" customHeight="1">
      <c r="B1" s="632" t="s">
        <v>786</v>
      </c>
      <c r="C1" s="632"/>
      <c r="D1" s="632"/>
      <c r="E1" s="632"/>
      <c r="F1" s="632"/>
      <c r="G1" s="632"/>
      <c r="H1" s="632"/>
      <c r="I1" s="632"/>
      <c r="J1" s="632"/>
      <c r="K1" s="632"/>
      <c r="L1" s="632"/>
      <c r="M1" s="632"/>
      <c r="N1" s="632"/>
      <c r="O1" s="632"/>
      <c r="P1" s="632"/>
      <c r="Q1" s="632"/>
      <c r="R1" s="632"/>
      <c r="S1" s="632"/>
    </row>
    <row r="2" spans="1:28">
      <c r="A2" s="177" t="s">
        <v>743</v>
      </c>
      <c r="B2" s="177" t="s">
        <v>755</v>
      </c>
      <c r="C2" s="177"/>
      <c r="D2" s="177">
        <v>2018</v>
      </c>
      <c r="E2" s="177" t="s">
        <v>749</v>
      </c>
      <c r="F2" s="325" t="s">
        <v>771</v>
      </c>
      <c r="G2" s="177" t="s">
        <v>749</v>
      </c>
      <c r="H2" s="325" t="s">
        <v>772</v>
      </c>
      <c r="I2" s="177" t="s">
        <v>749</v>
      </c>
      <c r="J2" s="325" t="s">
        <v>773</v>
      </c>
      <c r="K2" s="177" t="s">
        <v>749</v>
      </c>
      <c r="L2" s="325" t="s">
        <v>774</v>
      </c>
      <c r="M2" s="177" t="s">
        <v>749</v>
      </c>
      <c r="N2" s="325" t="s">
        <v>859</v>
      </c>
      <c r="O2" s="177" t="s">
        <v>749</v>
      </c>
      <c r="P2" s="629" t="s">
        <v>737</v>
      </c>
      <c r="Q2" s="629"/>
      <c r="R2" s="629"/>
      <c r="S2" s="629"/>
      <c r="T2" s="629"/>
      <c r="U2" s="629"/>
      <c r="V2" s="629"/>
      <c r="W2" s="629"/>
      <c r="X2" s="629"/>
      <c r="Y2" s="629"/>
      <c r="Z2" s="629"/>
      <c r="AA2" s="629"/>
      <c r="AB2" s="629"/>
    </row>
    <row r="3" spans="1:28">
      <c r="A3" s="182" t="s">
        <v>756</v>
      </c>
      <c r="B3" s="183" t="s">
        <v>753</v>
      </c>
      <c r="C3" s="180"/>
      <c r="D3" s="292">
        <v>2.5999999999999999E-2</v>
      </c>
      <c r="E3" s="293">
        <v>0.1</v>
      </c>
      <c r="F3" s="292">
        <v>3.2000000000000001E-2</v>
      </c>
      <c r="G3" s="293">
        <v>0.15</v>
      </c>
      <c r="H3" s="292">
        <v>3.3000000000000002E-2</v>
      </c>
      <c r="I3" s="293">
        <v>0.15</v>
      </c>
      <c r="J3" s="292">
        <v>3.1E-2</v>
      </c>
      <c r="K3" s="293">
        <v>0.15</v>
      </c>
      <c r="L3" s="292">
        <v>3.3000000000000002E-2</v>
      </c>
      <c r="M3" s="293">
        <v>0.15</v>
      </c>
      <c r="N3" s="292">
        <v>3.4000000000000002E-2</v>
      </c>
      <c r="O3" s="293">
        <v>0.15</v>
      </c>
      <c r="P3" s="633" t="s">
        <v>888</v>
      </c>
      <c r="Q3" s="634"/>
      <c r="R3" s="634"/>
      <c r="S3" s="634"/>
      <c r="T3" s="634"/>
      <c r="U3" s="634"/>
      <c r="V3" s="634"/>
      <c r="W3" s="634"/>
      <c r="X3" s="634"/>
      <c r="Y3" s="634"/>
      <c r="Z3" s="634"/>
      <c r="AA3" s="634"/>
    </row>
    <row r="4" spans="1:28">
      <c r="A4" s="182" t="s">
        <v>756</v>
      </c>
      <c r="B4" s="183" t="s">
        <v>754</v>
      </c>
      <c r="C4" s="180"/>
      <c r="D4" s="294">
        <v>-3.5000000000000003E-2</v>
      </c>
      <c r="E4" s="295">
        <v>0.8</v>
      </c>
      <c r="F4" s="292">
        <v>3.2000000000000001E-2</v>
      </c>
      <c r="G4" s="295">
        <v>0.8</v>
      </c>
      <c r="H4" s="292">
        <v>3.2000000000000001E-2</v>
      </c>
      <c r="I4" s="295">
        <v>0.8</v>
      </c>
      <c r="J4" s="292">
        <v>3.2000000000000001E-2</v>
      </c>
      <c r="K4" s="295">
        <v>0.8</v>
      </c>
      <c r="L4" s="292">
        <v>3.2000000000000001E-2</v>
      </c>
      <c r="M4" s="295">
        <v>0.8</v>
      </c>
      <c r="N4" s="292">
        <v>3.2000000000000001E-2</v>
      </c>
      <c r="O4" s="295">
        <v>0.8</v>
      </c>
      <c r="P4" s="635" t="s">
        <v>758</v>
      </c>
      <c r="Q4" s="636"/>
      <c r="R4" s="636"/>
      <c r="S4" s="636"/>
      <c r="T4" s="636"/>
      <c r="U4" s="636"/>
      <c r="V4" s="636"/>
      <c r="W4" s="636"/>
      <c r="X4" s="636"/>
      <c r="Y4" s="636"/>
      <c r="Z4" s="636"/>
      <c r="AA4" s="636"/>
    </row>
    <row r="5" spans="1:28">
      <c r="A5" s="182" t="s">
        <v>756</v>
      </c>
      <c r="B5" s="183" t="s">
        <v>811</v>
      </c>
      <c r="C5" s="288"/>
      <c r="D5" s="294"/>
      <c r="E5" s="295">
        <v>0.3</v>
      </c>
      <c r="F5" s="292">
        <f>'Proyeccion Efec Conv. Moneda'!G3</f>
        <v>3.0694668820678506E-2</v>
      </c>
      <c r="G5" s="295">
        <v>0.05</v>
      </c>
      <c r="H5" s="292">
        <f>'Proyeccion Efec Conv. Moneda'!H3</f>
        <v>-2.5396825396825307E-2</v>
      </c>
      <c r="I5" s="295">
        <v>0.05</v>
      </c>
      <c r="J5" s="292">
        <f>'Proyeccion Efec Conv. Moneda'!I3</f>
        <v>-1.8575851393188847E-2</v>
      </c>
      <c r="K5" s="295">
        <v>0.05</v>
      </c>
      <c r="L5" s="292">
        <f>'Proyeccion Efec Conv. Moneda'!J3</f>
        <v>-1.8237082066869359E-2</v>
      </c>
      <c r="M5" s="295">
        <v>0.05</v>
      </c>
      <c r="N5" s="292">
        <f>'Proyeccion Efec Conv. Moneda'!K3</f>
        <v>-1.4925373134328401E-2</v>
      </c>
      <c r="O5" s="295">
        <v>0.05</v>
      </c>
    </row>
    <row r="6" spans="1:28">
      <c r="A6" s="182" t="s">
        <v>610</v>
      </c>
      <c r="B6" s="183" t="s">
        <v>753</v>
      </c>
      <c r="C6" s="296"/>
      <c r="D6" s="292">
        <v>5.561E-2</v>
      </c>
      <c r="E6" s="293">
        <v>0.6</v>
      </c>
      <c r="F6" s="292">
        <v>6.3E-2</v>
      </c>
      <c r="G6" s="293">
        <v>0.15</v>
      </c>
      <c r="H6" s="292">
        <v>0.06</v>
      </c>
      <c r="I6" s="293">
        <v>0.2</v>
      </c>
      <c r="J6" s="292">
        <v>0.06</v>
      </c>
      <c r="K6" s="293">
        <v>0.15</v>
      </c>
      <c r="L6" s="292">
        <v>0.06</v>
      </c>
      <c r="M6" s="293">
        <v>0.15</v>
      </c>
      <c r="N6" s="292">
        <v>0.06</v>
      </c>
      <c r="O6" s="293">
        <v>0.15</v>
      </c>
      <c r="P6" s="635" t="s">
        <v>903</v>
      </c>
      <c r="Q6" s="636"/>
      <c r="R6" s="636"/>
      <c r="S6" s="636"/>
      <c r="T6" s="636"/>
      <c r="U6" s="636"/>
      <c r="V6" s="636"/>
      <c r="W6" s="636"/>
      <c r="X6" s="636"/>
      <c r="Y6" s="636"/>
      <c r="Z6" s="636"/>
      <c r="AA6" s="636"/>
    </row>
    <row r="7" spans="1:28">
      <c r="A7" s="182" t="s">
        <v>610</v>
      </c>
      <c r="B7" s="183" t="s">
        <v>754</v>
      </c>
      <c r="C7" s="180"/>
      <c r="D7" s="292">
        <v>3.5000000000000003E-2</v>
      </c>
      <c r="E7" s="293">
        <v>0.4</v>
      </c>
      <c r="F7" s="292">
        <v>0.02</v>
      </c>
      <c r="G7" s="295">
        <v>0.8</v>
      </c>
      <c r="H7" s="293">
        <v>0.02</v>
      </c>
      <c r="I7" s="295">
        <v>0.8</v>
      </c>
      <c r="J7" s="292">
        <v>0.02</v>
      </c>
      <c r="K7" s="295">
        <v>0.8</v>
      </c>
      <c r="L7" s="292">
        <v>0.02</v>
      </c>
      <c r="M7" s="295">
        <v>0.8</v>
      </c>
      <c r="N7" s="292">
        <v>0.02</v>
      </c>
      <c r="O7" s="295">
        <v>0.8</v>
      </c>
    </row>
    <row r="8" spans="1:28">
      <c r="A8" s="182" t="s">
        <v>57</v>
      </c>
      <c r="B8" s="183" t="s">
        <v>753</v>
      </c>
      <c r="C8" s="297"/>
      <c r="D8" s="292">
        <v>2.7E-2</v>
      </c>
      <c r="E8" s="293">
        <v>0.25</v>
      </c>
      <c r="F8" s="292">
        <v>3.2000000000000001E-2</v>
      </c>
      <c r="G8" s="293">
        <v>0.15</v>
      </c>
      <c r="H8" s="292">
        <v>0.03</v>
      </c>
      <c r="I8" s="293">
        <v>0.15</v>
      </c>
      <c r="J8" s="292">
        <v>3.5999999999999997E-2</v>
      </c>
      <c r="K8" s="293">
        <v>0.15</v>
      </c>
      <c r="L8" s="292">
        <v>3.5999999999999997E-2</v>
      </c>
      <c r="M8" s="293">
        <v>0.15</v>
      </c>
      <c r="N8" s="292">
        <v>3.5999999999999997E-2</v>
      </c>
      <c r="O8" s="293">
        <v>0.15</v>
      </c>
      <c r="P8" s="163" t="s">
        <v>759</v>
      </c>
    </row>
    <row r="9" spans="1:28">
      <c r="A9" s="182" t="s">
        <v>57</v>
      </c>
      <c r="B9" s="183" t="s">
        <v>754</v>
      </c>
      <c r="C9" s="180"/>
      <c r="D9" s="292">
        <v>6.6000000000000003E-2</v>
      </c>
      <c r="E9" s="293">
        <v>0.7</v>
      </c>
      <c r="F9" s="292">
        <v>1.4E-2</v>
      </c>
      <c r="G9" s="295">
        <v>0.8</v>
      </c>
      <c r="H9" s="292">
        <v>0.02</v>
      </c>
      <c r="I9" s="295">
        <v>0.8</v>
      </c>
      <c r="J9" s="292">
        <v>0.02</v>
      </c>
      <c r="K9" s="295">
        <v>0.8</v>
      </c>
      <c r="L9" s="292">
        <v>0.02</v>
      </c>
      <c r="M9" s="295">
        <v>0.8</v>
      </c>
      <c r="N9" s="292">
        <v>0.02</v>
      </c>
      <c r="O9" s="295">
        <v>0.8</v>
      </c>
    </row>
    <row r="10" spans="1:28">
      <c r="A10" s="182" t="s">
        <v>57</v>
      </c>
      <c r="B10" s="183" t="s">
        <v>811</v>
      </c>
      <c r="C10" s="288"/>
      <c r="D10" s="294"/>
      <c r="E10" s="295">
        <v>0.05</v>
      </c>
      <c r="F10" s="292"/>
      <c r="G10" s="295">
        <v>0.05</v>
      </c>
      <c r="H10" s="292"/>
      <c r="I10" s="295">
        <v>0.05</v>
      </c>
      <c r="J10" s="292"/>
      <c r="K10" s="295">
        <v>0.05</v>
      </c>
      <c r="L10" s="292"/>
      <c r="M10" s="295">
        <v>0.05</v>
      </c>
      <c r="N10" s="292"/>
      <c r="O10" s="295">
        <v>0.05</v>
      </c>
      <c r="P10" s="163" t="s">
        <v>759</v>
      </c>
    </row>
    <row r="11" spans="1:28">
      <c r="A11" s="182" t="s">
        <v>757</v>
      </c>
      <c r="B11" s="183" t="s">
        <v>753</v>
      </c>
      <c r="C11" s="180"/>
      <c r="D11" s="292">
        <v>2.9579999999999999E-2</v>
      </c>
      <c r="E11" s="293">
        <v>0.2</v>
      </c>
      <c r="F11" s="292">
        <v>0.02</v>
      </c>
      <c r="G11" s="293">
        <v>0.15</v>
      </c>
      <c r="H11" s="292">
        <v>0.02</v>
      </c>
      <c r="I11" s="293">
        <v>0.15</v>
      </c>
      <c r="J11" s="292">
        <v>0.02</v>
      </c>
      <c r="K11" s="293">
        <v>0.15</v>
      </c>
      <c r="L11" s="292">
        <v>0.02</v>
      </c>
      <c r="M11" s="293">
        <v>0.15</v>
      </c>
      <c r="N11" s="292">
        <v>0.02</v>
      </c>
      <c r="O11" s="293">
        <v>0.15</v>
      </c>
    </row>
    <row r="12" spans="1:28">
      <c r="A12" s="182" t="s">
        <v>757</v>
      </c>
      <c r="B12" s="183" t="s">
        <v>754</v>
      </c>
      <c r="C12" s="180"/>
      <c r="D12" s="292">
        <v>3.5000000000000003E-2</v>
      </c>
      <c r="E12" s="295">
        <v>0.2</v>
      </c>
      <c r="F12" s="292">
        <v>0.02</v>
      </c>
      <c r="G12" s="295">
        <v>0.8</v>
      </c>
      <c r="H12" s="292">
        <v>0.02</v>
      </c>
      <c r="I12" s="295">
        <v>0.8</v>
      </c>
      <c r="J12" s="292">
        <v>0.02</v>
      </c>
      <c r="K12" s="295">
        <v>0.8</v>
      </c>
      <c r="L12" s="292">
        <v>0.02</v>
      </c>
      <c r="M12" s="295">
        <v>0.8</v>
      </c>
      <c r="N12" s="292">
        <v>0.02</v>
      </c>
      <c r="O12" s="295">
        <v>0.8</v>
      </c>
    </row>
    <row r="13" spans="1:28">
      <c r="A13" s="182" t="s">
        <v>757</v>
      </c>
      <c r="B13" s="183" t="s">
        <v>85</v>
      </c>
      <c r="C13" s="298"/>
      <c r="D13" s="294">
        <v>-0.14000000000000001</v>
      </c>
      <c r="E13" s="295">
        <v>0.6</v>
      </c>
      <c r="F13" s="292">
        <v>7.0000000000000007E-2</v>
      </c>
      <c r="G13" s="295">
        <v>0.05</v>
      </c>
      <c r="H13" s="292">
        <v>0.2</v>
      </c>
      <c r="I13" s="295">
        <v>0.05</v>
      </c>
      <c r="J13" s="292">
        <v>0.2</v>
      </c>
      <c r="K13" s="295">
        <v>0.05</v>
      </c>
      <c r="L13" s="292">
        <v>0.12</v>
      </c>
      <c r="M13" s="295">
        <v>0.05</v>
      </c>
      <c r="N13" s="292">
        <v>0.12</v>
      </c>
      <c r="O13" s="295">
        <v>0.05</v>
      </c>
    </row>
    <row r="14" spans="1:28">
      <c r="A14" s="626" t="s">
        <v>1244</v>
      </c>
      <c r="B14" s="626"/>
      <c r="C14" s="299"/>
      <c r="D14" s="300">
        <f>D24</f>
        <v>-8.8533278475976002E-2</v>
      </c>
      <c r="E14" s="300"/>
      <c r="F14" s="503">
        <f>VariablesSimulacion!C6</f>
        <v>-0.08</v>
      </c>
      <c r="G14" s="300"/>
      <c r="H14" s="503">
        <f>VariablesSimulacion!F6</f>
        <v>1.4376837209999261E-2</v>
      </c>
      <c r="I14" s="300"/>
      <c r="J14" s="300">
        <f>VariablesSimulacion!I6</f>
        <v>1.3785850218561213E-2</v>
      </c>
      <c r="K14" s="300"/>
      <c r="L14" s="300">
        <f>VariablesSimulacion!L6</f>
        <v>1.29E-2</v>
      </c>
      <c r="M14" s="300"/>
      <c r="N14" s="300">
        <f>VariablesSimulacion!O6</f>
        <v>2.5000000000000001E-2</v>
      </c>
      <c r="O14" s="300"/>
    </row>
    <row r="15" spans="1:28">
      <c r="A15" s="626" t="s">
        <v>1253</v>
      </c>
      <c r="B15" s="626"/>
      <c r="C15" s="299"/>
      <c r="D15" s="300">
        <f>SUMPRODUCT(D3:D4,E3:E4)*45.5%+21.4%*SUMPRODUCT(D6:D7,E6:E7)+10.4%*SUMPRODUCT(D8:D10,E8:E10)+(1-45.5%-21.4%-10.4%)*SUMPRODUCT(D11:D13,E11:E13)</f>
        <v>-1.2049944000000003E-2</v>
      </c>
      <c r="E15" s="301"/>
      <c r="F15" s="300">
        <f>SUMPRODUCT(F3:F5,G3:G5)*PorcentajeColombia%+PorcentajePanama*SUMPRODUCT(F6:F7,G6:G7)+PorcentajeCostaRica*SUMPRODUCT(F8:F9,G8:G9)+(PorcentajeSalvador+PorcentajeNicaragua+PorcentajeGuatemala)*SUMPRODUCT(F11:F13,G11:G13)</f>
        <v>1.1865378861196787E-2</v>
      </c>
      <c r="G15" s="301"/>
      <c r="H15" s="412">
        <f>SUMPRODUCT(H3:H5,I3:I5)*PorcentajeColombia%+PorcentajePanama*SUMPRODUCT(H6:H7,I6:I7)+PorcentajeCostaRica*SUMPRODUCT(H8:H9,I8:I9)+(PorcentajeSalvador+PorcentajeNicaragua+PorcentajeGuatemala)*SUMPRODUCT(H11:H13,I11:I13)</f>
        <v>1.4262044624177333E-2</v>
      </c>
      <c r="I15" s="301"/>
      <c r="J15" s="300">
        <f>SUMPRODUCT(J3:J5,K3:K5)*PorcentajeColombia%+PorcentajePanama*SUMPRODUCT(J6:J7,K6:K7)+PorcentajeCostaRica*SUMPRODUCT(J8:J9,K8:K9)+(PorcentajeSalvador+PorcentajeNicaragua+PorcentajeGuatemala)*SUMPRODUCT(J11:J13,K11:K13)</f>
        <v>1.3763125287635264E-2</v>
      </c>
      <c r="K15" s="301"/>
      <c r="L15" s="300">
        <f>SUMPRODUCT(L3:L5,M3:M5)*PorcentajeColombia%+PorcentajePanama*SUMPRODUCT(L6:L7,M6:M7)+PorcentajeCostaRica*SUMPRODUCT(L8:L9,M8:M9)+(PorcentajeSalvador+PorcentajeNicaragua+PorcentajeGuatemala)*SUMPRODUCT(L11:L13,M11:M13)</f>
        <v>1.2907871841646244E-2</v>
      </c>
      <c r="M15" s="301"/>
      <c r="N15" s="300">
        <f>SUMPRODUCT(N3:N5,O3:O5)*PorcentajeColombia%+PorcentajePanama*SUMPRODUCT(N6:N7,O6:O7)+PorcentajeCostaRica*SUMPRODUCT(N8:N9,O8:O9)+(PorcentajeSalvador+PorcentajeNicaragua+PorcentajeGuatemala)*SUMPRODUCT(N11:N13,O11:O13)</f>
        <v>1.2909364818165219E-2</v>
      </c>
      <c r="O15" s="301"/>
    </row>
    <row r="18" spans="1:21">
      <c r="A18" s="177" t="s">
        <v>787</v>
      </c>
      <c r="B18" s="189" t="s">
        <v>54</v>
      </c>
      <c r="C18" s="189">
        <v>2017</v>
      </c>
      <c r="D18" s="189">
        <v>2018</v>
      </c>
      <c r="E18" s="328" t="s">
        <v>750</v>
      </c>
      <c r="F18" s="328" t="s">
        <v>751</v>
      </c>
      <c r="G18" s="328" t="s">
        <v>752</v>
      </c>
      <c r="H18" s="328" t="s">
        <v>768</v>
      </c>
      <c r="I18" s="328" t="s">
        <v>769</v>
      </c>
      <c r="J18" s="639" t="s">
        <v>737</v>
      </c>
      <c r="K18" s="639"/>
      <c r="L18" s="639"/>
      <c r="M18" s="639"/>
      <c r="N18" s="639"/>
      <c r="O18" s="639"/>
      <c r="P18" s="639"/>
      <c r="Q18" s="639"/>
      <c r="R18" s="639"/>
      <c r="S18" s="639"/>
      <c r="T18" s="639"/>
      <c r="U18" s="639"/>
    </row>
    <row r="19" spans="1:21" ht="15.75" hidden="1" customHeight="1">
      <c r="A19" s="182" t="s">
        <v>760</v>
      </c>
      <c r="B19" s="180" t="s">
        <v>1350</v>
      </c>
      <c r="C19" s="22">
        <f>(45.5%*4.09%)+((1-45.5%)*1)</f>
        <v>0.56360949999999987</v>
      </c>
      <c r="D19" s="161">
        <v>3.4000000000000002E-2</v>
      </c>
      <c r="E19" s="161">
        <v>3.4000000000000002E-2</v>
      </c>
      <c r="F19" s="161">
        <v>3.2000000000000001E-2</v>
      </c>
      <c r="G19" s="161">
        <v>3.1E-2</v>
      </c>
      <c r="H19" s="187">
        <v>0.03</v>
      </c>
      <c r="I19" s="187">
        <v>0.03</v>
      </c>
      <c r="J19" s="638" t="s">
        <v>775</v>
      </c>
      <c r="K19" s="638"/>
      <c r="L19" s="638"/>
      <c r="M19" s="638"/>
      <c r="N19" s="638"/>
      <c r="O19" s="638"/>
      <c r="P19" s="638"/>
      <c r="Q19" s="638"/>
      <c r="R19" s="638"/>
      <c r="S19" s="638"/>
      <c r="T19" s="638"/>
      <c r="U19" s="638"/>
    </row>
    <row r="20" spans="1:21" ht="15.75" customHeight="1">
      <c r="A20" s="182" t="s">
        <v>760</v>
      </c>
      <c r="B20" s="180" t="s">
        <v>812</v>
      </c>
      <c r="C20" s="11">
        <v>2951</v>
      </c>
      <c r="D20" s="11">
        <v>3249.75</v>
      </c>
      <c r="E20" s="11">
        <v>3150</v>
      </c>
      <c r="F20" s="11">
        <v>3230</v>
      </c>
      <c r="G20" s="11">
        <v>3290</v>
      </c>
      <c r="H20" s="11">
        <v>3350</v>
      </c>
      <c r="I20" s="11">
        <v>3400</v>
      </c>
      <c r="J20" s="638" t="s">
        <v>775</v>
      </c>
      <c r="K20" s="638"/>
      <c r="L20" s="638"/>
      <c r="M20" s="638"/>
      <c r="N20" s="638"/>
      <c r="O20" s="638"/>
      <c r="P20" s="638"/>
      <c r="Q20" s="638"/>
      <c r="R20" s="638"/>
      <c r="S20" s="638"/>
      <c r="T20" s="638"/>
      <c r="U20" s="638"/>
    </row>
    <row r="21" spans="1:21">
      <c r="A21" s="182" t="s">
        <v>760</v>
      </c>
      <c r="B21" s="180" t="s">
        <v>761</v>
      </c>
      <c r="C21" s="22"/>
      <c r="D21" s="161">
        <f>+'Informacion Complementaria'!I23</f>
        <v>0.31953858766966609</v>
      </c>
      <c r="E21" s="161">
        <f>TasaPonderadaImpuestos2019</f>
        <v>0.30061532571405541</v>
      </c>
      <c r="F21" s="161">
        <f>TasaPonderadaImpuestos2020</f>
        <v>0.29588451022515277</v>
      </c>
      <c r="G21" s="161">
        <f>TasaPonderadaImpuestos2020</f>
        <v>0.29588451022515277</v>
      </c>
      <c r="H21" s="161">
        <f>TasaPonderadaImpuestos2020</f>
        <v>0.29588451022515277</v>
      </c>
      <c r="I21" s="161">
        <f>TasaPonderadaImpuestos2020</f>
        <v>0.29588451022515277</v>
      </c>
      <c r="J21" s="638" t="s">
        <v>1351</v>
      </c>
      <c r="K21" s="638"/>
      <c r="L21" s="638"/>
      <c r="M21" s="638"/>
      <c r="N21" s="638"/>
      <c r="O21" s="638"/>
      <c r="P21" s="638"/>
      <c r="Q21" s="638"/>
      <c r="R21" s="638"/>
      <c r="S21" s="638"/>
      <c r="T21" s="638"/>
      <c r="U21" s="638"/>
    </row>
    <row r="22" spans="1:21">
      <c r="A22" s="182" t="s">
        <v>760</v>
      </c>
      <c r="B22" s="180" t="s">
        <v>762</v>
      </c>
      <c r="C22" s="52">
        <v>7.0000000000000007E-2</v>
      </c>
      <c r="D22" s="52">
        <f>E22</f>
        <v>5.6500000000000002E-2</v>
      </c>
      <c r="E22" s="52">
        <f>E37</f>
        <v>5.6500000000000002E-2</v>
      </c>
      <c r="F22" s="52">
        <f t="shared" ref="F22:I22" si="0">F37</f>
        <v>5.6500000000000002E-2</v>
      </c>
      <c r="G22" s="52">
        <f t="shared" si="0"/>
        <v>5.6500000000000002E-2</v>
      </c>
      <c r="H22" s="52">
        <f t="shared" si="0"/>
        <v>5.6500000000000002E-2</v>
      </c>
      <c r="I22" s="52">
        <f t="shared" si="0"/>
        <v>7.0000000000000007E-2</v>
      </c>
      <c r="J22" s="637" t="s">
        <v>940</v>
      </c>
      <c r="K22" s="638"/>
      <c r="L22" s="638"/>
      <c r="M22" s="638"/>
      <c r="N22" s="638"/>
      <c r="O22" s="638"/>
      <c r="P22" s="638"/>
      <c r="Q22" s="638"/>
      <c r="R22" s="638"/>
      <c r="S22" s="638"/>
      <c r="T22" s="638"/>
      <c r="U22" s="638"/>
    </row>
    <row r="23" spans="1:21" hidden="1">
      <c r="A23" s="182" t="s">
        <v>760</v>
      </c>
      <c r="B23" s="180" t="s">
        <v>853</v>
      </c>
      <c r="C23" s="217">
        <v>5.2299999999999999E-2</v>
      </c>
      <c r="D23" s="217">
        <v>4.4499999999999998E-2</v>
      </c>
      <c r="E23" s="217">
        <v>4.9000000000000002E-2</v>
      </c>
      <c r="F23" s="217">
        <v>5.3999999999999999E-2</v>
      </c>
      <c r="G23" s="217">
        <v>5.45E-2</v>
      </c>
      <c r="H23" s="217">
        <v>5.1499999999999997E-2</v>
      </c>
      <c r="I23" s="217">
        <v>5.0999999999999997E-2</v>
      </c>
      <c r="J23" s="638" t="s">
        <v>775</v>
      </c>
      <c r="K23" s="638"/>
      <c r="L23" s="638"/>
      <c r="M23" s="638"/>
      <c r="N23" s="638"/>
      <c r="O23" s="638"/>
      <c r="P23" s="638"/>
      <c r="Q23" s="638"/>
      <c r="R23" s="638"/>
      <c r="S23" s="638"/>
      <c r="T23" s="638"/>
      <c r="U23" s="638"/>
    </row>
    <row r="24" spans="1:21">
      <c r="A24" s="182" t="s">
        <v>767</v>
      </c>
      <c r="B24" s="190" t="s">
        <v>763</v>
      </c>
      <c r="C24" s="48">
        <f>'Estados de Resultados Consolida'!R3</f>
        <v>-9.0242222448781675E-2</v>
      </c>
      <c r="D24" s="48">
        <f>'Estados de Resultados Consolida'!S3</f>
        <v>-8.8533278475976002E-2</v>
      </c>
      <c r="E24" s="48">
        <f>F14</f>
        <v>-0.08</v>
      </c>
      <c r="F24" s="48">
        <f>H14</f>
        <v>1.4376837209999261E-2</v>
      </c>
      <c r="G24" s="48">
        <f>J14</f>
        <v>1.3785850218561213E-2</v>
      </c>
      <c r="H24" s="48">
        <f>L14</f>
        <v>1.29E-2</v>
      </c>
      <c r="I24" s="48">
        <f>N14</f>
        <v>2.5000000000000001E-2</v>
      </c>
      <c r="J24" s="638" t="s">
        <v>788</v>
      </c>
      <c r="K24" s="638"/>
      <c r="L24" s="638"/>
      <c r="M24" s="638"/>
      <c r="N24" s="638"/>
      <c r="O24" s="638"/>
      <c r="P24" s="638"/>
      <c r="Q24" s="638"/>
      <c r="R24" s="638"/>
      <c r="S24" s="638"/>
      <c r="T24" s="638"/>
      <c r="U24" s="638"/>
    </row>
    <row r="25" spans="1:21">
      <c r="A25" s="182" t="s">
        <v>767</v>
      </c>
      <c r="B25" s="180" t="s">
        <v>764</v>
      </c>
      <c r="C25" s="48">
        <f>'Estados de Resultados Consolida'!M4</f>
        <v>-0.55550278378022189</v>
      </c>
      <c r="D25" s="48">
        <f>'Estados de Resultados Consolida'!N4</f>
        <v>-0.5861707128478999</v>
      </c>
      <c r="E25" s="48">
        <f>VariablesSimulacion!C7</f>
        <v>-0.59899999999999998</v>
      </c>
      <c r="F25" s="48">
        <f>VariablesSimulacion!F7</f>
        <v>-0.58499999999999996</v>
      </c>
      <c r="G25" s="48">
        <f>VariablesSimulacion!I7</f>
        <v>-0.57999999999999996</v>
      </c>
      <c r="H25" s="48">
        <f>VariablesSimulacion!L7</f>
        <v>-0.57799999999999996</v>
      </c>
      <c r="I25" s="48">
        <f>VariablesSimulacion!O7</f>
        <v>-0.57499999999999996</v>
      </c>
      <c r="J25" s="638" t="s">
        <v>1281</v>
      </c>
      <c r="K25" s="638"/>
      <c r="L25" s="638"/>
      <c r="M25" s="638"/>
      <c r="N25" s="638"/>
      <c r="O25" s="638"/>
      <c r="P25" s="638"/>
      <c r="Q25" s="638"/>
      <c r="R25" s="638"/>
      <c r="S25" s="638"/>
      <c r="T25" s="638"/>
      <c r="U25" s="638"/>
    </row>
    <row r="26" spans="1:21">
      <c r="A26" s="182" t="s">
        <v>767</v>
      </c>
      <c r="B26" s="180" t="s">
        <v>765</v>
      </c>
      <c r="C26" s="11">
        <f>'ER Proyectado'!G12</f>
        <v>-51476</v>
      </c>
      <c r="D26" s="11">
        <f>'ER Proyectado'!H12</f>
        <v>-51662</v>
      </c>
      <c r="E26" s="11">
        <f>VariablesSimulacion!C8</f>
        <v>-51569</v>
      </c>
      <c r="F26" s="11">
        <f>VariablesSimulacion!F8</f>
        <v>-51615.5</v>
      </c>
      <c r="G26" s="11">
        <f>VariablesSimulacion!I8</f>
        <v>-51592.25</v>
      </c>
      <c r="H26" s="11">
        <f>VariablesSimulacion!L8</f>
        <v>-51603.875</v>
      </c>
      <c r="I26" s="11">
        <f>VariablesSimulacion!O8</f>
        <v>-51598.0625</v>
      </c>
      <c r="J26" s="638" t="s">
        <v>1352</v>
      </c>
      <c r="K26" s="638"/>
      <c r="L26" s="638"/>
      <c r="M26" s="638"/>
      <c r="N26" s="638"/>
      <c r="O26" s="638"/>
      <c r="P26" s="638"/>
      <c r="Q26" s="638"/>
      <c r="R26" s="638"/>
      <c r="S26" s="638"/>
      <c r="T26" s="638"/>
      <c r="U26" s="638"/>
    </row>
    <row r="27" spans="1:21" ht="15.75" customHeight="1">
      <c r="A27" s="182" t="s">
        <v>767</v>
      </c>
      <c r="B27" s="180" t="s">
        <v>1246</v>
      </c>
      <c r="C27" s="48">
        <f>'Estados de Resultados Consolida'!M6</f>
        <v>-0.16286999990882364</v>
      </c>
      <c r="D27" s="48">
        <f>'Estados de Resultados Consolida'!N6</f>
        <v>-0.16709298412294543</v>
      </c>
      <c r="E27" s="48">
        <f>VariablesSimulacion!C9</f>
        <v>-0.16700000000000001</v>
      </c>
      <c r="F27" s="48">
        <f>VariablesSimulacion!F9</f>
        <v>-0.16</v>
      </c>
      <c r="G27" s="48">
        <f>VariablesSimulacion!I9</f>
        <v>-0.155</v>
      </c>
      <c r="H27" s="48">
        <f>VariablesSimulacion!L9</f>
        <v>-0.152</v>
      </c>
      <c r="I27" s="48">
        <f>VariablesSimulacion!O9</f>
        <v>-0.15</v>
      </c>
      <c r="J27" s="638"/>
      <c r="K27" s="638"/>
      <c r="L27" s="638"/>
      <c r="M27" s="638"/>
      <c r="N27" s="638"/>
      <c r="O27" s="638"/>
      <c r="P27" s="638"/>
      <c r="Q27" s="638"/>
      <c r="R27" s="638"/>
      <c r="S27" s="638"/>
      <c r="T27" s="638"/>
      <c r="U27" s="638"/>
    </row>
    <row r="28" spans="1:21">
      <c r="A28" s="182" t="s">
        <v>767</v>
      </c>
      <c r="B28" s="180" t="s">
        <v>1245</v>
      </c>
      <c r="C28" s="48">
        <f>'Estados de Resultados Consolida'!M7</f>
        <v>-8.3756267339050922E-2</v>
      </c>
      <c r="D28" s="48">
        <f>'Estados de Resultados Consolida'!N7</f>
        <v>-9.5327290001434598E-2</v>
      </c>
      <c r="E28" s="48">
        <f>VariablesSimulacion!C10</f>
        <v>-0.1</v>
      </c>
      <c r="F28" s="48">
        <f>VariablesSimulacion!F10</f>
        <v>-9.4E-2</v>
      </c>
      <c r="G28" s="48">
        <f>VariablesSimulacion!I10</f>
        <v>-8.5999999999999993E-2</v>
      </c>
      <c r="H28" s="48">
        <f>VariablesSimulacion!L10</f>
        <v>-0.08</v>
      </c>
      <c r="I28" s="48">
        <f>VariablesSimulacion!O10</f>
        <v>-7.8E-2</v>
      </c>
      <c r="J28" s="638"/>
      <c r="K28" s="638"/>
      <c r="L28" s="638"/>
      <c r="M28" s="638"/>
      <c r="N28" s="638"/>
      <c r="O28" s="638"/>
      <c r="P28" s="638"/>
      <c r="Q28" s="638"/>
      <c r="R28" s="638"/>
      <c r="S28" s="638"/>
      <c r="T28" s="638"/>
      <c r="U28" s="638"/>
    </row>
    <row r="29" spans="1:21">
      <c r="A29" s="182" t="s">
        <v>767</v>
      </c>
      <c r="B29" s="180" t="s">
        <v>766</v>
      </c>
      <c r="C29" s="48">
        <f>'Estados de Resultados Consolida'!M10</f>
        <v>-2.8501731936511409E-2</v>
      </c>
      <c r="D29" s="48">
        <f>'Estados de Resultados Consolida'!N10</f>
        <v>3.3897876893954773E-3</v>
      </c>
      <c r="E29" s="48">
        <f>D29</f>
        <v>3.3897876893954773E-3</v>
      </c>
      <c r="F29" s="48">
        <f>E29</f>
        <v>3.3897876893954773E-3</v>
      </c>
      <c r="G29" s="48">
        <f>F29</f>
        <v>3.3897876893954773E-3</v>
      </c>
      <c r="H29" s="48">
        <f>G29</f>
        <v>3.3897876893954773E-3</v>
      </c>
      <c r="I29" s="48">
        <f t="shared" ref="I29" si="1">H29</f>
        <v>3.3897876893954773E-3</v>
      </c>
      <c r="J29" s="638" t="s">
        <v>789</v>
      </c>
      <c r="K29" s="638"/>
      <c r="L29" s="638"/>
      <c r="M29" s="638"/>
      <c r="N29" s="638"/>
      <c r="O29" s="638"/>
      <c r="P29" s="638"/>
      <c r="Q29" s="638"/>
      <c r="R29" s="638"/>
      <c r="S29" s="638"/>
      <c r="T29" s="638"/>
      <c r="U29" s="638"/>
    </row>
    <row r="30" spans="1:21">
      <c r="A30" s="184" t="s">
        <v>835</v>
      </c>
      <c r="B30" s="180" t="s">
        <v>831</v>
      </c>
      <c r="C30" s="227">
        <f>'Balance General'!H6/'Estados de Resultados Consolida'!G3*365</f>
        <v>13.660880282945129</v>
      </c>
      <c r="D30" s="227">
        <f>'Balance General'!I6/'Estados de Resultados Consolida'!H3*365</f>
        <v>12.226504945733623</v>
      </c>
      <c r="E30" s="216">
        <f>(E31+E32-E33)*-1</f>
        <v>12</v>
      </c>
      <c r="F30" s="216">
        <f t="shared" ref="F30:H30" si="2">(F31+F32-F33)*-1</f>
        <v>15.5</v>
      </c>
      <c r="G30" s="216">
        <f t="shared" si="2"/>
        <v>19</v>
      </c>
      <c r="H30" s="216">
        <f t="shared" si="2"/>
        <v>21.799999999999997</v>
      </c>
      <c r="I30" s="216">
        <f>(I31+I32-I33)*-1</f>
        <v>25.299999999999997</v>
      </c>
      <c r="J30" s="637" t="s">
        <v>836</v>
      </c>
      <c r="K30" s="638"/>
      <c r="L30" s="638"/>
      <c r="M30" s="638"/>
      <c r="N30" s="638"/>
      <c r="O30" s="638"/>
      <c r="P30" s="638"/>
      <c r="Q30" s="638"/>
      <c r="R30" s="638"/>
      <c r="S30" s="638"/>
      <c r="T30" s="638"/>
      <c r="U30" s="638"/>
    </row>
    <row r="31" spans="1:21">
      <c r="A31" s="184" t="s">
        <v>835</v>
      </c>
      <c r="B31" s="180" t="s">
        <v>832</v>
      </c>
      <c r="C31" s="226">
        <f>Indicadores!H7</f>
        <v>34.457206372730646</v>
      </c>
      <c r="D31" s="226">
        <f>Indicadores!I7</f>
        <v>28.409795286417662</v>
      </c>
      <c r="E31" s="216">
        <f>VariablesSimulacion!C12</f>
        <v>28</v>
      </c>
      <c r="F31" s="338">
        <f>VariablesSimulacion!F12</f>
        <v>27.5</v>
      </c>
      <c r="G31" s="338">
        <f>VariablesSimulacion!I12</f>
        <v>27</v>
      </c>
      <c r="H31" s="338">
        <f>VariablesSimulacion!L12</f>
        <v>26.5</v>
      </c>
      <c r="I31" s="338">
        <f>VariablesSimulacion!O12</f>
        <v>25.7</v>
      </c>
      <c r="J31" s="637" t="s">
        <v>836</v>
      </c>
      <c r="K31" s="638"/>
      <c r="L31" s="638"/>
      <c r="M31" s="638"/>
      <c r="N31" s="638"/>
      <c r="O31" s="638"/>
      <c r="P31" s="638"/>
      <c r="Q31" s="638"/>
      <c r="R31" s="638"/>
      <c r="S31" s="638"/>
      <c r="T31" s="638"/>
      <c r="U31" s="638"/>
    </row>
    <row r="32" spans="1:21">
      <c r="A32" s="184" t="s">
        <v>835</v>
      </c>
      <c r="B32" s="180" t="s">
        <v>833</v>
      </c>
      <c r="C32" s="230">
        <f>'Balance General'!H11/'Estados de Resultados Consolida'!G4*360*-1</f>
        <v>44.409926766817669</v>
      </c>
      <c r="D32" s="230">
        <f>'Balance General'!I11/'Estados de Resultados Consolida'!H4*360*-1</f>
        <v>44.979635815106136</v>
      </c>
      <c r="E32" s="216">
        <f>VariablesSimulacion!C13</f>
        <v>43</v>
      </c>
      <c r="F32" s="338">
        <f>VariablesSimulacion!F13</f>
        <v>42</v>
      </c>
      <c r="G32" s="338">
        <f>VariablesSimulacion!I13</f>
        <v>41</v>
      </c>
      <c r="H32" s="338">
        <f>VariablesSimulacion!L13</f>
        <v>40</v>
      </c>
      <c r="I32" s="338">
        <f>VariablesSimulacion!O13</f>
        <v>38</v>
      </c>
      <c r="J32" s="637" t="s">
        <v>836</v>
      </c>
      <c r="K32" s="638"/>
      <c r="L32" s="638"/>
      <c r="M32" s="638"/>
      <c r="N32" s="638"/>
      <c r="O32" s="638"/>
      <c r="P32" s="638"/>
      <c r="Q32" s="638"/>
      <c r="R32" s="638"/>
      <c r="S32" s="638"/>
      <c r="T32" s="638"/>
      <c r="U32" s="638"/>
    </row>
    <row r="33" spans="1:21">
      <c r="A33" s="184" t="s">
        <v>835</v>
      </c>
      <c r="B33" s="180" t="s">
        <v>834</v>
      </c>
      <c r="C33" s="229">
        <f>'BG Proyectado'!H24/'ER Proyectado'!G4*360*-1</f>
        <v>89.15235724901072</v>
      </c>
      <c r="D33" s="229">
        <f>'BG Proyectado'!I24/'ER Proyectado'!H4*360*-1</f>
        <v>82.85480320778241</v>
      </c>
      <c r="E33" s="216">
        <f>VariablesSimulacion!C14</f>
        <v>83</v>
      </c>
      <c r="F33" s="338">
        <f>VariablesSimulacion!F14</f>
        <v>85</v>
      </c>
      <c r="G33" s="338">
        <f>VariablesSimulacion!I14</f>
        <v>87</v>
      </c>
      <c r="H33" s="338">
        <f>VariablesSimulacion!L14</f>
        <v>88.3</v>
      </c>
      <c r="I33" s="338">
        <f>VariablesSimulacion!O14</f>
        <v>89</v>
      </c>
      <c r="J33" s="637" t="s">
        <v>1353</v>
      </c>
      <c r="K33" s="638"/>
      <c r="L33" s="638"/>
      <c r="M33" s="638"/>
      <c r="N33" s="638"/>
      <c r="O33" s="638"/>
      <c r="P33" s="638"/>
      <c r="Q33" s="638"/>
      <c r="R33" s="638"/>
      <c r="S33" s="638"/>
      <c r="T33" s="638"/>
      <c r="U33" s="638"/>
    </row>
    <row r="34" spans="1:21">
      <c r="A34" s="184" t="s">
        <v>1354</v>
      </c>
      <c r="B34" s="180" t="s">
        <v>857</v>
      </c>
      <c r="C34" s="187">
        <v>0</v>
      </c>
      <c r="D34" s="187">
        <v>0</v>
      </c>
      <c r="E34" s="187">
        <v>0</v>
      </c>
      <c r="F34" s="187">
        <v>0</v>
      </c>
      <c r="G34" s="187">
        <v>0</v>
      </c>
      <c r="H34" s="187">
        <v>0</v>
      </c>
      <c r="I34" s="187">
        <v>0</v>
      </c>
      <c r="J34" s="637" t="s">
        <v>941</v>
      </c>
      <c r="K34" s="638"/>
      <c r="L34" s="638"/>
      <c r="M34" s="638"/>
      <c r="N34" s="638"/>
      <c r="O34" s="638"/>
      <c r="P34" s="638"/>
      <c r="Q34" s="638"/>
      <c r="R34" s="638"/>
      <c r="S34" s="638"/>
      <c r="T34" s="638"/>
      <c r="U34" s="638"/>
    </row>
    <row r="35" spans="1:21">
      <c r="A35" s="184" t="s">
        <v>1354</v>
      </c>
      <c r="B35" s="180" t="s">
        <v>855</v>
      </c>
      <c r="C35" s="161">
        <f>'Indicadores Estrategicos'!H17</f>
        <v>5.7091324734573165E-2</v>
      </c>
      <c r="D35" s="161">
        <f>'Indicadores Estrategicos'!I17</f>
        <v>2.6616645418463289E-3</v>
      </c>
      <c r="E35" s="216">
        <f>VariablesSimulacion!C15</f>
        <v>4.4048279369999679E-2</v>
      </c>
      <c r="F35" s="338">
        <f>VariablesSimulacion!F15</f>
        <v>4.4048279369999679E-2</v>
      </c>
      <c r="G35" s="338">
        <f>VariablesSimulacion!I15</f>
        <v>4.3999999999999997E-2</v>
      </c>
      <c r="H35" s="338">
        <f>VariablesSimulacion!L15</f>
        <v>4.4048279369999679E-2</v>
      </c>
      <c r="I35" s="338">
        <f>VariablesSimulacion!O15</f>
        <v>4.4048279369999679E-2</v>
      </c>
      <c r="J35" s="637" t="s">
        <v>1355</v>
      </c>
      <c r="K35" s="638"/>
      <c r="L35" s="638"/>
      <c r="M35" s="638"/>
      <c r="N35" s="638"/>
      <c r="O35" s="638"/>
      <c r="P35" s="638"/>
      <c r="Q35" s="638"/>
      <c r="R35" s="638"/>
      <c r="S35" s="638"/>
      <c r="T35" s="638"/>
      <c r="U35" s="638"/>
    </row>
    <row r="36" spans="1:21">
      <c r="A36" s="184" t="s">
        <v>1354</v>
      </c>
      <c r="B36" s="180" t="s">
        <v>1356</v>
      </c>
      <c r="C36" s="180">
        <v>0.05</v>
      </c>
      <c r="D36" s="52">
        <v>0.05</v>
      </c>
      <c r="E36" s="52">
        <v>0.05</v>
      </c>
      <c r="F36" s="52">
        <v>0.05</v>
      </c>
      <c r="G36" s="52">
        <v>0.05</v>
      </c>
      <c r="H36" s="52">
        <v>0.05</v>
      </c>
      <c r="I36" s="52">
        <v>0.05</v>
      </c>
      <c r="J36" s="637" t="s">
        <v>939</v>
      </c>
      <c r="K36" s="638"/>
      <c r="L36" s="638"/>
      <c r="M36" s="638"/>
      <c r="N36" s="638"/>
      <c r="O36" s="638"/>
      <c r="P36" s="638"/>
      <c r="Q36" s="638"/>
      <c r="R36" s="638"/>
      <c r="S36" s="638"/>
      <c r="T36" s="638"/>
      <c r="U36" s="638"/>
    </row>
    <row r="37" spans="1:21">
      <c r="A37" s="182" t="s">
        <v>767</v>
      </c>
      <c r="B37" s="180" t="s">
        <v>1357</v>
      </c>
      <c r="C37" s="180"/>
      <c r="D37" s="52"/>
      <c r="E37" s="52">
        <v>5.6500000000000002E-2</v>
      </c>
      <c r="F37" s="52">
        <v>5.6500000000000002E-2</v>
      </c>
      <c r="G37" s="52">
        <v>5.6500000000000002E-2</v>
      </c>
      <c r="H37" s="52">
        <v>5.6500000000000002E-2</v>
      </c>
      <c r="I37" s="52">
        <v>7.0000000000000007E-2</v>
      </c>
      <c r="J37" s="637" t="s">
        <v>940</v>
      </c>
      <c r="K37" s="638"/>
      <c r="L37" s="638"/>
      <c r="M37" s="638"/>
      <c r="N37" s="638"/>
      <c r="O37" s="638"/>
      <c r="P37" s="638"/>
      <c r="Q37" s="638"/>
      <c r="R37" s="638"/>
      <c r="S37" s="638"/>
      <c r="T37" s="638"/>
      <c r="U37" s="638"/>
    </row>
    <row r="38" spans="1:21">
      <c r="A38" s="184" t="s">
        <v>1354</v>
      </c>
      <c r="B38" s="180" t="s">
        <v>936</v>
      </c>
      <c r="C38" s="52"/>
      <c r="D38" s="52"/>
      <c r="E38" s="52">
        <f>VariablesSimulacion!C16</f>
        <v>1.2999999999999999E-2</v>
      </c>
      <c r="F38" s="52">
        <f>VariablesSimulacion!F16</f>
        <v>1.2999999999999999E-2</v>
      </c>
      <c r="G38" s="52">
        <f>VariablesSimulacion!I16</f>
        <v>1.2999999999999999E-2</v>
      </c>
      <c r="H38" s="52">
        <f>VariablesSimulacion!L16</f>
        <v>1.2999999999999999E-2</v>
      </c>
      <c r="I38" s="52">
        <f>VariablesSimulacion!O16</f>
        <v>1.2999999999999999E-2</v>
      </c>
      <c r="J38" s="637" t="s">
        <v>939</v>
      </c>
      <c r="K38" s="638"/>
      <c r="L38" s="638"/>
      <c r="M38" s="638"/>
      <c r="N38" s="638"/>
      <c r="O38" s="638"/>
      <c r="P38" s="638"/>
      <c r="Q38" s="638"/>
      <c r="R38" s="638"/>
      <c r="S38" s="638"/>
      <c r="T38" s="638"/>
      <c r="U38" s="638"/>
    </row>
  </sheetData>
  <mergeCells count="28">
    <mergeCell ref="B1:S1"/>
    <mergeCell ref="J19:U19"/>
    <mergeCell ref="J18:U18"/>
    <mergeCell ref="J21:U21"/>
    <mergeCell ref="P4:AA4"/>
    <mergeCell ref="P2:AB2"/>
    <mergeCell ref="A14:B14"/>
    <mergeCell ref="P3:AA3"/>
    <mergeCell ref="P6:AA6"/>
    <mergeCell ref="A15:B15"/>
    <mergeCell ref="J22:U22"/>
    <mergeCell ref="J24:U24"/>
    <mergeCell ref="J25:U25"/>
    <mergeCell ref="J23:U23"/>
    <mergeCell ref="J20:U20"/>
    <mergeCell ref="J26:U26"/>
    <mergeCell ref="J27:U27"/>
    <mergeCell ref="J28:U28"/>
    <mergeCell ref="J29:U29"/>
    <mergeCell ref="J36:U36"/>
    <mergeCell ref="J37:U37"/>
    <mergeCell ref="J38:U38"/>
    <mergeCell ref="J30:U30"/>
    <mergeCell ref="J31:U31"/>
    <mergeCell ref="J32:U32"/>
    <mergeCell ref="J35:U35"/>
    <mergeCell ref="J33:U33"/>
    <mergeCell ref="J34:U34"/>
  </mergeCells>
  <hyperlinks>
    <hyperlink ref="P4" r:id="rId1"/>
    <hyperlink ref="P6" r:id="rId2" display="https://datos.bancomundial.org/pais/Panama?view=chart"/>
    <hyperlink ref="P8" r:id="rId3"/>
    <hyperlink ref="P10" r:id="rId4"/>
  </hyperlinks>
  <pageMargins left="0.7" right="0.7" top="0.75" bottom="0.75" header="0.3" footer="0.3"/>
  <pageSetup paperSize="9"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sheetPr>
  <dimension ref="A1:AH28"/>
  <sheetViews>
    <sheetView showGridLines="0" zoomScale="80" zoomScaleNormal="80" workbookViewId="0">
      <pane xSplit="2" ySplit="2" topLeftCell="J7" activePane="bottomRight" state="frozen"/>
      <selection activeCell="J5" sqref="J5"/>
      <selection pane="topRight" activeCell="J5" sqref="J5"/>
      <selection pane="bottomLeft" activeCell="J5" sqref="J5"/>
      <selection pane="bottomRight" activeCell="M4" sqref="M4"/>
    </sheetView>
  </sheetViews>
  <sheetFormatPr baseColWidth="10" defaultColWidth="13.375" defaultRowHeight="15.75"/>
  <cols>
    <col min="2" max="2" width="48.875" bestFit="1" customWidth="1"/>
    <col min="3" max="6" width="13.375" customWidth="1"/>
    <col min="7" max="7" width="15.875" customWidth="1"/>
    <col min="8" max="8" width="13.375" customWidth="1"/>
    <col min="11" max="13" width="13.125" bestFit="1" customWidth="1"/>
    <col min="14" max="15" width="12.5" hidden="1" customWidth="1"/>
    <col min="16" max="17" width="8.875" hidden="1" customWidth="1"/>
    <col min="18" max="18" width="12.625" hidden="1" customWidth="1"/>
    <col min="19" max="19" width="12.625" customWidth="1"/>
    <col min="20" max="20" width="14.5" customWidth="1"/>
    <col min="25" max="25" width="16.5" hidden="1" customWidth="1"/>
    <col min="26" max="29" width="0" hidden="1" customWidth="1"/>
  </cols>
  <sheetData>
    <row r="1" spans="1:34" ht="46.5" customHeight="1">
      <c r="C1" s="278"/>
      <c r="D1" s="278"/>
      <c r="E1" s="278"/>
      <c r="F1" s="278"/>
      <c r="G1" s="278"/>
      <c r="H1" s="278"/>
      <c r="I1" s="625" t="s">
        <v>778</v>
      </c>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ht="37.5">
      <c r="A2" s="9" t="s">
        <v>69</v>
      </c>
      <c r="B2" s="25" t="s">
        <v>68</v>
      </c>
      <c r="C2" s="25" t="s">
        <v>168</v>
      </c>
      <c r="D2" s="25" t="s">
        <v>63</v>
      </c>
      <c r="E2" s="25" t="s">
        <v>62</v>
      </c>
      <c r="F2" s="25" t="s">
        <v>61</v>
      </c>
      <c r="G2" s="25" t="s">
        <v>60</v>
      </c>
      <c r="H2" s="323" t="s">
        <v>695</v>
      </c>
      <c r="I2" s="325" t="s">
        <v>771</v>
      </c>
      <c r="J2" s="325" t="s">
        <v>772</v>
      </c>
      <c r="K2" s="325" t="s">
        <v>773</v>
      </c>
      <c r="L2" s="325" t="s">
        <v>774</v>
      </c>
      <c r="M2" s="325" t="s">
        <v>859</v>
      </c>
      <c r="N2" s="326" t="s">
        <v>605</v>
      </c>
      <c r="O2" s="326" t="s">
        <v>606</v>
      </c>
      <c r="P2" s="326" t="s">
        <v>607</v>
      </c>
      <c r="Q2" s="326" t="s">
        <v>608</v>
      </c>
      <c r="R2" s="326" t="s">
        <v>609</v>
      </c>
      <c r="S2" s="326" t="s">
        <v>696</v>
      </c>
      <c r="T2" s="327" t="s">
        <v>779</v>
      </c>
      <c r="U2" s="327" t="s">
        <v>780</v>
      </c>
      <c r="V2" s="327" t="s">
        <v>781</v>
      </c>
      <c r="W2" s="327" t="s">
        <v>782</v>
      </c>
      <c r="X2" s="327" t="s">
        <v>935</v>
      </c>
      <c r="Y2" s="228" t="s">
        <v>904</v>
      </c>
      <c r="Z2" s="228">
        <v>2015</v>
      </c>
      <c r="AA2" s="228">
        <v>2016</v>
      </c>
      <c r="AB2" s="228">
        <v>2017</v>
      </c>
      <c r="AC2" s="228">
        <v>2018</v>
      </c>
      <c r="AD2" s="324" t="s">
        <v>920</v>
      </c>
      <c r="AE2" s="324" t="s">
        <v>921</v>
      </c>
      <c r="AF2" s="324" t="s">
        <v>922</v>
      </c>
      <c r="AG2" s="324" t="s">
        <v>923</v>
      </c>
      <c r="AH2" s="324" t="s">
        <v>924</v>
      </c>
    </row>
    <row r="3" spans="1:34">
      <c r="A3" s="17">
        <v>1</v>
      </c>
      <c r="B3" s="10" t="s">
        <v>35</v>
      </c>
      <c r="C3" s="18">
        <v>1750116</v>
      </c>
      <c r="D3" s="18">
        <v>1724710</v>
      </c>
      <c r="E3" s="11">
        <v>1427058</v>
      </c>
      <c r="F3" s="11">
        <v>1315326</v>
      </c>
      <c r="G3" s="11">
        <v>1206453</v>
      </c>
      <c r="H3" s="11">
        <v>1108329</v>
      </c>
      <c r="I3" s="11">
        <f>EstadosDeResultados11[[#This Row],[2018]]+EstadosDeResultados11[[#This Row],[2018]]*Suspuestos!E24</f>
        <v>1019662.6799999999</v>
      </c>
      <c r="J3" s="11">
        <f>EstadosDeResultados11[[#This Row],[2019P]]+EstadosDeResultados11[[#This Row],[2019P]]*Suspuestos!F24</f>
        <v>1034322.2043594714</v>
      </c>
      <c r="K3" s="11">
        <f>EstadosDeResultados11[[#This Row],[2020P]]+EstadosDeResultados11[[#This Row],[2020P]]*Suspuestos!G24</f>
        <v>1048581.2153465031</v>
      </c>
      <c r="L3" s="11">
        <f>EstadosDeResultados11[[#This Row],[2021P]]+EstadosDeResultados11[[#This Row],[2021P]]*Suspuestos!H24</f>
        <v>1062107.913024473</v>
      </c>
      <c r="M3" s="11">
        <f>EstadosDeResultados11[[#This Row],[2022P]]+EstadosDeResultados11[[#This Row],[2022P]]*Suspuestos!I24</f>
        <v>1088660.6108500848</v>
      </c>
      <c r="N3" s="51">
        <f t="shared" ref="N3:S19" si="0">+C3/C$3</f>
        <v>1</v>
      </c>
      <c r="O3" s="51">
        <f t="shared" si="0"/>
        <v>1</v>
      </c>
      <c r="P3" s="51">
        <f t="shared" si="0"/>
        <v>1</v>
      </c>
      <c r="Q3" s="51">
        <f t="shared" si="0"/>
        <v>1</v>
      </c>
      <c r="R3" s="143">
        <f t="shared" si="0"/>
        <v>1</v>
      </c>
      <c r="S3" s="143">
        <f t="shared" si="0"/>
        <v>1</v>
      </c>
      <c r="T3" s="143">
        <f t="shared" ref="T3:T23" si="1">+I3/I$3</f>
        <v>1</v>
      </c>
      <c r="U3" s="143">
        <f t="shared" ref="U3:U23" si="2">+J3/J$3</f>
        <v>1</v>
      </c>
      <c r="V3" s="143">
        <f t="shared" ref="V3:V23" si="3">+K3/K$3</f>
        <v>1</v>
      </c>
      <c r="W3" s="143">
        <f t="shared" ref="W3:W23" si="4">+L3/L$3</f>
        <v>1</v>
      </c>
      <c r="X3" s="143">
        <f t="shared" ref="X3:X23" si="5">+M3/M$3</f>
        <v>1</v>
      </c>
      <c r="Y3" s="12">
        <f>D3/C3-1</f>
        <v>-1.4516752032436742E-2</v>
      </c>
      <c r="Z3" s="12">
        <f t="shared" ref="Z3:Z23" si="6">E3/D3-1</f>
        <v>-0.17258089765815698</v>
      </c>
      <c r="AA3" s="12">
        <f t="shared" ref="AA3:AA23" si="7">F3/E3-1</f>
        <v>-7.8295346089647389E-2</v>
      </c>
      <c r="AB3" s="12">
        <f t="shared" ref="AB3:AB23" si="8">G3/F3-1</f>
        <v>-8.27726358332459E-2</v>
      </c>
      <c r="AC3" s="12">
        <f t="shared" ref="AC3:AC23" si="9">H3/G3-1</f>
        <v>-8.1332633761945106E-2</v>
      </c>
      <c r="AD3" s="12">
        <f t="shared" ref="AD3:AD23" si="10">I3/H3-1</f>
        <v>-8.0000000000000071E-2</v>
      </c>
      <c r="AE3" s="12">
        <f t="shared" ref="AE3:AE23" si="11">J3/I3-1</f>
        <v>1.4376837209999271E-2</v>
      </c>
      <c r="AF3" s="12">
        <f t="shared" ref="AF3:AF23" si="12">K3/J3-1</f>
        <v>1.3785850218561047E-2</v>
      </c>
      <c r="AG3" s="12">
        <f t="shared" ref="AG3:AG23" si="13">L3/K3-1</f>
        <v>1.2900000000000134E-2</v>
      </c>
      <c r="AH3" s="12">
        <f t="shared" ref="AH3:AH23" si="14">M3/L3-1</f>
        <v>2.4999999999999911E-2</v>
      </c>
    </row>
    <row r="4" spans="1:34">
      <c r="A4" s="17">
        <v>2</v>
      </c>
      <c r="B4" s="10" t="s">
        <v>36</v>
      </c>
      <c r="C4" s="18">
        <v>-852161</v>
      </c>
      <c r="D4" s="18">
        <v>-869388</v>
      </c>
      <c r="E4" s="11">
        <v>-749646</v>
      </c>
      <c r="F4" s="11">
        <v>-676860</v>
      </c>
      <c r="G4" s="11">
        <v>-670188</v>
      </c>
      <c r="H4" s="11">
        <v>-649670</v>
      </c>
      <c r="I4" s="11">
        <f>I3*Suspuestos!E25</f>
        <v>-610777.94531999994</v>
      </c>
      <c r="J4" s="11">
        <f>J3*Suspuestos!F25</f>
        <v>-605078.48955029075</v>
      </c>
      <c r="K4" s="11">
        <f>K3*Suspuestos!G25</f>
        <v>-608177.10490097175</v>
      </c>
      <c r="L4" s="11">
        <f>L3*Suspuestos!H25</f>
        <v>-613898.37372814538</v>
      </c>
      <c r="M4" s="11">
        <f>M3*Suspuestos!I25</f>
        <v>-625979.8512387987</v>
      </c>
      <c r="N4" s="51">
        <f t="shared" si="0"/>
        <v>-0.4869168672248011</v>
      </c>
      <c r="O4" s="51">
        <f t="shared" si="0"/>
        <v>-0.50407778699027661</v>
      </c>
      <c r="P4" s="51">
        <f t="shared" si="0"/>
        <v>-0.52530871204954532</v>
      </c>
      <c r="Q4" s="51">
        <f t="shared" si="0"/>
        <v>-0.51459486089380124</v>
      </c>
      <c r="R4" s="52">
        <f t="shared" si="0"/>
        <v>-0.55550278378022189</v>
      </c>
      <c r="S4" s="52">
        <f t="shared" si="0"/>
        <v>-0.5861707128478999</v>
      </c>
      <c r="T4" s="52">
        <f t="shared" si="1"/>
        <v>-0.59899999999999998</v>
      </c>
      <c r="U4" s="52">
        <f t="shared" si="2"/>
        <v>-0.58499999999999996</v>
      </c>
      <c r="V4" s="52">
        <f t="shared" si="3"/>
        <v>-0.57999999999999996</v>
      </c>
      <c r="W4" s="52">
        <f t="shared" si="4"/>
        <v>-0.57799999999999996</v>
      </c>
      <c r="X4" s="52">
        <f t="shared" si="5"/>
        <v>-0.57499999999999996</v>
      </c>
      <c r="Y4" s="12">
        <f t="shared" ref="Y4:Y23" si="15">D4/C4-1</f>
        <v>2.0215663472043399E-2</v>
      </c>
      <c r="Z4" s="12">
        <f t="shared" si="6"/>
        <v>-0.13773136965313526</v>
      </c>
      <c r="AA4" s="12">
        <f t="shared" si="7"/>
        <v>-9.7093828286951456E-2</v>
      </c>
      <c r="AB4" s="12">
        <f t="shared" si="8"/>
        <v>-9.8572821558372548E-3</v>
      </c>
      <c r="AC4" s="12">
        <f t="shared" si="9"/>
        <v>-3.0615290038019216E-2</v>
      </c>
      <c r="AD4" s="12">
        <f t="shared" si="10"/>
        <v>-5.9864322933181557E-2</v>
      </c>
      <c r="AE4" s="12">
        <f t="shared" si="11"/>
        <v>-9.3314695027554295E-3</v>
      </c>
      <c r="AF4" s="12">
        <f t="shared" si="12"/>
        <v>5.1210138919066672E-3</v>
      </c>
      <c r="AG4" s="12">
        <f t="shared" si="13"/>
        <v>9.4072413793104825E-3</v>
      </c>
      <c r="AH4" s="12">
        <f t="shared" si="14"/>
        <v>1.9679930795847733E-2</v>
      </c>
    </row>
    <row r="5" spans="1:34">
      <c r="A5" s="17">
        <v>3</v>
      </c>
      <c r="B5" s="10" t="s">
        <v>37</v>
      </c>
      <c r="C5" s="13">
        <f t="shared" ref="C5:L5" si="16">C3+C4</f>
        <v>897955</v>
      </c>
      <c r="D5" s="13">
        <f t="shared" si="16"/>
        <v>855322</v>
      </c>
      <c r="E5" s="14">
        <f t="shared" si="16"/>
        <v>677412</v>
      </c>
      <c r="F5" s="14">
        <f t="shared" si="16"/>
        <v>638466</v>
      </c>
      <c r="G5" s="14">
        <f t="shared" si="16"/>
        <v>536265</v>
      </c>
      <c r="H5" s="14">
        <f t="shared" si="16"/>
        <v>458659</v>
      </c>
      <c r="I5" s="14">
        <f t="shared" si="16"/>
        <v>408884.73467999999</v>
      </c>
      <c r="J5" s="14">
        <f t="shared" si="16"/>
        <v>429243.7148091807</v>
      </c>
      <c r="K5" s="14">
        <f t="shared" si="16"/>
        <v>440404.11044553132</v>
      </c>
      <c r="L5" s="14">
        <f t="shared" si="16"/>
        <v>448209.53929632762</v>
      </c>
      <c r="M5" s="14">
        <f t="shared" ref="M5" si="17">M3+M4</f>
        <v>462680.75961128611</v>
      </c>
      <c r="N5" s="51">
        <f t="shared" si="0"/>
        <v>0.5130831327751989</v>
      </c>
      <c r="O5" s="51">
        <f t="shared" si="0"/>
        <v>0.49592221300972339</v>
      </c>
      <c r="P5" s="51">
        <f t="shared" si="0"/>
        <v>0.47469128795045473</v>
      </c>
      <c r="Q5" s="51">
        <f t="shared" si="0"/>
        <v>0.48540513910619876</v>
      </c>
      <c r="R5" s="52">
        <f t="shared" si="0"/>
        <v>0.44449721621977817</v>
      </c>
      <c r="S5" s="52">
        <f t="shared" si="0"/>
        <v>0.41382928715210016</v>
      </c>
      <c r="T5" s="52">
        <f t="shared" si="1"/>
        <v>0.40100000000000002</v>
      </c>
      <c r="U5" s="52">
        <f t="shared" si="2"/>
        <v>0.41500000000000004</v>
      </c>
      <c r="V5" s="52">
        <f t="shared" si="3"/>
        <v>0.42000000000000004</v>
      </c>
      <c r="W5" s="52">
        <f t="shared" si="4"/>
        <v>0.42200000000000004</v>
      </c>
      <c r="X5" s="52">
        <f t="shared" si="5"/>
        <v>0.42500000000000004</v>
      </c>
      <c r="Y5" s="12">
        <f t="shared" si="15"/>
        <v>-4.7477880294669594E-2</v>
      </c>
      <c r="Z5" s="12">
        <f t="shared" si="6"/>
        <v>-0.20800353551060302</v>
      </c>
      <c r="AA5" s="12">
        <f t="shared" si="7"/>
        <v>-5.7492338488246419E-2</v>
      </c>
      <c r="AB5" s="12">
        <f t="shared" si="8"/>
        <v>-0.160072736841116</v>
      </c>
      <c r="AC5" s="12">
        <f t="shared" si="9"/>
        <v>-0.14471576552637222</v>
      </c>
      <c r="AD5" s="12">
        <f t="shared" si="10"/>
        <v>-0.1085212877540831</v>
      </c>
      <c r="AE5" s="12">
        <f t="shared" si="11"/>
        <v>4.9791489880672613E-2</v>
      </c>
      <c r="AF5" s="12">
        <f t="shared" si="12"/>
        <v>2.600013757059183E-2</v>
      </c>
      <c r="AG5" s="12">
        <f t="shared" si="13"/>
        <v>1.7723333333333313E-2</v>
      </c>
      <c r="AH5" s="12">
        <f t="shared" si="14"/>
        <v>3.2286729857819996E-2</v>
      </c>
    </row>
    <row r="6" spans="1:34">
      <c r="A6" s="17">
        <v>4</v>
      </c>
      <c r="B6" s="10" t="s">
        <v>72</v>
      </c>
      <c r="C6" s="11">
        <v>-246422</v>
      </c>
      <c r="D6" s="11">
        <v>-240731</v>
      </c>
      <c r="E6" s="11">
        <v>-208918</v>
      </c>
      <c r="F6" s="11">
        <v>-202367</v>
      </c>
      <c r="G6" s="11">
        <v>-196495</v>
      </c>
      <c r="H6" s="11">
        <v>-185194</v>
      </c>
      <c r="I6" s="11">
        <f>I$3*Suspuestos!E27</f>
        <v>-170283.66756</v>
      </c>
      <c r="J6" s="11">
        <f>J$3*Suspuestos!F27</f>
        <v>-165491.55269751544</v>
      </c>
      <c r="K6" s="11">
        <f>K$3*Suspuestos!G27</f>
        <v>-162530.08837870797</v>
      </c>
      <c r="L6" s="11">
        <f>L$3*Suspuestos!H27</f>
        <v>-161440.40277971988</v>
      </c>
      <c r="M6" s="11">
        <f>M$3*Suspuestos!I27</f>
        <v>-163299.09162751271</v>
      </c>
      <c r="N6" s="51">
        <f t="shared" si="0"/>
        <v>-0.14080323818535456</v>
      </c>
      <c r="O6" s="51">
        <f t="shared" si="0"/>
        <v>-0.13957766812971456</v>
      </c>
      <c r="P6" s="51">
        <f t="shared" si="0"/>
        <v>-0.14639769371672351</v>
      </c>
      <c r="Q6" s="51">
        <f t="shared" si="0"/>
        <v>-0.15385311322060083</v>
      </c>
      <c r="R6" s="52">
        <f t="shared" si="0"/>
        <v>-0.16286999990882364</v>
      </c>
      <c r="S6" s="52">
        <f t="shared" si="0"/>
        <v>-0.16709298412294543</v>
      </c>
      <c r="T6" s="52">
        <f t="shared" si="1"/>
        <v>-0.16700000000000001</v>
      </c>
      <c r="U6" s="52">
        <f t="shared" si="2"/>
        <v>-0.16</v>
      </c>
      <c r="V6" s="52">
        <f t="shared" si="3"/>
        <v>-0.155</v>
      </c>
      <c r="W6" s="52">
        <f t="shared" si="4"/>
        <v>-0.152</v>
      </c>
      <c r="X6" s="52">
        <f t="shared" si="5"/>
        <v>-0.15</v>
      </c>
      <c r="Y6" s="12">
        <f t="shared" si="15"/>
        <v>-2.3094528897582234E-2</v>
      </c>
      <c r="Z6" s="12">
        <f t="shared" si="6"/>
        <v>-0.1321516547515692</v>
      </c>
      <c r="AA6" s="12">
        <f t="shared" si="7"/>
        <v>-3.1356800275706309E-2</v>
      </c>
      <c r="AB6" s="12">
        <f t="shared" si="8"/>
        <v>-2.9016588673054455E-2</v>
      </c>
      <c r="AC6" s="12">
        <f t="shared" si="9"/>
        <v>-5.7512913814600886E-2</v>
      </c>
      <c r="AD6" s="12">
        <f t="shared" si="10"/>
        <v>-8.0511962806570359E-2</v>
      </c>
      <c r="AE6" s="12">
        <f t="shared" si="11"/>
        <v>-2.8141952373653467E-2</v>
      </c>
      <c r="AF6" s="12">
        <f t="shared" si="12"/>
        <v>-1.7894957600768979E-2</v>
      </c>
      <c r="AG6" s="12">
        <f t="shared" si="13"/>
        <v>-6.704516129032223E-3</v>
      </c>
      <c r="AH6" s="12">
        <f t="shared" si="14"/>
        <v>1.1513157894736947E-2</v>
      </c>
    </row>
    <row r="7" spans="1:34">
      <c r="A7" s="17">
        <v>5</v>
      </c>
      <c r="B7" s="10" t="s">
        <v>71</v>
      </c>
      <c r="C7" s="11">
        <v>-116237</v>
      </c>
      <c r="D7" s="11">
        <v>-133460</v>
      </c>
      <c r="E7" s="11">
        <v>-103676</v>
      </c>
      <c r="F7" s="11">
        <v>-93633</v>
      </c>
      <c r="G7" s="11">
        <v>-101048</v>
      </c>
      <c r="H7" s="11">
        <v>-105654</v>
      </c>
      <c r="I7" s="11">
        <f>I$3*Suspuestos!E28</f>
        <v>-101966.268</v>
      </c>
      <c r="J7" s="11">
        <f>J$3*Suspuestos!F28</f>
        <v>-97226.287209790316</v>
      </c>
      <c r="K7" s="11">
        <f>K$3*Suspuestos!G28</f>
        <v>-90177.984519799254</v>
      </c>
      <c r="L7" s="11">
        <f>L$3*Suspuestos!H28</f>
        <v>-84968.633041957844</v>
      </c>
      <c r="M7" s="11">
        <f>M$3*Suspuestos!I28</f>
        <v>-84915.527646306611</v>
      </c>
      <c r="N7" s="51">
        <f t="shared" si="0"/>
        <v>-6.6416740376066499E-2</v>
      </c>
      <c r="O7" s="51">
        <f t="shared" si="0"/>
        <v>-7.7381124942744003E-2</v>
      </c>
      <c r="P7" s="51">
        <f t="shared" si="0"/>
        <v>-7.26501655854212E-2</v>
      </c>
      <c r="Q7" s="51">
        <f t="shared" si="0"/>
        <v>-7.1186154611100214E-2</v>
      </c>
      <c r="R7" s="52">
        <f t="shared" si="0"/>
        <v>-8.3756267339050922E-2</v>
      </c>
      <c r="S7" s="52">
        <f t="shared" si="0"/>
        <v>-9.5327290001434598E-2</v>
      </c>
      <c r="T7" s="52">
        <f t="shared" si="1"/>
        <v>-0.1</v>
      </c>
      <c r="U7" s="52">
        <f t="shared" si="2"/>
        <v>-9.4E-2</v>
      </c>
      <c r="V7" s="52">
        <f t="shared" si="3"/>
        <v>-8.5999999999999993E-2</v>
      </c>
      <c r="W7" s="52">
        <f t="shared" si="4"/>
        <v>-0.08</v>
      </c>
      <c r="X7" s="52">
        <f t="shared" si="5"/>
        <v>-7.8E-2</v>
      </c>
      <c r="Y7" s="12">
        <f t="shared" si="15"/>
        <v>0.14817140841556475</v>
      </c>
      <c r="Z7" s="12">
        <f t="shared" si="6"/>
        <v>-0.22316799040911139</v>
      </c>
      <c r="AA7" s="12">
        <f t="shared" si="7"/>
        <v>-9.6869092171765869E-2</v>
      </c>
      <c r="AB7" s="12">
        <f t="shared" si="8"/>
        <v>7.9192165155447247E-2</v>
      </c>
      <c r="AC7" s="12">
        <f t="shared" si="9"/>
        <v>4.5582297521969739E-2</v>
      </c>
      <c r="AD7" s="12">
        <f t="shared" si="10"/>
        <v>-3.4903855982736154E-2</v>
      </c>
      <c r="AE7" s="12">
        <f t="shared" si="11"/>
        <v>-4.6485773022600818E-2</v>
      </c>
      <c r="AF7" s="12">
        <f t="shared" si="12"/>
        <v>-7.2493796608550598E-2</v>
      </c>
      <c r="AG7" s="12">
        <f t="shared" si="13"/>
        <v>-5.7767441860464896E-2</v>
      </c>
      <c r="AH7" s="12">
        <f t="shared" si="14"/>
        <v>-6.250000000000977E-4</v>
      </c>
    </row>
    <row r="8" spans="1:34">
      <c r="A8" s="17">
        <v>6</v>
      </c>
      <c r="B8" s="10" t="s">
        <v>73</v>
      </c>
      <c r="C8" s="15">
        <f>C7+C6</f>
        <v>-362659</v>
      </c>
      <c r="D8" s="15">
        <f>D7+D6</f>
        <v>-374191</v>
      </c>
      <c r="E8" s="15">
        <v>-312594</v>
      </c>
      <c r="F8" s="15">
        <f>F7+F6</f>
        <v>-296000</v>
      </c>
      <c r="G8" s="15">
        <f>G7+G6</f>
        <v>-297543</v>
      </c>
      <c r="H8" s="15">
        <f t="shared" ref="H8:L8" si="18">H7+H6</f>
        <v>-290848</v>
      </c>
      <c r="I8" s="15">
        <f t="shared" si="18"/>
        <v>-272249.93556000001</v>
      </c>
      <c r="J8" s="15">
        <f t="shared" si="18"/>
        <v>-262717.83990730578</v>
      </c>
      <c r="K8" s="15">
        <f t="shared" si="18"/>
        <v>-252708.07289850723</v>
      </c>
      <c r="L8" s="15">
        <f t="shared" si="18"/>
        <v>-246409.03582167771</v>
      </c>
      <c r="M8" s="15">
        <f t="shared" ref="M8" si="19">M7+M6</f>
        <v>-248214.61927381932</v>
      </c>
      <c r="N8" s="51">
        <f t="shared" si="0"/>
        <v>-0.20721997856142108</v>
      </c>
      <c r="O8" s="51">
        <f t="shared" si="0"/>
        <v>-0.21695879307245855</v>
      </c>
      <c r="P8" s="51">
        <f t="shared" si="0"/>
        <v>-0.21904785930214468</v>
      </c>
      <c r="Q8" s="51">
        <f t="shared" si="0"/>
        <v>-0.22503926783170103</v>
      </c>
      <c r="R8" s="52">
        <f t="shared" si="0"/>
        <v>-0.24662626724787456</v>
      </c>
      <c r="S8" s="52">
        <f t="shared" si="0"/>
        <v>-0.26242027412438002</v>
      </c>
      <c r="T8" s="52">
        <f t="shared" si="1"/>
        <v>-0.26700000000000002</v>
      </c>
      <c r="U8" s="52">
        <f t="shared" si="2"/>
        <v>-0.25400000000000006</v>
      </c>
      <c r="V8" s="52">
        <f t="shared" si="3"/>
        <v>-0.24099999999999999</v>
      </c>
      <c r="W8" s="52">
        <f t="shared" si="4"/>
        <v>-0.23199999999999998</v>
      </c>
      <c r="X8" s="52">
        <f t="shared" si="5"/>
        <v>-0.22799999999999998</v>
      </c>
      <c r="Y8" s="12">
        <f t="shared" si="15"/>
        <v>3.1798466327872754E-2</v>
      </c>
      <c r="Z8" s="12">
        <f t="shared" si="6"/>
        <v>-0.1646137934904901</v>
      </c>
      <c r="AA8" s="12">
        <f t="shared" si="7"/>
        <v>-5.3084832082509581E-2</v>
      </c>
      <c r="AB8" s="12">
        <f t="shared" si="8"/>
        <v>5.2128378378377693E-3</v>
      </c>
      <c r="AC8" s="12">
        <f t="shared" si="9"/>
        <v>-2.2500949442601614E-2</v>
      </c>
      <c r="AD8" s="12">
        <f t="shared" si="10"/>
        <v>-6.3944274810210144E-2</v>
      </c>
      <c r="AE8" s="12">
        <f t="shared" si="11"/>
        <v>-3.5012297185993302E-2</v>
      </c>
      <c r="AF8" s="12">
        <f t="shared" si="12"/>
        <v>-3.8100827154829986E-2</v>
      </c>
      <c r="AG8" s="12">
        <f t="shared" si="13"/>
        <v>-2.4926141078838171E-2</v>
      </c>
      <c r="AH8" s="12">
        <f t="shared" si="14"/>
        <v>7.3275862068966635E-3</v>
      </c>
    </row>
    <row r="9" spans="1:34">
      <c r="A9" s="17">
        <v>7</v>
      </c>
      <c r="B9" s="10" t="s">
        <v>74</v>
      </c>
      <c r="C9" s="15">
        <f t="shared" ref="C9:L9" si="20">C8+C5</f>
        <v>535296</v>
      </c>
      <c r="D9" s="15">
        <f t="shared" si="20"/>
        <v>481131</v>
      </c>
      <c r="E9" s="15">
        <f t="shared" si="20"/>
        <v>364818</v>
      </c>
      <c r="F9" s="15">
        <f t="shared" si="20"/>
        <v>342466</v>
      </c>
      <c r="G9" s="15">
        <f t="shared" si="20"/>
        <v>238722</v>
      </c>
      <c r="H9" s="15">
        <f t="shared" si="20"/>
        <v>167811</v>
      </c>
      <c r="I9" s="15">
        <f t="shared" si="20"/>
        <v>136634.79911999998</v>
      </c>
      <c r="J9" s="15">
        <f t="shared" si="20"/>
        <v>166525.87490187492</v>
      </c>
      <c r="K9" s="15">
        <f t="shared" si="20"/>
        <v>187696.03754702408</v>
      </c>
      <c r="L9" s="15">
        <f t="shared" si="20"/>
        <v>201800.50347464992</v>
      </c>
      <c r="M9" s="15">
        <f t="shared" ref="M9" si="21">M8+M5</f>
        <v>214466.14033746679</v>
      </c>
      <c r="N9" s="51">
        <f t="shared" si="0"/>
        <v>0.30586315421377785</v>
      </c>
      <c r="O9" s="51">
        <f t="shared" si="0"/>
        <v>0.27896341993726481</v>
      </c>
      <c r="P9" s="51">
        <f t="shared" si="0"/>
        <v>0.25564342864831002</v>
      </c>
      <c r="Q9" s="51">
        <f t="shared" si="0"/>
        <v>0.26036587127449773</v>
      </c>
      <c r="R9" s="52">
        <f t="shared" si="0"/>
        <v>0.19787094897190358</v>
      </c>
      <c r="S9" s="52">
        <f t="shared" si="0"/>
        <v>0.15140901302772011</v>
      </c>
      <c r="T9" s="52">
        <f t="shared" si="1"/>
        <v>0.13399999999999998</v>
      </c>
      <c r="U9" s="52">
        <f t="shared" si="2"/>
        <v>0.16100000000000003</v>
      </c>
      <c r="V9" s="52">
        <f t="shared" si="3"/>
        <v>0.17900000000000002</v>
      </c>
      <c r="W9" s="52">
        <f t="shared" si="4"/>
        <v>0.19000000000000003</v>
      </c>
      <c r="X9" s="52">
        <f t="shared" si="5"/>
        <v>0.19700000000000006</v>
      </c>
      <c r="Y9" s="12">
        <f t="shared" si="15"/>
        <v>-0.1011870068149211</v>
      </c>
      <c r="Z9" s="12">
        <f t="shared" si="6"/>
        <v>-0.2417491286156993</v>
      </c>
      <c r="AA9" s="12">
        <f t="shared" si="7"/>
        <v>-6.1268906687718228E-2</v>
      </c>
      <c r="AB9" s="12">
        <f t="shared" si="8"/>
        <v>-0.30293226188877143</v>
      </c>
      <c r="AC9" s="12">
        <f t="shared" si="9"/>
        <v>-0.29704426068816447</v>
      </c>
      <c r="AD9" s="12">
        <f t="shared" si="10"/>
        <v>-0.18578162861790959</v>
      </c>
      <c r="AE9" s="12">
        <f t="shared" si="11"/>
        <v>0.21876619993141722</v>
      </c>
      <c r="AF9" s="12">
        <f t="shared" si="12"/>
        <v>0.12712836763430091</v>
      </c>
      <c r="AG9" s="12">
        <f t="shared" si="13"/>
        <v>7.5145251396648183E-2</v>
      </c>
      <c r="AH9" s="12">
        <f t="shared" si="14"/>
        <v>6.2763157894736965E-2</v>
      </c>
    </row>
    <row r="10" spans="1:34">
      <c r="A10" s="17">
        <v>8</v>
      </c>
      <c r="B10" s="10" t="s">
        <v>38</v>
      </c>
      <c r="C10" s="11">
        <v>-15742</v>
      </c>
      <c r="D10" s="11">
        <v>-2758</v>
      </c>
      <c r="E10" s="11">
        <v>-83360</v>
      </c>
      <c r="F10" s="11">
        <v>-30219</v>
      </c>
      <c r="G10" s="11">
        <v>-34386</v>
      </c>
      <c r="H10" s="11">
        <v>3757</v>
      </c>
      <c r="I10" s="11">
        <f>I3*Suspuestos!E29</f>
        <v>3456.4399999999996</v>
      </c>
      <c r="J10" s="11">
        <f>J3*Suspuestos!F29</f>
        <v>3506.1326752061295</v>
      </c>
      <c r="K10" s="11">
        <f>K3*Suspuestos!G29</f>
        <v>3554.467695112924</v>
      </c>
      <c r="L10" s="11">
        <f>L3*Suspuestos!H29</f>
        <v>3600.3203283798812</v>
      </c>
      <c r="M10" s="11">
        <f>M3*Suspuestos!I29</f>
        <v>3690.3283365893781</v>
      </c>
      <c r="N10" s="51">
        <f t="shared" si="0"/>
        <v>-8.9948323425418659E-3</v>
      </c>
      <c r="O10" s="51">
        <f t="shared" si="0"/>
        <v>-1.5991094154959385E-3</v>
      </c>
      <c r="P10" s="51">
        <f t="shared" si="0"/>
        <v>-5.8413883668358257E-2</v>
      </c>
      <c r="Q10" s="51">
        <f t="shared" si="0"/>
        <v>-2.2974532549345183E-2</v>
      </c>
      <c r="R10" s="52">
        <f t="shared" si="0"/>
        <v>-2.8501731936511409E-2</v>
      </c>
      <c r="S10" s="52">
        <f t="shared" si="0"/>
        <v>3.3897876893954773E-3</v>
      </c>
      <c r="T10" s="52">
        <f t="shared" si="1"/>
        <v>3.3897876893954773E-3</v>
      </c>
      <c r="U10" s="52">
        <f t="shared" si="2"/>
        <v>3.3897876893954773E-3</v>
      </c>
      <c r="V10" s="52">
        <f t="shared" si="3"/>
        <v>3.3897876893954773E-3</v>
      </c>
      <c r="W10" s="52">
        <f t="shared" si="4"/>
        <v>3.3897876893954773E-3</v>
      </c>
      <c r="X10" s="52">
        <f t="shared" si="5"/>
        <v>3.3897876893954773E-3</v>
      </c>
      <c r="Y10" s="12">
        <f t="shared" si="15"/>
        <v>-0.82479989836107226</v>
      </c>
      <c r="Z10" s="12">
        <f t="shared" si="6"/>
        <v>29.22480058013053</v>
      </c>
      <c r="AA10" s="12">
        <f t="shared" si="7"/>
        <v>-0.63748800383877158</v>
      </c>
      <c r="AB10" s="12">
        <f t="shared" si="8"/>
        <v>0.13789337833813153</v>
      </c>
      <c r="AC10" s="12">
        <f t="shared" si="9"/>
        <v>-1.1092595823881812</v>
      </c>
      <c r="AD10" s="12">
        <f t="shared" si="10"/>
        <v>-8.0000000000000071E-2</v>
      </c>
      <c r="AE10" s="12">
        <f t="shared" si="11"/>
        <v>1.4376837209999271E-2</v>
      </c>
      <c r="AF10" s="12">
        <f t="shared" si="12"/>
        <v>1.3785850218561047E-2</v>
      </c>
      <c r="AG10" s="12">
        <f t="shared" si="13"/>
        <v>1.2900000000000134E-2</v>
      </c>
      <c r="AH10" s="12">
        <f t="shared" si="14"/>
        <v>2.4999999999999911E-2</v>
      </c>
    </row>
    <row r="11" spans="1:34">
      <c r="A11" s="17">
        <v>9</v>
      </c>
      <c r="B11" s="10" t="s">
        <v>75</v>
      </c>
      <c r="C11" s="16">
        <f>C10+C9</f>
        <v>519554</v>
      </c>
      <c r="D11" s="16">
        <f>D10+D9</f>
        <v>478373</v>
      </c>
      <c r="E11" s="15">
        <f>E10+E9</f>
        <v>281458</v>
      </c>
      <c r="F11" s="15">
        <f>F10+F9</f>
        <v>312247</v>
      </c>
      <c r="G11" s="16">
        <f>G10+G9</f>
        <v>204336</v>
      </c>
      <c r="H11" s="16">
        <f t="shared" ref="H11" si="22">H10+H9</f>
        <v>171568</v>
      </c>
      <c r="I11" s="16">
        <f t="shared" ref="I11:L11" si="23">I10+I9</f>
        <v>140091.23911999998</v>
      </c>
      <c r="J11" s="16">
        <f t="shared" si="23"/>
        <v>170032.00757708107</v>
      </c>
      <c r="K11" s="16">
        <f t="shared" si="23"/>
        <v>191250.50524213701</v>
      </c>
      <c r="L11" s="16">
        <f t="shared" si="23"/>
        <v>205400.82380302981</v>
      </c>
      <c r="M11" s="16">
        <f t="shared" ref="M11" si="24">M10+M9</f>
        <v>218156.46867405617</v>
      </c>
      <c r="N11" s="51">
        <f t="shared" si="0"/>
        <v>0.29686832187123596</v>
      </c>
      <c r="O11" s="51">
        <f t="shared" si="0"/>
        <v>0.27736431052176885</v>
      </c>
      <c r="P11" s="51">
        <f t="shared" si="0"/>
        <v>0.19722954497995177</v>
      </c>
      <c r="Q11" s="51">
        <f t="shared" si="0"/>
        <v>0.23739133872515256</v>
      </c>
      <c r="R11" s="52">
        <f t="shared" si="0"/>
        <v>0.16936921703539218</v>
      </c>
      <c r="S11" s="52">
        <f t="shared" si="0"/>
        <v>0.15479880071711558</v>
      </c>
      <c r="T11" s="52">
        <f t="shared" si="1"/>
        <v>0.13738978768939547</v>
      </c>
      <c r="U11" s="52">
        <f t="shared" si="2"/>
        <v>0.16438978768939552</v>
      </c>
      <c r="V11" s="52">
        <f t="shared" si="3"/>
        <v>0.18238978768939551</v>
      </c>
      <c r="W11" s="52">
        <f t="shared" si="4"/>
        <v>0.19338978768939552</v>
      </c>
      <c r="X11" s="52">
        <f t="shared" si="5"/>
        <v>0.20038978768939555</v>
      </c>
      <c r="Y11" s="12">
        <f t="shared" si="15"/>
        <v>-7.9262213359920231E-2</v>
      </c>
      <c r="Z11" s="12">
        <f t="shared" si="6"/>
        <v>-0.41163485397378197</v>
      </c>
      <c r="AA11" s="12">
        <f t="shared" si="7"/>
        <v>0.10939109920485479</v>
      </c>
      <c r="AB11" s="12">
        <f t="shared" si="8"/>
        <v>-0.34559499370690516</v>
      </c>
      <c r="AC11" s="12">
        <f t="shared" si="9"/>
        <v>-0.1603633231540208</v>
      </c>
      <c r="AD11" s="12">
        <f t="shared" si="10"/>
        <v>-0.18346522008766208</v>
      </c>
      <c r="AE11" s="12">
        <f t="shared" si="11"/>
        <v>0.21372334662151338</v>
      </c>
      <c r="AF11" s="12">
        <f t="shared" si="12"/>
        <v>0.12479119647773906</v>
      </c>
      <c r="AG11" s="12">
        <f t="shared" si="13"/>
        <v>7.39883983207128E-2</v>
      </c>
      <c r="AH11" s="12">
        <f t="shared" si="14"/>
        <v>6.2101235208571692E-2</v>
      </c>
    </row>
    <row r="12" spans="1:34" ht="15" customHeight="1">
      <c r="A12" s="17">
        <v>10</v>
      </c>
      <c r="B12" s="10" t="s">
        <v>76</v>
      </c>
      <c r="C12" s="11">
        <v>-97386</v>
      </c>
      <c r="D12" s="11">
        <v>-69354</v>
      </c>
      <c r="E12" s="11">
        <v>-62564</v>
      </c>
      <c r="F12" s="11">
        <v>-55535</v>
      </c>
      <c r="G12" s="11">
        <v>-51476</v>
      </c>
      <c r="H12" s="11">
        <v>-51662</v>
      </c>
      <c r="I12" s="11">
        <f>Suspuestos!E26</f>
        <v>-51569</v>
      </c>
      <c r="J12" s="11">
        <f>Suspuestos!F26</f>
        <v>-51615.5</v>
      </c>
      <c r="K12" s="11">
        <f>Suspuestos!G26</f>
        <v>-51592.25</v>
      </c>
      <c r="L12" s="11">
        <f>Suspuestos!H26</f>
        <v>-51603.875</v>
      </c>
      <c r="M12" s="11">
        <f>Suspuestos!I26</f>
        <v>-51598.0625</v>
      </c>
      <c r="N12" s="51">
        <f t="shared" si="0"/>
        <v>-5.5645454358453951E-2</v>
      </c>
      <c r="O12" s="51">
        <f t="shared" si="0"/>
        <v>-4.0211977665810486E-2</v>
      </c>
      <c r="P12" s="51">
        <f t="shared" si="0"/>
        <v>-4.3841245415393068E-2</v>
      </c>
      <c r="Q12" s="51">
        <f t="shared" si="0"/>
        <v>-4.2221472091329447E-2</v>
      </c>
      <c r="R12" s="52">
        <f t="shared" si="0"/>
        <v>-4.2667223671373856E-2</v>
      </c>
      <c r="S12" s="52">
        <f t="shared" si="0"/>
        <v>-4.6612513071479678E-2</v>
      </c>
      <c r="T12" s="52">
        <f t="shared" si="1"/>
        <v>-5.0574568444536977E-2</v>
      </c>
      <c r="U12" s="52">
        <f t="shared" si="2"/>
        <v>-4.9902728359161659E-2</v>
      </c>
      <c r="V12" s="52">
        <f t="shared" si="3"/>
        <v>-4.920195903275968E-2</v>
      </c>
      <c r="W12" s="52">
        <f t="shared" si="4"/>
        <v>-4.8586282398604963E-2</v>
      </c>
      <c r="X12" s="52">
        <f t="shared" si="5"/>
        <v>-4.7395911991074478E-2</v>
      </c>
      <c r="Y12" s="12">
        <f t="shared" si="15"/>
        <v>-0.28784424865997171</v>
      </c>
      <c r="Z12" s="12">
        <f t="shared" si="6"/>
        <v>-9.7903509530812949E-2</v>
      </c>
      <c r="AA12" s="12">
        <f t="shared" si="7"/>
        <v>-0.1123489546704175</v>
      </c>
      <c r="AB12" s="12">
        <f t="shared" si="8"/>
        <v>-7.3089042945890026E-2</v>
      </c>
      <c r="AC12" s="12">
        <f t="shared" si="9"/>
        <v>3.6133343694149112E-3</v>
      </c>
      <c r="AD12" s="12">
        <f t="shared" si="10"/>
        <v>-1.8001625953312228E-3</v>
      </c>
      <c r="AE12" s="12">
        <f t="shared" si="11"/>
        <v>9.0170451240090266E-4</v>
      </c>
      <c r="AF12" s="12">
        <f t="shared" si="12"/>
        <v>-4.5044608693123322E-4</v>
      </c>
      <c r="AG12" s="12">
        <f t="shared" si="13"/>
        <v>2.2532454002299751E-4</v>
      </c>
      <c r="AH12" s="12">
        <f t="shared" si="14"/>
        <v>-1.1263689015605927E-4</v>
      </c>
    </row>
    <row r="13" spans="1:34" ht="15" customHeight="1">
      <c r="A13" s="17">
        <v>11</v>
      </c>
      <c r="B13" s="10" t="s">
        <v>1358</v>
      </c>
      <c r="C13" s="11"/>
      <c r="D13" s="11">
        <v>-26455</v>
      </c>
      <c r="E13" s="11">
        <v>-22390</v>
      </c>
      <c r="F13" s="11">
        <v>-25649</v>
      </c>
      <c r="G13" s="279">
        <v>-23910</v>
      </c>
      <c r="H13" s="279">
        <v>-23034</v>
      </c>
      <c r="I13" s="11">
        <f t="shared" ref="I13:M13" si="25">AVERAGE(G13:H13)</f>
        <v>-23472</v>
      </c>
      <c r="J13" s="11">
        <f t="shared" si="25"/>
        <v>-23253</v>
      </c>
      <c r="K13" s="11">
        <f t="shared" si="25"/>
        <v>-23362.5</v>
      </c>
      <c r="L13" s="11">
        <f t="shared" si="25"/>
        <v>-23307.75</v>
      </c>
      <c r="M13" s="11">
        <f t="shared" si="25"/>
        <v>-23335.125</v>
      </c>
      <c r="N13" s="51">
        <f t="shared" ref="N13:V13" si="26">+C13/C$3</f>
        <v>0</v>
      </c>
      <c r="O13" s="51">
        <f t="shared" si="26"/>
        <v>-1.5338810582648677E-2</v>
      </c>
      <c r="P13" s="51">
        <f t="shared" si="26"/>
        <v>-1.5689621585107262E-2</v>
      </c>
      <c r="Q13" s="51">
        <f t="shared" si="26"/>
        <v>-1.9500108718294933E-2</v>
      </c>
      <c r="R13" s="280">
        <f t="shared" si="26"/>
        <v>-1.9818426411969632E-2</v>
      </c>
      <c r="S13" s="281">
        <f t="shared" si="26"/>
        <v>-2.0782637646402827E-2</v>
      </c>
      <c r="T13" s="280">
        <f t="shared" si="26"/>
        <v>-2.3019377349379897E-2</v>
      </c>
      <c r="U13" s="280">
        <f t="shared" si="26"/>
        <v>-2.248138916673453E-2</v>
      </c>
      <c r="V13" s="280">
        <f t="shared" si="26"/>
        <v>-2.2280105401544768E-2</v>
      </c>
      <c r="W13" s="280">
        <f t="shared" si="4"/>
        <v>-2.1944804020552426E-2</v>
      </c>
      <c r="X13" s="280">
        <f t="shared" si="5"/>
        <v>-2.1434710475819161E-2</v>
      </c>
      <c r="Y13" s="12" t="str">
        <f>IFERROR(D13/C13-1,"")</f>
        <v/>
      </c>
      <c r="Z13" s="12">
        <f t="shared" si="6"/>
        <v>-0.15365715365715371</v>
      </c>
      <c r="AA13" s="12">
        <f t="shared" si="7"/>
        <v>0.14555605180884323</v>
      </c>
      <c r="AB13" s="12">
        <f t="shared" si="8"/>
        <v>-6.7799914226675528E-2</v>
      </c>
      <c r="AC13" s="12">
        <f t="shared" si="9"/>
        <v>-3.6637390213299925E-2</v>
      </c>
      <c r="AD13" s="12">
        <f t="shared" si="10"/>
        <v>1.9015368585569181E-2</v>
      </c>
      <c r="AE13" s="12">
        <f t="shared" si="11"/>
        <v>-9.3302658486708046E-3</v>
      </c>
      <c r="AF13" s="12">
        <f t="shared" si="12"/>
        <v>4.7090697974454532E-3</v>
      </c>
      <c r="AG13" s="12">
        <f t="shared" si="13"/>
        <v>-2.3434991974318198E-3</v>
      </c>
      <c r="AH13" s="12">
        <f t="shared" si="14"/>
        <v>1.1745020433118203E-3</v>
      </c>
    </row>
    <row r="14" spans="1:34">
      <c r="A14" s="17">
        <v>12</v>
      </c>
      <c r="B14" s="10" t="s">
        <v>39</v>
      </c>
      <c r="C14" s="16">
        <f>C9-C12-C13</f>
        <v>632682</v>
      </c>
      <c r="D14" s="16">
        <f>D9-D12-D13</f>
        <v>576940</v>
      </c>
      <c r="E14" s="16">
        <f t="shared" ref="E14:L14" si="27">E9-E12-E13</f>
        <v>449772</v>
      </c>
      <c r="F14" s="16">
        <f t="shared" si="27"/>
        <v>423650</v>
      </c>
      <c r="G14" s="16">
        <f t="shared" si="27"/>
        <v>314108</v>
      </c>
      <c r="H14" s="16">
        <f t="shared" si="27"/>
        <v>242507</v>
      </c>
      <c r="I14" s="16">
        <f t="shared" si="27"/>
        <v>211675.79911999998</v>
      </c>
      <c r="J14" s="16">
        <f t="shared" si="27"/>
        <v>241394.37490187492</v>
      </c>
      <c r="K14" s="16">
        <f t="shared" si="27"/>
        <v>262650.78754702408</v>
      </c>
      <c r="L14" s="16">
        <f t="shared" si="27"/>
        <v>276712.12847464992</v>
      </c>
      <c r="M14" s="16">
        <f t="shared" ref="M14" si="28">M9-M12-M13</f>
        <v>289399.32783746679</v>
      </c>
      <c r="N14" s="51">
        <f>+C14/C$3</f>
        <v>0.36150860857223177</v>
      </c>
      <c r="O14" s="51">
        <f t="shared" si="0"/>
        <v>0.33451420818572397</v>
      </c>
      <c r="P14" s="51">
        <f t="shared" si="0"/>
        <v>0.31517429564881033</v>
      </c>
      <c r="Q14" s="51">
        <f t="shared" si="0"/>
        <v>0.32208745208412209</v>
      </c>
      <c r="R14" s="52">
        <f t="shared" si="0"/>
        <v>0.26035659905524705</v>
      </c>
      <c r="S14" s="52">
        <f t="shared" si="0"/>
        <v>0.2188041637456026</v>
      </c>
      <c r="T14" s="52">
        <f t="shared" si="1"/>
        <v>0.20759394579391685</v>
      </c>
      <c r="U14" s="52">
        <f t="shared" si="2"/>
        <v>0.23338411752589622</v>
      </c>
      <c r="V14" s="52">
        <f t="shared" si="3"/>
        <v>0.25048206443430449</v>
      </c>
      <c r="W14" s="52">
        <f t="shared" si="4"/>
        <v>0.2605310864191574</v>
      </c>
      <c r="X14" s="52">
        <f t="shared" si="5"/>
        <v>0.26583062246689371</v>
      </c>
      <c r="Y14" s="12">
        <f t="shared" si="15"/>
        <v>-8.8104292519780913E-2</v>
      </c>
      <c r="Z14" s="12">
        <f t="shared" si="6"/>
        <v>-0.22041806773667971</v>
      </c>
      <c r="AA14" s="12">
        <f t="shared" si="7"/>
        <v>-5.8078315235274736E-2</v>
      </c>
      <c r="AB14" s="12">
        <f t="shared" si="8"/>
        <v>-0.2585672135017113</v>
      </c>
      <c r="AC14" s="12">
        <f t="shared" si="9"/>
        <v>-0.22795025914653555</v>
      </c>
      <c r="AD14" s="12">
        <f t="shared" si="10"/>
        <v>-0.12713530281600127</v>
      </c>
      <c r="AE14" s="12">
        <f t="shared" si="11"/>
        <v>0.14039666275230323</v>
      </c>
      <c r="AF14" s="12">
        <f t="shared" si="12"/>
        <v>8.8056785307403018E-2</v>
      </c>
      <c r="AG14" s="12">
        <f t="shared" si="13"/>
        <v>5.3536260290513393E-2</v>
      </c>
      <c r="AH14" s="12">
        <f t="shared" si="14"/>
        <v>4.5849813062961431E-2</v>
      </c>
    </row>
    <row r="15" spans="1:34">
      <c r="A15" s="17">
        <v>13</v>
      </c>
      <c r="B15" s="10" t="s">
        <v>40</v>
      </c>
      <c r="C15" s="11">
        <v>-113762</v>
      </c>
      <c r="D15" s="11">
        <v>-90449</v>
      </c>
      <c r="E15" s="11">
        <v>-73748</v>
      </c>
      <c r="F15" s="11">
        <v>-63701</v>
      </c>
      <c r="G15" s="11">
        <v>-63256</v>
      </c>
      <c r="H15" s="11">
        <v>-59000</v>
      </c>
      <c r="I15" s="11">
        <v>-50190.526018034463</v>
      </c>
      <c r="J15" s="11">
        <v>-49416.531984219189</v>
      </c>
      <c r="K15" s="11">
        <v>-48377.161993972317</v>
      </c>
      <c r="L15" s="11">
        <v>-46443.150502067569</v>
      </c>
      <c r="M15" s="11">
        <v>-55102.394869298871</v>
      </c>
      <c r="N15" s="51">
        <f t="shared" si="0"/>
        <v>-6.5002548402505897E-2</v>
      </c>
      <c r="O15" s="51">
        <f t="shared" si="0"/>
        <v>-5.2443019406161036E-2</v>
      </c>
      <c r="P15" s="51">
        <f t="shared" si="0"/>
        <v>-5.1678348041915609E-2</v>
      </c>
      <c r="Q15" s="51">
        <f t="shared" si="0"/>
        <v>-4.8429818919416175E-2</v>
      </c>
      <c r="R15" s="52">
        <f t="shared" si="0"/>
        <v>-5.2431383568195364E-2</v>
      </c>
      <c r="S15" s="52">
        <f t="shared" si="0"/>
        <v>-5.3233290836926579E-2</v>
      </c>
      <c r="T15" s="52">
        <f t="shared" si="1"/>
        <v>-4.9222676285489299E-2</v>
      </c>
      <c r="U15" s="52">
        <f t="shared" si="2"/>
        <v>-4.7776729316974825E-2</v>
      </c>
      <c r="V15" s="52">
        <f t="shared" si="3"/>
        <v>-4.6135827426572878E-2</v>
      </c>
      <c r="W15" s="52">
        <f t="shared" si="4"/>
        <v>-4.3727336867131907E-2</v>
      </c>
      <c r="X15" s="52">
        <f t="shared" si="5"/>
        <v>-5.061485124025196E-2</v>
      </c>
      <c r="Y15" s="12">
        <f t="shared" si="15"/>
        <v>-0.20492783178917384</v>
      </c>
      <c r="Z15" s="12">
        <f t="shared" si="6"/>
        <v>-0.18464549082908599</v>
      </c>
      <c r="AA15" s="12">
        <f t="shared" si="7"/>
        <v>-0.13623420296143629</v>
      </c>
      <c r="AB15" s="12">
        <f t="shared" si="8"/>
        <v>-6.9857616049983084E-3</v>
      </c>
      <c r="AC15" s="12">
        <f t="shared" si="9"/>
        <v>-6.7282155052485138E-2</v>
      </c>
      <c r="AD15" s="12">
        <f t="shared" si="10"/>
        <v>-0.14931311833839889</v>
      </c>
      <c r="AE15" s="12">
        <f t="shared" si="11"/>
        <v>-1.542111819145231E-2</v>
      </c>
      <c r="AF15" s="12">
        <f t="shared" si="12"/>
        <v>-2.103283958855684E-2</v>
      </c>
      <c r="AG15" s="12">
        <f t="shared" si="13"/>
        <v>-3.9977779021963311E-2</v>
      </c>
      <c r="AH15" s="12">
        <f t="shared" si="14"/>
        <v>0.18644825498747775</v>
      </c>
    </row>
    <row r="16" spans="1:34">
      <c r="A16" s="17">
        <v>14</v>
      </c>
      <c r="B16" s="10" t="s">
        <v>70</v>
      </c>
      <c r="C16" s="11">
        <v>-2090</v>
      </c>
      <c r="D16" s="11">
        <v>-2196</v>
      </c>
      <c r="E16" s="11">
        <v>-1016</v>
      </c>
      <c r="F16" s="11">
        <v>-3492</v>
      </c>
      <c r="G16" s="11">
        <v>-3293</v>
      </c>
      <c r="H16" s="11">
        <v>-1722</v>
      </c>
      <c r="I16" s="11">
        <f t="shared" ref="I16:M16" si="29">AVERAGE(C16:H16)</f>
        <v>-2301.5</v>
      </c>
      <c r="J16" s="11">
        <f t="shared" si="29"/>
        <v>-2336.75</v>
      </c>
      <c r="K16" s="11">
        <f t="shared" si="29"/>
        <v>-2360.2083333333335</v>
      </c>
      <c r="L16" s="11">
        <f t="shared" si="29"/>
        <v>-2584.2430555555557</v>
      </c>
      <c r="M16" s="11">
        <f t="shared" si="29"/>
        <v>-2432.9502314814818</v>
      </c>
      <c r="N16" s="51">
        <f t="shared" si="0"/>
        <v>-1.1942065554511815E-3</v>
      </c>
      <c r="O16" s="51">
        <f t="shared" si="0"/>
        <v>-1.2732575331505006E-3</v>
      </c>
      <c r="P16" s="51">
        <f t="shared" si="0"/>
        <v>-7.1195424432643939E-4</v>
      </c>
      <c r="Q16" s="51">
        <f t="shared" si="0"/>
        <v>-2.6548551461766895E-3</v>
      </c>
      <c r="R16" s="52">
        <f t="shared" si="0"/>
        <v>-2.729488840427269E-3</v>
      </c>
      <c r="S16" s="52">
        <f t="shared" si="0"/>
        <v>-1.5536902851048741E-3</v>
      </c>
      <c r="T16" s="52">
        <f t="shared" si="1"/>
        <v>-2.2571189915472833E-3</v>
      </c>
      <c r="U16" s="52">
        <f t="shared" si="2"/>
        <v>-2.2592089681059179E-3</v>
      </c>
      <c r="V16" s="52">
        <f t="shared" si="3"/>
        <v>-2.2508588736766602E-3</v>
      </c>
      <c r="W16" s="52">
        <f t="shared" si="4"/>
        <v>-2.433126637948332E-3</v>
      </c>
      <c r="X16" s="52">
        <f t="shared" si="5"/>
        <v>-2.2348105619268278E-3</v>
      </c>
      <c r="Y16" s="12">
        <f t="shared" si="15"/>
        <v>5.0717703349282273E-2</v>
      </c>
      <c r="Z16" s="12">
        <f t="shared" si="6"/>
        <v>-0.5373406193078325</v>
      </c>
      <c r="AA16" s="12">
        <f t="shared" si="7"/>
        <v>2.4370078740157481</v>
      </c>
      <c r="AB16" s="12">
        <f t="shared" si="8"/>
        <v>-5.6987399770904945E-2</v>
      </c>
      <c r="AC16" s="12">
        <f t="shared" si="9"/>
        <v>-0.47707257819617366</v>
      </c>
      <c r="AD16" s="12">
        <f t="shared" si="10"/>
        <v>0.33652729384436708</v>
      </c>
      <c r="AE16" s="12">
        <f t="shared" si="11"/>
        <v>1.531609819682811E-2</v>
      </c>
      <c r="AF16" s="12">
        <f t="shared" si="12"/>
        <v>1.0038871652223502E-2</v>
      </c>
      <c r="AG16" s="12">
        <f t="shared" si="13"/>
        <v>9.492158766587222E-2</v>
      </c>
      <c r="AH16" s="12">
        <f t="shared" si="14"/>
        <v>-5.8544347734175939E-2</v>
      </c>
    </row>
    <row r="17" spans="1:34">
      <c r="A17" s="17">
        <v>15</v>
      </c>
      <c r="B17" s="10" t="s">
        <v>77</v>
      </c>
      <c r="C17" s="11">
        <v>-1138</v>
      </c>
      <c r="D17" s="11">
        <v>33349</v>
      </c>
      <c r="E17" s="11">
        <v>-18173</v>
      </c>
      <c r="F17" s="11">
        <v>3008</v>
      </c>
      <c r="G17" s="11">
        <v>-1356</v>
      </c>
      <c r="H17" s="11">
        <v>-1747</v>
      </c>
      <c r="I17" s="289">
        <f>AVERAGE(C17:H17)</f>
        <v>2323.8333333333335</v>
      </c>
      <c r="J17" s="11">
        <f>AVERAGE(G17:H17)</f>
        <v>-1551.5</v>
      </c>
      <c r="K17" s="11">
        <f>AVERAGE(G17:H17)</f>
        <v>-1551.5</v>
      </c>
      <c r="L17" s="11">
        <f>AVERAGE(G17:H17)</f>
        <v>-1551.5</v>
      </c>
      <c r="M17" s="11">
        <f>AVERAGE(H17:I17)</f>
        <v>288.41666666666674</v>
      </c>
      <c r="N17" s="51">
        <f t="shared" si="0"/>
        <v>-6.5024261248968645E-4</v>
      </c>
      <c r="O17" s="51">
        <f t="shared" si="0"/>
        <v>1.9336004313768692E-2</v>
      </c>
      <c r="P17" s="51">
        <f t="shared" si="0"/>
        <v>-1.2734591025732661E-2</v>
      </c>
      <c r="Q17" s="51">
        <f t="shared" si="0"/>
        <v>2.2868855325599889E-3</v>
      </c>
      <c r="R17" s="52">
        <f t="shared" si="0"/>
        <v>-1.1239559270025438E-3</v>
      </c>
      <c r="S17" s="52">
        <f t="shared" si="0"/>
        <v>-1.5762467642730634E-3</v>
      </c>
      <c r="T17" s="52">
        <f t="shared" si="1"/>
        <v>2.2790216597250901E-3</v>
      </c>
      <c r="U17" s="52">
        <f t="shared" si="2"/>
        <v>-1.5000161395169924E-3</v>
      </c>
      <c r="V17" s="52">
        <f t="shared" si="3"/>
        <v>-1.4796183426643856E-3</v>
      </c>
      <c r="W17" s="52">
        <f t="shared" si="4"/>
        <v>-1.4607743535041814E-3</v>
      </c>
      <c r="X17" s="52">
        <f t="shared" si="5"/>
        <v>2.6492798930371467E-4</v>
      </c>
      <c r="Y17" s="12">
        <f t="shared" si="15"/>
        <v>-30.304920913884008</v>
      </c>
      <c r="Z17" s="12">
        <f t="shared" si="6"/>
        <v>-1.5449338810758944</v>
      </c>
      <c r="AA17" s="12">
        <f t="shared" si="7"/>
        <v>-1.1655202773345072</v>
      </c>
      <c r="AB17" s="12">
        <f t="shared" si="8"/>
        <v>-1.4507978723404256</v>
      </c>
      <c r="AC17" s="12">
        <f t="shared" si="9"/>
        <v>0.28834808259587019</v>
      </c>
      <c r="AD17" s="12">
        <f t="shared" si="10"/>
        <v>-2.3301850791833623</v>
      </c>
      <c r="AE17" s="12">
        <f t="shared" si="11"/>
        <v>-1.6676468478806568</v>
      </c>
      <c r="AF17" s="12">
        <f t="shared" si="12"/>
        <v>0</v>
      </c>
      <c r="AG17" s="12">
        <f t="shared" si="13"/>
        <v>0</v>
      </c>
      <c r="AH17" s="12">
        <f t="shared" si="14"/>
        <v>-1.1858953700719734</v>
      </c>
    </row>
    <row r="18" spans="1:34">
      <c r="A18" s="17">
        <v>16</v>
      </c>
      <c r="B18" s="10" t="s">
        <v>41</v>
      </c>
      <c r="C18" s="13">
        <f>SUM(C15:C17)+C11</f>
        <v>402564</v>
      </c>
      <c r="D18" s="13">
        <f>SUM(D15:D17)+D11</f>
        <v>419077</v>
      </c>
      <c r="E18" s="15">
        <f>SUM(E15:E17)+E11</f>
        <v>188521</v>
      </c>
      <c r="F18" s="15">
        <f>SUM(F15:F17)+F11</f>
        <v>248062</v>
      </c>
      <c r="G18" s="15">
        <f>SUM(G15:G17)+G11</f>
        <v>136431</v>
      </c>
      <c r="H18" s="15">
        <f t="shared" ref="H18" si="30">SUM(H15:H17)+H11</f>
        <v>109099</v>
      </c>
      <c r="I18" s="15">
        <f t="shared" ref="I18:L18" si="31">SUM(I15:I17)+I11</f>
        <v>89923.046435298864</v>
      </c>
      <c r="J18" s="15">
        <f t="shared" si="31"/>
        <v>116727.22559286188</v>
      </c>
      <c r="K18" s="15">
        <f t="shared" si="31"/>
        <v>138961.63491483135</v>
      </c>
      <c r="L18" s="15">
        <f t="shared" si="31"/>
        <v>154821.93024540669</v>
      </c>
      <c r="M18" s="15">
        <f t="shared" ref="M18" si="32">SUM(M15:M17)+M11</f>
        <v>160909.54023994249</v>
      </c>
      <c r="N18" s="51">
        <f t="shared" si="0"/>
        <v>0.2300213243007892</v>
      </c>
      <c r="O18" s="51">
        <f t="shared" si="0"/>
        <v>0.24298403789622602</v>
      </c>
      <c r="P18" s="51">
        <f t="shared" si="0"/>
        <v>0.13210465166797705</v>
      </c>
      <c r="Q18" s="51">
        <f t="shared" si="0"/>
        <v>0.18859355019211968</v>
      </c>
      <c r="R18" s="52">
        <f t="shared" si="0"/>
        <v>0.113084388699767</v>
      </c>
      <c r="S18" s="52">
        <f t="shared" si="0"/>
        <v>9.8435572830811072E-2</v>
      </c>
      <c r="T18" s="52">
        <f t="shared" si="1"/>
        <v>8.8189014072083988E-2</v>
      </c>
      <c r="U18" s="52">
        <f t="shared" si="2"/>
        <v>0.11285383326479778</v>
      </c>
      <c r="V18" s="52">
        <f t="shared" si="3"/>
        <v>0.13252348304648157</v>
      </c>
      <c r="W18" s="52">
        <f t="shared" si="4"/>
        <v>0.14576854983081111</v>
      </c>
      <c r="X18" s="52">
        <f t="shared" si="5"/>
        <v>0.14780505387652049</v>
      </c>
      <c r="Y18" s="12">
        <f t="shared" si="15"/>
        <v>4.1019564590971891E-2</v>
      </c>
      <c r="Z18" s="12">
        <f t="shared" si="6"/>
        <v>-0.55015188139649762</v>
      </c>
      <c r="AA18" s="12">
        <f t="shared" si="7"/>
        <v>0.31583218845645833</v>
      </c>
      <c r="AB18" s="12">
        <f t="shared" si="8"/>
        <v>-0.45001249687578104</v>
      </c>
      <c r="AC18" s="12">
        <f t="shared" si="9"/>
        <v>-0.20033570083045638</v>
      </c>
      <c r="AD18" s="12">
        <f t="shared" si="10"/>
        <v>-0.17576653832483469</v>
      </c>
      <c r="AE18" s="12">
        <f t="shared" si="11"/>
        <v>0.2980790822834174</v>
      </c>
      <c r="AF18" s="12">
        <f t="shared" si="12"/>
        <v>0.19048177671524424</v>
      </c>
      <c r="AG18" s="12">
        <f t="shared" si="13"/>
        <v>0.11413434607541872</v>
      </c>
      <c r="AH18" s="12">
        <f t="shared" si="14"/>
        <v>3.9320075553162193E-2</v>
      </c>
    </row>
    <row r="19" spans="1:34">
      <c r="A19" s="17">
        <v>17</v>
      </c>
      <c r="B19" s="10" t="s">
        <v>42</v>
      </c>
      <c r="C19" s="11">
        <v>-137837</v>
      </c>
      <c r="D19" s="11">
        <v>-144706</v>
      </c>
      <c r="E19" s="11">
        <v>-92469</v>
      </c>
      <c r="F19" s="11">
        <v>-107793</v>
      </c>
      <c r="G19" s="11">
        <v>-56894</v>
      </c>
      <c r="H19" s="11">
        <v>-36593</v>
      </c>
      <c r="I19" s="11">
        <f>Suspuestos!E21*I18*-1</f>
        <v>-27032.245893347499</v>
      </c>
      <c r="J19" s="11">
        <f>Suspuestos!F21*J18*-1</f>
        <v>-34537.777974484859</v>
      </c>
      <c r="K19" s="11">
        <f>Suspuestos!G21*K18*-1</f>
        <v>-41116.59528686136</v>
      </c>
      <c r="L19" s="11">
        <f>Suspuestos!H21*L18*-1</f>
        <v>-45809.411002774927</v>
      </c>
      <c r="M19" s="11">
        <f>Suspuestos!I21*M18*-1</f>
        <v>-47610.640504449897</v>
      </c>
      <c r="N19" s="51">
        <f t="shared" si="0"/>
        <v>-7.8758779418049998E-2</v>
      </c>
      <c r="O19" s="51">
        <f t="shared" si="0"/>
        <v>-8.3901641435371738E-2</v>
      </c>
      <c r="P19" s="51">
        <f t="shared" si="0"/>
        <v>-6.4796945884470006E-2</v>
      </c>
      <c r="Q19" s="51">
        <f t="shared" si="0"/>
        <v>-8.1951546612778883E-2</v>
      </c>
      <c r="R19" s="52">
        <f t="shared" si="0"/>
        <v>-4.7158074123069861E-2</v>
      </c>
      <c r="S19" s="52">
        <f t="shared" si="0"/>
        <v>-3.3016369688061938E-2</v>
      </c>
      <c r="T19" s="52">
        <f t="shared" si="1"/>
        <v>-2.6510969189680943E-2</v>
      </c>
      <c r="U19" s="52">
        <f t="shared" si="2"/>
        <v>-3.3391701182585748E-2</v>
      </c>
      <c r="V19" s="52">
        <f t="shared" si="3"/>
        <v>-3.9211645874539534E-2</v>
      </c>
      <c r="W19" s="52">
        <f t="shared" si="4"/>
        <v>-4.3130655972920325E-2</v>
      </c>
      <c r="X19" s="52">
        <f t="shared" si="5"/>
        <v>-4.3733225975056585E-2</v>
      </c>
      <c r="Y19" s="12">
        <f t="shared" si="15"/>
        <v>4.9834224482540934E-2</v>
      </c>
      <c r="Z19" s="12">
        <f t="shared" si="6"/>
        <v>-0.36098710488853258</v>
      </c>
      <c r="AA19" s="12">
        <f t="shared" si="7"/>
        <v>0.16572040359471818</v>
      </c>
      <c r="AB19" s="12">
        <f t="shared" si="8"/>
        <v>-0.47219207184139977</v>
      </c>
      <c r="AC19" s="12">
        <f t="shared" si="9"/>
        <v>-0.35682145744718252</v>
      </c>
      <c r="AD19" s="12">
        <f t="shared" si="10"/>
        <v>-0.26127275999924848</v>
      </c>
      <c r="AE19" s="12">
        <f t="shared" si="11"/>
        <v>0.27765107312021131</v>
      </c>
      <c r="AF19" s="12">
        <f t="shared" si="12"/>
        <v>0.19048177671524402</v>
      </c>
      <c r="AG19" s="12">
        <f t="shared" si="13"/>
        <v>0.11413434607541872</v>
      </c>
      <c r="AH19" s="12">
        <f t="shared" si="14"/>
        <v>3.9320075553162193E-2</v>
      </c>
    </row>
    <row r="20" spans="1:34">
      <c r="A20" s="17">
        <v>18</v>
      </c>
      <c r="B20" s="10" t="s">
        <v>43</v>
      </c>
      <c r="C20" s="16">
        <f>C19+C18</f>
        <v>264727</v>
      </c>
      <c r="D20" s="16">
        <f>D19+D18</f>
        <v>274371</v>
      </c>
      <c r="E20" s="15">
        <v>96052</v>
      </c>
      <c r="F20" s="15">
        <f>F19+F18</f>
        <v>140269</v>
      </c>
      <c r="G20" s="15">
        <f>+G18+G19</f>
        <v>79537</v>
      </c>
      <c r="H20" s="15">
        <f>+H18+H19</f>
        <v>72506</v>
      </c>
      <c r="I20" s="15">
        <f t="shared" ref="I20:L20" si="33">I19+I18</f>
        <v>62890.800541951365</v>
      </c>
      <c r="J20" s="15">
        <f t="shared" si="33"/>
        <v>82189.447618377017</v>
      </c>
      <c r="K20" s="15">
        <f t="shared" si="33"/>
        <v>97845.039627969993</v>
      </c>
      <c r="L20" s="15">
        <f t="shared" si="33"/>
        <v>109012.51924263177</v>
      </c>
      <c r="M20" s="15">
        <f t="shared" ref="M20" si="34">M19+M18</f>
        <v>113298.8997354926</v>
      </c>
      <c r="N20" s="51">
        <f t="shared" ref="N20:S23" si="35">+C20/C$3</f>
        <v>0.15126254488273921</v>
      </c>
      <c r="O20" s="51">
        <f t="shared" si="35"/>
        <v>0.15908239646085429</v>
      </c>
      <c r="P20" s="51">
        <f t="shared" si="35"/>
        <v>6.7307705783507046E-2</v>
      </c>
      <c r="Q20" s="51">
        <f t="shared" si="35"/>
        <v>0.10664200357934078</v>
      </c>
      <c r="R20" s="52">
        <f t="shared" si="35"/>
        <v>6.5926314576697148E-2</v>
      </c>
      <c r="S20" s="52">
        <f t="shared" si="35"/>
        <v>6.5419203142749127E-2</v>
      </c>
      <c r="T20" s="52">
        <f t="shared" si="1"/>
        <v>6.1678044882403041E-2</v>
      </c>
      <c r="U20" s="52">
        <f t="shared" si="2"/>
        <v>7.946213208221202E-2</v>
      </c>
      <c r="V20" s="52">
        <f t="shared" si="3"/>
        <v>9.3311837171942053E-2</v>
      </c>
      <c r="W20" s="52">
        <f t="shared" si="4"/>
        <v>0.10263789385789079</v>
      </c>
      <c r="X20" s="52">
        <f t="shared" si="5"/>
        <v>0.10407182790146391</v>
      </c>
      <c r="Y20" s="12">
        <f t="shared" si="15"/>
        <v>3.6429982585833631E-2</v>
      </c>
      <c r="Z20" s="12">
        <f t="shared" si="6"/>
        <v>-0.64991926989368409</v>
      </c>
      <c r="AA20" s="12">
        <f t="shared" si="7"/>
        <v>0.46034439678507466</v>
      </c>
      <c r="AB20" s="12">
        <f t="shared" si="8"/>
        <v>-0.43296808275527732</v>
      </c>
      <c r="AC20" s="12">
        <f t="shared" si="9"/>
        <v>-8.8399109848246726E-2</v>
      </c>
      <c r="AD20" s="12">
        <f t="shared" si="10"/>
        <v>-0.13261246597590037</v>
      </c>
      <c r="AE20" s="12">
        <f>J20/I20-1</f>
        <v>0.30685961873791823</v>
      </c>
      <c r="AF20" s="12">
        <f t="shared" si="12"/>
        <v>0.19048177671524447</v>
      </c>
      <c r="AG20" s="12">
        <f t="shared" si="13"/>
        <v>0.1141343460754185</v>
      </c>
      <c r="AH20" s="12">
        <f t="shared" si="14"/>
        <v>3.9320075553162193E-2</v>
      </c>
    </row>
    <row r="21" spans="1:34">
      <c r="A21" s="17">
        <v>19</v>
      </c>
      <c r="B21" s="10" t="s">
        <v>883</v>
      </c>
      <c r="C21" s="16"/>
      <c r="D21" s="16"/>
      <c r="E21" s="15"/>
      <c r="F21" s="15"/>
      <c r="G21" s="11">
        <v>-33126</v>
      </c>
      <c r="H21" s="11">
        <v>-9556</v>
      </c>
      <c r="I21" s="276"/>
      <c r="J21" s="276"/>
      <c r="K21" s="276"/>
      <c r="L21" s="276"/>
      <c r="M21" s="276"/>
      <c r="N21" s="51">
        <f t="shared" ref="N21:V21" si="36">+C21/C$3</f>
        <v>0</v>
      </c>
      <c r="O21" s="51">
        <f t="shared" si="36"/>
        <v>0</v>
      </c>
      <c r="P21" s="51">
        <f t="shared" si="36"/>
        <v>0</v>
      </c>
      <c r="Q21" s="51">
        <f t="shared" si="36"/>
        <v>0</v>
      </c>
      <c r="R21" s="52">
        <f t="shared" si="36"/>
        <v>-2.7457348110535594E-2</v>
      </c>
      <c r="S21" s="144">
        <f t="shared" si="36"/>
        <v>-8.6219885972486504E-3</v>
      </c>
      <c r="T21" s="52">
        <f t="shared" si="36"/>
        <v>0</v>
      </c>
      <c r="U21" s="52">
        <f t="shared" si="36"/>
        <v>0</v>
      </c>
      <c r="V21" s="52">
        <f t="shared" si="36"/>
        <v>0</v>
      </c>
      <c r="W21" s="52">
        <f t="shared" si="4"/>
        <v>0</v>
      </c>
      <c r="X21" s="52">
        <f t="shared" si="5"/>
        <v>0</v>
      </c>
      <c r="Y21" s="12"/>
      <c r="Z21" s="12"/>
      <c r="AA21" s="12"/>
      <c r="AB21" s="12"/>
      <c r="AC21" s="12">
        <f t="shared" si="9"/>
        <v>-0.71152568979049691</v>
      </c>
      <c r="AD21" s="12">
        <f t="shared" si="10"/>
        <v>-1</v>
      </c>
      <c r="AE21" s="12"/>
      <c r="AF21" s="12"/>
      <c r="AG21" s="12"/>
      <c r="AH21" s="12"/>
    </row>
    <row r="22" spans="1:34">
      <c r="A22" s="17">
        <v>20</v>
      </c>
      <c r="B22" s="10" t="s">
        <v>78</v>
      </c>
      <c r="C22" s="11">
        <v>-624</v>
      </c>
      <c r="D22" s="11">
        <v>-973</v>
      </c>
      <c r="E22" s="11">
        <v>-561</v>
      </c>
      <c r="F22" s="11">
        <v>-500</v>
      </c>
      <c r="G22" s="11">
        <v>-316</v>
      </c>
      <c r="H22" s="11">
        <v>-194</v>
      </c>
      <c r="I22" s="15">
        <f>AVERAGE(E22:H22)</f>
        <v>-392.75</v>
      </c>
      <c r="J22" s="15">
        <f>AVERAGE(F22:I22)</f>
        <v>-350.6875</v>
      </c>
      <c r="K22" s="15">
        <f>AVERAGE(G22:J22)</f>
        <v>-313.359375</v>
      </c>
      <c r="L22" s="15">
        <f>AVERAGE(H22:K22)</f>
        <v>-312.69921875</v>
      </c>
      <c r="M22" s="15">
        <f>AVERAGE(I22:L22)</f>
        <v>-342.3740234375</v>
      </c>
      <c r="N22" s="51">
        <f t="shared" si="35"/>
        <v>-3.565477945461901E-4</v>
      </c>
      <c r="O22" s="51">
        <f t="shared" si="35"/>
        <v>-5.6415281409628285E-4</v>
      </c>
      <c r="P22" s="51">
        <f t="shared" si="35"/>
        <v>-3.9311646758576036E-4</v>
      </c>
      <c r="Q22" s="51">
        <f t="shared" si="35"/>
        <v>-3.8013389836435985E-4</v>
      </c>
      <c r="R22" s="52">
        <f t="shared" si="35"/>
        <v>-2.6192483254631555E-4</v>
      </c>
      <c r="S22" s="52">
        <f t="shared" si="35"/>
        <v>-1.7503827834514842E-4</v>
      </c>
      <c r="T22" s="52">
        <f t="shared" si="1"/>
        <v>-3.8517639970897044E-4</v>
      </c>
      <c r="U22" s="52">
        <f t="shared" si="2"/>
        <v>-3.390505381417114E-4</v>
      </c>
      <c r="V22" s="52">
        <f t="shared" si="3"/>
        <v>-2.988413013830794E-4</v>
      </c>
      <c r="W22" s="52">
        <f t="shared" si="4"/>
        <v>-2.9441379253032152E-4</v>
      </c>
      <c r="X22" s="52">
        <f t="shared" si="5"/>
        <v>-3.1449105444363961E-4</v>
      </c>
      <c r="Y22" s="12">
        <f t="shared" si="15"/>
        <v>0.55929487179487181</v>
      </c>
      <c r="Z22" s="12">
        <f t="shared" si="6"/>
        <v>-0.42343268242548815</v>
      </c>
      <c r="AA22" s="12">
        <f t="shared" si="7"/>
        <v>-0.10873440285204994</v>
      </c>
      <c r="AB22" s="12">
        <f t="shared" si="8"/>
        <v>-0.36799999999999999</v>
      </c>
      <c r="AC22" s="12">
        <f t="shared" si="9"/>
        <v>-0.38607594936708856</v>
      </c>
      <c r="AD22" s="12">
        <f t="shared" si="10"/>
        <v>1.0244845360824741</v>
      </c>
      <c r="AE22" s="12">
        <f t="shared" si="11"/>
        <v>-0.10709739019732656</v>
      </c>
      <c r="AF22" s="12">
        <f t="shared" si="12"/>
        <v>-0.10644270183567994</v>
      </c>
      <c r="AG22" s="12">
        <f t="shared" si="13"/>
        <v>-2.1067065569683185E-3</v>
      </c>
      <c r="AH22" s="12">
        <f t="shared" si="14"/>
        <v>9.4898876965934242E-2</v>
      </c>
    </row>
    <row r="23" spans="1:34" ht="16.5" thickBot="1">
      <c r="A23" s="17">
        <v>21</v>
      </c>
      <c r="B23" s="10" t="s">
        <v>79</v>
      </c>
      <c r="C23" s="19">
        <f>C20+C22</f>
        <v>264103</v>
      </c>
      <c r="D23" s="19">
        <f>D20+D22</f>
        <v>273398</v>
      </c>
      <c r="E23" s="19">
        <f>E20+E22</f>
        <v>95491</v>
      </c>
      <c r="F23" s="19">
        <f>F20+F22</f>
        <v>139769</v>
      </c>
      <c r="G23" s="19">
        <f>+G20+G22+G21</f>
        <v>46095</v>
      </c>
      <c r="H23" s="19">
        <f>+H20+H22+H21</f>
        <v>62756</v>
      </c>
      <c r="I23" s="19">
        <f>+I20+I22+I21</f>
        <v>62498.050541951365</v>
      </c>
      <c r="J23" s="19">
        <f t="shared" ref="J23:L23" si="37">+J20+J22+J21</f>
        <v>81838.760118377017</v>
      </c>
      <c r="K23" s="19">
        <f t="shared" si="37"/>
        <v>97531.680252969993</v>
      </c>
      <c r="L23" s="19">
        <f t="shared" si="37"/>
        <v>108699.82002388177</v>
      </c>
      <c r="M23" s="19">
        <f t="shared" ref="M23" si="38">+M20+M22+M21</f>
        <v>112956.5257120551</v>
      </c>
      <c r="N23" s="51">
        <f t="shared" si="35"/>
        <v>0.15090599708819302</v>
      </c>
      <c r="O23" s="51">
        <f t="shared" si="35"/>
        <v>0.15851824364675801</v>
      </c>
      <c r="P23" s="51">
        <f t="shared" si="35"/>
        <v>6.6914589315921286E-2</v>
      </c>
      <c r="Q23" s="51">
        <f t="shared" si="35"/>
        <v>0.10626186968097642</v>
      </c>
      <c r="R23" s="144">
        <f t="shared" si="35"/>
        <v>3.8207041633615234E-2</v>
      </c>
      <c r="S23" s="144">
        <f t="shared" si="35"/>
        <v>5.6622176267155329E-2</v>
      </c>
      <c r="T23" s="144">
        <f t="shared" si="1"/>
        <v>6.1292868482694073E-2</v>
      </c>
      <c r="U23" s="144">
        <f t="shared" si="2"/>
        <v>7.9123081544070314E-2</v>
      </c>
      <c r="V23" s="144">
        <f t="shared" si="3"/>
        <v>9.3012995870558973E-2</v>
      </c>
      <c r="W23" s="144">
        <f t="shared" si="4"/>
        <v>0.10234348006536047</v>
      </c>
      <c r="X23" s="144">
        <f t="shared" si="5"/>
        <v>0.10375733684702027</v>
      </c>
      <c r="Y23" s="12">
        <f t="shared" si="15"/>
        <v>3.5194602105996564E-2</v>
      </c>
      <c r="Z23" s="12">
        <f t="shared" si="6"/>
        <v>-0.65072531620567819</v>
      </c>
      <c r="AA23" s="12">
        <f t="shared" si="7"/>
        <v>0.46368767737273675</v>
      </c>
      <c r="AB23" s="12">
        <f t="shared" si="8"/>
        <v>-0.67020583963539848</v>
      </c>
      <c r="AC23" s="12">
        <f t="shared" si="9"/>
        <v>0.36144918103915824</v>
      </c>
      <c r="AD23" s="12">
        <f t="shared" si="10"/>
        <v>-4.1103553134144155E-3</v>
      </c>
      <c r="AE23" s="12">
        <f t="shared" si="11"/>
        <v>0.30946100572278401</v>
      </c>
      <c r="AF23" s="12">
        <f t="shared" si="12"/>
        <v>0.1917541286291935</v>
      </c>
      <c r="AG23" s="12">
        <f t="shared" si="13"/>
        <v>0.11450781676215094</v>
      </c>
      <c r="AH23" s="12">
        <f t="shared" si="14"/>
        <v>3.9160190764236047E-2</v>
      </c>
    </row>
    <row r="24" spans="1:34" ht="16.5" hidden="1" thickTop="1">
      <c r="A24" s="17"/>
      <c r="B24" s="10" t="s">
        <v>1359</v>
      </c>
      <c r="C24" s="11">
        <v>556054342</v>
      </c>
      <c r="D24" s="11">
        <v>556133658</v>
      </c>
      <c r="E24" s="11">
        <v>556376276</v>
      </c>
      <c r="F24" s="188">
        <v>556647737</v>
      </c>
      <c r="G24" s="188">
        <v>556820718</v>
      </c>
      <c r="H24" s="188">
        <v>557079229</v>
      </c>
      <c r="I24" s="430">
        <f>H24</f>
        <v>557079229</v>
      </c>
      <c r="J24" s="430">
        <f t="shared" ref="J24:M24" si="39">I24</f>
        <v>557079229</v>
      </c>
      <c r="K24" s="430">
        <f t="shared" si="39"/>
        <v>557079229</v>
      </c>
      <c r="L24" s="430">
        <f t="shared" si="39"/>
        <v>557079229</v>
      </c>
      <c r="M24" s="430">
        <f t="shared" si="39"/>
        <v>557079229</v>
      </c>
      <c r="N24" s="51"/>
      <c r="O24" s="51"/>
      <c r="P24" s="51"/>
      <c r="Q24" s="51"/>
      <c r="R24" s="52"/>
      <c r="S24" s="52"/>
      <c r="T24" s="52"/>
      <c r="U24" s="52"/>
      <c r="V24" s="52"/>
      <c r="W24" s="52"/>
      <c r="X24" s="52"/>
      <c r="Y24" s="12"/>
      <c r="Z24" s="12"/>
      <c r="AA24" s="12"/>
      <c r="AB24" s="12"/>
      <c r="AC24" s="12"/>
      <c r="AD24" s="12"/>
      <c r="AE24" s="12"/>
      <c r="AF24" s="12"/>
      <c r="AG24" s="12"/>
      <c r="AH24" s="12"/>
    </row>
    <row r="25" spans="1:34" hidden="1">
      <c r="A25" s="17"/>
      <c r="B25" s="10" t="s">
        <v>153</v>
      </c>
      <c r="C25" s="352">
        <f t="shared" ref="C25:D25" si="40">+C23/C24*1000</f>
        <v>0.47495897442340268</v>
      </c>
      <c r="D25" s="352">
        <f t="shared" si="40"/>
        <v>0.49160484366871388</v>
      </c>
      <c r="E25" s="352">
        <f>+E23/E24*1000</f>
        <v>0.17163025117914985</v>
      </c>
      <c r="F25" s="352">
        <f>+F23/F24*1000</f>
        <v>0.25109057436085469</v>
      </c>
      <c r="G25" s="352">
        <f>+G23/G24*1000</f>
        <v>8.2782480087244162E-2</v>
      </c>
      <c r="H25" s="352">
        <f>+H23/H24*1000</f>
        <v>0.11265183969011346</v>
      </c>
      <c r="I25" s="352">
        <f t="shared" ref="I25:M25" si="41">+I23/I24*1000</f>
        <v>0.11218880060227727</v>
      </c>
      <c r="J25" s="352">
        <f t="shared" si="41"/>
        <v>0.14690685966749087</v>
      </c>
      <c r="K25" s="352">
        <f t="shared" si="41"/>
        <v>0.17507685653268182</v>
      </c>
      <c r="L25" s="352">
        <f t="shared" si="41"/>
        <v>0.19512452513981951</v>
      </c>
      <c r="M25" s="352">
        <f t="shared" si="41"/>
        <v>0.20276563876707579</v>
      </c>
      <c r="N25" s="51"/>
      <c r="O25" s="51"/>
      <c r="P25" s="51"/>
      <c r="Q25" s="51"/>
      <c r="R25" s="52"/>
      <c r="S25" s="52"/>
      <c r="T25" s="52"/>
      <c r="U25" s="52"/>
      <c r="V25" s="52"/>
      <c r="W25" s="52"/>
      <c r="X25" s="52"/>
      <c r="Y25" s="12"/>
      <c r="Z25" s="12"/>
      <c r="AA25" s="12"/>
      <c r="AB25" s="12"/>
      <c r="AC25" s="12"/>
      <c r="AD25" s="12"/>
      <c r="AE25" s="12"/>
      <c r="AF25" s="12"/>
      <c r="AG25" s="12"/>
      <c r="AH25" s="12"/>
    </row>
    <row r="26" spans="1:34" ht="16.5" thickTop="1">
      <c r="G26" s="350"/>
    </row>
    <row r="27" spans="1:34">
      <c r="C27" s="7">
        <f>C19/C18</f>
        <v>-0.34239773054719247</v>
      </c>
      <c r="D27" s="7">
        <f>D19/C18</f>
        <v>-0.35946085591359389</v>
      </c>
      <c r="E27" s="7">
        <f>E19/D18</f>
        <v>-0.22064918857393748</v>
      </c>
      <c r="F27" s="7">
        <f>F19/E18</f>
        <v>-0.57178245394412297</v>
      </c>
      <c r="G27" s="7">
        <f>G19/F18</f>
        <v>-0.22935395183462198</v>
      </c>
      <c r="H27" s="7">
        <f>H19/G18</f>
        <v>-0.26821616787973407</v>
      </c>
      <c r="I27" s="181">
        <f>I19/I18</f>
        <v>-0.30061532571405541</v>
      </c>
      <c r="J27" s="181">
        <f>J19/J18</f>
        <v>-0.29588451022515277</v>
      </c>
      <c r="K27" s="181">
        <f>K19/K18</f>
        <v>-0.29588451022515277</v>
      </c>
      <c r="L27" s="181">
        <f>L19/L18</f>
        <v>-0.29588451022515277</v>
      </c>
      <c r="M27" s="181">
        <f>M19/M18</f>
        <v>-0.29588451022515277</v>
      </c>
    </row>
    <row r="28" spans="1:34">
      <c r="I28" s="49"/>
      <c r="J28" s="49"/>
      <c r="K28" s="49"/>
      <c r="L28" s="49"/>
      <c r="M28" s="49"/>
    </row>
  </sheetData>
  <mergeCells count="1">
    <mergeCell ref="I1:AH1"/>
  </mergeCells>
  <conditionalFormatting sqref="N3:N23">
    <cfRule type="dataBar" priority="72">
      <dataBar>
        <cfvo type="min"/>
        <cfvo type="max"/>
        <color rgb="FF63C384"/>
      </dataBar>
      <extLst>
        <ext xmlns:x14="http://schemas.microsoft.com/office/spreadsheetml/2009/9/main" uri="{B025F937-C7B1-47D3-B67F-A62EFF666E3E}">
          <x14:id>{F1CF8FC0-0E28-44E4-A589-05E764D08FD4}</x14:id>
        </ext>
      </extLst>
    </cfRule>
  </conditionalFormatting>
  <conditionalFormatting sqref="O3:W23">
    <cfRule type="dataBar" priority="74">
      <dataBar>
        <cfvo type="min"/>
        <cfvo type="max"/>
        <color rgb="FF63C384"/>
      </dataBar>
      <extLst>
        <ext xmlns:x14="http://schemas.microsoft.com/office/spreadsheetml/2009/9/main" uri="{B025F937-C7B1-47D3-B67F-A62EFF666E3E}">
          <x14:id>{C0CF1A1D-E17F-4EEC-9901-D381A6DF2478}</x14:id>
        </ext>
      </extLst>
    </cfRule>
  </conditionalFormatting>
  <conditionalFormatting sqref="Y3:AH15 Y13:Y23">
    <cfRule type="iconSet" priority="8">
      <iconSet>
        <cfvo type="percent" val="0"/>
        <cfvo type="num" val="0"/>
        <cfvo type="num" val="0"/>
      </iconSet>
    </cfRule>
  </conditionalFormatting>
  <conditionalFormatting sqref="Z16:AH23">
    <cfRule type="iconSet" priority="7">
      <iconSet>
        <cfvo type="percent" val="0"/>
        <cfvo type="num" val="0"/>
        <cfvo type="num" val="0"/>
      </iconSet>
    </cfRule>
  </conditionalFormatting>
  <conditionalFormatting sqref="X3:X23">
    <cfRule type="dataBar" priority="6">
      <dataBar>
        <cfvo type="min"/>
        <cfvo type="max"/>
        <color rgb="FF63C384"/>
      </dataBar>
      <extLst>
        <ext xmlns:x14="http://schemas.microsoft.com/office/spreadsheetml/2009/9/main" uri="{B025F937-C7B1-47D3-B67F-A62EFF666E3E}">
          <x14:id>{F2328412-A5AE-4D0A-8D36-E78C353185B0}</x14:id>
        </ext>
      </extLst>
    </cfRule>
  </conditionalFormatting>
  <conditionalFormatting sqref="N24:N25">
    <cfRule type="dataBar" priority="4">
      <dataBar>
        <cfvo type="min"/>
        <cfvo type="max"/>
        <color rgb="FF63C384"/>
      </dataBar>
      <extLst>
        <ext xmlns:x14="http://schemas.microsoft.com/office/spreadsheetml/2009/9/main" uri="{B025F937-C7B1-47D3-B67F-A62EFF666E3E}">
          <x14:id>{D0016D03-1B76-4FB1-B224-001A194F893F}</x14:id>
        </ext>
      </extLst>
    </cfRule>
  </conditionalFormatting>
  <conditionalFormatting sqref="O24:W25">
    <cfRule type="dataBar" priority="5">
      <dataBar>
        <cfvo type="min"/>
        <cfvo type="max"/>
        <color rgb="FF63C384"/>
      </dataBar>
      <extLst>
        <ext xmlns:x14="http://schemas.microsoft.com/office/spreadsheetml/2009/9/main" uri="{B025F937-C7B1-47D3-B67F-A62EFF666E3E}">
          <x14:id>{AEA1E912-F26C-4CA9-9C44-383931458028}</x14:id>
        </ext>
      </extLst>
    </cfRule>
  </conditionalFormatting>
  <conditionalFormatting sqref="Y24:Y25">
    <cfRule type="iconSet" priority="3">
      <iconSet>
        <cfvo type="percent" val="0"/>
        <cfvo type="num" val="0"/>
        <cfvo type="num" val="0"/>
      </iconSet>
    </cfRule>
  </conditionalFormatting>
  <conditionalFormatting sqref="Z24:AH25">
    <cfRule type="iconSet" priority="2">
      <iconSet>
        <cfvo type="percent" val="0"/>
        <cfvo type="num" val="0"/>
        <cfvo type="num" val="0"/>
      </iconSet>
    </cfRule>
  </conditionalFormatting>
  <conditionalFormatting sqref="X24:X25">
    <cfRule type="dataBar" priority="1">
      <dataBar>
        <cfvo type="min"/>
        <cfvo type="max"/>
        <color rgb="FF63C384"/>
      </dataBar>
      <extLst>
        <ext xmlns:x14="http://schemas.microsoft.com/office/spreadsheetml/2009/9/main" uri="{B025F937-C7B1-47D3-B67F-A62EFF666E3E}">
          <x14:id>{F0A958E8-9009-49CD-AE4D-89D26966EBCE}</x14:id>
        </ext>
      </extLst>
    </cfRule>
  </conditionalFormatting>
  <pageMargins left="0.7" right="0.7" top="0.75" bottom="0.75" header="0.3" footer="0.3"/>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1CF8FC0-0E28-44E4-A589-05E764D08FD4}">
            <x14:dataBar minLength="0" maxLength="100" border="1" negativeBarBorderColorSameAsPositive="0">
              <x14:cfvo type="autoMin"/>
              <x14:cfvo type="autoMax"/>
              <x14:borderColor rgb="FF63C384"/>
              <x14:negativeFillColor rgb="FFFF0000"/>
              <x14:negativeBorderColor rgb="FFFF0000"/>
              <x14:axisColor rgb="FF000000"/>
            </x14:dataBar>
          </x14:cfRule>
          <xm:sqref>N3:N23</xm:sqref>
        </x14:conditionalFormatting>
        <x14:conditionalFormatting xmlns:xm="http://schemas.microsoft.com/office/excel/2006/main">
          <x14:cfRule type="dataBar" id="{C0CF1A1D-E17F-4EEC-9901-D381A6DF2478}">
            <x14:dataBar minLength="0" maxLength="100" border="1" negativeBarBorderColorSameAsPositive="0">
              <x14:cfvo type="autoMin"/>
              <x14:cfvo type="autoMax"/>
              <x14:borderColor rgb="FF63C384"/>
              <x14:negativeFillColor rgb="FFFF0000"/>
              <x14:negativeBorderColor rgb="FFFF0000"/>
              <x14:axisColor rgb="FF000000"/>
            </x14:dataBar>
          </x14:cfRule>
          <xm:sqref>O3:W23</xm:sqref>
        </x14:conditionalFormatting>
        <x14:conditionalFormatting xmlns:xm="http://schemas.microsoft.com/office/excel/2006/main">
          <x14:cfRule type="dataBar" id="{F2328412-A5AE-4D0A-8D36-E78C353185B0}">
            <x14:dataBar minLength="0" maxLength="100" border="1" negativeBarBorderColorSameAsPositive="0">
              <x14:cfvo type="autoMin"/>
              <x14:cfvo type="autoMax"/>
              <x14:borderColor rgb="FF63C384"/>
              <x14:negativeFillColor rgb="FFFF0000"/>
              <x14:negativeBorderColor rgb="FFFF0000"/>
              <x14:axisColor rgb="FF000000"/>
            </x14:dataBar>
          </x14:cfRule>
          <xm:sqref>X3:X23</xm:sqref>
        </x14:conditionalFormatting>
        <x14:conditionalFormatting xmlns:xm="http://schemas.microsoft.com/office/excel/2006/main">
          <x14:cfRule type="dataBar" id="{D0016D03-1B76-4FB1-B224-001A194F893F}">
            <x14:dataBar minLength="0" maxLength="100" border="1" negativeBarBorderColorSameAsPositive="0">
              <x14:cfvo type="autoMin"/>
              <x14:cfvo type="autoMax"/>
              <x14:borderColor rgb="FF63C384"/>
              <x14:negativeFillColor rgb="FFFF0000"/>
              <x14:negativeBorderColor rgb="FFFF0000"/>
              <x14:axisColor rgb="FF000000"/>
            </x14:dataBar>
          </x14:cfRule>
          <xm:sqref>N24:N25</xm:sqref>
        </x14:conditionalFormatting>
        <x14:conditionalFormatting xmlns:xm="http://schemas.microsoft.com/office/excel/2006/main">
          <x14:cfRule type="dataBar" id="{AEA1E912-F26C-4CA9-9C44-383931458028}">
            <x14:dataBar minLength="0" maxLength="100" border="1" negativeBarBorderColorSameAsPositive="0">
              <x14:cfvo type="autoMin"/>
              <x14:cfvo type="autoMax"/>
              <x14:borderColor rgb="FF63C384"/>
              <x14:negativeFillColor rgb="FFFF0000"/>
              <x14:negativeBorderColor rgb="FFFF0000"/>
              <x14:axisColor rgb="FF000000"/>
            </x14:dataBar>
          </x14:cfRule>
          <xm:sqref>O24:W25</xm:sqref>
        </x14:conditionalFormatting>
        <x14:conditionalFormatting xmlns:xm="http://schemas.microsoft.com/office/excel/2006/main">
          <x14:cfRule type="dataBar" id="{F0A958E8-9009-49CD-AE4D-89D26966EBCE}">
            <x14:dataBar minLength="0" maxLength="100" border="1" negativeBarBorderColorSameAsPositive="0">
              <x14:cfvo type="autoMin"/>
              <x14:cfvo type="autoMax"/>
              <x14:borderColor rgb="FF63C384"/>
              <x14:negativeFillColor rgb="FFFF0000"/>
              <x14:negativeBorderColor rgb="FFFF0000"/>
              <x14:axisColor rgb="FF000000"/>
            </x14:dataBar>
          </x14:cfRule>
          <xm:sqref>X24:X25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Y73"/>
  <sheetViews>
    <sheetView showGridLines="0" zoomScale="150" zoomScaleNormal="150" workbookViewId="0">
      <pane xSplit="3" ySplit="3" topLeftCell="I28" activePane="bottomRight" state="frozen"/>
      <selection activeCell="B26" sqref="B26"/>
      <selection pane="topRight" activeCell="B26" sqref="B26"/>
      <selection pane="bottomLeft" activeCell="B26" sqref="B26"/>
      <selection pane="bottomRight" activeCell="I17" sqref="I17"/>
    </sheetView>
  </sheetViews>
  <sheetFormatPr baseColWidth="10" defaultColWidth="11" defaultRowHeight="15.75"/>
  <cols>
    <col min="1" max="1" width="5.625" hidden="1" customWidth="1"/>
    <col min="2" max="2" width="12.375" customWidth="1"/>
    <col min="3" max="3" width="46.375" customWidth="1"/>
    <col min="4" max="5" width="11.875" customWidth="1"/>
    <col min="6" max="8" width="12" customWidth="1"/>
    <col min="9" max="9" width="11.875" customWidth="1"/>
    <col min="10" max="14" width="12" bestFit="1" customWidth="1"/>
    <col min="15" max="19" width="11" hidden="1" customWidth="1"/>
    <col min="20" max="20" width="11" customWidth="1"/>
  </cols>
  <sheetData>
    <row r="1" spans="1:25" ht="32.1" customHeight="1">
      <c r="D1" s="624" t="s">
        <v>858</v>
      </c>
      <c r="E1" s="624"/>
      <c r="F1" s="624"/>
      <c r="G1" s="624"/>
      <c r="H1" s="624"/>
      <c r="I1" s="624"/>
      <c r="J1" s="624"/>
      <c r="K1" s="624"/>
      <c r="L1" s="624"/>
      <c r="M1" s="624"/>
      <c r="N1" s="624"/>
      <c r="O1" s="624"/>
      <c r="P1" s="624"/>
      <c r="Q1" s="624"/>
      <c r="R1" s="624"/>
      <c r="S1" s="624"/>
      <c r="T1" s="624"/>
      <c r="U1" s="624"/>
      <c r="V1" s="624"/>
      <c r="W1" s="624"/>
      <c r="X1" s="624"/>
      <c r="Y1" s="624"/>
    </row>
    <row r="2" spans="1:25" ht="15.75" customHeight="1">
      <c r="C2" s="54"/>
      <c r="D2" s="624"/>
      <c r="E2" s="624"/>
      <c r="F2" s="624"/>
      <c r="G2" s="624"/>
      <c r="H2" s="624"/>
      <c r="I2" s="624"/>
      <c r="J2" s="624"/>
      <c r="K2" s="624"/>
      <c r="L2" s="624"/>
      <c r="M2" s="624"/>
      <c r="N2" s="624"/>
      <c r="O2" s="624"/>
      <c r="P2" s="624"/>
      <c r="Q2" s="624"/>
      <c r="R2" s="624"/>
      <c r="S2" s="624"/>
      <c r="T2" s="624"/>
      <c r="U2" s="624"/>
      <c r="V2" s="624"/>
      <c r="W2" s="624"/>
      <c r="X2" s="624"/>
      <c r="Y2" s="624"/>
    </row>
    <row r="3" spans="1:25" ht="35.85" customHeight="1">
      <c r="A3" s="9" t="s">
        <v>69</v>
      </c>
      <c r="B3" s="44" t="s">
        <v>66</v>
      </c>
      <c r="C3" s="9" t="s">
        <v>68</v>
      </c>
      <c r="D3" s="9" t="s">
        <v>168</v>
      </c>
      <c r="E3" s="9" t="s">
        <v>63</v>
      </c>
      <c r="F3" s="9" t="s">
        <v>62</v>
      </c>
      <c r="G3" s="9" t="s">
        <v>61</v>
      </c>
      <c r="H3" s="9" t="s">
        <v>60</v>
      </c>
      <c r="I3" s="9" t="s">
        <v>695</v>
      </c>
      <c r="J3" s="325" t="s">
        <v>771</v>
      </c>
      <c r="K3" s="325" t="s">
        <v>772</v>
      </c>
      <c r="L3" s="325" t="s">
        <v>773</v>
      </c>
      <c r="M3" s="325" t="s">
        <v>774</v>
      </c>
      <c r="N3" s="325" t="s">
        <v>859</v>
      </c>
      <c r="O3" s="44" t="s">
        <v>1308</v>
      </c>
      <c r="P3" s="44" t="s">
        <v>1309</v>
      </c>
      <c r="Q3" s="44" t="s">
        <v>1310</v>
      </c>
      <c r="R3" s="44" t="s">
        <v>1311</v>
      </c>
      <c r="S3" s="44" t="s">
        <v>1312</v>
      </c>
      <c r="T3" s="44" t="s">
        <v>1313</v>
      </c>
      <c r="U3" s="327" t="s">
        <v>1360</v>
      </c>
      <c r="V3" s="327" t="s">
        <v>1361</v>
      </c>
      <c r="W3" s="327" t="s">
        <v>1362</v>
      </c>
      <c r="X3" s="327" t="s">
        <v>1363</v>
      </c>
      <c r="Y3" s="327" t="s">
        <v>1364</v>
      </c>
    </row>
    <row r="4" spans="1:25">
      <c r="A4" s="17">
        <v>1</v>
      </c>
      <c r="B4" t="s">
        <v>0</v>
      </c>
      <c r="C4" s="10" t="s">
        <v>0</v>
      </c>
      <c r="U4" s="305"/>
      <c r="V4" s="305"/>
      <c r="W4" s="305"/>
      <c r="X4" s="305"/>
      <c r="Y4" s="306"/>
    </row>
    <row r="5" spans="1:25">
      <c r="A5" s="17">
        <v>2</v>
      </c>
      <c r="B5" t="s">
        <v>0</v>
      </c>
      <c r="C5" s="20" t="s">
        <v>1</v>
      </c>
      <c r="U5" s="305"/>
      <c r="V5" s="305"/>
      <c r="W5" s="305"/>
      <c r="X5" s="305"/>
      <c r="Y5" s="306"/>
    </row>
    <row r="6" spans="1:25">
      <c r="A6" s="17">
        <v>3</v>
      </c>
      <c r="B6" t="s">
        <v>0</v>
      </c>
      <c r="C6" s="21" t="s">
        <v>2</v>
      </c>
      <c r="D6" s="11">
        <v>76691</v>
      </c>
      <c r="E6" s="11">
        <v>51772</v>
      </c>
      <c r="F6" s="23">
        <v>53635</v>
      </c>
      <c r="G6" s="11">
        <v>44907</v>
      </c>
      <c r="H6" s="11">
        <v>45154</v>
      </c>
      <c r="I6" s="11">
        <v>37126</v>
      </c>
      <c r="J6" s="11">
        <f>Suspuestos!E30/360*'ER Proyectado'!I3</f>
        <v>33988.755999999994</v>
      </c>
      <c r="K6" s="11">
        <f>Suspuestos!F30/360*'ER Proyectado'!J3</f>
        <v>44533.317132143908</v>
      </c>
      <c r="L6" s="11">
        <f>Suspuestos!G30/360*'ER Proyectado'!K3</f>
        <v>55341.786365509884</v>
      </c>
      <c r="M6" s="11">
        <f>Suspuestos!H30/360*'ER Proyectado'!L3</f>
        <v>64316.534733148634</v>
      </c>
      <c r="N6" s="11">
        <f>Suspuestos!I30/360*'ER Proyectado'!M3</f>
        <v>76508.648484742065</v>
      </c>
      <c r="O6" s="24">
        <f t="shared" ref="O6:O13" si="0">D6/D$20</f>
        <v>1.9990814094369799E-2</v>
      </c>
      <c r="P6" s="24">
        <f t="shared" ref="P6:P13" si="1">E6/$E$20</f>
        <v>1.4860187029627376E-2</v>
      </c>
      <c r="Q6" s="24">
        <f t="shared" ref="Q6:U13" si="2">F6/F$20</f>
        <v>1.6777032966001759E-2</v>
      </c>
      <c r="R6" s="24">
        <f t="shared" si="2"/>
        <v>1.3630295940747503E-2</v>
      </c>
      <c r="S6" s="24">
        <f t="shared" si="2"/>
        <v>1.370799963205706E-2</v>
      </c>
      <c r="T6" s="24">
        <f t="shared" si="2"/>
        <v>1.2181321426966044E-2</v>
      </c>
      <c r="U6" s="24">
        <f t="shared" si="2"/>
        <v>1.1330827510883899E-2</v>
      </c>
      <c r="V6" s="24">
        <f t="shared" ref="V6:V13" si="3">K6/K$20</f>
        <v>1.5186520363787601E-2</v>
      </c>
      <c r="W6" s="24">
        <f t="shared" ref="W6:W13" si="4">L6/L$20</f>
        <v>1.9287633795630581E-2</v>
      </c>
      <c r="X6" s="24">
        <f t="shared" ref="X6:X13" si="5">M6/M$20</f>
        <v>2.2909589807348179E-2</v>
      </c>
      <c r="Y6" s="24">
        <f t="shared" ref="Y6:Y13" si="6">N6/N$20</f>
        <v>2.7806171092503756E-2</v>
      </c>
    </row>
    <row r="7" spans="1:25">
      <c r="A7" s="17">
        <v>4</v>
      </c>
      <c r="B7" t="s">
        <v>0</v>
      </c>
      <c r="C7" s="21" t="s">
        <v>3</v>
      </c>
      <c r="D7" s="11">
        <v>164195</v>
      </c>
      <c r="E7" s="11">
        <v>122003</v>
      </c>
      <c r="F7" s="23">
        <v>91568</v>
      </c>
      <c r="G7" s="11">
        <v>100344</v>
      </c>
      <c r="H7" s="11">
        <v>115475</v>
      </c>
      <c r="I7" s="11">
        <v>87465</v>
      </c>
      <c r="J7" s="11">
        <f>Suspuestos!E31/360*'ER Proyectado'!I3</f>
        <v>79307.097333333324</v>
      </c>
      <c r="K7" s="11">
        <f>Suspuestos!F31/360*'ER Proyectado'!J3</f>
        <v>79010.723944126294</v>
      </c>
      <c r="L7" s="11">
        <f>Suspuestos!G31/360*'ER Proyectado'!K3</f>
        <v>78643.591150987733</v>
      </c>
      <c r="M7" s="11">
        <f>Suspuestos!H31/360*'ER Proyectado'!L3</f>
        <v>78182.943597634818</v>
      </c>
      <c r="N7" s="11">
        <f>Suspuestos!I31/360*'ER Proyectado'!M3</f>
        <v>77718.271385686618</v>
      </c>
      <c r="O7" s="24">
        <f t="shared" si="0"/>
        <v>4.2800220628562015E-2</v>
      </c>
      <c r="P7" s="24">
        <f t="shared" si="1"/>
        <v>3.5018685740856613E-2</v>
      </c>
      <c r="Q7" s="24">
        <f t="shared" si="2"/>
        <v>2.8642478878173748E-2</v>
      </c>
      <c r="R7" s="24">
        <f t="shared" si="2"/>
        <v>3.0456686393621653E-2</v>
      </c>
      <c r="S7" s="24">
        <f t="shared" si="2"/>
        <v>3.5056279787212402E-2</v>
      </c>
      <c r="T7" s="24">
        <f t="shared" si="2"/>
        <v>2.8697928099164605E-2</v>
      </c>
      <c r="U7" s="24">
        <f t="shared" si="2"/>
        <v>2.6438597525395766E-2</v>
      </c>
      <c r="V7" s="24">
        <f t="shared" si="3"/>
        <v>2.6943826451881231E-2</v>
      </c>
      <c r="W7" s="24">
        <f t="shared" si="4"/>
        <v>2.7408742762211877E-2</v>
      </c>
      <c r="X7" s="24">
        <f t="shared" si="5"/>
        <v>2.7848813297923249E-2</v>
      </c>
      <c r="Y7" s="24">
        <f t="shared" si="6"/>
        <v>2.8245794350883268E-2</v>
      </c>
    </row>
    <row r="8" spans="1:25">
      <c r="A8" s="17">
        <v>5</v>
      </c>
      <c r="B8" t="s">
        <v>0</v>
      </c>
      <c r="C8" s="21" t="s">
        <v>4</v>
      </c>
      <c r="D8" s="11">
        <v>895</v>
      </c>
      <c r="E8" s="11">
        <v>270</v>
      </c>
      <c r="F8" s="23">
        <v>3222</v>
      </c>
      <c r="G8" s="11">
        <v>4484</v>
      </c>
      <c r="H8" s="11">
        <v>9647</v>
      </c>
      <c r="I8" s="11">
        <v>21138</v>
      </c>
      <c r="J8" s="11">
        <f>BalanceGeneral12[[#This Row],[2018]]</f>
        <v>21138</v>
      </c>
      <c r="K8" s="11">
        <f>BalanceGeneral12[[#This Row],[2018]]</f>
        <v>21138</v>
      </c>
      <c r="L8" s="11">
        <f>BalanceGeneral12[[#This Row],[2018]]</f>
        <v>21138</v>
      </c>
      <c r="M8" s="11">
        <f>BalanceGeneral12[[#This Row],[2018]]</f>
        <v>21138</v>
      </c>
      <c r="N8" s="11">
        <f>BalanceGeneral12[[#This Row],[2018]]</f>
        <v>21138</v>
      </c>
      <c r="O8" s="52">
        <f t="shared" si="0"/>
        <v>2.3329697897355586E-4</v>
      </c>
      <c r="P8" s="24">
        <f t="shared" si="1"/>
        <v>7.7498464382279832E-5</v>
      </c>
      <c r="Q8" s="24">
        <f t="shared" si="2"/>
        <v>1.0078418983212019E-3</v>
      </c>
      <c r="R8" s="24">
        <f t="shared" si="2"/>
        <v>1.3609959916786203E-3</v>
      </c>
      <c r="S8" s="24">
        <f t="shared" si="2"/>
        <v>2.9286679463714055E-3</v>
      </c>
      <c r="T8" s="24">
        <f t="shared" si="2"/>
        <v>6.9355376911923788E-3</v>
      </c>
      <c r="U8" s="24">
        <f t="shared" si="2"/>
        <v>7.0467725245685333E-3</v>
      </c>
      <c r="V8" s="24">
        <f t="shared" si="3"/>
        <v>7.2083709034563943E-3</v>
      </c>
      <c r="W8" s="24">
        <f t="shared" si="4"/>
        <v>7.3669830691646641E-3</v>
      </c>
      <c r="X8" s="24">
        <f t="shared" si="5"/>
        <v>7.5293687907308469E-3</v>
      </c>
      <c r="Y8" s="24">
        <f t="shared" si="6"/>
        <v>7.6823582195490138E-3</v>
      </c>
    </row>
    <row r="9" spans="1:25">
      <c r="A9" s="17">
        <v>6</v>
      </c>
      <c r="B9" t="s">
        <v>0</v>
      </c>
      <c r="C9" s="21" t="s">
        <v>5</v>
      </c>
      <c r="D9" s="11">
        <v>21048</v>
      </c>
      <c r="E9" s="11">
        <v>19523</v>
      </c>
      <c r="F9" s="23">
        <v>12694</v>
      </c>
      <c r="G9" s="11">
        <v>16854</v>
      </c>
      <c r="H9" s="11">
        <v>14834</v>
      </c>
      <c r="I9" s="11">
        <v>14007</v>
      </c>
      <c r="J9" s="11">
        <f>AVERAGE(H9:I9)</f>
        <v>14420.5</v>
      </c>
      <c r="K9" s="11">
        <f>AVERAGE(I9:J9)</f>
        <v>14213.75</v>
      </c>
      <c r="L9" s="11">
        <f>AVERAGE(J9:K9)</f>
        <v>14317.125</v>
      </c>
      <c r="M9" s="11">
        <f>AVERAGE(K9:L9)</f>
        <v>14265.4375</v>
      </c>
      <c r="N9" s="11">
        <f>AVERAGE(L9:M9)</f>
        <v>14291.28125</v>
      </c>
      <c r="O9" s="24">
        <f t="shared" si="0"/>
        <v>5.4865193446205626E-3</v>
      </c>
      <c r="P9" s="24">
        <f t="shared" si="1"/>
        <v>5.6037130375379595E-3</v>
      </c>
      <c r="Q9" s="24">
        <f t="shared" si="2"/>
        <v>3.9706843753225755E-3</v>
      </c>
      <c r="R9" s="24">
        <f t="shared" si="2"/>
        <v>5.1155723558767774E-3</v>
      </c>
      <c r="S9" s="24">
        <f t="shared" si="2"/>
        <v>4.5033544435029993E-3</v>
      </c>
      <c r="T9" s="24">
        <f t="shared" si="2"/>
        <v>4.5958026511747395E-3</v>
      </c>
      <c r="U9" s="24">
        <f t="shared" si="2"/>
        <v>4.8073603553098936E-3</v>
      </c>
      <c r="V9" s="24">
        <f t="shared" si="3"/>
        <v>4.8470991545559337E-3</v>
      </c>
      <c r="W9" s="24">
        <f t="shared" si="4"/>
        <v>4.9897822629441837E-3</v>
      </c>
      <c r="X9" s="24">
        <f t="shared" si="5"/>
        <v>5.081357739550642E-3</v>
      </c>
      <c r="Y9" s="24">
        <f t="shared" si="6"/>
        <v>5.1939985797532498E-3</v>
      </c>
    </row>
    <row r="10" spans="1:25">
      <c r="A10" s="17">
        <v>7</v>
      </c>
      <c r="B10" t="s">
        <v>0</v>
      </c>
      <c r="C10" s="21" t="s">
        <v>91</v>
      </c>
      <c r="D10" s="11">
        <v>64080</v>
      </c>
      <c r="E10" s="11">
        <v>13959</v>
      </c>
      <c r="F10" s="23">
        <v>25695</v>
      </c>
      <c r="G10" s="11">
        <v>11940</v>
      </c>
      <c r="H10" s="11">
        <v>33757</v>
      </c>
      <c r="I10" s="11">
        <v>29696</v>
      </c>
      <c r="J10" s="11">
        <f>AVERAGE(F10,H10,I10)</f>
        <v>29716</v>
      </c>
      <c r="K10" s="11">
        <f>AVERAGE(H10,I10,J10)</f>
        <v>31056.333333333332</v>
      </c>
      <c r="L10" s="11">
        <f>AVERAGE(I10,J10,K10)</f>
        <v>30156.111111111109</v>
      </c>
      <c r="M10" s="11">
        <f>AVERAGE(J10,K10,L10)</f>
        <v>30309.481481481478</v>
      </c>
      <c r="N10" s="11">
        <f>AVERAGE(K10,L10,M10)</f>
        <v>30507.308641975305</v>
      </c>
      <c r="O10" s="24">
        <f t="shared" si="0"/>
        <v>1.6703542360475374E-2</v>
      </c>
      <c r="P10" s="24">
        <f t="shared" si="1"/>
        <v>4.0066706085638672E-3</v>
      </c>
      <c r="Q10" s="24">
        <f t="shared" si="2"/>
        <v>8.0373983790699207E-3</v>
      </c>
      <c r="R10" s="24">
        <f t="shared" si="2"/>
        <v>3.6240615835510096E-3</v>
      </c>
      <c r="S10" s="24">
        <f t="shared" si="2"/>
        <v>1.0248060937665547E-2</v>
      </c>
      <c r="T10" s="24">
        <f t="shared" si="2"/>
        <v>9.7434822252648722E-3</v>
      </c>
      <c r="U10" s="24">
        <f t="shared" si="2"/>
        <v>9.9064193556665028E-3</v>
      </c>
      <c r="V10" s="24">
        <f t="shared" si="3"/>
        <v>1.0590669390105162E-2</v>
      </c>
      <c r="W10" s="24">
        <f t="shared" si="4"/>
        <v>1.0509961206708485E-2</v>
      </c>
      <c r="X10" s="24">
        <f t="shared" si="5"/>
        <v>1.0796256217707502E-2</v>
      </c>
      <c r="Y10" s="24">
        <f t="shared" si="6"/>
        <v>1.1087523573753318E-2</v>
      </c>
    </row>
    <row r="11" spans="1:25">
      <c r="A11" s="17">
        <v>8</v>
      </c>
      <c r="B11" t="s">
        <v>0</v>
      </c>
      <c r="C11" s="21" t="s">
        <v>6</v>
      </c>
      <c r="D11" s="11">
        <v>103683</v>
      </c>
      <c r="E11" s="11">
        <v>102821</v>
      </c>
      <c r="F11" s="23">
        <v>86134</v>
      </c>
      <c r="G11" s="11">
        <v>71595</v>
      </c>
      <c r="H11" s="11">
        <v>82675</v>
      </c>
      <c r="I11" s="11">
        <v>81172</v>
      </c>
      <c r="J11" s="11">
        <f>Suspuestos!E32/360*'ER Proyectado'!I4*-1</f>
        <v>72954.032357666656</v>
      </c>
      <c r="K11" s="11">
        <f>Suspuestos!F32/360*'ER Proyectado'!J4*-1</f>
        <v>70592.490447533928</v>
      </c>
      <c r="L11" s="11">
        <f>Suspuestos!G32/360*'ER Proyectado'!K4*-1</f>
        <v>69264.614724832893</v>
      </c>
      <c r="M11" s="11">
        <f>Suspuestos!H32/360*'ER Proyectado'!L4*-1</f>
        <v>68210.930414238377</v>
      </c>
      <c r="N11" s="11">
        <f>Suspuestos!I32/360*'ER Proyectado'!M4*-1</f>
        <v>66075.650964095417</v>
      </c>
      <c r="O11" s="24">
        <f t="shared" si="0"/>
        <v>2.7026738179793511E-2</v>
      </c>
      <c r="P11" s="24">
        <f t="shared" si="1"/>
        <v>2.9512850393519981E-2</v>
      </c>
      <c r="Q11" s="24">
        <f t="shared" si="2"/>
        <v>2.6942723175046059E-2</v>
      </c>
      <c r="R11" s="24">
        <f t="shared" si="2"/>
        <v>2.1730710977749961E-2</v>
      </c>
      <c r="S11" s="24">
        <f t="shared" si="2"/>
        <v>2.5098748052892708E-2</v>
      </c>
      <c r="T11" s="24">
        <f t="shared" si="2"/>
        <v>2.6633147197912186E-2</v>
      </c>
      <c r="U11" s="24">
        <f t="shared" si="2"/>
        <v>2.4320677016486384E-2</v>
      </c>
      <c r="V11" s="24">
        <f t="shared" si="3"/>
        <v>2.4073084215371701E-2</v>
      </c>
      <c r="W11" s="24">
        <f t="shared" si="4"/>
        <v>2.4139996403162903E-2</v>
      </c>
      <c r="X11" s="24">
        <f t="shared" si="5"/>
        <v>2.4296775979169266E-2</v>
      </c>
      <c r="Y11" s="24">
        <f t="shared" si="6"/>
        <v>2.4014420488980514E-2</v>
      </c>
    </row>
    <row r="12" spans="1:25">
      <c r="A12" s="17">
        <v>9</v>
      </c>
      <c r="B12" t="s">
        <v>0</v>
      </c>
      <c r="C12" s="21" t="s">
        <v>7</v>
      </c>
      <c r="D12" s="11">
        <v>19227</v>
      </c>
      <c r="E12" s="11">
        <v>18347</v>
      </c>
      <c r="F12" s="23">
        <v>14421</v>
      </c>
      <c r="G12" s="11">
        <v>11247</v>
      </c>
      <c r="H12" s="11">
        <v>25745</v>
      </c>
      <c r="I12" s="11">
        <v>38567</v>
      </c>
      <c r="J12" s="11">
        <f>I12</f>
        <v>38567</v>
      </c>
      <c r="K12" s="11">
        <f>J12</f>
        <v>38567</v>
      </c>
      <c r="L12" s="11">
        <f>K12</f>
        <v>38567</v>
      </c>
      <c r="M12" s="11">
        <f>L12</f>
        <v>38567</v>
      </c>
      <c r="N12" s="11">
        <f>M12</f>
        <v>38567</v>
      </c>
      <c r="O12" s="24">
        <f t="shared" si="0"/>
        <v>5.0118447091894508E-3</v>
      </c>
      <c r="P12" s="24">
        <f t="shared" si="1"/>
        <v>5.2661641704506964E-3</v>
      </c>
      <c r="Q12" s="24">
        <f t="shared" si="2"/>
        <v>4.51089013522348E-3</v>
      </c>
      <c r="R12" s="24">
        <f t="shared" si="2"/>
        <v>3.4137203207871194E-3</v>
      </c>
      <c r="S12" s="24">
        <f t="shared" si="2"/>
        <v>7.8157516615872131E-3</v>
      </c>
      <c r="T12" s="24">
        <f t="shared" si="2"/>
        <v>1.2654124426919126E-2</v>
      </c>
      <c r="U12" s="24">
        <f t="shared" si="2"/>
        <v>1.2857076164019049E-2</v>
      </c>
      <c r="V12" s="24">
        <f t="shared" si="3"/>
        <v>1.3151917902999469E-2</v>
      </c>
      <c r="W12" s="24">
        <f t="shared" si="4"/>
        <v>1.3441311194458965E-2</v>
      </c>
      <c r="X12" s="24">
        <f t="shared" si="5"/>
        <v>1.3737589466937107E-2</v>
      </c>
      <c r="Y12" s="24">
        <f t="shared" si="6"/>
        <v>1.4016723883685628E-2</v>
      </c>
    </row>
    <row r="13" spans="1:25">
      <c r="A13" s="17">
        <v>10</v>
      </c>
      <c r="B13" t="s">
        <v>0</v>
      </c>
      <c r="C13" s="20" t="s">
        <v>8</v>
      </c>
      <c r="D13" s="207">
        <f t="shared" ref="D13:N13" si="7">SUM(D6:D12)</f>
        <v>449819</v>
      </c>
      <c r="E13" s="207">
        <f t="shared" si="7"/>
        <v>328695</v>
      </c>
      <c r="F13" s="208">
        <f t="shared" si="7"/>
        <v>287369</v>
      </c>
      <c r="G13" s="207">
        <f t="shared" si="7"/>
        <v>261371</v>
      </c>
      <c r="H13" s="207">
        <f t="shared" si="7"/>
        <v>327287</v>
      </c>
      <c r="I13" s="207">
        <f t="shared" si="7"/>
        <v>309171</v>
      </c>
      <c r="J13" s="207">
        <f t="shared" si="7"/>
        <v>290091.38569099997</v>
      </c>
      <c r="K13" s="207">
        <f t="shared" si="7"/>
        <v>299111.61485713744</v>
      </c>
      <c r="L13" s="207">
        <f t="shared" si="7"/>
        <v>307428.22835244163</v>
      </c>
      <c r="M13" s="207">
        <f t="shared" si="7"/>
        <v>314990.32772650331</v>
      </c>
      <c r="N13" s="207">
        <f t="shared" si="7"/>
        <v>324806.16072649939</v>
      </c>
      <c r="O13" s="24">
        <f t="shared" si="0"/>
        <v>0.11725297629598427</v>
      </c>
      <c r="P13" s="24">
        <f t="shared" si="1"/>
        <v>9.4345769444938776E-2</v>
      </c>
      <c r="Q13" s="24">
        <f t="shared" si="2"/>
        <v>8.9889049807158741E-2</v>
      </c>
      <c r="R13" s="24">
        <f t="shared" si="2"/>
        <v>7.9332043564012647E-2</v>
      </c>
      <c r="S13" s="24">
        <f t="shared" si="2"/>
        <v>9.9358862461289332E-2</v>
      </c>
      <c r="T13" s="24">
        <f t="shared" si="2"/>
        <v>0.10144134371859395</v>
      </c>
      <c r="U13" s="24">
        <f t="shared" si="2"/>
        <v>9.6707730452330026E-2</v>
      </c>
      <c r="V13" s="24">
        <f t="shared" si="3"/>
        <v>0.10200148838215749</v>
      </c>
      <c r="W13" s="24">
        <f t="shared" si="4"/>
        <v>0.10714441069428166</v>
      </c>
      <c r="X13" s="24">
        <f t="shared" si="5"/>
        <v>0.1121997512993668</v>
      </c>
      <c r="Y13" s="24">
        <f t="shared" si="6"/>
        <v>0.11804699018910875</v>
      </c>
    </row>
    <row r="14" spans="1:25">
      <c r="A14" s="17">
        <v>11</v>
      </c>
      <c r="B14" t="s">
        <v>0</v>
      </c>
      <c r="C14" s="20" t="s">
        <v>9</v>
      </c>
      <c r="D14" s="41"/>
      <c r="E14" s="41"/>
      <c r="H14" s="49">
        <f>G17-H17</f>
        <v>78550</v>
      </c>
      <c r="J14" s="49"/>
      <c r="O14" s="41"/>
      <c r="P14" s="41"/>
      <c r="Q14" s="41"/>
      <c r="R14" s="41"/>
      <c r="S14" s="41"/>
      <c r="T14" s="41"/>
      <c r="U14" s="41"/>
      <c r="V14" s="41"/>
      <c r="W14" s="41"/>
      <c r="X14" s="41"/>
      <c r="Y14" s="41"/>
    </row>
    <row r="15" spans="1:25">
      <c r="A15" s="17">
        <v>12</v>
      </c>
      <c r="B15" t="s">
        <v>0</v>
      </c>
      <c r="C15" s="21" t="s">
        <v>92</v>
      </c>
      <c r="D15" s="11">
        <v>18623</v>
      </c>
      <c r="E15" s="11">
        <v>24215</v>
      </c>
      <c r="F15" s="23">
        <v>20868</v>
      </c>
      <c r="G15" s="11">
        <v>13186</v>
      </c>
      <c r="H15" s="11">
        <v>10319</v>
      </c>
      <c r="I15" s="11">
        <v>4306</v>
      </c>
      <c r="J15" s="11">
        <v>4306</v>
      </c>
      <c r="K15" s="11">
        <v>4306</v>
      </c>
      <c r="L15" s="11">
        <v>4306</v>
      </c>
      <c r="M15" s="11">
        <f>BalanceGeneral12[[#This Row],[2018]]</f>
        <v>4306</v>
      </c>
      <c r="N15" s="11">
        <f>BalanceGeneral12[[#This Row],[2018]]</f>
        <v>4306</v>
      </c>
      <c r="O15" s="24">
        <f t="shared" ref="O15:O20" si="8">D15/D$20</f>
        <v>4.8544018317592521E-3</v>
      </c>
      <c r="P15" s="24">
        <f t="shared" ref="P15:P20" si="9">E15/$E$20</f>
        <v>6.9504641296922447E-3</v>
      </c>
      <c r="Q15" s="24">
        <f t="shared" ref="Q15:U20" si="10">F15/F$20</f>
        <v>6.5275123321436503E-3</v>
      </c>
      <c r="R15" s="24">
        <f t="shared" si="10"/>
        <v>4.0022509246820451E-3</v>
      </c>
      <c r="S15" s="24">
        <f t="shared" si="10"/>
        <v>3.1326759136111261E-3</v>
      </c>
      <c r="T15" s="24">
        <f t="shared" si="10"/>
        <v>1.4128311712685393E-3</v>
      </c>
      <c r="U15" s="24">
        <f t="shared" si="10"/>
        <v>1.4354907035098925E-3</v>
      </c>
      <c r="V15" s="24">
        <f t="shared" ref="V15:V20" si="11">K15/K$20</f>
        <v>1.4684097412377346E-3</v>
      </c>
      <c r="W15" s="24">
        <f t="shared" ref="W15:W20" si="12">L15/L$20</f>
        <v>1.5007204605839268E-3</v>
      </c>
      <c r="X15" s="24">
        <f t="shared" ref="X15:X20" si="13">M15/M$20</f>
        <v>1.5337998870700645E-3</v>
      </c>
      <c r="Y15" s="24">
        <f t="shared" ref="Y15:Y20" si="14">N15/N$20</f>
        <v>1.5649652045310839E-3</v>
      </c>
    </row>
    <row r="16" spans="1:25">
      <c r="A16" s="17">
        <v>13</v>
      </c>
      <c r="B16" t="s">
        <v>0</v>
      </c>
      <c r="C16" s="21" t="s">
        <v>10</v>
      </c>
      <c r="D16" s="11">
        <v>1205574</v>
      </c>
      <c r="E16" s="11">
        <v>1114921</v>
      </c>
      <c r="F16" s="23">
        <v>1093359</v>
      </c>
      <c r="G16" s="11">
        <v>1236150</v>
      </c>
      <c r="H16" s="11">
        <v>1250521</v>
      </c>
      <c r="I16" s="11">
        <v>1162672</v>
      </c>
      <c r="J16" s="11">
        <f>I16-FCL!I10+'ER Proyectado'!I12+J50</f>
        <v>1159791.2298874408</v>
      </c>
      <c r="K16" s="11">
        <f>J16-FCL!J10+'ER Proyectado'!J12+K50</f>
        <v>1105438.157589375</v>
      </c>
      <c r="L16" s="11">
        <f>K16-FCL!K10+'ER Proyectado'!K12+L50</f>
        <v>1058017.9237890793</v>
      </c>
      <c r="M16" s="11">
        <f>L16-FCL!L10+'ER Proyectado'!L12+M50</f>
        <v>1011547.0079937675</v>
      </c>
      <c r="N16" s="11">
        <f>M16-FCL!M10+'ER Proyectado'!M12+N50</f>
        <v>969325.87072706909</v>
      </c>
      <c r="O16" s="24">
        <f t="shared" si="8"/>
        <v>0.31425337668052022</v>
      </c>
      <c r="P16" s="24">
        <f t="shared" si="9"/>
        <v>0.32001727928724377</v>
      </c>
      <c r="Q16" s="24">
        <f t="shared" si="10"/>
        <v>0.34200279643282777</v>
      </c>
      <c r="R16" s="24">
        <f t="shared" si="10"/>
        <v>0.37519964208597828</v>
      </c>
      <c r="S16" s="24">
        <f t="shared" si="10"/>
        <v>0.37963727261991465</v>
      </c>
      <c r="T16" s="24">
        <f t="shared" si="10"/>
        <v>0.38148147783584185</v>
      </c>
      <c r="U16" s="24">
        <f t="shared" si="10"/>
        <v>0.3866394631945485</v>
      </c>
      <c r="V16" s="24">
        <f t="shared" si="11"/>
        <v>0.37697077541572976</v>
      </c>
      <c r="W16" s="24">
        <f t="shared" si="12"/>
        <v>0.36873877052828541</v>
      </c>
      <c r="X16" s="24">
        <f t="shared" si="13"/>
        <v>0.36031367548232751</v>
      </c>
      <c r="Y16" s="24">
        <f t="shared" si="14"/>
        <v>0.3522901206548209</v>
      </c>
    </row>
    <row r="17" spans="1:25">
      <c r="A17" s="17">
        <v>14</v>
      </c>
      <c r="B17" t="s">
        <v>0</v>
      </c>
      <c r="C17" s="21" t="s">
        <v>80</v>
      </c>
      <c r="D17" s="11">
        <v>2154652</v>
      </c>
      <c r="E17" s="11">
        <v>2005474</v>
      </c>
      <c r="F17" s="23">
        <v>1786895</v>
      </c>
      <c r="G17" s="11">
        <v>1773548</v>
      </c>
      <c r="H17" s="11">
        <v>1694998</v>
      </c>
      <c r="I17" s="11">
        <v>1555413</v>
      </c>
      <c r="J17" s="11">
        <f>I17+'ER Proyectado'!I13</f>
        <v>1531941</v>
      </c>
      <c r="K17" s="11">
        <f>J17+'ER Proyectado'!J13</f>
        <v>1508688</v>
      </c>
      <c r="L17" s="11">
        <f>K17+'ER Proyectado'!K13</f>
        <v>1485325.5</v>
      </c>
      <c r="M17" s="11">
        <f>L17+'ER Proyectado'!L13</f>
        <v>1462017.75</v>
      </c>
      <c r="N17" s="11">
        <f>M17+'ER Proyectado'!M13</f>
        <v>1438682.625</v>
      </c>
      <c r="O17" s="24">
        <f t="shared" si="8"/>
        <v>0.56164670652439108</v>
      </c>
      <c r="P17" s="24">
        <f t="shared" si="9"/>
        <v>0.57563390873551212</v>
      </c>
      <c r="Q17" s="24">
        <f t="shared" si="10"/>
        <v>0.55894092144651275</v>
      </c>
      <c r="R17" s="24">
        <f t="shared" si="10"/>
        <v>0.53831215857485148</v>
      </c>
      <c r="S17" s="24">
        <f t="shared" si="10"/>
        <v>0.51457306020147608</v>
      </c>
      <c r="T17" s="24">
        <f t="shared" si="10"/>
        <v>0.51034277069120126</v>
      </c>
      <c r="U17" s="24">
        <f t="shared" si="10"/>
        <v>0.51070298741886855</v>
      </c>
      <c r="V17" s="24">
        <f t="shared" si="11"/>
        <v>0.51448494094019404</v>
      </c>
      <c r="W17" s="24">
        <f t="shared" si="12"/>
        <v>0.51766334613958465</v>
      </c>
      <c r="X17" s="24">
        <f t="shared" si="13"/>
        <v>0.52077163489187872</v>
      </c>
      <c r="Y17" s="24">
        <f t="shared" si="14"/>
        <v>0.52287232895690705</v>
      </c>
    </row>
    <row r="18" spans="1:25">
      <c r="A18" s="17">
        <v>15</v>
      </c>
      <c r="B18" t="s">
        <v>0</v>
      </c>
      <c r="C18" s="21" t="s">
        <v>93</v>
      </c>
      <c r="D18" s="11">
        <v>7644</v>
      </c>
      <c r="E18" s="11">
        <v>10635</v>
      </c>
      <c r="F18" s="23">
        <v>8439</v>
      </c>
      <c r="G18" s="11">
        <v>10391</v>
      </c>
      <c r="H18" s="11">
        <v>10864</v>
      </c>
      <c r="I18" s="11">
        <v>16219</v>
      </c>
      <c r="J18" s="11">
        <f t="shared" ref="J18:N18" si="15">AVERAGE(H18:I18)</f>
        <v>13541.5</v>
      </c>
      <c r="K18" s="11">
        <f t="shared" si="15"/>
        <v>14880.25</v>
      </c>
      <c r="L18" s="11">
        <f t="shared" si="15"/>
        <v>14210.875</v>
      </c>
      <c r="M18" s="11">
        <f t="shared" si="15"/>
        <v>14545.5625</v>
      </c>
      <c r="N18" s="11">
        <f t="shared" si="15"/>
        <v>14378.21875</v>
      </c>
      <c r="O18" s="24">
        <f t="shared" si="8"/>
        <v>1.9925386673450961E-3</v>
      </c>
      <c r="P18" s="24">
        <f t="shared" si="9"/>
        <v>3.0525784026131336E-3</v>
      </c>
      <c r="Q18" s="24">
        <f t="shared" si="10"/>
        <v>2.6397199813571145E-3</v>
      </c>
      <c r="R18" s="24">
        <f t="shared" si="10"/>
        <v>3.1539048504755896E-3</v>
      </c>
      <c r="S18" s="24">
        <f t="shared" si="10"/>
        <v>3.2981288037088161E-3</v>
      </c>
      <c r="T18" s="24">
        <f t="shared" si="10"/>
        <v>5.3215765830943893E-3</v>
      </c>
      <c r="U18" s="24">
        <f t="shared" si="10"/>
        <v>4.5143282307429653E-3</v>
      </c>
      <c r="V18" s="24">
        <f t="shared" si="11"/>
        <v>5.0743855206810962E-3</v>
      </c>
      <c r="W18" s="24">
        <f t="shared" si="12"/>
        <v>4.952752177264424E-3</v>
      </c>
      <c r="X18" s="24">
        <f t="shared" si="13"/>
        <v>5.1811384393568435E-3</v>
      </c>
      <c r="Y18" s="24">
        <f t="shared" si="14"/>
        <v>5.2255949946322378E-3</v>
      </c>
    </row>
    <row r="19" spans="1:25">
      <c r="A19" s="17">
        <v>16</v>
      </c>
      <c r="B19" t="s">
        <v>0</v>
      </c>
      <c r="C19" s="20" t="s">
        <v>11</v>
      </c>
      <c r="D19" s="207">
        <f>D18+D17+D16+D15</f>
        <v>3386493</v>
      </c>
      <c r="E19" s="207">
        <f>E18+E17+E16+E15</f>
        <v>3155245</v>
      </c>
      <c r="F19" s="208">
        <f>F18+F17+F16+F15</f>
        <v>2909561</v>
      </c>
      <c r="G19" s="207">
        <f>SUM(G15:G18)</f>
        <v>3033275</v>
      </c>
      <c r="H19" s="207">
        <f>SUM(H15:H18)</f>
        <v>2966702</v>
      </c>
      <c r="I19" s="207">
        <f>I18+I17+I16+I15</f>
        <v>2738610</v>
      </c>
      <c r="J19" s="207">
        <f t="shared" ref="J19:N19" si="16">J18+J17+J16+J15</f>
        <v>2709579.7298874408</v>
      </c>
      <c r="K19" s="207">
        <f t="shared" si="16"/>
        <v>2633312.407589375</v>
      </c>
      <c r="L19" s="207">
        <f>L18+L17+L16+L15</f>
        <v>2561860.2987890793</v>
      </c>
      <c r="M19" s="207">
        <f>M18+M17+M16+M15</f>
        <v>2492416.3204937675</v>
      </c>
      <c r="N19" s="207">
        <f t="shared" si="16"/>
        <v>2426692.7144770692</v>
      </c>
      <c r="O19" s="24">
        <f t="shared" si="8"/>
        <v>0.8827470237040157</v>
      </c>
      <c r="P19" s="24">
        <f t="shared" si="9"/>
        <v>0.90565423055506122</v>
      </c>
      <c r="Q19" s="24">
        <f t="shared" si="10"/>
        <v>0.91011095019284127</v>
      </c>
      <c r="R19" s="24">
        <f t="shared" si="10"/>
        <v>0.92066795643598731</v>
      </c>
      <c r="S19" s="24">
        <f t="shared" si="10"/>
        <v>0.90064113753871067</v>
      </c>
      <c r="T19" s="24">
        <f t="shared" si="10"/>
        <v>0.89855865628140608</v>
      </c>
      <c r="U19" s="24">
        <f t="shared" si="10"/>
        <v>0.90329226954766995</v>
      </c>
      <c r="V19" s="24">
        <f t="shared" si="11"/>
        <v>0.89799851161784261</v>
      </c>
      <c r="W19" s="24">
        <f t="shared" si="12"/>
        <v>0.8928555893057184</v>
      </c>
      <c r="X19" s="24">
        <f t="shared" si="13"/>
        <v>0.88780024870063323</v>
      </c>
      <c r="Y19" s="24">
        <f t="shared" si="14"/>
        <v>0.88195300981089131</v>
      </c>
    </row>
    <row r="20" spans="1:25">
      <c r="A20" s="17">
        <v>17</v>
      </c>
      <c r="B20" t="s">
        <v>0</v>
      </c>
      <c r="C20" s="10" t="s">
        <v>12</v>
      </c>
      <c r="D20" s="207">
        <f t="shared" ref="D20:I20" si="17">D19+D13</f>
        <v>3836312</v>
      </c>
      <c r="E20" s="207">
        <f t="shared" si="17"/>
        <v>3483940</v>
      </c>
      <c r="F20" s="208">
        <f t="shared" si="17"/>
        <v>3196930</v>
      </c>
      <c r="G20" s="207">
        <f t="shared" si="17"/>
        <v>3294646</v>
      </c>
      <c r="H20" s="207">
        <f t="shared" si="17"/>
        <v>3293989</v>
      </c>
      <c r="I20" s="207">
        <f t="shared" si="17"/>
        <v>3047781</v>
      </c>
      <c r="J20" s="207">
        <f t="shared" ref="J20:N20" si="18">J19+J13</f>
        <v>2999671.1155784409</v>
      </c>
      <c r="K20" s="207">
        <f t="shared" si="18"/>
        <v>2932424.0224465122</v>
      </c>
      <c r="L20" s="207">
        <f t="shared" si="18"/>
        <v>2869288.5271415208</v>
      </c>
      <c r="M20" s="207">
        <f t="shared" si="18"/>
        <v>2807406.6482202709</v>
      </c>
      <c r="N20" s="207">
        <f t="shared" si="18"/>
        <v>2751498.8752035685</v>
      </c>
      <c r="O20" s="24">
        <f t="shared" si="8"/>
        <v>1</v>
      </c>
      <c r="P20" s="24">
        <f t="shared" si="9"/>
        <v>1</v>
      </c>
      <c r="Q20" s="24">
        <f t="shared" si="10"/>
        <v>1</v>
      </c>
      <c r="R20" s="24">
        <f t="shared" si="10"/>
        <v>1</v>
      </c>
      <c r="S20" s="24">
        <f t="shared" si="10"/>
        <v>1</v>
      </c>
      <c r="T20" s="24">
        <f t="shared" si="10"/>
        <v>1</v>
      </c>
      <c r="U20" s="24">
        <f t="shared" si="10"/>
        <v>1</v>
      </c>
      <c r="V20" s="24">
        <f t="shared" si="11"/>
        <v>1</v>
      </c>
      <c r="W20" s="24">
        <f t="shared" si="12"/>
        <v>1</v>
      </c>
      <c r="X20" s="24">
        <f t="shared" si="13"/>
        <v>1</v>
      </c>
      <c r="Y20" s="24">
        <f t="shared" si="14"/>
        <v>1</v>
      </c>
    </row>
    <row r="21" spans="1:25">
      <c r="A21" s="17">
        <v>18</v>
      </c>
      <c r="B21" t="s">
        <v>67</v>
      </c>
      <c r="C21" s="10" t="s">
        <v>13</v>
      </c>
      <c r="D21" s="26"/>
      <c r="E21" s="27"/>
      <c r="F21" s="27"/>
      <c r="I21" s="41"/>
      <c r="J21" s="41"/>
      <c r="K21" s="41"/>
      <c r="L21" s="41"/>
      <c r="M21" s="41"/>
      <c r="N21" s="41"/>
      <c r="O21" s="27"/>
      <c r="P21" s="27"/>
      <c r="Q21" s="27"/>
      <c r="R21" s="27"/>
      <c r="S21" s="27"/>
      <c r="T21" s="27"/>
      <c r="U21" s="27"/>
      <c r="V21" s="27"/>
      <c r="W21" s="27"/>
      <c r="X21" s="27"/>
      <c r="Y21" s="27"/>
    </row>
    <row r="22" spans="1:25">
      <c r="A22" s="17">
        <v>19</v>
      </c>
      <c r="B22" t="s">
        <v>67</v>
      </c>
      <c r="C22" s="20" t="s">
        <v>14</v>
      </c>
      <c r="D22" s="29"/>
      <c r="E22" s="30"/>
      <c r="F22" s="30"/>
      <c r="H22" s="49"/>
      <c r="I22" s="41"/>
      <c r="J22" s="41"/>
      <c r="K22" s="41"/>
      <c r="L22" s="41"/>
      <c r="M22" s="41"/>
      <c r="N22" s="41"/>
      <c r="O22" s="30"/>
      <c r="P22" s="30"/>
      <c r="Q22" s="30"/>
      <c r="R22" s="30"/>
      <c r="S22" s="30"/>
      <c r="T22" s="30"/>
      <c r="U22" s="30"/>
      <c r="V22" s="30"/>
      <c r="W22" s="30"/>
      <c r="X22" s="30"/>
      <c r="Y22" s="30"/>
    </row>
    <row r="23" spans="1:25">
      <c r="A23" s="17">
        <v>20</v>
      </c>
      <c r="B23" t="s">
        <v>67</v>
      </c>
      <c r="C23" s="21" t="s">
        <v>15</v>
      </c>
      <c r="D23" s="11">
        <v>6805</v>
      </c>
      <c r="E23" s="11">
        <v>5259</v>
      </c>
      <c r="F23" s="23">
        <v>8067</v>
      </c>
      <c r="G23" s="11">
        <v>24050</v>
      </c>
      <c r="H23" s="11">
        <v>17523</v>
      </c>
      <c r="I23" s="11">
        <v>7135</v>
      </c>
      <c r="J23" s="11">
        <f>AVERAGE(H23:I23)</f>
        <v>12329</v>
      </c>
      <c r="K23" s="11">
        <f t="shared" ref="K23:N23" si="19">AVERAGE(I23:J23)</f>
        <v>9732</v>
      </c>
      <c r="L23" s="11">
        <f t="shared" si="19"/>
        <v>11030.5</v>
      </c>
      <c r="M23" s="11">
        <f t="shared" si="19"/>
        <v>10381.25</v>
      </c>
      <c r="N23" s="11">
        <f t="shared" si="19"/>
        <v>10705.875</v>
      </c>
      <c r="O23" s="24">
        <f t="shared" ref="O23:U28" si="20">D23/D$36</f>
        <v>2.745797275830165E-3</v>
      </c>
      <c r="P23" s="24">
        <f t="shared" si="20"/>
        <v>2.524715471431445E-3</v>
      </c>
      <c r="Q23" s="24">
        <f t="shared" si="20"/>
        <v>4.2906949840834201E-3</v>
      </c>
      <c r="R23" s="24">
        <f t="shared" si="20"/>
        <v>1.3208951330094714E-2</v>
      </c>
      <c r="S23" s="24">
        <f t="shared" si="20"/>
        <v>1.0007744393881244E-2</v>
      </c>
      <c r="T23" s="24">
        <f t="shared" si="20"/>
        <v>4.662850122207845E-3</v>
      </c>
      <c r="U23" s="24">
        <f t="shared" si="20"/>
        <v>8.1382282119414149E-3</v>
      </c>
      <c r="V23" s="24">
        <f t="shared" ref="V23:V28" si="21">K23/K$36</f>
        <v>6.6326639985104857E-3</v>
      </c>
      <c r="W23" s="24">
        <f t="shared" ref="W23:W28" si="22">L23/L$36</f>
        <v>7.7750653862724744E-3</v>
      </c>
      <c r="X23" s="24">
        <f t="shared" ref="X23:X28" si="23">M23/M$36</f>
        <v>7.5687950366640231E-3</v>
      </c>
      <c r="Y23" s="24">
        <f t="shared" ref="Y23:Y28" si="24">N23/N$36</f>
        <v>7.9954411431108329E-3</v>
      </c>
    </row>
    <row r="24" spans="1:25">
      <c r="A24" s="17">
        <v>21</v>
      </c>
      <c r="B24" t="s">
        <v>67</v>
      </c>
      <c r="C24" s="21" t="s">
        <v>16</v>
      </c>
      <c r="D24" s="11">
        <v>129427</v>
      </c>
      <c r="E24" s="11">
        <v>103095</v>
      </c>
      <c r="F24" s="23">
        <v>120274</v>
      </c>
      <c r="G24" s="11">
        <v>151447</v>
      </c>
      <c r="H24" s="11">
        <v>165969</v>
      </c>
      <c r="I24" s="11">
        <v>149523</v>
      </c>
      <c r="J24" s="11">
        <f>Suspuestos!E33/360*'Informacion Complementaria'!H7*1</f>
        <v>138923.55040901757</v>
      </c>
      <c r="K24" s="11">
        <f>Suspuestos!F33/360*'Informacion Complementaria'!I7*1</f>
        <v>142308.16819281509</v>
      </c>
      <c r="L24" s="11">
        <f>Suspuestos!G33/360*'Informacion Complementaria'!J7*1</f>
        <v>146655.23038474878</v>
      </c>
      <c r="M24" s="11">
        <f>Suspuestos!H33/360*'Informacion Complementaria'!K7*1</f>
        <v>150317.18354324927</v>
      </c>
      <c r="N24" s="11">
        <f>Suspuestos!I33/360*'Informacion Complementaria'!L7*1</f>
        <v>154228.24135886211</v>
      </c>
      <c r="O24" s="24">
        <f t="shared" si="20"/>
        <v>5.2223409848474761E-2</v>
      </c>
      <c r="P24" s="24">
        <f t="shared" si="20"/>
        <v>4.9493352638757336E-2</v>
      </c>
      <c r="Q24" s="24">
        <f t="shared" si="20"/>
        <v>6.3971618757363249E-2</v>
      </c>
      <c r="R24" s="24">
        <f t="shared" si="20"/>
        <v>8.3179045824900377E-2</v>
      </c>
      <c r="S24" s="24">
        <f t="shared" si="20"/>
        <v>9.478829705575964E-2</v>
      </c>
      <c r="T24" s="24">
        <f t="shared" si="20"/>
        <v>9.7715954985687956E-2</v>
      </c>
      <c r="U24" s="24">
        <f t="shared" si="20"/>
        <v>9.1701805275507503E-2</v>
      </c>
      <c r="V24" s="24">
        <f t="shared" si="21"/>
        <v>9.6987491149451266E-2</v>
      </c>
      <c r="W24" s="24">
        <f t="shared" si="22"/>
        <v>0.10337283037761438</v>
      </c>
      <c r="X24" s="24">
        <f t="shared" si="23"/>
        <v>0.10959373415797327</v>
      </c>
      <c r="Y24" s="24">
        <f t="shared" si="24"/>
        <v>0.11518188157346072</v>
      </c>
    </row>
    <row r="25" spans="1:25">
      <c r="A25" s="17">
        <v>22</v>
      </c>
      <c r="B25" t="s">
        <v>67</v>
      </c>
      <c r="C25" s="21" t="s">
        <v>17</v>
      </c>
      <c r="D25" s="11">
        <v>336084</v>
      </c>
      <c r="E25" s="11">
        <v>165246</v>
      </c>
      <c r="F25" s="23">
        <v>268512</v>
      </c>
      <c r="G25" s="11">
        <v>171054</v>
      </c>
      <c r="H25" s="11">
        <v>358134</v>
      </c>
      <c r="I25" s="11">
        <v>42870</v>
      </c>
      <c r="J25" s="11">
        <f>I25</f>
        <v>42870</v>
      </c>
      <c r="K25" s="11">
        <f>AVERAGE(I25:J25)+194010</f>
        <v>236880</v>
      </c>
      <c r="L25" s="11">
        <f>J25</f>
        <v>42870</v>
      </c>
      <c r="M25" s="11">
        <f>L25</f>
        <v>42870</v>
      </c>
      <c r="N25" s="11">
        <f t="shared" ref="N25" si="25">L25</f>
        <v>42870</v>
      </c>
      <c r="O25" s="24">
        <f t="shared" si="20"/>
        <v>0.1356088951726826</v>
      </c>
      <c r="P25" s="24">
        <f t="shared" si="20"/>
        <v>7.9330506330511613E-2</v>
      </c>
      <c r="Q25" s="24">
        <f t="shared" si="20"/>
        <v>0.14281679578110915</v>
      </c>
      <c r="R25" s="24">
        <f t="shared" si="20"/>
        <v>9.394777383858717E-2</v>
      </c>
      <c r="S25" s="24">
        <f t="shared" si="20"/>
        <v>0.20453766653873567</v>
      </c>
      <c r="T25" s="24">
        <f t="shared" si="20"/>
        <v>2.8016311806454142E-2</v>
      </c>
      <c r="U25" s="24">
        <f t="shared" si="20"/>
        <v>2.8297983895362838E-2</v>
      </c>
      <c r="V25" s="24">
        <f t="shared" si="21"/>
        <v>0.16144116810184586</v>
      </c>
      <c r="W25" s="24">
        <f t="shared" si="22"/>
        <v>3.021776466248139E-2</v>
      </c>
      <c r="X25" s="24">
        <f t="shared" si="23"/>
        <v>3.1255797059293114E-2</v>
      </c>
      <c r="Y25" s="24">
        <f t="shared" si="24"/>
        <v>3.2016492048072803E-2</v>
      </c>
    </row>
    <row r="26" spans="1:25">
      <c r="A26" s="17">
        <v>23</v>
      </c>
      <c r="B26" t="s">
        <v>67</v>
      </c>
      <c r="C26" s="21" t="s">
        <v>18</v>
      </c>
      <c r="D26" s="11">
        <v>93240</v>
      </c>
      <c r="E26" s="11">
        <v>71303</v>
      </c>
      <c r="F26" s="23">
        <v>50634</v>
      </c>
      <c r="G26" s="11">
        <v>41493</v>
      </c>
      <c r="H26" s="11">
        <v>31341</v>
      </c>
      <c r="I26" s="11">
        <v>29555</v>
      </c>
      <c r="J26" s="11">
        <f>I26*(1+Suspuestos!E24)</f>
        <v>27190.600000000002</v>
      </c>
      <c r="K26" s="11">
        <f>J26*(1+Suspuestos!F24)</f>
        <v>27581.51482984221</v>
      </c>
      <c r="L26" s="11">
        <f>K26*(1+Suspuestos!G24)</f>
        <v>27961.749462087442</v>
      </c>
      <c r="M26" s="11">
        <f>L26*(1+Suspuestos!H24)</f>
        <v>28322.456030148369</v>
      </c>
      <c r="N26" s="11">
        <f>M26*(1+Suspuestos!I24)</f>
        <v>29030.517430902077</v>
      </c>
      <c r="O26" s="24">
        <f t="shared" si="20"/>
        <v>3.7622062894695746E-2</v>
      </c>
      <c r="P26" s="24">
        <f t="shared" si="20"/>
        <v>3.4230801912811623E-2</v>
      </c>
      <c r="Q26" s="24">
        <f t="shared" si="20"/>
        <v>2.6931331328136843E-2</v>
      </c>
      <c r="R26" s="24">
        <f t="shared" si="20"/>
        <v>2.2789148338445739E-2</v>
      </c>
      <c r="S26" s="24">
        <f t="shared" si="20"/>
        <v>1.7899487362245736E-2</v>
      </c>
      <c r="T26" s="24">
        <f t="shared" si="20"/>
        <v>1.9314721143917708E-2</v>
      </c>
      <c r="U26" s="24">
        <f t="shared" si="20"/>
        <v>1.7948195962333869E-2</v>
      </c>
      <c r="V26" s="24">
        <f t="shared" si="21"/>
        <v>1.8797669588602291E-2</v>
      </c>
      <c r="W26" s="24">
        <f t="shared" si="22"/>
        <v>1.9709390361479447E-2</v>
      </c>
      <c r="X26" s="24">
        <f t="shared" si="23"/>
        <v>2.0649427056194776E-2</v>
      </c>
      <c r="Y26" s="24">
        <f t="shared" si="24"/>
        <v>2.1680786808442154E-2</v>
      </c>
    </row>
    <row r="27" spans="1:25">
      <c r="A27" s="17">
        <v>24</v>
      </c>
      <c r="B27" t="s">
        <v>67</v>
      </c>
      <c r="C27" s="21" t="s">
        <v>19</v>
      </c>
      <c r="D27" s="11">
        <v>76317</v>
      </c>
      <c r="E27" s="11">
        <v>62010</v>
      </c>
      <c r="F27" s="23">
        <v>76758</v>
      </c>
      <c r="G27" s="11">
        <v>69819</v>
      </c>
      <c r="H27" s="11">
        <v>109870</v>
      </c>
      <c r="I27" s="11">
        <v>65474</v>
      </c>
      <c r="J27" s="11">
        <f>AVERAGE(I27,G27,F27,E27,D27)</f>
        <v>70075.600000000006</v>
      </c>
      <c r="K27" s="11">
        <f>AVERAGE(J27,I27,G27,F27,E27)</f>
        <v>68827.319999999992</v>
      </c>
      <c r="L27" s="11">
        <f>AVERAGE(K27,J27,I27,G27,F27)</f>
        <v>70190.784</v>
      </c>
      <c r="M27" s="11">
        <f>AVERAGE(L27,K27,J27,I27,G27)</f>
        <v>68877.340800000005</v>
      </c>
      <c r="N27" s="11">
        <f>AVERAGE(M27,K27,J27,I27,L27)</f>
        <v>68689.008960000006</v>
      </c>
      <c r="O27" s="24">
        <f t="shared" si="20"/>
        <v>3.0793682689130152E-2</v>
      </c>
      <c r="P27" s="24">
        <f t="shared" si="20"/>
        <v>2.9769463088698215E-2</v>
      </c>
      <c r="Q27" s="24">
        <f t="shared" si="20"/>
        <v>4.0826226055321081E-2</v>
      </c>
      <c r="R27" s="24">
        <f t="shared" si="20"/>
        <v>3.8346601784444191E-2</v>
      </c>
      <c r="S27" s="24">
        <f t="shared" si="20"/>
        <v>6.2749008534824638E-2</v>
      </c>
      <c r="T27" s="24">
        <f t="shared" si="20"/>
        <v>4.2788430119332366E-2</v>
      </c>
      <c r="U27" s="24">
        <f t="shared" si="20"/>
        <v>4.6256081181662898E-2</v>
      </c>
      <c r="V27" s="24">
        <f t="shared" si="21"/>
        <v>4.6907982683719762E-2</v>
      </c>
      <c r="W27" s="24">
        <f t="shared" si="22"/>
        <v>4.9475357881667001E-2</v>
      </c>
      <c r="X27" s="24">
        <f t="shared" si="23"/>
        <v>5.0217312480255891E-2</v>
      </c>
      <c r="Y27" s="24">
        <f t="shared" si="24"/>
        <v>5.1298836229480789E-2</v>
      </c>
    </row>
    <row r="28" spans="1:25">
      <c r="A28" s="17">
        <v>25</v>
      </c>
      <c r="B28" t="s">
        <v>67</v>
      </c>
      <c r="C28" s="20" t="s">
        <v>20</v>
      </c>
      <c r="D28" s="207">
        <f>SUM(D23:D27)</f>
        <v>641873</v>
      </c>
      <c r="E28" s="207">
        <f>SUM(E23:E27)</f>
        <v>406913</v>
      </c>
      <c r="F28" s="208">
        <f t="shared" ref="F28" si="26">SUM(F23:F27)</f>
        <v>524245</v>
      </c>
      <c r="G28" s="207">
        <f>SUM(G23:G27)</f>
        <v>457863</v>
      </c>
      <c r="H28" s="207">
        <f>SUM(H23:H27)</f>
        <v>682837</v>
      </c>
      <c r="I28" s="207">
        <f>SUM(I23:I27)</f>
        <v>294557</v>
      </c>
      <c r="J28" s="207">
        <f t="shared" ref="J28:N28" si="27">SUM(J23:J27)</f>
        <v>291388.75040901755</v>
      </c>
      <c r="K28" s="207">
        <f t="shared" si="27"/>
        <v>485329.0030226573</v>
      </c>
      <c r="L28" s="207">
        <f t="shared" si="27"/>
        <v>298708.26384683623</v>
      </c>
      <c r="M28" s="207">
        <f t="shared" si="27"/>
        <v>300768.23037339764</v>
      </c>
      <c r="N28" s="207">
        <f t="shared" si="27"/>
        <v>305523.6427497642</v>
      </c>
      <c r="O28" s="24">
        <f t="shared" si="20"/>
        <v>0.25899384788081342</v>
      </c>
      <c r="P28" s="24">
        <f t="shared" si="20"/>
        <v>0.19534883944221024</v>
      </c>
      <c r="Q28" s="24">
        <f t="shared" si="20"/>
        <v>0.27883666690601372</v>
      </c>
      <c r="R28" s="24">
        <f t="shared" si="20"/>
        <v>0.2514715211164722</v>
      </c>
      <c r="S28" s="24">
        <f t="shared" si="20"/>
        <v>0.38998220388544691</v>
      </c>
      <c r="T28" s="24">
        <f t="shared" si="20"/>
        <v>0.19249826817760002</v>
      </c>
      <c r="U28" s="24">
        <f t="shared" si="20"/>
        <v>0.19234229452680851</v>
      </c>
      <c r="V28" s="24">
        <f t="shared" si="21"/>
        <v>0.33076697552212969</v>
      </c>
      <c r="W28" s="24">
        <f t="shared" si="22"/>
        <v>0.21055040866951472</v>
      </c>
      <c r="X28" s="24">
        <f t="shared" si="23"/>
        <v>0.21928506579038107</v>
      </c>
      <c r="Y28" s="24">
        <f t="shared" si="24"/>
        <v>0.2281734378025673</v>
      </c>
    </row>
    <row r="29" spans="1:25">
      <c r="A29" s="17">
        <v>26</v>
      </c>
      <c r="B29" t="s">
        <v>67</v>
      </c>
      <c r="C29" s="20" t="s">
        <v>21</v>
      </c>
      <c r="D29" s="11"/>
      <c r="E29" s="52"/>
      <c r="F29" s="52"/>
      <c r="G29" s="52"/>
      <c r="H29" s="52"/>
      <c r="I29" s="52"/>
      <c r="J29" s="52"/>
      <c r="K29" s="52"/>
      <c r="L29" s="52"/>
      <c r="M29" s="52"/>
      <c r="N29" s="22"/>
      <c r="O29" s="24"/>
      <c r="P29" s="24"/>
      <c r="Q29" s="24"/>
      <c r="R29" s="24"/>
      <c r="S29" s="24"/>
      <c r="T29" s="24"/>
      <c r="U29" s="24"/>
      <c r="V29" s="24"/>
      <c r="W29" s="24"/>
      <c r="X29" s="24"/>
      <c r="Y29" s="24"/>
    </row>
    <row r="30" spans="1:25">
      <c r="A30" s="17">
        <v>27</v>
      </c>
      <c r="B30" t="s">
        <v>67</v>
      </c>
      <c r="C30" s="21" t="s">
        <v>22</v>
      </c>
      <c r="D30" s="11">
        <v>18797</v>
      </c>
      <c r="E30" s="11">
        <v>10510</v>
      </c>
      <c r="F30" s="23">
        <v>8046</v>
      </c>
      <c r="G30" s="11">
        <v>529</v>
      </c>
      <c r="H30" s="11">
        <v>0</v>
      </c>
      <c r="I30" s="11">
        <v>0</v>
      </c>
      <c r="J30" s="11">
        <f t="shared" ref="J30" si="28">AVERAGE(H30:I30)</f>
        <v>0</v>
      </c>
      <c r="K30" s="11">
        <f t="shared" ref="K30" si="29">AVERAGE(I30:J30)</f>
        <v>0</v>
      </c>
      <c r="L30" s="11">
        <f t="shared" ref="L30" si="30">AVERAGE(J30:K30)</f>
        <v>0</v>
      </c>
      <c r="M30" s="11">
        <f t="shared" ref="M30" si="31">AVERAGE(K30:L30)</f>
        <v>0</v>
      </c>
      <c r="N30" s="11">
        <f t="shared" ref="N30" si="32">AVERAGE(L30:M30)</f>
        <v>0</v>
      </c>
      <c r="O30" s="24">
        <f t="shared" ref="O30:U36" si="33">D30/D$36</f>
        <v>7.5845336361175034E-3</v>
      </c>
      <c r="P30" s="24">
        <f t="shared" si="33"/>
        <v>5.0455903412710565E-3</v>
      </c>
      <c r="Q30" s="24">
        <f t="shared" si="33"/>
        <v>4.2795254545599602E-3</v>
      </c>
      <c r="R30" s="24">
        <f t="shared" si="33"/>
        <v>2.9054200638753029E-4</v>
      </c>
      <c r="S30" s="24">
        <f t="shared" si="33"/>
        <v>0</v>
      </c>
      <c r="T30" s="24">
        <f t="shared" si="33"/>
        <v>0</v>
      </c>
      <c r="U30" s="24">
        <f t="shared" si="33"/>
        <v>0</v>
      </c>
      <c r="V30" s="24">
        <f t="shared" ref="V30:V36" si="34">K30/K$36</f>
        <v>0</v>
      </c>
      <c r="W30" s="24">
        <f t="shared" ref="W30:W36" si="35">L30/L$36</f>
        <v>0</v>
      </c>
      <c r="X30" s="24">
        <f t="shared" ref="X30:X36" si="36">M30/M$36</f>
        <v>0</v>
      </c>
      <c r="Y30" s="24">
        <f t="shared" ref="Y30:Y36" si="37">N30/N$36</f>
        <v>0</v>
      </c>
    </row>
    <row r="31" spans="1:25">
      <c r="A31" s="17">
        <v>28</v>
      </c>
      <c r="B31" t="s">
        <v>67</v>
      </c>
      <c r="C31" s="21" t="s">
        <v>23</v>
      </c>
      <c r="D31" s="11">
        <v>1106199</v>
      </c>
      <c r="E31" s="11">
        <v>1037923</v>
      </c>
      <c r="F31" s="23">
        <v>822388</v>
      </c>
      <c r="G31" s="11">
        <v>820294</v>
      </c>
      <c r="H31" s="11">
        <v>584684</v>
      </c>
      <c r="I31" s="11">
        <v>835102</v>
      </c>
      <c r="J31" s="11">
        <f>+(J20-J28-J32-J33-J34-J39-J40-J41-J42-J45-J43)</f>
        <v>860228.0146274725</v>
      </c>
      <c r="K31" s="11">
        <f t="shared" ref="K31:N31" si="38">+(K20-K28-K32-K33-K34-K39-K40-K41-K42-K45-K43)</f>
        <v>652975.13276352698</v>
      </c>
      <c r="L31" s="11">
        <f t="shared" si="38"/>
        <v>820960.56634138688</v>
      </c>
      <c r="M31" s="11">
        <f t="shared" si="38"/>
        <v>798750.30066909385</v>
      </c>
      <c r="N31" s="11">
        <f t="shared" si="38"/>
        <v>785249.69806768582</v>
      </c>
      <c r="O31" s="24">
        <f t="shared" si="33"/>
        <v>0.44634800892374027</v>
      </c>
      <c r="P31" s="24">
        <f t="shared" si="33"/>
        <v>0.49828109075005511</v>
      </c>
      <c r="Q31" s="24">
        <f t="shared" si="33"/>
        <v>0.43741366884472493</v>
      </c>
      <c r="R31" s="24">
        <f t="shared" si="33"/>
        <v>0.45052904458913573</v>
      </c>
      <c r="S31" s="24">
        <f t="shared" si="33"/>
        <v>0.33392501416378823</v>
      </c>
      <c r="T31" s="24">
        <f t="shared" si="33"/>
        <v>0.54575409428956068</v>
      </c>
      <c r="U31" s="24">
        <f t="shared" si="33"/>
        <v>0.56782641717443816</v>
      </c>
      <c r="V31" s="24">
        <f t="shared" si="34"/>
        <v>0.44502308415569775</v>
      </c>
      <c r="W31" s="24">
        <f t="shared" si="35"/>
        <v>0.57867024004855305</v>
      </c>
      <c r="X31" s="24">
        <f t="shared" si="36"/>
        <v>0.58235543034202375</v>
      </c>
      <c r="Y31" s="24">
        <f t="shared" si="37"/>
        <v>0.58644601618697523</v>
      </c>
    </row>
    <row r="32" spans="1:25">
      <c r="A32" s="17">
        <v>29</v>
      </c>
      <c r="B32" t="s">
        <v>67</v>
      </c>
      <c r="C32" s="21" t="s">
        <v>24</v>
      </c>
      <c r="D32" s="11">
        <v>63418</v>
      </c>
      <c r="E32" s="11">
        <v>50769</v>
      </c>
      <c r="F32" s="23">
        <v>32384</v>
      </c>
      <c r="G32" s="11">
        <v>38401</v>
      </c>
      <c r="H32" s="11">
        <v>40415</v>
      </c>
      <c r="I32" s="11">
        <v>36661</v>
      </c>
      <c r="J32" s="11">
        <f t="shared" ref="J32:J34" si="39">AVERAGE(H32:I32)</f>
        <v>38538</v>
      </c>
      <c r="K32" s="11">
        <f t="shared" ref="K32:K34" si="40">AVERAGE(I32:J32)</f>
        <v>37599.5</v>
      </c>
      <c r="L32" s="11">
        <f t="shared" ref="L32:L34" si="41">AVERAGE(J32:K32)</f>
        <v>38068.75</v>
      </c>
      <c r="M32" s="11">
        <f t="shared" ref="M32:M34" si="42">AVERAGE(K32:L32)</f>
        <v>37834.125</v>
      </c>
      <c r="N32" s="11">
        <f t="shared" ref="N32:N34" si="43">AVERAGE(L32:M32)</f>
        <v>37951.4375</v>
      </c>
      <c r="O32" s="24">
        <f t="shared" si="33"/>
        <v>2.5588974524408139E-2</v>
      </c>
      <c r="P32" s="24">
        <f t="shared" si="33"/>
        <v>2.4372937776973386E-2</v>
      </c>
      <c r="Q32" s="24">
        <f t="shared" si="33"/>
        <v>1.7224478289891841E-2</v>
      </c>
      <c r="R32" s="24">
        <f t="shared" si="33"/>
        <v>2.109093305725435E-2</v>
      </c>
      <c r="S32" s="24">
        <f t="shared" si="33"/>
        <v>2.3081834713160443E-2</v>
      </c>
      <c r="T32" s="24">
        <f t="shared" si="33"/>
        <v>2.3958619247408802E-2</v>
      </c>
      <c r="U32" s="24">
        <f t="shared" si="33"/>
        <v>2.5438481533927994E-2</v>
      </c>
      <c r="V32" s="24">
        <f t="shared" si="34"/>
        <v>2.5625241472666978E-2</v>
      </c>
      <c r="W32" s="24">
        <f t="shared" si="35"/>
        <v>2.6833508945529237E-2</v>
      </c>
      <c r="X32" s="24">
        <f t="shared" si="36"/>
        <v>2.7584225167154846E-2</v>
      </c>
      <c r="Y32" s="24">
        <f t="shared" si="37"/>
        <v>2.8343174642679773E-2</v>
      </c>
    </row>
    <row r="33" spans="1:25">
      <c r="A33" s="17">
        <v>30</v>
      </c>
      <c r="B33" t="s">
        <v>67</v>
      </c>
      <c r="C33" s="21" t="s">
        <v>94</v>
      </c>
      <c r="D33" s="11">
        <v>635903</v>
      </c>
      <c r="E33" s="11">
        <v>565517</v>
      </c>
      <c r="F33" s="23">
        <v>484522</v>
      </c>
      <c r="G33" s="11">
        <v>487922</v>
      </c>
      <c r="H33" s="11">
        <v>427382</v>
      </c>
      <c r="I33" s="11">
        <v>346285</v>
      </c>
      <c r="J33" s="11">
        <f>I33*89%</f>
        <v>308193.65000000002</v>
      </c>
      <c r="K33" s="11">
        <f>J33*89%</f>
        <v>274292.34850000002</v>
      </c>
      <c r="L33" s="11">
        <f>K33*89%</f>
        <v>244120.19016500004</v>
      </c>
      <c r="M33" s="11">
        <f>L33*89%</f>
        <v>217266.96924685003</v>
      </c>
      <c r="N33" s="11">
        <f>M33*89%</f>
        <v>193367.60262969654</v>
      </c>
      <c r="O33" s="24">
        <f t="shared" si="33"/>
        <v>0.25658497062339886</v>
      </c>
      <c r="P33" s="24">
        <f t="shared" si="33"/>
        <v>0.27149068630110218</v>
      </c>
      <c r="Q33" s="24">
        <f t="shared" si="33"/>
        <v>0.25770870398885176</v>
      </c>
      <c r="R33" s="24">
        <f t="shared" si="33"/>
        <v>0.26798078797848124</v>
      </c>
      <c r="S33" s="24">
        <f t="shared" si="33"/>
        <v>0.24408661841840745</v>
      </c>
      <c r="T33" s="24">
        <f t="shared" si="33"/>
        <v>0.22630344142519182</v>
      </c>
      <c r="U33" s="24">
        <f t="shared" si="33"/>
        <v>0.20343501153144605</v>
      </c>
      <c r="V33" s="24">
        <f t="shared" si="34"/>
        <v>0.18693885994274989</v>
      </c>
      <c r="W33" s="24">
        <f t="shared" si="35"/>
        <v>0.17207292875591731</v>
      </c>
      <c r="X33" s="24">
        <f t="shared" si="36"/>
        <v>0.15840569858799214</v>
      </c>
      <c r="Y33" s="24">
        <f t="shared" si="37"/>
        <v>0.14441223027638397</v>
      </c>
    </row>
    <row r="34" spans="1:25">
      <c r="A34" s="17">
        <v>31</v>
      </c>
      <c r="B34" t="s">
        <v>67</v>
      </c>
      <c r="C34" s="21" t="s">
        <v>25</v>
      </c>
      <c r="D34" s="11">
        <v>12143</v>
      </c>
      <c r="E34" s="11">
        <v>11375</v>
      </c>
      <c r="F34" s="23">
        <v>8530</v>
      </c>
      <c r="G34" s="11">
        <v>15726</v>
      </c>
      <c r="H34" s="11">
        <v>15626</v>
      </c>
      <c r="I34" s="11">
        <v>17575</v>
      </c>
      <c r="J34" s="11">
        <f t="shared" si="39"/>
        <v>16600.5</v>
      </c>
      <c r="K34" s="11">
        <f t="shared" si="40"/>
        <v>17087.75</v>
      </c>
      <c r="L34" s="11">
        <f t="shared" si="41"/>
        <v>16844.125</v>
      </c>
      <c r="M34" s="11">
        <f t="shared" si="42"/>
        <v>16965.9375</v>
      </c>
      <c r="N34" s="11">
        <f t="shared" si="43"/>
        <v>16905.03125</v>
      </c>
      <c r="O34" s="24">
        <f t="shared" si="33"/>
        <v>4.8996644115217773E-3</v>
      </c>
      <c r="P34" s="24">
        <f t="shared" si="33"/>
        <v>5.4608553883880367E-3</v>
      </c>
      <c r="Q34" s="24">
        <f t="shared" si="33"/>
        <v>4.5369565159578008E-3</v>
      </c>
      <c r="R34" s="24">
        <f t="shared" si="33"/>
        <v>8.6371712522690016E-3</v>
      </c>
      <c r="S34" s="24">
        <f t="shared" si="33"/>
        <v>8.924328819196959E-3</v>
      </c>
      <c r="T34" s="24">
        <f t="shared" si="33"/>
        <v>1.1485576860238664E-2</v>
      </c>
      <c r="U34" s="24">
        <f t="shared" si="33"/>
        <v>1.0957795233379305E-2</v>
      </c>
      <c r="V34" s="24">
        <f t="shared" si="34"/>
        <v>1.1645838906755811E-2</v>
      </c>
      <c r="W34" s="24">
        <f t="shared" si="35"/>
        <v>1.1872913580485639E-2</v>
      </c>
      <c r="X34" s="24">
        <f t="shared" si="36"/>
        <v>1.2369580112448118E-2</v>
      </c>
      <c r="Y34" s="24">
        <f t="shared" si="37"/>
        <v>1.2625141091393682E-2</v>
      </c>
    </row>
    <row r="35" spans="1:25">
      <c r="A35" s="17">
        <v>32</v>
      </c>
      <c r="B35" t="s">
        <v>67</v>
      </c>
      <c r="C35" s="20" t="s">
        <v>26</v>
      </c>
      <c r="D35" s="207">
        <f>SUM(D30:D34)</f>
        <v>1836460</v>
      </c>
      <c r="E35" s="207">
        <f>SUM(E30:E34)</f>
        <v>1676094</v>
      </c>
      <c r="F35" s="208">
        <f t="shared" ref="F35" si="44">SUM(F30:F34)</f>
        <v>1355870</v>
      </c>
      <c r="G35" s="207">
        <f>SUM(G30:G34)</f>
        <v>1362872</v>
      </c>
      <c r="H35" s="207">
        <f>SUM(H30:H34)</f>
        <v>1068107</v>
      </c>
      <c r="I35" s="207">
        <f>SUM(I30:I34)</f>
        <v>1235623</v>
      </c>
      <c r="J35" s="207">
        <f t="shared" ref="J35:N35" si="45">SUM(J30:J34)</f>
        <v>1223560.1646274724</v>
      </c>
      <c r="K35" s="207">
        <f t="shared" si="45"/>
        <v>981954.73126352695</v>
      </c>
      <c r="L35" s="207">
        <f t="shared" si="45"/>
        <v>1119993.6315063869</v>
      </c>
      <c r="M35" s="207">
        <f t="shared" si="45"/>
        <v>1070817.332415944</v>
      </c>
      <c r="N35" s="207">
        <f t="shared" si="45"/>
        <v>1033473.7694473823</v>
      </c>
      <c r="O35" s="24">
        <f t="shared" si="33"/>
        <v>0.74100615211918652</v>
      </c>
      <c r="P35" s="24">
        <f t="shared" si="33"/>
        <v>0.80465116055778974</v>
      </c>
      <c r="Q35" s="24">
        <f t="shared" si="33"/>
        <v>0.72116333309398628</v>
      </c>
      <c r="R35" s="24">
        <f t="shared" si="33"/>
        <v>0.7485284788835278</v>
      </c>
      <c r="S35" s="24">
        <f t="shared" si="33"/>
        <v>0.61001779611455309</v>
      </c>
      <c r="T35" s="24">
        <f t="shared" si="33"/>
        <v>0.80750173182239993</v>
      </c>
      <c r="U35" s="24">
        <f t="shared" si="33"/>
        <v>0.80765770547319149</v>
      </c>
      <c r="V35" s="24">
        <f t="shared" si="34"/>
        <v>0.66923302447787036</v>
      </c>
      <c r="W35" s="24">
        <f t="shared" si="35"/>
        <v>0.7894495913304852</v>
      </c>
      <c r="X35" s="24">
        <f t="shared" si="36"/>
        <v>0.7807149342096189</v>
      </c>
      <c r="Y35" s="24">
        <f t="shared" si="37"/>
        <v>0.77182656219743262</v>
      </c>
    </row>
    <row r="36" spans="1:25">
      <c r="A36" s="17">
        <v>33</v>
      </c>
      <c r="B36" t="s">
        <v>67</v>
      </c>
      <c r="C36" s="10" t="s">
        <v>27</v>
      </c>
      <c r="D36" s="207">
        <f>D35+D28</f>
        <v>2478333</v>
      </c>
      <c r="E36" s="207">
        <f>E35+E28</f>
        <v>2083007</v>
      </c>
      <c r="F36" s="208">
        <f t="shared" ref="F36" si="46">F35+F28</f>
        <v>1880115</v>
      </c>
      <c r="G36" s="207">
        <f>G35+G28</f>
        <v>1820735</v>
      </c>
      <c r="H36" s="207">
        <f>H35+H28</f>
        <v>1750944</v>
      </c>
      <c r="I36" s="207">
        <f>I35+I28</f>
        <v>1530180</v>
      </c>
      <c r="J36" s="207">
        <f t="shared" ref="J36:N36" si="47">J35+J28</f>
        <v>1514948.91503649</v>
      </c>
      <c r="K36" s="207">
        <f t="shared" si="47"/>
        <v>1467283.7342861842</v>
      </c>
      <c r="L36" s="207">
        <f t="shared" si="47"/>
        <v>1418701.8953532232</v>
      </c>
      <c r="M36" s="207">
        <f t="shared" si="47"/>
        <v>1371585.5627893417</v>
      </c>
      <c r="N36" s="207">
        <f t="shared" si="47"/>
        <v>1338997.4121971466</v>
      </c>
      <c r="O36" s="24">
        <f t="shared" si="33"/>
        <v>1</v>
      </c>
      <c r="P36" s="24">
        <f t="shared" si="33"/>
        <v>1</v>
      </c>
      <c r="Q36" s="24">
        <f t="shared" si="33"/>
        <v>1</v>
      </c>
      <c r="R36" s="24">
        <f t="shared" si="33"/>
        <v>1</v>
      </c>
      <c r="S36" s="24">
        <f t="shared" si="33"/>
        <v>1</v>
      </c>
      <c r="T36" s="24">
        <f t="shared" si="33"/>
        <v>1</v>
      </c>
      <c r="U36" s="24">
        <f t="shared" si="33"/>
        <v>1</v>
      </c>
      <c r="V36" s="24">
        <f t="shared" si="34"/>
        <v>1</v>
      </c>
      <c r="W36" s="24">
        <f t="shared" si="35"/>
        <v>1</v>
      </c>
      <c r="X36" s="24">
        <f t="shared" si="36"/>
        <v>1</v>
      </c>
      <c r="Y36" s="24">
        <f t="shared" si="37"/>
        <v>1</v>
      </c>
    </row>
    <row r="37" spans="1:25">
      <c r="A37" s="17">
        <v>34</v>
      </c>
      <c r="B37" t="s">
        <v>601</v>
      </c>
      <c r="C37" s="10" t="s">
        <v>28</v>
      </c>
      <c r="D37" s="26"/>
      <c r="E37" s="282"/>
      <c r="F37" s="282"/>
      <c r="G37" s="282"/>
      <c r="H37" s="27"/>
      <c r="I37" s="27"/>
      <c r="J37" s="27"/>
      <c r="K37" s="27"/>
      <c r="L37" s="27"/>
      <c r="M37" s="27"/>
      <c r="N37" s="27"/>
      <c r="O37" s="27"/>
      <c r="P37" s="27"/>
      <c r="Q37" s="27"/>
      <c r="R37" s="27"/>
      <c r="S37" s="27"/>
      <c r="T37" s="27"/>
      <c r="U37" s="27"/>
      <c r="V37" s="27"/>
      <c r="W37" s="27"/>
      <c r="X37" s="27"/>
      <c r="Y37" s="27"/>
    </row>
    <row r="38" spans="1:25">
      <c r="A38" s="17">
        <v>35</v>
      </c>
      <c r="B38" t="s">
        <v>601</v>
      </c>
      <c r="C38" s="20" t="s">
        <v>81</v>
      </c>
      <c r="D38" s="29"/>
      <c r="E38" s="283"/>
      <c r="F38" s="283"/>
      <c r="G38" s="283"/>
      <c r="H38" s="284"/>
      <c r="I38" s="284"/>
      <c r="J38" s="30"/>
      <c r="K38" s="30"/>
      <c r="L38" s="30"/>
      <c r="M38" s="30"/>
      <c r="N38" s="30"/>
      <c r="O38" s="30"/>
      <c r="P38" s="30"/>
      <c r="Q38" s="30"/>
      <c r="R38" s="30"/>
      <c r="S38" s="30"/>
      <c r="T38" s="30"/>
      <c r="U38" s="30"/>
      <c r="V38" s="30"/>
      <c r="W38" s="30"/>
      <c r="X38" s="30"/>
      <c r="Y38" s="30"/>
    </row>
    <row r="39" spans="1:25">
      <c r="A39" s="17">
        <v>36</v>
      </c>
      <c r="B39" t="s">
        <v>601</v>
      </c>
      <c r="C39" s="21" t="s">
        <v>29</v>
      </c>
      <c r="D39" s="11">
        <v>718124</v>
      </c>
      <c r="E39" s="11">
        <v>718124</v>
      </c>
      <c r="F39" s="23">
        <v>718124</v>
      </c>
      <c r="G39" s="11">
        <v>718124</v>
      </c>
      <c r="H39" s="11">
        <v>718124</v>
      </c>
      <c r="I39" s="11">
        <v>718124</v>
      </c>
      <c r="J39" s="11">
        <f>I39</f>
        <v>718124</v>
      </c>
      <c r="K39" s="11">
        <f t="shared" ref="K39:N39" si="48">J39</f>
        <v>718124</v>
      </c>
      <c r="L39" s="11">
        <f t="shared" si="48"/>
        <v>718124</v>
      </c>
      <c r="M39" s="11">
        <f t="shared" si="48"/>
        <v>718124</v>
      </c>
      <c r="N39" s="11">
        <f t="shared" si="48"/>
        <v>718124</v>
      </c>
      <c r="O39" s="24">
        <f>D39/D$46</f>
        <v>0.52881819232845284</v>
      </c>
      <c r="P39" s="24">
        <f t="shared" ref="P39:U46" si="49">E39/E$46</f>
        <v>0.51260410026746461</v>
      </c>
      <c r="Q39" s="24">
        <f t="shared" si="49"/>
        <v>0.54534919483754363</v>
      </c>
      <c r="R39" s="24">
        <f t="shared" si="49"/>
        <v>0.487223448362893</v>
      </c>
      <c r="S39" s="24">
        <f t="shared" si="49"/>
        <v>0.46539407470294125</v>
      </c>
      <c r="T39" s="24">
        <f t="shared" si="49"/>
        <v>0.47319684159406855</v>
      </c>
      <c r="U39" s="24">
        <f t="shared" si="49"/>
        <v>0.48367566655760341</v>
      </c>
      <c r="V39" s="24">
        <f t="shared" ref="V39:V46" si="50">K39/K$46</f>
        <v>0.49014009498141436</v>
      </c>
      <c r="W39" s="24">
        <f t="shared" ref="W39:W46" si="51">L39/L$46</f>
        <v>0.49505764375802191</v>
      </c>
      <c r="X39" s="24">
        <f t="shared" ref="X39:X46" si="52">M39/M$46</f>
        <v>0.50014866565667626</v>
      </c>
      <c r="Y39" s="24">
        <f t="shared" ref="Y39:Y46" si="53">N39/N$46</f>
        <v>0.50840584509662556</v>
      </c>
    </row>
    <row r="40" spans="1:25">
      <c r="A40" s="17">
        <v>37</v>
      </c>
      <c r="B40" t="s">
        <v>601</v>
      </c>
      <c r="C40" s="21" t="s">
        <v>82</v>
      </c>
      <c r="D40" s="11">
        <v>744689</v>
      </c>
      <c r="E40" s="11">
        <v>745225</v>
      </c>
      <c r="F40" s="23">
        <v>746862</v>
      </c>
      <c r="G40" s="11">
        <v>748694</v>
      </c>
      <c r="H40" s="11">
        <v>749863</v>
      </c>
      <c r="I40" s="11">
        <v>751608</v>
      </c>
      <c r="J40" s="11">
        <f>AVERAGE(F40:I40)</f>
        <v>749256.75</v>
      </c>
      <c r="K40" s="11">
        <f>AVERAGE(G40:J40)</f>
        <v>749855.4375</v>
      </c>
      <c r="L40" s="11">
        <f>AVERAGE(H40:K40)</f>
        <v>750145.796875</v>
      </c>
      <c r="M40" s="11">
        <f>AVERAGE(I40:L40)</f>
        <v>750216.49609375</v>
      </c>
      <c r="N40" s="11">
        <f>AVERAGE(J40:M40)</f>
        <v>749868.6201171875</v>
      </c>
      <c r="O40" s="24">
        <f t="shared" ref="O40:O46" si="54">D40/D$46</f>
        <v>0.54838035050615652</v>
      </c>
      <c r="P40" s="24">
        <f t="shared" si="49"/>
        <v>0.53194906537286224</v>
      </c>
      <c r="Q40" s="24">
        <f t="shared" si="49"/>
        <v>0.56717306531289513</v>
      </c>
      <c r="R40" s="24">
        <f t="shared" si="49"/>
        <v>0.50796418508308849</v>
      </c>
      <c r="S40" s="24">
        <f t="shared" si="49"/>
        <v>0.48596314430233728</v>
      </c>
      <c r="T40" s="24">
        <f t="shared" si="49"/>
        <v>0.49526061197903798</v>
      </c>
      <c r="U40" s="24">
        <f t="shared" si="49"/>
        <v>0.50464440400130561</v>
      </c>
      <c r="V40" s="24">
        <f t="shared" si="50"/>
        <v>0.51179770535252966</v>
      </c>
      <c r="W40" s="24">
        <f t="shared" si="51"/>
        <v>0.51713271061254218</v>
      </c>
      <c r="X40" s="24">
        <f t="shared" si="52"/>
        <v>0.52249998534364006</v>
      </c>
      <c r="Y40" s="24">
        <f t="shared" si="53"/>
        <v>0.53087988915858431</v>
      </c>
    </row>
    <row r="41" spans="1:25">
      <c r="A41" s="17">
        <v>38</v>
      </c>
      <c r="B41" t="s">
        <v>601</v>
      </c>
      <c r="C41" s="21" t="s">
        <v>30</v>
      </c>
      <c r="D41" s="11">
        <v>-473821</v>
      </c>
      <c r="E41" s="11">
        <v>-695574</v>
      </c>
      <c r="F41" s="23">
        <v>-876387</v>
      </c>
      <c r="G41" s="11">
        <v>-860376</v>
      </c>
      <c r="H41" s="11">
        <v>-838603</v>
      </c>
      <c r="I41" s="11">
        <v>-928326</v>
      </c>
      <c r="J41" s="11">
        <f>I41*1.1</f>
        <v>-1021158.6000000001</v>
      </c>
      <c r="K41" s="11">
        <f t="shared" ref="K41:N41" si="55">J41*1.1</f>
        <v>-1123274.4600000002</v>
      </c>
      <c r="L41" s="11">
        <f t="shared" si="55"/>
        <v>-1235601.9060000004</v>
      </c>
      <c r="M41" s="11">
        <f t="shared" si="55"/>
        <v>-1359162.0966000005</v>
      </c>
      <c r="N41" s="11">
        <f t="shared" si="55"/>
        <v>-1495078.3062600007</v>
      </c>
      <c r="O41" s="24">
        <f t="shared" si="54"/>
        <v>-0.34891629399276425</v>
      </c>
      <c r="P41" s="24">
        <f t="shared" si="49"/>
        <v>-0.49650768452167232</v>
      </c>
      <c r="Q41" s="24">
        <f t="shared" si="49"/>
        <v>-0.66553540170790881</v>
      </c>
      <c r="R41" s="24">
        <f t="shared" si="49"/>
        <v>-0.58373673851406227</v>
      </c>
      <c r="S41" s="24">
        <f t="shared" si="49"/>
        <v>-0.54347280863487457</v>
      </c>
      <c r="T41" s="24">
        <f t="shared" si="49"/>
        <v>-0.61170623899167176</v>
      </c>
      <c r="U41" s="24">
        <f t="shared" si="49"/>
        <v>-0.68777755167078269</v>
      </c>
      <c r="V41" s="24">
        <f t="shared" si="50"/>
        <v>-0.76666682984358836</v>
      </c>
      <c r="W41" s="24">
        <f t="shared" si="51"/>
        <v>-0.85179463185644966</v>
      </c>
      <c r="X41" s="24">
        <f t="shared" si="52"/>
        <v>-0.94660965101517403</v>
      </c>
      <c r="Y41" s="24">
        <f t="shared" si="53"/>
        <v>-1.058461421397624</v>
      </c>
    </row>
    <row r="42" spans="1:25">
      <c r="A42" s="17">
        <v>39</v>
      </c>
      <c r="B42" t="s">
        <v>601</v>
      </c>
      <c r="C42" s="21" t="s">
        <v>31</v>
      </c>
      <c r="D42" s="11">
        <v>89895</v>
      </c>
      <c r="E42" s="11">
        <v>353998</v>
      </c>
      <c r="F42" s="23">
        <v>627396</v>
      </c>
      <c r="G42" s="11">
        <v>722887</v>
      </c>
      <c r="H42" s="11">
        <v>862656</v>
      </c>
      <c r="I42" s="11">
        <v>908143</v>
      </c>
      <c r="J42" s="11">
        <f>I42+I43</f>
        <v>970899</v>
      </c>
      <c r="K42" s="11">
        <f>J42+J43</f>
        <v>1033397.0505419513</v>
      </c>
      <c r="L42" s="11">
        <f>K42+K43</f>
        <v>1115235.8106603283</v>
      </c>
      <c r="M42" s="11">
        <f>L42+L43</f>
        <v>1212767.4909132982</v>
      </c>
      <c r="N42" s="11">
        <f>M42+M43</f>
        <v>1321467.31093718</v>
      </c>
      <c r="O42" s="24">
        <f t="shared" si="54"/>
        <v>6.6197636340473598E-2</v>
      </c>
      <c r="P42" s="24">
        <f t="shared" si="49"/>
        <v>0.2526873162385353</v>
      </c>
      <c r="Q42" s="24">
        <f t="shared" si="49"/>
        <v>0.47644961516993656</v>
      </c>
      <c r="R42" s="24">
        <f t="shared" si="49"/>
        <v>0.49045498676650084</v>
      </c>
      <c r="S42" s="24">
        <f t="shared" si="49"/>
        <v>0.55906081805780128</v>
      </c>
      <c r="T42" s="24">
        <f t="shared" si="49"/>
        <v>0.59840695940500832</v>
      </c>
      <c r="U42" s="24">
        <f t="shared" si="49"/>
        <v>0.65392637063391645</v>
      </c>
      <c r="V42" s="24">
        <f t="shared" si="50"/>
        <v>0.7053229365766156</v>
      </c>
      <c r="W42" s="24">
        <f t="shared" si="51"/>
        <v>0.76881710214401622</v>
      </c>
      <c r="X42" s="24">
        <f t="shared" si="52"/>
        <v>0.84465084349232367</v>
      </c>
      <c r="Y42" s="24">
        <f t="shared" si="53"/>
        <v>0.93555110953621146</v>
      </c>
    </row>
    <row r="43" spans="1:25">
      <c r="A43" s="17">
        <v>40</v>
      </c>
      <c r="B43" t="s">
        <v>601</v>
      </c>
      <c r="C43" s="21" t="s">
        <v>32</v>
      </c>
      <c r="D43" s="11">
        <v>264103</v>
      </c>
      <c r="E43" s="11">
        <v>273398</v>
      </c>
      <c r="F43" s="23">
        <v>95491</v>
      </c>
      <c r="G43" s="11">
        <v>139769</v>
      </c>
      <c r="H43" s="11">
        <v>46095</v>
      </c>
      <c r="I43" s="11">
        <v>62756</v>
      </c>
      <c r="J43" s="11">
        <f>'ER Proyectado'!I23</f>
        <v>62498.050541951365</v>
      </c>
      <c r="K43" s="11">
        <f>'ER Proyectado'!J23</f>
        <v>81838.760118377017</v>
      </c>
      <c r="L43" s="11">
        <f>'ER Proyectado'!K23</f>
        <v>97531.680252969993</v>
      </c>
      <c r="M43" s="11">
        <f>'ER Proyectado'!L23</f>
        <v>108699.82002388177</v>
      </c>
      <c r="N43" s="11">
        <f>'ER Proyectado'!M23</f>
        <v>112956.5257120551</v>
      </c>
      <c r="O43" s="24">
        <f t="shared" si="54"/>
        <v>0.19448238890292119</v>
      </c>
      <c r="P43" s="24">
        <f t="shared" si="49"/>
        <v>0.19515422936000509</v>
      </c>
      <c r="Q43" s="24">
        <f t="shared" si="49"/>
        <v>7.251664053037063E-2</v>
      </c>
      <c r="R43" s="24">
        <f t="shared" si="49"/>
        <v>9.4828656547104942E-2</v>
      </c>
      <c r="S43" s="24">
        <f t="shared" si="49"/>
        <v>2.9872751604781454E-2</v>
      </c>
      <c r="T43" s="24">
        <f t="shared" si="49"/>
        <v>4.1352107701563189E-2</v>
      </c>
      <c r="U43" s="24">
        <f t="shared" si="49"/>
        <v>4.2094103879593378E-2</v>
      </c>
      <c r="V43" s="24">
        <f t="shared" si="50"/>
        <v>5.5857286008520114E-2</v>
      </c>
      <c r="W43" s="24">
        <f t="shared" si="51"/>
        <v>6.7236025836479654E-2</v>
      </c>
      <c r="X43" s="24">
        <f t="shared" si="52"/>
        <v>7.5705685845432441E-2</v>
      </c>
      <c r="Y43" s="24">
        <f t="shared" si="53"/>
        <v>7.996913891447173E-2</v>
      </c>
    </row>
    <row r="44" spans="1:25">
      <c r="A44" s="17">
        <v>41</v>
      </c>
      <c r="B44" t="s">
        <v>601</v>
      </c>
      <c r="C44" s="20" t="s">
        <v>83</v>
      </c>
      <c r="D44" s="207">
        <f t="shared" ref="D44:N44" si="56">SUM(D39:D43)</f>
        <v>1342990</v>
      </c>
      <c r="E44" s="207">
        <f t="shared" si="56"/>
        <v>1395171</v>
      </c>
      <c r="F44" s="207">
        <f t="shared" si="56"/>
        <v>1311486</v>
      </c>
      <c r="G44" s="207">
        <f t="shared" si="56"/>
        <v>1469098</v>
      </c>
      <c r="H44" s="207">
        <f t="shared" si="56"/>
        <v>1538135</v>
      </c>
      <c r="I44" s="207">
        <f t="shared" si="56"/>
        <v>1512305</v>
      </c>
      <c r="J44" s="207">
        <f t="shared" si="56"/>
        <v>1479619.2005419512</v>
      </c>
      <c r="K44" s="207">
        <f t="shared" si="56"/>
        <v>1459940.7881603281</v>
      </c>
      <c r="L44" s="207">
        <f t="shared" si="56"/>
        <v>1445435.3817882978</v>
      </c>
      <c r="M44" s="207">
        <f t="shared" si="56"/>
        <v>1430645.7104309294</v>
      </c>
      <c r="N44" s="207">
        <f t="shared" si="56"/>
        <v>1407338.1505064219</v>
      </c>
      <c r="O44" s="24">
        <f t="shared" si="54"/>
        <v>0.98896227408523996</v>
      </c>
      <c r="P44" s="24">
        <f t="shared" si="49"/>
        <v>0.99588702671719487</v>
      </c>
      <c r="Q44" s="24">
        <f t="shared" si="49"/>
        <v>0.99595311414283705</v>
      </c>
      <c r="R44" s="24">
        <f t="shared" si="49"/>
        <v>0.99673453824552505</v>
      </c>
      <c r="S44" s="24">
        <f t="shared" si="49"/>
        <v>0.99681798003298672</v>
      </c>
      <c r="T44" s="24">
        <f t="shared" si="49"/>
        <v>0.99651028168800626</v>
      </c>
      <c r="U44" s="24">
        <f t="shared" si="49"/>
        <v>0.99656299340163612</v>
      </c>
      <c r="V44" s="24">
        <f t="shared" si="50"/>
        <v>0.99645119307549135</v>
      </c>
      <c r="W44" s="24">
        <f t="shared" si="51"/>
        <v>0.99644885049461029</v>
      </c>
      <c r="X44" s="24">
        <f t="shared" si="52"/>
        <v>0.99639552932289843</v>
      </c>
      <c r="Y44" s="24">
        <f t="shared" si="53"/>
        <v>0.99634456130826921</v>
      </c>
    </row>
    <row r="45" spans="1:25">
      <c r="A45" s="17">
        <v>42</v>
      </c>
      <c r="B45" t="s">
        <v>601</v>
      </c>
      <c r="C45" s="10" t="s">
        <v>78</v>
      </c>
      <c r="D45" s="11">
        <v>14989</v>
      </c>
      <c r="E45" s="11">
        <v>5762</v>
      </c>
      <c r="F45" s="23">
        <v>5329</v>
      </c>
      <c r="G45" s="11">
        <v>4813</v>
      </c>
      <c r="H45" s="11">
        <v>4910</v>
      </c>
      <c r="I45" s="11">
        <v>5296</v>
      </c>
      <c r="J45" s="11">
        <f t="shared" ref="J45:N45" si="57">AVERAGE(H45:I45)</f>
        <v>5103</v>
      </c>
      <c r="K45" s="11">
        <f t="shared" si="57"/>
        <v>5199.5</v>
      </c>
      <c r="L45" s="11">
        <f t="shared" si="57"/>
        <v>5151.25</v>
      </c>
      <c r="M45" s="11">
        <f t="shared" si="57"/>
        <v>5175.375</v>
      </c>
      <c r="N45" s="11">
        <f t="shared" si="57"/>
        <v>5163.3125</v>
      </c>
      <c r="O45" s="24">
        <f t="shared" si="54"/>
        <v>1.1037725914760096E-2</v>
      </c>
      <c r="P45" s="24">
        <f t="shared" si="49"/>
        <v>4.1129732828051021E-3</v>
      </c>
      <c r="Q45" s="24">
        <f t="shared" si="49"/>
        <v>4.0468858571629275E-3</v>
      </c>
      <c r="R45" s="24">
        <f t="shared" si="49"/>
        <v>3.2654617544749989E-3</v>
      </c>
      <c r="S45" s="24">
        <f t="shared" si="49"/>
        <v>3.1820199670132758E-3</v>
      </c>
      <c r="T45" s="24">
        <f t="shared" si="49"/>
        <v>3.4897183119937322E-3</v>
      </c>
      <c r="U45" s="24">
        <f t="shared" si="49"/>
        <v>3.4370065983638622E-3</v>
      </c>
      <c r="V45" s="24">
        <f t="shared" si="50"/>
        <v>3.54880692450867E-3</v>
      </c>
      <c r="W45" s="24">
        <f t="shared" si="51"/>
        <v>3.5511495053897522E-3</v>
      </c>
      <c r="X45" s="24">
        <f t="shared" si="52"/>
        <v>3.6044706771016163E-3</v>
      </c>
      <c r="Y45" s="24">
        <f t="shared" si="53"/>
        <v>3.6554386917307747E-3</v>
      </c>
    </row>
    <row r="46" spans="1:25">
      <c r="A46" s="17">
        <v>43</v>
      </c>
      <c r="B46" t="s">
        <v>601</v>
      </c>
      <c r="C46" s="10" t="s">
        <v>33</v>
      </c>
      <c r="D46" s="207">
        <f t="shared" ref="D46:I46" si="58">D45+D44</f>
        <v>1357979</v>
      </c>
      <c r="E46" s="207">
        <f t="shared" si="58"/>
        <v>1400933</v>
      </c>
      <c r="F46" s="207">
        <f t="shared" si="58"/>
        <v>1316815</v>
      </c>
      <c r="G46" s="207">
        <f t="shared" si="58"/>
        <v>1473911</v>
      </c>
      <c r="H46" s="207">
        <f t="shared" si="58"/>
        <v>1543045</v>
      </c>
      <c r="I46" s="207">
        <f t="shared" si="58"/>
        <v>1517601</v>
      </c>
      <c r="J46" s="207">
        <f t="shared" ref="J46:N46" si="59">J45+J44</f>
        <v>1484722.2005419512</v>
      </c>
      <c r="K46" s="207">
        <f t="shared" si="59"/>
        <v>1465140.2881603281</v>
      </c>
      <c r="L46" s="207">
        <f t="shared" si="59"/>
        <v>1450586.6317882978</v>
      </c>
      <c r="M46" s="207">
        <f t="shared" si="59"/>
        <v>1435821.0854309294</v>
      </c>
      <c r="N46" s="207">
        <f t="shared" si="59"/>
        <v>1412501.4630064219</v>
      </c>
      <c r="O46" s="24">
        <f t="shared" si="54"/>
        <v>1</v>
      </c>
      <c r="P46" s="24">
        <f t="shared" si="49"/>
        <v>1</v>
      </c>
      <c r="Q46" s="24">
        <f t="shared" si="49"/>
        <v>1</v>
      </c>
      <c r="R46" s="24">
        <f t="shared" si="49"/>
        <v>1</v>
      </c>
      <c r="S46" s="24">
        <f t="shared" si="49"/>
        <v>1</v>
      </c>
      <c r="T46" s="24">
        <f t="shared" si="49"/>
        <v>1</v>
      </c>
      <c r="U46" s="24">
        <f t="shared" si="49"/>
        <v>1</v>
      </c>
      <c r="V46" s="24">
        <f t="shared" si="50"/>
        <v>1</v>
      </c>
      <c r="W46" s="24">
        <f t="shared" si="51"/>
        <v>1</v>
      </c>
      <c r="X46" s="24">
        <f t="shared" si="52"/>
        <v>1</v>
      </c>
      <c r="Y46" s="24">
        <f t="shared" si="53"/>
        <v>1</v>
      </c>
    </row>
    <row r="47" spans="1:25">
      <c r="A47" s="17">
        <v>44</v>
      </c>
      <c r="B47" t="s">
        <v>1306</v>
      </c>
      <c r="C47" s="10" t="s">
        <v>34</v>
      </c>
      <c r="D47" s="207">
        <f t="shared" ref="D47:I47" si="60">D46+D36</f>
        <v>3836312</v>
      </c>
      <c r="E47" s="207">
        <f t="shared" si="60"/>
        <v>3483940</v>
      </c>
      <c r="F47" s="207">
        <f t="shared" si="60"/>
        <v>3196930</v>
      </c>
      <c r="G47" s="207">
        <f t="shared" si="60"/>
        <v>3294646</v>
      </c>
      <c r="H47" s="207">
        <f t="shared" si="60"/>
        <v>3293989</v>
      </c>
      <c r="I47" s="207">
        <f t="shared" si="60"/>
        <v>3047781</v>
      </c>
      <c r="J47" s="207">
        <f t="shared" ref="J47:N47" si="61">J46+J36</f>
        <v>2999671.1155784409</v>
      </c>
      <c r="K47" s="207">
        <f t="shared" si="61"/>
        <v>2932424.0224465122</v>
      </c>
      <c r="L47" s="207">
        <f t="shared" si="61"/>
        <v>2869288.5271415208</v>
      </c>
      <c r="M47" s="207">
        <f t="shared" si="61"/>
        <v>2807406.6482202709</v>
      </c>
      <c r="N47" s="207">
        <f t="shared" si="61"/>
        <v>2751498.8752035685</v>
      </c>
      <c r="O47" s="24" t="s">
        <v>166</v>
      </c>
      <c r="P47" s="24" t="s">
        <v>166</v>
      </c>
      <c r="Q47" s="24" t="s">
        <v>166</v>
      </c>
      <c r="R47" s="24" t="s">
        <v>166</v>
      </c>
      <c r="S47" s="24" t="s">
        <v>166</v>
      </c>
      <c r="T47" s="24" t="s">
        <v>166</v>
      </c>
      <c r="U47" s="24" t="s">
        <v>166</v>
      </c>
      <c r="V47" s="24" t="s">
        <v>166</v>
      </c>
      <c r="W47" s="24" t="s">
        <v>166</v>
      </c>
      <c r="X47" s="24" t="s">
        <v>166</v>
      </c>
      <c r="Y47" s="24" t="s">
        <v>166</v>
      </c>
    </row>
    <row r="48" spans="1:25" hidden="1">
      <c r="D48" s="339"/>
      <c r="E48" s="339"/>
      <c r="F48" s="339"/>
      <c r="G48" s="339"/>
      <c r="H48" s="339">
        <f t="shared" ref="H48" si="62">+H47-H20</f>
        <v>0</v>
      </c>
      <c r="I48" s="339">
        <f t="shared" ref="I48" si="63">+I47-I20</f>
        <v>0</v>
      </c>
      <c r="J48" s="340">
        <f t="shared" ref="J48:M48" si="64">+J47-J20</f>
        <v>0</v>
      </c>
      <c r="K48" s="339">
        <f t="shared" si="64"/>
        <v>0</v>
      </c>
      <c r="L48" s="339">
        <f t="shared" si="64"/>
        <v>0</v>
      </c>
      <c r="M48" s="339">
        <f t="shared" si="64"/>
        <v>0</v>
      </c>
      <c r="N48" s="339">
        <f>+N47-N20</f>
        <v>0</v>
      </c>
      <c r="O48" s="237"/>
      <c r="P48" s="237"/>
      <c r="Q48" s="237"/>
      <c r="R48" s="237"/>
      <c r="S48" s="237"/>
      <c r="T48" s="237"/>
      <c r="U48" s="237"/>
    </row>
    <row r="49" spans="2:16" hidden="1">
      <c r="D49" s="1"/>
      <c r="E49" s="1"/>
      <c r="F49" s="1"/>
      <c r="G49" s="1"/>
      <c r="H49" s="1"/>
      <c r="I49" s="1"/>
    </row>
    <row r="50" spans="2:16" hidden="1">
      <c r="C50" s="248" t="s">
        <v>878</v>
      </c>
      <c r="E50" s="11">
        <v>-155700</v>
      </c>
      <c r="F50" s="11">
        <v>-145625</v>
      </c>
      <c r="G50" s="11">
        <v>32790</v>
      </c>
      <c r="H50" s="11">
        <f>-675+34</f>
        <v>-641</v>
      </c>
      <c r="I50" s="11">
        <f>-67795+608</f>
        <v>-67187</v>
      </c>
      <c r="J50" s="307">
        <f>J53</f>
        <v>3773.8432956381184</v>
      </c>
      <c r="K50" s="307">
        <f t="shared" ref="K50:N50" si="65">K53</f>
        <v>-48297.685714285632</v>
      </c>
      <c r="L50" s="307">
        <f t="shared" si="65"/>
        <v>-41965.557275541789</v>
      </c>
      <c r="M50" s="307">
        <f t="shared" si="65"/>
        <v>-41651.066869300965</v>
      </c>
      <c r="N50" s="307">
        <f t="shared" si="65"/>
        <v>-38576.701492537351</v>
      </c>
      <c r="P50" s="49"/>
    </row>
    <row r="51" spans="2:16" hidden="1">
      <c r="C51" s="248" t="s">
        <v>1307</v>
      </c>
      <c r="D51" s="49"/>
      <c r="E51" s="11">
        <v>-122723</v>
      </c>
      <c r="F51" s="11">
        <v>-133824</v>
      </c>
      <c r="G51" s="11">
        <v>12302</v>
      </c>
      <c r="H51" s="11">
        <v>-10281</v>
      </c>
      <c r="I51" s="11">
        <v>-85137</v>
      </c>
    </row>
    <row r="52" spans="2:16" hidden="1">
      <c r="C52" s="248" t="s">
        <v>879</v>
      </c>
      <c r="D52" s="76"/>
      <c r="E52" s="11">
        <v>0</v>
      </c>
      <c r="F52" s="11">
        <v>62366</v>
      </c>
      <c r="G52" s="11">
        <v>21872</v>
      </c>
      <c r="H52" s="11">
        <v>46749</v>
      </c>
      <c r="I52" s="11">
        <v>2756</v>
      </c>
    </row>
    <row r="53" spans="2:16" hidden="1">
      <c r="C53" s="21" t="s">
        <v>1365</v>
      </c>
      <c r="E53" s="11">
        <f>E50+E51</f>
        <v>-278423</v>
      </c>
      <c r="F53" s="11">
        <f>F50+F51</f>
        <v>-279449</v>
      </c>
      <c r="G53" s="11">
        <f>G50+G51</f>
        <v>45092</v>
      </c>
      <c r="H53" s="11">
        <f>H50+H51</f>
        <v>-10922</v>
      </c>
      <c r="I53" s="11">
        <f>I50+I51</f>
        <v>-152324</v>
      </c>
      <c r="J53" s="307">
        <f>'Proyeccion Efec Conv. Moneda'!G4</f>
        <v>3773.8432956381184</v>
      </c>
      <c r="K53" s="307">
        <f>'Proyeccion Efec Conv. Moneda'!H4</f>
        <v>-48297.685714285632</v>
      </c>
      <c r="L53" s="307">
        <f>'Proyeccion Efec Conv. Moneda'!I4</f>
        <v>-41965.557275541789</v>
      </c>
      <c r="M53" s="307">
        <f>'Proyeccion Efec Conv. Moneda'!J4</f>
        <v>-41651.066869300965</v>
      </c>
      <c r="N53" s="307">
        <f>'Proyeccion Efec Conv. Moneda'!K4</f>
        <v>-38576.701492537351</v>
      </c>
    </row>
    <row r="54" spans="2:16">
      <c r="I54" s="49"/>
      <c r="J54" s="49"/>
      <c r="K54" s="49"/>
      <c r="L54" s="49"/>
      <c r="M54" s="49"/>
      <c r="N54" s="49"/>
    </row>
    <row r="55" spans="2:16">
      <c r="G55" s="49"/>
      <c r="H55" s="49"/>
      <c r="I55" s="49"/>
      <c r="J55" s="4"/>
      <c r="K55" s="4"/>
      <c r="L55" s="4"/>
      <c r="M55" s="4"/>
      <c r="N55" s="4"/>
    </row>
    <row r="56" spans="2:16">
      <c r="H56" s="49"/>
      <c r="I56" s="49"/>
      <c r="J56" s="49"/>
    </row>
    <row r="57" spans="2:16">
      <c r="I57" s="49"/>
    </row>
    <row r="58" spans="2:16">
      <c r="B58" s="49"/>
      <c r="D58" s="49"/>
      <c r="E58" s="49"/>
      <c r="F58" s="49"/>
      <c r="G58" s="49"/>
      <c r="H58" s="49"/>
      <c r="I58" s="49"/>
    </row>
    <row r="59" spans="2:16">
      <c r="I59" s="141"/>
    </row>
    <row r="65" spans="2:14">
      <c r="B65" s="499" t="s">
        <v>1385</v>
      </c>
      <c r="C65" s="496"/>
      <c r="D65" s="496"/>
      <c r="E65" s="496"/>
      <c r="F65" s="496"/>
      <c r="G65" s="496"/>
      <c r="H65" s="496"/>
      <c r="I65" s="496"/>
      <c r="J65" s="501">
        <f>SUM(J66:J71)</f>
        <v>7580.1207180175952</v>
      </c>
      <c r="K65" s="501">
        <f t="shared" ref="K65:N65" si="66">SUM(K66:K71)</f>
        <v>4051.5845796461508</v>
      </c>
      <c r="L65" s="501">
        <f t="shared" si="66"/>
        <v>8582.6165622407389</v>
      </c>
      <c r="M65" s="501">
        <f t="shared" si="66"/>
        <v>4121.8655201384863</v>
      </c>
      <c r="N65" s="501">
        <f t="shared" si="66"/>
        <v>6807.0681279638811</v>
      </c>
    </row>
    <row r="66" spans="2:14">
      <c r="B66" s="496" t="s">
        <v>1386</v>
      </c>
      <c r="C66" s="496"/>
      <c r="D66" s="496"/>
      <c r="E66" s="496"/>
      <c r="F66" s="496"/>
      <c r="G66" s="496"/>
      <c r="H66" s="496"/>
      <c r="I66" s="496"/>
      <c r="J66" s="498">
        <f>+I7-J7</f>
        <v>8157.9026666666759</v>
      </c>
      <c r="K66" s="498">
        <f t="shared" ref="K66:N66" si="67">+J7-K7</f>
        <v>296.37338920703041</v>
      </c>
      <c r="L66" s="498">
        <f t="shared" si="67"/>
        <v>367.13279313856037</v>
      </c>
      <c r="M66" s="498">
        <f t="shared" si="67"/>
        <v>460.64755335291557</v>
      </c>
      <c r="N66" s="498">
        <f t="shared" si="67"/>
        <v>464.67221194820013</v>
      </c>
    </row>
    <row r="67" spans="2:14">
      <c r="B67" s="496" t="s">
        <v>1387</v>
      </c>
      <c r="C67" s="496"/>
      <c r="D67" s="496"/>
      <c r="E67" s="496"/>
      <c r="F67" s="496"/>
      <c r="G67" s="496"/>
      <c r="H67" s="496"/>
      <c r="I67" s="496"/>
      <c r="J67" s="500">
        <f>(+I8+I9+I10+I12)-(J8+J9+J10+J12)</f>
        <v>-433.5</v>
      </c>
      <c r="K67" s="500">
        <f t="shared" ref="K67:N67" si="68">(+J8+J9+J10+J12)-(K8+K9+K10+K12)</f>
        <v>-1133.5833333333285</v>
      </c>
      <c r="L67" s="500">
        <f t="shared" si="68"/>
        <v>796.84722222221899</v>
      </c>
      <c r="M67" s="500">
        <f t="shared" si="68"/>
        <v>-101.68287037036498</v>
      </c>
      <c r="N67" s="500">
        <f t="shared" si="68"/>
        <v>-223.67091049383453</v>
      </c>
    </row>
    <row r="68" spans="2:14">
      <c r="B68" s="496" t="s">
        <v>1388</v>
      </c>
      <c r="C68" s="496"/>
      <c r="D68" s="496"/>
      <c r="E68" s="496"/>
      <c r="F68" s="496"/>
      <c r="G68" s="496"/>
      <c r="H68" s="496"/>
      <c r="I68" s="496"/>
      <c r="J68" s="498">
        <f>+I11-J11</f>
        <v>8217.967642333344</v>
      </c>
      <c r="K68" s="498">
        <f t="shared" ref="K68:N68" si="69">+J11-K11</f>
        <v>2361.5419101327279</v>
      </c>
      <c r="L68" s="498">
        <f t="shared" si="69"/>
        <v>1327.8757227010356</v>
      </c>
      <c r="M68" s="498">
        <f t="shared" si="69"/>
        <v>1053.6843105945154</v>
      </c>
      <c r="N68" s="498">
        <f t="shared" si="69"/>
        <v>2135.2794501429598</v>
      </c>
    </row>
    <row r="69" spans="2:14">
      <c r="B69" s="496" t="s">
        <v>16</v>
      </c>
      <c r="C69" s="496"/>
      <c r="D69" s="496"/>
      <c r="E69" s="496"/>
      <c r="F69" s="496"/>
      <c r="G69" s="496"/>
      <c r="H69" s="496"/>
      <c r="I69" s="496"/>
      <c r="J69" s="498">
        <f>+J24-I24</f>
        <v>-10599.449590982433</v>
      </c>
      <c r="K69" s="498">
        <f t="shared" ref="K69:N69" si="70">+K24-J24</f>
        <v>3384.6177837975265</v>
      </c>
      <c r="L69" s="498">
        <f t="shared" si="70"/>
        <v>4347.0621919336845</v>
      </c>
      <c r="M69" s="498">
        <f t="shared" si="70"/>
        <v>3661.9531585004879</v>
      </c>
      <c r="N69" s="498">
        <f t="shared" si="70"/>
        <v>3911.0578156128468</v>
      </c>
    </row>
    <row r="70" spans="2:14">
      <c r="B70" s="496" t="s">
        <v>1389</v>
      </c>
      <c r="C70" s="496"/>
      <c r="D70" s="496"/>
      <c r="E70" s="496"/>
      <c r="F70" s="496"/>
      <c r="G70" s="496"/>
      <c r="H70" s="496"/>
      <c r="I70" s="496"/>
      <c r="J70" s="500">
        <f>+J26-I26</f>
        <v>-2364.3999999999978</v>
      </c>
      <c r="K70" s="500">
        <f t="shared" ref="K70:N71" si="71">+K26-J26</f>
        <v>390.91482984220784</v>
      </c>
      <c r="L70" s="500">
        <f t="shared" si="71"/>
        <v>380.23463224523221</v>
      </c>
      <c r="M70" s="500">
        <f t="shared" si="71"/>
        <v>360.70656806092666</v>
      </c>
      <c r="N70" s="500">
        <f t="shared" si="71"/>
        <v>708.06140075370786</v>
      </c>
    </row>
    <row r="71" spans="2:14">
      <c r="B71" s="496" t="s">
        <v>1390</v>
      </c>
      <c r="C71" s="496"/>
      <c r="D71" s="496"/>
      <c r="E71" s="496"/>
      <c r="F71" s="496"/>
      <c r="G71" s="496"/>
      <c r="H71" s="496"/>
      <c r="I71" s="496"/>
      <c r="J71" s="500">
        <f>+J27-I27</f>
        <v>4601.6000000000058</v>
      </c>
      <c r="K71" s="500">
        <f t="shared" si="71"/>
        <v>-1248.2800000000134</v>
      </c>
      <c r="L71" s="500">
        <f t="shared" si="71"/>
        <v>1363.4640000000072</v>
      </c>
      <c r="M71" s="500">
        <f t="shared" si="71"/>
        <v>-1313.4431999999942</v>
      </c>
      <c r="N71" s="500">
        <f t="shared" si="71"/>
        <v>-188.33183999999892</v>
      </c>
    </row>
    <row r="72" spans="2:14">
      <c r="B72" s="496"/>
      <c r="C72" s="496"/>
      <c r="D72" s="496"/>
      <c r="E72" s="496"/>
      <c r="F72" s="496"/>
      <c r="G72" s="496"/>
      <c r="H72" s="496"/>
      <c r="I72" s="496"/>
      <c r="J72" s="496"/>
      <c r="K72" s="496"/>
      <c r="L72" s="496"/>
      <c r="M72" s="496"/>
      <c r="N72" s="496"/>
    </row>
    <row r="73" spans="2:14">
      <c r="B73" s="496"/>
      <c r="C73" s="496"/>
      <c r="D73" s="496"/>
      <c r="E73" s="496"/>
      <c r="F73" s="496"/>
      <c r="G73" s="496"/>
      <c r="H73" s="496"/>
      <c r="I73" s="496"/>
      <c r="J73" s="498">
        <f>+J70+J71+J67</f>
        <v>1803.700000000008</v>
      </c>
      <c r="K73" s="498">
        <f t="shared" ref="K73:N73" si="72">+K70+K71+K67</f>
        <v>-1990.948503491134</v>
      </c>
      <c r="L73" s="498">
        <f t="shared" si="72"/>
        <v>2540.5458544674584</v>
      </c>
      <c r="M73" s="498">
        <f t="shared" si="72"/>
        <v>-1054.4195023094326</v>
      </c>
      <c r="N73" s="498">
        <f t="shared" si="72"/>
        <v>296.05865025987441</v>
      </c>
    </row>
  </sheetData>
  <dataConsolidate/>
  <mergeCells count="1">
    <mergeCell ref="D1:Y2"/>
  </mergeCells>
  <conditionalFormatting sqref="O6:O20">
    <cfRule type="dataBar" priority="18">
      <dataBar>
        <cfvo type="min"/>
        <cfvo type="max"/>
        <color rgb="FFFFB628"/>
      </dataBar>
      <extLst>
        <ext xmlns:x14="http://schemas.microsoft.com/office/spreadsheetml/2009/9/main" uri="{B025F937-C7B1-47D3-B67F-A62EFF666E3E}">
          <x14:id>{543CB97F-82EB-48BA-BE53-BA03CF138640}</x14:id>
        </ext>
      </extLst>
    </cfRule>
  </conditionalFormatting>
  <conditionalFormatting sqref="P6:S20">
    <cfRule type="dataBar" priority="17">
      <dataBar>
        <cfvo type="min"/>
        <cfvo type="max"/>
        <color rgb="FF63C384"/>
      </dataBar>
      <extLst>
        <ext xmlns:x14="http://schemas.microsoft.com/office/spreadsheetml/2009/9/main" uri="{B025F937-C7B1-47D3-B67F-A62EFF666E3E}">
          <x14:id>{8BE20910-0A58-4C63-B3F7-E95967A3CAA2}</x14:id>
        </ext>
      </extLst>
    </cfRule>
  </conditionalFormatting>
  <conditionalFormatting sqref="O23:S36">
    <cfRule type="dataBar" priority="16">
      <dataBar>
        <cfvo type="min"/>
        <cfvo type="max"/>
        <color rgb="FFFF555A"/>
      </dataBar>
      <extLst>
        <ext xmlns:x14="http://schemas.microsoft.com/office/spreadsheetml/2009/9/main" uri="{B025F937-C7B1-47D3-B67F-A62EFF666E3E}">
          <x14:id>{07947B9F-A396-4116-A3F6-D7FB557D1D15}</x14:id>
        </ext>
      </extLst>
    </cfRule>
  </conditionalFormatting>
  <conditionalFormatting sqref="O6:S20">
    <cfRule type="dataBar" priority="15">
      <dataBar>
        <cfvo type="min"/>
        <cfvo type="max"/>
        <color rgb="FF63C384"/>
      </dataBar>
      <extLst>
        <ext xmlns:x14="http://schemas.microsoft.com/office/spreadsheetml/2009/9/main" uri="{B025F937-C7B1-47D3-B67F-A62EFF666E3E}">
          <x14:id>{41474F6F-DB28-41DA-BD55-F39B060F2A5F}</x14:id>
        </ext>
      </extLst>
    </cfRule>
  </conditionalFormatting>
  <conditionalFormatting sqref="O39">
    <cfRule type="dataBar" priority="14">
      <dataBar>
        <cfvo type="min"/>
        <cfvo type="max"/>
        <color rgb="FFFFB628"/>
      </dataBar>
      <extLst>
        <ext xmlns:x14="http://schemas.microsoft.com/office/spreadsheetml/2009/9/main" uri="{B025F937-C7B1-47D3-B67F-A62EFF666E3E}">
          <x14:id>{983B8311-06E1-46FA-A9CE-2E915F77B6B2}</x14:id>
        </ext>
      </extLst>
    </cfRule>
  </conditionalFormatting>
  <conditionalFormatting sqref="O40:O46">
    <cfRule type="dataBar" priority="13">
      <dataBar>
        <cfvo type="min"/>
        <cfvo type="max"/>
        <color rgb="FFFFB628"/>
      </dataBar>
      <extLst>
        <ext xmlns:x14="http://schemas.microsoft.com/office/spreadsheetml/2009/9/main" uri="{B025F937-C7B1-47D3-B67F-A62EFF666E3E}">
          <x14:id>{0D97BEBF-D862-4CBE-9529-B38447715917}</x14:id>
        </ext>
      </extLst>
    </cfRule>
  </conditionalFormatting>
  <conditionalFormatting sqref="P39:S39">
    <cfRule type="dataBar" priority="12">
      <dataBar>
        <cfvo type="min"/>
        <cfvo type="max"/>
        <color rgb="FFFFB628"/>
      </dataBar>
      <extLst>
        <ext xmlns:x14="http://schemas.microsoft.com/office/spreadsheetml/2009/9/main" uri="{B025F937-C7B1-47D3-B67F-A62EFF666E3E}">
          <x14:id>{6C8D0A10-4D03-4CFA-AB77-16046DF01C97}</x14:id>
        </ext>
      </extLst>
    </cfRule>
  </conditionalFormatting>
  <conditionalFormatting sqref="P40:S46">
    <cfRule type="dataBar" priority="11">
      <dataBar>
        <cfvo type="min"/>
        <cfvo type="max"/>
        <color rgb="FFFFB628"/>
      </dataBar>
      <extLst>
        <ext xmlns:x14="http://schemas.microsoft.com/office/spreadsheetml/2009/9/main" uri="{B025F937-C7B1-47D3-B67F-A62EFF666E3E}">
          <x14:id>{6D0DDB5F-215F-4D5A-8DA0-D696E9FB29C7}</x14:id>
        </ext>
      </extLst>
    </cfRule>
  </conditionalFormatting>
  <conditionalFormatting sqref="T6:T20">
    <cfRule type="dataBar" priority="10">
      <dataBar>
        <cfvo type="min"/>
        <cfvo type="max"/>
        <color rgb="FF63C384"/>
      </dataBar>
      <extLst>
        <ext xmlns:x14="http://schemas.microsoft.com/office/spreadsheetml/2009/9/main" uri="{B025F937-C7B1-47D3-B67F-A62EFF666E3E}">
          <x14:id>{DD8361A0-FD7D-4828-BC3A-3A5E3155AF84}</x14:id>
        </ext>
      </extLst>
    </cfRule>
  </conditionalFormatting>
  <conditionalFormatting sqref="T23:T36">
    <cfRule type="dataBar" priority="9">
      <dataBar>
        <cfvo type="min"/>
        <cfvo type="max"/>
        <color rgb="FFFF555A"/>
      </dataBar>
      <extLst>
        <ext xmlns:x14="http://schemas.microsoft.com/office/spreadsheetml/2009/9/main" uri="{B025F937-C7B1-47D3-B67F-A62EFF666E3E}">
          <x14:id>{36376861-2723-48FC-92E6-8FE18160AC2C}</x14:id>
        </ext>
      </extLst>
    </cfRule>
  </conditionalFormatting>
  <conditionalFormatting sqref="T6:T20">
    <cfRule type="dataBar" priority="8">
      <dataBar>
        <cfvo type="min"/>
        <cfvo type="max"/>
        <color rgb="FF63C384"/>
      </dataBar>
      <extLst>
        <ext xmlns:x14="http://schemas.microsoft.com/office/spreadsheetml/2009/9/main" uri="{B025F937-C7B1-47D3-B67F-A62EFF666E3E}">
          <x14:id>{1FB63B8B-02F1-48F7-A68C-9A5C4B2C0264}</x14:id>
        </ext>
      </extLst>
    </cfRule>
  </conditionalFormatting>
  <conditionalFormatting sqref="T39">
    <cfRule type="dataBar" priority="7">
      <dataBar>
        <cfvo type="min"/>
        <cfvo type="max"/>
        <color rgb="FFFFB628"/>
      </dataBar>
      <extLst>
        <ext xmlns:x14="http://schemas.microsoft.com/office/spreadsheetml/2009/9/main" uri="{B025F937-C7B1-47D3-B67F-A62EFF666E3E}">
          <x14:id>{8751AEB3-303F-47F2-B07A-AB8A74B23F64}</x14:id>
        </ext>
      </extLst>
    </cfRule>
  </conditionalFormatting>
  <conditionalFormatting sqref="T40:T46">
    <cfRule type="dataBar" priority="6">
      <dataBar>
        <cfvo type="min"/>
        <cfvo type="max"/>
        <color rgb="FFFFB628"/>
      </dataBar>
      <extLst>
        <ext xmlns:x14="http://schemas.microsoft.com/office/spreadsheetml/2009/9/main" uri="{B025F937-C7B1-47D3-B67F-A62EFF666E3E}">
          <x14:id>{7DC2EB54-FCD1-4F7A-AEC0-1F30A8D4FDA2}</x14:id>
        </ext>
      </extLst>
    </cfRule>
  </conditionalFormatting>
  <conditionalFormatting sqref="U6:Y20">
    <cfRule type="dataBar" priority="5">
      <dataBar>
        <cfvo type="min"/>
        <cfvo type="max"/>
        <color rgb="FF63C384"/>
      </dataBar>
      <extLst>
        <ext xmlns:x14="http://schemas.microsoft.com/office/spreadsheetml/2009/9/main" uri="{B025F937-C7B1-47D3-B67F-A62EFF666E3E}">
          <x14:id>{DC41008A-3C13-4E55-AE4C-ADFD7D771999}</x14:id>
        </ext>
      </extLst>
    </cfRule>
  </conditionalFormatting>
  <conditionalFormatting sqref="U23:Y36">
    <cfRule type="dataBar" priority="4">
      <dataBar>
        <cfvo type="min"/>
        <cfvo type="max"/>
        <color rgb="FFFF555A"/>
      </dataBar>
      <extLst>
        <ext xmlns:x14="http://schemas.microsoft.com/office/spreadsheetml/2009/9/main" uri="{B025F937-C7B1-47D3-B67F-A62EFF666E3E}">
          <x14:id>{B4D9C6DD-1AA7-4229-ABF3-800B82815B5A}</x14:id>
        </ext>
      </extLst>
    </cfRule>
  </conditionalFormatting>
  <conditionalFormatting sqref="U6:Y20">
    <cfRule type="dataBar" priority="3">
      <dataBar>
        <cfvo type="min"/>
        <cfvo type="max"/>
        <color rgb="FF63C384"/>
      </dataBar>
      <extLst>
        <ext xmlns:x14="http://schemas.microsoft.com/office/spreadsheetml/2009/9/main" uri="{B025F937-C7B1-47D3-B67F-A62EFF666E3E}">
          <x14:id>{6FD87971-B5B8-4E9D-99DD-233EB26716E6}</x14:id>
        </ext>
      </extLst>
    </cfRule>
  </conditionalFormatting>
  <conditionalFormatting sqref="U39:Y39">
    <cfRule type="dataBar" priority="2">
      <dataBar>
        <cfvo type="min"/>
        <cfvo type="max"/>
        <color rgb="FFFFB628"/>
      </dataBar>
      <extLst>
        <ext xmlns:x14="http://schemas.microsoft.com/office/spreadsheetml/2009/9/main" uri="{B025F937-C7B1-47D3-B67F-A62EFF666E3E}">
          <x14:id>{0FBA8936-A27B-44D5-B23B-EC2AC520F162}</x14:id>
        </ext>
      </extLst>
    </cfRule>
  </conditionalFormatting>
  <conditionalFormatting sqref="U40:Y46">
    <cfRule type="dataBar" priority="1">
      <dataBar>
        <cfvo type="min"/>
        <cfvo type="max"/>
        <color rgb="FFFFB628"/>
      </dataBar>
      <extLst>
        <ext xmlns:x14="http://schemas.microsoft.com/office/spreadsheetml/2009/9/main" uri="{B025F937-C7B1-47D3-B67F-A62EFF666E3E}">
          <x14:id>{7403AF47-3E7D-48AB-934D-7A8D73542C81}</x14:id>
        </ext>
      </extLst>
    </cfRule>
  </conditionalFormatting>
  <pageMargins left="0.75" right="0.75" top="1" bottom="1" header="0.5" footer="0.5"/>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543CB97F-82EB-48BA-BE53-BA03CF138640}">
            <x14:dataBar minLength="0" maxLength="100" border="1" negativeBarBorderColorSameAsPositive="0">
              <x14:cfvo type="autoMin"/>
              <x14:cfvo type="autoMax"/>
              <x14:borderColor rgb="FFFFB628"/>
              <x14:negativeFillColor rgb="FFFF0000"/>
              <x14:negativeBorderColor rgb="FFFF0000"/>
              <x14:axisColor rgb="FF000000"/>
            </x14:dataBar>
          </x14:cfRule>
          <xm:sqref>O6:O20</xm:sqref>
        </x14:conditionalFormatting>
        <x14:conditionalFormatting xmlns:xm="http://schemas.microsoft.com/office/excel/2006/main">
          <x14:cfRule type="dataBar" id="{8BE20910-0A58-4C63-B3F7-E95967A3CAA2}">
            <x14:dataBar minLength="0" maxLength="100" border="1" negativeBarBorderColorSameAsPositive="0">
              <x14:cfvo type="autoMin"/>
              <x14:cfvo type="autoMax"/>
              <x14:borderColor rgb="FF63C384"/>
              <x14:negativeFillColor rgb="FFFF0000"/>
              <x14:negativeBorderColor rgb="FFFF0000"/>
              <x14:axisColor rgb="FF000000"/>
            </x14:dataBar>
          </x14:cfRule>
          <xm:sqref>P6:S20</xm:sqref>
        </x14:conditionalFormatting>
        <x14:conditionalFormatting xmlns:xm="http://schemas.microsoft.com/office/excel/2006/main">
          <x14:cfRule type="dataBar" id="{07947B9F-A396-4116-A3F6-D7FB557D1D15}">
            <x14:dataBar minLength="0" maxLength="100" border="1" negativeBarBorderColorSameAsPositive="0">
              <x14:cfvo type="autoMin"/>
              <x14:cfvo type="autoMax"/>
              <x14:borderColor rgb="FFFF555A"/>
              <x14:negativeFillColor rgb="FFFF0000"/>
              <x14:negativeBorderColor rgb="FFFF0000"/>
              <x14:axisColor rgb="FF000000"/>
            </x14:dataBar>
          </x14:cfRule>
          <xm:sqref>O23:S36</xm:sqref>
        </x14:conditionalFormatting>
        <x14:conditionalFormatting xmlns:xm="http://schemas.microsoft.com/office/excel/2006/main">
          <x14:cfRule type="dataBar" id="{41474F6F-DB28-41DA-BD55-F39B060F2A5F}">
            <x14:dataBar minLength="0" maxLength="100" border="1" negativeBarBorderColorSameAsPositive="0">
              <x14:cfvo type="autoMin"/>
              <x14:cfvo type="autoMax"/>
              <x14:borderColor rgb="FF63C384"/>
              <x14:negativeFillColor rgb="FFFF0000"/>
              <x14:negativeBorderColor rgb="FFFF0000"/>
              <x14:axisColor rgb="FF000000"/>
            </x14:dataBar>
          </x14:cfRule>
          <xm:sqref>O6:S20</xm:sqref>
        </x14:conditionalFormatting>
        <x14:conditionalFormatting xmlns:xm="http://schemas.microsoft.com/office/excel/2006/main">
          <x14:cfRule type="dataBar" id="{983B8311-06E1-46FA-A9CE-2E915F77B6B2}">
            <x14:dataBar minLength="0" maxLength="100" border="1" negativeBarBorderColorSameAsPositive="0">
              <x14:cfvo type="autoMin"/>
              <x14:cfvo type="autoMax"/>
              <x14:borderColor rgb="FFFFB628"/>
              <x14:negativeFillColor rgb="FFFF0000"/>
              <x14:negativeBorderColor rgb="FFFF0000"/>
              <x14:axisColor rgb="FF000000"/>
            </x14:dataBar>
          </x14:cfRule>
          <xm:sqref>O39</xm:sqref>
        </x14:conditionalFormatting>
        <x14:conditionalFormatting xmlns:xm="http://schemas.microsoft.com/office/excel/2006/main">
          <x14:cfRule type="dataBar" id="{0D97BEBF-D862-4CBE-9529-B38447715917}">
            <x14:dataBar minLength="0" maxLength="100" border="1" negativeBarBorderColorSameAsPositive="0">
              <x14:cfvo type="autoMin"/>
              <x14:cfvo type="autoMax"/>
              <x14:borderColor rgb="FFFFB628"/>
              <x14:negativeFillColor rgb="FFFF0000"/>
              <x14:negativeBorderColor rgb="FFFF0000"/>
              <x14:axisColor rgb="FF000000"/>
            </x14:dataBar>
          </x14:cfRule>
          <xm:sqref>O40:O46</xm:sqref>
        </x14:conditionalFormatting>
        <x14:conditionalFormatting xmlns:xm="http://schemas.microsoft.com/office/excel/2006/main">
          <x14:cfRule type="dataBar" id="{6C8D0A10-4D03-4CFA-AB77-16046DF01C97}">
            <x14:dataBar minLength="0" maxLength="100" border="1" negativeBarBorderColorSameAsPositive="0">
              <x14:cfvo type="autoMin"/>
              <x14:cfvo type="autoMax"/>
              <x14:borderColor rgb="FFFFB628"/>
              <x14:negativeFillColor rgb="FFFF0000"/>
              <x14:negativeBorderColor rgb="FFFF0000"/>
              <x14:axisColor rgb="FF000000"/>
            </x14:dataBar>
          </x14:cfRule>
          <xm:sqref>P39:S39</xm:sqref>
        </x14:conditionalFormatting>
        <x14:conditionalFormatting xmlns:xm="http://schemas.microsoft.com/office/excel/2006/main">
          <x14:cfRule type="dataBar" id="{6D0DDB5F-215F-4D5A-8DA0-D696E9FB29C7}">
            <x14:dataBar minLength="0" maxLength="100" border="1" negativeBarBorderColorSameAsPositive="0">
              <x14:cfvo type="autoMin"/>
              <x14:cfvo type="autoMax"/>
              <x14:borderColor rgb="FFFFB628"/>
              <x14:negativeFillColor rgb="FFFF0000"/>
              <x14:negativeBorderColor rgb="FFFF0000"/>
              <x14:axisColor rgb="FF000000"/>
            </x14:dataBar>
          </x14:cfRule>
          <xm:sqref>P40:S46</xm:sqref>
        </x14:conditionalFormatting>
        <x14:conditionalFormatting xmlns:xm="http://schemas.microsoft.com/office/excel/2006/main">
          <x14:cfRule type="dataBar" id="{DD8361A0-FD7D-4828-BC3A-3A5E3155AF84}">
            <x14:dataBar minLength="0" maxLength="100" border="1" negativeBarBorderColorSameAsPositive="0">
              <x14:cfvo type="autoMin"/>
              <x14:cfvo type="autoMax"/>
              <x14:borderColor rgb="FF63C384"/>
              <x14:negativeFillColor rgb="FFFF0000"/>
              <x14:negativeBorderColor rgb="FFFF0000"/>
              <x14:axisColor rgb="FF000000"/>
            </x14:dataBar>
          </x14:cfRule>
          <xm:sqref>T6:T20</xm:sqref>
        </x14:conditionalFormatting>
        <x14:conditionalFormatting xmlns:xm="http://schemas.microsoft.com/office/excel/2006/main">
          <x14:cfRule type="dataBar" id="{36376861-2723-48FC-92E6-8FE18160AC2C}">
            <x14:dataBar minLength="0" maxLength="100" border="1" negativeBarBorderColorSameAsPositive="0">
              <x14:cfvo type="autoMin"/>
              <x14:cfvo type="autoMax"/>
              <x14:borderColor rgb="FFFF555A"/>
              <x14:negativeFillColor rgb="FFFF0000"/>
              <x14:negativeBorderColor rgb="FFFF0000"/>
              <x14:axisColor rgb="FF000000"/>
            </x14:dataBar>
          </x14:cfRule>
          <xm:sqref>T23:T36</xm:sqref>
        </x14:conditionalFormatting>
        <x14:conditionalFormatting xmlns:xm="http://schemas.microsoft.com/office/excel/2006/main">
          <x14:cfRule type="dataBar" id="{1FB63B8B-02F1-48F7-A68C-9A5C4B2C0264}">
            <x14:dataBar minLength="0" maxLength="100" border="1" negativeBarBorderColorSameAsPositive="0">
              <x14:cfvo type="autoMin"/>
              <x14:cfvo type="autoMax"/>
              <x14:borderColor rgb="FF63C384"/>
              <x14:negativeFillColor rgb="FFFF0000"/>
              <x14:negativeBorderColor rgb="FFFF0000"/>
              <x14:axisColor rgb="FF000000"/>
            </x14:dataBar>
          </x14:cfRule>
          <xm:sqref>T6:T20</xm:sqref>
        </x14:conditionalFormatting>
        <x14:conditionalFormatting xmlns:xm="http://schemas.microsoft.com/office/excel/2006/main">
          <x14:cfRule type="dataBar" id="{8751AEB3-303F-47F2-B07A-AB8A74B23F64}">
            <x14:dataBar minLength="0" maxLength="100" border="1" negativeBarBorderColorSameAsPositive="0">
              <x14:cfvo type="autoMin"/>
              <x14:cfvo type="autoMax"/>
              <x14:borderColor rgb="FFFFB628"/>
              <x14:negativeFillColor rgb="FFFF0000"/>
              <x14:negativeBorderColor rgb="FFFF0000"/>
              <x14:axisColor rgb="FF000000"/>
            </x14:dataBar>
          </x14:cfRule>
          <xm:sqref>T39</xm:sqref>
        </x14:conditionalFormatting>
        <x14:conditionalFormatting xmlns:xm="http://schemas.microsoft.com/office/excel/2006/main">
          <x14:cfRule type="dataBar" id="{7DC2EB54-FCD1-4F7A-AEC0-1F30A8D4FDA2}">
            <x14:dataBar minLength="0" maxLength="100" border="1" negativeBarBorderColorSameAsPositive="0">
              <x14:cfvo type="autoMin"/>
              <x14:cfvo type="autoMax"/>
              <x14:borderColor rgb="FFFFB628"/>
              <x14:negativeFillColor rgb="FFFF0000"/>
              <x14:negativeBorderColor rgb="FFFF0000"/>
              <x14:axisColor rgb="FF000000"/>
            </x14:dataBar>
          </x14:cfRule>
          <xm:sqref>T40:T46</xm:sqref>
        </x14:conditionalFormatting>
        <x14:conditionalFormatting xmlns:xm="http://schemas.microsoft.com/office/excel/2006/main">
          <x14:cfRule type="dataBar" id="{DC41008A-3C13-4E55-AE4C-ADFD7D771999}">
            <x14:dataBar minLength="0" maxLength="100" border="1" negativeBarBorderColorSameAsPositive="0">
              <x14:cfvo type="autoMin"/>
              <x14:cfvo type="autoMax"/>
              <x14:borderColor rgb="FF63C384"/>
              <x14:negativeFillColor rgb="FFFF0000"/>
              <x14:negativeBorderColor rgb="FFFF0000"/>
              <x14:axisColor rgb="FF000000"/>
            </x14:dataBar>
          </x14:cfRule>
          <xm:sqref>U6:Y20</xm:sqref>
        </x14:conditionalFormatting>
        <x14:conditionalFormatting xmlns:xm="http://schemas.microsoft.com/office/excel/2006/main">
          <x14:cfRule type="dataBar" id="{B4D9C6DD-1AA7-4229-ABF3-800B82815B5A}">
            <x14:dataBar minLength="0" maxLength="100" border="1" negativeBarBorderColorSameAsPositive="0">
              <x14:cfvo type="autoMin"/>
              <x14:cfvo type="autoMax"/>
              <x14:borderColor rgb="FFFF555A"/>
              <x14:negativeFillColor rgb="FFFF0000"/>
              <x14:negativeBorderColor rgb="FFFF0000"/>
              <x14:axisColor rgb="FF000000"/>
            </x14:dataBar>
          </x14:cfRule>
          <xm:sqref>U23:Y36</xm:sqref>
        </x14:conditionalFormatting>
        <x14:conditionalFormatting xmlns:xm="http://schemas.microsoft.com/office/excel/2006/main">
          <x14:cfRule type="dataBar" id="{6FD87971-B5B8-4E9D-99DD-233EB26716E6}">
            <x14:dataBar minLength="0" maxLength="100" border="1" negativeBarBorderColorSameAsPositive="0">
              <x14:cfvo type="autoMin"/>
              <x14:cfvo type="autoMax"/>
              <x14:borderColor rgb="FF63C384"/>
              <x14:negativeFillColor rgb="FFFF0000"/>
              <x14:negativeBorderColor rgb="FFFF0000"/>
              <x14:axisColor rgb="FF000000"/>
            </x14:dataBar>
          </x14:cfRule>
          <xm:sqref>U6:Y20</xm:sqref>
        </x14:conditionalFormatting>
        <x14:conditionalFormatting xmlns:xm="http://schemas.microsoft.com/office/excel/2006/main">
          <x14:cfRule type="dataBar" id="{0FBA8936-A27B-44D5-B23B-EC2AC520F162}">
            <x14:dataBar minLength="0" maxLength="100" border="1" negativeBarBorderColorSameAsPositive="0">
              <x14:cfvo type="autoMin"/>
              <x14:cfvo type="autoMax"/>
              <x14:borderColor rgb="FFFFB628"/>
              <x14:negativeFillColor rgb="FFFF0000"/>
              <x14:negativeBorderColor rgb="FFFF0000"/>
              <x14:axisColor rgb="FF000000"/>
            </x14:dataBar>
          </x14:cfRule>
          <xm:sqref>U39:Y39</xm:sqref>
        </x14:conditionalFormatting>
        <x14:conditionalFormatting xmlns:xm="http://schemas.microsoft.com/office/excel/2006/main">
          <x14:cfRule type="dataBar" id="{7403AF47-3E7D-48AB-934D-7A8D73542C81}">
            <x14:dataBar minLength="0" maxLength="100" border="1" negativeBarBorderColorSameAsPositive="0">
              <x14:cfvo type="autoMin"/>
              <x14:cfvo type="autoMax"/>
              <x14:borderColor rgb="FFFFB628"/>
              <x14:negativeFillColor rgb="FFFF0000"/>
              <x14:negativeBorderColor rgb="FFFF0000"/>
              <x14:axisColor rgb="FF000000"/>
            </x14:dataBar>
          </x14:cfRule>
          <xm:sqref>U40:Y46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Q37"/>
  <sheetViews>
    <sheetView zoomScale="80" zoomScaleNormal="80" workbookViewId="0">
      <pane xSplit="1" ySplit="3" topLeftCell="B9" activePane="bottomRight" state="frozen"/>
      <selection pane="topRight" activeCell="B1" sqref="B1"/>
      <selection pane="bottomLeft" activeCell="A4" sqref="A4"/>
      <selection pane="bottomRight" activeCell="G27" sqref="G27"/>
    </sheetView>
  </sheetViews>
  <sheetFormatPr baseColWidth="10" defaultColWidth="9" defaultRowHeight="15.75"/>
  <cols>
    <col min="1" max="1" width="44" bestFit="1" customWidth="1"/>
    <col min="2" max="2" width="10.5" bestFit="1" customWidth="1"/>
    <col min="3" max="3" width="14.25" bestFit="1" customWidth="1"/>
    <col min="4" max="8" width="11.625" bestFit="1" customWidth="1"/>
    <col min="9" max="9" width="103.75" customWidth="1"/>
    <col min="16" max="16" width="9.625" bestFit="1" customWidth="1"/>
  </cols>
  <sheetData>
    <row r="1" spans="1:17" ht="46.5">
      <c r="B1" s="627" t="s">
        <v>187</v>
      </c>
      <c r="C1" s="627"/>
      <c r="D1" s="627"/>
      <c r="E1" s="627"/>
      <c r="F1" s="627"/>
      <c r="G1" s="627"/>
      <c r="H1" s="627"/>
      <c r="I1" s="627"/>
      <c r="J1" s="233"/>
      <c r="K1" s="233"/>
    </row>
    <row r="2" spans="1:17">
      <c r="I2" s="195"/>
    </row>
    <row r="3" spans="1:17">
      <c r="A3" s="171" t="s">
        <v>54</v>
      </c>
      <c r="B3" s="171">
        <v>2017</v>
      </c>
      <c r="C3" s="171">
        <v>2018</v>
      </c>
      <c r="D3" s="341">
        <v>2019</v>
      </c>
      <c r="E3" s="341">
        <v>2020</v>
      </c>
      <c r="F3" s="341">
        <v>2021</v>
      </c>
      <c r="G3" s="341">
        <v>2022</v>
      </c>
      <c r="H3" s="342">
        <v>2023</v>
      </c>
      <c r="I3" s="171" t="s">
        <v>737</v>
      </c>
    </row>
    <row r="4" spans="1:17">
      <c r="A4" s="175" t="s">
        <v>1375</v>
      </c>
      <c r="B4" s="161">
        <v>2.41E-2</v>
      </c>
      <c r="C4" s="161">
        <v>2.69E-2</v>
      </c>
      <c r="D4" s="161">
        <v>2.3859999999999999E-2</v>
      </c>
      <c r="E4" s="161">
        <v>2.4590000000000001E-2</v>
      </c>
      <c r="F4" s="161">
        <v>2.487E-2</v>
      </c>
      <c r="G4" s="161">
        <v>2.512E-2</v>
      </c>
      <c r="H4" s="161">
        <v>2.5360000000000001E-2</v>
      </c>
      <c r="I4" s="174" t="s">
        <v>1378</v>
      </c>
      <c r="J4" s="163" t="s">
        <v>1378</v>
      </c>
      <c r="K4" s="163"/>
      <c r="P4" s="3">
        <f>+D4-C4</f>
        <v>-3.040000000000001E-3</v>
      </c>
      <c r="Q4" s="3">
        <f>+E4-D4</f>
        <v>7.3000000000000148E-4</v>
      </c>
    </row>
    <row r="5" spans="1:17">
      <c r="A5" s="172" t="s">
        <v>1376</v>
      </c>
      <c r="B5" s="48">
        <v>0.06</v>
      </c>
      <c r="C5" s="48">
        <v>0.06</v>
      </c>
      <c r="D5" s="48">
        <v>0.06</v>
      </c>
      <c r="E5" s="48">
        <v>0.06</v>
      </c>
      <c r="F5" s="48">
        <v>0.06</v>
      </c>
      <c r="G5" s="48">
        <v>0.06</v>
      </c>
      <c r="H5" s="48">
        <v>0.06</v>
      </c>
      <c r="I5" s="174" t="s">
        <v>1378</v>
      </c>
      <c r="J5" s="163"/>
      <c r="K5" s="163"/>
    </row>
    <row r="6" spans="1:17">
      <c r="A6" s="172" t="s">
        <v>1377</v>
      </c>
      <c r="B6" s="48">
        <f t="shared" ref="B6:H6" si="0">B7*PorcentajeColombia+B8*PorcentajePanama+B9*PorcentajeCostaRica+B10*PorcentajeGuatemala*3</f>
        <v>2.2581678815586346E-2</v>
      </c>
      <c r="C6" s="48">
        <f t="shared" si="0"/>
        <v>2.2581678815586346E-2</v>
      </c>
      <c r="D6" s="48">
        <f t="shared" si="0"/>
        <v>2.2581678815586346E-2</v>
      </c>
      <c r="E6" s="48">
        <f t="shared" si="0"/>
        <v>2.2581678815586346E-2</v>
      </c>
      <c r="F6" s="48">
        <f t="shared" si="0"/>
        <v>2.2581678815586346E-2</v>
      </c>
      <c r="G6" s="48">
        <f t="shared" si="0"/>
        <v>2.2581678815586346E-2</v>
      </c>
      <c r="H6" s="48">
        <f t="shared" si="0"/>
        <v>2.2581678815586346E-2</v>
      </c>
    </row>
    <row r="7" spans="1:17">
      <c r="A7" s="176" t="s">
        <v>55</v>
      </c>
      <c r="B7" s="48">
        <v>1.8499999999999999E-2</v>
      </c>
      <c r="C7" s="48">
        <v>1.8499999999999999E-2</v>
      </c>
      <c r="D7" s="48">
        <v>1.8499999999999999E-2</v>
      </c>
      <c r="E7" s="48">
        <v>1.8499999999999999E-2</v>
      </c>
      <c r="F7" s="48">
        <v>1.8499999999999999E-2</v>
      </c>
      <c r="G7" s="48">
        <v>1.8499999999999999E-2</v>
      </c>
      <c r="H7" s="48">
        <v>1.8499999999999999E-2</v>
      </c>
    </row>
    <row r="8" spans="1:17">
      <c r="A8" s="176" t="s">
        <v>610</v>
      </c>
      <c r="B8" s="48">
        <v>1.2999999999999999E-2</v>
      </c>
      <c r="C8" s="48">
        <v>1.2999999999999999E-2</v>
      </c>
      <c r="D8" s="48">
        <v>1.2999999999999999E-2</v>
      </c>
      <c r="E8" s="48">
        <v>1.2999999999999999E-2</v>
      </c>
      <c r="F8" s="48">
        <v>1.2999999999999999E-2</v>
      </c>
      <c r="G8" s="48">
        <v>1.2999999999999999E-2</v>
      </c>
      <c r="H8" s="48">
        <v>1.2999999999999999E-2</v>
      </c>
    </row>
    <row r="9" spans="1:17">
      <c r="A9" s="176" t="s">
        <v>1366</v>
      </c>
      <c r="B9" s="48">
        <v>3.9800000000000002E-2</v>
      </c>
      <c r="C9" s="48">
        <v>3.9800000000000002E-2</v>
      </c>
      <c r="D9" s="48">
        <v>3.9800000000000002E-2</v>
      </c>
      <c r="E9" s="48">
        <v>3.9800000000000002E-2</v>
      </c>
      <c r="F9" s="48">
        <v>3.9800000000000002E-2</v>
      </c>
      <c r="G9" s="48">
        <v>3.9800000000000002E-2</v>
      </c>
      <c r="H9" s="48">
        <v>3.9800000000000002E-2</v>
      </c>
    </row>
    <row r="10" spans="1:17" ht="17.25" customHeight="1">
      <c r="A10" s="176" t="s">
        <v>58</v>
      </c>
      <c r="B10" s="199">
        <v>3.15E-2</v>
      </c>
      <c r="C10" s="199">
        <v>3.15E-2</v>
      </c>
      <c r="D10" s="199">
        <v>3.15E-2</v>
      </c>
      <c r="E10" s="199">
        <v>3.15E-2</v>
      </c>
      <c r="F10" s="199">
        <v>3.15E-2</v>
      </c>
      <c r="G10" s="199">
        <v>3.15E-2</v>
      </c>
      <c r="H10" s="199">
        <v>3.15E-2</v>
      </c>
    </row>
    <row r="11" spans="1:17">
      <c r="A11" s="172" t="s">
        <v>813</v>
      </c>
      <c r="B11" s="394">
        <v>0.81</v>
      </c>
      <c r="C11" s="394">
        <v>0.81</v>
      </c>
      <c r="D11" s="394">
        <v>0.81</v>
      </c>
      <c r="E11" s="394">
        <v>0.81</v>
      </c>
      <c r="F11" s="394">
        <v>0.81</v>
      </c>
      <c r="G11" s="394">
        <v>0.81</v>
      </c>
      <c r="H11" s="394">
        <v>0.81</v>
      </c>
      <c r="I11" s="163" t="s">
        <v>1378</v>
      </c>
    </row>
    <row r="12" spans="1:17">
      <c r="A12" s="172" t="s">
        <v>814</v>
      </c>
      <c r="B12" s="200">
        <f>TasaPonderadaImpuestos2019</f>
        <v>0.30061532571405541</v>
      </c>
      <c r="C12" s="200">
        <f>TasaPonderadaImpuestos2019</f>
        <v>0.30061532571405541</v>
      </c>
      <c r="D12" s="200">
        <f>TasaPonderadaImpuestos2019</f>
        <v>0.30061532571405541</v>
      </c>
      <c r="E12" s="200">
        <f t="shared" ref="E12:H12" si="1">TasaPonderadaImpuestos2020</f>
        <v>0.29588451022515277</v>
      </c>
      <c r="F12" s="200">
        <f t="shared" si="1"/>
        <v>0.29588451022515277</v>
      </c>
      <c r="G12" s="200">
        <f t="shared" si="1"/>
        <v>0.29588451022515277</v>
      </c>
      <c r="H12" s="200">
        <f t="shared" si="1"/>
        <v>0.29588451022515277</v>
      </c>
    </row>
    <row r="13" spans="1:17">
      <c r="A13" s="172" t="s">
        <v>1065</v>
      </c>
      <c r="B13" s="203">
        <f t="shared" ref="B13:H13" si="2">B15/B14</f>
        <v>0.29154347509964362</v>
      </c>
      <c r="C13" s="203">
        <f t="shared" si="2"/>
        <v>0.29041030179005645</v>
      </c>
      <c r="D13" s="203">
        <f t="shared" si="2"/>
        <v>0.30517579406399237</v>
      </c>
      <c r="E13" s="203">
        <f t="shared" si="2"/>
        <v>0.30677252876035443</v>
      </c>
      <c r="F13" s="203">
        <f t="shared" si="2"/>
        <v>0.30490522583065294</v>
      </c>
      <c r="G13" s="203">
        <f t="shared" si="2"/>
        <v>0.30348348402224246</v>
      </c>
      <c r="H13" s="203">
        <f t="shared" si="2"/>
        <v>0.30486131781741166</v>
      </c>
    </row>
    <row r="14" spans="1:17">
      <c r="A14" s="172" t="s">
        <v>0</v>
      </c>
      <c r="B14" s="285">
        <f>'Balance General'!H20</f>
        <v>3293989</v>
      </c>
      <c r="C14" s="285">
        <f>'Balance General'!I20</f>
        <v>3047781</v>
      </c>
      <c r="D14" s="285">
        <f>'BG Proyectado'!J20</f>
        <v>2999671.1155784409</v>
      </c>
      <c r="E14" s="285">
        <f>'BG Proyectado'!K20</f>
        <v>2932424.0224465122</v>
      </c>
      <c r="F14" s="285">
        <f>'BG Proyectado'!L20</f>
        <v>2869288.5271415208</v>
      </c>
      <c r="G14" s="285">
        <f>'BG Proyectado'!M20</f>
        <v>2807406.6482202709</v>
      </c>
      <c r="H14" s="285">
        <f>'BG Proyectado'!N20</f>
        <v>2751498.8752035685</v>
      </c>
    </row>
    <row r="15" spans="1:17">
      <c r="A15" s="172" t="s">
        <v>1066</v>
      </c>
      <c r="B15" s="285">
        <f>'BG Proyectado'!H23+'BG Proyectado'!H25+'BG Proyectado'!H30+'BG Proyectado'!H31</f>
        <v>960341</v>
      </c>
      <c r="C15" s="285">
        <f>'BG Proyectado'!I23+'BG Proyectado'!I25+'BG Proyectado'!I30+'BG Proyectado'!I31</f>
        <v>885107</v>
      </c>
      <c r="D15" s="285">
        <f>'BG Proyectado'!J23+'BG Proyectado'!J25+'BG Proyectado'!J30+'BG Proyectado'!J31</f>
        <v>915427.0146274725</v>
      </c>
      <c r="E15" s="285">
        <f>'BG Proyectado'!K23+'BG Proyectado'!K25+'BG Proyectado'!K30+'BG Proyectado'!K31</f>
        <v>899587.13276352698</v>
      </c>
      <c r="F15" s="285">
        <f>'BG Proyectado'!L23+'BG Proyectado'!L25+'BG Proyectado'!L30+'BG Proyectado'!L31</f>
        <v>874861.06634138688</v>
      </c>
      <c r="G15" s="285">
        <f>'BG Proyectado'!M23+'BG Proyectado'!M25+'BG Proyectado'!M30+'BG Proyectado'!M31</f>
        <v>852001.55066909385</v>
      </c>
      <c r="H15" s="285">
        <f>'BG Proyectado'!N23+'BG Proyectado'!N25+'BG Proyectado'!N30+'BG Proyectado'!N31</f>
        <v>838825.57306768582</v>
      </c>
    </row>
    <row r="16" spans="1:17">
      <c r="A16" s="172" t="s">
        <v>601</v>
      </c>
      <c r="B16" s="285">
        <f t="shared" ref="B16:H16" si="3">+B14-B15</f>
        <v>2333648</v>
      </c>
      <c r="C16" s="285">
        <f t="shared" si="3"/>
        <v>2162674</v>
      </c>
      <c r="D16" s="285">
        <f t="shared" si="3"/>
        <v>2084244.1009509685</v>
      </c>
      <c r="E16" s="285">
        <f t="shared" si="3"/>
        <v>2032836.8896829854</v>
      </c>
      <c r="F16" s="285">
        <f t="shared" si="3"/>
        <v>1994427.4608001339</v>
      </c>
      <c r="G16" s="285">
        <f t="shared" si="3"/>
        <v>1955405.097551177</v>
      </c>
      <c r="H16" s="285">
        <f t="shared" si="3"/>
        <v>1912673.3021358827</v>
      </c>
    </row>
    <row r="17" spans="1:9">
      <c r="A17" s="172" t="s">
        <v>815</v>
      </c>
      <c r="B17" s="494">
        <f>+B15/B16</f>
        <v>0.41151921797974672</v>
      </c>
      <c r="C17" s="494">
        <f t="shared" ref="C17:H17" si="4">+C15/C16</f>
        <v>0.40926510421820395</v>
      </c>
      <c r="D17" s="552">
        <f t="shared" si="4"/>
        <v>0.43921295697072854</v>
      </c>
      <c r="E17" s="552">
        <f t="shared" si="4"/>
        <v>0.44252794571423526</v>
      </c>
      <c r="F17" s="552">
        <f t="shared" si="4"/>
        <v>0.43865273795939713</v>
      </c>
      <c r="G17" s="552">
        <f t="shared" si="4"/>
        <v>0.43571613459333081</v>
      </c>
      <c r="H17" s="552">
        <f t="shared" si="4"/>
        <v>0.4385618663317824</v>
      </c>
    </row>
    <row r="18" spans="1:9" s="496" customFormat="1">
      <c r="A18" s="172" t="s">
        <v>1462</v>
      </c>
      <c r="B18" s="494"/>
      <c r="C18" s="494"/>
      <c r="D18" s="552">
        <v>0.45879999999999999</v>
      </c>
      <c r="E18" s="552">
        <v>0.45879999999999999</v>
      </c>
      <c r="F18" s="552">
        <v>0.45879999999999999</v>
      </c>
      <c r="G18" s="552">
        <v>0.45879999999999999</v>
      </c>
      <c r="H18" s="552">
        <v>0.45879999999999999</v>
      </c>
      <c r="I18" s="163" t="s">
        <v>1463</v>
      </c>
    </row>
    <row r="19" spans="1:9">
      <c r="A19" s="172" t="s">
        <v>816</v>
      </c>
      <c r="B19" s="201">
        <f t="shared" ref="B19:H19" si="5">+B16/B14</f>
        <v>0.70845652490035638</v>
      </c>
      <c r="C19" s="201">
        <f t="shared" si="5"/>
        <v>0.70958969820994355</v>
      </c>
      <c r="D19" s="201">
        <f t="shared" si="5"/>
        <v>0.69482420593600769</v>
      </c>
      <c r="E19" s="201">
        <f t="shared" si="5"/>
        <v>0.69322747123964557</v>
      </c>
      <c r="F19" s="201">
        <f t="shared" si="5"/>
        <v>0.69509477416934706</v>
      </c>
      <c r="G19" s="201">
        <f t="shared" si="5"/>
        <v>0.69651651597775754</v>
      </c>
      <c r="H19" s="201">
        <f t="shared" si="5"/>
        <v>0.69513868218258834</v>
      </c>
    </row>
    <row r="20" spans="1:9" hidden="1">
      <c r="A20" s="172" t="s">
        <v>1064</v>
      </c>
      <c r="B20" s="201"/>
      <c r="C20" s="201"/>
      <c r="D20" s="201"/>
      <c r="E20" s="201"/>
      <c r="F20" s="201"/>
      <c r="G20" s="201"/>
      <c r="H20" s="201"/>
    </row>
    <row r="21" spans="1:9" ht="14.25" customHeight="1">
      <c r="A21" s="172" t="s">
        <v>817</v>
      </c>
      <c r="B21" s="202">
        <f>+B11*((1+(B17*(1-B12))))</f>
        <v>1.0431262897256293</v>
      </c>
      <c r="C21" s="202">
        <f t="shared" ref="C21:H21" si="6">+C11*((1+(C17*(1-C12))))</f>
        <v>1.041849330704304</v>
      </c>
      <c r="D21" s="202">
        <f t="shared" si="6"/>
        <v>1.0588148367910433</v>
      </c>
      <c r="E21" s="202">
        <f t="shared" si="6"/>
        <v>1.0623885328008651</v>
      </c>
      <c r="F21" s="202">
        <f t="shared" si="6"/>
        <v>1.0601783718177806</v>
      </c>
      <c r="G21" s="202">
        <f t="shared" si="6"/>
        <v>1.0585035284047091</v>
      </c>
      <c r="H21" s="202">
        <f t="shared" si="6"/>
        <v>1.0601265446801069</v>
      </c>
      <c r="I21" s="163" t="s">
        <v>1379</v>
      </c>
    </row>
    <row r="22" spans="1:9">
      <c r="A22" s="172" t="s">
        <v>1383</v>
      </c>
      <c r="B22" s="203">
        <f>+B4+B21*B5+B6</f>
        <v>0.10926925619912409</v>
      </c>
      <c r="C22" s="203">
        <f t="shared" ref="C22:H22" si="7">+C4+C21*C5+C6</f>
        <v>0.11199263865784459</v>
      </c>
      <c r="D22" s="203">
        <f t="shared" si="7"/>
        <v>0.10997056902304894</v>
      </c>
      <c r="E22" s="203">
        <f t="shared" si="7"/>
        <v>0.11091499078363824</v>
      </c>
      <c r="F22" s="203">
        <f t="shared" si="7"/>
        <v>0.11106238112465318</v>
      </c>
      <c r="G22" s="203">
        <f t="shared" si="7"/>
        <v>0.11121189051986889</v>
      </c>
      <c r="H22" s="203">
        <f t="shared" si="7"/>
        <v>0.11154927149639277</v>
      </c>
    </row>
    <row r="23" spans="1:9">
      <c r="A23" s="172" t="s">
        <v>818</v>
      </c>
      <c r="B23" s="314">
        <f>Suspuestos!C22</f>
        <v>7.0000000000000007E-2</v>
      </c>
      <c r="C23" s="314">
        <f>Suspuestos!D22</f>
        <v>5.6500000000000002E-2</v>
      </c>
      <c r="D23" s="314">
        <f>Suspuestos!E22</f>
        <v>5.6500000000000002E-2</v>
      </c>
      <c r="E23" s="314">
        <f>Suspuestos!F22</f>
        <v>5.6500000000000002E-2</v>
      </c>
      <c r="F23" s="314">
        <f>Suspuestos!G22</f>
        <v>5.6500000000000002E-2</v>
      </c>
      <c r="G23" s="314">
        <f>Suspuestos!H22</f>
        <v>5.6500000000000002E-2</v>
      </c>
      <c r="H23" s="314">
        <f>Suspuestos!I22</f>
        <v>7.0000000000000007E-2</v>
      </c>
    </row>
    <row r="24" spans="1:9">
      <c r="A24" s="172" t="s">
        <v>1367</v>
      </c>
      <c r="B24" s="314">
        <f t="shared" ref="B24:H24" si="8">+B23*(1-B12)</f>
        <v>4.8956927200016133E-2</v>
      </c>
      <c r="C24" s="314">
        <f t="shared" si="8"/>
        <v>3.951523409715587E-2</v>
      </c>
      <c r="D24" s="314">
        <f t="shared" si="8"/>
        <v>3.951523409715587E-2</v>
      </c>
      <c r="E24" s="314">
        <f t="shared" si="8"/>
        <v>3.9782525172278864E-2</v>
      </c>
      <c r="F24" s="314">
        <f t="shared" si="8"/>
        <v>3.9782525172278864E-2</v>
      </c>
      <c r="G24" s="314">
        <f t="shared" si="8"/>
        <v>3.9782525172278864E-2</v>
      </c>
      <c r="H24" s="314">
        <f t="shared" si="8"/>
        <v>4.9288084284239309E-2</v>
      </c>
    </row>
    <row r="25" spans="1:9">
      <c r="A25" s="172" t="s">
        <v>187</v>
      </c>
      <c r="B25" s="204">
        <f t="shared" ref="B25:H25" si="9">B19*B22+B13*B24</f>
        <v>9.168559021137114E-2</v>
      </c>
      <c r="C25" s="204">
        <f t="shared" si="9"/>
        <v>9.0944453726414964E-2</v>
      </c>
      <c r="D25" s="204">
        <f t="shared" si="9"/>
        <v>8.8469306240994999E-2</v>
      </c>
      <c r="E25" s="204">
        <f t="shared" si="9"/>
        <v>8.9093504431082576E-2</v>
      </c>
      <c r="F25" s="204">
        <f t="shared" si="9"/>
        <v>8.9328780548318082E-2</v>
      </c>
      <c r="G25" s="204">
        <f t="shared" si="9"/>
        <v>8.9534257862684638E-2</v>
      </c>
      <c r="H25" s="204">
        <f t="shared" si="9"/>
        <v>9.2568243914019091E-2</v>
      </c>
    </row>
    <row r="27" spans="1:9">
      <c r="A27" s="198" t="s">
        <v>187</v>
      </c>
      <c r="B27" s="204">
        <v>9.168559021137114E-2</v>
      </c>
      <c r="C27" s="204">
        <v>9.0944453726414964E-2</v>
      </c>
      <c r="D27" s="204">
        <v>8.8430596599508957E-2</v>
      </c>
      <c r="E27" s="204">
        <v>8.9007218901696744E-2</v>
      </c>
      <c r="F27" s="204">
        <v>8.9226750290949355E-2</v>
      </c>
      <c r="G27" s="204">
        <v>8.9501396228187008E-2</v>
      </c>
      <c r="H27" s="204">
        <v>9.2620596350964646E-2</v>
      </c>
    </row>
    <row r="29" spans="1:9" ht="25.5">
      <c r="A29" s="644" t="s">
        <v>820</v>
      </c>
      <c r="B29" s="645"/>
      <c r="C29" s="206" t="s">
        <v>821</v>
      </c>
      <c r="D29" s="206" t="s">
        <v>716</v>
      </c>
      <c r="E29" s="206" t="s">
        <v>822</v>
      </c>
      <c r="F29" s="206" t="s">
        <v>823</v>
      </c>
    </row>
    <row r="30" spans="1:9">
      <c r="A30" s="640" t="s">
        <v>824</v>
      </c>
      <c r="B30" s="641"/>
      <c r="C30" s="11">
        <v>3919316.7031</v>
      </c>
      <c r="D30" s="48">
        <v>0.49615700000000001</v>
      </c>
      <c r="E30" s="213">
        <v>0.74380000000000002</v>
      </c>
      <c r="F30" s="212">
        <f>E30/(1+D30)</f>
        <v>0.497140340218306</v>
      </c>
    </row>
    <row r="31" spans="1:9">
      <c r="A31" s="640" t="s">
        <v>825</v>
      </c>
      <c r="B31" s="641"/>
      <c r="C31" s="11">
        <v>892082.28159999999</v>
      </c>
      <c r="D31" s="48">
        <v>0.34729199999999999</v>
      </c>
      <c r="E31" s="213">
        <v>0.74539999999999995</v>
      </c>
      <c r="F31" s="212">
        <f t="shared" ref="F31:F36" si="10">E31/(1+D31)</f>
        <v>0.5532579425989318</v>
      </c>
    </row>
    <row r="32" spans="1:9">
      <c r="A32" s="640" t="s">
        <v>826</v>
      </c>
      <c r="B32" s="641"/>
      <c r="C32" s="214">
        <v>33349.649599999997</v>
      </c>
      <c r="D32" s="48">
        <v>0.59722399999999998</v>
      </c>
      <c r="E32" s="213">
        <v>0.1983</v>
      </c>
      <c r="F32" s="210">
        <f t="shared" si="10"/>
        <v>0.12415290529067934</v>
      </c>
    </row>
    <row r="33" spans="1:8">
      <c r="A33" s="640" t="s">
        <v>827</v>
      </c>
      <c r="B33" s="641"/>
      <c r="C33" s="215">
        <v>2953.971</v>
      </c>
      <c r="D33" s="48">
        <v>0.43676700000000002</v>
      </c>
      <c r="E33" s="213">
        <v>1.8337000000000001</v>
      </c>
      <c r="F33" s="210">
        <f t="shared" si="10"/>
        <v>1.2762681770948248</v>
      </c>
      <c r="H33" s="468"/>
    </row>
    <row r="34" spans="1:8">
      <c r="A34" s="640" t="s">
        <v>828</v>
      </c>
      <c r="B34" s="641"/>
      <c r="C34" s="211">
        <v>17907.087</v>
      </c>
      <c r="D34" s="48">
        <v>0.66781299999999999</v>
      </c>
      <c r="E34" s="213">
        <v>-1.4834000000000001</v>
      </c>
      <c r="F34" s="210">
        <f t="shared" si="10"/>
        <v>-0.8894282512487911</v>
      </c>
    </row>
    <row r="35" spans="1:8">
      <c r="A35" s="640" t="s">
        <v>829</v>
      </c>
      <c r="B35" s="641"/>
      <c r="C35" s="215">
        <v>5509.2219999999998</v>
      </c>
      <c r="D35" s="48">
        <v>0.57041600000000003</v>
      </c>
      <c r="E35" s="213">
        <v>-2.9077999999999999</v>
      </c>
      <c r="F35" s="210">
        <f t="shared" si="10"/>
        <v>-1.8516112928039448</v>
      </c>
    </row>
    <row r="36" spans="1:8">
      <c r="A36" s="640" t="s">
        <v>830</v>
      </c>
      <c r="B36" s="641"/>
      <c r="C36" s="211">
        <v>13894.475200000001</v>
      </c>
      <c r="D36" s="48">
        <v>0.64932500000000004</v>
      </c>
      <c r="E36" s="213">
        <v>-3.8763000000000001</v>
      </c>
      <c r="F36" s="210">
        <f t="shared" si="10"/>
        <v>-2.3502341867127461</v>
      </c>
    </row>
    <row r="37" spans="1:8">
      <c r="A37" s="642" t="s">
        <v>852</v>
      </c>
      <c r="B37" s="643"/>
      <c r="C37" s="232">
        <f>SUM(C30:C36)</f>
        <v>4885013.3895000005</v>
      </c>
      <c r="D37" s="210">
        <f>SUMPRODUCT(C30:C36,D30:D36)/SUM(C30:C36)</f>
        <v>0.47077456006678242</v>
      </c>
      <c r="E37" s="210">
        <f>SUMPRODUCT(C30:C36,E30:E36)/SUM(C30:C36)</f>
        <v>0.71560368561475762</v>
      </c>
      <c r="F37" s="210">
        <f>SUMPRODUCT(C30:C36,F30:F36)/SUM(C30:C36)</f>
        <v>0.48948264702692307</v>
      </c>
    </row>
  </sheetData>
  <mergeCells count="10">
    <mergeCell ref="B1:I1"/>
    <mergeCell ref="A34:B34"/>
    <mergeCell ref="A35:B35"/>
    <mergeCell ref="A36:B36"/>
    <mergeCell ref="A37:B37"/>
    <mergeCell ref="A29:B29"/>
    <mergeCell ref="A30:B30"/>
    <mergeCell ref="A31:B31"/>
    <mergeCell ref="A32:B32"/>
    <mergeCell ref="A33:B33"/>
  </mergeCells>
  <hyperlinks>
    <hyperlink ref="I4" r:id="rId1" display="https://www.treasury.gov/resource-center/data-chart-center/interest-rates/Pages/TextView.aspx?data=yieldYear&amp;year=2018- bloomberg"/>
    <hyperlink ref="I18" r:id="rId2"/>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0"/>
  <sheetViews>
    <sheetView showGridLines="0" workbookViewId="0">
      <selection activeCell="A6" sqref="A6"/>
    </sheetView>
  </sheetViews>
  <sheetFormatPr baseColWidth="10" defaultColWidth="11" defaultRowHeight="15.75"/>
  <cols>
    <col min="1" max="1" width="29" bestFit="1" customWidth="1"/>
    <col min="2" max="5" width="8.625" style="496" bestFit="1" customWidth="1"/>
    <col min="6" max="6" width="8.625" bestFit="1" customWidth="1"/>
    <col min="7" max="10" width="7.625" bestFit="1" customWidth="1"/>
  </cols>
  <sheetData>
    <row r="1" spans="1:10" s="496" customFormat="1"/>
    <row r="2" spans="1:10" s="496" customFormat="1"/>
    <row r="3" spans="1:10">
      <c r="A3" s="646" t="s">
        <v>1391</v>
      </c>
      <c r="B3" s="646"/>
      <c r="C3" s="646"/>
      <c r="D3" s="646"/>
      <c r="E3" s="646"/>
      <c r="F3" s="646"/>
      <c r="G3" s="646"/>
      <c r="H3" s="646"/>
      <c r="I3" s="646"/>
      <c r="J3" s="646"/>
    </row>
    <row r="4" spans="1:10">
      <c r="A4" s="646"/>
      <c r="B4" s="646"/>
      <c r="C4" s="646"/>
      <c r="D4" s="646"/>
      <c r="E4" s="646"/>
      <c r="F4" s="646"/>
      <c r="G4" s="646"/>
      <c r="H4" s="646"/>
      <c r="I4" s="646"/>
      <c r="J4" s="646"/>
    </row>
    <row r="5" spans="1:10">
      <c r="B5" s="341">
        <v>2015</v>
      </c>
      <c r="C5" s="341">
        <v>2016</v>
      </c>
      <c r="D5" s="341">
        <v>2017</v>
      </c>
      <c r="E5" s="341">
        <v>2018</v>
      </c>
      <c r="F5" s="341">
        <v>2019</v>
      </c>
      <c r="G5" s="341">
        <v>2020</v>
      </c>
      <c r="H5" s="341">
        <v>2021</v>
      </c>
      <c r="I5" s="341">
        <v>2022</v>
      </c>
      <c r="J5" s="342">
        <v>2023</v>
      </c>
    </row>
    <row r="6" spans="1:10">
      <c r="A6" s="176" t="s">
        <v>1386</v>
      </c>
      <c r="B6" s="498">
        <f>+'BG Proyectado'!E7-'BG Proyectado'!F7</f>
        <v>30435</v>
      </c>
      <c r="C6" s="498">
        <f>+'BG Proyectado'!F7-'BG Proyectado'!G7</f>
        <v>-8776</v>
      </c>
      <c r="D6" s="498">
        <f>+'BG Proyectado'!G7-'BG Proyectado'!H7</f>
        <v>-15131</v>
      </c>
      <c r="E6" s="498">
        <f>+'BG Proyectado'!H7-'BG Proyectado'!I7</f>
        <v>28010</v>
      </c>
      <c r="F6" s="498">
        <f>+'BG Proyectado'!I7-'BG Proyectado'!J7</f>
        <v>8157.9026666666759</v>
      </c>
      <c r="G6" s="498">
        <f>+'BG Proyectado'!J7-'BG Proyectado'!K7</f>
        <v>296.37338920703041</v>
      </c>
      <c r="H6" s="498">
        <f>+'BG Proyectado'!K7-'BG Proyectado'!L7</f>
        <v>367.13279313856037</v>
      </c>
      <c r="I6" s="498">
        <f>+'BG Proyectado'!L7-'BG Proyectado'!M7</f>
        <v>460.64755335291557</v>
      </c>
      <c r="J6" s="498">
        <f>+'BG Proyectado'!M7-'BG Proyectado'!N7</f>
        <v>464.67221194820013</v>
      </c>
    </row>
    <row r="7" spans="1:10">
      <c r="A7" s="176" t="s">
        <v>1388</v>
      </c>
      <c r="B7" s="498">
        <f>+'BG Proyectado'!E11-'BG Proyectado'!F11</f>
        <v>16687</v>
      </c>
      <c r="C7" s="498">
        <f>+'BG Proyectado'!F11-'BG Proyectado'!G11</f>
        <v>14539</v>
      </c>
      <c r="D7" s="498">
        <f>+'BG Proyectado'!G11-'BG Proyectado'!H11</f>
        <v>-11080</v>
      </c>
      <c r="E7" s="498">
        <f>+'BG Proyectado'!H11-'BG Proyectado'!I11</f>
        <v>1503</v>
      </c>
      <c r="F7" s="498">
        <f>+'BG Proyectado'!I11-'BG Proyectado'!J11</f>
        <v>8217.967642333344</v>
      </c>
      <c r="G7" s="498">
        <f>+'BG Proyectado'!J11-'BG Proyectado'!K11</f>
        <v>2361.5419101327279</v>
      </c>
      <c r="H7" s="498">
        <f>+'BG Proyectado'!K11-'BG Proyectado'!L11</f>
        <v>1327.8757227010356</v>
      </c>
      <c r="I7" s="529">
        <f>+'BG Proyectado'!L11-'BG Proyectado'!M11</f>
        <v>1053.6843105945154</v>
      </c>
      <c r="J7" s="498">
        <f>+'BG Proyectado'!M11-'BG Proyectado'!N11</f>
        <v>2135.2794501429598</v>
      </c>
    </row>
    <row r="8" spans="1:10">
      <c r="A8" s="176" t="s">
        <v>16</v>
      </c>
      <c r="B8" s="498">
        <f>+'BG Proyectado'!F24-'BG Proyectado'!E24</f>
        <v>17179</v>
      </c>
      <c r="C8" s="498">
        <f>+'BG Proyectado'!G24-'BG Proyectado'!F24</f>
        <v>31173</v>
      </c>
      <c r="D8" s="498">
        <f>+'BG Proyectado'!H24-'BG Proyectado'!G24</f>
        <v>14522</v>
      </c>
      <c r="E8" s="498">
        <f>+'BG Proyectado'!I24-'BG Proyectado'!H24</f>
        <v>-16446</v>
      </c>
      <c r="F8" s="498">
        <f>+'BG Proyectado'!J24-'BG Proyectado'!I24</f>
        <v>-10599.449590982433</v>
      </c>
      <c r="G8" s="498">
        <f>+'BG Proyectado'!K24-'BG Proyectado'!J24</f>
        <v>3384.6177837975265</v>
      </c>
      <c r="H8" s="498">
        <f>+'BG Proyectado'!L24-'BG Proyectado'!K24</f>
        <v>4347.0621919336845</v>
      </c>
      <c r="I8" s="498">
        <f>+'BG Proyectado'!M24-'BG Proyectado'!L24</f>
        <v>3661.9531585004879</v>
      </c>
      <c r="J8" s="498">
        <f>+'BG Proyectado'!N24-'BG Proyectado'!M24</f>
        <v>3911.0578156128468</v>
      </c>
    </row>
    <row r="9" spans="1:10">
      <c r="A9" s="176" t="s">
        <v>1385</v>
      </c>
      <c r="B9" s="501">
        <f>SUM(B6:B8)</f>
        <v>64301</v>
      </c>
      <c r="C9" s="501">
        <f t="shared" ref="C9:J9" si="0">SUM(C6:C8)</f>
        <v>36936</v>
      </c>
      <c r="D9" s="501">
        <f t="shared" si="0"/>
        <v>-11689</v>
      </c>
      <c r="E9" s="501">
        <f t="shared" si="0"/>
        <v>13067</v>
      </c>
      <c r="F9" s="501">
        <f t="shared" si="0"/>
        <v>5776.4207180175872</v>
      </c>
      <c r="G9" s="501">
        <f t="shared" si="0"/>
        <v>6042.5330831372848</v>
      </c>
      <c r="H9" s="501">
        <f t="shared" si="0"/>
        <v>6042.0707077732804</v>
      </c>
      <c r="I9" s="501">
        <f t="shared" si="0"/>
        <v>5176.2850224479189</v>
      </c>
      <c r="J9" s="501">
        <f t="shared" si="0"/>
        <v>6511.0094777040067</v>
      </c>
    </row>
    <row r="10" spans="1:10">
      <c r="A10" s="530" t="s">
        <v>946</v>
      </c>
      <c r="B10" s="531"/>
      <c r="C10" s="532">
        <f>+C9/B9-1</f>
        <v>-0.42557658512309293</v>
      </c>
      <c r="D10" s="532">
        <f t="shared" ref="D10:J10" si="1">+D9/C9-1</f>
        <v>-1.3164663201212909</v>
      </c>
      <c r="E10" s="532">
        <f t="shared" si="1"/>
        <v>-2.1178886132261101</v>
      </c>
      <c r="F10" s="532">
        <f t="shared" si="1"/>
        <v>-0.5579382629511298</v>
      </c>
      <c r="G10" s="532">
        <f t="shared" si="1"/>
        <v>4.6068729774070949E-2</v>
      </c>
      <c r="H10" s="532">
        <f t="shared" si="1"/>
        <v>-7.652012122116858E-5</v>
      </c>
      <c r="I10" s="532">
        <f t="shared" si="1"/>
        <v>-0.14329287543945912</v>
      </c>
      <c r="J10" s="532">
        <f t="shared" si="1"/>
        <v>0.25785374056254784</v>
      </c>
    </row>
    <row r="11" spans="1:10" s="496" customFormat="1">
      <c r="A11" s="530"/>
      <c r="B11" s="531"/>
      <c r="C11" s="532"/>
      <c r="D11" s="532"/>
      <c r="E11" s="532"/>
      <c r="F11" s="532"/>
      <c r="G11" s="532"/>
      <c r="H11" s="532"/>
      <c r="I11" s="532"/>
      <c r="J11" s="532"/>
    </row>
    <row r="12" spans="1:10">
      <c r="A12" s="646" t="s">
        <v>1400</v>
      </c>
      <c r="B12" s="646"/>
      <c r="C12" s="646"/>
      <c r="D12" s="646"/>
      <c r="E12" s="646"/>
      <c r="F12" s="646"/>
      <c r="G12" s="646"/>
      <c r="H12" s="646"/>
      <c r="I12" s="646"/>
      <c r="J12" s="646"/>
    </row>
    <row r="13" spans="1:10" s="496" customFormat="1">
      <c r="A13" s="646"/>
      <c r="B13" s="646"/>
      <c r="C13" s="646"/>
      <c r="D13" s="646"/>
      <c r="E13" s="646"/>
      <c r="F13" s="646"/>
      <c r="G13" s="646"/>
      <c r="H13" s="646"/>
      <c r="I13" s="646"/>
      <c r="J13" s="646"/>
    </row>
    <row r="14" spans="1:10" s="496" customFormat="1" ht="15.75" customHeight="1">
      <c r="A14" s="524"/>
      <c r="B14" s="341">
        <v>2015</v>
      </c>
      <c r="C14" s="341">
        <v>2016</v>
      </c>
      <c r="D14" s="341">
        <v>2017</v>
      </c>
      <c r="E14" s="341">
        <v>2018</v>
      </c>
      <c r="F14" s="341">
        <v>2019</v>
      </c>
      <c r="G14" s="341">
        <v>2020</v>
      </c>
      <c r="H14" s="341">
        <v>2021</v>
      </c>
      <c r="I14" s="341">
        <v>2022</v>
      </c>
      <c r="J14" s="342">
        <v>2023</v>
      </c>
    </row>
    <row r="15" spans="1:10">
      <c r="A15" s="176" t="s">
        <v>1386</v>
      </c>
      <c r="B15" s="528">
        <f>+Indicadores!F7</f>
        <v>23.099607724423254</v>
      </c>
      <c r="C15" s="528">
        <f>+Indicadores!G7</f>
        <v>27.463792246180795</v>
      </c>
      <c r="D15" s="528">
        <f>+Indicadores!H7</f>
        <v>34.457206372730646</v>
      </c>
      <c r="E15" s="528">
        <f>+Indicadores!I7</f>
        <v>28.409795286417662</v>
      </c>
      <c r="F15" s="528">
        <f>+Indicadores!J7</f>
        <v>28</v>
      </c>
      <c r="G15" s="528">
        <f>+Indicadores!K7</f>
        <v>27.500000000000004</v>
      </c>
      <c r="H15" s="528">
        <f>+Indicadores!L7</f>
        <v>27.000000000000004</v>
      </c>
      <c r="I15" s="528">
        <f>+Indicadores!M7</f>
        <v>26.5</v>
      </c>
      <c r="J15" s="528">
        <f>+Indicadores!N7</f>
        <v>25.700000000000003</v>
      </c>
    </row>
    <row r="16" spans="1:10">
      <c r="A16" s="176" t="s">
        <v>1388</v>
      </c>
      <c r="B16" s="528">
        <v>41.363843734242558</v>
      </c>
      <c r="C16" s="528">
        <v>38.079071004343589</v>
      </c>
      <c r="D16" s="528">
        <v>44.409926766817669</v>
      </c>
      <c r="E16" s="528">
        <v>44.979635815106128</v>
      </c>
      <c r="F16" s="528">
        <v>43</v>
      </c>
      <c r="G16" s="528">
        <v>42</v>
      </c>
      <c r="H16" s="528">
        <v>41</v>
      </c>
      <c r="I16" s="528">
        <v>40</v>
      </c>
      <c r="J16" s="528">
        <v>38</v>
      </c>
    </row>
    <row r="17" spans="1:10">
      <c r="A17" s="176" t="s">
        <v>16</v>
      </c>
      <c r="B17" s="528">
        <v>59.073754466484488</v>
      </c>
      <c r="C17" s="528">
        <v>82.317969685394246</v>
      </c>
      <c r="D17" s="528">
        <v>87.702401991580416</v>
      </c>
      <c r="E17" s="528">
        <v>83.046930806412533</v>
      </c>
      <c r="F17" s="528">
        <v>83</v>
      </c>
      <c r="G17" s="528">
        <v>85</v>
      </c>
      <c r="H17" s="528">
        <v>87</v>
      </c>
      <c r="I17" s="528">
        <v>88.3</v>
      </c>
      <c r="J17" s="528">
        <v>89</v>
      </c>
    </row>
    <row r="18" spans="1:10">
      <c r="A18" s="176" t="s">
        <v>1401</v>
      </c>
      <c r="B18" s="533">
        <f>+B15+B16-B17</f>
        <v>5.389696992181328</v>
      </c>
      <c r="C18" s="533">
        <f t="shared" ref="C18:J18" si="2">+C15+C16-C17</f>
        <v>-16.775106434869855</v>
      </c>
      <c r="D18" s="533">
        <f t="shared" si="2"/>
        <v>-8.835268852032101</v>
      </c>
      <c r="E18" s="533">
        <f t="shared" si="2"/>
        <v>-9.6574997048887354</v>
      </c>
      <c r="F18" s="533">
        <f t="shared" si="2"/>
        <v>-12</v>
      </c>
      <c r="G18" s="533">
        <f t="shared" si="2"/>
        <v>-15.5</v>
      </c>
      <c r="H18" s="533">
        <f t="shared" si="2"/>
        <v>-19</v>
      </c>
      <c r="I18" s="533">
        <f t="shared" si="2"/>
        <v>-21.799999999999997</v>
      </c>
      <c r="J18" s="533">
        <f t="shared" si="2"/>
        <v>-25.299999999999997</v>
      </c>
    </row>
    <row r="19" spans="1:10">
      <c r="B19" s="498"/>
      <c r="C19" s="498"/>
      <c r="D19" s="498"/>
      <c r="E19" s="498"/>
      <c r="F19" s="498"/>
      <c r="G19" s="498"/>
      <c r="H19" s="498"/>
      <c r="I19" s="498"/>
      <c r="J19" s="498"/>
    </row>
    <row r="20" spans="1:10">
      <c r="B20" s="141"/>
      <c r="C20" s="141"/>
      <c r="D20" s="141"/>
      <c r="E20" s="141"/>
      <c r="F20" s="141"/>
      <c r="G20" s="141"/>
      <c r="H20" s="141"/>
      <c r="I20" s="141"/>
      <c r="J20" s="141"/>
    </row>
  </sheetData>
  <mergeCells count="2">
    <mergeCell ref="A3:J4"/>
    <mergeCell ref="A12:J1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5"/>
  <sheetViews>
    <sheetView showGridLines="0" workbookViewId="0">
      <selection activeCell="C8" sqref="C8"/>
    </sheetView>
  </sheetViews>
  <sheetFormatPr baseColWidth="10" defaultColWidth="11" defaultRowHeight="15.75"/>
  <cols>
    <col min="1" max="1" width="29.75" customWidth="1"/>
    <col min="2" max="2" width="32" customWidth="1"/>
    <col min="3" max="3" width="25.125" customWidth="1"/>
    <col min="4" max="4" width="30" customWidth="1"/>
  </cols>
  <sheetData>
    <row r="1" spans="1:4">
      <c r="A1" s="646" t="s">
        <v>1446</v>
      </c>
      <c r="B1" s="646"/>
      <c r="C1" s="646"/>
      <c r="D1" s="646"/>
    </row>
    <row r="2" spans="1:4">
      <c r="A2" s="646"/>
      <c r="B2" s="646"/>
      <c r="C2" s="646"/>
      <c r="D2" s="646"/>
    </row>
    <row r="3" spans="1:4" ht="23.25">
      <c r="B3" s="647" t="s">
        <v>1420</v>
      </c>
      <c r="C3" s="647"/>
      <c r="D3" s="647"/>
    </row>
    <row r="4" spans="1:4">
      <c r="B4" s="542" t="s">
        <v>1421</v>
      </c>
      <c r="C4" s="542" t="s">
        <v>1422</v>
      </c>
      <c r="D4" s="542" t="s">
        <v>1423</v>
      </c>
    </row>
    <row r="5" spans="1:4">
      <c r="A5" s="175" t="s">
        <v>1431</v>
      </c>
      <c r="B5" s="545">
        <v>1.9542301046733155</v>
      </c>
      <c r="C5" s="545">
        <v>1.9542301046733155</v>
      </c>
      <c r="D5" s="545">
        <v>1.9542301046733155</v>
      </c>
    </row>
    <row r="6" spans="1:4">
      <c r="A6" s="175" t="s">
        <v>1432</v>
      </c>
      <c r="B6" s="546">
        <f>B5*$B$38</f>
        <v>6350.7592826621067</v>
      </c>
      <c r="C6" s="546">
        <f>C5*$B$38</f>
        <v>6350.7592826621067</v>
      </c>
      <c r="D6" s="546">
        <f>D5*$B$38</f>
        <v>6350.7592826621067</v>
      </c>
    </row>
    <row r="7" spans="1:4">
      <c r="A7" s="175" t="s">
        <v>1424</v>
      </c>
      <c r="B7" s="353">
        <f>Multiplos!B16</f>
        <v>0.50182664058155946</v>
      </c>
      <c r="C7" s="353">
        <f>Multiplos!B17</f>
        <v>1.2707043273341099</v>
      </c>
      <c r="D7" s="353">
        <f>Multiplos!B18</f>
        <v>2.9702201001216331</v>
      </c>
    </row>
    <row r="8" spans="1:4">
      <c r="A8" s="175" t="s">
        <v>1429</v>
      </c>
      <c r="B8" s="545">
        <f>B7*B5</f>
        <v>0.98068472835155918</v>
      </c>
      <c r="C8" s="545">
        <f t="shared" ref="C8:D8" si="0">C7*C5</f>
        <v>2.4832486506149727</v>
      </c>
      <c r="D8" s="545">
        <f t="shared" si="0"/>
        <v>5.8044935371634843</v>
      </c>
    </row>
    <row r="9" spans="1:4">
      <c r="A9" s="175" t="s">
        <v>1430</v>
      </c>
      <c r="B9" s="546">
        <f>B7*B6</f>
        <v>3186.9801959604793</v>
      </c>
      <c r="C9" s="546">
        <f t="shared" ref="C9:D9" si="1">C8*C6</f>
        <v>15770.514419051189</v>
      </c>
      <c r="D9" s="546">
        <f t="shared" si="1"/>
        <v>36862.941212293204</v>
      </c>
    </row>
    <row r="11" spans="1:4" ht="23.25">
      <c r="B11" s="647" t="s">
        <v>1425</v>
      </c>
      <c r="C11" s="647"/>
      <c r="D11" s="647"/>
    </row>
    <row r="12" spans="1:4">
      <c r="B12" s="542" t="s">
        <v>1421</v>
      </c>
      <c r="C12" s="542" t="s">
        <v>1422</v>
      </c>
      <c r="D12" s="542" t="s">
        <v>1423</v>
      </c>
    </row>
    <row r="13" spans="1:4">
      <c r="A13" s="175" t="s">
        <v>1433</v>
      </c>
      <c r="B13" s="545">
        <v>2.5355477757365819</v>
      </c>
      <c r="C13" s="545">
        <v>2.5355477757365819</v>
      </c>
      <c r="D13" s="545">
        <v>2.5355477757365819</v>
      </c>
    </row>
    <row r="14" spans="1:4">
      <c r="A14" s="175" t="s">
        <v>1434</v>
      </c>
      <c r="B14" s="546">
        <v>8239.8963841999575</v>
      </c>
      <c r="C14" s="546">
        <v>8239.8963841999575</v>
      </c>
      <c r="D14" s="546">
        <v>8239.8963841999575</v>
      </c>
    </row>
    <row r="15" spans="1:4">
      <c r="A15" s="175" t="s">
        <v>1426</v>
      </c>
      <c r="B15" s="353">
        <f>Multiplos!C16</f>
        <v>0.44851034725058175</v>
      </c>
      <c r="C15" s="353">
        <f>Multiplos!C17</f>
        <v>1.1819520433025668</v>
      </c>
      <c r="D15" s="353">
        <f>Multiplos!C18</f>
        <v>2.5020811650726529</v>
      </c>
    </row>
    <row r="16" spans="1:4">
      <c r="A16" s="175" t="s">
        <v>1435</v>
      </c>
      <c r="B16" s="545">
        <f>B15*B13</f>
        <v>1.1372194133660545</v>
      </c>
      <c r="C16" s="545">
        <f>C15*C13</f>
        <v>2.9968958744231311</v>
      </c>
      <c r="D16" s="545">
        <f>D15*D13</f>
        <v>6.3441463328123602</v>
      </c>
    </row>
    <row r="17" spans="1:4">
      <c r="A17" s="175" t="s">
        <v>1436</v>
      </c>
      <c r="B17" s="546">
        <f>B15*B14</f>
        <v>3695.6787885863359</v>
      </c>
      <c r="C17" s="546">
        <f>C15*C14</f>
        <v>9739.1623679065706</v>
      </c>
      <c r="D17" s="546">
        <f>D15*D14</f>
        <v>20616.889545056969</v>
      </c>
    </row>
    <row r="19" spans="1:4" ht="23.25">
      <c r="B19" s="647" t="s">
        <v>1427</v>
      </c>
      <c r="C19" s="647"/>
      <c r="D19" s="647"/>
    </row>
    <row r="20" spans="1:4">
      <c r="B20" s="542" t="s">
        <v>1421</v>
      </c>
      <c r="C20" s="542" t="s">
        <v>1422</v>
      </c>
      <c r="D20" s="542" t="s">
        <v>1423</v>
      </c>
    </row>
    <row r="21" spans="1:4">
      <c r="A21" s="175" t="s">
        <v>1437</v>
      </c>
      <c r="B21" s="545">
        <v>0.20276563876707579</v>
      </c>
      <c r="C21" s="545">
        <v>0.20276563876707579</v>
      </c>
      <c r="D21" s="545">
        <v>0.20276563876707579</v>
      </c>
    </row>
    <row r="22" spans="1:4">
      <c r="A22" s="175" t="s">
        <v>1438</v>
      </c>
      <c r="B22" s="546">
        <v>658.93763458330454</v>
      </c>
      <c r="C22" s="546">
        <v>658.93763458330454</v>
      </c>
      <c r="D22" s="546">
        <v>658.93763458330454</v>
      </c>
    </row>
    <row r="23" spans="1:4">
      <c r="A23" s="175" t="s">
        <v>1428</v>
      </c>
      <c r="B23" s="353">
        <f>Multiplos!F16</f>
        <v>5.6085429121635375</v>
      </c>
      <c r="C23" s="353">
        <f>Multiplos!F17</f>
        <v>18.652477859098759</v>
      </c>
      <c r="D23" s="353">
        <f>Multiplos!F18</f>
        <v>40.729999999999997</v>
      </c>
    </row>
    <row r="24" spans="1:4">
      <c r="A24" s="175" t="s">
        <v>1439</v>
      </c>
      <c r="B24" s="545">
        <f>B23*B21</f>
        <v>1.1372197861373952</v>
      </c>
      <c r="C24" s="545">
        <f>C23*C21</f>
        <v>3.7820815876888982</v>
      </c>
      <c r="D24" s="545">
        <f>D23*D21</f>
        <v>8.2586444669829966</v>
      </c>
    </row>
    <row r="25" spans="1:4">
      <c r="A25" s="175" t="s">
        <v>1440</v>
      </c>
      <c r="B25" s="546">
        <f>B23*B22</f>
        <v>3695.68</v>
      </c>
      <c r="C25" s="546">
        <f>C23*C22</f>
        <v>12290.819639591997</v>
      </c>
      <c r="D25" s="546">
        <f>D23*D22</f>
        <v>26838.529856577992</v>
      </c>
    </row>
    <row r="27" spans="1:4" ht="23.25">
      <c r="A27" s="496"/>
      <c r="B27" s="647" t="s">
        <v>1442</v>
      </c>
      <c r="C27" s="647"/>
      <c r="D27" s="647"/>
    </row>
    <row r="28" spans="1:4">
      <c r="A28" s="496"/>
      <c r="B28" s="542" t="s">
        <v>1421</v>
      </c>
      <c r="C28" s="542" t="s">
        <v>1422</v>
      </c>
      <c r="D28" s="542" t="s">
        <v>1423</v>
      </c>
    </row>
    <row r="29" spans="1:4">
      <c r="A29" s="175" t="s">
        <v>39</v>
      </c>
      <c r="B29" s="545">
        <f>'Estados de Resultados Consolida'!H13</f>
        <v>242507</v>
      </c>
      <c r="C29" s="545">
        <f>B29</f>
        <v>242507</v>
      </c>
      <c r="D29" s="545">
        <f>C29</f>
        <v>242507</v>
      </c>
    </row>
    <row r="30" spans="1:4">
      <c r="A30" s="175" t="s">
        <v>1450</v>
      </c>
      <c r="B30" s="545">
        <f>B33*B31</f>
        <v>1169666.2010338714</v>
      </c>
      <c r="C30" s="545">
        <f>C33*C31</f>
        <v>2141445.8981792126</v>
      </c>
      <c r="D30" s="545">
        <f>D33*D31</f>
        <v>3522563.6139016175</v>
      </c>
    </row>
    <row r="31" spans="1:4">
      <c r="A31" s="175" t="s">
        <v>955</v>
      </c>
      <c r="B31" s="4">
        <v>557079</v>
      </c>
      <c r="C31" s="4">
        <v>557079</v>
      </c>
      <c r="D31" s="4">
        <v>557079</v>
      </c>
    </row>
    <row r="32" spans="1:4">
      <c r="A32" s="175" t="s">
        <v>1412</v>
      </c>
      <c r="B32" s="353">
        <f>Multiplos!E16</f>
        <v>4.8232265503011105</v>
      </c>
      <c r="C32" s="353">
        <f>Multiplos!E17</f>
        <v>8.8304498351767684</v>
      </c>
      <c r="D32" s="353">
        <f>Multiplos!E18</f>
        <v>14.525616225105328</v>
      </c>
    </row>
    <row r="33" spans="1:8">
      <c r="A33" s="175" t="s">
        <v>1448</v>
      </c>
      <c r="B33" s="545">
        <f>B32*B29/B31</f>
        <v>2.0996415248714659</v>
      </c>
      <c r="C33" s="545">
        <f>C32*C29/C31</f>
        <v>3.8440614314652186</v>
      </c>
      <c r="D33" s="545">
        <f>D32*D29/D31</f>
        <v>6.3232748208092886</v>
      </c>
    </row>
    <row r="34" spans="1:8">
      <c r="A34" s="175" t="s">
        <v>1449</v>
      </c>
      <c r="B34" s="546">
        <f>B33*$B$38</f>
        <v>6823.3100454510468</v>
      </c>
      <c r="C34" s="546">
        <f>C33*$B$38</f>
        <v>12492.238636904094</v>
      </c>
      <c r="D34" s="546">
        <f>D33*$B$38</f>
        <v>20549.062348924985</v>
      </c>
      <c r="H34" s="496"/>
    </row>
    <row r="35" spans="1:8">
      <c r="H35" s="496"/>
    </row>
    <row r="38" spans="1:8">
      <c r="A38" t="s">
        <v>1447</v>
      </c>
      <c r="B38">
        <v>3249.75</v>
      </c>
    </row>
    <row r="40" spans="1:8" ht="23.25">
      <c r="B40" s="647" t="s">
        <v>1456</v>
      </c>
      <c r="C40" s="647"/>
      <c r="D40" s="647"/>
    </row>
    <row r="41" spans="1:8">
      <c r="B41" s="542" t="s">
        <v>1421</v>
      </c>
      <c r="C41" s="542" t="s">
        <v>1422</v>
      </c>
      <c r="D41" s="542" t="s">
        <v>1423</v>
      </c>
    </row>
    <row r="42" spans="1:8">
      <c r="A42" t="s">
        <v>1452</v>
      </c>
      <c r="B42" s="546">
        <f>B9</f>
        <v>3186.9801959604793</v>
      </c>
      <c r="C42" s="546">
        <f>C9</f>
        <v>15770.514419051189</v>
      </c>
      <c r="D42" s="546">
        <f>D9</f>
        <v>36862.941212293204</v>
      </c>
    </row>
    <row r="43" spans="1:8">
      <c r="A43" t="s">
        <v>1453</v>
      </c>
      <c r="B43" s="546">
        <f>B17</f>
        <v>3695.6787885863359</v>
      </c>
      <c r="C43" s="546">
        <f>C17</f>
        <v>9739.1623679065706</v>
      </c>
      <c r="D43" s="546">
        <f>D17</f>
        <v>20616.889545056969</v>
      </c>
    </row>
    <row r="44" spans="1:8">
      <c r="A44" t="s">
        <v>1454</v>
      </c>
      <c r="B44" s="546">
        <f>B25</f>
        <v>3695.68</v>
      </c>
      <c r="C44" s="546">
        <f>C25</f>
        <v>12290.819639591997</v>
      </c>
      <c r="D44" s="546">
        <f>D25</f>
        <v>26838.529856577992</v>
      </c>
    </row>
    <row r="45" spans="1:8">
      <c r="A45" t="s">
        <v>1455</v>
      </c>
      <c r="B45" s="546">
        <f>B34</f>
        <v>6823.3100454510468</v>
      </c>
      <c r="C45" s="546">
        <f>C34</f>
        <v>12492.238636904094</v>
      </c>
      <c r="D45" s="546">
        <f>D34</f>
        <v>20549.062348924985</v>
      </c>
    </row>
  </sheetData>
  <mergeCells count="6">
    <mergeCell ref="B40:D40"/>
    <mergeCell ref="A1:D2"/>
    <mergeCell ref="B3:D3"/>
    <mergeCell ref="B11:D11"/>
    <mergeCell ref="B19:D19"/>
    <mergeCell ref="B27:D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23"/>
  <sheetViews>
    <sheetView showGridLines="0" zoomScale="60" zoomScaleNormal="60" workbookViewId="0">
      <selection activeCell="B19" sqref="B19"/>
    </sheetView>
  </sheetViews>
  <sheetFormatPr baseColWidth="10" defaultColWidth="11" defaultRowHeight="15.75"/>
  <cols>
    <col min="2" max="2" width="11" customWidth="1"/>
  </cols>
  <sheetData>
    <row r="1" spans="1:15">
      <c r="A1">
        <v>9</v>
      </c>
    </row>
    <row r="3" spans="1:15" ht="15.75" customHeight="1">
      <c r="C3" s="607" t="s">
        <v>783</v>
      </c>
      <c r="D3" s="607"/>
      <c r="E3" s="607"/>
      <c r="F3" s="607"/>
      <c r="G3" s="607"/>
      <c r="H3" s="607"/>
      <c r="I3" s="607"/>
      <c r="J3" s="607"/>
      <c r="K3" s="607"/>
      <c r="L3" s="607"/>
      <c r="M3" s="607"/>
      <c r="N3" s="607"/>
      <c r="O3" s="607"/>
    </row>
    <row r="4" spans="1:15" ht="15.75" customHeight="1">
      <c r="C4" s="607"/>
      <c r="D4" s="607"/>
      <c r="E4" s="607"/>
      <c r="F4" s="607"/>
      <c r="G4" s="607"/>
      <c r="H4" s="607"/>
      <c r="I4" s="607"/>
      <c r="J4" s="607"/>
      <c r="K4" s="607"/>
      <c r="L4" s="607"/>
      <c r="M4" s="607"/>
      <c r="N4" s="607"/>
      <c r="O4" s="607"/>
    </row>
    <row r="10" spans="1:15">
      <c r="G10" s="53"/>
    </row>
    <row r="13" spans="1:15" ht="15.75" customHeight="1">
      <c r="C13" s="606" t="s">
        <v>784</v>
      </c>
      <c r="D13" s="606"/>
      <c r="E13" s="606"/>
      <c r="F13" s="606"/>
      <c r="G13" s="606"/>
      <c r="H13" s="606"/>
      <c r="I13" s="606"/>
      <c r="J13" s="606"/>
      <c r="K13" s="606"/>
      <c r="L13" s="606"/>
      <c r="M13" s="606"/>
      <c r="N13" s="606"/>
      <c r="O13" s="606"/>
    </row>
    <row r="14" spans="1:15" ht="15.75" customHeight="1">
      <c r="C14" s="606"/>
      <c r="D14" s="606"/>
      <c r="E14" s="606"/>
      <c r="F14" s="606"/>
      <c r="G14" s="606"/>
      <c r="H14" s="606"/>
      <c r="I14" s="606"/>
      <c r="J14" s="606"/>
      <c r="K14" s="606"/>
      <c r="L14" s="606"/>
      <c r="M14" s="606"/>
      <c r="N14" s="606"/>
      <c r="O14" s="606"/>
    </row>
    <row r="22" spans="3:15" ht="15.75" customHeight="1">
      <c r="C22" s="608" t="s">
        <v>785</v>
      </c>
      <c r="D22" s="608"/>
      <c r="E22" s="608"/>
      <c r="F22" s="608"/>
      <c r="G22" s="608"/>
      <c r="H22" s="608"/>
      <c r="I22" s="608"/>
      <c r="J22" s="608"/>
      <c r="K22" s="608"/>
      <c r="L22" s="608"/>
      <c r="M22" s="608"/>
      <c r="N22" s="608"/>
      <c r="O22" s="608"/>
    </row>
    <row r="23" spans="3:15" ht="15.75" customHeight="1">
      <c r="C23" s="608"/>
      <c r="D23" s="608"/>
      <c r="E23" s="608"/>
      <c r="F23" s="608"/>
      <c r="G23" s="608"/>
      <c r="H23" s="608"/>
      <c r="I23" s="608"/>
      <c r="J23" s="608"/>
      <c r="K23" s="608"/>
      <c r="L23" s="608"/>
      <c r="M23" s="608"/>
      <c r="N23" s="608"/>
      <c r="O23" s="608"/>
    </row>
  </sheetData>
  <mergeCells count="3">
    <mergeCell ref="C13:O14"/>
    <mergeCell ref="C3:O4"/>
    <mergeCell ref="C22:O2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F18"/>
  <sheetViews>
    <sheetView showGridLines="0" workbookViewId="0">
      <selection activeCell="D13" sqref="D13"/>
    </sheetView>
  </sheetViews>
  <sheetFormatPr baseColWidth="10" defaultColWidth="11" defaultRowHeight="15.75"/>
  <cols>
    <col min="1" max="1" width="28.25" customWidth="1"/>
    <col min="6" max="6" width="13.125" bestFit="1" customWidth="1"/>
  </cols>
  <sheetData>
    <row r="2" spans="1:6">
      <c r="B2" s="646" t="s">
        <v>1451</v>
      </c>
      <c r="C2" s="646"/>
      <c r="D2" s="646"/>
      <c r="E2" s="646"/>
      <c r="F2" s="646"/>
    </row>
    <row r="3" spans="1:6">
      <c r="B3" s="646"/>
      <c r="C3" s="646"/>
      <c r="D3" s="646"/>
      <c r="E3" s="646"/>
      <c r="F3" s="646"/>
    </row>
    <row r="4" spans="1:6">
      <c r="B4" s="648"/>
      <c r="C4" s="648"/>
      <c r="D4" s="648"/>
      <c r="E4" s="648"/>
      <c r="F4" s="648"/>
    </row>
    <row r="5" spans="1:6">
      <c r="A5" s="541" t="s">
        <v>1408</v>
      </c>
      <c r="B5" s="542" t="s">
        <v>1409</v>
      </c>
      <c r="C5" s="542" t="s">
        <v>1410</v>
      </c>
      <c r="D5" s="542" t="s">
        <v>1411</v>
      </c>
      <c r="E5" s="542" t="s">
        <v>1412</v>
      </c>
      <c r="F5" s="542" t="s">
        <v>1413</v>
      </c>
    </row>
    <row r="6" spans="1:6">
      <c r="A6" s="496" t="s">
        <v>1414</v>
      </c>
      <c r="B6" s="547">
        <v>0.86</v>
      </c>
      <c r="C6" s="547">
        <v>0.89</v>
      </c>
      <c r="D6" s="547">
        <v>4.49</v>
      </c>
      <c r="E6" s="547">
        <v>9.721574344023324</v>
      </c>
      <c r="F6" s="547">
        <v>40.729999999999997</v>
      </c>
    </row>
    <row r="7" spans="1:6">
      <c r="A7" s="496" t="s">
        <v>1415</v>
      </c>
      <c r="B7" s="547">
        <v>0.50182664058155946</v>
      </c>
      <c r="C7" s="547">
        <v>0.6478245053253463</v>
      </c>
      <c r="D7" s="547">
        <v>2.8358262421570739</v>
      </c>
      <c r="E7" s="547">
        <v>7.4715708571876718</v>
      </c>
      <c r="F7" s="547">
        <v>13.274456833239665</v>
      </c>
    </row>
    <row r="8" spans="1:6">
      <c r="A8" s="496" t="s">
        <v>1416</v>
      </c>
      <c r="B8" s="547">
        <v>1.0458441099070135</v>
      </c>
      <c r="C8" s="547">
        <v>0.98449548602482762</v>
      </c>
      <c r="D8" s="547">
        <v>3.4384071034236534</v>
      </c>
      <c r="E8" s="547">
        <v>6.9991880920162375</v>
      </c>
      <c r="F8" s="547">
        <v>15.782502170373167</v>
      </c>
    </row>
    <row r="9" spans="1:6">
      <c r="A9" s="496" t="s">
        <v>1417</v>
      </c>
      <c r="B9" s="547">
        <v>1.8917852161666666</v>
      </c>
      <c r="C9" s="547">
        <v>1.6938612154484995</v>
      </c>
      <c r="D9" s="547">
        <v>6.7480803833537975</v>
      </c>
      <c r="E9" s="547">
        <v>8.3578352180936992</v>
      </c>
      <c r="F9" s="547">
        <v>26.312200045959056</v>
      </c>
    </row>
    <row r="10" spans="1:6">
      <c r="A10" s="496" t="s">
        <v>1418</v>
      </c>
      <c r="B10" s="547">
        <v>0.84434748822238459</v>
      </c>
      <c r="C10" s="547">
        <v>1.0364169557617477</v>
      </c>
      <c r="D10" s="547">
        <v>5.829409173737373</v>
      </c>
      <c r="E10" s="547">
        <v>7.8855218855218849</v>
      </c>
      <c r="F10" s="547">
        <v>11.206048702912621</v>
      </c>
    </row>
    <row r="11" spans="1:6">
      <c r="A11" s="496" t="s">
        <v>1419</v>
      </c>
      <c r="B11" s="547">
        <v>0.5819274761583203</v>
      </c>
      <c r="C11" s="547">
        <v>0.44851034725058175</v>
      </c>
      <c r="D11" s="547">
        <v>2.1890911993436459</v>
      </c>
      <c r="E11" s="547">
        <v>4.8232265503011105</v>
      </c>
      <c r="F11" s="547">
        <v>5.6085429121635375</v>
      </c>
    </row>
    <row r="12" spans="1:6">
      <c r="A12" s="496" t="s">
        <v>1443</v>
      </c>
      <c r="B12" s="547">
        <v>2.9702201001216331</v>
      </c>
      <c r="C12" s="547">
        <v>2.5020811650726529</v>
      </c>
      <c r="D12" s="547">
        <v>11.899975776057421</v>
      </c>
      <c r="E12" s="547">
        <v>14.525616225105328</v>
      </c>
      <c r="F12" s="547">
        <v>25.238385824100195</v>
      </c>
    </row>
    <row r="13" spans="1:6">
      <c r="A13" s="496" t="s">
        <v>1444</v>
      </c>
      <c r="B13" s="547">
        <v>2.5460197490024772</v>
      </c>
      <c r="C13" s="547">
        <v>2.1832861176236689</v>
      </c>
      <c r="D13" s="547">
        <v>10.442883452361395</v>
      </c>
      <c r="E13" s="547">
        <v>13.42858751220078</v>
      </c>
      <c r="F13" s="547">
        <v>23.031045947074972</v>
      </c>
    </row>
    <row r="14" spans="1:6">
      <c r="A14" s="496" t="s">
        <v>826</v>
      </c>
      <c r="B14" s="547">
        <v>0.87908592805650621</v>
      </c>
      <c r="C14" s="547">
        <v>0.80341310684457456</v>
      </c>
      <c r="D14" s="547">
        <v>4.9855408011563078</v>
      </c>
      <c r="E14" s="547">
        <v>8.4133750567829857</v>
      </c>
      <c r="F14" s="547">
        <v>16.075215778961383</v>
      </c>
    </row>
    <row r="15" spans="1:6">
      <c r="A15" s="496" t="s">
        <v>1445</v>
      </c>
      <c r="B15" s="547">
        <v>0.58598656512453962</v>
      </c>
      <c r="C15" s="547">
        <v>0.62963153367376667</v>
      </c>
      <c r="D15" s="547">
        <v>3.4999249124314331</v>
      </c>
      <c r="E15" s="547">
        <v>6.6780026105346639</v>
      </c>
      <c r="F15" s="547">
        <v>9.2663803762029762</v>
      </c>
    </row>
    <row r="16" spans="1:6">
      <c r="A16" t="s">
        <v>181</v>
      </c>
      <c r="B16" s="548">
        <f>MIN(B6:B15)</f>
        <v>0.50182664058155946</v>
      </c>
      <c r="C16" s="548">
        <f>MIN(C6:C15)</f>
        <v>0.44851034725058175</v>
      </c>
      <c r="D16" s="548">
        <f>MIN(D6:D15)</f>
        <v>2.1890911993436459</v>
      </c>
      <c r="E16" s="548">
        <f>MIN(E6:E15)</f>
        <v>4.8232265503011105</v>
      </c>
      <c r="F16" s="548">
        <f>MIN(F6:F15)</f>
        <v>5.6085429121635375</v>
      </c>
    </row>
    <row r="17" spans="1:6">
      <c r="A17" t="s">
        <v>1402</v>
      </c>
      <c r="B17" s="548">
        <f>AVERAGE(B6:B15)</f>
        <v>1.2707043273341099</v>
      </c>
      <c r="C17" s="548">
        <f>AVERAGE(C6:C15)</f>
        <v>1.1819520433025668</v>
      </c>
      <c r="D17" s="548">
        <f>AVERAGE(D6:D15)</f>
        <v>5.6359139044022095</v>
      </c>
      <c r="E17" s="548">
        <f>AVERAGE(E6:E15)</f>
        <v>8.8304498351767684</v>
      </c>
      <c r="F17" s="548">
        <f>AVERAGE(F6:F15)</f>
        <v>18.652477859098759</v>
      </c>
    </row>
    <row r="18" spans="1:6">
      <c r="A18" t="s">
        <v>1441</v>
      </c>
      <c r="B18" s="548">
        <f>MAX(B6:B15)</f>
        <v>2.9702201001216331</v>
      </c>
      <c r="C18" s="548">
        <f t="shared" ref="C18:F18" si="0">MAX(C6:C15)</f>
        <v>2.5020811650726529</v>
      </c>
      <c r="D18" s="548">
        <f t="shared" si="0"/>
        <v>11.899975776057421</v>
      </c>
      <c r="E18" s="548">
        <f t="shared" si="0"/>
        <v>14.525616225105328</v>
      </c>
      <c r="F18" s="548">
        <f t="shared" si="0"/>
        <v>40.729999999999997</v>
      </c>
    </row>
  </sheetData>
  <mergeCells count="1">
    <mergeCell ref="B2:F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VZ123"/>
  <sheetViews>
    <sheetView showGridLines="0" workbookViewId="0">
      <selection activeCell="D3" sqref="D3"/>
    </sheetView>
  </sheetViews>
  <sheetFormatPr baseColWidth="10" defaultColWidth="0" defaultRowHeight="15" customHeight="1" zeroHeight="1"/>
  <cols>
    <col min="1" max="1" width="12.875" style="588" customWidth="1"/>
    <col min="2" max="2" width="10.625" style="588" customWidth="1"/>
    <col min="3" max="14" width="8" style="588" customWidth="1"/>
    <col min="15" max="15" width="17.25" style="588" bestFit="1" customWidth="1"/>
    <col min="16" max="16" width="18.75" style="588" customWidth="1"/>
    <col min="17" max="17" width="4.875" style="588" customWidth="1"/>
    <col min="18" max="18" width="6.5" style="588" customWidth="1"/>
    <col min="19" max="256" width="8" style="588" hidden="1"/>
    <col min="257" max="257" width="12.875" style="588" customWidth="1"/>
    <col min="258" max="258" width="10.625" style="588" customWidth="1"/>
    <col min="259" max="270" width="8" style="588" customWidth="1"/>
    <col min="271" max="271" width="17.25" style="588" bestFit="1" customWidth="1"/>
    <col min="272" max="272" width="18.75" style="588" customWidth="1"/>
    <col min="273" max="273" width="4.875" style="588" customWidth="1"/>
    <col min="274" max="274" width="6.5" style="588" customWidth="1"/>
    <col min="275" max="512" width="8" style="588" hidden="1"/>
    <col min="513" max="513" width="12.875" style="588" customWidth="1"/>
    <col min="514" max="514" width="10.625" style="588" customWidth="1"/>
    <col min="515" max="526" width="8" style="588" customWidth="1"/>
    <col min="527" max="527" width="17.25" style="588" bestFit="1" customWidth="1"/>
    <col min="528" max="528" width="18.75" style="588" customWidth="1"/>
    <col min="529" max="529" width="4.875" style="588" customWidth="1"/>
    <col min="530" max="530" width="6.5" style="588" customWidth="1"/>
    <col min="531" max="768" width="8" style="588" hidden="1"/>
    <col min="769" max="769" width="12.875" style="588" customWidth="1"/>
    <col min="770" max="770" width="10.625" style="588" customWidth="1"/>
    <col min="771" max="782" width="8" style="588" customWidth="1"/>
    <col min="783" max="783" width="17.25" style="588" bestFit="1" customWidth="1"/>
    <col min="784" max="784" width="18.75" style="588" customWidth="1"/>
    <col min="785" max="785" width="4.875" style="588" customWidth="1"/>
    <col min="786" max="786" width="6.5" style="588" customWidth="1"/>
    <col min="787" max="1024" width="8" style="588" hidden="1"/>
    <col min="1025" max="1025" width="12.875" style="588" customWidth="1"/>
    <col min="1026" max="1026" width="10.625" style="588" customWidth="1"/>
    <col min="1027" max="1038" width="8" style="588" customWidth="1"/>
    <col min="1039" max="1039" width="17.25" style="588" bestFit="1" customWidth="1"/>
    <col min="1040" max="1040" width="18.75" style="588" customWidth="1"/>
    <col min="1041" max="1041" width="4.875" style="588" customWidth="1"/>
    <col min="1042" max="1042" width="6.5" style="588" customWidth="1"/>
    <col min="1043" max="1280" width="8" style="588" hidden="1"/>
    <col min="1281" max="1281" width="12.875" style="588" customWidth="1"/>
    <col min="1282" max="1282" width="10.625" style="588" customWidth="1"/>
    <col min="1283" max="1294" width="8" style="588" customWidth="1"/>
    <col min="1295" max="1295" width="17.25" style="588" bestFit="1" customWidth="1"/>
    <col min="1296" max="1296" width="18.75" style="588" customWidth="1"/>
    <col min="1297" max="1297" width="4.875" style="588" customWidth="1"/>
    <col min="1298" max="1298" width="6.5" style="588" customWidth="1"/>
    <col min="1299" max="1536" width="8" style="588" hidden="1"/>
    <col min="1537" max="1537" width="12.875" style="588" customWidth="1"/>
    <col min="1538" max="1538" width="10.625" style="588" customWidth="1"/>
    <col min="1539" max="1550" width="8" style="588" customWidth="1"/>
    <col min="1551" max="1551" width="17.25" style="588" bestFit="1" customWidth="1"/>
    <col min="1552" max="1552" width="18.75" style="588" customWidth="1"/>
    <col min="1553" max="1553" width="4.875" style="588" customWidth="1"/>
    <col min="1554" max="1554" width="6.5" style="588" customWidth="1"/>
    <col min="1555" max="1792" width="8" style="588" hidden="1"/>
    <col min="1793" max="1793" width="12.875" style="588" customWidth="1"/>
    <col min="1794" max="1794" width="10.625" style="588" customWidth="1"/>
    <col min="1795" max="1806" width="8" style="588" customWidth="1"/>
    <col min="1807" max="1807" width="17.25" style="588" bestFit="1" customWidth="1"/>
    <col min="1808" max="1808" width="18.75" style="588" customWidth="1"/>
    <col min="1809" max="1809" width="4.875" style="588" customWidth="1"/>
    <col min="1810" max="1810" width="6.5" style="588" customWidth="1"/>
    <col min="1811" max="2048" width="8" style="588" hidden="1"/>
    <col min="2049" max="2049" width="12.875" style="588" customWidth="1"/>
    <col min="2050" max="2050" width="10.625" style="588" customWidth="1"/>
    <col min="2051" max="2062" width="8" style="588" customWidth="1"/>
    <col min="2063" max="2063" width="17.25" style="588" bestFit="1" customWidth="1"/>
    <col min="2064" max="2064" width="18.75" style="588" customWidth="1"/>
    <col min="2065" max="2065" width="4.875" style="588" customWidth="1"/>
    <col min="2066" max="2066" width="6.5" style="588" customWidth="1"/>
    <col min="2067" max="2304" width="8" style="588" hidden="1"/>
    <col min="2305" max="2305" width="12.875" style="588" customWidth="1"/>
    <col min="2306" max="2306" width="10.625" style="588" customWidth="1"/>
    <col min="2307" max="2318" width="8" style="588" customWidth="1"/>
    <col min="2319" max="2319" width="17.25" style="588" bestFit="1" customWidth="1"/>
    <col min="2320" max="2320" width="18.75" style="588" customWidth="1"/>
    <col min="2321" max="2321" width="4.875" style="588" customWidth="1"/>
    <col min="2322" max="2322" width="6.5" style="588" customWidth="1"/>
    <col min="2323" max="2560" width="8" style="588" hidden="1"/>
    <col min="2561" max="2561" width="12.875" style="588" customWidth="1"/>
    <col min="2562" max="2562" width="10.625" style="588" customWidth="1"/>
    <col min="2563" max="2574" width="8" style="588" customWidth="1"/>
    <col min="2575" max="2575" width="17.25" style="588" bestFit="1" customWidth="1"/>
    <col min="2576" max="2576" width="18.75" style="588" customWidth="1"/>
    <col min="2577" max="2577" width="4.875" style="588" customWidth="1"/>
    <col min="2578" max="2578" width="6.5" style="588" customWidth="1"/>
    <col min="2579" max="2816" width="8" style="588" hidden="1"/>
    <col min="2817" max="2817" width="12.875" style="588" customWidth="1"/>
    <col min="2818" max="2818" width="10.625" style="588" customWidth="1"/>
    <col min="2819" max="2830" width="8" style="588" customWidth="1"/>
    <col min="2831" max="2831" width="17.25" style="588" bestFit="1" customWidth="1"/>
    <col min="2832" max="2832" width="18.75" style="588" customWidth="1"/>
    <col min="2833" max="2833" width="4.875" style="588" customWidth="1"/>
    <col min="2834" max="2834" width="6.5" style="588" customWidth="1"/>
    <col min="2835" max="3072" width="8" style="588" hidden="1"/>
    <col min="3073" max="3073" width="12.875" style="588" customWidth="1"/>
    <col min="3074" max="3074" width="10.625" style="588" customWidth="1"/>
    <col min="3075" max="3086" width="8" style="588" customWidth="1"/>
    <col min="3087" max="3087" width="17.25" style="588" bestFit="1" customWidth="1"/>
    <col min="3088" max="3088" width="18.75" style="588" customWidth="1"/>
    <col min="3089" max="3089" width="4.875" style="588" customWidth="1"/>
    <col min="3090" max="3090" width="6.5" style="588" customWidth="1"/>
    <col min="3091" max="3328" width="8" style="588" hidden="1"/>
    <col min="3329" max="3329" width="12.875" style="588" customWidth="1"/>
    <col min="3330" max="3330" width="10.625" style="588" customWidth="1"/>
    <col min="3331" max="3342" width="8" style="588" customWidth="1"/>
    <col min="3343" max="3343" width="17.25" style="588" bestFit="1" customWidth="1"/>
    <col min="3344" max="3344" width="18.75" style="588" customWidth="1"/>
    <col min="3345" max="3345" width="4.875" style="588" customWidth="1"/>
    <col min="3346" max="3346" width="6.5" style="588" customWidth="1"/>
    <col min="3347" max="3584" width="8" style="588" hidden="1"/>
    <col min="3585" max="3585" width="12.875" style="588" customWidth="1"/>
    <col min="3586" max="3586" width="10.625" style="588" customWidth="1"/>
    <col min="3587" max="3598" width="8" style="588" customWidth="1"/>
    <col min="3599" max="3599" width="17.25" style="588" bestFit="1" customWidth="1"/>
    <col min="3600" max="3600" width="18.75" style="588" customWidth="1"/>
    <col min="3601" max="3601" width="4.875" style="588" customWidth="1"/>
    <col min="3602" max="3602" width="6.5" style="588" customWidth="1"/>
    <col min="3603" max="3840" width="8" style="588" hidden="1"/>
    <col min="3841" max="3841" width="12.875" style="588" customWidth="1"/>
    <col min="3842" max="3842" width="10.625" style="588" customWidth="1"/>
    <col min="3843" max="3854" width="8" style="588" customWidth="1"/>
    <col min="3855" max="3855" width="17.25" style="588" bestFit="1" customWidth="1"/>
    <col min="3856" max="3856" width="18.75" style="588" customWidth="1"/>
    <col min="3857" max="3857" width="4.875" style="588" customWidth="1"/>
    <col min="3858" max="3858" width="6.5" style="588" customWidth="1"/>
    <col min="3859" max="4096" width="8" style="588" hidden="1"/>
    <col min="4097" max="4097" width="12.875" style="588" customWidth="1"/>
    <col min="4098" max="4098" width="10.625" style="588" customWidth="1"/>
    <col min="4099" max="4110" width="8" style="588" customWidth="1"/>
    <col min="4111" max="4111" width="17.25" style="588" bestFit="1" customWidth="1"/>
    <col min="4112" max="4112" width="18.75" style="588" customWidth="1"/>
    <col min="4113" max="4113" width="4.875" style="588" customWidth="1"/>
    <col min="4114" max="4114" width="6.5" style="588" customWidth="1"/>
    <col min="4115" max="4352" width="8" style="588" hidden="1"/>
    <col min="4353" max="4353" width="12.875" style="588" customWidth="1"/>
    <col min="4354" max="4354" width="10.625" style="588" customWidth="1"/>
    <col min="4355" max="4366" width="8" style="588" customWidth="1"/>
    <col min="4367" max="4367" width="17.25" style="588" bestFit="1" customWidth="1"/>
    <col min="4368" max="4368" width="18.75" style="588" customWidth="1"/>
    <col min="4369" max="4369" width="4.875" style="588" customWidth="1"/>
    <col min="4370" max="4370" width="6.5" style="588" customWidth="1"/>
    <col min="4371" max="4608" width="8" style="588" hidden="1"/>
    <col min="4609" max="4609" width="12.875" style="588" customWidth="1"/>
    <col min="4610" max="4610" width="10.625" style="588" customWidth="1"/>
    <col min="4611" max="4622" width="8" style="588" customWidth="1"/>
    <col min="4623" max="4623" width="17.25" style="588" bestFit="1" customWidth="1"/>
    <col min="4624" max="4624" width="18.75" style="588" customWidth="1"/>
    <col min="4625" max="4625" width="4.875" style="588" customWidth="1"/>
    <col min="4626" max="4626" width="6.5" style="588" customWidth="1"/>
    <col min="4627" max="4864" width="8" style="588" hidden="1"/>
    <col min="4865" max="4865" width="12.875" style="588" customWidth="1"/>
    <col min="4866" max="4866" width="10.625" style="588" customWidth="1"/>
    <col min="4867" max="4878" width="8" style="588" customWidth="1"/>
    <col min="4879" max="4879" width="17.25" style="588" bestFit="1" customWidth="1"/>
    <col min="4880" max="4880" width="18.75" style="588" customWidth="1"/>
    <col min="4881" max="4881" width="4.875" style="588" customWidth="1"/>
    <col min="4882" max="4882" width="6.5" style="588" customWidth="1"/>
    <col min="4883" max="5120" width="8" style="588" hidden="1"/>
    <col min="5121" max="5121" width="12.875" style="588" customWidth="1"/>
    <col min="5122" max="5122" width="10.625" style="588" customWidth="1"/>
    <col min="5123" max="5134" width="8" style="588" customWidth="1"/>
    <col min="5135" max="5135" width="17.25" style="588" bestFit="1" customWidth="1"/>
    <col min="5136" max="5136" width="18.75" style="588" customWidth="1"/>
    <col min="5137" max="5137" width="4.875" style="588" customWidth="1"/>
    <col min="5138" max="5138" width="6.5" style="588" customWidth="1"/>
    <col min="5139" max="5376" width="8" style="588" hidden="1"/>
    <col min="5377" max="5377" width="12.875" style="588" customWidth="1"/>
    <col min="5378" max="5378" width="10.625" style="588" customWidth="1"/>
    <col min="5379" max="5390" width="8" style="588" customWidth="1"/>
    <col min="5391" max="5391" width="17.25" style="588" bestFit="1" customWidth="1"/>
    <col min="5392" max="5392" width="18.75" style="588" customWidth="1"/>
    <col min="5393" max="5393" width="4.875" style="588" customWidth="1"/>
    <col min="5394" max="5394" width="6.5" style="588" customWidth="1"/>
    <col min="5395" max="5632" width="8" style="588" hidden="1"/>
    <col min="5633" max="5633" width="12.875" style="588" customWidth="1"/>
    <col min="5634" max="5634" width="10.625" style="588" customWidth="1"/>
    <col min="5635" max="5646" width="8" style="588" customWidth="1"/>
    <col min="5647" max="5647" width="17.25" style="588" bestFit="1" customWidth="1"/>
    <col min="5648" max="5648" width="18.75" style="588" customWidth="1"/>
    <col min="5649" max="5649" width="4.875" style="588" customWidth="1"/>
    <col min="5650" max="5650" width="6.5" style="588" customWidth="1"/>
    <col min="5651" max="5888" width="8" style="588" hidden="1"/>
    <col min="5889" max="5889" width="12.875" style="588" customWidth="1"/>
    <col min="5890" max="5890" width="10.625" style="588" customWidth="1"/>
    <col min="5891" max="5902" width="8" style="588" customWidth="1"/>
    <col min="5903" max="5903" width="17.25" style="588" bestFit="1" customWidth="1"/>
    <col min="5904" max="5904" width="18.75" style="588" customWidth="1"/>
    <col min="5905" max="5905" width="4.875" style="588" customWidth="1"/>
    <col min="5906" max="5906" width="6.5" style="588" customWidth="1"/>
    <col min="5907" max="6144" width="8" style="588" hidden="1"/>
    <col min="6145" max="6145" width="12.875" style="588" customWidth="1"/>
    <col min="6146" max="6146" width="10.625" style="588" customWidth="1"/>
    <col min="6147" max="6158" width="8" style="588" customWidth="1"/>
    <col min="6159" max="6159" width="17.25" style="588" bestFit="1" customWidth="1"/>
    <col min="6160" max="6160" width="18.75" style="588" customWidth="1"/>
    <col min="6161" max="6161" width="4.875" style="588" customWidth="1"/>
    <col min="6162" max="6162" width="6.5" style="588" customWidth="1"/>
    <col min="6163" max="6400" width="8" style="588" hidden="1"/>
    <col min="6401" max="6401" width="12.875" style="588" customWidth="1"/>
    <col min="6402" max="6402" width="10.625" style="588" customWidth="1"/>
    <col min="6403" max="6414" width="8" style="588" customWidth="1"/>
    <col min="6415" max="6415" width="17.25" style="588" bestFit="1" customWidth="1"/>
    <col min="6416" max="6416" width="18.75" style="588" customWidth="1"/>
    <col min="6417" max="6417" width="4.875" style="588" customWidth="1"/>
    <col min="6418" max="6418" width="6.5" style="588" customWidth="1"/>
    <col min="6419" max="6656" width="8" style="588" hidden="1"/>
    <col min="6657" max="6657" width="12.875" style="588" customWidth="1"/>
    <col min="6658" max="6658" width="10.625" style="588" customWidth="1"/>
    <col min="6659" max="6670" width="8" style="588" customWidth="1"/>
    <col min="6671" max="6671" width="17.25" style="588" bestFit="1" customWidth="1"/>
    <col min="6672" max="6672" width="18.75" style="588" customWidth="1"/>
    <col min="6673" max="6673" width="4.875" style="588" customWidth="1"/>
    <col min="6674" max="6674" width="6.5" style="588" customWidth="1"/>
    <col min="6675" max="6912" width="8" style="588" hidden="1"/>
    <col min="6913" max="6913" width="12.875" style="588" customWidth="1"/>
    <col min="6914" max="6914" width="10.625" style="588" customWidth="1"/>
    <col min="6915" max="6926" width="8" style="588" customWidth="1"/>
    <col min="6927" max="6927" width="17.25" style="588" bestFit="1" customWidth="1"/>
    <col min="6928" max="6928" width="18.75" style="588" customWidth="1"/>
    <col min="6929" max="6929" width="4.875" style="588" customWidth="1"/>
    <col min="6930" max="6930" width="6.5" style="588" customWidth="1"/>
    <col min="6931" max="7168" width="8" style="588" hidden="1"/>
    <col min="7169" max="7169" width="12.875" style="588" customWidth="1"/>
    <col min="7170" max="7170" width="10.625" style="588" customWidth="1"/>
    <col min="7171" max="7182" width="8" style="588" customWidth="1"/>
    <col min="7183" max="7183" width="17.25" style="588" bestFit="1" customWidth="1"/>
    <col min="7184" max="7184" width="18.75" style="588" customWidth="1"/>
    <col min="7185" max="7185" width="4.875" style="588" customWidth="1"/>
    <col min="7186" max="7186" width="6.5" style="588" customWidth="1"/>
    <col min="7187" max="7424" width="8" style="588" hidden="1"/>
    <col min="7425" max="7425" width="12.875" style="588" customWidth="1"/>
    <col min="7426" max="7426" width="10.625" style="588" customWidth="1"/>
    <col min="7427" max="7438" width="8" style="588" customWidth="1"/>
    <col min="7439" max="7439" width="17.25" style="588" bestFit="1" customWidth="1"/>
    <col min="7440" max="7440" width="18.75" style="588" customWidth="1"/>
    <col min="7441" max="7441" width="4.875" style="588" customWidth="1"/>
    <col min="7442" max="7442" width="6.5" style="588" customWidth="1"/>
    <col min="7443" max="7680" width="8" style="588" hidden="1"/>
    <col min="7681" max="7681" width="12.875" style="588" customWidth="1"/>
    <col min="7682" max="7682" width="10.625" style="588" customWidth="1"/>
    <col min="7683" max="7694" width="8" style="588" customWidth="1"/>
    <col min="7695" max="7695" width="17.25" style="588" bestFit="1" customWidth="1"/>
    <col min="7696" max="7696" width="18.75" style="588" customWidth="1"/>
    <col min="7697" max="7697" width="4.875" style="588" customWidth="1"/>
    <col min="7698" max="7698" width="6.5" style="588" customWidth="1"/>
    <col min="7699" max="7936" width="8" style="588" hidden="1"/>
    <col min="7937" max="7937" width="12.875" style="588" customWidth="1"/>
    <col min="7938" max="7938" width="10.625" style="588" customWidth="1"/>
    <col min="7939" max="7950" width="8" style="588" customWidth="1"/>
    <col min="7951" max="7951" width="17.25" style="588" bestFit="1" customWidth="1"/>
    <col min="7952" max="7952" width="18.75" style="588" customWidth="1"/>
    <col min="7953" max="7953" width="4.875" style="588" customWidth="1"/>
    <col min="7954" max="7954" width="6.5" style="588" customWidth="1"/>
    <col min="7955" max="8192" width="8" style="588" hidden="1"/>
    <col min="8193" max="8193" width="12.875" style="588" customWidth="1"/>
    <col min="8194" max="8194" width="10.625" style="588" customWidth="1"/>
    <col min="8195" max="8206" width="8" style="588" customWidth="1"/>
    <col min="8207" max="8207" width="17.25" style="588" bestFit="1" customWidth="1"/>
    <col min="8208" max="8208" width="18.75" style="588" customWidth="1"/>
    <col min="8209" max="8209" width="4.875" style="588" customWidth="1"/>
    <col min="8210" max="8210" width="6.5" style="588" customWidth="1"/>
    <col min="8211" max="8448" width="8" style="588" hidden="1"/>
    <col min="8449" max="8449" width="12.875" style="588" customWidth="1"/>
    <col min="8450" max="8450" width="10.625" style="588" customWidth="1"/>
    <col min="8451" max="8462" width="8" style="588" customWidth="1"/>
    <col min="8463" max="8463" width="17.25" style="588" bestFit="1" customWidth="1"/>
    <col min="8464" max="8464" width="18.75" style="588" customWidth="1"/>
    <col min="8465" max="8465" width="4.875" style="588" customWidth="1"/>
    <col min="8466" max="8466" width="6.5" style="588" customWidth="1"/>
    <col min="8467" max="8704" width="8" style="588" hidden="1"/>
    <col min="8705" max="8705" width="12.875" style="588" customWidth="1"/>
    <col min="8706" max="8706" width="10.625" style="588" customWidth="1"/>
    <col min="8707" max="8718" width="8" style="588" customWidth="1"/>
    <col min="8719" max="8719" width="17.25" style="588" bestFit="1" customWidth="1"/>
    <col min="8720" max="8720" width="18.75" style="588" customWidth="1"/>
    <col min="8721" max="8721" width="4.875" style="588" customWidth="1"/>
    <col min="8722" max="8722" width="6.5" style="588" customWidth="1"/>
    <col min="8723" max="8960" width="8" style="588" hidden="1"/>
    <col min="8961" max="8961" width="12.875" style="588" customWidth="1"/>
    <col min="8962" max="8962" width="10.625" style="588" customWidth="1"/>
    <col min="8963" max="8974" width="8" style="588" customWidth="1"/>
    <col min="8975" max="8975" width="17.25" style="588" bestFit="1" customWidth="1"/>
    <col min="8976" max="8976" width="18.75" style="588" customWidth="1"/>
    <col min="8977" max="8977" width="4.875" style="588" customWidth="1"/>
    <col min="8978" max="8978" width="6.5" style="588" customWidth="1"/>
    <col min="8979" max="9216" width="8" style="588" hidden="1"/>
    <col min="9217" max="9217" width="12.875" style="588" customWidth="1"/>
    <col min="9218" max="9218" width="10.625" style="588" customWidth="1"/>
    <col min="9219" max="9230" width="8" style="588" customWidth="1"/>
    <col min="9231" max="9231" width="17.25" style="588" bestFit="1" customWidth="1"/>
    <col min="9232" max="9232" width="18.75" style="588" customWidth="1"/>
    <col min="9233" max="9233" width="4.875" style="588" customWidth="1"/>
    <col min="9234" max="9234" width="6.5" style="588" customWidth="1"/>
    <col min="9235" max="9472" width="8" style="588" hidden="1"/>
    <col min="9473" max="9473" width="12.875" style="588" customWidth="1"/>
    <col min="9474" max="9474" width="10.625" style="588" customWidth="1"/>
    <col min="9475" max="9486" width="8" style="588" customWidth="1"/>
    <col min="9487" max="9487" width="17.25" style="588" bestFit="1" customWidth="1"/>
    <col min="9488" max="9488" width="18.75" style="588" customWidth="1"/>
    <col min="9489" max="9489" width="4.875" style="588" customWidth="1"/>
    <col min="9490" max="9490" width="6.5" style="588" customWidth="1"/>
    <col min="9491" max="9728" width="8" style="588" hidden="1"/>
    <col min="9729" max="9729" width="12.875" style="588" customWidth="1"/>
    <col min="9730" max="9730" width="10.625" style="588" customWidth="1"/>
    <col min="9731" max="9742" width="8" style="588" customWidth="1"/>
    <col min="9743" max="9743" width="17.25" style="588" bestFit="1" customWidth="1"/>
    <col min="9744" max="9744" width="18.75" style="588" customWidth="1"/>
    <col min="9745" max="9745" width="4.875" style="588" customWidth="1"/>
    <col min="9746" max="9746" width="6.5" style="588" customWidth="1"/>
    <col min="9747" max="9984" width="8" style="588" hidden="1"/>
    <col min="9985" max="9985" width="12.875" style="588" customWidth="1"/>
    <col min="9986" max="9986" width="10.625" style="588" customWidth="1"/>
    <col min="9987" max="9998" width="8" style="588" customWidth="1"/>
    <col min="9999" max="9999" width="17.25" style="588" bestFit="1" customWidth="1"/>
    <col min="10000" max="10000" width="18.75" style="588" customWidth="1"/>
    <col min="10001" max="10001" width="4.875" style="588" customWidth="1"/>
    <col min="10002" max="10002" width="6.5" style="588" customWidth="1"/>
    <col min="10003" max="10240" width="8" style="588" hidden="1"/>
    <col min="10241" max="10241" width="12.875" style="588" customWidth="1"/>
    <col min="10242" max="10242" width="10.625" style="588" customWidth="1"/>
    <col min="10243" max="10254" width="8" style="588" customWidth="1"/>
    <col min="10255" max="10255" width="17.25" style="588" bestFit="1" customWidth="1"/>
    <col min="10256" max="10256" width="18.75" style="588" customWidth="1"/>
    <col min="10257" max="10257" width="4.875" style="588" customWidth="1"/>
    <col min="10258" max="10258" width="6.5" style="588" customWidth="1"/>
    <col min="10259" max="10496" width="8" style="588" hidden="1"/>
    <col min="10497" max="10497" width="12.875" style="588" customWidth="1"/>
    <col min="10498" max="10498" width="10.625" style="588" customWidth="1"/>
    <col min="10499" max="10510" width="8" style="588" customWidth="1"/>
    <col min="10511" max="10511" width="17.25" style="588" bestFit="1" customWidth="1"/>
    <col min="10512" max="10512" width="18.75" style="588" customWidth="1"/>
    <col min="10513" max="10513" width="4.875" style="588" customWidth="1"/>
    <col min="10514" max="10514" width="6.5" style="588" customWidth="1"/>
    <col min="10515" max="10752" width="8" style="588" hidden="1"/>
    <col min="10753" max="10753" width="12.875" style="588" customWidth="1"/>
    <col min="10754" max="10754" width="10.625" style="588" customWidth="1"/>
    <col min="10755" max="10766" width="8" style="588" customWidth="1"/>
    <col min="10767" max="10767" width="17.25" style="588" bestFit="1" customWidth="1"/>
    <col min="10768" max="10768" width="18.75" style="588" customWidth="1"/>
    <col min="10769" max="10769" width="4.875" style="588" customWidth="1"/>
    <col min="10770" max="10770" width="6.5" style="588" customWidth="1"/>
    <col min="10771" max="11008" width="8" style="588" hidden="1"/>
    <col min="11009" max="11009" width="12.875" style="588" customWidth="1"/>
    <col min="11010" max="11010" width="10.625" style="588" customWidth="1"/>
    <col min="11011" max="11022" width="8" style="588" customWidth="1"/>
    <col min="11023" max="11023" width="17.25" style="588" bestFit="1" customWidth="1"/>
    <col min="11024" max="11024" width="18.75" style="588" customWidth="1"/>
    <col min="11025" max="11025" width="4.875" style="588" customWidth="1"/>
    <col min="11026" max="11026" width="6.5" style="588" customWidth="1"/>
    <col min="11027" max="11264" width="8" style="588" hidden="1"/>
    <col min="11265" max="11265" width="12.875" style="588" customWidth="1"/>
    <col min="11266" max="11266" width="10.625" style="588" customWidth="1"/>
    <col min="11267" max="11278" width="8" style="588" customWidth="1"/>
    <col min="11279" max="11279" width="17.25" style="588" bestFit="1" customWidth="1"/>
    <col min="11280" max="11280" width="18.75" style="588" customWidth="1"/>
    <col min="11281" max="11281" width="4.875" style="588" customWidth="1"/>
    <col min="11282" max="11282" width="6.5" style="588" customWidth="1"/>
    <col min="11283" max="11520" width="8" style="588" hidden="1"/>
    <col min="11521" max="11521" width="12.875" style="588" customWidth="1"/>
    <col min="11522" max="11522" width="10.625" style="588" customWidth="1"/>
    <col min="11523" max="11534" width="8" style="588" customWidth="1"/>
    <col min="11535" max="11535" width="17.25" style="588" bestFit="1" customWidth="1"/>
    <col min="11536" max="11536" width="18.75" style="588" customWidth="1"/>
    <col min="11537" max="11537" width="4.875" style="588" customWidth="1"/>
    <col min="11538" max="11538" width="6.5" style="588" customWidth="1"/>
    <col min="11539" max="11776" width="8" style="588" hidden="1"/>
    <col min="11777" max="11777" width="12.875" style="588" customWidth="1"/>
    <col min="11778" max="11778" width="10.625" style="588" customWidth="1"/>
    <col min="11779" max="11790" width="8" style="588" customWidth="1"/>
    <col min="11791" max="11791" width="17.25" style="588" bestFit="1" customWidth="1"/>
    <col min="11792" max="11792" width="18.75" style="588" customWidth="1"/>
    <col min="11793" max="11793" width="4.875" style="588" customWidth="1"/>
    <col min="11794" max="11794" width="6.5" style="588" customWidth="1"/>
    <col min="11795" max="12032" width="8" style="588" hidden="1"/>
    <col min="12033" max="12033" width="12.875" style="588" customWidth="1"/>
    <col min="12034" max="12034" width="10.625" style="588" customWidth="1"/>
    <col min="12035" max="12046" width="8" style="588" customWidth="1"/>
    <col min="12047" max="12047" width="17.25" style="588" bestFit="1" customWidth="1"/>
    <col min="12048" max="12048" width="18.75" style="588" customWidth="1"/>
    <col min="12049" max="12049" width="4.875" style="588" customWidth="1"/>
    <col min="12050" max="12050" width="6.5" style="588" customWidth="1"/>
    <col min="12051" max="12288" width="8" style="588" hidden="1"/>
    <col min="12289" max="12289" width="12.875" style="588" customWidth="1"/>
    <col min="12290" max="12290" width="10.625" style="588" customWidth="1"/>
    <col min="12291" max="12302" width="8" style="588" customWidth="1"/>
    <col min="12303" max="12303" width="17.25" style="588" bestFit="1" customWidth="1"/>
    <col min="12304" max="12304" width="18.75" style="588" customWidth="1"/>
    <col min="12305" max="12305" width="4.875" style="588" customWidth="1"/>
    <col min="12306" max="12306" width="6.5" style="588" customWidth="1"/>
    <col min="12307" max="12544" width="8" style="588" hidden="1"/>
    <col min="12545" max="12545" width="12.875" style="588" customWidth="1"/>
    <col min="12546" max="12546" width="10.625" style="588" customWidth="1"/>
    <col min="12547" max="12558" width="8" style="588" customWidth="1"/>
    <col min="12559" max="12559" width="17.25" style="588" bestFit="1" customWidth="1"/>
    <col min="12560" max="12560" width="18.75" style="588" customWidth="1"/>
    <col min="12561" max="12561" width="4.875" style="588" customWidth="1"/>
    <col min="12562" max="12562" width="6.5" style="588" customWidth="1"/>
    <col min="12563" max="12800" width="8" style="588" hidden="1"/>
    <col min="12801" max="12801" width="12.875" style="588" customWidth="1"/>
    <col min="12802" max="12802" width="10.625" style="588" customWidth="1"/>
    <col min="12803" max="12814" width="8" style="588" customWidth="1"/>
    <col min="12815" max="12815" width="17.25" style="588" bestFit="1" customWidth="1"/>
    <col min="12816" max="12816" width="18.75" style="588" customWidth="1"/>
    <col min="12817" max="12817" width="4.875" style="588" customWidth="1"/>
    <col min="12818" max="12818" width="6.5" style="588" customWidth="1"/>
    <col min="12819" max="13056" width="8" style="588" hidden="1"/>
    <col min="13057" max="13057" width="12.875" style="588" customWidth="1"/>
    <col min="13058" max="13058" width="10.625" style="588" customWidth="1"/>
    <col min="13059" max="13070" width="8" style="588" customWidth="1"/>
    <col min="13071" max="13071" width="17.25" style="588" bestFit="1" customWidth="1"/>
    <col min="13072" max="13072" width="18.75" style="588" customWidth="1"/>
    <col min="13073" max="13073" width="4.875" style="588" customWidth="1"/>
    <col min="13074" max="13074" width="6.5" style="588" customWidth="1"/>
    <col min="13075" max="13312" width="8" style="588" hidden="1"/>
    <col min="13313" max="13313" width="12.875" style="588" customWidth="1"/>
    <col min="13314" max="13314" width="10.625" style="588" customWidth="1"/>
    <col min="13315" max="13326" width="8" style="588" customWidth="1"/>
    <col min="13327" max="13327" width="17.25" style="588" bestFit="1" customWidth="1"/>
    <col min="13328" max="13328" width="18.75" style="588" customWidth="1"/>
    <col min="13329" max="13329" width="4.875" style="588" customWidth="1"/>
    <col min="13330" max="13330" width="6.5" style="588" customWidth="1"/>
    <col min="13331" max="13568" width="8" style="588" hidden="1"/>
    <col min="13569" max="13569" width="12.875" style="588" customWidth="1"/>
    <col min="13570" max="13570" width="10.625" style="588" customWidth="1"/>
    <col min="13571" max="13582" width="8" style="588" customWidth="1"/>
    <col min="13583" max="13583" width="17.25" style="588" bestFit="1" customWidth="1"/>
    <col min="13584" max="13584" width="18.75" style="588" customWidth="1"/>
    <col min="13585" max="13585" width="4.875" style="588" customWidth="1"/>
    <col min="13586" max="13586" width="6.5" style="588" customWidth="1"/>
    <col min="13587" max="13824" width="8" style="588" hidden="1"/>
    <col min="13825" max="13825" width="12.875" style="588" customWidth="1"/>
    <col min="13826" max="13826" width="10.625" style="588" customWidth="1"/>
    <col min="13827" max="13838" width="8" style="588" customWidth="1"/>
    <col min="13839" max="13839" width="17.25" style="588" bestFit="1" customWidth="1"/>
    <col min="13840" max="13840" width="18.75" style="588" customWidth="1"/>
    <col min="13841" max="13841" width="4.875" style="588" customWidth="1"/>
    <col min="13842" max="13842" width="6.5" style="588" customWidth="1"/>
    <col min="13843" max="14080" width="8" style="588" hidden="1"/>
    <col min="14081" max="14081" width="12.875" style="588" customWidth="1"/>
    <col min="14082" max="14082" width="10.625" style="588" customWidth="1"/>
    <col min="14083" max="14094" width="8" style="588" customWidth="1"/>
    <col min="14095" max="14095" width="17.25" style="588" bestFit="1" customWidth="1"/>
    <col min="14096" max="14096" width="18.75" style="588" customWidth="1"/>
    <col min="14097" max="14097" width="4.875" style="588" customWidth="1"/>
    <col min="14098" max="14098" width="6.5" style="588" customWidth="1"/>
    <col min="14099" max="14336" width="8" style="588" hidden="1"/>
    <col min="14337" max="14337" width="12.875" style="588" customWidth="1"/>
    <col min="14338" max="14338" width="10.625" style="588" customWidth="1"/>
    <col min="14339" max="14350" width="8" style="588" customWidth="1"/>
    <col min="14351" max="14351" width="17.25" style="588" bestFit="1" customWidth="1"/>
    <col min="14352" max="14352" width="18.75" style="588" customWidth="1"/>
    <col min="14353" max="14353" width="4.875" style="588" customWidth="1"/>
    <col min="14354" max="14354" width="6.5" style="588" customWidth="1"/>
    <col min="14355" max="14592" width="8" style="588" hidden="1"/>
    <col min="14593" max="14593" width="12.875" style="588" customWidth="1"/>
    <col min="14594" max="14594" width="10.625" style="588" customWidth="1"/>
    <col min="14595" max="14606" width="8" style="588" customWidth="1"/>
    <col min="14607" max="14607" width="17.25" style="588" bestFit="1" customWidth="1"/>
    <col min="14608" max="14608" width="18.75" style="588" customWidth="1"/>
    <col min="14609" max="14609" width="4.875" style="588" customWidth="1"/>
    <col min="14610" max="14610" width="6.5" style="588" customWidth="1"/>
    <col min="14611" max="14848" width="8" style="588" hidden="1"/>
    <col min="14849" max="14849" width="12.875" style="588" customWidth="1"/>
    <col min="14850" max="14850" width="10.625" style="588" customWidth="1"/>
    <col min="14851" max="14862" width="8" style="588" customWidth="1"/>
    <col min="14863" max="14863" width="17.25" style="588" bestFit="1" customWidth="1"/>
    <col min="14864" max="14864" width="18.75" style="588" customWidth="1"/>
    <col min="14865" max="14865" width="4.875" style="588" customWidth="1"/>
    <col min="14866" max="14866" width="6.5" style="588" customWidth="1"/>
    <col min="14867" max="15104" width="8" style="588" hidden="1"/>
    <col min="15105" max="15105" width="12.875" style="588" customWidth="1"/>
    <col min="15106" max="15106" width="10.625" style="588" customWidth="1"/>
    <col min="15107" max="15118" width="8" style="588" customWidth="1"/>
    <col min="15119" max="15119" width="17.25" style="588" bestFit="1" customWidth="1"/>
    <col min="15120" max="15120" width="18.75" style="588" customWidth="1"/>
    <col min="15121" max="15121" width="4.875" style="588" customWidth="1"/>
    <col min="15122" max="15122" width="6.5" style="588" customWidth="1"/>
    <col min="15123" max="15360" width="8" style="588" hidden="1"/>
    <col min="15361" max="15361" width="12.875" style="588" customWidth="1"/>
    <col min="15362" max="15362" width="10.625" style="588" customWidth="1"/>
    <col min="15363" max="15374" width="8" style="588" customWidth="1"/>
    <col min="15375" max="15375" width="17.25" style="588" bestFit="1" customWidth="1"/>
    <col min="15376" max="15376" width="18.75" style="588" customWidth="1"/>
    <col min="15377" max="15377" width="4.875" style="588" customWidth="1"/>
    <col min="15378" max="15378" width="6.5" style="588" customWidth="1"/>
    <col min="15379" max="15616" width="8" style="588" hidden="1"/>
    <col min="15617" max="15617" width="12.875" style="588" customWidth="1"/>
    <col min="15618" max="15618" width="10.625" style="588" customWidth="1"/>
    <col min="15619" max="15630" width="8" style="588" customWidth="1"/>
    <col min="15631" max="15631" width="17.25" style="588" bestFit="1" customWidth="1"/>
    <col min="15632" max="15632" width="18.75" style="588" customWidth="1"/>
    <col min="15633" max="15633" width="4.875" style="588" customWidth="1"/>
    <col min="15634" max="15634" width="6.5" style="588" customWidth="1"/>
    <col min="15635" max="15872" width="8" style="588" hidden="1"/>
    <col min="15873" max="15873" width="12.875" style="588" customWidth="1"/>
    <col min="15874" max="15874" width="10.625" style="588" customWidth="1"/>
    <col min="15875" max="15886" width="8" style="588" customWidth="1"/>
    <col min="15887" max="15887" width="17.25" style="588" bestFit="1" customWidth="1"/>
    <col min="15888" max="15888" width="18.75" style="588" customWidth="1"/>
    <col min="15889" max="15889" width="4.875" style="588" customWidth="1"/>
    <col min="15890" max="15890" width="6.5" style="588" customWidth="1"/>
    <col min="15891" max="16128" width="8" style="588" hidden="1"/>
    <col min="16129" max="16129" width="12.875" style="588" customWidth="1"/>
    <col min="16130" max="16130" width="10.625" style="588" customWidth="1"/>
    <col min="16131" max="16142" width="8" style="588" customWidth="1"/>
    <col min="16143" max="16143" width="17.25" style="588" bestFit="1" customWidth="1"/>
    <col min="16144" max="16144" width="18.75" style="588" customWidth="1"/>
    <col min="16145" max="16145" width="4.875" style="588" customWidth="1"/>
    <col min="16146" max="16146" width="6.5" style="588" customWidth="1"/>
    <col min="16147" max="16384" width="8" style="588" hidden="1"/>
  </cols>
  <sheetData>
    <row r="1" spans="1:16" ht="23.25" customHeight="1">
      <c r="A1" s="587" t="s">
        <v>746</v>
      </c>
      <c r="B1" s="587" t="s">
        <v>1090</v>
      </c>
    </row>
    <row r="2" spans="1:16">
      <c r="A2" s="589">
        <v>15159.771619735304</v>
      </c>
      <c r="B2" s="590">
        <v>2</v>
      </c>
      <c r="D2" s="591">
        <f>SUM(B2:B101)</f>
        <v>10000</v>
      </c>
      <c r="E2" s="592">
        <f>SUM(A2:A101)</f>
        <v>411607.62773927732</v>
      </c>
      <c r="O2" s="593" t="str">
        <f>HLOOKUP($L$102,$A$102:$K$121,3)</f>
        <v>Cell</v>
      </c>
      <c r="P2" s="594" t="s">
        <v>1542</v>
      </c>
    </row>
    <row r="3" spans="1:16">
      <c r="A3" s="589">
        <v>15268.482743888286</v>
      </c>
      <c r="B3" s="590">
        <v>11</v>
      </c>
      <c r="O3" s="593" t="str">
        <f>HLOOKUP($L$102,$A$102:$K$121,4)</f>
        <v>Name</v>
      </c>
      <c r="P3" s="595" t="s">
        <v>1370</v>
      </c>
    </row>
    <row r="4" spans="1:16">
      <c r="A4" s="589">
        <v>15377.19386804127</v>
      </c>
      <c r="B4" s="590">
        <v>25</v>
      </c>
      <c r="O4" s="593" t="str">
        <f>HLOOKUP($L$102,$A$102:$K$121,5)</f>
        <v>Number of Datapoints</v>
      </c>
      <c r="P4" s="595">
        <v>10000</v>
      </c>
    </row>
    <row r="5" spans="1:16">
      <c r="A5" s="589">
        <v>15485.904992194251</v>
      </c>
      <c r="B5" s="590">
        <v>54</v>
      </c>
      <c r="O5" s="593" t="str">
        <f>HLOOKUP($L$102,$A$102:$K$121,6)</f>
        <v>Mean</v>
      </c>
      <c r="P5" s="596">
        <v>16374.563600367655</v>
      </c>
    </row>
    <row r="6" spans="1:16">
      <c r="A6" s="589">
        <v>15594.616116347233</v>
      </c>
      <c r="B6" s="590">
        <v>97</v>
      </c>
      <c r="O6" s="593" t="str">
        <f>HLOOKUP($L$102,$A$102:$K$121,7)</f>
        <v>Median</v>
      </c>
      <c r="P6" s="596">
        <v>16371.741067779427</v>
      </c>
    </row>
    <row r="7" spans="1:16">
      <c r="A7" s="589">
        <v>15703.327240500215</v>
      </c>
      <c r="B7" s="590">
        <v>181</v>
      </c>
      <c r="O7" s="593" t="str">
        <f>HLOOKUP($L$102,$A$102:$K$121,8)</f>
        <v>Standard Deviation</v>
      </c>
      <c r="P7" s="596">
        <v>381.13940694941169</v>
      </c>
    </row>
    <row r="8" spans="1:16">
      <c r="A8" s="589">
        <v>15812.038364653199</v>
      </c>
      <c r="B8" s="590">
        <v>322</v>
      </c>
      <c r="O8" s="593" t="str">
        <f>HLOOKUP($L$102,$A$102:$K$121,9)</f>
        <v>Variance</v>
      </c>
      <c r="P8" s="596">
        <v>145267.24752974926</v>
      </c>
    </row>
    <row r="9" spans="1:16">
      <c r="A9" s="589">
        <v>15920.749488806181</v>
      </c>
      <c r="B9" s="590">
        <v>456</v>
      </c>
      <c r="O9" s="593" t="str">
        <f>HLOOKUP($L$102,$A$102:$K$121,10)</f>
        <v>Coefficient of Variation</v>
      </c>
      <c r="P9" s="596">
        <v>2.3276309296014094E-2</v>
      </c>
    </row>
    <row r="10" spans="1:16">
      <c r="A10" s="589">
        <v>16029.460612959163</v>
      </c>
      <c r="B10" s="590">
        <v>693</v>
      </c>
      <c r="O10" s="593" t="str">
        <f>HLOOKUP($L$102,$A$102:$K$121,11)</f>
        <v>Maximum</v>
      </c>
      <c r="P10" s="596">
        <v>17768.838599406881</v>
      </c>
    </row>
    <row r="11" spans="1:16">
      <c r="A11" s="589">
        <v>16138.171737112145</v>
      </c>
      <c r="B11" s="590">
        <v>884</v>
      </c>
      <c r="O11" s="593" t="str">
        <f>HLOOKUP($L$102,$A$102:$K$121,12)</f>
        <v>Minimum</v>
      </c>
      <c r="P11" s="596">
        <v>15051.060495582322</v>
      </c>
    </row>
    <row r="12" spans="1:16">
      <c r="A12" s="589">
        <v>16246.882861265129</v>
      </c>
      <c r="B12" s="590">
        <v>1011</v>
      </c>
      <c r="O12" s="593" t="str">
        <f>HLOOKUP($L$102,$A$102:$K$121,13)</f>
        <v>Range</v>
      </c>
      <c r="P12" s="596">
        <v>2717.7781038245594</v>
      </c>
    </row>
    <row r="13" spans="1:16">
      <c r="A13" s="589">
        <v>16355.593985418111</v>
      </c>
      <c r="B13" s="590">
        <v>1097</v>
      </c>
      <c r="O13" s="593" t="str">
        <f>HLOOKUP($L$102,$A$102:$K$121,14)</f>
        <v>Skewness</v>
      </c>
      <c r="P13" s="596">
        <v>3.838606167095629E-2</v>
      </c>
    </row>
    <row r="14" spans="1:16">
      <c r="A14" s="589">
        <v>16464.305109571094</v>
      </c>
      <c r="B14" s="590">
        <v>1095</v>
      </c>
      <c r="O14" s="593" t="str">
        <f>HLOOKUP($L$102,$A$102:$K$121,15)</f>
        <v>Kurtosis</v>
      </c>
      <c r="P14" s="596">
        <v>-8.7889979141237917E-2</v>
      </c>
    </row>
    <row r="15" spans="1:16">
      <c r="A15" s="589">
        <v>16573.016233724076</v>
      </c>
      <c r="B15" s="590">
        <v>1075</v>
      </c>
      <c r="O15" s="593" t="str">
        <f>HLOOKUP($L$102,$A$102:$K$121,16)</f>
        <v>25% Percentile</v>
      </c>
      <c r="P15" s="596">
        <v>16111.18429621802</v>
      </c>
    </row>
    <row r="16" spans="1:16">
      <c r="A16" s="589">
        <v>16681.727357877058</v>
      </c>
      <c r="B16" s="590">
        <v>912</v>
      </c>
      <c r="O16" s="593" t="str">
        <f>HLOOKUP($L$102,$A$102:$K$121,17)</f>
        <v>75% Percentile</v>
      </c>
      <c r="P16" s="596">
        <v>16625.813476290616</v>
      </c>
    </row>
    <row r="17" spans="1:16">
      <c r="A17" s="589">
        <v>16790.43848203004</v>
      </c>
      <c r="B17" s="590">
        <v>658</v>
      </c>
      <c r="O17" s="593" t="str">
        <f>HLOOKUP($L$102,$A$102:$K$121,18)</f>
        <v>Error Precision at 95%</v>
      </c>
      <c r="P17" s="596">
        <v>95</v>
      </c>
    </row>
    <row r="18" spans="1:16">
      <c r="A18" s="589">
        <v>16899.149606183022</v>
      </c>
      <c r="B18" s="590">
        <v>561</v>
      </c>
      <c r="O18" s="597">
        <v>0</v>
      </c>
      <c r="P18" s="598">
        <v>15051.060495582322</v>
      </c>
    </row>
    <row r="19" spans="1:16">
      <c r="A19" s="589">
        <v>17007.860730336004</v>
      </c>
      <c r="B19" s="590">
        <v>343</v>
      </c>
      <c r="O19" s="597">
        <v>0.05</v>
      </c>
      <c r="P19" s="598">
        <v>15753.766776970766</v>
      </c>
    </row>
    <row r="20" spans="1:16">
      <c r="A20" s="589">
        <v>17116.571854488986</v>
      </c>
      <c r="B20" s="590">
        <v>260</v>
      </c>
      <c r="O20" s="597">
        <v>0.1</v>
      </c>
      <c r="P20" s="598">
        <v>15891.333065158395</v>
      </c>
    </row>
    <row r="21" spans="1:16">
      <c r="A21" s="589">
        <v>17225.282978641968</v>
      </c>
      <c r="B21" s="590">
        <v>134</v>
      </c>
      <c r="O21" s="597">
        <v>0.2</v>
      </c>
      <c r="P21" s="598">
        <v>16049.632840030241</v>
      </c>
    </row>
    <row r="22" spans="1:16">
      <c r="A22" s="589">
        <v>17333.994102794954</v>
      </c>
      <c r="B22" s="590">
        <v>69</v>
      </c>
      <c r="O22" s="597">
        <v>0.3</v>
      </c>
      <c r="P22" s="598">
        <v>16168.729737304044</v>
      </c>
    </row>
    <row r="23" spans="1:16">
      <c r="A23" s="589">
        <v>17442.705226947935</v>
      </c>
      <c r="B23" s="590">
        <v>43</v>
      </c>
      <c r="O23" s="597">
        <v>0.4</v>
      </c>
      <c r="P23" s="598">
        <v>16273.266703744155</v>
      </c>
    </row>
    <row r="24" spans="1:16">
      <c r="A24" s="589">
        <v>17551.416351100917</v>
      </c>
      <c r="B24" s="590">
        <v>9</v>
      </c>
      <c r="O24" s="597">
        <v>0.5</v>
      </c>
      <c r="P24" s="598">
        <v>16371.741067779427</v>
      </c>
    </row>
    <row r="25" spans="1:16">
      <c r="A25" s="589">
        <v>17660.127475253899</v>
      </c>
      <c r="B25" s="590">
        <v>5</v>
      </c>
      <c r="O25" s="597">
        <v>0.6</v>
      </c>
      <c r="P25" s="598">
        <v>16472.055813237814</v>
      </c>
    </row>
    <row r="26" spans="1:16">
      <c r="A26" s="589">
        <v>17768.838599406881</v>
      </c>
      <c r="B26" s="590">
        <v>3</v>
      </c>
      <c r="C26" s="588" t="s">
        <v>188</v>
      </c>
      <c r="O26" s="597">
        <v>0.7</v>
      </c>
      <c r="P26" s="598">
        <v>16571.878682872153</v>
      </c>
    </row>
    <row r="27" spans="1:16">
      <c r="A27" s="589"/>
      <c r="B27" s="590"/>
      <c r="C27" s="589">
        <v>150</v>
      </c>
      <c r="O27" s="597">
        <v>0.8</v>
      </c>
      <c r="P27" s="598">
        <v>16694.311752025471</v>
      </c>
    </row>
    <row r="28" spans="1:16">
      <c r="A28" s="589"/>
      <c r="B28" s="590"/>
      <c r="O28" s="597">
        <v>0.9</v>
      </c>
      <c r="P28" s="598">
        <v>16866.811850068876</v>
      </c>
    </row>
    <row r="29" spans="1:16">
      <c r="A29" s="589"/>
      <c r="B29" s="590"/>
      <c r="O29" s="597">
        <v>0.95</v>
      </c>
      <c r="P29" s="598">
        <v>17015.851309237263</v>
      </c>
    </row>
    <row r="30" spans="1:16">
      <c r="A30" s="589"/>
      <c r="B30" s="590"/>
      <c r="O30" s="597">
        <v>0.99</v>
      </c>
      <c r="P30" s="598">
        <v>17262.496042106595</v>
      </c>
    </row>
    <row r="31" spans="1:16">
      <c r="A31" s="589"/>
      <c r="B31" s="590"/>
      <c r="O31" s="597">
        <v>1</v>
      </c>
      <c r="P31" s="598">
        <v>17768.838599406881</v>
      </c>
    </row>
    <row r="32" spans="1:16">
      <c r="A32" s="589"/>
      <c r="B32" s="590"/>
    </row>
    <row r="33" spans="1:16">
      <c r="A33" s="589"/>
      <c r="B33" s="590"/>
      <c r="P33" s="599"/>
    </row>
    <row r="34" spans="1:16">
      <c r="A34" s="589"/>
      <c r="B34" s="590"/>
    </row>
    <row r="35" spans="1:16">
      <c r="A35" s="589"/>
      <c r="B35" s="590"/>
    </row>
    <row r="36" spans="1:16">
      <c r="A36" s="589"/>
      <c r="B36" s="590"/>
    </row>
    <row r="37" spans="1:16">
      <c r="A37" s="589"/>
      <c r="B37" s="590"/>
    </row>
    <row r="38" spans="1:16">
      <c r="A38" s="589"/>
      <c r="B38" s="590"/>
    </row>
    <row r="39" spans="1:16">
      <c r="A39" s="589"/>
      <c r="B39" s="590"/>
    </row>
    <row r="40" spans="1:16">
      <c r="A40" s="589"/>
      <c r="B40" s="590"/>
    </row>
    <row r="41" spans="1:16">
      <c r="A41" s="589"/>
      <c r="B41" s="590"/>
    </row>
    <row r="42" spans="1:16">
      <c r="A42" s="589"/>
      <c r="B42" s="590"/>
    </row>
    <row r="43" spans="1:16">
      <c r="A43" s="589"/>
      <c r="B43" s="590"/>
    </row>
    <row r="44" spans="1:16">
      <c r="A44" s="589"/>
      <c r="B44" s="590"/>
    </row>
    <row r="45" spans="1:16">
      <c r="A45" s="589"/>
      <c r="B45" s="590"/>
    </row>
    <row r="46" spans="1:16">
      <c r="A46" s="589"/>
      <c r="B46" s="590"/>
    </row>
    <row r="47" spans="1:16">
      <c r="A47" s="589"/>
      <c r="B47" s="590"/>
    </row>
    <row r="48" spans="1:16">
      <c r="A48" s="589"/>
      <c r="B48" s="590"/>
    </row>
    <row r="49" spans="1:16">
      <c r="A49" s="589"/>
      <c r="B49" s="590"/>
      <c r="G49" s="600"/>
    </row>
    <row r="50" spans="1:16">
      <c r="A50" s="589"/>
      <c r="B50" s="590"/>
      <c r="G50" s="600"/>
    </row>
    <row r="51" spans="1:16">
      <c r="A51" s="589"/>
      <c r="B51" s="590"/>
      <c r="G51" s="600"/>
    </row>
    <row r="52" spans="1:16">
      <c r="A52" s="589"/>
      <c r="B52" s="590"/>
    </row>
    <row r="53" spans="1:16">
      <c r="A53" s="589"/>
      <c r="B53" s="590"/>
    </row>
    <row r="54" spans="1:16">
      <c r="A54" s="589"/>
      <c r="B54" s="590"/>
    </row>
    <row r="55" spans="1:16">
      <c r="A55" s="589"/>
      <c r="B55" s="590"/>
    </row>
    <row r="56" spans="1:16">
      <c r="A56" s="589"/>
      <c r="B56" s="590"/>
    </row>
    <row r="57" spans="1:16">
      <c r="A57" s="589"/>
      <c r="B57" s="590"/>
    </row>
    <row r="58" spans="1:16">
      <c r="A58" s="589"/>
      <c r="B58" s="590"/>
    </row>
    <row r="59" spans="1:16">
      <c r="A59" s="589"/>
      <c r="B59" s="590"/>
    </row>
    <row r="60" spans="1:16">
      <c r="A60" s="589"/>
      <c r="B60" s="590"/>
    </row>
    <row r="61" spans="1:16">
      <c r="A61" s="589"/>
      <c r="B61" s="590"/>
    </row>
    <row r="62" spans="1:16">
      <c r="A62" s="589"/>
      <c r="B62" s="590"/>
    </row>
    <row r="63" spans="1:16">
      <c r="A63" s="589"/>
      <c r="B63" s="590"/>
      <c r="O63" s="590" t="s">
        <v>1091</v>
      </c>
      <c r="P63" s="590" t="s">
        <v>1092</v>
      </c>
    </row>
    <row r="64" spans="1:16">
      <c r="A64" s="589"/>
      <c r="B64" s="590"/>
      <c r="O64" s="601">
        <v>11</v>
      </c>
      <c r="P64" s="601">
        <v>20</v>
      </c>
    </row>
    <row r="65" spans="1:16">
      <c r="A65" s="589"/>
      <c r="B65" s="590"/>
      <c r="O65" s="602">
        <f>O64</f>
        <v>11</v>
      </c>
      <c r="P65" s="602">
        <f>P64</f>
        <v>20</v>
      </c>
    </row>
    <row r="66" spans="1:16">
      <c r="A66" s="589"/>
      <c r="B66" s="590"/>
      <c r="O66" s="602">
        <f t="shared" ref="O66:P81" si="0">O65</f>
        <v>11</v>
      </c>
      <c r="P66" s="602">
        <f t="shared" si="0"/>
        <v>20</v>
      </c>
    </row>
    <row r="67" spans="1:16">
      <c r="A67" s="589"/>
      <c r="B67" s="590"/>
      <c r="O67" s="602">
        <f t="shared" si="0"/>
        <v>11</v>
      </c>
      <c r="P67" s="602">
        <f t="shared" si="0"/>
        <v>20</v>
      </c>
    </row>
    <row r="68" spans="1:16">
      <c r="A68" s="589"/>
      <c r="B68" s="590"/>
      <c r="O68" s="602">
        <f t="shared" si="0"/>
        <v>11</v>
      </c>
      <c r="P68" s="602">
        <f t="shared" si="0"/>
        <v>20</v>
      </c>
    </row>
    <row r="69" spans="1:16">
      <c r="A69" s="589"/>
      <c r="B69" s="590"/>
      <c r="O69" s="602">
        <f t="shared" si="0"/>
        <v>11</v>
      </c>
      <c r="P69" s="602">
        <f t="shared" si="0"/>
        <v>20</v>
      </c>
    </row>
    <row r="70" spans="1:16">
      <c r="A70" s="589"/>
      <c r="B70" s="590"/>
      <c r="O70" s="602">
        <f t="shared" si="0"/>
        <v>11</v>
      </c>
      <c r="P70" s="602">
        <f t="shared" si="0"/>
        <v>20</v>
      </c>
    </row>
    <row r="71" spans="1:16">
      <c r="A71" s="590"/>
      <c r="B71" s="590"/>
      <c r="O71" s="602">
        <f t="shared" si="0"/>
        <v>11</v>
      </c>
      <c r="P71" s="602">
        <f t="shared" si="0"/>
        <v>20</v>
      </c>
    </row>
    <row r="72" spans="1:16">
      <c r="A72" s="590"/>
      <c r="B72" s="590"/>
      <c r="O72" s="602">
        <f t="shared" si="0"/>
        <v>11</v>
      </c>
      <c r="P72" s="602">
        <f t="shared" si="0"/>
        <v>20</v>
      </c>
    </row>
    <row r="73" spans="1:16">
      <c r="O73" s="602">
        <f t="shared" si="0"/>
        <v>11</v>
      </c>
      <c r="P73" s="602">
        <f t="shared" si="0"/>
        <v>20</v>
      </c>
    </row>
    <row r="74" spans="1:16">
      <c r="O74" s="602">
        <f t="shared" si="0"/>
        <v>11</v>
      </c>
      <c r="P74" s="602">
        <f t="shared" si="0"/>
        <v>20</v>
      </c>
    </row>
    <row r="75" spans="1:16">
      <c r="O75" s="602">
        <f t="shared" si="0"/>
        <v>11</v>
      </c>
      <c r="P75" s="602">
        <f t="shared" si="0"/>
        <v>20</v>
      </c>
    </row>
    <row r="76" spans="1:16">
      <c r="O76" s="602">
        <f t="shared" si="0"/>
        <v>11</v>
      </c>
      <c r="P76" s="602">
        <f t="shared" si="0"/>
        <v>20</v>
      </c>
    </row>
    <row r="77" spans="1:16">
      <c r="O77" s="602">
        <f t="shared" si="0"/>
        <v>11</v>
      </c>
      <c r="P77" s="602">
        <f t="shared" si="0"/>
        <v>20</v>
      </c>
    </row>
    <row r="78" spans="1:16">
      <c r="O78" s="602">
        <f t="shared" si="0"/>
        <v>11</v>
      </c>
      <c r="P78" s="602">
        <f t="shared" si="0"/>
        <v>20</v>
      </c>
    </row>
    <row r="79" spans="1:16">
      <c r="O79" s="602">
        <f t="shared" si="0"/>
        <v>11</v>
      </c>
      <c r="P79" s="602">
        <f t="shared" si="0"/>
        <v>20</v>
      </c>
    </row>
    <row r="80" spans="1:16">
      <c r="O80" s="602">
        <f t="shared" si="0"/>
        <v>11</v>
      </c>
      <c r="P80" s="602">
        <f t="shared" si="0"/>
        <v>20</v>
      </c>
    </row>
    <row r="81" spans="15:16">
      <c r="O81" s="602">
        <f t="shared" si="0"/>
        <v>11</v>
      </c>
      <c r="P81" s="602">
        <f t="shared" si="0"/>
        <v>20</v>
      </c>
    </row>
    <row r="82" spans="15:16">
      <c r="O82" s="602">
        <f t="shared" ref="O82:P88" si="1">O81</f>
        <v>11</v>
      </c>
      <c r="P82" s="602">
        <f t="shared" si="1"/>
        <v>20</v>
      </c>
    </row>
    <row r="83" spans="15:16">
      <c r="O83" s="602">
        <f t="shared" si="1"/>
        <v>11</v>
      </c>
      <c r="P83" s="602">
        <f t="shared" si="1"/>
        <v>20</v>
      </c>
    </row>
    <row r="84" spans="15:16" hidden="1">
      <c r="O84" s="602">
        <f t="shared" si="1"/>
        <v>11</v>
      </c>
      <c r="P84" s="602">
        <f t="shared" si="1"/>
        <v>20</v>
      </c>
    </row>
    <row r="85" spans="15:16" hidden="1">
      <c r="O85" s="602">
        <f t="shared" si="1"/>
        <v>11</v>
      </c>
      <c r="P85" s="602">
        <f t="shared" si="1"/>
        <v>20</v>
      </c>
    </row>
    <row r="86" spans="15:16" hidden="1">
      <c r="O86" s="602">
        <f t="shared" si="1"/>
        <v>11</v>
      </c>
      <c r="P86" s="602">
        <f t="shared" si="1"/>
        <v>20</v>
      </c>
    </row>
    <row r="87" spans="15:16" hidden="1">
      <c r="O87" s="602">
        <f t="shared" si="1"/>
        <v>11</v>
      </c>
      <c r="P87" s="602">
        <f t="shared" si="1"/>
        <v>20</v>
      </c>
    </row>
    <row r="88" spans="15:16" hidden="1">
      <c r="O88" s="602">
        <f t="shared" si="1"/>
        <v>11</v>
      </c>
      <c r="P88" s="602">
        <f t="shared" si="1"/>
        <v>20</v>
      </c>
    </row>
    <row r="89" spans="15:16" hidden="1"/>
    <row r="90" spans="15:16" hidden="1"/>
    <row r="91" spans="15:16" hidden="1"/>
    <row r="92" spans="15:16" hidden="1"/>
    <row r="93" spans="15:16" hidden="1"/>
    <row r="94" spans="15:16" hidden="1"/>
    <row r="95" spans="15:16" hidden="1"/>
    <row r="96" spans="15:16" hidden="1"/>
    <row r="97" spans="1:12" hidden="1"/>
    <row r="98" spans="1:12" hidden="1"/>
    <row r="99" spans="1:12" hidden="1"/>
    <row r="100" spans="1:12" hidden="1"/>
    <row r="101" spans="1:12" hidden="1"/>
    <row r="102" spans="1:12" hidden="1">
      <c r="A102" s="603">
        <v>1</v>
      </c>
      <c r="B102" s="603">
        <v>2</v>
      </c>
      <c r="C102" s="603">
        <v>3</v>
      </c>
      <c r="D102" s="603">
        <v>4</v>
      </c>
      <c r="E102" s="603">
        <v>5</v>
      </c>
      <c r="F102" s="603">
        <v>6</v>
      </c>
      <c r="G102" s="603">
        <v>7</v>
      </c>
      <c r="H102" s="603">
        <v>8</v>
      </c>
      <c r="I102" s="603">
        <v>9</v>
      </c>
      <c r="J102" s="603">
        <v>10</v>
      </c>
      <c r="K102" s="603">
        <v>11</v>
      </c>
      <c r="L102" s="603">
        <v>1</v>
      </c>
    </row>
    <row r="103" spans="1:12" hidden="1">
      <c r="A103" s="588" t="s">
        <v>1093</v>
      </c>
      <c r="B103" s="588" t="s">
        <v>1094</v>
      </c>
      <c r="C103" s="604" t="s">
        <v>1095</v>
      </c>
      <c r="D103" s="588" t="s">
        <v>1096</v>
      </c>
      <c r="E103" s="604" t="s">
        <v>1097</v>
      </c>
      <c r="F103" s="604" t="s">
        <v>1098</v>
      </c>
      <c r="G103" s="604" t="s">
        <v>1099</v>
      </c>
      <c r="H103" s="604" t="s">
        <v>1100</v>
      </c>
      <c r="I103" s="604" t="s">
        <v>1101</v>
      </c>
      <c r="J103" s="604" t="s">
        <v>1102</v>
      </c>
      <c r="K103" s="604" t="s">
        <v>1103</v>
      </c>
      <c r="L103" s="588" t="s">
        <v>1093</v>
      </c>
    </row>
    <row r="104" spans="1:12" hidden="1">
      <c r="A104" s="405" t="s">
        <v>1068</v>
      </c>
      <c r="B104" s="605" t="s">
        <v>944</v>
      </c>
      <c r="C104" s="605" t="s">
        <v>1104</v>
      </c>
      <c r="D104" s="605" t="s">
        <v>1105</v>
      </c>
      <c r="E104" s="605" t="s">
        <v>1106</v>
      </c>
      <c r="F104" s="605" t="s">
        <v>1107</v>
      </c>
      <c r="G104" s="605" t="s">
        <v>1108</v>
      </c>
      <c r="H104" s="605" t="s">
        <v>1109</v>
      </c>
      <c r="I104" s="405" t="s">
        <v>1110</v>
      </c>
      <c r="J104" s="605" t="s">
        <v>1111</v>
      </c>
      <c r="K104" s="605" t="s">
        <v>1112</v>
      </c>
      <c r="L104" s="588" t="s">
        <v>1094</v>
      </c>
    </row>
    <row r="105" spans="1:12" hidden="1">
      <c r="A105" s="405" t="s">
        <v>1067</v>
      </c>
      <c r="B105" s="605" t="s">
        <v>945</v>
      </c>
      <c r="C105" s="605" t="s">
        <v>1113</v>
      </c>
      <c r="D105" s="605" t="s">
        <v>1067</v>
      </c>
      <c r="E105" s="605" t="s">
        <v>1113</v>
      </c>
      <c r="F105" s="605" t="s">
        <v>1114</v>
      </c>
      <c r="G105" s="605" t="s">
        <v>1115</v>
      </c>
      <c r="H105" s="605" t="s">
        <v>1116</v>
      </c>
      <c r="I105" s="605" t="s">
        <v>1117</v>
      </c>
      <c r="J105" s="605" t="s">
        <v>1118</v>
      </c>
      <c r="K105" s="605" t="s">
        <v>1119</v>
      </c>
      <c r="L105" s="588" t="s">
        <v>1095</v>
      </c>
    </row>
    <row r="106" spans="1:12" hidden="1">
      <c r="A106" s="405" t="s">
        <v>1070</v>
      </c>
      <c r="B106" s="605" t="s">
        <v>953</v>
      </c>
      <c r="C106" s="605" t="s">
        <v>1120</v>
      </c>
      <c r="D106" s="605" t="s">
        <v>1121</v>
      </c>
      <c r="E106" s="605" t="s">
        <v>1122</v>
      </c>
      <c r="F106" s="605" t="s">
        <v>1123</v>
      </c>
      <c r="G106" s="605" t="s">
        <v>1124</v>
      </c>
      <c r="H106" s="605" t="s">
        <v>1125</v>
      </c>
      <c r="I106" s="605" t="s">
        <v>1126</v>
      </c>
      <c r="J106" s="605" t="s">
        <v>1127</v>
      </c>
      <c r="K106" s="605" t="s">
        <v>1128</v>
      </c>
      <c r="L106" s="588" t="s">
        <v>1096</v>
      </c>
    </row>
    <row r="107" spans="1:12" hidden="1">
      <c r="A107" s="405" t="s">
        <v>1071</v>
      </c>
      <c r="B107" s="605" t="s">
        <v>552</v>
      </c>
      <c r="C107" s="605" t="s">
        <v>1129</v>
      </c>
      <c r="D107" s="605" t="s">
        <v>1130</v>
      </c>
      <c r="E107" s="605" t="s">
        <v>1131</v>
      </c>
      <c r="F107" s="605" t="s">
        <v>1132</v>
      </c>
      <c r="G107" s="605" t="s">
        <v>1132</v>
      </c>
      <c r="H107" s="605" t="s">
        <v>1133</v>
      </c>
      <c r="I107" s="605" t="s">
        <v>552</v>
      </c>
      <c r="J107" s="605" t="s">
        <v>1134</v>
      </c>
      <c r="K107" s="605" t="s">
        <v>1135</v>
      </c>
      <c r="L107" s="588" t="s">
        <v>1097</v>
      </c>
    </row>
    <row r="108" spans="1:12" hidden="1">
      <c r="A108" s="405" t="s">
        <v>1072</v>
      </c>
      <c r="B108" s="605" t="s">
        <v>554</v>
      </c>
      <c r="C108" s="605" t="s">
        <v>554</v>
      </c>
      <c r="D108" s="605" t="s">
        <v>1136</v>
      </c>
      <c r="E108" s="605" t="s">
        <v>1137</v>
      </c>
      <c r="F108" s="605" t="s">
        <v>1138</v>
      </c>
      <c r="G108" s="605" t="s">
        <v>1139</v>
      </c>
      <c r="H108" s="605" t="s">
        <v>1140</v>
      </c>
      <c r="I108" s="605" t="s">
        <v>554</v>
      </c>
      <c r="J108" s="605" t="s">
        <v>1141</v>
      </c>
      <c r="K108" s="605" t="s">
        <v>1142</v>
      </c>
      <c r="L108" s="588" t="s">
        <v>1098</v>
      </c>
    </row>
    <row r="109" spans="1:12" hidden="1">
      <c r="A109" s="405" t="s">
        <v>1073</v>
      </c>
      <c r="B109" s="605" t="s">
        <v>1143</v>
      </c>
      <c r="C109" s="605" t="s">
        <v>1144</v>
      </c>
      <c r="D109" s="605" t="s">
        <v>1145</v>
      </c>
      <c r="E109" s="605" t="s">
        <v>1146</v>
      </c>
      <c r="F109" s="605" t="s">
        <v>1147</v>
      </c>
      <c r="G109" s="605" t="s">
        <v>1148</v>
      </c>
      <c r="H109" s="605" t="s">
        <v>1149</v>
      </c>
      <c r="I109" s="605" t="s">
        <v>1150</v>
      </c>
      <c r="J109" s="605" t="s">
        <v>1151</v>
      </c>
      <c r="K109" s="605" t="s">
        <v>1152</v>
      </c>
      <c r="L109" s="588" t="s">
        <v>1099</v>
      </c>
    </row>
    <row r="110" spans="1:12" hidden="1">
      <c r="A110" s="405" t="s">
        <v>1074</v>
      </c>
      <c r="B110" s="605" t="s">
        <v>946</v>
      </c>
      <c r="C110" s="605" t="s">
        <v>1153</v>
      </c>
      <c r="D110" s="605" t="s">
        <v>1154</v>
      </c>
      <c r="E110" s="605" t="s">
        <v>1074</v>
      </c>
      <c r="F110" s="605" t="s">
        <v>1155</v>
      </c>
      <c r="G110" s="605" t="s">
        <v>1156</v>
      </c>
      <c r="H110" s="605" t="s">
        <v>1157</v>
      </c>
      <c r="I110" s="605" t="s">
        <v>1158</v>
      </c>
      <c r="J110" s="605" t="s">
        <v>1159</v>
      </c>
      <c r="K110" s="605" t="s">
        <v>1160</v>
      </c>
      <c r="L110" s="588" t="s">
        <v>1100</v>
      </c>
    </row>
    <row r="111" spans="1:12" hidden="1">
      <c r="A111" s="405" t="s">
        <v>1075</v>
      </c>
      <c r="B111" s="605" t="s">
        <v>947</v>
      </c>
      <c r="C111" s="605" t="s">
        <v>1161</v>
      </c>
      <c r="D111" s="605" t="s">
        <v>1162</v>
      </c>
      <c r="E111" s="605" t="s">
        <v>1163</v>
      </c>
      <c r="F111" s="605" t="s">
        <v>1164</v>
      </c>
      <c r="G111" s="605" t="s">
        <v>1165</v>
      </c>
      <c r="H111" s="605" t="s">
        <v>1166</v>
      </c>
      <c r="I111" s="605" t="s">
        <v>1167</v>
      </c>
      <c r="J111" s="605" t="s">
        <v>1168</v>
      </c>
      <c r="K111" s="605" t="s">
        <v>1169</v>
      </c>
      <c r="L111" s="588" t="s">
        <v>1101</v>
      </c>
    </row>
    <row r="112" spans="1:12" hidden="1">
      <c r="A112" s="405" t="s">
        <v>1076</v>
      </c>
      <c r="B112" s="605" t="s">
        <v>562</v>
      </c>
      <c r="C112" s="605" t="s">
        <v>562</v>
      </c>
      <c r="D112" s="605" t="s">
        <v>1076</v>
      </c>
      <c r="E112" s="605" t="s">
        <v>1076</v>
      </c>
      <c r="F112" s="605" t="s">
        <v>1170</v>
      </c>
      <c r="G112" s="605" t="s">
        <v>1170</v>
      </c>
      <c r="H112" s="605" t="s">
        <v>1171</v>
      </c>
      <c r="I112" s="605" t="s">
        <v>1172</v>
      </c>
      <c r="J112" s="605" t="s">
        <v>1173</v>
      </c>
      <c r="K112" s="605" t="s">
        <v>1174</v>
      </c>
      <c r="L112" s="588" t="s">
        <v>1102</v>
      </c>
    </row>
    <row r="113" spans="1:12" hidden="1">
      <c r="A113" s="405" t="s">
        <v>1077</v>
      </c>
      <c r="B113" s="605" t="s">
        <v>561</v>
      </c>
      <c r="C113" s="605" t="s">
        <v>561</v>
      </c>
      <c r="D113" s="605" t="s">
        <v>1077</v>
      </c>
      <c r="E113" s="605" t="s">
        <v>1077</v>
      </c>
      <c r="F113" s="605" t="s">
        <v>1175</v>
      </c>
      <c r="G113" s="605" t="s">
        <v>1175</v>
      </c>
      <c r="H113" s="605" t="s">
        <v>1176</v>
      </c>
      <c r="I113" s="605" t="s">
        <v>181</v>
      </c>
      <c r="J113" s="605" t="s">
        <v>1177</v>
      </c>
      <c r="K113" s="605" t="s">
        <v>1178</v>
      </c>
      <c r="L113" s="588" t="s">
        <v>1103</v>
      </c>
    </row>
    <row r="114" spans="1:12" hidden="1">
      <c r="A114" s="405" t="s">
        <v>1069</v>
      </c>
      <c r="B114" s="605" t="s">
        <v>560</v>
      </c>
      <c r="C114" s="605" t="s">
        <v>1179</v>
      </c>
      <c r="D114" s="605" t="s">
        <v>1180</v>
      </c>
      <c r="E114" s="605" t="s">
        <v>1181</v>
      </c>
      <c r="F114" s="605" t="s">
        <v>1182</v>
      </c>
      <c r="G114" s="605" t="s">
        <v>1183</v>
      </c>
      <c r="H114" s="605" t="s">
        <v>1184</v>
      </c>
      <c r="I114" s="605" t="s">
        <v>1185</v>
      </c>
      <c r="J114" s="605" t="s">
        <v>1186</v>
      </c>
      <c r="K114" s="605" t="s">
        <v>1187</v>
      </c>
    </row>
    <row r="115" spans="1:12" hidden="1">
      <c r="A115" s="405" t="s">
        <v>1078</v>
      </c>
      <c r="B115" s="605" t="s">
        <v>948</v>
      </c>
      <c r="C115" s="605" t="s">
        <v>1188</v>
      </c>
      <c r="D115" s="605" t="s">
        <v>1189</v>
      </c>
      <c r="E115" s="605" t="s">
        <v>1190</v>
      </c>
      <c r="F115" s="605" t="s">
        <v>1191</v>
      </c>
      <c r="G115" s="605" t="s">
        <v>1191</v>
      </c>
      <c r="H115" s="605" t="s">
        <v>1192</v>
      </c>
      <c r="I115" s="605" t="s">
        <v>1193</v>
      </c>
      <c r="J115" s="605" t="s">
        <v>1194</v>
      </c>
      <c r="K115" s="605" t="s">
        <v>1195</v>
      </c>
    </row>
    <row r="116" spans="1:12" hidden="1">
      <c r="A116" s="405" t="s">
        <v>1079</v>
      </c>
      <c r="B116" s="605" t="s">
        <v>949</v>
      </c>
      <c r="C116" s="605" t="s">
        <v>1196</v>
      </c>
      <c r="D116" s="605" t="s">
        <v>1079</v>
      </c>
      <c r="E116" s="605" t="s">
        <v>1079</v>
      </c>
      <c r="F116" s="605" t="s">
        <v>1197</v>
      </c>
      <c r="G116" s="605" t="s">
        <v>1197</v>
      </c>
      <c r="H116" s="605" t="s">
        <v>1198</v>
      </c>
      <c r="I116" s="605" t="s">
        <v>1199</v>
      </c>
      <c r="J116" s="605" t="s">
        <v>1200</v>
      </c>
      <c r="K116" s="605" t="s">
        <v>1201</v>
      </c>
    </row>
    <row r="117" spans="1:12" hidden="1">
      <c r="A117" s="405" t="s">
        <v>1080</v>
      </c>
      <c r="B117" s="605" t="s">
        <v>950</v>
      </c>
      <c r="C117" s="605" t="s">
        <v>1202</v>
      </c>
      <c r="D117" s="605" t="s">
        <v>1203</v>
      </c>
      <c r="E117" s="605" t="s">
        <v>1204</v>
      </c>
      <c r="F117" s="605" t="s">
        <v>1205</v>
      </c>
      <c r="G117" s="605" t="s">
        <v>1205</v>
      </c>
      <c r="H117" s="605" t="s">
        <v>1206</v>
      </c>
      <c r="I117" s="605" t="s">
        <v>1080</v>
      </c>
      <c r="J117" s="605" t="s">
        <v>1207</v>
      </c>
      <c r="K117" s="605" t="s">
        <v>1208</v>
      </c>
    </row>
    <row r="118" spans="1:12" hidden="1">
      <c r="A118" s="405" t="s">
        <v>1081</v>
      </c>
      <c r="B118" s="605" t="s">
        <v>951</v>
      </c>
      <c r="C118" s="605" t="s">
        <v>1209</v>
      </c>
      <c r="D118" s="605" t="s">
        <v>1210</v>
      </c>
      <c r="E118" s="605" t="s">
        <v>1211</v>
      </c>
      <c r="F118" s="605" t="s">
        <v>1212</v>
      </c>
      <c r="G118" s="605" t="s">
        <v>1212</v>
      </c>
      <c r="H118" s="605" t="s">
        <v>1213</v>
      </c>
      <c r="I118" s="605" t="s">
        <v>1081</v>
      </c>
      <c r="J118" s="605" t="s">
        <v>1214</v>
      </c>
      <c r="K118" s="605" t="s">
        <v>1215</v>
      </c>
    </row>
    <row r="119" spans="1:12" hidden="1">
      <c r="A119" s="405" t="s">
        <v>1082</v>
      </c>
      <c r="B119" s="605" t="s">
        <v>952</v>
      </c>
      <c r="C119" s="406" t="s">
        <v>1216</v>
      </c>
      <c r="D119" s="605" t="s">
        <v>1217</v>
      </c>
      <c r="E119" s="605" t="s">
        <v>1218</v>
      </c>
      <c r="F119" s="605" t="s">
        <v>1219</v>
      </c>
      <c r="G119" s="605" t="s">
        <v>1220</v>
      </c>
      <c r="H119" s="605" t="s">
        <v>1221</v>
      </c>
      <c r="I119" s="605" t="s">
        <v>1222</v>
      </c>
      <c r="J119" s="605" t="s">
        <v>1223</v>
      </c>
      <c r="K119" s="605" t="s">
        <v>1224</v>
      </c>
    </row>
    <row r="120" spans="1:12" hidden="1">
      <c r="A120" s="405" t="s">
        <v>1091</v>
      </c>
      <c r="B120" s="605" t="s">
        <v>1225</v>
      </c>
      <c r="C120" s="605" t="s">
        <v>1226</v>
      </c>
      <c r="D120" s="605" t="s">
        <v>1227</v>
      </c>
      <c r="E120" s="605" t="s">
        <v>1228</v>
      </c>
      <c r="F120" s="605" t="s">
        <v>1229</v>
      </c>
      <c r="G120" s="605" t="s">
        <v>1229</v>
      </c>
      <c r="H120" s="605" t="s">
        <v>1230</v>
      </c>
      <c r="I120" s="605" t="s">
        <v>1231</v>
      </c>
      <c r="J120" s="605" t="s">
        <v>1232</v>
      </c>
      <c r="K120" s="605" t="s">
        <v>1229</v>
      </c>
    </row>
    <row r="121" spans="1:12" hidden="1">
      <c r="A121" s="405" t="s">
        <v>1092</v>
      </c>
      <c r="B121" s="605" t="s">
        <v>1233</v>
      </c>
      <c r="C121" s="605" t="s">
        <v>1234</v>
      </c>
      <c r="D121" s="605" t="s">
        <v>1235</v>
      </c>
      <c r="E121" s="605" t="s">
        <v>1236</v>
      </c>
      <c r="F121" s="605" t="s">
        <v>1237</v>
      </c>
      <c r="G121" s="605" t="s">
        <v>1237</v>
      </c>
      <c r="H121" s="605" t="s">
        <v>1238</v>
      </c>
      <c r="I121" s="605" t="s">
        <v>1239</v>
      </c>
      <c r="J121" s="605" t="s">
        <v>1240</v>
      </c>
      <c r="K121" s="605" t="s">
        <v>1237</v>
      </c>
    </row>
    <row r="122" spans="1:12" hidden="1"/>
    <row r="123" spans="1:12" hidden="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5345" r:id="rId3" name="Drop Down 1">
              <controlPr defaultSize="0" autoLine="0" autoPict="0">
                <anchor moveWithCells="1">
                  <from>
                    <xdr:col>15</xdr:col>
                    <xdr:colOff>533400</xdr:colOff>
                    <xdr:row>0</xdr:row>
                    <xdr:rowOff>104775</xdr:rowOff>
                  </from>
                  <to>
                    <xdr:col>15</xdr:col>
                    <xdr:colOff>1419225</xdr:colOff>
                    <xdr:row>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8"/>
  <sheetViews>
    <sheetView workbookViewId="0">
      <selection activeCell="I15" sqref="I15"/>
    </sheetView>
  </sheetViews>
  <sheetFormatPr baseColWidth="10" defaultColWidth="9" defaultRowHeight="12"/>
  <cols>
    <col min="1" max="1" width="2.375" style="406" customWidth="1"/>
    <col min="2" max="2" width="10.25" style="406" customWidth="1"/>
    <col min="3" max="5" width="9" style="406"/>
    <col min="6" max="6" width="10.25" style="406" customWidth="1"/>
    <col min="7" max="7" width="9" style="406"/>
    <col min="8" max="8" width="10" style="406" bestFit="1" customWidth="1"/>
    <col min="9" max="9" width="9" style="406"/>
    <col min="10" max="10" width="10.25" style="406" customWidth="1"/>
    <col min="11" max="256" width="9" style="406"/>
    <col min="257" max="257" width="2.375" style="406" customWidth="1"/>
    <col min="258" max="258" width="10.25" style="406" customWidth="1"/>
    <col min="259" max="261" width="9" style="406"/>
    <col min="262" max="262" width="10.25" style="406" customWidth="1"/>
    <col min="263" max="263" width="9" style="406"/>
    <col min="264" max="264" width="10" style="406" bestFit="1" customWidth="1"/>
    <col min="265" max="265" width="9" style="406"/>
    <col min="266" max="266" width="10.25" style="406" customWidth="1"/>
    <col min="267" max="512" width="9" style="406"/>
    <col min="513" max="513" width="2.375" style="406" customWidth="1"/>
    <col min="514" max="514" width="10.25" style="406" customWidth="1"/>
    <col min="515" max="517" width="9" style="406"/>
    <col min="518" max="518" width="10.25" style="406" customWidth="1"/>
    <col min="519" max="519" width="9" style="406"/>
    <col min="520" max="520" width="10" style="406" bestFit="1" customWidth="1"/>
    <col min="521" max="521" width="9" style="406"/>
    <col min="522" max="522" width="10.25" style="406" customWidth="1"/>
    <col min="523" max="768" width="9" style="406"/>
    <col min="769" max="769" width="2.375" style="406" customWidth="1"/>
    <col min="770" max="770" width="10.25" style="406" customWidth="1"/>
    <col min="771" max="773" width="9" style="406"/>
    <col min="774" max="774" width="10.25" style="406" customWidth="1"/>
    <col min="775" max="775" width="9" style="406"/>
    <col min="776" max="776" width="10" style="406" bestFit="1" customWidth="1"/>
    <col min="777" max="777" width="9" style="406"/>
    <col min="778" max="778" width="10.25" style="406" customWidth="1"/>
    <col min="779" max="1024" width="9" style="406"/>
    <col min="1025" max="1025" width="2.375" style="406" customWidth="1"/>
    <col min="1026" max="1026" width="10.25" style="406" customWidth="1"/>
    <col min="1027" max="1029" width="9" style="406"/>
    <col min="1030" max="1030" width="10.25" style="406" customWidth="1"/>
    <col min="1031" max="1031" width="9" style="406"/>
    <col min="1032" max="1032" width="10" style="406" bestFit="1" customWidth="1"/>
    <col min="1033" max="1033" width="9" style="406"/>
    <col min="1034" max="1034" width="10.25" style="406" customWidth="1"/>
    <col min="1035" max="1280" width="9" style="406"/>
    <col min="1281" max="1281" width="2.375" style="406" customWidth="1"/>
    <col min="1282" max="1282" width="10.25" style="406" customWidth="1"/>
    <col min="1283" max="1285" width="9" style="406"/>
    <col min="1286" max="1286" width="10.25" style="406" customWidth="1"/>
    <col min="1287" max="1287" width="9" style="406"/>
    <col min="1288" max="1288" width="10" style="406" bestFit="1" customWidth="1"/>
    <col min="1289" max="1289" width="9" style="406"/>
    <col min="1290" max="1290" width="10.25" style="406" customWidth="1"/>
    <col min="1291" max="1536" width="9" style="406"/>
    <col min="1537" max="1537" width="2.375" style="406" customWidth="1"/>
    <col min="1538" max="1538" width="10.25" style="406" customWidth="1"/>
    <col min="1539" max="1541" width="9" style="406"/>
    <col min="1542" max="1542" width="10.25" style="406" customWidth="1"/>
    <col min="1543" max="1543" width="9" style="406"/>
    <col min="1544" max="1544" width="10" style="406" bestFit="1" customWidth="1"/>
    <col min="1545" max="1545" width="9" style="406"/>
    <col min="1546" max="1546" width="10.25" style="406" customWidth="1"/>
    <col min="1547" max="1792" width="9" style="406"/>
    <col min="1793" max="1793" width="2.375" style="406" customWidth="1"/>
    <col min="1794" max="1794" width="10.25" style="406" customWidth="1"/>
    <col min="1795" max="1797" width="9" style="406"/>
    <col min="1798" max="1798" width="10.25" style="406" customWidth="1"/>
    <col min="1799" max="1799" width="9" style="406"/>
    <col min="1800" max="1800" width="10" style="406" bestFit="1" customWidth="1"/>
    <col min="1801" max="1801" width="9" style="406"/>
    <col min="1802" max="1802" width="10.25" style="406" customWidth="1"/>
    <col min="1803" max="2048" width="9" style="406"/>
    <col min="2049" max="2049" width="2.375" style="406" customWidth="1"/>
    <col min="2050" max="2050" width="10.25" style="406" customWidth="1"/>
    <col min="2051" max="2053" width="9" style="406"/>
    <col min="2054" max="2054" width="10.25" style="406" customWidth="1"/>
    <col min="2055" max="2055" width="9" style="406"/>
    <col min="2056" max="2056" width="10" style="406" bestFit="1" customWidth="1"/>
    <col min="2057" max="2057" width="9" style="406"/>
    <col min="2058" max="2058" width="10.25" style="406" customWidth="1"/>
    <col min="2059" max="2304" width="9" style="406"/>
    <col min="2305" max="2305" width="2.375" style="406" customWidth="1"/>
    <col min="2306" max="2306" width="10.25" style="406" customWidth="1"/>
    <col min="2307" max="2309" width="9" style="406"/>
    <col min="2310" max="2310" width="10.25" style="406" customWidth="1"/>
    <col min="2311" max="2311" width="9" style="406"/>
    <col min="2312" max="2312" width="10" style="406" bestFit="1" customWidth="1"/>
    <col min="2313" max="2313" width="9" style="406"/>
    <col min="2314" max="2314" width="10.25" style="406" customWidth="1"/>
    <col min="2315" max="2560" width="9" style="406"/>
    <col min="2561" max="2561" width="2.375" style="406" customWidth="1"/>
    <col min="2562" max="2562" width="10.25" style="406" customWidth="1"/>
    <col min="2563" max="2565" width="9" style="406"/>
    <col min="2566" max="2566" width="10.25" style="406" customWidth="1"/>
    <col min="2567" max="2567" width="9" style="406"/>
    <col min="2568" max="2568" width="10" style="406" bestFit="1" customWidth="1"/>
    <col min="2569" max="2569" width="9" style="406"/>
    <col min="2570" max="2570" width="10.25" style="406" customWidth="1"/>
    <col min="2571" max="2816" width="9" style="406"/>
    <col min="2817" max="2817" width="2.375" style="406" customWidth="1"/>
    <col min="2818" max="2818" width="10.25" style="406" customWidth="1"/>
    <col min="2819" max="2821" width="9" style="406"/>
    <col min="2822" max="2822" width="10.25" style="406" customWidth="1"/>
    <col min="2823" max="2823" width="9" style="406"/>
    <col min="2824" max="2824" width="10" style="406" bestFit="1" customWidth="1"/>
    <col min="2825" max="2825" width="9" style="406"/>
    <col min="2826" max="2826" width="10.25" style="406" customWidth="1"/>
    <col min="2827" max="3072" width="9" style="406"/>
    <col min="3073" max="3073" width="2.375" style="406" customWidth="1"/>
    <col min="3074" max="3074" width="10.25" style="406" customWidth="1"/>
    <col min="3075" max="3077" width="9" style="406"/>
    <col min="3078" max="3078" width="10.25" style="406" customWidth="1"/>
    <col min="3079" max="3079" width="9" style="406"/>
    <col min="3080" max="3080" width="10" style="406" bestFit="1" customWidth="1"/>
    <col min="3081" max="3081" width="9" style="406"/>
    <col min="3082" max="3082" width="10.25" style="406" customWidth="1"/>
    <col min="3083" max="3328" width="9" style="406"/>
    <col min="3329" max="3329" width="2.375" style="406" customWidth="1"/>
    <col min="3330" max="3330" width="10.25" style="406" customWidth="1"/>
    <col min="3331" max="3333" width="9" style="406"/>
    <col min="3334" max="3334" width="10.25" style="406" customWidth="1"/>
    <col min="3335" max="3335" width="9" style="406"/>
    <col min="3336" max="3336" width="10" style="406" bestFit="1" customWidth="1"/>
    <col min="3337" max="3337" width="9" style="406"/>
    <col min="3338" max="3338" width="10.25" style="406" customWidth="1"/>
    <col min="3339" max="3584" width="9" style="406"/>
    <col min="3585" max="3585" width="2.375" style="406" customWidth="1"/>
    <col min="3586" max="3586" width="10.25" style="406" customWidth="1"/>
    <col min="3587" max="3589" width="9" style="406"/>
    <col min="3590" max="3590" width="10.25" style="406" customWidth="1"/>
    <col min="3591" max="3591" width="9" style="406"/>
    <col min="3592" max="3592" width="10" style="406" bestFit="1" customWidth="1"/>
    <col min="3593" max="3593" width="9" style="406"/>
    <col min="3594" max="3594" width="10.25" style="406" customWidth="1"/>
    <col min="3595" max="3840" width="9" style="406"/>
    <col min="3841" max="3841" width="2.375" style="406" customWidth="1"/>
    <col min="3842" max="3842" width="10.25" style="406" customWidth="1"/>
    <col min="3843" max="3845" width="9" style="406"/>
    <col min="3846" max="3846" width="10.25" style="406" customWidth="1"/>
    <col min="3847" max="3847" width="9" style="406"/>
    <col min="3848" max="3848" width="10" style="406" bestFit="1" customWidth="1"/>
    <col min="3849" max="3849" width="9" style="406"/>
    <col min="3850" max="3850" width="10.25" style="406" customWidth="1"/>
    <col min="3851" max="4096" width="9" style="406"/>
    <col min="4097" max="4097" width="2.375" style="406" customWidth="1"/>
    <col min="4098" max="4098" width="10.25" style="406" customWidth="1"/>
    <col min="4099" max="4101" width="9" style="406"/>
    <col min="4102" max="4102" width="10.25" style="406" customWidth="1"/>
    <col min="4103" max="4103" width="9" style="406"/>
    <col min="4104" max="4104" width="10" style="406" bestFit="1" customWidth="1"/>
    <col min="4105" max="4105" width="9" style="406"/>
    <col min="4106" max="4106" width="10.25" style="406" customWidth="1"/>
    <col min="4107" max="4352" width="9" style="406"/>
    <col min="4353" max="4353" width="2.375" style="406" customWidth="1"/>
    <col min="4354" max="4354" width="10.25" style="406" customWidth="1"/>
    <col min="4355" max="4357" width="9" style="406"/>
    <col min="4358" max="4358" width="10.25" style="406" customWidth="1"/>
    <col min="4359" max="4359" width="9" style="406"/>
    <col min="4360" max="4360" width="10" style="406" bestFit="1" customWidth="1"/>
    <col min="4361" max="4361" width="9" style="406"/>
    <col min="4362" max="4362" width="10.25" style="406" customWidth="1"/>
    <col min="4363" max="4608" width="9" style="406"/>
    <col min="4609" max="4609" width="2.375" style="406" customWidth="1"/>
    <col min="4610" max="4610" width="10.25" style="406" customWidth="1"/>
    <col min="4611" max="4613" width="9" style="406"/>
    <col min="4614" max="4614" width="10.25" style="406" customWidth="1"/>
    <col min="4615" max="4615" width="9" style="406"/>
    <col min="4616" max="4616" width="10" style="406" bestFit="1" customWidth="1"/>
    <col min="4617" max="4617" width="9" style="406"/>
    <col min="4618" max="4618" width="10.25" style="406" customWidth="1"/>
    <col min="4619" max="4864" width="9" style="406"/>
    <col min="4865" max="4865" width="2.375" style="406" customWidth="1"/>
    <col min="4866" max="4866" width="10.25" style="406" customWidth="1"/>
    <col min="4867" max="4869" width="9" style="406"/>
    <col min="4870" max="4870" width="10.25" style="406" customWidth="1"/>
    <col min="4871" max="4871" width="9" style="406"/>
    <col min="4872" max="4872" width="10" style="406" bestFit="1" customWidth="1"/>
    <col min="4873" max="4873" width="9" style="406"/>
    <col min="4874" max="4874" width="10.25" style="406" customWidth="1"/>
    <col min="4875" max="5120" width="9" style="406"/>
    <col min="5121" max="5121" width="2.375" style="406" customWidth="1"/>
    <col min="5122" max="5122" width="10.25" style="406" customWidth="1"/>
    <col min="5123" max="5125" width="9" style="406"/>
    <col min="5126" max="5126" width="10.25" style="406" customWidth="1"/>
    <col min="5127" max="5127" width="9" style="406"/>
    <col min="5128" max="5128" width="10" style="406" bestFit="1" customWidth="1"/>
    <col min="5129" max="5129" width="9" style="406"/>
    <col min="5130" max="5130" width="10.25" style="406" customWidth="1"/>
    <col min="5131" max="5376" width="9" style="406"/>
    <col min="5377" max="5377" width="2.375" style="406" customWidth="1"/>
    <col min="5378" max="5378" width="10.25" style="406" customWidth="1"/>
    <col min="5379" max="5381" width="9" style="406"/>
    <col min="5382" max="5382" width="10.25" style="406" customWidth="1"/>
    <col min="5383" max="5383" width="9" style="406"/>
    <col min="5384" max="5384" width="10" style="406" bestFit="1" customWidth="1"/>
    <col min="5385" max="5385" width="9" style="406"/>
    <col min="5386" max="5386" width="10.25" style="406" customWidth="1"/>
    <col min="5387" max="5632" width="9" style="406"/>
    <col min="5633" max="5633" width="2.375" style="406" customWidth="1"/>
    <col min="5634" max="5634" width="10.25" style="406" customWidth="1"/>
    <col min="5635" max="5637" width="9" style="406"/>
    <col min="5638" max="5638" width="10.25" style="406" customWidth="1"/>
    <col min="5639" max="5639" width="9" style="406"/>
    <col min="5640" max="5640" width="10" style="406" bestFit="1" customWidth="1"/>
    <col min="5641" max="5641" width="9" style="406"/>
    <col min="5642" max="5642" width="10.25" style="406" customWidth="1"/>
    <col min="5643" max="5888" width="9" style="406"/>
    <col min="5889" max="5889" width="2.375" style="406" customWidth="1"/>
    <col min="5890" max="5890" width="10.25" style="406" customWidth="1"/>
    <col min="5891" max="5893" width="9" style="406"/>
    <col min="5894" max="5894" width="10.25" style="406" customWidth="1"/>
    <col min="5895" max="5895" width="9" style="406"/>
    <col min="5896" max="5896" width="10" style="406" bestFit="1" customWidth="1"/>
    <col min="5897" max="5897" width="9" style="406"/>
    <col min="5898" max="5898" width="10.25" style="406" customWidth="1"/>
    <col min="5899" max="6144" width="9" style="406"/>
    <col min="6145" max="6145" width="2.375" style="406" customWidth="1"/>
    <col min="6146" max="6146" width="10.25" style="406" customWidth="1"/>
    <col min="6147" max="6149" width="9" style="406"/>
    <col min="6150" max="6150" width="10.25" style="406" customWidth="1"/>
    <col min="6151" max="6151" width="9" style="406"/>
    <col min="6152" max="6152" width="10" style="406" bestFit="1" customWidth="1"/>
    <col min="6153" max="6153" width="9" style="406"/>
    <col min="6154" max="6154" width="10.25" style="406" customWidth="1"/>
    <col min="6155" max="6400" width="9" style="406"/>
    <col min="6401" max="6401" width="2.375" style="406" customWidth="1"/>
    <col min="6402" max="6402" width="10.25" style="406" customWidth="1"/>
    <col min="6403" max="6405" width="9" style="406"/>
    <col min="6406" max="6406" width="10.25" style="406" customWidth="1"/>
    <col min="6407" max="6407" width="9" style="406"/>
    <col min="6408" max="6408" width="10" style="406" bestFit="1" customWidth="1"/>
    <col min="6409" max="6409" width="9" style="406"/>
    <col min="6410" max="6410" width="10.25" style="406" customWidth="1"/>
    <col min="6411" max="6656" width="9" style="406"/>
    <col min="6657" max="6657" width="2.375" style="406" customWidth="1"/>
    <col min="6658" max="6658" width="10.25" style="406" customWidth="1"/>
    <col min="6659" max="6661" width="9" style="406"/>
    <col min="6662" max="6662" width="10.25" style="406" customWidth="1"/>
    <col min="6663" max="6663" width="9" style="406"/>
    <col min="6664" max="6664" width="10" style="406" bestFit="1" customWidth="1"/>
    <col min="6665" max="6665" width="9" style="406"/>
    <col min="6666" max="6666" width="10.25" style="406" customWidth="1"/>
    <col min="6667" max="6912" width="9" style="406"/>
    <col min="6913" max="6913" width="2.375" style="406" customWidth="1"/>
    <col min="6914" max="6914" width="10.25" style="406" customWidth="1"/>
    <col min="6915" max="6917" width="9" style="406"/>
    <col min="6918" max="6918" width="10.25" style="406" customWidth="1"/>
    <col min="6919" max="6919" width="9" style="406"/>
    <col min="6920" max="6920" width="10" style="406" bestFit="1" customWidth="1"/>
    <col min="6921" max="6921" width="9" style="406"/>
    <col min="6922" max="6922" width="10.25" style="406" customWidth="1"/>
    <col min="6923" max="7168" width="9" style="406"/>
    <col min="7169" max="7169" width="2.375" style="406" customWidth="1"/>
    <col min="7170" max="7170" width="10.25" style="406" customWidth="1"/>
    <col min="7171" max="7173" width="9" style="406"/>
    <col min="7174" max="7174" width="10.25" style="406" customWidth="1"/>
    <col min="7175" max="7175" width="9" style="406"/>
    <col min="7176" max="7176" width="10" style="406" bestFit="1" customWidth="1"/>
    <col min="7177" max="7177" width="9" style="406"/>
    <col min="7178" max="7178" width="10.25" style="406" customWidth="1"/>
    <col min="7179" max="7424" width="9" style="406"/>
    <col min="7425" max="7425" width="2.375" style="406" customWidth="1"/>
    <col min="7426" max="7426" width="10.25" style="406" customWidth="1"/>
    <col min="7427" max="7429" width="9" style="406"/>
    <col min="7430" max="7430" width="10.25" style="406" customWidth="1"/>
    <col min="7431" max="7431" width="9" style="406"/>
    <col min="7432" max="7432" width="10" style="406" bestFit="1" customWidth="1"/>
    <col min="7433" max="7433" width="9" style="406"/>
    <col min="7434" max="7434" width="10.25" style="406" customWidth="1"/>
    <col min="7435" max="7680" width="9" style="406"/>
    <col min="7681" max="7681" width="2.375" style="406" customWidth="1"/>
    <col min="7682" max="7682" width="10.25" style="406" customWidth="1"/>
    <col min="7683" max="7685" width="9" style="406"/>
    <col min="7686" max="7686" width="10.25" style="406" customWidth="1"/>
    <col min="7687" max="7687" width="9" style="406"/>
    <col min="7688" max="7688" width="10" style="406" bestFit="1" customWidth="1"/>
    <col min="7689" max="7689" width="9" style="406"/>
    <col min="7690" max="7690" width="10.25" style="406" customWidth="1"/>
    <col min="7691" max="7936" width="9" style="406"/>
    <col min="7937" max="7937" width="2.375" style="406" customWidth="1"/>
    <col min="7938" max="7938" width="10.25" style="406" customWidth="1"/>
    <col min="7939" max="7941" width="9" style="406"/>
    <col min="7942" max="7942" width="10.25" style="406" customWidth="1"/>
    <col min="7943" max="7943" width="9" style="406"/>
    <col min="7944" max="7944" width="10" style="406" bestFit="1" customWidth="1"/>
    <col min="7945" max="7945" width="9" style="406"/>
    <col min="7946" max="7946" width="10.25" style="406" customWidth="1"/>
    <col min="7947" max="8192" width="9" style="406"/>
    <col min="8193" max="8193" width="2.375" style="406" customWidth="1"/>
    <col min="8194" max="8194" width="10.25" style="406" customWidth="1"/>
    <col min="8195" max="8197" width="9" style="406"/>
    <col min="8198" max="8198" width="10.25" style="406" customWidth="1"/>
    <col min="8199" max="8199" width="9" style="406"/>
    <col min="8200" max="8200" width="10" style="406" bestFit="1" customWidth="1"/>
    <col min="8201" max="8201" width="9" style="406"/>
    <col min="8202" max="8202" width="10.25" style="406" customWidth="1"/>
    <col min="8203" max="8448" width="9" style="406"/>
    <col min="8449" max="8449" width="2.375" style="406" customWidth="1"/>
    <col min="8450" max="8450" width="10.25" style="406" customWidth="1"/>
    <col min="8451" max="8453" width="9" style="406"/>
    <col min="8454" max="8454" width="10.25" style="406" customWidth="1"/>
    <col min="8455" max="8455" width="9" style="406"/>
    <col min="8456" max="8456" width="10" style="406" bestFit="1" customWidth="1"/>
    <col min="8457" max="8457" width="9" style="406"/>
    <col min="8458" max="8458" width="10.25" style="406" customWidth="1"/>
    <col min="8459" max="8704" width="9" style="406"/>
    <col min="8705" max="8705" width="2.375" style="406" customWidth="1"/>
    <col min="8706" max="8706" width="10.25" style="406" customWidth="1"/>
    <col min="8707" max="8709" width="9" style="406"/>
    <col min="8710" max="8710" width="10.25" style="406" customWidth="1"/>
    <col min="8711" max="8711" width="9" style="406"/>
    <col min="8712" max="8712" width="10" style="406" bestFit="1" customWidth="1"/>
    <col min="8713" max="8713" width="9" style="406"/>
    <col min="8714" max="8714" width="10.25" style="406" customWidth="1"/>
    <col min="8715" max="8960" width="9" style="406"/>
    <col min="8961" max="8961" width="2.375" style="406" customWidth="1"/>
    <col min="8962" max="8962" width="10.25" style="406" customWidth="1"/>
    <col min="8963" max="8965" width="9" style="406"/>
    <col min="8966" max="8966" width="10.25" style="406" customWidth="1"/>
    <col min="8967" max="8967" width="9" style="406"/>
    <col min="8968" max="8968" width="10" style="406" bestFit="1" customWidth="1"/>
    <col min="8969" max="8969" width="9" style="406"/>
    <col min="8970" max="8970" width="10.25" style="406" customWidth="1"/>
    <col min="8971" max="9216" width="9" style="406"/>
    <col min="9217" max="9217" width="2.375" style="406" customWidth="1"/>
    <col min="9218" max="9218" width="10.25" style="406" customWidth="1"/>
    <col min="9219" max="9221" width="9" style="406"/>
    <col min="9222" max="9222" width="10.25" style="406" customWidth="1"/>
    <col min="9223" max="9223" width="9" style="406"/>
    <col min="9224" max="9224" width="10" style="406" bestFit="1" customWidth="1"/>
    <col min="9225" max="9225" width="9" style="406"/>
    <col min="9226" max="9226" width="10.25" style="406" customWidth="1"/>
    <col min="9227" max="9472" width="9" style="406"/>
    <col min="9473" max="9473" width="2.375" style="406" customWidth="1"/>
    <col min="9474" max="9474" width="10.25" style="406" customWidth="1"/>
    <col min="9475" max="9477" width="9" style="406"/>
    <col min="9478" max="9478" width="10.25" style="406" customWidth="1"/>
    <col min="9479" max="9479" width="9" style="406"/>
    <col min="9480" max="9480" width="10" style="406" bestFit="1" customWidth="1"/>
    <col min="9481" max="9481" width="9" style="406"/>
    <col min="9482" max="9482" width="10.25" style="406" customWidth="1"/>
    <col min="9483" max="9728" width="9" style="406"/>
    <col min="9729" max="9729" width="2.375" style="406" customWidth="1"/>
    <col min="9730" max="9730" width="10.25" style="406" customWidth="1"/>
    <col min="9731" max="9733" width="9" style="406"/>
    <col min="9734" max="9734" width="10.25" style="406" customWidth="1"/>
    <col min="9735" max="9735" width="9" style="406"/>
    <col min="9736" max="9736" width="10" style="406" bestFit="1" customWidth="1"/>
    <col min="9737" max="9737" width="9" style="406"/>
    <col min="9738" max="9738" width="10.25" style="406" customWidth="1"/>
    <col min="9739" max="9984" width="9" style="406"/>
    <col min="9985" max="9985" width="2.375" style="406" customWidth="1"/>
    <col min="9986" max="9986" width="10.25" style="406" customWidth="1"/>
    <col min="9987" max="9989" width="9" style="406"/>
    <col min="9990" max="9990" width="10.25" style="406" customWidth="1"/>
    <col min="9991" max="9991" width="9" style="406"/>
    <col min="9992" max="9992" width="10" style="406" bestFit="1" customWidth="1"/>
    <col min="9993" max="9993" width="9" style="406"/>
    <col min="9994" max="9994" width="10.25" style="406" customWidth="1"/>
    <col min="9995" max="10240" width="9" style="406"/>
    <col min="10241" max="10241" width="2.375" style="406" customWidth="1"/>
    <col min="10242" max="10242" width="10.25" style="406" customWidth="1"/>
    <col min="10243" max="10245" width="9" style="406"/>
    <col min="10246" max="10246" width="10.25" style="406" customWidth="1"/>
    <col min="10247" max="10247" width="9" style="406"/>
    <col min="10248" max="10248" width="10" style="406" bestFit="1" customWidth="1"/>
    <col min="10249" max="10249" width="9" style="406"/>
    <col min="10250" max="10250" width="10.25" style="406" customWidth="1"/>
    <col min="10251" max="10496" width="9" style="406"/>
    <col min="10497" max="10497" width="2.375" style="406" customWidth="1"/>
    <col min="10498" max="10498" width="10.25" style="406" customWidth="1"/>
    <col min="10499" max="10501" width="9" style="406"/>
    <col min="10502" max="10502" width="10.25" style="406" customWidth="1"/>
    <col min="10503" max="10503" width="9" style="406"/>
    <col min="10504" max="10504" width="10" style="406" bestFit="1" customWidth="1"/>
    <col min="10505" max="10505" width="9" style="406"/>
    <col min="10506" max="10506" width="10.25" style="406" customWidth="1"/>
    <col min="10507" max="10752" width="9" style="406"/>
    <col min="10753" max="10753" width="2.375" style="406" customWidth="1"/>
    <col min="10754" max="10754" width="10.25" style="406" customWidth="1"/>
    <col min="10755" max="10757" width="9" style="406"/>
    <col min="10758" max="10758" width="10.25" style="406" customWidth="1"/>
    <col min="10759" max="10759" width="9" style="406"/>
    <col min="10760" max="10760" width="10" style="406" bestFit="1" customWidth="1"/>
    <col min="10761" max="10761" width="9" style="406"/>
    <col min="10762" max="10762" width="10.25" style="406" customWidth="1"/>
    <col min="10763" max="11008" width="9" style="406"/>
    <col min="11009" max="11009" width="2.375" style="406" customWidth="1"/>
    <col min="11010" max="11010" width="10.25" style="406" customWidth="1"/>
    <col min="11011" max="11013" width="9" style="406"/>
    <col min="11014" max="11014" width="10.25" style="406" customWidth="1"/>
    <col min="11015" max="11015" width="9" style="406"/>
    <col min="11016" max="11016" width="10" style="406" bestFit="1" customWidth="1"/>
    <col min="11017" max="11017" width="9" style="406"/>
    <col min="11018" max="11018" width="10.25" style="406" customWidth="1"/>
    <col min="11019" max="11264" width="9" style="406"/>
    <col min="11265" max="11265" width="2.375" style="406" customWidth="1"/>
    <col min="11266" max="11266" width="10.25" style="406" customWidth="1"/>
    <col min="11267" max="11269" width="9" style="406"/>
    <col min="11270" max="11270" width="10.25" style="406" customWidth="1"/>
    <col min="11271" max="11271" width="9" style="406"/>
    <col min="11272" max="11272" width="10" style="406" bestFit="1" customWidth="1"/>
    <col min="11273" max="11273" width="9" style="406"/>
    <col min="11274" max="11274" width="10.25" style="406" customWidth="1"/>
    <col min="11275" max="11520" width="9" style="406"/>
    <col min="11521" max="11521" width="2.375" style="406" customWidth="1"/>
    <col min="11522" max="11522" width="10.25" style="406" customWidth="1"/>
    <col min="11523" max="11525" width="9" style="406"/>
    <col min="11526" max="11526" width="10.25" style="406" customWidth="1"/>
    <col min="11527" max="11527" width="9" style="406"/>
    <col min="11528" max="11528" width="10" style="406" bestFit="1" customWidth="1"/>
    <col min="11529" max="11529" width="9" style="406"/>
    <col min="11530" max="11530" width="10.25" style="406" customWidth="1"/>
    <col min="11531" max="11776" width="9" style="406"/>
    <col min="11777" max="11777" width="2.375" style="406" customWidth="1"/>
    <col min="11778" max="11778" width="10.25" style="406" customWidth="1"/>
    <col min="11779" max="11781" width="9" style="406"/>
    <col min="11782" max="11782" width="10.25" style="406" customWidth="1"/>
    <col min="11783" max="11783" width="9" style="406"/>
    <col min="11784" max="11784" width="10" style="406" bestFit="1" customWidth="1"/>
    <col min="11785" max="11785" width="9" style="406"/>
    <col min="11786" max="11786" width="10.25" style="406" customWidth="1"/>
    <col min="11787" max="12032" width="9" style="406"/>
    <col min="12033" max="12033" width="2.375" style="406" customWidth="1"/>
    <col min="12034" max="12034" width="10.25" style="406" customWidth="1"/>
    <col min="12035" max="12037" width="9" style="406"/>
    <col min="12038" max="12038" width="10.25" style="406" customWidth="1"/>
    <col min="12039" max="12039" width="9" style="406"/>
    <col min="12040" max="12040" width="10" style="406" bestFit="1" customWidth="1"/>
    <col min="12041" max="12041" width="9" style="406"/>
    <col min="12042" max="12042" width="10.25" style="406" customWidth="1"/>
    <col min="12043" max="12288" width="9" style="406"/>
    <col min="12289" max="12289" width="2.375" style="406" customWidth="1"/>
    <col min="12290" max="12290" width="10.25" style="406" customWidth="1"/>
    <col min="12291" max="12293" width="9" style="406"/>
    <col min="12294" max="12294" width="10.25" style="406" customWidth="1"/>
    <col min="12295" max="12295" width="9" style="406"/>
    <col min="12296" max="12296" width="10" style="406" bestFit="1" customWidth="1"/>
    <col min="12297" max="12297" width="9" style="406"/>
    <col min="12298" max="12298" width="10.25" style="406" customWidth="1"/>
    <col min="12299" max="12544" width="9" style="406"/>
    <col min="12545" max="12545" width="2.375" style="406" customWidth="1"/>
    <col min="12546" max="12546" width="10.25" style="406" customWidth="1"/>
    <col min="12547" max="12549" width="9" style="406"/>
    <col min="12550" max="12550" width="10.25" style="406" customWidth="1"/>
    <col min="12551" max="12551" width="9" style="406"/>
    <col min="12552" max="12552" width="10" style="406" bestFit="1" customWidth="1"/>
    <col min="12553" max="12553" width="9" style="406"/>
    <col min="12554" max="12554" width="10.25" style="406" customWidth="1"/>
    <col min="12555" max="12800" width="9" style="406"/>
    <col min="12801" max="12801" width="2.375" style="406" customWidth="1"/>
    <col min="12802" max="12802" width="10.25" style="406" customWidth="1"/>
    <col min="12803" max="12805" width="9" style="406"/>
    <col min="12806" max="12806" width="10.25" style="406" customWidth="1"/>
    <col min="12807" max="12807" width="9" style="406"/>
    <col min="12808" max="12808" width="10" style="406" bestFit="1" customWidth="1"/>
    <col min="12809" max="12809" width="9" style="406"/>
    <col min="12810" max="12810" width="10.25" style="406" customWidth="1"/>
    <col min="12811" max="13056" width="9" style="406"/>
    <col min="13057" max="13057" width="2.375" style="406" customWidth="1"/>
    <col min="13058" max="13058" width="10.25" style="406" customWidth="1"/>
    <col min="13059" max="13061" width="9" style="406"/>
    <col min="13062" max="13062" width="10.25" style="406" customWidth="1"/>
    <col min="13063" max="13063" width="9" style="406"/>
    <col min="13064" max="13064" width="10" style="406" bestFit="1" customWidth="1"/>
    <col min="13065" max="13065" width="9" style="406"/>
    <col min="13066" max="13066" width="10.25" style="406" customWidth="1"/>
    <col min="13067" max="13312" width="9" style="406"/>
    <col min="13313" max="13313" width="2.375" style="406" customWidth="1"/>
    <col min="13314" max="13314" width="10.25" style="406" customWidth="1"/>
    <col min="13315" max="13317" width="9" style="406"/>
    <col min="13318" max="13318" width="10.25" style="406" customWidth="1"/>
    <col min="13319" max="13319" width="9" style="406"/>
    <col min="13320" max="13320" width="10" style="406" bestFit="1" customWidth="1"/>
    <col min="13321" max="13321" width="9" style="406"/>
    <col min="13322" max="13322" width="10.25" style="406" customWidth="1"/>
    <col min="13323" max="13568" width="9" style="406"/>
    <col min="13569" max="13569" width="2.375" style="406" customWidth="1"/>
    <col min="13570" max="13570" width="10.25" style="406" customWidth="1"/>
    <col min="13571" max="13573" width="9" style="406"/>
    <col min="13574" max="13574" width="10.25" style="406" customWidth="1"/>
    <col min="13575" max="13575" width="9" style="406"/>
    <col min="13576" max="13576" width="10" style="406" bestFit="1" customWidth="1"/>
    <col min="13577" max="13577" width="9" style="406"/>
    <col min="13578" max="13578" width="10.25" style="406" customWidth="1"/>
    <col min="13579" max="13824" width="9" style="406"/>
    <col min="13825" max="13825" width="2.375" style="406" customWidth="1"/>
    <col min="13826" max="13826" width="10.25" style="406" customWidth="1"/>
    <col min="13827" max="13829" width="9" style="406"/>
    <col min="13830" max="13830" width="10.25" style="406" customWidth="1"/>
    <col min="13831" max="13831" width="9" style="406"/>
    <col min="13832" max="13832" width="10" style="406" bestFit="1" customWidth="1"/>
    <col min="13833" max="13833" width="9" style="406"/>
    <col min="13834" max="13834" width="10.25" style="406" customWidth="1"/>
    <col min="13835" max="14080" width="9" style="406"/>
    <col min="14081" max="14081" width="2.375" style="406" customWidth="1"/>
    <col min="14082" max="14082" width="10.25" style="406" customWidth="1"/>
    <col min="14083" max="14085" width="9" style="406"/>
    <col min="14086" max="14086" width="10.25" style="406" customWidth="1"/>
    <col min="14087" max="14087" width="9" style="406"/>
    <col min="14088" max="14088" width="10" style="406" bestFit="1" customWidth="1"/>
    <col min="14089" max="14089" width="9" style="406"/>
    <col min="14090" max="14090" width="10.25" style="406" customWidth="1"/>
    <col min="14091" max="14336" width="9" style="406"/>
    <col min="14337" max="14337" width="2.375" style="406" customWidth="1"/>
    <col min="14338" max="14338" width="10.25" style="406" customWidth="1"/>
    <col min="14339" max="14341" width="9" style="406"/>
    <col min="14342" max="14342" width="10.25" style="406" customWidth="1"/>
    <col min="14343" max="14343" width="9" style="406"/>
    <col min="14344" max="14344" width="10" style="406" bestFit="1" customWidth="1"/>
    <col min="14345" max="14345" width="9" style="406"/>
    <col min="14346" max="14346" width="10.25" style="406" customWidth="1"/>
    <col min="14347" max="14592" width="9" style="406"/>
    <col min="14593" max="14593" width="2.375" style="406" customWidth="1"/>
    <col min="14594" max="14594" width="10.25" style="406" customWidth="1"/>
    <col min="14595" max="14597" width="9" style="406"/>
    <col min="14598" max="14598" width="10.25" style="406" customWidth="1"/>
    <col min="14599" max="14599" width="9" style="406"/>
    <col min="14600" max="14600" width="10" style="406" bestFit="1" customWidth="1"/>
    <col min="14601" max="14601" width="9" style="406"/>
    <col min="14602" max="14602" width="10.25" style="406" customWidth="1"/>
    <col min="14603" max="14848" width="9" style="406"/>
    <col min="14849" max="14849" width="2.375" style="406" customWidth="1"/>
    <col min="14850" max="14850" width="10.25" style="406" customWidth="1"/>
    <col min="14851" max="14853" width="9" style="406"/>
    <col min="14854" max="14854" width="10.25" style="406" customWidth="1"/>
    <col min="14855" max="14855" width="9" style="406"/>
    <col min="14856" max="14856" width="10" style="406" bestFit="1" customWidth="1"/>
    <col min="14857" max="14857" width="9" style="406"/>
    <col min="14858" max="14858" width="10.25" style="406" customWidth="1"/>
    <col min="14859" max="15104" width="9" style="406"/>
    <col min="15105" max="15105" width="2.375" style="406" customWidth="1"/>
    <col min="15106" max="15106" width="10.25" style="406" customWidth="1"/>
    <col min="15107" max="15109" width="9" style="406"/>
    <col min="15110" max="15110" width="10.25" style="406" customWidth="1"/>
    <col min="15111" max="15111" width="9" style="406"/>
    <col min="15112" max="15112" width="10" style="406" bestFit="1" customWidth="1"/>
    <col min="15113" max="15113" width="9" style="406"/>
    <col min="15114" max="15114" width="10.25" style="406" customWidth="1"/>
    <col min="15115" max="15360" width="9" style="406"/>
    <col min="15361" max="15361" width="2.375" style="406" customWidth="1"/>
    <col min="15362" max="15362" width="10.25" style="406" customWidth="1"/>
    <col min="15363" max="15365" width="9" style="406"/>
    <col min="15366" max="15366" width="10.25" style="406" customWidth="1"/>
    <col min="15367" max="15367" width="9" style="406"/>
    <col min="15368" max="15368" width="10" style="406" bestFit="1" customWidth="1"/>
    <col min="15369" max="15369" width="9" style="406"/>
    <col min="15370" max="15370" width="10.25" style="406" customWidth="1"/>
    <col min="15371" max="15616" width="9" style="406"/>
    <col min="15617" max="15617" width="2.375" style="406" customWidth="1"/>
    <col min="15618" max="15618" width="10.25" style="406" customWidth="1"/>
    <col min="15619" max="15621" width="9" style="406"/>
    <col min="15622" max="15622" width="10.25" style="406" customWidth="1"/>
    <col min="15623" max="15623" width="9" style="406"/>
    <col min="15624" max="15624" width="10" style="406" bestFit="1" customWidth="1"/>
    <col min="15625" max="15625" width="9" style="406"/>
    <col min="15626" max="15626" width="10.25" style="406" customWidth="1"/>
    <col min="15627" max="15872" width="9" style="406"/>
    <col min="15873" max="15873" width="2.375" style="406" customWidth="1"/>
    <col min="15874" max="15874" width="10.25" style="406" customWidth="1"/>
    <col min="15875" max="15877" width="9" style="406"/>
    <col min="15878" max="15878" width="10.25" style="406" customWidth="1"/>
    <col min="15879" max="15879" width="9" style="406"/>
    <col min="15880" max="15880" width="10" style="406" bestFit="1" customWidth="1"/>
    <col min="15881" max="15881" width="9" style="406"/>
    <col min="15882" max="15882" width="10.25" style="406" customWidth="1"/>
    <col min="15883" max="16128" width="9" style="406"/>
    <col min="16129" max="16129" width="2.375" style="406" customWidth="1"/>
    <col min="16130" max="16130" width="10.25" style="406" customWidth="1"/>
    <col min="16131" max="16133" width="9" style="406"/>
    <col min="16134" max="16134" width="10.25" style="406" customWidth="1"/>
    <col min="16135" max="16135" width="9" style="406"/>
    <col min="16136" max="16136" width="10" style="406" bestFit="1" customWidth="1"/>
    <col min="16137" max="16137" width="9" style="406"/>
    <col min="16138" max="16138" width="10.25" style="406" customWidth="1"/>
    <col min="16139" max="16384" width="9" style="406"/>
  </cols>
  <sheetData>
    <row r="1" spans="2:13" ht="24.95" customHeight="1">
      <c r="B1" s="649" t="s">
        <v>1524</v>
      </c>
      <c r="C1" s="649"/>
      <c r="D1" s="649"/>
      <c r="E1" s="649"/>
      <c r="F1" s="649"/>
      <c r="G1" s="649"/>
      <c r="H1" s="649"/>
      <c r="I1" s="649"/>
      <c r="J1" s="649"/>
      <c r="K1" s="649"/>
      <c r="L1" s="649"/>
      <c r="M1" s="649"/>
    </row>
    <row r="3" spans="2:13" ht="15.75" thickBot="1">
      <c r="B3" s="650" t="s">
        <v>1519</v>
      </c>
      <c r="C3" s="650"/>
      <c r="D3" s="650"/>
      <c r="E3" s="650"/>
      <c r="F3" s="650"/>
      <c r="G3" s="650"/>
      <c r="H3" s="650"/>
      <c r="I3" s="650"/>
      <c r="J3" s="650"/>
      <c r="K3" s="650"/>
      <c r="L3" s="650"/>
      <c r="M3" s="650"/>
    </row>
    <row r="4" spans="2:13" ht="12.75" thickTop="1"/>
    <row r="5" spans="2:13">
      <c r="F5" s="406" t="s">
        <v>1520</v>
      </c>
      <c r="H5" s="584">
        <v>10000</v>
      </c>
    </row>
    <row r="6" spans="2:13">
      <c r="F6" s="406" t="s">
        <v>1521</v>
      </c>
      <c r="H6" s="584" t="s">
        <v>1525</v>
      </c>
    </row>
    <row r="7" spans="2:13">
      <c r="F7" s="406" t="s">
        <v>1522</v>
      </c>
      <c r="H7" s="584" t="s">
        <v>1526</v>
      </c>
    </row>
    <row r="8" spans="2:13">
      <c r="F8" s="406" t="s">
        <v>1523</v>
      </c>
      <c r="H8" s="584" t="s">
        <v>1527</v>
      </c>
    </row>
    <row r="11" spans="2:13" ht="15.75" thickBot="1">
      <c r="B11" s="650" t="s">
        <v>1528</v>
      </c>
      <c r="C11" s="650"/>
      <c r="D11" s="650"/>
      <c r="E11" s="650"/>
      <c r="F11" s="650"/>
      <c r="G11" s="650"/>
      <c r="H11" s="650"/>
      <c r="I11" s="650"/>
      <c r="J11" s="650"/>
      <c r="K11" s="650"/>
      <c r="L11" s="650"/>
      <c r="M11" s="650"/>
    </row>
    <row r="12" spans="2:13" ht="12.75" thickTop="1"/>
    <row r="13" spans="2:13">
      <c r="B13" s="585" t="s">
        <v>1067</v>
      </c>
      <c r="D13" s="586" t="s">
        <v>763</v>
      </c>
      <c r="F13" s="585" t="s">
        <v>1067</v>
      </c>
      <c r="H13" s="586" t="s">
        <v>764</v>
      </c>
      <c r="J13" s="585" t="s">
        <v>1067</v>
      </c>
      <c r="L13" s="586" t="s">
        <v>765</v>
      </c>
    </row>
    <row r="14" spans="2:13">
      <c r="B14" s="406" t="s">
        <v>1529</v>
      </c>
      <c r="D14" s="584" t="s">
        <v>1527</v>
      </c>
      <c r="F14" s="406" t="s">
        <v>1529</v>
      </c>
      <c r="H14" s="584" t="s">
        <v>1527</v>
      </c>
      <c r="J14" s="406" t="s">
        <v>1529</v>
      </c>
      <c r="L14" s="584" t="s">
        <v>1527</v>
      </c>
    </row>
    <row r="15" spans="2:13">
      <c r="B15" s="406" t="s">
        <v>1068</v>
      </c>
      <c r="D15" s="584" t="s">
        <v>1534</v>
      </c>
      <c r="F15" s="406" t="s">
        <v>1068</v>
      </c>
      <c r="H15" s="584" t="s">
        <v>1539</v>
      </c>
      <c r="J15" s="406" t="s">
        <v>1068</v>
      </c>
      <c r="L15" s="584" t="s">
        <v>1540</v>
      </c>
    </row>
    <row r="16" spans="2:13">
      <c r="B16" s="406" t="s">
        <v>1530</v>
      </c>
      <c r="D16" s="584" t="s">
        <v>1525</v>
      </c>
      <c r="F16" s="406" t="s">
        <v>1530</v>
      </c>
      <c r="H16" s="584" t="s">
        <v>1525</v>
      </c>
      <c r="J16" s="406" t="s">
        <v>1530</v>
      </c>
      <c r="L16" s="584" t="s">
        <v>1525</v>
      </c>
    </row>
    <row r="17" spans="2:12">
      <c r="D17" s="584"/>
      <c r="H17" s="584"/>
      <c r="L17" s="584"/>
    </row>
    <row r="18" spans="2:12">
      <c r="B18" s="585" t="s">
        <v>1069</v>
      </c>
      <c r="D18" s="584"/>
      <c r="F18" s="585" t="s">
        <v>1069</v>
      </c>
      <c r="H18" s="584"/>
      <c r="J18" s="585" t="s">
        <v>1069</v>
      </c>
      <c r="L18" s="584"/>
    </row>
    <row r="19" spans="2:12">
      <c r="B19" s="406" t="s">
        <v>1531</v>
      </c>
      <c r="D19" s="584" t="s">
        <v>1535</v>
      </c>
      <c r="F19" s="406" t="s">
        <v>1531</v>
      </c>
      <c r="H19" s="584" t="s">
        <v>1535</v>
      </c>
      <c r="J19" s="406" t="s">
        <v>1531</v>
      </c>
      <c r="L19" s="584" t="s">
        <v>1535</v>
      </c>
    </row>
    <row r="20" spans="2:12">
      <c r="B20" s="406" t="s">
        <v>1532</v>
      </c>
      <c r="D20" s="584" t="s">
        <v>1536</v>
      </c>
      <c r="F20" s="406" t="s">
        <v>1532</v>
      </c>
      <c r="H20" s="584" t="s">
        <v>1536</v>
      </c>
      <c r="J20" s="406" t="s">
        <v>1532</v>
      </c>
      <c r="L20" s="584" t="s">
        <v>1536</v>
      </c>
    </row>
    <row r="21" spans="2:12">
      <c r="D21" s="584"/>
      <c r="H21" s="584"/>
      <c r="L21" s="584"/>
    </row>
    <row r="22" spans="2:12">
      <c r="B22" s="585" t="s">
        <v>1533</v>
      </c>
      <c r="D22" s="584" t="s">
        <v>1537</v>
      </c>
      <c r="F22" s="585" t="s">
        <v>1533</v>
      </c>
      <c r="H22" s="584" t="s">
        <v>1537</v>
      </c>
      <c r="J22" s="585" t="s">
        <v>1533</v>
      </c>
      <c r="L22" s="584" t="s">
        <v>1537</v>
      </c>
    </row>
    <row r="23" spans="2:12">
      <c r="B23" s="406" t="s">
        <v>1531</v>
      </c>
      <c r="D23" s="584">
        <v>-0.09</v>
      </c>
      <c r="F23" s="406" t="s">
        <v>1531</v>
      </c>
      <c r="H23" s="584">
        <v>-0.63</v>
      </c>
      <c r="J23" s="406" t="s">
        <v>1531</v>
      </c>
      <c r="L23" s="584">
        <v>-53570</v>
      </c>
    </row>
    <row r="24" spans="2:12">
      <c r="B24" s="406" t="s">
        <v>1538</v>
      </c>
      <c r="D24" s="584">
        <v>-0.08</v>
      </c>
      <c r="F24" s="406" t="s">
        <v>1538</v>
      </c>
      <c r="H24" s="584">
        <v>-0.59899999999999998</v>
      </c>
      <c r="J24" s="406" t="s">
        <v>1538</v>
      </c>
      <c r="L24" s="584">
        <v>-51569</v>
      </c>
    </row>
    <row r="25" spans="2:12">
      <c r="B25" s="406" t="s">
        <v>1532</v>
      </c>
      <c r="D25" s="584">
        <v>-0.04</v>
      </c>
      <c r="F25" s="406" t="s">
        <v>1532</v>
      </c>
      <c r="H25" s="584">
        <v>-0.58599999999999997</v>
      </c>
      <c r="J25" s="406" t="s">
        <v>1532</v>
      </c>
      <c r="L25" s="584">
        <v>-50568</v>
      </c>
    </row>
    <row r="36" spans="2:4">
      <c r="B36" s="585" t="s">
        <v>1067</v>
      </c>
      <c r="D36" s="586" t="s">
        <v>770</v>
      </c>
    </row>
    <row r="37" spans="2:4">
      <c r="B37" s="406" t="s">
        <v>1529</v>
      </c>
      <c r="D37" s="584" t="s">
        <v>1527</v>
      </c>
    </row>
    <row r="38" spans="2:4">
      <c r="B38" s="406" t="s">
        <v>1068</v>
      </c>
      <c r="D38" s="584" t="s">
        <v>1541</v>
      </c>
    </row>
    <row r="39" spans="2:4">
      <c r="B39" s="406" t="s">
        <v>1530</v>
      </c>
      <c r="D39" s="584" t="s">
        <v>1525</v>
      </c>
    </row>
    <row r="40" spans="2:4">
      <c r="D40" s="584"/>
    </row>
    <row r="41" spans="2:4">
      <c r="B41" s="585" t="s">
        <v>1069</v>
      </c>
      <c r="D41" s="584"/>
    </row>
    <row r="42" spans="2:4">
      <c r="B42" s="406" t="s">
        <v>1531</v>
      </c>
      <c r="D42" s="584" t="s">
        <v>1535</v>
      </c>
    </row>
    <row r="43" spans="2:4">
      <c r="B43" s="406" t="s">
        <v>1532</v>
      </c>
      <c r="D43" s="584" t="s">
        <v>1536</v>
      </c>
    </row>
    <row r="44" spans="2:4">
      <c r="D44" s="584"/>
    </row>
    <row r="45" spans="2:4">
      <c r="B45" s="585" t="s">
        <v>1533</v>
      </c>
      <c r="D45" s="584" t="s">
        <v>1537</v>
      </c>
    </row>
    <row r="46" spans="2:4">
      <c r="D46" s="584"/>
    </row>
    <row r="47" spans="2:4">
      <c r="D47" s="584"/>
    </row>
    <row r="48" spans="2:4">
      <c r="D48" s="584"/>
    </row>
  </sheetData>
  <mergeCells count="3">
    <mergeCell ref="B1:M1"/>
    <mergeCell ref="B3:M3"/>
    <mergeCell ref="B11:M11"/>
  </mergeCells>
  <pageMargins left="0.7" right="0.7" top="0.75" bottom="0.75" header="0.3" footer="0.3"/>
  <pageSetup scale="73" fitToHeight="32767"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sheetPr>
  <dimension ref="A1:T52"/>
  <sheetViews>
    <sheetView showGridLines="0" topLeftCell="A2" zoomScale="70" zoomScaleNormal="70" workbookViewId="0">
      <pane xSplit="1" ySplit="2" topLeftCell="J36" activePane="bottomRight" state="frozen"/>
      <selection activeCell="A2" sqref="A2"/>
      <selection pane="topRight" activeCell="B2" sqref="B2"/>
      <selection pane="bottomLeft" activeCell="A4" sqref="A4"/>
      <selection pane="bottomRight" activeCell="O60" sqref="O60"/>
    </sheetView>
  </sheetViews>
  <sheetFormatPr baseColWidth="10" defaultColWidth="12.75" defaultRowHeight="15.75"/>
  <cols>
    <col min="1" max="1" width="43.375" customWidth="1"/>
    <col min="2" max="5" width="13.75" hidden="1" customWidth="1"/>
    <col min="6" max="6" width="13.625" hidden="1" customWidth="1"/>
    <col min="7" max="7" width="13.625" customWidth="1"/>
    <col min="8" max="8" width="13.125" customWidth="1"/>
    <col min="9" max="9" width="13.125" bestFit="1" customWidth="1"/>
    <col min="10" max="10" width="13.625" bestFit="1" customWidth="1"/>
    <col min="11" max="12" width="13.125" bestFit="1" customWidth="1"/>
    <col min="14" max="14" width="11.625" customWidth="1"/>
    <col min="15" max="15" width="47.25" customWidth="1"/>
    <col min="16" max="16" width="32.5" customWidth="1"/>
  </cols>
  <sheetData>
    <row r="1" spans="1:20" ht="45" customHeight="1">
      <c r="B1" s="654" t="s">
        <v>860</v>
      </c>
      <c r="C1" s="654"/>
      <c r="D1" s="654"/>
      <c r="E1" s="654"/>
      <c r="F1" s="654"/>
      <c r="G1" s="654"/>
      <c r="H1" s="654"/>
      <c r="I1" s="654"/>
      <c r="J1" s="654"/>
      <c r="K1" s="654"/>
      <c r="L1" s="654"/>
    </row>
    <row r="2" spans="1:20" ht="45" customHeight="1">
      <c r="B2" s="627" t="s">
        <v>860</v>
      </c>
      <c r="C2" s="627"/>
      <c r="D2" s="627"/>
      <c r="E2" s="627"/>
      <c r="F2" s="627"/>
      <c r="G2" s="627"/>
      <c r="H2" s="627"/>
      <c r="I2" s="627"/>
      <c r="J2" s="627"/>
      <c r="K2" s="627"/>
      <c r="L2" s="627"/>
      <c r="M2" s="278"/>
      <c r="N2" s="278"/>
      <c r="O2" s="278"/>
      <c r="P2" s="278"/>
      <c r="Q2" s="277"/>
    </row>
    <row r="3" spans="1:20">
      <c r="A3" s="223" t="s">
        <v>54</v>
      </c>
      <c r="B3" s="228">
        <v>2013</v>
      </c>
      <c r="C3" s="9">
        <v>2014</v>
      </c>
      <c r="D3" s="9">
        <v>2015</v>
      </c>
      <c r="E3" s="9">
        <v>2016</v>
      </c>
      <c r="F3" s="9">
        <v>2017</v>
      </c>
      <c r="G3" s="479"/>
      <c r="H3" s="9">
        <v>2018</v>
      </c>
      <c r="I3" s="320" t="s">
        <v>771</v>
      </c>
      <c r="J3" s="320" t="s">
        <v>772</v>
      </c>
      <c r="K3" s="320" t="s">
        <v>773</v>
      </c>
      <c r="L3" s="320" t="s">
        <v>774</v>
      </c>
      <c r="M3" s="320" t="s">
        <v>859</v>
      </c>
    </row>
    <row r="4" spans="1:20">
      <c r="A4" s="222" t="s">
        <v>39</v>
      </c>
      <c r="B4" s="245">
        <f>'ER Proyectado'!C14</f>
        <v>632682</v>
      </c>
      <c r="C4" s="245">
        <f>'ER Proyectado'!D14</f>
        <v>576940</v>
      </c>
      <c r="D4" s="245">
        <f>'ER Proyectado'!E14</f>
        <v>449772</v>
      </c>
      <c r="E4" s="245">
        <f>'ER Proyectado'!F14</f>
        <v>423650</v>
      </c>
      <c r="F4" s="245">
        <f>'ER Proyectado'!G14</f>
        <v>314108</v>
      </c>
      <c r="G4" s="480"/>
      <c r="H4" s="245">
        <f>'ER Proyectado'!H14</f>
        <v>242507</v>
      </c>
      <c r="I4" s="245">
        <f>'ER Proyectado'!I14</f>
        <v>211675.79911999998</v>
      </c>
      <c r="J4" s="245">
        <f>'ER Proyectado'!J14</f>
        <v>241394.37490187492</v>
      </c>
      <c r="K4" s="245">
        <f>'ER Proyectado'!K14</f>
        <v>262650.78754702408</v>
      </c>
      <c r="L4" s="245">
        <f>'ER Proyectado'!L14</f>
        <v>276712.12847464992</v>
      </c>
      <c r="M4" s="245">
        <f>'ER Proyectado'!M14</f>
        <v>289399.32783746679</v>
      </c>
    </row>
    <row r="5" spans="1:20">
      <c r="A5" s="222" t="s">
        <v>797</v>
      </c>
      <c r="B5" s="41">
        <f>'ER Proyectado'!C19</f>
        <v>-137837</v>
      </c>
      <c r="C5" s="41">
        <f>'ER Proyectado'!D19</f>
        <v>-144706</v>
      </c>
      <c r="D5" s="41">
        <f>'ER Proyectado'!E19</f>
        <v>-92469</v>
      </c>
      <c r="E5" s="41">
        <f>'ER Proyectado'!F19</f>
        <v>-107793</v>
      </c>
      <c r="F5" s="41">
        <f>'ER Proyectado'!G19</f>
        <v>-56894</v>
      </c>
      <c r="G5" s="481"/>
      <c r="H5" s="41">
        <f>'ER Proyectado'!H19</f>
        <v>-36593</v>
      </c>
      <c r="I5" s="41">
        <f>'ER Proyectado'!I19</f>
        <v>-27032.245893347499</v>
      </c>
      <c r="J5" s="41">
        <f>'ER Proyectado'!J19</f>
        <v>-34537.777974484859</v>
      </c>
      <c r="K5" s="41">
        <f>'ER Proyectado'!K19</f>
        <v>-41116.59528686136</v>
      </c>
      <c r="L5" s="41">
        <f>'ER Proyectado'!L19</f>
        <v>-45809.411002774927</v>
      </c>
      <c r="M5" s="41">
        <f>'ER Proyectado'!M19</f>
        <v>-47610.640504449897</v>
      </c>
    </row>
    <row r="6" spans="1:20">
      <c r="A6" s="222" t="s">
        <v>842</v>
      </c>
      <c r="B6" s="245"/>
      <c r="C6" s="525">
        <f>+'BG Proyectado'!D7-'BG Proyectado'!E7+'BG Proyectado'!D11-'BG Proyectado'!E11+'BG Proyectado'!E24-'BG Proyectado'!D24</f>
        <v>16722</v>
      </c>
      <c r="D6" s="525">
        <f>+'BG Proyectado'!E7-'BG Proyectado'!F7+'BG Proyectado'!E11-'BG Proyectado'!F11+'BG Proyectado'!F24-'BG Proyectado'!E24</f>
        <v>64301</v>
      </c>
      <c r="E6" s="525">
        <f>+'BG Proyectado'!F7-'BG Proyectado'!G7+'BG Proyectado'!F11-'BG Proyectado'!G11+'BG Proyectado'!G24-'BG Proyectado'!F24</f>
        <v>36936</v>
      </c>
      <c r="F6" s="525">
        <f>+'BG Proyectado'!G7-'BG Proyectado'!H7+'BG Proyectado'!G11-'BG Proyectado'!H11+'BG Proyectado'!H24-'BG Proyectado'!G24</f>
        <v>-11689</v>
      </c>
      <c r="G6" s="480"/>
      <c r="H6" s="245">
        <f>+'BG Proyectado'!H7-'BG Proyectado'!I7+'BG Proyectado'!H11-'BG Proyectado'!I11+'BG Proyectado'!I24-'BG Proyectado'!H24</f>
        <v>13067</v>
      </c>
      <c r="I6" s="245">
        <f>+'BG Proyectado'!I7-'BG Proyectado'!J7+'BG Proyectado'!I11-'BG Proyectado'!J11+'BG Proyectado'!J24-'BG Proyectado'!I24</f>
        <v>5776.4207180175872</v>
      </c>
      <c r="J6" s="245">
        <f>+'BG Proyectado'!J7-'BG Proyectado'!K7+'BG Proyectado'!J11-'BG Proyectado'!K11+'BG Proyectado'!K24-'BG Proyectado'!J24</f>
        <v>6042.5330831372703</v>
      </c>
      <c r="K6" s="245">
        <f>+'BG Proyectado'!K7-'BG Proyectado'!L7+'BG Proyectado'!K11-'BG Proyectado'!L11+'BG Proyectado'!L24-'BG Proyectado'!K24</f>
        <v>6042.0707077732659</v>
      </c>
      <c r="L6" s="245">
        <f>+'BG Proyectado'!L7-'BG Proyectado'!M7+'BG Proyectado'!L11-'BG Proyectado'!M11+'BG Proyectado'!M24-'BG Proyectado'!L24</f>
        <v>5176.2850224479334</v>
      </c>
      <c r="M6" s="245">
        <f>+'BG Proyectado'!M7-'BG Proyectado'!N7+'BG Proyectado'!M11-'BG Proyectado'!N11+'BG Proyectado'!N24-'BG Proyectado'!M24</f>
        <v>6511.0094777040067</v>
      </c>
    </row>
    <row r="7" spans="1:20">
      <c r="A7" s="222" t="s">
        <v>865</v>
      </c>
      <c r="B7" s="41"/>
      <c r="C7" s="41">
        <f>-'BG Proyectado'!E50-'BG Proyectado'!E51+'BG Proyectado'!E41+'BG Proyectado'!E52-'BG Proyectado'!D41+'BG Proyectado'!E32+'BG Proyectado'!E33+'BG Proyectado'!E34-'BG Proyectado'!D32-'BG Proyectado'!D33-'BG Proyectado'!D34+'BG Proyectado'!D15-'BG Proyectado'!E15+'BG Proyectado'!D18-'BG Proyectado'!E18+'BG Proyectado'!E40-'BG Proyectado'!D40+'BG Proyectado'!E45-'BG Proyectado'!D45+'BG Proyectado'!D8-'BG Proyectado'!E8+'BG Proyectado'!D9-'BG Proyectado'!E9+'BG Proyectado'!D10-'BG Proyectado'!E10+'BG Proyectado'!D12-'BG Proyectado'!E12+'BG Proyectado'!E26-'BG Proyectado'!D26+'BG Proyectado'!E27-'BG Proyectado'!D27</f>
        <v>-27500</v>
      </c>
      <c r="D7" s="41">
        <f>-'BG Proyectado'!F50-'BG Proyectado'!F51+'BG Proyectado'!F41+'BG Proyectado'!F52-'BG Proyectado'!E41+'BG Proyectado'!F32+'BG Proyectado'!F33+'BG Proyectado'!F34-'BG Proyectado'!E32-'BG Proyectado'!E33-'BG Proyectado'!E34+'BG Proyectado'!E15-'BG Proyectado'!F15+'BG Proyectado'!E18-'BG Proyectado'!F18+'BG Proyectado'!F40-'BG Proyectado'!E40+'BG Proyectado'!F45-'BG Proyectado'!E45+'BG Proyectado'!E8-'BG Proyectado'!F8+'BG Proyectado'!E9-'BG Proyectado'!F9+'BG Proyectado'!E10-'BG Proyectado'!F10+'BG Proyectado'!E12-'BG Proyectado'!F12+'BG Proyectado'!F26-'BG Proyectado'!E26+'BG Proyectado'!F27-'BG Proyectado'!E27</f>
        <v>55670</v>
      </c>
      <c r="E7" s="41">
        <f>-'BG Proyectado'!G50-'BG Proyectado'!G51+'BG Proyectado'!G41+'BG Proyectado'!G52-'BG Proyectado'!F41+'BG Proyectado'!G32+'BG Proyectado'!G33+'BG Proyectado'!G34-'BG Proyectado'!F32-'BG Proyectado'!F33-'BG Proyectado'!F34+'BG Proyectado'!F15-'BG Proyectado'!G15+'BG Proyectado'!F18-'BG Proyectado'!G18+'BG Proyectado'!G40-'BG Proyectado'!F40+'BG Proyectado'!G45-'BG Proyectado'!F45+'BG Proyectado'!F8-'BG Proyectado'!G8+'BG Proyectado'!F9-'BG Proyectado'!G9+'BG Proyectado'!F10-'BG Proyectado'!G10+'BG Proyectado'!F12-'BG Proyectado'!G12+'BG Proyectado'!G26-'BG Proyectado'!F26+'BG Proyectado'!G27-'BG Proyectado'!F27</f>
        <v>11877</v>
      </c>
      <c r="F7" s="41">
        <f>-'BG Proyectado'!H50-'BG Proyectado'!H51+'BG Proyectado'!H41+'BG Proyectado'!H52-'BG Proyectado'!G41+'BG Proyectado'!H32+'BG Proyectado'!H33+'BG Proyectado'!H34-'BG Proyectado'!G32-'BG Proyectado'!G33-'BG Proyectado'!G34+'BG Proyectado'!G15-'BG Proyectado'!H15+'BG Proyectado'!G18-'BG Proyectado'!H18+'BG Proyectado'!H40-'BG Proyectado'!G40+'BG Proyectado'!H45-'BG Proyectado'!G45+'BG Proyectado'!G8-'BG Proyectado'!H8+'BG Proyectado'!G9-'BG Proyectado'!H9+'BG Proyectado'!G10-'BG Proyectado'!H10+'BG Proyectado'!G12-'BG Proyectado'!H12+'BG Proyectado'!H26-'BG Proyectado'!G26+'BG Proyectado'!H27-'BG Proyectado'!G27</f>
        <v>14919</v>
      </c>
      <c r="G7" s="481"/>
      <c r="H7" s="41">
        <f>-'BG Proyectado'!I50-'BG Proyectado'!I51+'BG Proyectado'!I41+'BG Proyectado'!I52-'BG Proyectado'!H41+'BG Proyectado'!I32+'BG Proyectado'!I33+'BG Proyectado'!I34-'BG Proyectado'!H32-'BG Proyectado'!H33-'BG Proyectado'!H34+'BG Proyectado'!H15-'BG Proyectado'!I15+'BG Proyectado'!H18-'BG Proyectado'!I18+'BG Proyectado'!I40-'BG Proyectado'!H40+'BG Proyectado'!I45-'BG Proyectado'!H45+'BG Proyectado'!H8-'BG Proyectado'!I8+'BG Proyectado'!H9-'BG Proyectado'!I9+'BG Proyectado'!H10-'BG Proyectado'!I10+'BG Proyectado'!H12-'BG Proyectado'!I12+'BG Proyectado'!I26-'BG Proyectado'!H26+'BG Proyectado'!I27-'BG Proyectado'!H27</f>
        <v>-80363</v>
      </c>
      <c r="I7" s="41">
        <f>-'BG Proyectado'!J50-'BG Proyectado'!J51+'BG Proyectado'!J41+'BG Proyectado'!J52-'BG Proyectado'!I41+'BG Proyectado'!J32+'BG Proyectado'!J33+'BG Proyectado'!J34-'BG Proyectado'!I32-'BG Proyectado'!I33-'BG Proyectado'!I34+'BG Proyectado'!I15-'BG Proyectado'!J15+'BG Proyectado'!I18-'BG Proyectado'!J18+'BG Proyectado'!J40-'BG Proyectado'!I40+'BG Proyectado'!J45-'BG Proyectado'!I45+'BG Proyectado'!I8-'BG Proyectado'!J8+'BG Proyectado'!I9-'BG Proyectado'!J9+'BG Proyectado'!I10-'BG Proyectado'!J10+'BG Proyectado'!I12-'BG Proyectado'!J12+'BG Proyectado'!J26-'BG Proyectado'!I26+'BG Proyectado'!J27-'BG Proyectado'!I27</f>
        <v>-131858.34329563816</v>
      </c>
      <c r="J7" s="41">
        <f>-'BG Proyectado'!K50-'BG Proyectado'!K51+'BG Proyectado'!K41+'BG Proyectado'!K52-'BG Proyectado'!J41+'BG Proyectado'!K32+'BG Proyectado'!K33+'BG Proyectado'!K34-'BG Proyectado'!J32-'BG Proyectado'!J33-'BG Proyectado'!J34+'BG Proyectado'!J15-'BG Proyectado'!K15+'BG Proyectado'!J18-'BG Proyectado'!K18+'BG Proyectado'!K40-'BG Proyectado'!J40+'BG Proyectado'!K45-'BG Proyectado'!J45+'BG Proyectado'!J8-'BG Proyectado'!K8+'BG Proyectado'!J9-'BG Proyectado'!K9+'BG Proyectado'!J10-'BG Proyectado'!K10+'BG Proyectado'!J12-'BG Proyectado'!K12+'BG Proyectado'!K26-'BG Proyectado'!J26+'BG Proyectado'!K27-'BG Proyectado'!J27</f>
        <v>-90805.236789205708</v>
      </c>
      <c r="K7" s="41">
        <f>-'BG Proyectado'!L50-'BG Proyectado'!L51+'BG Proyectado'!L41+'BG Proyectado'!L52-'BG Proyectado'!K41+'BG Proyectado'!L32+'BG Proyectado'!L33+'BG Proyectado'!L34-'BG Proyectado'!K32-'BG Proyectado'!K33-'BG Proyectado'!K34+'BG Proyectado'!K15-'BG Proyectado'!L15+'BG Proyectado'!K18-'BG Proyectado'!L18+'BG Proyectado'!L40-'BG Proyectado'!K40+'BG Proyectado'!L45-'BG Proyectado'!K45+'BG Proyectado'!K8-'BG Proyectado'!L8+'BG Proyectado'!K9-'BG Proyectado'!L9+'BG Proyectado'!K10-'BG Proyectado'!L10+'BG Proyectado'!K12-'BG Proyectado'!L12+'BG Proyectado'!L26-'BG Proyectado'!K26+'BG Proyectado'!L27-'BG Proyectado'!K27</f>
        <v>-96856.391829991</v>
      </c>
      <c r="L7" s="41">
        <f>-'BG Proyectado'!M50-'BG Proyectado'!M51+'BG Proyectado'!M41+'BG Proyectado'!M52-'BG Proyectado'!L41+'BG Proyectado'!M32+'BG Proyectado'!M33+'BG Proyectado'!M34-'BG Proyectado'!L32-'BG Proyectado'!L33-'BG Proyectado'!L34+'BG Proyectado'!L15-'BG Proyectado'!M15+'BG Proyectado'!L18-'BG Proyectado'!M18+'BG Proyectado'!M40-'BG Proyectado'!L40+'BG Proyectado'!M45-'BG Proyectado'!L45+'BG Proyectado'!L8-'BG Proyectado'!M8+'BG Proyectado'!L9-'BG Proyectado'!M9+'BG Proyectado'!L10-'BG Proyectado'!M10+'BG Proyectado'!L12-'BG Proyectado'!M12+'BG Proyectado'!M26-'BG Proyectado'!L26+'BG Proyectado'!M27-'BG Proyectado'!L27</f>
        <v>-110169.43993240852</v>
      </c>
      <c r="M7" s="41">
        <f>-'BG Proyectado'!N50-'BG Proyectado'!N51+'BG Proyectado'!N41+'BG Proyectado'!N52-'BG Proyectado'!M41+'BG Proyectado'!N32+'BG Proyectado'!N33+'BG Proyectado'!N34-'BG Proyectado'!M32-'BG Proyectado'!M33-'BG Proyectado'!M34+'BG Proyectado'!M15-'BG Proyectado'!N15+'BG Proyectado'!M18-'BG Proyectado'!N18+'BG Proyectado'!N40-'BG Proyectado'!M40+'BG Proyectado'!N45-'BG Proyectado'!M45+'BG Proyectado'!M8-'BG Proyectado'!N8+'BG Proyectado'!M9-'BG Proyectado'!N9+'BG Proyectado'!M10-'BG Proyectado'!N10+'BG Proyectado'!M12-'BG Proyectado'!N12+'BG Proyectado'!N26-'BG Proyectado'!M26+'BG Proyectado'!N27-'BG Proyectado'!M27</f>
        <v>-121079.00461091903</v>
      </c>
    </row>
    <row r="8" spans="1:20">
      <c r="A8" s="222" t="s">
        <v>659</v>
      </c>
      <c r="B8" s="209">
        <f>SUM(B4:B6)</f>
        <v>494845</v>
      </c>
      <c r="C8" s="209">
        <f>SUM(C4:C7)</f>
        <v>421456</v>
      </c>
      <c r="D8" s="209">
        <f t="shared" ref="D8:H8" si="0">SUM(D4:D7)</f>
        <v>477274</v>
      </c>
      <c r="E8" s="209">
        <f t="shared" si="0"/>
        <v>364670</v>
      </c>
      <c r="F8" s="473">
        <f t="shared" si="0"/>
        <v>260444</v>
      </c>
      <c r="G8" s="482"/>
      <c r="H8" s="476">
        <f t="shared" si="0"/>
        <v>138618</v>
      </c>
      <c r="I8" s="209">
        <f>SUM(I4:I7)</f>
        <v>58561.630649031926</v>
      </c>
      <c r="J8" s="209">
        <f t="shared" ref="J8:M8" si="1">SUM(J4:J7)</f>
        <v>122093.89322132162</v>
      </c>
      <c r="K8" s="209">
        <f t="shared" si="1"/>
        <v>130719.871137945</v>
      </c>
      <c r="L8" s="209">
        <f t="shared" si="1"/>
        <v>125909.5625619144</v>
      </c>
      <c r="M8" s="209">
        <f t="shared" si="1"/>
        <v>127220.69219980187</v>
      </c>
    </row>
    <row r="9" spans="1:20">
      <c r="A9" s="222" t="s">
        <v>843</v>
      </c>
      <c r="B9" s="4">
        <f>'ER Proyectado'!C10</f>
        <v>-15742</v>
      </c>
      <c r="C9" s="4">
        <f>'ER Proyectado'!D10</f>
        <v>-2758</v>
      </c>
      <c r="D9" s="4">
        <f>'ER Proyectado'!E10</f>
        <v>-83360</v>
      </c>
      <c r="E9" s="4">
        <f>'ER Proyectado'!F10</f>
        <v>-30219</v>
      </c>
      <c r="F9" s="4">
        <f>'ER Proyectado'!G10</f>
        <v>-34386</v>
      </c>
      <c r="G9" s="483"/>
      <c r="H9" s="4">
        <f>'ER Proyectado'!H10</f>
        <v>3757</v>
      </c>
      <c r="I9" s="4">
        <f>'ER Proyectado'!I10</f>
        <v>3456.4399999999996</v>
      </c>
      <c r="J9" s="4">
        <f>'ER Proyectado'!J10</f>
        <v>3506.1326752061295</v>
      </c>
      <c r="K9" s="4">
        <f>'ER Proyectado'!K10</f>
        <v>3554.467695112924</v>
      </c>
      <c r="L9" s="4">
        <f>'ER Proyectado'!L10</f>
        <v>3600.3203283798812</v>
      </c>
      <c r="M9" s="4">
        <f>'ER Proyectado'!M10</f>
        <v>3690.3283365893781</v>
      </c>
      <c r="N9" s="4"/>
      <c r="O9" s="4"/>
      <c r="P9" s="4"/>
      <c r="Q9" s="4"/>
      <c r="R9" s="4"/>
      <c r="S9" s="4"/>
      <c r="T9" s="4"/>
    </row>
    <row r="10" spans="1:20">
      <c r="A10" s="222" t="s">
        <v>844</v>
      </c>
      <c r="B10" s="4">
        <f>'Indicadores Estrategicos'!D16</f>
        <v>-92311</v>
      </c>
      <c r="C10" s="4">
        <f>'Indicadores Estrategicos'!E16</f>
        <v>-134401</v>
      </c>
      <c r="D10" s="4">
        <f>'Indicadores Estrategicos'!F16</f>
        <v>-186628</v>
      </c>
      <c r="E10" s="4">
        <f>'Indicadores Estrategicos'!G16</f>
        <v>-187408</v>
      </c>
      <c r="F10" s="4">
        <f>'Indicadores Estrategicos'!H16</f>
        <v>-68878</v>
      </c>
      <c r="G10" s="483"/>
      <c r="H10" s="4">
        <f>'Indicadores Estrategicos'!I16</f>
        <v>-2950</v>
      </c>
      <c r="I10" s="4">
        <f>'Indicadores Estrategicos'!J16</f>
        <v>-44914.386591802584</v>
      </c>
      <c r="J10" s="4">
        <f>'Indicadores Estrategicos'!K16</f>
        <v>-45560.113416219901</v>
      </c>
      <c r="K10" s="4">
        <f>'Indicadores Estrategicos'!L16</f>
        <v>-46137.573475246136</v>
      </c>
      <c r="L10" s="4">
        <f>'Indicadores Estrategicos'!M16</f>
        <v>-46784.026073989306</v>
      </c>
      <c r="M10" s="4">
        <f>'Indicadores Estrategicos'!N16</f>
        <v>-47953.626725839036</v>
      </c>
      <c r="N10" s="4"/>
    </row>
    <row r="11" spans="1:20">
      <c r="A11" s="222" t="s">
        <v>845</v>
      </c>
      <c r="B11" s="224">
        <f t="shared" ref="B11:M11" si="2">B8+B9+B10</f>
        <v>386792</v>
      </c>
      <c r="C11" s="224">
        <f t="shared" si="2"/>
        <v>284297</v>
      </c>
      <c r="D11" s="224">
        <f t="shared" si="2"/>
        <v>207286</v>
      </c>
      <c r="E11" s="224">
        <f t="shared" si="2"/>
        <v>147043</v>
      </c>
      <c r="F11" s="474">
        <f t="shared" si="2"/>
        <v>157180</v>
      </c>
      <c r="G11" s="484"/>
      <c r="H11" s="477">
        <f t="shared" si="2"/>
        <v>139425</v>
      </c>
      <c r="I11" s="224">
        <f t="shared" si="2"/>
        <v>17103.684057229344</v>
      </c>
      <c r="J11" s="224">
        <f t="shared" si="2"/>
        <v>80039.912480307845</v>
      </c>
      <c r="K11" s="224">
        <f t="shared" si="2"/>
        <v>88136.76535781179</v>
      </c>
      <c r="L11" s="224">
        <f t="shared" si="2"/>
        <v>82725.856816304964</v>
      </c>
      <c r="M11" s="224">
        <f t="shared" si="2"/>
        <v>82957.393810552196</v>
      </c>
    </row>
    <row r="12" spans="1:20">
      <c r="A12" s="222" t="s">
        <v>846</v>
      </c>
      <c r="G12" s="485"/>
      <c r="J12" s="218"/>
    </row>
    <row r="13" spans="1:20">
      <c r="A13" s="225" t="s">
        <v>847</v>
      </c>
      <c r="B13" s="243"/>
      <c r="C13" s="243"/>
      <c r="D13" s="243">
        <v>0</v>
      </c>
      <c r="E13" s="243"/>
      <c r="F13" s="475"/>
      <c r="G13" s="486"/>
      <c r="H13" s="478"/>
      <c r="I13" s="243">
        <f>-IF(I11+I14+I15+I16+I18+I16&lt;0,I11+I14+I15+I16+I18,0)</f>
        <v>0</v>
      </c>
      <c r="J13" s="243">
        <f>-IF(J11+J14+J15+J16+J18+J16&lt;0,J11+J14+J15+J16+J18,0)</f>
        <v>0</v>
      </c>
      <c r="K13" s="243">
        <f>-IF(K11+K14+K15+K16+K18+K16&lt;0,K11+K14+K15+K16+K18,0)</f>
        <v>0</v>
      </c>
      <c r="L13" s="243">
        <f>-IF(L11+L14+L15+L16+L18+L16&lt;0,L11+L14+L15+L16+L18,0)</f>
        <v>0</v>
      </c>
      <c r="M13" s="243">
        <f>-IF(M11+M14+M15+M16+M18+M16&lt;0,M11+M14+M15+M16+M18,0)</f>
        <v>0</v>
      </c>
      <c r="N13" s="4"/>
      <c r="O13" s="4"/>
      <c r="P13" s="4"/>
    </row>
    <row r="14" spans="1:20">
      <c r="A14" s="225" t="s">
        <v>863</v>
      </c>
      <c r="B14" s="243"/>
      <c r="C14" s="243">
        <f>+'BG Proyectado'!E23+'BG Proyectado'!E25+'BG Proyectado'!E30+'BG Proyectado'!E31-'BG Proyectado'!D23-'BG Proyectado'!D25-'BG Proyectado'!D30-'BG Proyectado'!D31</f>
        <v>-248947</v>
      </c>
      <c r="D14" s="243">
        <f>+'BG Proyectado'!F23+'BG Proyectado'!F25+'BG Proyectado'!F30+'BG Proyectado'!F31-'BG Proyectado'!E23-'BG Proyectado'!E25-'BG Proyectado'!E30-'BG Proyectado'!E31</f>
        <v>-111925</v>
      </c>
      <c r="E14" s="243">
        <f>+'BG Proyectado'!G23+'BG Proyectado'!G25+'BG Proyectado'!G30+'BG Proyectado'!G31-'BG Proyectado'!F23-'BG Proyectado'!F25-'BG Proyectado'!F30-'BG Proyectado'!F31</f>
        <v>-91086</v>
      </c>
      <c r="F14" s="475">
        <f>+'BG Proyectado'!H23+'BG Proyectado'!H25+'BG Proyectado'!H30+'BG Proyectado'!H31-'BG Proyectado'!G23-'BG Proyectado'!G25-'BG Proyectado'!G30-'BG Proyectado'!G31</f>
        <v>-55586</v>
      </c>
      <c r="G14" s="486"/>
      <c r="H14" s="478">
        <f>+'BG Proyectado'!I23+'BG Proyectado'!I25+'BG Proyectado'!I30+'BG Proyectado'!I31-'BG Proyectado'!H23-'BG Proyectado'!H25-'BG Proyectado'!H30-'BG Proyectado'!H31</f>
        <v>-75234</v>
      </c>
      <c r="I14" s="243">
        <f>+'BG Proyectado'!J23+'BG Proyectado'!J25+'BG Proyectado'!J30+'BG Proyectado'!J31-'BG Proyectado'!I23-'BG Proyectado'!I25-'BG Proyectado'!I30-'BG Proyectado'!I31</f>
        <v>30320.014627472498</v>
      </c>
      <c r="J14" s="243">
        <f>+'BG Proyectado'!K23+'BG Proyectado'!K25+'BG Proyectado'!K30+'BG Proyectado'!K31-'BG Proyectado'!J23-'BG Proyectado'!J25-'BG Proyectado'!J30-'BG Proyectado'!J31</f>
        <v>-15839.881863945513</v>
      </c>
      <c r="K14" s="243">
        <f>+'BG Proyectado'!L23+'BG Proyectado'!L25+'BG Proyectado'!L30+'BG Proyectado'!L31-'BG Proyectado'!K23-'BG Proyectado'!K25-'BG Proyectado'!K30-'BG Proyectado'!K31</f>
        <v>-24726.066422140109</v>
      </c>
      <c r="L14" s="243">
        <f>+'BG Proyectado'!M23+'BG Proyectado'!M25+'BG Proyectado'!M30+'BG Proyectado'!M31-'BG Proyectado'!L23-'BG Proyectado'!L25-'BG Proyectado'!L30-'BG Proyectado'!L31</f>
        <v>-22859.515672293026</v>
      </c>
      <c r="M14" s="243">
        <f>+'BG Proyectado'!N23+'BG Proyectado'!N25+'BG Proyectado'!N30+'BG Proyectado'!N31-'BG Proyectado'!M23-'BG Proyectado'!M25-'BG Proyectado'!M30-'BG Proyectado'!M31</f>
        <v>-13175.977601408027</v>
      </c>
      <c r="N14" s="4"/>
      <c r="O14" s="4"/>
      <c r="P14" s="4"/>
    </row>
    <row r="15" spans="1:20">
      <c r="A15" s="225" t="s">
        <v>848</v>
      </c>
      <c r="B15" s="4">
        <f>'ER Proyectado'!C15</f>
        <v>-113762</v>
      </c>
      <c r="C15" s="4">
        <f>'ER Proyectado'!D15</f>
        <v>-90449</v>
      </c>
      <c r="D15" s="4">
        <f>'ER Proyectado'!E15</f>
        <v>-73748</v>
      </c>
      <c r="E15" s="4">
        <f>'ER Proyectado'!F15</f>
        <v>-63701</v>
      </c>
      <c r="F15" s="4">
        <f>'ER Proyectado'!G15</f>
        <v>-63256</v>
      </c>
      <c r="G15" s="483"/>
      <c r="H15" s="4">
        <f>'ER Proyectado'!H15</f>
        <v>-59000</v>
      </c>
      <c r="I15" s="4">
        <f>'ER Proyectado'!I15</f>
        <v>-50190.526018034463</v>
      </c>
      <c r="J15" s="4">
        <f>'ER Proyectado'!J15</f>
        <v>-49416.531984219189</v>
      </c>
      <c r="K15" s="4">
        <f>'ER Proyectado'!K15</f>
        <v>-48377.161993972317</v>
      </c>
      <c r="L15" s="4">
        <f>'ER Proyectado'!L15</f>
        <v>-46443.150502067569</v>
      </c>
      <c r="M15" s="4">
        <f>'ER Proyectado'!M15</f>
        <v>-55102.394869298871</v>
      </c>
      <c r="N15" s="4"/>
      <c r="O15" s="4"/>
      <c r="P15" s="4"/>
    </row>
    <row r="16" spans="1:20">
      <c r="A16" s="222" t="s">
        <v>849</v>
      </c>
      <c r="B16" s="4"/>
      <c r="C16" s="4"/>
      <c r="D16" s="4"/>
      <c r="E16" s="4"/>
      <c r="F16" s="4">
        <f>IF(F11&lt;0,0,F11*Suspuestos!C34)</f>
        <v>0</v>
      </c>
      <c r="G16" s="483"/>
      <c r="H16" s="4">
        <f>IF(H11&lt;0,0,H11*Suspuestos!D34)</f>
        <v>0</v>
      </c>
      <c r="I16" s="4">
        <f>IF(I11&lt;0,0,I11*Suspuestos!E34)</f>
        <v>0</v>
      </c>
      <c r="J16" s="4">
        <f>IF(J11&lt;0,0,J11*Suspuestos!F34)</f>
        <v>0</v>
      </c>
      <c r="K16" s="4">
        <f>IF(K11&lt;0,0,K11*Suspuestos!G34)</f>
        <v>0</v>
      </c>
      <c r="L16" s="4">
        <f>IF(L11&lt;0,0,L11*Suspuestos!H34)</f>
        <v>0</v>
      </c>
      <c r="M16" s="4">
        <f>IF(M11&lt;0,0,M11*Suspuestos!I34)</f>
        <v>0</v>
      </c>
      <c r="N16" s="4"/>
      <c r="O16" s="4"/>
      <c r="P16" s="4"/>
    </row>
    <row r="17" spans="1:20">
      <c r="A17" s="222" t="s">
        <v>856</v>
      </c>
      <c r="B17" s="4"/>
      <c r="C17" s="4">
        <f>'ER Proyectado'!D16+'ER Proyectado'!D17+'ER Proyectado'!D21+'ER Proyectado'!D22</f>
        <v>30180</v>
      </c>
      <c r="D17" s="4">
        <f>'ER Proyectado'!E16+'ER Proyectado'!E17+'ER Proyectado'!E21+'ER Proyectado'!E22</f>
        <v>-19750</v>
      </c>
      <c r="E17" s="4">
        <f>'ER Proyectado'!F16+'ER Proyectado'!F17+'ER Proyectado'!F21+'ER Proyectado'!F22</f>
        <v>-984</v>
      </c>
      <c r="F17" s="4">
        <f>'ER Proyectado'!G16+'ER Proyectado'!G17+'ER Proyectado'!G21+'ER Proyectado'!G22</f>
        <v>-38091</v>
      </c>
      <c r="G17" s="483"/>
      <c r="H17" s="4">
        <f>'ER Proyectado'!H16+'ER Proyectado'!H17+'ER Proyectado'!H21+'ER Proyectado'!H22</f>
        <v>-13219</v>
      </c>
      <c r="I17" s="4">
        <f>'ER Proyectado'!I16+'ER Proyectado'!I17+'ER Proyectado'!I21+'ER Proyectado'!I22</f>
        <v>-370.41666666666652</v>
      </c>
      <c r="J17" s="4">
        <f>'ER Proyectado'!J16+'ER Proyectado'!J17+'ER Proyectado'!J21+'ER Proyectado'!J22</f>
        <v>-4238.9375</v>
      </c>
      <c r="K17" s="4">
        <f>'ER Proyectado'!K16+'ER Proyectado'!K17+'ER Proyectado'!K21+'ER Proyectado'!K22</f>
        <v>-4225.0677083333339</v>
      </c>
      <c r="L17" s="4">
        <f>'ER Proyectado'!L16+'ER Proyectado'!L17+'ER Proyectado'!L21+'ER Proyectado'!L22</f>
        <v>-4448.4422743055557</v>
      </c>
      <c r="M17" s="4">
        <f>'ER Proyectado'!M16+'ER Proyectado'!M17+'ER Proyectado'!M21+'ER Proyectado'!M22</f>
        <v>-2486.9075882523148</v>
      </c>
      <c r="N17" s="4"/>
      <c r="O17" s="4"/>
      <c r="P17" s="4"/>
    </row>
    <row r="18" spans="1:20" ht="16.5" thickBot="1">
      <c r="A18" s="222" t="s">
        <v>850</v>
      </c>
      <c r="B18" s="244"/>
      <c r="C18" s="315">
        <f>'BG Proyectado'!D6</f>
        <v>76691</v>
      </c>
      <c r="D18" s="315">
        <f>'BG Proyectado'!E6</f>
        <v>51772</v>
      </c>
      <c r="E18" s="315">
        <f>'BG Proyectado'!F6</f>
        <v>53635</v>
      </c>
      <c r="F18" s="550">
        <f>'BG Proyectado'!G6</f>
        <v>44907</v>
      </c>
      <c r="G18" s="551"/>
      <c r="H18" s="490">
        <f>'BG Proyectado'!H6</f>
        <v>45154</v>
      </c>
      <c r="I18" s="315">
        <f>'BG Proyectado'!I6</f>
        <v>37126</v>
      </c>
      <c r="J18" s="315">
        <f>'BG Proyectado'!J6</f>
        <v>33988.755999999994</v>
      </c>
      <c r="K18" s="315">
        <f>'BG Proyectado'!K6</f>
        <v>44533.317132143908</v>
      </c>
      <c r="L18" s="315">
        <f>'BG Proyectado'!L6</f>
        <v>55341.786365509884</v>
      </c>
      <c r="M18" s="315">
        <f>'BG Proyectado'!M6</f>
        <v>64316.534733148634</v>
      </c>
      <c r="N18" s="4"/>
      <c r="O18" s="4"/>
      <c r="P18" s="4"/>
    </row>
    <row r="19" spans="1:20" ht="16.5" thickTop="1">
      <c r="A19" s="222" t="s">
        <v>851</v>
      </c>
      <c r="B19" s="224"/>
      <c r="C19" s="315">
        <f t="shared" ref="C19:M19" si="3">C11+C13+C14+C15+C18+C17</f>
        <v>51772</v>
      </c>
      <c r="D19" s="315">
        <f t="shared" si="3"/>
        <v>53635</v>
      </c>
      <c r="E19" s="315">
        <f t="shared" si="3"/>
        <v>44907</v>
      </c>
      <c r="F19" s="550">
        <f t="shared" si="3"/>
        <v>45154</v>
      </c>
      <c r="G19" s="551"/>
      <c r="H19" s="490">
        <f t="shared" si="3"/>
        <v>37126</v>
      </c>
      <c r="I19" s="315">
        <f t="shared" si="3"/>
        <v>33988.756000000714</v>
      </c>
      <c r="J19" s="315">
        <f t="shared" si="3"/>
        <v>44533.317132143136</v>
      </c>
      <c r="K19" s="315">
        <f t="shared" si="3"/>
        <v>55341.786365509935</v>
      </c>
      <c r="L19" s="315">
        <f t="shared" si="3"/>
        <v>64316.534733148706</v>
      </c>
      <c r="M19" s="315">
        <f t="shared" si="3"/>
        <v>76508.648484741614</v>
      </c>
    </row>
    <row r="20" spans="1:20" s="242" customFormat="1" ht="16.5" thickBot="1">
      <c r="A20" s="222" t="s">
        <v>864</v>
      </c>
      <c r="B20" s="241"/>
      <c r="C20" s="244">
        <f>'BG Proyectado'!E6-FCL!C19</f>
        <v>0</v>
      </c>
      <c r="D20" s="244">
        <f>'BG Proyectado'!F6-FCL!D19</f>
        <v>0</v>
      </c>
      <c r="E20" s="244">
        <f>'BG Proyectado'!G6-FCL!E19</f>
        <v>0</v>
      </c>
      <c r="F20" s="244">
        <f>'BG Proyectado'!H6-FCL!F19</f>
        <v>0</v>
      </c>
      <c r="G20" s="487"/>
      <c r="H20" s="244">
        <f>'BG Proyectado'!I6-FCL!H19</f>
        <v>0</v>
      </c>
      <c r="I20" s="244">
        <f>'BG Proyectado'!J6-FCL!I19</f>
        <v>-7.2031980380415916E-10</v>
      </c>
      <c r="J20" s="244">
        <f>'BG Proyectado'!K6-FCL!J19</f>
        <v>7.7125150710344315E-10</v>
      </c>
      <c r="K20" s="244">
        <f>'BG Proyectado'!L6-FCL!K19</f>
        <v>0</v>
      </c>
      <c r="L20" s="244">
        <f>'BG Proyectado'!M6-FCL!L19</f>
        <v>-7.2759576141834259E-11</v>
      </c>
      <c r="M20" s="244">
        <f>'BG Proyectado'!N6-FCL!M19</f>
        <v>4.5110937207937241E-10</v>
      </c>
    </row>
    <row r="21" spans="1:20" s="242" customFormat="1" ht="16.5" thickTop="1">
      <c r="A21" s="303" t="s">
        <v>905</v>
      </c>
      <c r="B21" s="303"/>
      <c r="C21" s="303"/>
      <c r="D21" s="303"/>
      <c r="E21" s="303"/>
      <c r="F21" s="303"/>
      <c r="G21" s="488"/>
      <c r="H21" s="303"/>
      <c r="I21" s="493"/>
      <c r="J21" s="493"/>
      <c r="K21" s="493"/>
      <c r="L21" s="493"/>
      <c r="M21" s="493"/>
      <c r="Q21"/>
      <c r="R21"/>
      <c r="S21"/>
      <c r="T21"/>
    </row>
    <row r="22" spans="1:20">
      <c r="A22" s="504" t="s">
        <v>906</v>
      </c>
      <c r="B22" s="504"/>
      <c r="C22" s="504"/>
      <c r="D22" s="504"/>
      <c r="E22" s="504"/>
      <c r="F22" s="504"/>
      <c r="G22" s="523"/>
      <c r="H22" s="476">
        <f>'ER Proyectado'!H9</f>
        <v>167811</v>
      </c>
      <c r="I22" s="209">
        <f>'ER Proyectado'!I9</f>
        <v>136634.79911999998</v>
      </c>
      <c r="J22" s="209">
        <f>'ER Proyectado'!J9</f>
        <v>166525.87490187492</v>
      </c>
      <c r="K22" s="209">
        <f>'ER Proyectado'!K9</f>
        <v>187696.03754702408</v>
      </c>
      <c r="L22" s="209">
        <f>'ER Proyectado'!L9</f>
        <v>201800.50347464992</v>
      </c>
      <c r="M22" s="209">
        <f>'ER Proyectado'!M9</f>
        <v>214466.14033746679</v>
      </c>
    </row>
    <row r="23" spans="1:20">
      <c r="A23" s="504" t="s">
        <v>907</v>
      </c>
      <c r="B23" s="504">
        <f>('ER Proyectado'!C13+'ER Proyectado'!C12)*-1</f>
        <v>97386</v>
      </c>
      <c r="C23" s="504">
        <f>('ER Proyectado'!D13+'ER Proyectado'!D12)*-1</f>
        <v>95809</v>
      </c>
      <c r="D23" s="504">
        <f>('ER Proyectado'!E13+'ER Proyectado'!E12)*-1</f>
        <v>84954</v>
      </c>
      <c r="E23" s="504">
        <f>('ER Proyectado'!F13+'ER Proyectado'!F12)*-1</f>
        <v>81184</v>
      </c>
      <c r="F23" s="504">
        <f>('ER Proyectado'!G13+'ER Proyectado'!G12)*-1</f>
        <v>75386</v>
      </c>
      <c r="G23" s="523"/>
      <c r="H23" s="476">
        <f>('ER Proyectado'!H13+'ER Proyectado'!H12)*-1</f>
        <v>74696</v>
      </c>
      <c r="I23" s="209">
        <f>('ER Proyectado'!I13+'ER Proyectado'!I12)*-1</f>
        <v>75041</v>
      </c>
      <c r="J23" s="209">
        <f>('ER Proyectado'!J13+'ER Proyectado'!J12)*-1</f>
        <v>74868.5</v>
      </c>
      <c r="K23" s="209">
        <f>('ER Proyectado'!K13+'ER Proyectado'!K12)*-1</f>
        <v>74954.75</v>
      </c>
      <c r="L23" s="209">
        <f>('ER Proyectado'!L13+'ER Proyectado'!L12)*-1</f>
        <v>74911.625</v>
      </c>
      <c r="M23" s="209">
        <f>('ER Proyectado'!M13+'ER Proyectado'!M12)*-1</f>
        <v>74933.1875</v>
      </c>
    </row>
    <row r="24" spans="1:20">
      <c r="A24" s="504" t="s">
        <v>39</v>
      </c>
      <c r="B24" s="504">
        <f t="shared" ref="B24:I24" si="4">B23+B22</f>
        <v>97386</v>
      </c>
      <c r="C24" s="504">
        <f t="shared" si="4"/>
        <v>95809</v>
      </c>
      <c r="D24" s="504">
        <f t="shared" si="4"/>
        <v>84954</v>
      </c>
      <c r="E24" s="504">
        <f t="shared" si="4"/>
        <v>81184</v>
      </c>
      <c r="F24" s="504">
        <f t="shared" si="4"/>
        <v>75386</v>
      </c>
      <c r="G24" s="523"/>
      <c r="H24" s="476">
        <f t="shared" si="4"/>
        <v>242507</v>
      </c>
      <c r="I24" s="209">
        <f t="shared" si="4"/>
        <v>211675.79911999998</v>
      </c>
      <c r="J24" s="209">
        <f t="shared" ref="J24:M24" si="5">J23+J22</f>
        <v>241394.37490187492</v>
      </c>
      <c r="K24" s="209">
        <f t="shared" si="5"/>
        <v>262650.78754702408</v>
      </c>
      <c r="L24" s="404">
        <f t="shared" si="5"/>
        <v>276712.12847464992</v>
      </c>
      <c r="M24" s="404">
        <f t="shared" si="5"/>
        <v>289399.32783746679</v>
      </c>
      <c r="O24" s="496"/>
    </row>
    <row r="25" spans="1:20">
      <c r="A25" s="504" t="s">
        <v>854</v>
      </c>
      <c r="B25" s="504">
        <f t="shared" ref="B25:I25" si="6">B10</f>
        <v>-92311</v>
      </c>
      <c r="C25" s="504">
        <f t="shared" si="6"/>
        <v>-134401</v>
      </c>
      <c r="D25" s="504">
        <f t="shared" si="6"/>
        <v>-186628</v>
      </c>
      <c r="E25" s="504">
        <f t="shared" si="6"/>
        <v>-187408</v>
      </c>
      <c r="F25" s="504">
        <f t="shared" si="6"/>
        <v>-68878</v>
      </c>
      <c r="G25" s="523"/>
      <c r="H25" s="476">
        <f t="shared" si="6"/>
        <v>-2950</v>
      </c>
      <c r="I25" s="209">
        <f t="shared" si="6"/>
        <v>-44914.386591802584</v>
      </c>
      <c r="J25" s="209">
        <f t="shared" ref="J25:M25" si="7">J10</f>
        <v>-45560.113416219901</v>
      </c>
      <c r="K25" s="209">
        <f t="shared" si="7"/>
        <v>-46137.573475246136</v>
      </c>
      <c r="L25" s="209">
        <f t="shared" si="7"/>
        <v>-46784.026073989306</v>
      </c>
      <c r="M25" s="209">
        <f t="shared" si="7"/>
        <v>-47953.626725839036</v>
      </c>
      <c r="O25" s="496"/>
    </row>
    <row r="26" spans="1:20">
      <c r="A26" s="504" t="s">
        <v>797</v>
      </c>
      <c r="B26" s="504">
        <f>B22*TasaPonderadaImpuestos2019*-1</f>
        <v>0</v>
      </c>
      <c r="C26" s="504">
        <f>C22*TasaPonderadaImpuestos2019*-1</f>
        <v>0</v>
      </c>
      <c r="D26" s="504">
        <f>D22*TasaPonderadaImpuestos2019*-1</f>
        <v>0</v>
      </c>
      <c r="E26" s="504">
        <f>E22*TasaPonderadaImpuestos2019*-1</f>
        <v>0</v>
      </c>
      <c r="F26" s="504">
        <f>F22*TasaPonderadaImpuestos2019*-1</f>
        <v>0</v>
      </c>
      <c r="G26" s="523"/>
      <c r="H26" s="476">
        <f>H22*TasaPonderadaImpuestos2019*-1</f>
        <v>-50446.558423401351</v>
      </c>
      <c r="I26" s="209">
        <f>I22*TasaPonderadaImpuestos2019*-1</f>
        <v>-41074.514641333328</v>
      </c>
      <c r="J26" s="209">
        <f>J22*TasaPonderadaImpuestos2020*-1</f>
        <v>-49272.42693515632</v>
      </c>
      <c r="K26" s="209">
        <f>K22*TasaPonderadaImpuestos2020*-1</f>
        <v>-55536.350140803108</v>
      </c>
      <c r="L26" s="209">
        <f>L22*TasaPonderadaImpuestos2020*-1</f>
        <v>-59709.643133786034</v>
      </c>
      <c r="M26" s="209">
        <f>M22*TasaPonderadaImpuestos2020*-1</f>
        <v>-63457.208893630239</v>
      </c>
      <c r="O26" s="496"/>
    </row>
    <row r="27" spans="1:20">
      <c r="A27" s="504" t="s">
        <v>908</v>
      </c>
      <c r="B27" s="504">
        <f>B6</f>
        <v>0</v>
      </c>
      <c r="C27" s="504">
        <f>C6</f>
        <v>16722</v>
      </c>
      <c r="D27" s="504">
        <f>D6</f>
        <v>64301</v>
      </c>
      <c r="E27" s="504">
        <f>E6</f>
        <v>36936</v>
      </c>
      <c r="F27" s="504">
        <f>F6</f>
        <v>-11689</v>
      </c>
      <c r="G27" s="523"/>
      <c r="H27" s="476">
        <f t="shared" ref="H27:M27" si="8">H6</f>
        <v>13067</v>
      </c>
      <c r="I27" s="209">
        <f t="shared" si="8"/>
        <v>5776.4207180175872</v>
      </c>
      <c r="J27" s="209">
        <f t="shared" si="8"/>
        <v>6042.5330831372703</v>
      </c>
      <c r="K27" s="209">
        <f t="shared" si="8"/>
        <v>6042.0707077732659</v>
      </c>
      <c r="L27" s="209">
        <f t="shared" si="8"/>
        <v>5176.2850224479334</v>
      </c>
      <c r="M27" s="209">
        <f t="shared" si="8"/>
        <v>6511.0094777040067</v>
      </c>
      <c r="O27" s="218"/>
    </row>
    <row r="28" spans="1:20">
      <c r="A28" s="504" t="s">
        <v>845</v>
      </c>
      <c r="B28" s="504" t="e">
        <f>#REF!+B26+B27</f>
        <v>#REF!</v>
      </c>
      <c r="C28" s="504" t="e">
        <f>#REF!+C26+C27</f>
        <v>#REF!</v>
      </c>
      <c r="D28" s="504" t="e">
        <f>#REF!+D26+D27</f>
        <v>#REF!</v>
      </c>
      <c r="E28" s="504" t="e">
        <f>#REF!+E26+E27</f>
        <v>#REF!</v>
      </c>
      <c r="F28" s="504" t="e">
        <f>#REF!+F26+F27</f>
        <v>#REF!</v>
      </c>
      <c r="G28" s="523"/>
      <c r="H28" s="209">
        <f t="shared" ref="H28:M28" si="9">H26+H27+H24+H25</f>
        <v>202177.44157659865</v>
      </c>
      <c r="I28" s="209">
        <f t="shared" si="9"/>
        <v>131463.31860488164</v>
      </c>
      <c r="J28" s="209">
        <f t="shared" si="9"/>
        <v>152604.36763363599</v>
      </c>
      <c r="K28" s="209">
        <f t="shared" si="9"/>
        <v>167018.93463874809</v>
      </c>
      <c r="L28" s="209">
        <f t="shared" si="9"/>
        <v>175394.74428932249</v>
      </c>
      <c r="M28" s="209">
        <f t="shared" si="9"/>
        <v>184499.5016957015</v>
      </c>
    </row>
    <row r="29" spans="1:20" ht="15.75" hidden="1" customHeight="1">
      <c r="A29" s="303" t="s">
        <v>909</v>
      </c>
      <c r="G29" s="491"/>
    </row>
    <row r="30" spans="1:20" hidden="1">
      <c r="A30" s="651"/>
      <c r="B30" s="651"/>
      <c r="C30" s="651"/>
      <c r="D30" s="651"/>
      <c r="E30" s="651"/>
      <c r="F30" s="651"/>
      <c r="G30" s="652"/>
    </row>
    <row r="31" spans="1:20">
      <c r="A31" s="471" t="s">
        <v>910</v>
      </c>
      <c r="B31" s="472"/>
      <c r="C31" s="472"/>
      <c r="D31" s="472"/>
      <c r="E31" s="472"/>
      <c r="F31" s="472"/>
      <c r="G31" s="539">
        <v>1.2999999999999999E-2</v>
      </c>
      <c r="H31" s="469"/>
      <c r="I31" s="469"/>
      <c r="J31" s="469"/>
      <c r="K31" s="469"/>
      <c r="L31" s="469"/>
      <c r="M31" s="470"/>
    </row>
    <row r="32" spans="1:20">
      <c r="A32" s="651" t="s">
        <v>911</v>
      </c>
      <c r="B32" s="651"/>
      <c r="C32" s="651"/>
      <c r="D32" s="651"/>
      <c r="E32" s="651"/>
      <c r="F32" s="651"/>
      <c r="G32" s="652"/>
      <c r="H32" s="476">
        <f>H28</f>
        <v>202177.44157659865</v>
      </c>
      <c r="I32" s="476">
        <f t="shared" ref="I32:M32" si="10">I28</f>
        <v>131463.31860488164</v>
      </c>
      <c r="J32" s="476">
        <f t="shared" si="10"/>
        <v>152604.36763363599</v>
      </c>
      <c r="K32" s="476">
        <f t="shared" si="10"/>
        <v>167018.93463874809</v>
      </c>
      <c r="L32" s="476">
        <f t="shared" si="10"/>
        <v>175394.74428932249</v>
      </c>
      <c r="M32" s="476">
        <f t="shared" si="10"/>
        <v>184499.5016957015</v>
      </c>
    </row>
    <row r="33" spans="1:16">
      <c r="A33" s="651" t="s">
        <v>187</v>
      </c>
      <c r="B33" s="651"/>
      <c r="C33" s="651"/>
      <c r="D33" s="651"/>
      <c r="E33" s="651"/>
      <c r="F33" s="651"/>
      <c r="G33" s="652"/>
      <c r="H33" s="489">
        <f>'WACC '!C27</f>
        <v>9.0944453726414964E-2</v>
      </c>
      <c r="I33" s="304">
        <f>'WACC '!D27</f>
        <v>8.8430596599508957E-2</v>
      </c>
      <c r="J33" s="304">
        <f>'WACC '!E27</f>
        <v>8.9007218901696744E-2</v>
      </c>
      <c r="K33" s="304">
        <f>'WACC '!F27</f>
        <v>8.9226750290949355E-2</v>
      </c>
      <c r="L33" s="304">
        <f>'WACC '!G27</f>
        <v>8.9501396228187008E-2</v>
      </c>
      <c r="M33" s="304">
        <v>9.6000000000000002E-2</v>
      </c>
    </row>
    <row r="34" spans="1:16">
      <c r="A34" s="651" t="s">
        <v>930</v>
      </c>
      <c r="B34" s="651"/>
      <c r="C34" s="651"/>
      <c r="D34" s="651"/>
      <c r="E34" s="651"/>
      <c r="F34" s="651"/>
      <c r="G34" s="652"/>
      <c r="H34" s="490">
        <f>(1+H33)</f>
        <v>1.090944453726415</v>
      </c>
      <c r="I34" s="315">
        <f>(1+I33)</f>
        <v>1.0884305965995089</v>
      </c>
      <c r="J34" s="315">
        <f>(1+J33)*I34</f>
        <v>1.1853087769703459</v>
      </c>
      <c r="K34" s="315">
        <f>(1+K33)*J34</f>
        <v>1.2910700272307496</v>
      </c>
      <c r="L34" s="315">
        <f>(1+L33)*K34</f>
        <v>1.4066225972962652</v>
      </c>
      <c r="M34" s="315">
        <f>(1+M33)*L34</f>
        <v>1.5416583666367067</v>
      </c>
    </row>
    <row r="35" spans="1:16">
      <c r="A35" s="651" t="s">
        <v>932</v>
      </c>
      <c r="B35" s="651"/>
      <c r="C35" s="651"/>
      <c r="D35" s="651"/>
      <c r="E35" s="651"/>
      <c r="F35" s="651"/>
      <c r="G35" s="652"/>
      <c r="H35" s="490">
        <f t="shared" ref="H35:M35" si="11">+H32/H34</f>
        <v>185323.31402025747</v>
      </c>
      <c r="I35" s="315">
        <f t="shared" si="11"/>
        <v>120782.45412762312</v>
      </c>
      <c r="J35" s="315">
        <f t="shared" si="11"/>
        <v>128746.50943165492</v>
      </c>
      <c r="K35" s="315">
        <f t="shared" si="11"/>
        <v>129364.73709097828</v>
      </c>
      <c r="L35" s="315">
        <f t="shared" si="11"/>
        <v>124692.11331202619</v>
      </c>
      <c r="M35" s="315">
        <f t="shared" si="11"/>
        <v>119675.99676328224</v>
      </c>
    </row>
    <row r="37" spans="1:16" ht="18.75">
      <c r="A37" s="655" t="s">
        <v>1084</v>
      </c>
      <c r="B37" s="655"/>
      <c r="C37" s="655"/>
      <c r="D37" s="655"/>
      <c r="E37" s="655"/>
      <c r="F37" s="655"/>
      <c r="G37" s="655"/>
      <c r="H37" s="396" t="s">
        <v>695</v>
      </c>
      <c r="I37" s="321" t="s">
        <v>771</v>
      </c>
      <c r="J37" s="321" t="s">
        <v>772</v>
      </c>
      <c r="K37" s="321" t="s">
        <v>773</v>
      </c>
      <c r="L37" s="321" t="s">
        <v>774</v>
      </c>
      <c r="M37" s="321" t="s">
        <v>859</v>
      </c>
      <c r="O37" s="653" t="s">
        <v>1380</v>
      </c>
      <c r="P37" s="653"/>
    </row>
    <row r="38" spans="1:16">
      <c r="A38" s="651" t="s">
        <v>39</v>
      </c>
      <c r="B38" s="651"/>
      <c r="C38" s="651"/>
      <c r="D38" s="651"/>
      <c r="E38" s="651"/>
      <c r="F38" s="651"/>
      <c r="G38" s="656"/>
      <c r="H38" s="395">
        <f>+FCL!H4</f>
        <v>242507</v>
      </c>
      <c r="I38" s="11">
        <f>+FCL!I4</f>
        <v>211675.79911999998</v>
      </c>
      <c r="J38" s="11">
        <f>+FCL!J4</f>
        <v>241394.37490187492</v>
      </c>
      <c r="K38" s="11">
        <f>+FCL!K4</f>
        <v>262650.78754702408</v>
      </c>
      <c r="L38" s="11">
        <f>+FCL!L4</f>
        <v>276712.12847464992</v>
      </c>
      <c r="M38" s="11">
        <f>+FCL!M4</f>
        <v>289399.32783746679</v>
      </c>
      <c r="O38" s="222" t="s">
        <v>912</v>
      </c>
      <c r="P38" s="464">
        <f>M32/(M33-G31)</f>
        <v>2222885.5625988133</v>
      </c>
    </row>
    <row r="39" spans="1:16" ht="15.75" customHeight="1">
      <c r="A39" s="651" t="s">
        <v>926</v>
      </c>
      <c r="B39" s="651"/>
      <c r="C39" s="651"/>
      <c r="D39" s="651"/>
      <c r="E39" s="651"/>
      <c r="F39" s="651"/>
      <c r="G39" s="652"/>
      <c r="H39" s="11">
        <f>+'ER Proyectado'!H9</f>
        <v>167811</v>
      </c>
      <c r="I39" s="11">
        <f>+'ER Proyectado'!I9</f>
        <v>136634.79911999998</v>
      </c>
      <c r="J39" s="11">
        <f>+'ER Proyectado'!J9</f>
        <v>166525.87490187492</v>
      </c>
      <c r="K39" s="11">
        <f>+'ER Proyectado'!K9</f>
        <v>187696.03754702408</v>
      </c>
      <c r="L39" s="11">
        <f>+'ER Proyectado'!L9</f>
        <v>201800.50347464992</v>
      </c>
      <c r="M39" s="11">
        <f>+'ER Proyectado'!M9</f>
        <v>214466.14033746679</v>
      </c>
      <c r="O39" s="222" t="s">
        <v>1368</v>
      </c>
      <c r="P39" s="465">
        <f>P38/M24</f>
        <v>7.6810322235690753</v>
      </c>
    </row>
    <row r="40" spans="1:16">
      <c r="A40" s="651" t="s">
        <v>927</v>
      </c>
      <c r="B40" s="651"/>
      <c r="C40" s="651"/>
      <c r="D40" s="651"/>
      <c r="E40" s="651"/>
      <c r="F40" s="651"/>
      <c r="G40" s="656"/>
      <c r="H40" s="11">
        <f>+'ER Proyectado'!H9*(1-Suspuestos!D21)</f>
        <v>114188.91006456566</v>
      </c>
      <c r="I40" s="11">
        <f>+'ER Proyectado'!I9*(1-Suspuestos!E21)</f>
        <v>95560.284478666668</v>
      </c>
      <c r="J40" s="11">
        <f>+'ER Proyectado'!J9*(1-Suspuestos!F21)</f>
        <v>117253.4479667186</v>
      </c>
      <c r="K40" s="11">
        <f>+'ER Proyectado'!K9*(1-Suspuestos!G21)</f>
        <v>132159.68740622097</v>
      </c>
      <c r="L40" s="11">
        <f>+'ER Proyectado'!L9*(1-Suspuestos!H21)</f>
        <v>142090.86034086387</v>
      </c>
      <c r="M40" s="11">
        <f>+'ER Proyectado'!M9*(1-Suspuestos!I21)</f>
        <v>151008.93144383654</v>
      </c>
      <c r="O40" s="222" t="s">
        <v>931</v>
      </c>
      <c r="P40" s="464">
        <f>SUM(I35:M35)</f>
        <v>623261.81072556484</v>
      </c>
    </row>
    <row r="41" spans="1:16">
      <c r="A41" s="651" t="s">
        <v>928</v>
      </c>
      <c r="B41" s="651"/>
      <c r="C41" s="651"/>
      <c r="D41" s="651"/>
      <c r="E41" s="651"/>
      <c r="F41" s="651"/>
      <c r="G41" s="652"/>
      <c r="H41" s="11">
        <f>+FCL!H11</f>
        <v>139425</v>
      </c>
      <c r="I41" s="11">
        <f>+FCL!I32</f>
        <v>131463.31860488164</v>
      </c>
      <c r="J41" s="11">
        <f>+FCL!J32</f>
        <v>152604.36763363599</v>
      </c>
      <c r="K41" s="11">
        <f>+FCL!K32</f>
        <v>167018.93463874809</v>
      </c>
      <c r="L41" s="11">
        <f>+FCL!L32</f>
        <v>175394.74428932249</v>
      </c>
      <c r="M41" s="11">
        <f>+FCL!M32</f>
        <v>184499.5016957015</v>
      </c>
      <c r="O41" s="222" t="s">
        <v>933</v>
      </c>
      <c r="P41" s="464">
        <f>P38/M34</f>
        <v>1441879.4790756896</v>
      </c>
    </row>
    <row r="42" spans="1:16">
      <c r="A42" s="651" t="s">
        <v>164</v>
      </c>
      <c r="B42" s="651"/>
      <c r="C42" s="651"/>
      <c r="D42" s="651"/>
      <c r="E42" s="651"/>
      <c r="F42" s="651"/>
      <c r="G42" s="652"/>
      <c r="H42" s="52">
        <f>+'ER Proyectado'!H23/'BG Proyectado'!I46</f>
        <v>4.1352107701563189E-2</v>
      </c>
      <c r="I42" s="52">
        <f>+'ER Proyectado'!I23/'BG Proyectado'!J46</f>
        <v>4.2094103879593378E-2</v>
      </c>
      <c r="J42" s="52">
        <f>+'ER Proyectado'!J23/'BG Proyectado'!K46</f>
        <v>5.5857286008520114E-2</v>
      </c>
      <c r="K42" s="52">
        <f>+'ER Proyectado'!K23/'BG Proyectado'!L46</f>
        <v>6.7236025836479654E-2</v>
      </c>
      <c r="L42" s="52">
        <f>+'ER Proyectado'!L23/'BG Proyectado'!M46</f>
        <v>7.5705685845432441E-2</v>
      </c>
      <c r="M42" s="52">
        <f>+'ER Proyectado'!M23/'BG Proyectado'!N46</f>
        <v>7.996913891447173E-2</v>
      </c>
      <c r="O42" s="222" t="s">
        <v>1460</v>
      </c>
      <c r="P42" s="464">
        <f>P41+P40</f>
        <v>2065141.2898012544</v>
      </c>
    </row>
    <row r="43" spans="1:16">
      <c r="A43" s="504" t="s">
        <v>165</v>
      </c>
      <c r="B43" s="504">
        <f>+'ER Proyectado'!C23/'BG Proyectado'!D20</f>
        <v>6.884294082441679E-2</v>
      </c>
      <c r="C43" s="504">
        <f>+'ER Proyectado'!D23/'BG Proyectado'!E20</f>
        <v>7.8473796908098303E-2</v>
      </c>
      <c r="D43" s="504">
        <f>+'ER Proyectado'!E23/'BG Proyectado'!F20</f>
        <v>2.9869593641399718E-2</v>
      </c>
      <c r="E43" s="504">
        <f>+'ER Proyectado'!F23/'BG Proyectado'!G20</f>
        <v>4.242307064249088E-2</v>
      </c>
      <c r="F43" s="504">
        <f>+'ER Proyectado'!G23/'BG Proyectado'!H20</f>
        <v>1.3993671502849584E-2</v>
      </c>
      <c r="G43" s="523"/>
      <c r="H43" s="52">
        <f>+'ER Proyectado'!H23/'BG Proyectado'!I20</f>
        <v>2.0590718296360531E-2</v>
      </c>
      <c r="I43" s="52">
        <f>+'ER Proyectado'!I23/'BG Proyectado'!J20</f>
        <v>2.0834967612740962E-2</v>
      </c>
      <c r="J43" s="52">
        <f>+'ER Proyectado'!J23/'BG Proyectado'!K20</f>
        <v>2.7908228650404793E-2</v>
      </c>
      <c r="K43" s="52">
        <f>+'ER Proyectado'!K23/'BG Proyectado'!L20</f>
        <v>3.3991590364784351E-2</v>
      </c>
      <c r="L43" s="52">
        <f>+'ER Proyectado'!L23/'BG Proyectado'!M20</f>
        <v>3.8718943724376731E-2</v>
      </c>
      <c r="M43" s="52">
        <f>+'ER Proyectado'!M23/'BG Proyectado'!N20</f>
        <v>4.1052724654920332E-2</v>
      </c>
      <c r="O43" s="222" t="s">
        <v>1458</v>
      </c>
      <c r="P43" s="464">
        <v>0</v>
      </c>
    </row>
    <row r="44" spans="1:16">
      <c r="A44" s="651" t="s">
        <v>163</v>
      </c>
      <c r="B44" s="651"/>
      <c r="C44" s="651"/>
      <c r="D44" s="651"/>
      <c r="E44" s="651"/>
      <c r="F44" s="651"/>
      <c r="G44" s="652"/>
      <c r="H44" s="52">
        <f t="shared" ref="H44:M44" si="12">+H40/H45</f>
        <v>4.2360467711127586E-2</v>
      </c>
      <c r="I44" s="52">
        <f t="shared" si="12"/>
        <v>3.5913947547210376E-2</v>
      </c>
      <c r="J44" s="52">
        <f t="shared" si="12"/>
        <v>4.545401071781853E-2</v>
      </c>
      <c r="K44" s="52">
        <f t="shared" si="12"/>
        <v>5.2863552982657512E-2</v>
      </c>
      <c r="L44" s="52">
        <f t="shared" si="12"/>
        <v>5.8564524499737751E-2</v>
      </c>
      <c r="M44" s="52">
        <f t="shared" si="12"/>
        <v>6.4155167331097981E-2</v>
      </c>
      <c r="O44" s="222" t="s">
        <v>1457</v>
      </c>
      <c r="P44" s="464">
        <f>'BG Proyectado'!I17</f>
        <v>1555413</v>
      </c>
    </row>
    <row r="45" spans="1:16" ht="15.75" customHeight="1">
      <c r="A45" s="246" t="s">
        <v>929</v>
      </c>
      <c r="G45" s="523"/>
      <c r="H45" s="11">
        <f>(+'BG Proyectado'!I13-'BG Proyectado'!I6+'BG Proyectado'!I19-'BG Proyectado'!I18)-('BG Proyectado'!I36-'BG Proyectado'!I23-'BG Proyectado'!I25-'BG Proyectado'!I30-'BG Proyectado'!I31-'BG Proyectado'!I33)</f>
        <v>2695648</v>
      </c>
      <c r="I45" s="11">
        <f>(+'BG Proyectado'!J13-'BG Proyectado'!J6+'BG Proyectado'!J19-'BG Proyectado'!J18)-('BG Proyectado'!J36-'BG Proyectado'!J23-'BG Proyectado'!J25-'BG Proyectado'!J30-'BG Proyectado'!J31-'BG Proyectado'!J33)</f>
        <v>2660812.6091694236</v>
      </c>
      <c r="J45" s="11">
        <f>(+'BG Proyectado'!K13-'BG Proyectado'!K6+'BG Proyectado'!K19-'BG Proyectado'!K18)-('BG Proyectado'!K36-'BG Proyectado'!K23-'BG Proyectado'!K25-'BG Proyectado'!K30-'BG Proyectado'!K31-'BG Proyectado'!K33)</f>
        <v>2579606.2022917112</v>
      </c>
      <c r="K45" s="11">
        <f>(+'BG Proyectado'!L13-'BG Proyectado'!L6+'BG Proyectado'!L19-'BG Proyectado'!L18)-('BG Proyectado'!L36-'BG Proyectado'!L23-'BG Proyectado'!L25-'BG Proyectado'!L30-'BG Proyectado'!L31-'BG Proyectado'!L33)</f>
        <v>2500015.2269291747</v>
      </c>
      <c r="L45" s="11">
        <f>(+'BG Proyectado'!M13-'BG Proyectado'!M6+'BG Proyectado'!M19-'BG Proyectado'!M18)-('BG Proyectado'!M36-'BG Proyectado'!M23-'BG Proyectado'!M25-'BG Proyectado'!M30-'BG Proyectado'!M31-'BG Proyectado'!M33)</f>
        <v>2426227.5081137242</v>
      </c>
      <c r="M45" s="11">
        <f>(+'BG Proyectado'!N13-'BG Proyectado'!N6+'BG Proyectado'!N19-'BG Proyectado'!N18)-('BG Proyectado'!N36-'BG Proyectado'!N23-'BG Proyectado'!N25-'BG Proyectado'!N30-'BG Proyectado'!N31-'BG Proyectado'!N33)</f>
        <v>2353807.7714690627</v>
      </c>
      <c r="O45" s="222" t="s">
        <v>1459</v>
      </c>
      <c r="P45" s="553">
        <v>0</v>
      </c>
    </row>
    <row r="46" spans="1:16">
      <c r="A46" s="504" t="s">
        <v>187</v>
      </c>
      <c r="B46" s="504"/>
      <c r="C46" s="504"/>
      <c r="D46" s="504"/>
      <c r="E46" s="504"/>
      <c r="F46" s="504"/>
      <c r="G46" s="523"/>
      <c r="H46" s="48">
        <f>+'WACC '!C27</f>
        <v>9.0944453726414964E-2</v>
      </c>
      <c r="I46" s="48">
        <f>+'WACC '!D27</f>
        <v>8.8430596599508957E-2</v>
      </c>
      <c r="J46" s="48">
        <f>+'WACC '!E27</f>
        <v>8.9007218901696744E-2</v>
      </c>
      <c r="K46" s="48">
        <f>+'WACC '!F27</f>
        <v>8.9226750290949355E-2</v>
      </c>
      <c r="L46" s="48">
        <f>+'WACC '!G27</f>
        <v>8.9501396228187008E-2</v>
      </c>
      <c r="M46" s="48">
        <f>+'WACC '!H27</f>
        <v>9.2620596350964646E-2</v>
      </c>
      <c r="O46" s="222" t="s">
        <v>1461</v>
      </c>
      <c r="P46" s="464">
        <f>'BG Proyectado'!I23+'BG Proyectado'!I31</f>
        <v>842237</v>
      </c>
    </row>
    <row r="47" spans="1:16">
      <c r="A47" s="651" t="s">
        <v>1083</v>
      </c>
      <c r="B47" s="651"/>
      <c r="C47" s="651"/>
      <c r="D47" s="651"/>
      <c r="E47" s="651"/>
      <c r="F47" s="651"/>
      <c r="G47" s="652"/>
      <c r="H47" s="52">
        <f>Indicadores!I32</f>
        <v>0.2188041637456026</v>
      </c>
      <c r="I47" s="52">
        <f>Indicadores!J32</f>
        <v>0.20759394579391685</v>
      </c>
      <c r="J47" s="52">
        <f>Indicadores!K32</f>
        <v>0.23338411752589622</v>
      </c>
      <c r="K47" s="52">
        <f>Indicadores!L32</f>
        <v>0.25048206443430449</v>
      </c>
      <c r="L47" s="52">
        <f>Indicadores!M32</f>
        <v>0.2605310864191574</v>
      </c>
      <c r="M47" s="52">
        <f>Indicadores!N32</f>
        <v>0.26583062246689371</v>
      </c>
      <c r="N47" s="7"/>
      <c r="O47" s="222" t="s">
        <v>934</v>
      </c>
      <c r="P47" s="464">
        <f>P45+P44+P43+P42-P46</f>
        <v>2778317.2898012544</v>
      </c>
    </row>
    <row r="48" spans="1:16">
      <c r="A48" s="651" t="s">
        <v>1464</v>
      </c>
      <c r="B48" s="651"/>
      <c r="C48" s="651"/>
      <c r="D48" s="651"/>
      <c r="E48" s="651"/>
      <c r="F48" s="651"/>
      <c r="G48" s="652"/>
      <c r="H48" s="52">
        <f t="shared" ref="H48:M48" si="13">$G$31/H44</f>
        <v>0.30688990708629632</v>
      </c>
      <c r="I48" s="52">
        <f t="shared" si="13"/>
        <v>0.36197635982262766</v>
      </c>
      <c r="J48" s="52">
        <f t="shared" si="13"/>
        <v>0.28600336460306769</v>
      </c>
      <c r="K48" s="52">
        <f t="shared" si="13"/>
        <v>0.24591612304728735</v>
      </c>
      <c r="L48" s="52">
        <f t="shared" si="13"/>
        <v>0.22197738496208935</v>
      </c>
      <c r="M48" s="52">
        <f t="shared" si="13"/>
        <v>0.20263371667177463</v>
      </c>
      <c r="O48" s="222" t="s">
        <v>955</v>
      </c>
      <c r="P48" s="466">
        <f>AccionesEnCirculacion</f>
        <v>557079229</v>
      </c>
    </row>
    <row r="49" spans="2:16">
      <c r="O49" s="222" t="s">
        <v>1369</v>
      </c>
      <c r="P49" s="467">
        <f>P47/P48*1000</f>
        <v>4.9872929112588658</v>
      </c>
    </row>
    <row r="50" spans="2:16">
      <c r="B50" s="498"/>
      <c r="C50" s="498"/>
      <c r="D50" s="498"/>
      <c r="E50" s="498"/>
      <c r="F50" s="498"/>
      <c r="G50" s="498"/>
      <c r="H50" s="498"/>
      <c r="I50" s="498"/>
      <c r="J50" s="498"/>
      <c r="K50" s="498"/>
      <c r="L50" s="498"/>
      <c r="M50" s="498"/>
      <c r="O50" s="222" t="s">
        <v>1370</v>
      </c>
      <c r="P50" s="463">
        <f>P49*TRM!B9899</f>
        <v>16207.455138363499</v>
      </c>
    </row>
    <row r="51" spans="2:16">
      <c r="B51" s="496"/>
      <c r="C51" s="496"/>
      <c r="D51" s="496"/>
      <c r="E51" s="496"/>
      <c r="F51" s="496"/>
      <c r="G51" s="496"/>
    </row>
    <row r="52" spans="2:16">
      <c r="C52" s="498"/>
      <c r="D52" s="498"/>
      <c r="E52" s="498"/>
      <c r="F52" s="498"/>
      <c r="G52" s="498"/>
      <c r="H52" s="498"/>
      <c r="I52" s="498"/>
      <c r="J52" s="498"/>
      <c r="K52" s="498"/>
      <c r="L52" s="498"/>
      <c r="M52" s="498"/>
    </row>
  </sheetData>
  <mergeCells count="17">
    <mergeCell ref="B1:L1"/>
    <mergeCell ref="B2:L2"/>
    <mergeCell ref="A30:G30"/>
    <mergeCell ref="A32:G32"/>
    <mergeCell ref="A44:G44"/>
    <mergeCell ref="A37:G37"/>
    <mergeCell ref="A38:G38"/>
    <mergeCell ref="A40:G40"/>
    <mergeCell ref="A41:G41"/>
    <mergeCell ref="A42:G42"/>
    <mergeCell ref="A39:G39"/>
    <mergeCell ref="A48:G48"/>
    <mergeCell ref="O37:P37"/>
    <mergeCell ref="A34:G34"/>
    <mergeCell ref="A33:G33"/>
    <mergeCell ref="A35:G35"/>
    <mergeCell ref="A47:G47"/>
  </mergeCells>
  <pageMargins left="0.7" right="0.7" top="0.75" bottom="0.75" header="0.3" footer="0.3"/>
  <pageSetup paperSize="9" orientation="portrait" r:id="rId1"/>
  <cellWatches>
    <cellWatch r="I6"/>
    <cellWatch r="I7"/>
  </cellWatche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BP88"/>
  <sheetViews>
    <sheetView workbookViewId="0">
      <selection activeCell="D22" sqref="D22"/>
    </sheetView>
  </sheetViews>
  <sheetFormatPr baseColWidth="10" defaultColWidth="9" defaultRowHeight="12"/>
  <cols>
    <col min="1" max="2" width="1.75" style="450" customWidth="1"/>
    <col min="3" max="3" width="9" style="450"/>
    <col min="4" max="14" width="12.125" style="450" bestFit="1" customWidth="1"/>
    <col min="15" max="256" width="9" style="450"/>
    <col min="257" max="258" width="1.75" style="450" customWidth="1"/>
    <col min="259" max="266" width="9" style="450"/>
    <col min="267" max="270" width="8.25" style="450" bestFit="1" customWidth="1"/>
    <col min="271" max="512" width="9" style="450"/>
    <col min="513" max="514" width="1.75" style="450" customWidth="1"/>
    <col min="515" max="522" width="9" style="450"/>
    <col min="523" max="526" width="8.25" style="450" bestFit="1" customWidth="1"/>
    <col min="527" max="768" width="9" style="450"/>
    <col min="769" max="770" width="1.75" style="450" customWidth="1"/>
    <col min="771" max="778" width="9" style="450"/>
    <col min="779" max="782" width="8.25" style="450" bestFit="1" customWidth="1"/>
    <col min="783" max="1024" width="9" style="450"/>
    <col min="1025" max="1026" width="1.75" style="450" customWidth="1"/>
    <col min="1027" max="1034" width="9" style="450"/>
    <col min="1035" max="1038" width="8.25" style="450" bestFit="1" customWidth="1"/>
    <col min="1039" max="1280" width="9" style="450"/>
    <col min="1281" max="1282" width="1.75" style="450" customWidth="1"/>
    <col min="1283" max="1290" width="9" style="450"/>
    <col min="1291" max="1294" width="8.25" style="450" bestFit="1" customWidth="1"/>
    <col min="1295" max="1536" width="9" style="450"/>
    <col min="1537" max="1538" width="1.75" style="450" customWidth="1"/>
    <col min="1539" max="1546" width="9" style="450"/>
    <col min="1547" max="1550" width="8.25" style="450" bestFit="1" customWidth="1"/>
    <col min="1551" max="1792" width="9" style="450"/>
    <col min="1793" max="1794" width="1.75" style="450" customWidth="1"/>
    <col min="1795" max="1802" width="9" style="450"/>
    <col min="1803" max="1806" width="8.25" style="450" bestFit="1" customWidth="1"/>
    <col min="1807" max="2048" width="9" style="450"/>
    <col min="2049" max="2050" width="1.75" style="450" customWidth="1"/>
    <col min="2051" max="2058" width="9" style="450"/>
    <col min="2059" max="2062" width="8.25" style="450" bestFit="1" customWidth="1"/>
    <col min="2063" max="2304" width="9" style="450"/>
    <col min="2305" max="2306" width="1.75" style="450" customWidth="1"/>
    <col min="2307" max="2314" width="9" style="450"/>
    <col min="2315" max="2318" width="8.25" style="450" bestFit="1" customWidth="1"/>
    <col min="2319" max="2560" width="9" style="450"/>
    <col min="2561" max="2562" width="1.75" style="450" customWidth="1"/>
    <col min="2563" max="2570" width="9" style="450"/>
    <col min="2571" max="2574" width="8.25" style="450" bestFit="1" customWidth="1"/>
    <col min="2575" max="2816" width="9" style="450"/>
    <col min="2817" max="2818" width="1.75" style="450" customWidth="1"/>
    <col min="2819" max="2826" width="9" style="450"/>
    <col min="2827" max="2830" width="8.25" style="450" bestFit="1" customWidth="1"/>
    <col min="2831" max="3072" width="9" style="450"/>
    <col min="3073" max="3074" width="1.75" style="450" customWidth="1"/>
    <col min="3075" max="3082" width="9" style="450"/>
    <col min="3083" max="3086" width="8.25" style="450" bestFit="1" customWidth="1"/>
    <col min="3087" max="3328" width="9" style="450"/>
    <col min="3329" max="3330" width="1.75" style="450" customWidth="1"/>
    <col min="3331" max="3338" width="9" style="450"/>
    <col min="3339" max="3342" width="8.25" style="450" bestFit="1" customWidth="1"/>
    <col min="3343" max="3584" width="9" style="450"/>
    <col min="3585" max="3586" width="1.75" style="450" customWidth="1"/>
    <col min="3587" max="3594" width="9" style="450"/>
    <col min="3595" max="3598" width="8.25" style="450" bestFit="1" customWidth="1"/>
    <col min="3599" max="3840" width="9" style="450"/>
    <col min="3841" max="3842" width="1.75" style="450" customWidth="1"/>
    <col min="3843" max="3850" width="9" style="450"/>
    <col min="3851" max="3854" width="8.25" style="450" bestFit="1" customWidth="1"/>
    <col min="3855" max="4096" width="9" style="450"/>
    <col min="4097" max="4098" width="1.75" style="450" customWidth="1"/>
    <col min="4099" max="4106" width="9" style="450"/>
    <col min="4107" max="4110" width="8.25" style="450" bestFit="1" customWidth="1"/>
    <col min="4111" max="4352" width="9" style="450"/>
    <col min="4353" max="4354" width="1.75" style="450" customWidth="1"/>
    <col min="4355" max="4362" width="9" style="450"/>
    <col min="4363" max="4366" width="8.25" style="450" bestFit="1" customWidth="1"/>
    <col min="4367" max="4608" width="9" style="450"/>
    <col min="4609" max="4610" width="1.75" style="450" customWidth="1"/>
    <col min="4611" max="4618" width="9" style="450"/>
    <col min="4619" max="4622" width="8.25" style="450" bestFit="1" customWidth="1"/>
    <col min="4623" max="4864" width="9" style="450"/>
    <col min="4865" max="4866" width="1.75" style="450" customWidth="1"/>
    <col min="4867" max="4874" width="9" style="450"/>
    <col min="4875" max="4878" width="8.25" style="450" bestFit="1" customWidth="1"/>
    <col min="4879" max="5120" width="9" style="450"/>
    <col min="5121" max="5122" width="1.75" style="450" customWidth="1"/>
    <col min="5123" max="5130" width="9" style="450"/>
    <col min="5131" max="5134" width="8.25" style="450" bestFit="1" customWidth="1"/>
    <col min="5135" max="5376" width="9" style="450"/>
    <col min="5377" max="5378" width="1.75" style="450" customWidth="1"/>
    <col min="5379" max="5386" width="9" style="450"/>
    <col min="5387" max="5390" width="8.25" style="450" bestFit="1" customWidth="1"/>
    <col min="5391" max="5632" width="9" style="450"/>
    <col min="5633" max="5634" width="1.75" style="450" customWidth="1"/>
    <col min="5635" max="5642" width="9" style="450"/>
    <col min="5643" max="5646" width="8.25" style="450" bestFit="1" customWidth="1"/>
    <col min="5647" max="5888" width="9" style="450"/>
    <col min="5889" max="5890" width="1.75" style="450" customWidth="1"/>
    <col min="5891" max="5898" width="9" style="450"/>
    <col min="5899" max="5902" width="8.25" style="450" bestFit="1" customWidth="1"/>
    <col min="5903" max="6144" width="9" style="450"/>
    <col min="6145" max="6146" width="1.75" style="450" customWidth="1"/>
    <col min="6147" max="6154" width="9" style="450"/>
    <col min="6155" max="6158" width="8.25" style="450" bestFit="1" customWidth="1"/>
    <col min="6159" max="6400" width="9" style="450"/>
    <col min="6401" max="6402" width="1.75" style="450" customWidth="1"/>
    <col min="6403" max="6410" width="9" style="450"/>
    <col min="6411" max="6414" width="8.25" style="450" bestFit="1" customWidth="1"/>
    <col min="6415" max="6656" width="9" style="450"/>
    <col min="6657" max="6658" width="1.75" style="450" customWidth="1"/>
    <col min="6659" max="6666" width="9" style="450"/>
    <col min="6667" max="6670" width="8.25" style="450" bestFit="1" customWidth="1"/>
    <col min="6671" max="6912" width="9" style="450"/>
    <col min="6913" max="6914" width="1.75" style="450" customWidth="1"/>
    <col min="6915" max="6922" width="9" style="450"/>
    <col min="6923" max="6926" width="8.25" style="450" bestFit="1" customWidth="1"/>
    <col min="6927" max="7168" width="9" style="450"/>
    <col min="7169" max="7170" width="1.75" style="450" customWidth="1"/>
    <col min="7171" max="7178" width="9" style="450"/>
    <col min="7179" max="7182" width="8.25" style="450" bestFit="1" customWidth="1"/>
    <col min="7183" max="7424" width="9" style="450"/>
    <col min="7425" max="7426" width="1.75" style="450" customWidth="1"/>
    <col min="7427" max="7434" width="9" style="450"/>
    <col min="7435" max="7438" width="8.25" style="450" bestFit="1" customWidth="1"/>
    <col min="7439" max="7680" width="9" style="450"/>
    <col min="7681" max="7682" width="1.75" style="450" customWidth="1"/>
    <col min="7683" max="7690" width="9" style="450"/>
    <col min="7691" max="7694" width="8.25" style="450" bestFit="1" customWidth="1"/>
    <col min="7695" max="7936" width="9" style="450"/>
    <col min="7937" max="7938" width="1.75" style="450" customWidth="1"/>
    <col min="7939" max="7946" width="9" style="450"/>
    <col min="7947" max="7950" width="8.25" style="450" bestFit="1" customWidth="1"/>
    <col min="7951" max="8192" width="9" style="450"/>
    <col min="8193" max="8194" width="1.75" style="450" customWidth="1"/>
    <col min="8195" max="8202" width="9" style="450"/>
    <col min="8203" max="8206" width="8.25" style="450" bestFit="1" customWidth="1"/>
    <col min="8207" max="8448" width="9" style="450"/>
    <col min="8449" max="8450" width="1.75" style="450" customWidth="1"/>
    <col min="8451" max="8458" width="9" style="450"/>
    <col min="8459" max="8462" width="8.25" style="450" bestFit="1" customWidth="1"/>
    <col min="8463" max="8704" width="9" style="450"/>
    <col min="8705" max="8706" width="1.75" style="450" customWidth="1"/>
    <col min="8707" max="8714" width="9" style="450"/>
    <col min="8715" max="8718" width="8.25" style="450" bestFit="1" customWidth="1"/>
    <col min="8719" max="8960" width="9" style="450"/>
    <col min="8961" max="8962" width="1.75" style="450" customWidth="1"/>
    <col min="8963" max="8970" width="9" style="450"/>
    <col min="8971" max="8974" width="8.25" style="450" bestFit="1" customWidth="1"/>
    <col min="8975" max="9216" width="9" style="450"/>
    <col min="9217" max="9218" width="1.75" style="450" customWidth="1"/>
    <col min="9219" max="9226" width="9" style="450"/>
    <col min="9227" max="9230" width="8.25" style="450" bestFit="1" customWidth="1"/>
    <col min="9231" max="9472" width="9" style="450"/>
    <col min="9473" max="9474" width="1.75" style="450" customWidth="1"/>
    <col min="9475" max="9482" width="9" style="450"/>
    <col min="9483" max="9486" width="8.25" style="450" bestFit="1" customWidth="1"/>
    <col min="9487" max="9728" width="9" style="450"/>
    <col min="9729" max="9730" width="1.75" style="450" customWidth="1"/>
    <col min="9731" max="9738" width="9" style="450"/>
    <col min="9739" max="9742" width="8.25" style="450" bestFit="1" customWidth="1"/>
    <col min="9743" max="9984" width="9" style="450"/>
    <col min="9985" max="9986" width="1.75" style="450" customWidth="1"/>
    <col min="9987" max="9994" width="9" style="450"/>
    <col min="9995" max="9998" width="8.25" style="450" bestFit="1" customWidth="1"/>
    <col min="9999" max="10240" width="9" style="450"/>
    <col min="10241" max="10242" width="1.75" style="450" customWidth="1"/>
    <col min="10243" max="10250" width="9" style="450"/>
    <col min="10251" max="10254" width="8.25" style="450" bestFit="1" customWidth="1"/>
    <col min="10255" max="10496" width="9" style="450"/>
    <col min="10497" max="10498" width="1.75" style="450" customWidth="1"/>
    <col min="10499" max="10506" width="9" style="450"/>
    <col min="10507" max="10510" width="8.25" style="450" bestFit="1" customWidth="1"/>
    <col min="10511" max="10752" width="9" style="450"/>
    <col min="10753" max="10754" width="1.75" style="450" customWidth="1"/>
    <col min="10755" max="10762" width="9" style="450"/>
    <col min="10763" max="10766" width="8.25" style="450" bestFit="1" customWidth="1"/>
    <col min="10767" max="11008" width="9" style="450"/>
    <col min="11009" max="11010" width="1.75" style="450" customWidth="1"/>
    <col min="11011" max="11018" width="9" style="450"/>
    <col min="11019" max="11022" width="8.25" style="450" bestFit="1" customWidth="1"/>
    <col min="11023" max="11264" width="9" style="450"/>
    <col min="11265" max="11266" width="1.75" style="450" customWidth="1"/>
    <col min="11267" max="11274" width="9" style="450"/>
    <col min="11275" max="11278" width="8.25" style="450" bestFit="1" customWidth="1"/>
    <col min="11279" max="11520" width="9" style="450"/>
    <col min="11521" max="11522" width="1.75" style="450" customWidth="1"/>
    <col min="11523" max="11530" width="9" style="450"/>
    <col min="11531" max="11534" width="8.25" style="450" bestFit="1" customWidth="1"/>
    <col min="11535" max="11776" width="9" style="450"/>
    <col min="11777" max="11778" width="1.75" style="450" customWidth="1"/>
    <col min="11779" max="11786" width="9" style="450"/>
    <col min="11787" max="11790" width="8.25" style="450" bestFit="1" customWidth="1"/>
    <col min="11791" max="12032" width="9" style="450"/>
    <col min="12033" max="12034" width="1.75" style="450" customWidth="1"/>
    <col min="12035" max="12042" width="9" style="450"/>
    <col min="12043" max="12046" width="8.25" style="450" bestFit="1" customWidth="1"/>
    <col min="12047" max="12288" width="9" style="450"/>
    <col min="12289" max="12290" width="1.75" style="450" customWidth="1"/>
    <col min="12291" max="12298" width="9" style="450"/>
    <col min="12299" max="12302" width="8.25" style="450" bestFit="1" customWidth="1"/>
    <col min="12303" max="12544" width="9" style="450"/>
    <col min="12545" max="12546" width="1.75" style="450" customWidth="1"/>
    <col min="12547" max="12554" width="9" style="450"/>
    <col min="12555" max="12558" width="8.25" style="450" bestFit="1" customWidth="1"/>
    <col min="12559" max="12800" width="9" style="450"/>
    <col min="12801" max="12802" width="1.75" style="450" customWidth="1"/>
    <col min="12803" max="12810" width="9" style="450"/>
    <col min="12811" max="12814" width="8.25" style="450" bestFit="1" customWidth="1"/>
    <col min="12815" max="13056" width="9" style="450"/>
    <col min="13057" max="13058" width="1.75" style="450" customWidth="1"/>
    <col min="13059" max="13066" width="9" style="450"/>
    <col min="13067" max="13070" width="8.25" style="450" bestFit="1" customWidth="1"/>
    <col min="13071" max="13312" width="9" style="450"/>
    <col min="13313" max="13314" width="1.75" style="450" customWidth="1"/>
    <col min="13315" max="13322" width="9" style="450"/>
    <col min="13323" max="13326" width="8.25" style="450" bestFit="1" customWidth="1"/>
    <col min="13327" max="13568" width="9" style="450"/>
    <col min="13569" max="13570" width="1.75" style="450" customWidth="1"/>
    <col min="13571" max="13578" width="9" style="450"/>
    <col min="13579" max="13582" width="8.25" style="450" bestFit="1" customWidth="1"/>
    <col min="13583" max="13824" width="9" style="450"/>
    <col min="13825" max="13826" width="1.75" style="450" customWidth="1"/>
    <col min="13827" max="13834" width="9" style="450"/>
    <col min="13835" max="13838" width="8.25" style="450" bestFit="1" customWidth="1"/>
    <col min="13839" max="14080" width="9" style="450"/>
    <col min="14081" max="14082" width="1.75" style="450" customWidth="1"/>
    <col min="14083" max="14090" width="9" style="450"/>
    <col min="14091" max="14094" width="8.25" style="450" bestFit="1" customWidth="1"/>
    <col min="14095" max="14336" width="9" style="450"/>
    <col min="14337" max="14338" width="1.75" style="450" customWidth="1"/>
    <col min="14339" max="14346" width="9" style="450"/>
    <col min="14347" max="14350" width="8.25" style="450" bestFit="1" customWidth="1"/>
    <col min="14351" max="14592" width="9" style="450"/>
    <col min="14593" max="14594" width="1.75" style="450" customWidth="1"/>
    <col min="14595" max="14602" width="9" style="450"/>
    <col min="14603" max="14606" width="8.25" style="450" bestFit="1" customWidth="1"/>
    <col min="14607" max="14848" width="9" style="450"/>
    <col min="14849" max="14850" width="1.75" style="450" customWidth="1"/>
    <col min="14851" max="14858" width="9" style="450"/>
    <col min="14859" max="14862" width="8.25" style="450" bestFit="1" customWidth="1"/>
    <col min="14863" max="15104" width="9" style="450"/>
    <col min="15105" max="15106" width="1.75" style="450" customWidth="1"/>
    <col min="15107" max="15114" width="9" style="450"/>
    <col min="15115" max="15118" width="8.25" style="450" bestFit="1" customWidth="1"/>
    <col min="15119" max="15360" width="9" style="450"/>
    <col min="15361" max="15362" width="1.75" style="450" customWidth="1"/>
    <col min="15363" max="15370" width="9" style="450"/>
    <col min="15371" max="15374" width="8.25" style="450" bestFit="1" customWidth="1"/>
    <col min="15375" max="15616" width="9" style="450"/>
    <col min="15617" max="15618" width="1.75" style="450" customWidth="1"/>
    <col min="15619" max="15626" width="9" style="450"/>
    <col min="15627" max="15630" width="8.25" style="450" bestFit="1" customWidth="1"/>
    <col min="15631" max="15872" width="9" style="450"/>
    <col min="15873" max="15874" width="1.75" style="450" customWidth="1"/>
    <col min="15875" max="15882" width="9" style="450"/>
    <col min="15883" max="15886" width="8.25" style="450" bestFit="1" customWidth="1"/>
    <col min="15887" max="16128" width="9" style="450"/>
    <col min="16129" max="16130" width="1.75" style="450" customWidth="1"/>
    <col min="16131" max="16138" width="9" style="450"/>
    <col min="16139" max="16142" width="8.25" style="450" bestFit="1" customWidth="1"/>
    <col min="16143" max="16384" width="9" style="450"/>
  </cols>
  <sheetData>
    <row r="1" spans="2:68" ht="18" customHeight="1"/>
    <row r="2" spans="2:68" ht="16.5" thickBot="1">
      <c r="B2" s="658" t="s">
        <v>1291</v>
      </c>
      <c r="C2" s="659"/>
      <c r="D2" s="659"/>
      <c r="E2" s="659"/>
      <c r="F2" s="659"/>
      <c r="G2" s="659"/>
      <c r="H2" s="659"/>
      <c r="I2" s="659"/>
      <c r="J2" s="659"/>
      <c r="K2" s="659"/>
      <c r="L2" s="659"/>
      <c r="M2" s="659"/>
      <c r="N2" s="659"/>
      <c r="O2" s="659"/>
      <c r="P2" s="659"/>
      <c r="Q2" s="659"/>
    </row>
    <row r="3" spans="2:68" ht="12.75" thickTop="1"/>
    <row r="4" spans="2:68" ht="12.75">
      <c r="C4" s="657" t="s">
        <v>1292</v>
      </c>
      <c r="D4" s="657"/>
      <c r="E4" s="450" t="s">
        <v>1300</v>
      </c>
      <c r="F4" s="657" t="s">
        <v>1293</v>
      </c>
      <c r="G4" s="657"/>
      <c r="H4" s="657"/>
      <c r="I4" s="457">
        <v>1662456.8752813488</v>
      </c>
      <c r="J4" s="451"/>
      <c r="K4" s="451"/>
    </row>
    <row r="5" spans="2:68" ht="12.75">
      <c r="C5" s="657" t="s">
        <v>1294</v>
      </c>
      <c r="D5" s="657"/>
      <c r="E5" s="450" t="s">
        <v>1301</v>
      </c>
      <c r="F5" s="452" t="s">
        <v>1295</v>
      </c>
      <c r="G5" s="451">
        <v>0.08</v>
      </c>
      <c r="H5" s="453" t="s">
        <v>1296</v>
      </c>
      <c r="I5" s="451">
        <v>0.11</v>
      </c>
      <c r="J5" s="453" t="s">
        <v>1297</v>
      </c>
      <c r="K5" s="451">
        <v>10</v>
      </c>
      <c r="L5" s="453" t="s">
        <v>1298</v>
      </c>
      <c r="M5" s="451" t="s">
        <v>954</v>
      </c>
      <c r="N5" s="657" t="s">
        <v>1293</v>
      </c>
      <c r="O5" s="657"/>
      <c r="P5" s="657"/>
      <c r="Q5" s="456">
        <v>9.6000000000000002E-2</v>
      </c>
    </row>
    <row r="6" spans="2:68" ht="12.75">
      <c r="C6" s="657" t="s">
        <v>1299</v>
      </c>
      <c r="D6" s="657"/>
      <c r="E6" s="450" t="s">
        <v>1302</v>
      </c>
      <c r="F6" s="452" t="s">
        <v>1295</v>
      </c>
      <c r="G6" s="451">
        <v>2.5000000000000001E-3</v>
      </c>
      <c r="H6" s="453" t="s">
        <v>1296</v>
      </c>
      <c r="I6" s="451">
        <v>2.5000000000000001E-2</v>
      </c>
      <c r="J6" s="453" t="s">
        <v>1297</v>
      </c>
      <c r="K6" s="451">
        <v>10</v>
      </c>
      <c r="L6" s="453" t="s">
        <v>1298</v>
      </c>
      <c r="M6" s="451" t="s">
        <v>954</v>
      </c>
      <c r="N6" s="657" t="s">
        <v>1293</v>
      </c>
      <c r="O6" s="657"/>
      <c r="P6" s="657"/>
      <c r="Q6" s="456">
        <v>1.2999999999999999E-2</v>
      </c>
    </row>
    <row r="8" spans="2:68">
      <c r="C8" s="454"/>
      <c r="D8" s="455">
        <v>0.08</v>
      </c>
      <c r="E8" s="455">
        <v>8.3000000000000004E-2</v>
      </c>
      <c r="F8" s="455">
        <v>8.6000000000000007E-2</v>
      </c>
      <c r="G8" s="455">
        <v>8.8999999999999996E-2</v>
      </c>
      <c r="H8" s="455">
        <v>9.1999999999999998E-2</v>
      </c>
      <c r="I8" s="455">
        <v>9.5000000000000001E-2</v>
      </c>
      <c r="J8" s="455">
        <v>9.8000000000000004E-2</v>
      </c>
      <c r="K8" s="455">
        <v>0.10100000000000001</v>
      </c>
      <c r="L8" s="455">
        <v>0.10400000000000001</v>
      </c>
      <c r="M8" s="455">
        <v>0.107</v>
      </c>
      <c r="N8" s="455">
        <v>0.11</v>
      </c>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row>
    <row r="9" spans="2:68">
      <c r="C9" s="455">
        <v>2.5000000000000001E-3</v>
      </c>
      <c r="D9" s="457">
        <v>1754004.0589549681</v>
      </c>
      <c r="E9" s="457">
        <v>1707413.3843711903</v>
      </c>
      <c r="F9" s="457">
        <v>1664192.8357802443</v>
      </c>
      <c r="G9" s="457">
        <v>1623991.4643997615</v>
      </c>
      <c r="H9" s="457">
        <v>1586505.3805091633</v>
      </c>
      <c r="I9" s="457">
        <v>1551470.1221740455</v>
      </c>
      <c r="J9" s="457">
        <v>1518654.4623276535</v>
      </c>
      <c r="K9" s="457">
        <v>1487855.3475546141</v>
      </c>
      <c r="L9" s="457">
        <v>1458893.7344315953</v>
      </c>
      <c r="M9" s="457">
        <v>1431611.1430545743</v>
      </c>
      <c r="N9" s="457">
        <v>1405866.7876511104</v>
      </c>
    </row>
    <row r="10" spans="2:68">
      <c r="C10" s="455">
        <v>4.7500000000000007E-3</v>
      </c>
      <c r="D10" s="457">
        <v>1789258.2737445089</v>
      </c>
      <c r="E10" s="457">
        <v>1739983.6690187587</v>
      </c>
      <c r="F10" s="457">
        <v>1694370.7110956586</v>
      </c>
      <c r="G10" s="457">
        <v>1652027.9367327387</v>
      </c>
      <c r="H10" s="457">
        <v>1612617.7275017884</v>
      </c>
      <c r="I10" s="457">
        <v>1575847.360433823</v>
      </c>
      <c r="J10" s="457">
        <v>1541461.7861550068</v>
      </c>
      <c r="K10" s="457">
        <v>1509237.7576064002</v>
      </c>
      <c r="L10" s="457">
        <v>1478979.0235816329</v>
      </c>
      <c r="M10" s="457">
        <v>1450512.3683912817</v>
      </c>
      <c r="N10" s="457">
        <v>1423684.3288305227</v>
      </c>
    </row>
    <row r="11" spans="2:68">
      <c r="C11" s="455">
        <v>7.000000000000001E-3</v>
      </c>
      <c r="D11" s="457">
        <v>1826667.7484084666</v>
      </c>
      <c r="E11" s="457">
        <v>1774465.2683240981</v>
      </c>
      <c r="F11" s="457">
        <v>1726251.0886989753</v>
      </c>
      <c r="G11" s="457">
        <v>1681587.152433872</v>
      </c>
      <c r="H11" s="457">
        <v>1640097.250509751</v>
      </c>
      <c r="I11" s="457">
        <v>1601456.4796208204</v>
      </c>
      <c r="J11" s="457">
        <v>1565382.7851124955</v>
      </c>
      <c r="K11" s="457">
        <v>1531630.1233582599</v>
      </c>
      <c r="L11" s="457">
        <v>1499982.8929752014</v>
      </c>
      <c r="M11" s="457">
        <v>1470251.3684220873</v>
      </c>
      <c r="N11" s="457">
        <v>1442267.9316106788</v>
      </c>
    </row>
    <row r="12" spans="2:68">
      <c r="C12" s="455">
        <v>9.2500000000000013E-3</v>
      </c>
      <c r="D12" s="457">
        <v>1866438.1084472274</v>
      </c>
      <c r="E12" s="457">
        <v>1811033.1161711398</v>
      </c>
      <c r="F12" s="457">
        <v>1759983.7000617688</v>
      </c>
      <c r="G12" s="457">
        <v>1712797.9957380844</v>
      </c>
      <c r="H12" s="457">
        <v>1669055.4714436685</v>
      </c>
      <c r="I12" s="457">
        <v>1628394.4499537987</v>
      </c>
      <c r="J12" s="457">
        <v>1590502.1612522702</v>
      </c>
      <c r="K12" s="457">
        <v>1555106.7467281828</v>
      </c>
      <c r="L12" s="457">
        <v>1521970.782365798</v>
      </c>
      <c r="M12" s="457">
        <v>1490885.9945964559</v>
      </c>
      <c r="N12" s="457">
        <v>1461668.9202179308</v>
      </c>
    </row>
    <row r="13" spans="2:68">
      <c r="C13" s="455">
        <v>1.1500000000000002E-2</v>
      </c>
      <c r="D13" s="457">
        <v>1908801.9958502797</v>
      </c>
      <c r="E13" s="457">
        <v>1849884.1660935418</v>
      </c>
      <c r="F13" s="457">
        <v>1795736.365021308</v>
      </c>
      <c r="G13" s="457">
        <v>1745804.3180817729</v>
      </c>
      <c r="H13" s="457">
        <v>1699616.3805022999</v>
      </c>
      <c r="I13" s="457">
        <v>1656768.6935313852</v>
      </c>
      <c r="J13" s="457">
        <v>1616913.4295567642</v>
      </c>
      <c r="K13" s="457">
        <v>1579749.401335408</v>
      </c>
      <c r="L13" s="457">
        <v>1545014.498618071</v>
      </c>
      <c r="M13" s="457">
        <v>1512479.550332912</v>
      </c>
      <c r="N13" s="457">
        <v>1481943.3084018528</v>
      </c>
    </row>
    <row r="14" spans="2:68">
      <c r="C14" s="455">
        <v>1.3750000000000002E-2</v>
      </c>
      <c r="D14" s="457">
        <v>1954023.6568019094</v>
      </c>
      <c r="E14" s="457">
        <v>1891240.9684740999</v>
      </c>
      <c r="F14" s="457">
        <v>1833697.8083080836</v>
      </c>
      <c r="G14" s="457">
        <v>1780767.1757242922</v>
      </c>
      <c r="H14" s="457">
        <v>1731918.2287379378</v>
      </c>
      <c r="I14" s="457">
        <v>1686698.5315154395</v>
      </c>
      <c r="J14" s="457">
        <v>1644720.0947394706</v>
      </c>
      <c r="K14" s="457">
        <v>1605648.2959003001</v>
      </c>
      <c r="L14" s="457">
        <v>1569193.0093920347</v>
      </c>
      <c r="M14" s="457">
        <v>1535101.4487632948</v>
      </c>
      <c r="N14" s="457">
        <v>1503152.3475613268</v>
      </c>
    </row>
    <row r="15" spans="2:68">
      <c r="C15" s="455">
        <v>1.6E-2</v>
      </c>
      <c r="D15" s="457">
        <v>2002404.4971060688</v>
      </c>
      <c r="E15" s="457">
        <v>1935355.9685231515</v>
      </c>
      <c r="F15" s="457">
        <v>1874081.0192607946</v>
      </c>
      <c r="G15" s="457">
        <v>1817867.4811761514</v>
      </c>
      <c r="H15" s="457">
        <v>1766115.6390380133</v>
      </c>
      <c r="I15" s="457">
        <v>1718316.8786179074</v>
      </c>
      <c r="J15" s="457">
        <v>1674037.0217873163</v>
      </c>
      <c r="K15" s="457">
        <v>1632903.1906547921</v>
      </c>
      <c r="L15" s="457">
        <v>1594593.3585856599</v>
      </c>
      <c r="M15" s="457">
        <v>1558827.9680544627</v>
      </c>
      <c r="N15" s="457">
        <v>1525363.1535908743</v>
      </c>
    </row>
    <row r="16" spans="2:68">
      <c r="C16" s="455">
        <v>1.8249999999999999E-2</v>
      </c>
      <c r="D16" s="457">
        <v>2054289.8521575676</v>
      </c>
      <c r="E16" s="457">
        <v>1982516.700360578</v>
      </c>
      <c r="F16" s="457">
        <v>1917127.2810048286</v>
      </c>
      <c r="G16" s="457">
        <v>1857309.1605534351</v>
      </c>
      <c r="H16" s="457">
        <v>1802382.1035236786</v>
      </c>
      <c r="I16" s="457">
        <v>1751772.235640733</v>
      </c>
      <c r="J16" s="457">
        <v>1704992.0385070681</v>
      </c>
      <c r="K16" s="457">
        <v>1661624.6958862522</v>
      </c>
      <c r="L16" s="457">
        <v>1621311.7258996195</v>
      </c>
      <c r="M16" s="457">
        <v>1583743.1216239955</v>
      </c>
      <c r="N16" s="457">
        <v>1548649.4259605005</v>
      </c>
    </row>
    <row r="17" spans="3:14">
      <c r="C17" s="455">
        <v>2.0500000000000001E-2</v>
      </c>
      <c r="D17" s="457">
        <v>2110077.292957155</v>
      </c>
      <c r="E17" s="457">
        <v>2033052.1030195239</v>
      </c>
      <c r="F17" s="457">
        <v>1963111.0300721158</v>
      </c>
      <c r="G17" s="457">
        <v>1899322.9331845611</v>
      </c>
      <c r="H17" s="457">
        <v>1840912.9524851814</v>
      </c>
      <c r="I17" s="457">
        <v>1787231.0430800566</v>
      </c>
      <c r="J17" s="457">
        <v>1737727.8172249882</v>
      </c>
      <c r="K17" s="457">
        <v>1691935.7882495816</v>
      </c>
      <c r="L17" s="457">
        <v>1649454.6577089103</v>
      </c>
      <c r="M17" s="457">
        <v>1609939.664169916</v>
      </c>
      <c r="N17" s="457">
        <v>1573092.2752600997</v>
      </c>
    </row>
    <row r="18" spans="3:14">
      <c r="C18" s="455">
        <v>2.2750000000000003E-2</v>
      </c>
      <c r="D18" s="457">
        <v>2170226.8907502391</v>
      </c>
      <c r="E18" s="457">
        <v>2087340.2516542668</v>
      </c>
      <c r="F18" s="457">
        <v>2012345.7532520948</v>
      </c>
      <c r="G18" s="457">
        <v>1944170.8614010536</v>
      </c>
      <c r="H18" s="457">
        <v>1881928.9020988669</v>
      </c>
      <c r="I18" s="457">
        <v>1824880.4745042017</v>
      </c>
      <c r="J18" s="457">
        <v>1772404.0940671591</v>
      </c>
      <c r="K18" s="457">
        <v>1723973.5886794787</v>
      </c>
      <c r="L18" s="457">
        <v>1679140.5024485295</v>
      </c>
      <c r="M18" s="457">
        <v>1637520.2589039828</v>
      </c>
      <c r="N18" s="457">
        <v>1598781.1787879795</v>
      </c>
    </row>
    <row r="19" spans="3:14">
      <c r="C19" s="455">
        <v>2.5000000000000001E-2</v>
      </c>
      <c r="D19" s="457">
        <v>2235274.0011678394</v>
      </c>
      <c r="E19" s="457">
        <v>2145817.8882533694</v>
      </c>
      <c r="F19" s="457">
        <v>2065191.1894834642</v>
      </c>
      <c r="G19" s="457">
        <v>1992151.8600498058</v>
      </c>
      <c r="H19" s="457">
        <v>1925680.3169826788</v>
      </c>
      <c r="I19" s="457">
        <v>1864931.7686545611</v>
      </c>
      <c r="J19" s="457">
        <v>1809200.2986546583</v>
      </c>
      <c r="K19" s="457">
        <v>1757891.4561160654</v>
      </c>
      <c r="L19" s="457">
        <v>1710501.0912865747</v>
      </c>
      <c r="M19" s="457">
        <v>1666598.8369514393</v>
      </c>
      <c r="N19" s="457">
        <v>1625815.0879093264</v>
      </c>
    </row>
    <row r="20" spans="3:14">
      <c r="C20" s="454"/>
    </row>
    <row r="21" spans="3:14">
      <c r="C21" s="454"/>
      <c r="D21" s="450">
        <f>MIN(D9:N19)</f>
        <v>1405866.7876511104</v>
      </c>
    </row>
    <row r="22" spans="3:14">
      <c r="C22" s="454"/>
    </row>
    <row r="23" spans="3:14">
      <c r="C23" s="454"/>
    </row>
    <row r="24" spans="3:14">
      <c r="C24" s="454"/>
    </row>
    <row r="25" spans="3:14">
      <c r="C25" s="454"/>
    </row>
    <row r="26" spans="3:14">
      <c r="C26" s="454"/>
    </row>
    <row r="27" spans="3:14">
      <c r="C27" s="454"/>
    </row>
    <row r="28" spans="3:14">
      <c r="C28" s="454"/>
    </row>
    <row r="29" spans="3:14">
      <c r="C29" s="454"/>
    </row>
    <row r="30" spans="3:14">
      <c r="C30" s="454"/>
    </row>
    <row r="31" spans="3:14">
      <c r="C31" s="454"/>
    </row>
    <row r="32" spans="3:14">
      <c r="C32" s="454"/>
    </row>
    <row r="33" spans="3:3">
      <c r="C33" s="454"/>
    </row>
    <row r="34" spans="3:3">
      <c r="C34" s="454"/>
    </row>
    <row r="35" spans="3:3">
      <c r="C35" s="454"/>
    </row>
    <row r="36" spans="3:3">
      <c r="C36" s="454"/>
    </row>
    <row r="37" spans="3:3">
      <c r="C37" s="454"/>
    </row>
    <row r="38" spans="3:3">
      <c r="C38" s="454"/>
    </row>
    <row r="39" spans="3:3">
      <c r="C39" s="454"/>
    </row>
    <row r="40" spans="3:3">
      <c r="C40" s="454"/>
    </row>
    <row r="41" spans="3:3">
      <c r="C41" s="454"/>
    </row>
    <row r="42" spans="3:3">
      <c r="C42" s="454"/>
    </row>
    <row r="43" spans="3:3">
      <c r="C43" s="454"/>
    </row>
    <row r="44" spans="3:3">
      <c r="C44" s="454"/>
    </row>
    <row r="45" spans="3:3">
      <c r="C45" s="454"/>
    </row>
    <row r="46" spans="3:3">
      <c r="C46" s="454"/>
    </row>
    <row r="47" spans="3:3">
      <c r="C47" s="454"/>
    </row>
    <row r="48" spans="3:3">
      <c r="C48" s="454"/>
    </row>
    <row r="49" spans="3:3">
      <c r="C49" s="454"/>
    </row>
    <row r="50" spans="3:3">
      <c r="C50" s="454"/>
    </row>
    <row r="51" spans="3:3">
      <c r="C51" s="454"/>
    </row>
    <row r="52" spans="3:3">
      <c r="C52" s="454"/>
    </row>
    <row r="53" spans="3:3">
      <c r="C53" s="454"/>
    </row>
    <row r="54" spans="3:3">
      <c r="C54" s="454"/>
    </row>
    <row r="55" spans="3:3">
      <c r="C55" s="454"/>
    </row>
    <row r="56" spans="3:3">
      <c r="C56" s="454"/>
    </row>
    <row r="57" spans="3:3">
      <c r="C57" s="454"/>
    </row>
    <row r="58" spans="3:3">
      <c r="C58" s="454"/>
    </row>
    <row r="59" spans="3:3">
      <c r="C59" s="454"/>
    </row>
    <row r="60" spans="3:3">
      <c r="C60" s="454"/>
    </row>
    <row r="61" spans="3:3">
      <c r="C61" s="454"/>
    </row>
    <row r="62" spans="3:3">
      <c r="C62" s="454"/>
    </row>
    <row r="63" spans="3:3">
      <c r="C63" s="454"/>
    </row>
    <row r="64" spans="3:3">
      <c r="C64" s="454"/>
    </row>
    <row r="65" spans="3:3">
      <c r="C65" s="454"/>
    </row>
    <row r="66" spans="3:3">
      <c r="C66" s="454"/>
    </row>
    <row r="67" spans="3:3">
      <c r="C67" s="454"/>
    </row>
    <row r="68" spans="3:3">
      <c r="C68" s="454"/>
    </row>
    <row r="69" spans="3:3">
      <c r="C69" s="454"/>
    </row>
    <row r="70" spans="3:3">
      <c r="C70" s="454"/>
    </row>
    <row r="71" spans="3:3">
      <c r="C71" s="454"/>
    </row>
    <row r="72" spans="3:3">
      <c r="C72" s="454"/>
    </row>
    <row r="73" spans="3:3">
      <c r="C73" s="454"/>
    </row>
    <row r="74" spans="3:3">
      <c r="C74" s="454"/>
    </row>
    <row r="75" spans="3:3">
      <c r="C75" s="454"/>
    </row>
    <row r="76" spans="3:3">
      <c r="C76" s="454"/>
    </row>
    <row r="77" spans="3:3">
      <c r="C77" s="454"/>
    </row>
    <row r="78" spans="3:3">
      <c r="C78" s="454"/>
    </row>
    <row r="79" spans="3:3">
      <c r="C79" s="454"/>
    </row>
    <row r="80" spans="3:3">
      <c r="C80" s="454"/>
    </row>
    <row r="81" spans="3:3">
      <c r="C81" s="454"/>
    </row>
    <row r="82" spans="3:3">
      <c r="C82" s="454"/>
    </row>
    <row r="83" spans="3:3">
      <c r="C83" s="454"/>
    </row>
    <row r="84" spans="3:3">
      <c r="C84" s="454"/>
    </row>
    <row r="85" spans="3:3">
      <c r="C85" s="454"/>
    </row>
    <row r="86" spans="3:3">
      <c r="C86" s="454"/>
    </row>
    <row r="87" spans="3:3">
      <c r="C87" s="454"/>
    </row>
    <row r="88" spans="3:3">
      <c r="C88" s="454"/>
    </row>
  </sheetData>
  <mergeCells count="7">
    <mergeCell ref="C6:D6"/>
    <mergeCell ref="N6:P6"/>
    <mergeCell ref="B2:Q2"/>
    <mergeCell ref="C4:D4"/>
    <mergeCell ref="F4:H4"/>
    <mergeCell ref="C5:D5"/>
    <mergeCell ref="N5:P5"/>
  </mergeCells>
  <pageMargins left="0.75" right="0.75" top="1" bottom="1" header="0.5" footer="0.5"/>
  <pageSetup scale="37" fitToHeight="5"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B1:BP88"/>
  <sheetViews>
    <sheetView workbookViewId="0">
      <selection activeCell="N9" sqref="K9:N9"/>
    </sheetView>
  </sheetViews>
  <sheetFormatPr baseColWidth="10" defaultColWidth="9" defaultRowHeight="12"/>
  <cols>
    <col min="1" max="2" width="1.75" style="450" customWidth="1"/>
    <col min="3" max="3" width="9" style="450"/>
    <col min="4" max="11" width="11.375" style="450" bestFit="1" customWidth="1"/>
    <col min="12" max="14" width="10.5" style="450" bestFit="1" customWidth="1"/>
    <col min="15" max="256" width="9" style="450"/>
    <col min="257" max="258" width="1.75" style="450" customWidth="1"/>
    <col min="259" max="266" width="9" style="450"/>
    <col min="267" max="270" width="8.25" style="450" bestFit="1" customWidth="1"/>
    <col min="271" max="512" width="9" style="450"/>
    <col min="513" max="514" width="1.75" style="450" customWidth="1"/>
    <col min="515" max="522" width="9" style="450"/>
    <col min="523" max="526" width="8.25" style="450" bestFit="1" customWidth="1"/>
    <col min="527" max="768" width="9" style="450"/>
    <col min="769" max="770" width="1.75" style="450" customWidth="1"/>
    <col min="771" max="778" width="9" style="450"/>
    <col min="779" max="782" width="8.25" style="450" bestFit="1" customWidth="1"/>
    <col min="783" max="1024" width="9" style="450"/>
    <col min="1025" max="1026" width="1.75" style="450" customWidth="1"/>
    <col min="1027" max="1034" width="9" style="450"/>
    <col min="1035" max="1038" width="8.25" style="450" bestFit="1" customWidth="1"/>
    <col min="1039" max="1280" width="9" style="450"/>
    <col min="1281" max="1282" width="1.75" style="450" customWidth="1"/>
    <col min="1283" max="1290" width="9" style="450"/>
    <col min="1291" max="1294" width="8.25" style="450" bestFit="1" customWidth="1"/>
    <col min="1295" max="1536" width="9" style="450"/>
    <col min="1537" max="1538" width="1.75" style="450" customWidth="1"/>
    <col min="1539" max="1546" width="9" style="450"/>
    <col min="1547" max="1550" width="8.25" style="450" bestFit="1" customWidth="1"/>
    <col min="1551" max="1792" width="9" style="450"/>
    <col min="1793" max="1794" width="1.75" style="450" customWidth="1"/>
    <col min="1795" max="1802" width="9" style="450"/>
    <col min="1803" max="1806" width="8.25" style="450" bestFit="1" customWidth="1"/>
    <col min="1807" max="2048" width="9" style="450"/>
    <col min="2049" max="2050" width="1.75" style="450" customWidth="1"/>
    <col min="2051" max="2058" width="9" style="450"/>
    <col min="2059" max="2062" width="8.25" style="450" bestFit="1" customWidth="1"/>
    <col min="2063" max="2304" width="9" style="450"/>
    <col min="2305" max="2306" width="1.75" style="450" customWidth="1"/>
    <col min="2307" max="2314" width="9" style="450"/>
    <col min="2315" max="2318" width="8.25" style="450" bestFit="1" customWidth="1"/>
    <col min="2319" max="2560" width="9" style="450"/>
    <col min="2561" max="2562" width="1.75" style="450" customWidth="1"/>
    <col min="2563" max="2570" width="9" style="450"/>
    <col min="2571" max="2574" width="8.25" style="450" bestFit="1" customWidth="1"/>
    <col min="2575" max="2816" width="9" style="450"/>
    <col min="2817" max="2818" width="1.75" style="450" customWidth="1"/>
    <col min="2819" max="2826" width="9" style="450"/>
    <col min="2827" max="2830" width="8.25" style="450" bestFit="1" customWidth="1"/>
    <col min="2831" max="3072" width="9" style="450"/>
    <col min="3073" max="3074" width="1.75" style="450" customWidth="1"/>
    <col min="3075" max="3082" width="9" style="450"/>
    <col min="3083" max="3086" width="8.25" style="450" bestFit="1" customWidth="1"/>
    <col min="3087" max="3328" width="9" style="450"/>
    <col min="3329" max="3330" width="1.75" style="450" customWidth="1"/>
    <col min="3331" max="3338" width="9" style="450"/>
    <col min="3339" max="3342" width="8.25" style="450" bestFit="1" customWidth="1"/>
    <col min="3343" max="3584" width="9" style="450"/>
    <col min="3585" max="3586" width="1.75" style="450" customWidth="1"/>
    <col min="3587" max="3594" width="9" style="450"/>
    <col min="3595" max="3598" width="8.25" style="450" bestFit="1" customWidth="1"/>
    <col min="3599" max="3840" width="9" style="450"/>
    <col min="3841" max="3842" width="1.75" style="450" customWidth="1"/>
    <col min="3843" max="3850" width="9" style="450"/>
    <col min="3851" max="3854" width="8.25" style="450" bestFit="1" customWidth="1"/>
    <col min="3855" max="4096" width="9" style="450"/>
    <col min="4097" max="4098" width="1.75" style="450" customWidth="1"/>
    <col min="4099" max="4106" width="9" style="450"/>
    <col min="4107" max="4110" width="8.25" style="450" bestFit="1" customWidth="1"/>
    <col min="4111" max="4352" width="9" style="450"/>
    <col min="4353" max="4354" width="1.75" style="450" customWidth="1"/>
    <col min="4355" max="4362" width="9" style="450"/>
    <col min="4363" max="4366" width="8.25" style="450" bestFit="1" customWidth="1"/>
    <col min="4367" max="4608" width="9" style="450"/>
    <col min="4609" max="4610" width="1.75" style="450" customWidth="1"/>
    <col min="4611" max="4618" width="9" style="450"/>
    <col min="4619" max="4622" width="8.25" style="450" bestFit="1" customWidth="1"/>
    <col min="4623" max="4864" width="9" style="450"/>
    <col min="4865" max="4866" width="1.75" style="450" customWidth="1"/>
    <col min="4867" max="4874" width="9" style="450"/>
    <col min="4875" max="4878" width="8.25" style="450" bestFit="1" customWidth="1"/>
    <col min="4879" max="5120" width="9" style="450"/>
    <col min="5121" max="5122" width="1.75" style="450" customWidth="1"/>
    <col min="5123" max="5130" width="9" style="450"/>
    <col min="5131" max="5134" width="8.25" style="450" bestFit="1" customWidth="1"/>
    <col min="5135" max="5376" width="9" style="450"/>
    <col min="5377" max="5378" width="1.75" style="450" customWidth="1"/>
    <col min="5379" max="5386" width="9" style="450"/>
    <col min="5387" max="5390" width="8.25" style="450" bestFit="1" customWidth="1"/>
    <col min="5391" max="5632" width="9" style="450"/>
    <col min="5633" max="5634" width="1.75" style="450" customWidth="1"/>
    <col min="5635" max="5642" width="9" style="450"/>
    <col min="5643" max="5646" width="8.25" style="450" bestFit="1" customWidth="1"/>
    <col min="5647" max="5888" width="9" style="450"/>
    <col min="5889" max="5890" width="1.75" style="450" customWidth="1"/>
    <col min="5891" max="5898" width="9" style="450"/>
    <col min="5899" max="5902" width="8.25" style="450" bestFit="1" customWidth="1"/>
    <col min="5903" max="6144" width="9" style="450"/>
    <col min="6145" max="6146" width="1.75" style="450" customWidth="1"/>
    <col min="6147" max="6154" width="9" style="450"/>
    <col min="6155" max="6158" width="8.25" style="450" bestFit="1" customWidth="1"/>
    <col min="6159" max="6400" width="9" style="450"/>
    <col min="6401" max="6402" width="1.75" style="450" customWidth="1"/>
    <col min="6403" max="6410" width="9" style="450"/>
    <col min="6411" max="6414" width="8.25" style="450" bestFit="1" customWidth="1"/>
    <col min="6415" max="6656" width="9" style="450"/>
    <col min="6657" max="6658" width="1.75" style="450" customWidth="1"/>
    <col min="6659" max="6666" width="9" style="450"/>
    <col min="6667" max="6670" width="8.25" style="450" bestFit="1" customWidth="1"/>
    <col min="6671" max="6912" width="9" style="450"/>
    <col min="6913" max="6914" width="1.75" style="450" customWidth="1"/>
    <col min="6915" max="6922" width="9" style="450"/>
    <col min="6923" max="6926" width="8.25" style="450" bestFit="1" customWidth="1"/>
    <col min="6927" max="7168" width="9" style="450"/>
    <col min="7169" max="7170" width="1.75" style="450" customWidth="1"/>
    <col min="7171" max="7178" width="9" style="450"/>
    <col min="7179" max="7182" width="8.25" style="450" bestFit="1" customWidth="1"/>
    <col min="7183" max="7424" width="9" style="450"/>
    <col min="7425" max="7426" width="1.75" style="450" customWidth="1"/>
    <col min="7427" max="7434" width="9" style="450"/>
    <col min="7435" max="7438" width="8.25" style="450" bestFit="1" customWidth="1"/>
    <col min="7439" max="7680" width="9" style="450"/>
    <col min="7681" max="7682" width="1.75" style="450" customWidth="1"/>
    <col min="7683" max="7690" width="9" style="450"/>
    <col min="7691" max="7694" width="8.25" style="450" bestFit="1" customWidth="1"/>
    <col min="7695" max="7936" width="9" style="450"/>
    <col min="7937" max="7938" width="1.75" style="450" customWidth="1"/>
    <col min="7939" max="7946" width="9" style="450"/>
    <col min="7947" max="7950" width="8.25" style="450" bestFit="1" customWidth="1"/>
    <col min="7951" max="8192" width="9" style="450"/>
    <col min="8193" max="8194" width="1.75" style="450" customWidth="1"/>
    <col min="8195" max="8202" width="9" style="450"/>
    <col min="8203" max="8206" width="8.25" style="450" bestFit="1" customWidth="1"/>
    <col min="8207" max="8448" width="9" style="450"/>
    <col min="8449" max="8450" width="1.75" style="450" customWidth="1"/>
    <col min="8451" max="8458" width="9" style="450"/>
    <col min="8459" max="8462" width="8.25" style="450" bestFit="1" customWidth="1"/>
    <col min="8463" max="8704" width="9" style="450"/>
    <col min="8705" max="8706" width="1.75" style="450" customWidth="1"/>
    <col min="8707" max="8714" width="9" style="450"/>
    <col min="8715" max="8718" width="8.25" style="450" bestFit="1" customWidth="1"/>
    <col min="8719" max="8960" width="9" style="450"/>
    <col min="8961" max="8962" width="1.75" style="450" customWidth="1"/>
    <col min="8963" max="8970" width="9" style="450"/>
    <col min="8971" max="8974" width="8.25" style="450" bestFit="1" customWidth="1"/>
    <col min="8975" max="9216" width="9" style="450"/>
    <col min="9217" max="9218" width="1.75" style="450" customWidth="1"/>
    <col min="9219" max="9226" width="9" style="450"/>
    <col min="9227" max="9230" width="8.25" style="450" bestFit="1" customWidth="1"/>
    <col min="9231" max="9472" width="9" style="450"/>
    <col min="9473" max="9474" width="1.75" style="450" customWidth="1"/>
    <col min="9475" max="9482" width="9" style="450"/>
    <col min="9483" max="9486" width="8.25" style="450" bestFit="1" customWidth="1"/>
    <col min="9487" max="9728" width="9" style="450"/>
    <col min="9729" max="9730" width="1.75" style="450" customWidth="1"/>
    <col min="9731" max="9738" width="9" style="450"/>
    <col min="9739" max="9742" width="8.25" style="450" bestFit="1" customWidth="1"/>
    <col min="9743" max="9984" width="9" style="450"/>
    <col min="9985" max="9986" width="1.75" style="450" customWidth="1"/>
    <col min="9987" max="9994" width="9" style="450"/>
    <col min="9995" max="9998" width="8.25" style="450" bestFit="1" customWidth="1"/>
    <col min="9999" max="10240" width="9" style="450"/>
    <col min="10241" max="10242" width="1.75" style="450" customWidth="1"/>
    <col min="10243" max="10250" width="9" style="450"/>
    <col min="10251" max="10254" width="8.25" style="450" bestFit="1" customWidth="1"/>
    <col min="10255" max="10496" width="9" style="450"/>
    <col min="10497" max="10498" width="1.75" style="450" customWidth="1"/>
    <col min="10499" max="10506" width="9" style="450"/>
    <col min="10507" max="10510" width="8.25" style="450" bestFit="1" customWidth="1"/>
    <col min="10511" max="10752" width="9" style="450"/>
    <col min="10753" max="10754" width="1.75" style="450" customWidth="1"/>
    <col min="10755" max="10762" width="9" style="450"/>
    <col min="10763" max="10766" width="8.25" style="450" bestFit="1" customWidth="1"/>
    <col min="10767" max="11008" width="9" style="450"/>
    <col min="11009" max="11010" width="1.75" style="450" customWidth="1"/>
    <col min="11011" max="11018" width="9" style="450"/>
    <col min="11019" max="11022" width="8.25" style="450" bestFit="1" customWidth="1"/>
    <col min="11023" max="11264" width="9" style="450"/>
    <col min="11265" max="11266" width="1.75" style="450" customWidth="1"/>
    <col min="11267" max="11274" width="9" style="450"/>
    <col min="11275" max="11278" width="8.25" style="450" bestFit="1" customWidth="1"/>
    <col min="11279" max="11520" width="9" style="450"/>
    <col min="11521" max="11522" width="1.75" style="450" customWidth="1"/>
    <col min="11523" max="11530" width="9" style="450"/>
    <col min="11531" max="11534" width="8.25" style="450" bestFit="1" customWidth="1"/>
    <col min="11535" max="11776" width="9" style="450"/>
    <col min="11777" max="11778" width="1.75" style="450" customWidth="1"/>
    <col min="11779" max="11786" width="9" style="450"/>
    <col min="11787" max="11790" width="8.25" style="450" bestFit="1" customWidth="1"/>
    <col min="11791" max="12032" width="9" style="450"/>
    <col min="12033" max="12034" width="1.75" style="450" customWidth="1"/>
    <col min="12035" max="12042" width="9" style="450"/>
    <col min="12043" max="12046" width="8.25" style="450" bestFit="1" customWidth="1"/>
    <col min="12047" max="12288" width="9" style="450"/>
    <col min="12289" max="12290" width="1.75" style="450" customWidth="1"/>
    <col min="12291" max="12298" width="9" style="450"/>
    <col min="12299" max="12302" width="8.25" style="450" bestFit="1" customWidth="1"/>
    <col min="12303" max="12544" width="9" style="450"/>
    <col min="12545" max="12546" width="1.75" style="450" customWidth="1"/>
    <col min="12547" max="12554" width="9" style="450"/>
    <col min="12555" max="12558" width="8.25" style="450" bestFit="1" customWidth="1"/>
    <col min="12559" max="12800" width="9" style="450"/>
    <col min="12801" max="12802" width="1.75" style="450" customWidth="1"/>
    <col min="12803" max="12810" width="9" style="450"/>
    <col min="12811" max="12814" width="8.25" style="450" bestFit="1" customWidth="1"/>
    <col min="12815" max="13056" width="9" style="450"/>
    <col min="13057" max="13058" width="1.75" style="450" customWidth="1"/>
    <col min="13059" max="13066" width="9" style="450"/>
    <col min="13067" max="13070" width="8.25" style="450" bestFit="1" customWidth="1"/>
    <col min="13071" max="13312" width="9" style="450"/>
    <col min="13313" max="13314" width="1.75" style="450" customWidth="1"/>
    <col min="13315" max="13322" width="9" style="450"/>
    <col min="13323" max="13326" width="8.25" style="450" bestFit="1" customWidth="1"/>
    <col min="13327" max="13568" width="9" style="450"/>
    <col min="13569" max="13570" width="1.75" style="450" customWidth="1"/>
    <col min="13571" max="13578" width="9" style="450"/>
    <col min="13579" max="13582" width="8.25" style="450" bestFit="1" customWidth="1"/>
    <col min="13583" max="13824" width="9" style="450"/>
    <col min="13825" max="13826" width="1.75" style="450" customWidth="1"/>
    <col min="13827" max="13834" width="9" style="450"/>
    <col min="13835" max="13838" width="8.25" style="450" bestFit="1" customWidth="1"/>
    <col min="13839" max="14080" width="9" style="450"/>
    <col min="14081" max="14082" width="1.75" style="450" customWidth="1"/>
    <col min="14083" max="14090" width="9" style="450"/>
    <col min="14091" max="14094" width="8.25" style="450" bestFit="1" customWidth="1"/>
    <col min="14095" max="14336" width="9" style="450"/>
    <col min="14337" max="14338" width="1.75" style="450" customWidth="1"/>
    <col min="14339" max="14346" width="9" style="450"/>
    <col min="14347" max="14350" width="8.25" style="450" bestFit="1" customWidth="1"/>
    <col min="14351" max="14592" width="9" style="450"/>
    <col min="14593" max="14594" width="1.75" style="450" customWidth="1"/>
    <col min="14595" max="14602" width="9" style="450"/>
    <col min="14603" max="14606" width="8.25" style="450" bestFit="1" customWidth="1"/>
    <col min="14607" max="14848" width="9" style="450"/>
    <col min="14849" max="14850" width="1.75" style="450" customWidth="1"/>
    <col min="14851" max="14858" width="9" style="450"/>
    <col min="14859" max="14862" width="8.25" style="450" bestFit="1" customWidth="1"/>
    <col min="14863" max="15104" width="9" style="450"/>
    <col min="15105" max="15106" width="1.75" style="450" customWidth="1"/>
    <col min="15107" max="15114" width="9" style="450"/>
    <col min="15115" max="15118" width="8.25" style="450" bestFit="1" customWidth="1"/>
    <col min="15119" max="15360" width="9" style="450"/>
    <col min="15361" max="15362" width="1.75" style="450" customWidth="1"/>
    <col min="15363" max="15370" width="9" style="450"/>
    <col min="15371" max="15374" width="8.25" style="450" bestFit="1" customWidth="1"/>
    <col min="15375" max="15616" width="9" style="450"/>
    <col min="15617" max="15618" width="1.75" style="450" customWidth="1"/>
    <col min="15619" max="15626" width="9" style="450"/>
    <col min="15627" max="15630" width="8.25" style="450" bestFit="1" customWidth="1"/>
    <col min="15631" max="15872" width="9" style="450"/>
    <col min="15873" max="15874" width="1.75" style="450" customWidth="1"/>
    <col min="15875" max="15882" width="9" style="450"/>
    <col min="15883" max="15886" width="8.25" style="450" bestFit="1" customWidth="1"/>
    <col min="15887" max="16128" width="9" style="450"/>
    <col min="16129" max="16130" width="1.75" style="450" customWidth="1"/>
    <col min="16131" max="16138" width="9" style="450"/>
    <col min="16139" max="16142" width="8.25" style="450" bestFit="1" customWidth="1"/>
    <col min="16143" max="16384" width="9" style="450"/>
  </cols>
  <sheetData>
    <row r="1" spans="2:68" ht="18" customHeight="1"/>
    <row r="2" spans="2:68" ht="16.5" thickBot="1">
      <c r="B2" s="658" t="s">
        <v>1291</v>
      </c>
      <c r="C2" s="659"/>
      <c r="D2" s="659"/>
      <c r="E2" s="659"/>
      <c r="F2" s="659"/>
      <c r="G2" s="659"/>
      <c r="H2" s="659"/>
      <c r="I2" s="659"/>
      <c r="J2" s="659"/>
      <c r="K2" s="659"/>
      <c r="L2" s="659"/>
      <c r="M2" s="659"/>
      <c r="N2" s="659"/>
      <c r="O2" s="659"/>
      <c r="P2" s="659"/>
      <c r="Q2" s="659"/>
    </row>
    <row r="3" spans="2:68" ht="12.75" thickTop="1"/>
    <row r="4" spans="2:68" ht="12.75">
      <c r="C4" s="657" t="s">
        <v>1292</v>
      </c>
      <c r="D4" s="657"/>
      <c r="E4" s="450" t="s">
        <v>1303</v>
      </c>
      <c r="F4" s="657" t="s">
        <v>1293</v>
      </c>
      <c r="G4" s="657"/>
      <c r="H4" s="657"/>
      <c r="I4" s="458">
        <v>9698.0266884902358</v>
      </c>
      <c r="J4" s="451"/>
      <c r="K4" s="451"/>
    </row>
    <row r="5" spans="2:68" ht="12.75">
      <c r="C5" s="657" t="s">
        <v>1294</v>
      </c>
      <c r="D5" s="657"/>
      <c r="E5" s="450" t="s">
        <v>1301</v>
      </c>
      <c r="F5" s="452" t="s">
        <v>1295</v>
      </c>
      <c r="G5" s="451">
        <v>0.08</v>
      </c>
      <c r="H5" s="453" t="s">
        <v>1296</v>
      </c>
      <c r="I5" s="451">
        <v>0.11</v>
      </c>
      <c r="J5" s="453" t="s">
        <v>1297</v>
      </c>
      <c r="K5" s="451">
        <v>10</v>
      </c>
      <c r="L5" s="453" t="s">
        <v>1298</v>
      </c>
      <c r="M5" s="451" t="s">
        <v>954</v>
      </c>
      <c r="N5" s="657" t="s">
        <v>1293</v>
      </c>
      <c r="O5" s="657"/>
      <c r="P5" s="657"/>
      <c r="Q5" s="456">
        <v>9.6000000000000002E-2</v>
      </c>
    </row>
    <row r="6" spans="2:68" ht="12.75">
      <c r="C6" s="657" t="s">
        <v>1299</v>
      </c>
      <c r="D6" s="657"/>
      <c r="E6" s="450" t="s">
        <v>1302</v>
      </c>
      <c r="F6" s="452" t="s">
        <v>1295</v>
      </c>
      <c r="G6" s="451">
        <v>2.5000000000000001E-3</v>
      </c>
      <c r="H6" s="453" t="s">
        <v>1296</v>
      </c>
      <c r="I6" s="451">
        <v>2.5000000000000001E-2</v>
      </c>
      <c r="J6" s="453" t="s">
        <v>1297</v>
      </c>
      <c r="K6" s="451">
        <v>10</v>
      </c>
      <c r="L6" s="453" t="s">
        <v>1298</v>
      </c>
      <c r="M6" s="451" t="s">
        <v>954</v>
      </c>
      <c r="N6" s="657" t="s">
        <v>1293</v>
      </c>
      <c r="O6" s="657"/>
      <c r="P6" s="657"/>
      <c r="Q6" s="456">
        <v>1.2999999999999999E-2</v>
      </c>
    </row>
    <row r="8" spans="2:68">
      <c r="C8" s="454"/>
      <c r="D8" s="455">
        <v>0.08</v>
      </c>
      <c r="E8" s="455">
        <v>8.3000000000000004E-2</v>
      </c>
      <c r="F8" s="455">
        <v>8.6000000000000007E-2</v>
      </c>
      <c r="G8" s="455">
        <v>8.8999999999999996E-2</v>
      </c>
      <c r="H8" s="455">
        <v>9.1999999999999998E-2</v>
      </c>
      <c r="I8" s="455">
        <v>9.5000000000000001E-2</v>
      </c>
      <c r="J8" s="455">
        <v>9.8000000000000004E-2</v>
      </c>
      <c r="K8" s="455">
        <v>0.10100000000000001</v>
      </c>
      <c r="L8" s="455">
        <v>0.10400000000000001</v>
      </c>
      <c r="M8" s="455">
        <v>0.107</v>
      </c>
      <c r="N8" s="455">
        <v>0.11</v>
      </c>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row>
    <row r="9" spans="2:68">
      <c r="C9" s="455">
        <v>2.5000000000000001E-3</v>
      </c>
      <c r="D9" s="458">
        <v>10232.071838005842</v>
      </c>
      <c r="E9" s="458">
        <v>9960.2827695093911</v>
      </c>
      <c r="F9" s="458">
        <v>9708.1535023034376</v>
      </c>
      <c r="G9" s="458">
        <v>9473.6367588264984</v>
      </c>
      <c r="H9" s="458">
        <v>9254.9597829461582</v>
      </c>
      <c r="I9" s="458">
        <v>9050.5798225248582</v>
      </c>
      <c r="J9" s="458">
        <v>8859.1480027148737</v>
      </c>
      <c r="K9" s="458">
        <v>8679.479801095953</v>
      </c>
      <c r="L9" s="458">
        <v>8510.530758756895</v>
      </c>
      <c r="M9" s="458">
        <v>8351.3763751216848</v>
      </c>
      <c r="N9" s="458">
        <v>8201.1953692303177</v>
      </c>
    </row>
    <row r="10" spans="2:68">
      <c r="C10" s="455">
        <v>4.7500000000000007E-3</v>
      </c>
      <c r="D10" s="458">
        <v>10437.729092034084</v>
      </c>
      <c r="E10" s="458">
        <v>10150.283180624047</v>
      </c>
      <c r="F10" s="458">
        <v>9884.1976719672621</v>
      </c>
      <c r="G10" s="458">
        <v>9637.1889453397998</v>
      </c>
      <c r="H10" s="458">
        <v>9407.2874864787627</v>
      </c>
      <c r="I10" s="458">
        <v>9192.7856810647954</v>
      </c>
      <c r="J10" s="458">
        <v>8992.1956856108773</v>
      </c>
      <c r="K10" s="458">
        <v>8804.2151770505152</v>
      </c>
      <c r="L10" s="458">
        <v>8627.6993139954448</v>
      </c>
      <c r="M10" s="458">
        <v>8461.6376339164635</v>
      </c>
      <c r="N10" s="458">
        <v>8305.1349014073385</v>
      </c>
    </row>
    <row r="11" spans="2:68">
      <c r="C11" s="455">
        <v>7.000000000000001E-3</v>
      </c>
      <c r="D11" s="458">
        <v>10655.959164096592</v>
      </c>
      <c r="E11" s="458">
        <v>10351.433342951363</v>
      </c>
      <c r="F11" s="458">
        <v>10070.173475269699</v>
      </c>
      <c r="G11" s="458">
        <v>9809.6241326958097</v>
      </c>
      <c r="H11" s="458">
        <v>9567.5906807935626</v>
      </c>
      <c r="I11" s="458">
        <v>9342.1777796130336</v>
      </c>
      <c r="J11" s="458">
        <v>9131.7400489892116</v>
      </c>
      <c r="K11" s="458">
        <v>8934.8421809198444</v>
      </c>
      <c r="L11" s="458">
        <v>8750.2264537781939</v>
      </c>
      <c r="M11" s="458">
        <v>8576.7860939752936</v>
      </c>
      <c r="N11" s="458">
        <v>8413.5432928729842</v>
      </c>
    </row>
    <row r="12" spans="2:68">
      <c r="C12" s="455">
        <v>9.2500000000000013E-3</v>
      </c>
      <c r="D12" s="458">
        <v>10887.961581002291</v>
      </c>
      <c r="E12" s="458">
        <v>10564.753742195549</v>
      </c>
      <c r="F12" s="458">
        <v>10266.954378361383</v>
      </c>
      <c r="G12" s="458">
        <v>9991.6941736304452</v>
      </c>
      <c r="H12" s="458">
        <v>9736.5199346250647</v>
      </c>
      <c r="I12" s="458">
        <v>9499.3217988699362</v>
      </c>
      <c r="J12" s="458">
        <v>9278.2752065767017</v>
      </c>
      <c r="K12" s="458">
        <v>9071.7942567194732</v>
      </c>
      <c r="L12" s="458">
        <v>8878.4939242336241</v>
      </c>
      <c r="M12" s="458">
        <v>8697.1592346693524</v>
      </c>
      <c r="N12" s="458">
        <v>8526.7199461106102</v>
      </c>
    </row>
    <row r="13" spans="2:68">
      <c r="C13" s="455">
        <v>1.1500000000000002E-2</v>
      </c>
      <c r="D13" s="458">
        <v>11135.093471622591</v>
      </c>
      <c r="E13" s="458">
        <v>10791.393316806805</v>
      </c>
      <c r="F13" s="458">
        <v>10475.519366793687</v>
      </c>
      <c r="G13" s="458">
        <v>10184.238232810223</v>
      </c>
      <c r="H13" s="458">
        <v>9914.798551100439</v>
      </c>
      <c r="I13" s="458">
        <v>9664.8443911083596</v>
      </c>
      <c r="J13" s="458">
        <v>9432.3466827769571</v>
      </c>
      <c r="K13" s="458">
        <v>9215.5484350139759</v>
      </c>
      <c r="L13" s="458">
        <v>9012.9206143567717</v>
      </c>
      <c r="M13" s="458">
        <v>8823.1263397084604</v>
      </c>
      <c r="N13" s="458">
        <v>8644.991620175666</v>
      </c>
    </row>
    <row r="14" spans="2:68">
      <c r="C14" s="455">
        <v>1.3750000000000002E-2</v>
      </c>
      <c r="D14" s="458">
        <v>11398.896329505773</v>
      </c>
      <c r="E14" s="458">
        <v>11032.65032575592</v>
      </c>
      <c r="F14" s="458">
        <v>10696.969375875249</v>
      </c>
      <c r="G14" s="458">
        <v>10388.195840110955</v>
      </c>
      <c r="H14" s="458">
        <v>10103.233024760852</v>
      </c>
      <c r="I14" s="458">
        <v>9839.4416223913795</v>
      </c>
      <c r="J14" s="458">
        <v>9594.5582775975199</v>
      </c>
      <c r="K14" s="458">
        <v>9366.6309529591181</v>
      </c>
      <c r="L14" s="458">
        <v>9153.9671860064354</v>
      </c>
      <c r="M14" s="458">
        <v>8955.092334125633</v>
      </c>
      <c r="N14" s="458">
        <v>8768.7156282170799</v>
      </c>
    </row>
    <row r="15" spans="2:68">
      <c r="C15" s="455">
        <v>1.6E-2</v>
      </c>
      <c r="D15" s="458">
        <v>11681.128420730342</v>
      </c>
      <c r="E15" s="458">
        <v>11289.99742100977</v>
      </c>
      <c r="F15" s="458">
        <v>10932.546889740108</v>
      </c>
      <c r="G15" s="458">
        <v>10604.6223578589</v>
      </c>
      <c r="H15" s="458">
        <v>10302.725356079976</v>
      </c>
      <c r="I15" s="458">
        <v>10023.8888574475</v>
      </c>
      <c r="J15" s="458">
        <v>9765.5800617784862</v>
      </c>
      <c r="K15" s="458">
        <v>9525.6237669389229</v>
      </c>
      <c r="L15" s="458">
        <v>9302.1414141860751</v>
      </c>
      <c r="M15" s="458">
        <v>9093.5021904846308</v>
      </c>
      <c r="N15" s="458">
        <v>8898.2834942171994</v>
      </c>
    </row>
    <row r="16" spans="2:68">
      <c r="C16" s="455">
        <v>1.8249999999999999E-2</v>
      </c>
      <c r="D16" s="458">
        <v>11983.804276876128</v>
      </c>
      <c r="E16" s="458">
        <v>11565.111947472715</v>
      </c>
      <c r="F16" s="458">
        <v>11183.659445765195</v>
      </c>
      <c r="G16" s="458">
        <v>10834.70739941827</v>
      </c>
      <c r="H16" s="458">
        <v>10514.28762016556</v>
      </c>
      <c r="I16" s="458">
        <v>10219.0523832535</v>
      </c>
      <c r="J16" s="458">
        <v>9946.1577253284104</v>
      </c>
      <c r="K16" s="458">
        <v>9693.1721276873304</v>
      </c>
      <c r="L16" s="458">
        <v>9458.0043680686013</v>
      </c>
      <c r="M16" s="458">
        <v>9238.8460053275103</v>
      </c>
      <c r="N16" s="458">
        <v>9034.1251477806163</v>
      </c>
    </row>
    <row r="17" spans="3:14">
      <c r="C17" s="455">
        <v>2.0500000000000001E-2</v>
      </c>
      <c r="D17" s="458">
        <v>12309.243148585449</v>
      </c>
      <c r="E17" s="458">
        <v>11859.912787715331</v>
      </c>
      <c r="F17" s="458">
        <v>11451.907983409768</v>
      </c>
      <c r="G17" s="458">
        <v>11079.796877719393</v>
      </c>
      <c r="H17" s="458">
        <v>10739.059286194852</v>
      </c>
      <c r="I17" s="458">
        <v>10425.903138904168</v>
      </c>
      <c r="J17" s="458">
        <v>10137.12355451491</v>
      </c>
      <c r="K17" s="458">
        <v>9869.9934257718978</v>
      </c>
      <c r="L17" s="458">
        <v>9622.1775913485562</v>
      </c>
      <c r="M17" s="458">
        <v>9391.6648679001173</v>
      </c>
      <c r="N17" s="458">
        <v>9176.7137516565163</v>
      </c>
    </row>
    <row r="18" spans="3:14">
      <c r="C18" s="455">
        <v>2.2750000000000003E-2</v>
      </c>
      <c r="D18" s="458">
        <v>12660.128884854885</v>
      </c>
      <c r="E18" s="458">
        <v>12176.605462368538</v>
      </c>
      <c r="F18" s="458">
        <v>11739.12124379528</v>
      </c>
      <c r="G18" s="458">
        <v>11341.419546694451</v>
      </c>
      <c r="H18" s="458">
        <v>10978.327913202078</v>
      </c>
      <c r="I18" s="458">
        <v>10645.533010924788</v>
      </c>
      <c r="J18" s="458">
        <v>10339.409378149245</v>
      </c>
      <c r="K18" s="458">
        <v>10056.88756313536</v>
      </c>
      <c r="L18" s="458">
        <v>9795.3514756374243</v>
      </c>
      <c r="M18" s="458">
        <v>9552.5576692668583</v>
      </c>
      <c r="N18" s="458">
        <v>9326.5712762129151</v>
      </c>
    </row>
    <row r="19" spans="3:14">
      <c r="C19" s="455">
        <v>2.5000000000000001E-2</v>
      </c>
      <c r="D19" s="458">
        <v>13039.584509971359</v>
      </c>
      <c r="E19" s="458">
        <v>12517.737728023219</v>
      </c>
      <c r="F19" s="458">
        <v>12047.397782306991</v>
      </c>
      <c r="G19" s="458">
        <v>11621.319141297325</v>
      </c>
      <c r="H19" s="458">
        <v>11233.554015912629</v>
      </c>
      <c r="I19" s="458">
        <v>10879.174271251029</v>
      </c>
      <c r="J19" s="458">
        <v>10554.061908046791</v>
      </c>
      <c r="K19" s="458">
        <v>10254.749166950513</v>
      </c>
      <c r="L19" s="458">
        <v>9978.2950647555845</v>
      </c>
      <c r="M19" s="458">
        <v>9722.1890324382202</v>
      </c>
      <c r="N19" s="458">
        <v>9484.2749592685559</v>
      </c>
    </row>
    <row r="20" spans="3:14">
      <c r="C20" s="454"/>
    </row>
    <row r="21" spans="3:14">
      <c r="C21" s="454"/>
      <c r="D21" s="450">
        <f>MIN(D9:N19)</f>
        <v>8201.1953692303177</v>
      </c>
    </row>
    <row r="22" spans="3:14">
      <c r="C22" s="454"/>
      <c r="D22" s="450">
        <f>MAX(D9:N19)</f>
        <v>13039.584509971359</v>
      </c>
    </row>
    <row r="23" spans="3:14">
      <c r="C23" s="454"/>
    </row>
    <row r="24" spans="3:14">
      <c r="C24" s="454"/>
    </row>
    <row r="25" spans="3:14">
      <c r="C25" s="454"/>
    </row>
    <row r="26" spans="3:14">
      <c r="C26" s="454"/>
    </row>
    <row r="27" spans="3:14">
      <c r="C27" s="454"/>
    </row>
    <row r="28" spans="3:14">
      <c r="C28" s="454"/>
    </row>
    <row r="29" spans="3:14">
      <c r="C29" s="454"/>
    </row>
    <row r="30" spans="3:14">
      <c r="C30" s="454"/>
    </row>
    <row r="31" spans="3:14">
      <c r="C31" s="454"/>
    </row>
    <row r="32" spans="3:14">
      <c r="C32" s="454"/>
    </row>
    <row r="33" spans="3:3">
      <c r="C33" s="454"/>
    </row>
    <row r="34" spans="3:3">
      <c r="C34" s="454"/>
    </row>
    <row r="35" spans="3:3">
      <c r="C35" s="454"/>
    </row>
    <row r="36" spans="3:3">
      <c r="C36" s="454"/>
    </row>
    <row r="37" spans="3:3">
      <c r="C37" s="454"/>
    </row>
    <row r="38" spans="3:3">
      <c r="C38" s="454"/>
    </row>
    <row r="39" spans="3:3">
      <c r="C39" s="454"/>
    </row>
    <row r="40" spans="3:3">
      <c r="C40" s="454"/>
    </row>
    <row r="41" spans="3:3">
      <c r="C41" s="454"/>
    </row>
    <row r="42" spans="3:3">
      <c r="C42" s="454"/>
    </row>
    <row r="43" spans="3:3">
      <c r="C43" s="454"/>
    </row>
    <row r="44" spans="3:3">
      <c r="C44" s="454"/>
    </row>
    <row r="45" spans="3:3">
      <c r="C45" s="454"/>
    </row>
    <row r="46" spans="3:3">
      <c r="C46" s="454"/>
    </row>
    <row r="47" spans="3:3">
      <c r="C47" s="454"/>
    </row>
    <row r="48" spans="3:3">
      <c r="C48" s="454"/>
    </row>
    <row r="49" spans="3:3">
      <c r="C49" s="454"/>
    </row>
    <row r="50" spans="3:3">
      <c r="C50" s="454"/>
    </row>
    <row r="51" spans="3:3">
      <c r="C51" s="454"/>
    </row>
    <row r="52" spans="3:3">
      <c r="C52" s="454"/>
    </row>
    <row r="53" spans="3:3">
      <c r="C53" s="454"/>
    </row>
    <row r="54" spans="3:3">
      <c r="C54" s="454"/>
    </row>
    <row r="55" spans="3:3">
      <c r="C55" s="454"/>
    </row>
    <row r="56" spans="3:3">
      <c r="C56" s="454"/>
    </row>
    <row r="57" spans="3:3">
      <c r="C57" s="454"/>
    </row>
    <row r="58" spans="3:3">
      <c r="C58" s="454"/>
    </row>
    <row r="59" spans="3:3">
      <c r="C59" s="454"/>
    </row>
    <row r="60" spans="3:3">
      <c r="C60" s="454"/>
    </row>
    <row r="61" spans="3:3">
      <c r="C61" s="454"/>
    </row>
    <row r="62" spans="3:3">
      <c r="C62" s="454"/>
    </row>
    <row r="63" spans="3:3">
      <c r="C63" s="454"/>
    </row>
    <row r="64" spans="3:3">
      <c r="C64" s="454"/>
    </row>
    <row r="65" spans="3:3">
      <c r="C65" s="454"/>
    </row>
    <row r="66" spans="3:3">
      <c r="C66" s="454"/>
    </row>
    <row r="67" spans="3:3">
      <c r="C67" s="454"/>
    </row>
    <row r="68" spans="3:3">
      <c r="C68" s="454"/>
    </row>
    <row r="69" spans="3:3">
      <c r="C69" s="454"/>
    </row>
    <row r="70" spans="3:3">
      <c r="C70" s="454"/>
    </row>
    <row r="71" spans="3:3">
      <c r="C71" s="454"/>
    </row>
    <row r="72" spans="3:3">
      <c r="C72" s="454"/>
    </row>
    <row r="73" spans="3:3">
      <c r="C73" s="454"/>
    </row>
    <row r="74" spans="3:3">
      <c r="C74" s="454"/>
    </row>
    <row r="75" spans="3:3">
      <c r="C75" s="454"/>
    </row>
    <row r="76" spans="3:3">
      <c r="C76" s="454"/>
    </row>
    <row r="77" spans="3:3">
      <c r="C77" s="454"/>
    </row>
    <row r="78" spans="3:3">
      <c r="C78" s="454"/>
    </row>
    <row r="79" spans="3:3">
      <c r="C79" s="454"/>
    </row>
    <row r="80" spans="3:3">
      <c r="C80" s="454"/>
    </row>
    <row r="81" spans="3:3">
      <c r="C81" s="454"/>
    </row>
    <row r="82" spans="3:3">
      <c r="C82" s="454"/>
    </row>
    <row r="83" spans="3:3">
      <c r="C83" s="454"/>
    </row>
    <row r="84" spans="3:3">
      <c r="C84" s="454"/>
    </row>
    <row r="85" spans="3:3">
      <c r="C85" s="454"/>
    </row>
    <row r="86" spans="3:3">
      <c r="C86" s="454"/>
    </row>
    <row r="87" spans="3:3">
      <c r="C87" s="454"/>
    </row>
    <row r="88" spans="3:3">
      <c r="C88" s="454"/>
    </row>
  </sheetData>
  <mergeCells count="7">
    <mergeCell ref="C6:D6"/>
    <mergeCell ref="N6:P6"/>
    <mergeCell ref="B2:Q2"/>
    <mergeCell ref="C4:D4"/>
    <mergeCell ref="F4:H4"/>
    <mergeCell ref="C5:D5"/>
    <mergeCell ref="N5:P5"/>
  </mergeCells>
  <pageMargins left="0.75" right="0.75" top="1" bottom="1" header="0.5" footer="0.5"/>
  <pageSetup scale="37" fitToHeight="5" orientation="landscape" horizontalDpi="300" verticalDpi="30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VZ125"/>
  <sheetViews>
    <sheetView showGridLines="0" zoomScale="80" zoomScaleNormal="80" workbookViewId="0">
      <selection activeCell="O2" sqref="O2"/>
    </sheetView>
  </sheetViews>
  <sheetFormatPr baseColWidth="10" defaultColWidth="0" defaultRowHeight="15" customHeight="1" zeroHeight="1"/>
  <cols>
    <col min="1" max="1" width="12.875" style="435" customWidth="1"/>
    <col min="2" max="2" width="10.625" style="435" customWidth="1"/>
    <col min="3" max="14" width="8" style="435" customWidth="1"/>
    <col min="15" max="15" width="17.25" style="435" bestFit="1" customWidth="1"/>
    <col min="16" max="16" width="18.75" style="435" customWidth="1"/>
    <col min="17" max="17" width="4.875" style="435" customWidth="1"/>
    <col min="18" max="18" width="6.5" style="435" customWidth="1"/>
    <col min="19" max="256" width="8" style="435" hidden="1"/>
    <col min="257" max="257" width="12.875" style="435" customWidth="1"/>
    <col min="258" max="258" width="10.625" style="435" customWidth="1"/>
    <col min="259" max="270" width="8" style="435" customWidth="1"/>
    <col min="271" max="271" width="17.25" style="435" bestFit="1" customWidth="1"/>
    <col min="272" max="272" width="18.75" style="435" customWidth="1"/>
    <col min="273" max="273" width="4.875" style="435" customWidth="1"/>
    <col min="274" max="274" width="6.5" style="435" customWidth="1"/>
    <col min="275" max="512" width="8" style="435" hidden="1"/>
    <col min="513" max="513" width="12.875" style="435" customWidth="1"/>
    <col min="514" max="514" width="10.625" style="435" customWidth="1"/>
    <col min="515" max="526" width="8" style="435" customWidth="1"/>
    <col min="527" max="527" width="17.25" style="435" bestFit="1" customWidth="1"/>
    <col min="528" max="528" width="18.75" style="435" customWidth="1"/>
    <col min="529" max="529" width="4.875" style="435" customWidth="1"/>
    <col min="530" max="530" width="6.5" style="435" customWidth="1"/>
    <col min="531" max="768" width="8" style="435" hidden="1"/>
    <col min="769" max="769" width="12.875" style="435" customWidth="1"/>
    <col min="770" max="770" width="10.625" style="435" customWidth="1"/>
    <col min="771" max="782" width="8" style="435" customWidth="1"/>
    <col min="783" max="783" width="17.25" style="435" bestFit="1" customWidth="1"/>
    <col min="784" max="784" width="18.75" style="435" customWidth="1"/>
    <col min="785" max="785" width="4.875" style="435" customWidth="1"/>
    <col min="786" max="786" width="6.5" style="435" customWidth="1"/>
    <col min="787" max="1024" width="8" style="435" hidden="1"/>
    <col min="1025" max="1025" width="12.875" style="435" customWidth="1"/>
    <col min="1026" max="1026" width="10.625" style="435" customWidth="1"/>
    <col min="1027" max="1038" width="8" style="435" customWidth="1"/>
    <col min="1039" max="1039" width="17.25" style="435" bestFit="1" customWidth="1"/>
    <col min="1040" max="1040" width="18.75" style="435" customWidth="1"/>
    <col min="1041" max="1041" width="4.875" style="435" customWidth="1"/>
    <col min="1042" max="1042" width="6.5" style="435" customWidth="1"/>
    <col min="1043" max="1280" width="8" style="435" hidden="1"/>
    <col min="1281" max="1281" width="12.875" style="435" customWidth="1"/>
    <col min="1282" max="1282" width="10.625" style="435" customWidth="1"/>
    <col min="1283" max="1294" width="8" style="435" customWidth="1"/>
    <col min="1295" max="1295" width="17.25" style="435" bestFit="1" customWidth="1"/>
    <col min="1296" max="1296" width="18.75" style="435" customWidth="1"/>
    <col min="1297" max="1297" width="4.875" style="435" customWidth="1"/>
    <col min="1298" max="1298" width="6.5" style="435" customWidth="1"/>
    <col min="1299" max="1536" width="8" style="435" hidden="1"/>
    <col min="1537" max="1537" width="12.875" style="435" customWidth="1"/>
    <col min="1538" max="1538" width="10.625" style="435" customWidth="1"/>
    <col min="1539" max="1550" width="8" style="435" customWidth="1"/>
    <col min="1551" max="1551" width="17.25" style="435" bestFit="1" customWidth="1"/>
    <col min="1552" max="1552" width="18.75" style="435" customWidth="1"/>
    <col min="1553" max="1553" width="4.875" style="435" customWidth="1"/>
    <col min="1554" max="1554" width="6.5" style="435" customWidth="1"/>
    <col min="1555" max="1792" width="8" style="435" hidden="1"/>
    <col min="1793" max="1793" width="12.875" style="435" customWidth="1"/>
    <col min="1794" max="1794" width="10.625" style="435" customWidth="1"/>
    <col min="1795" max="1806" width="8" style="435" customWidth="1"/>
    <col min="1807" max="1807" width="17.25" style="435" bestFit="1" customWidth="1"/>
    <col min="1808" max="1808" width="18.75" style="435" customWidth="1"/>
    <col min="1809" max="1809" width="4.875" style="435" customWidth="1"/>
    <col min="1810" max="1810" width="6.5" style="435" customWidth="1"/>
    <col min="1811" max="2048" width="8" style="435" hidden="1"/>
    <col min="2049" max="2049" width="12.875" style="435" customWidth="1"/>
    <col min="2050" max="2050" width="10.625" style="435" customWidth="1"/>
    <col min="2051" max="2062" width="8" style="435" customWidth="1"/>
    <col min="2063" max="2063" width="17.25" style="435" bestFit="1" customWidth="1"/>
    <col min="2064" max="2064" width="18.75" style="435" customWidth="1"/>
    <col min="2065" max="2065" width="4.875" style="435" customWidth="1"/>
    <col min="2066" max="2066" width="6.5" style="435" customWidth="1"/>
    <col min="2067" max="2304" width="8" style="435" hidden="1"/>
    <col min="2305" max="2305" width="12.875" style="435" customWidth="1"/>
    <col min="2306" max="2306" width="10.625" style="435" customWidth="1"/>
    <col min="2307" max="2318" width="8" style="435" customWidth="1"/>
    <col min="2319" max="2319" width="17.25" style="435" bestFit="1" customWidth="1"/>
    <col min="2320" max="2320" width="18.75" style="435" customWidth="1"/>
    <col min="2321" max="2321" width="4.875" style="435" customWidth="1"/>
    <col min="2322" max="2322" width="6.5" style="435" customWidth="1"/>
    <col min="2323" max="2560" width="8" style="435" hidden="1"/>
    <col min="2561" max="2561" width="12.875" style="435" customWidth="1"/>
    <col min="2562" max="2562" width="10.625" style="435" customWidth="1"/>
    <col min="2563" max="2574" width="8" style="435" customWidth="1"/>
    <col min="2575" max="2575" width="17.25" style="435" bestFit="1" customWidth="1"/>
    <col min="2576" max="2576" width="18.75" style="435" customWidth="1"/>
    <col min="2577" max="2577" width="4.875" style="435" customWidth="1"/>
    <col min="2578" max="2578" width="6.5" style="435" customWidth="1"/>
    <col min="2579" max="2816" width="8" style="435" hidden="1"/>
    <col min="2817" max="2817" width="12.875" style="435" customWidth="1"/>
    <col min="2818" max="2818" width="10.625" style="435" customWidth="1"/>
    <col min="2819" max="2830" width="8" style="435" customWidth="1"/>
    <col min="2831" max="2831" width="17.25" style="435" bestFit="1" customWidth="1"/>
    <col min="2832" max="2832" width="18.75" style="435" customWidth="1"/>
    <col min="2833" max="2833" width="4.875" style="435" customWidth="1"/>
    <col min="2834" max="2834" width="6.5" style="435" customWidth="1"/>
    <col min="2835" max="3072" width="8" style="435" hidden="1"/>
    <col min="3073" max="3073" width="12.875" style="435" customWidth="1"/>
    <col min="3074" max="3074" width="10.625" style="435" customWidth="1"/>
    <col min="3075" max="3086" width="8" style="435" customWidth="1"/>
    <col min="3087" max="3087" width="17.25" style="435" bestFit="1" customWidth="1"/>
    <col min="3088" max="3088" width="18.75" style="435" customWidth="1"/>
    <col min="3089" max="3089" width="4.875" style="435" customWidth="1"/>
    <col min="3090" max="3090" width="6.5" style="435" customWidth="1"/>
    <col min="3091" max="3328" width="8" style="435" hidden="1"/>
    <col min="3329" max="3329" width="12.875" style="435" customWidth="1"/>
    <col min="3330" max="3330" width="10.625" style="435" customWidth="1"/>
    <col min="3331" max="3342" width="8" style="435" customWidth="1"/>
    <col min="3343" max="3343" width="17.25" style="435" bestFit="1" customWidth="1"/>
    <col min="3344" max="3344" width="18.75" style="435" customWidth="1"/>
    <col min="3345" max="3345" width="4.875" style="435" customWidth="1"/>
    <col min="3346" max="3346" width="6.5" style="435" customWidth="1"/>
    <col min="3347" max="3584" width="8" style="435" hidden="1"/>
    <col min="3585" max="3585" width="12.875" style="435" customWidth="1"/>
    <col min="3586" max="3586" width="10.625" style="435" customWidth="1"/>
    <col min="3587" max="3598" width="8" style="435" customWidth="1"/>
    <col min="3599" max="3599" width="17.25" style="435" bestFit="1" customWidth="1"/>
    <col min="3600" max="3600" width="18.75" style="435" customWidth="1"/>
    <col min="3601" max="3601" width="4.875" style="435" customWidth="1"/>
    <col min="3602" max="3602" width="6.5" style="435" customWidth="1"/>
    <col min="3603" max="3840" width="8" style="435" hidden="1"/>
    <col min="3841" max="3841" width="12.875" style="435" customWidth="1"/>
    <col min="3842" max="3842" width="10.625" style="435" customWidth="1"/>
    <col min="3843" max="3854" width="8" style="435" customWidth="1"/>
    <col min="3855" max="3855" width="17.25" style="435" bestFit="1" customWidth="1"/>
    <col min="3856" max="3856" width="18.75" style="435" customWidth="1"/>
    <col min="3857" max="3857" width="4.875" style="435" customWidth="1"/>
    <col min="3858" max="3858" width="6.5" style="435" customWidth="1"/>
    <col min="3859" max="4096" width="8" style="435" hidden="1"/>
    <col min="4097" max="4097" width="12.875" style="435" customWidth="1"/>
    <col min="4098" max="4098" width="10.625" style="435" customWidth="1"/>
    <col min="4099" max="4110" width="8" style="435" customWidth="1"/>
    <col min="4111" max="4111" width="17.25" style="435" bestFit="1" customWidth="1"/>
    <col min="4112" max="4112" width="18.75" style="435" customWidth="1"/>
    <col min="4113" max="4113" width="4.875" style="435" customWidth="1"/>
    <col min="4114" max="4114" width="6.5" style="435" customWidth="1"/>
    <col min="4115" max="4352" width="8" style="435" hidden="1"/>
    <col min="4353" max="4353" width="12.875" style="435" customWidth="1"/>
    <col min="4354" max="4354" width="10.625" style="435" customWidth="1"/>
    <col min="4355" max="4366" width="8" style="435" customWidth="1"/>
    <col min="4367" max="4367" width="17.25" style="435" bestFit="1" customWidth="1"/>
    <col min="4368" max="4368" width="18.75" style="435" customWidth="1"/>
    <col min="4369" max="4369" width="4.875" style="435" customWidth="1"/>
    <col min="4370" max="4370" width="6.5" style="435" customWidth="1"/>
    <col min="4371" max="4608" width="8" style="435" hidden="1"/>
    <col min="4609" max="4609" width="12.875" style="435" customWidth="1"/>
    <col min="4610" max="4610" width="10.625" style="435" customWidth="1"/>
    <col min="4611" max="4622" width="8" style="435" customWidth="1"/>
    <col min="4623" max="4623" width="17.25" style="435" bestFit="1" customWidth="1"/>
    <col min="4624" max="4624" width="18.75" style="435" customWidth="1"/>
    <col min="4625" max="4625" width="4.875" style="435" customWidth="1"/>
    <col min="4626" max="4626" width="6.5" style="435" customWidth="1"/>
    <col min="4627" max="4864" width="8" style="435" hidden="1"/>
    <col min="4865" max="4865" width="12.875" style="435" customWidth="1"/>
    <col min="4866" max="4866" width="10.625" style="435" customWidth="1"/>
    <col min="4867" max="4878" width="8" style="435" customWidth="1"/>
    <col min="4879" max="4879" width="17.25" style="435" bestFit="1" customWidth="1"/>
    <col min="4880" max="4880" width="18.75" style="435" customWidth="1"/>
    <col min="4881" max="4881" width="4.875" style="435" customWidth="1"/>
    <col min="4882" max="4882" width="6.5" style="435" customWidth="1"/>
    <col min="4883" max="5120" width="8" style="435" hidden="1"/>
    <col min="5121" max="5121" width="12.875" style="435" customWidth="1"/>
    <col min="5122" max="5122" width="10.625" style="435" customWidth="1"/>
    <col min="5123" max="5134" width="8" style="435" customWidth="1"/>
    <col min="5135" max="5135" width="17.25" style="435" bestFit="1" customWidth="1"/>
    <col min="5136" max="5136" width="18.75" style="435" customWidth="1"/>
    <col min="5137" max="5137" width="4.875" style="435" customWidth="1"/>
    <col min="5138" max="5138" width="6.5" style="435" customWidth="1"/>
    <col min="5139" max="5376" width="8" style="435" hidden="1"/>
    <col min="5377" max="5377" width="12.875" style="435" customWidth="1"/>
    <col min="5378" max="5378" width="10.625" style="435" customWidth="1"/>
    <col min="5379" max="5390" width="8" style="435" customWidth="1"/>
    <col min="5391" max="5391" width="17.25" style="435" bestFit="1" customWidth="1"/>
    <col min="5392" max="5392" width="18.75" style="435" customWidth="1"/>
    <col min="5393" max="5393" width="4.875" style="435" customWidth="1"/>
    <col min="5394" max="5394" width="6.5" style="435" customWidth="1"/>
    <col min="5395" max="5632" width="8" style="435" hidden="1"/>
    <col min="5633" max="5633" width="12.875" style="435" customWidth="1"/>
    <col min="5634" max="5634" width="10.625" style="435" customWidth="1"/>
    <col min="5635" max="5646" width="8" style="435" customWidth="1"/>
    <col min="5647" max="5647" width="17.25" style="435" bestFit="1" customWidth="1"/>
    <col min="5648" max="5648" width="18.75" style="435" customWidth="1"/>
    <col min="5649" max="5649" width="4.875" style="435" customWidth="1"/>
    <col min="5650" max="5650" width="6.5" style="435" customWidth="1"/>
    <col min="5651" max="5888" width="8" style="435" hidden="1"/>
    <col min="5889" max="5889" width="12.875" style="435" customWidth="1"/>
    <col min="5890" max="5890" width="10.625" style="435" customWidth="1"/>
    <col min="5891" max="5902" width="8" style="435" customWidth="1"/>
    <col min="5903" max="5903" width="17.25" style="435" bestFit="1" customWidth="1"/>
    <col min="5904" max="5904" width="18.75" style="435" customWidth="1"/>
    <col min="5905" max="5905" width="4.875" style="435" customWidth="1"/>
    <col min="5906" max="5906" width="6.5" style="435" customWidth="1"/>
    <col min="5907" max="6144" width="8" style="435" hidden="1"/>
    <col min="6145" max="6145" width="12.875" style="435" customWidth="1"/>
    <col min="6146" max="6146" width="10.625" style="435" customWidth="1"/>
    <col min="6147" max="6158" width="8" style="435" customWidth="1"/>
    <col min="6159" max="6159" width="17.25" style="435" bestFit="1" customWidth="1"/>
    <col min="6160" max="6160" width="18.75" style="435" customWidth="1"/>
    <col min="6161" max="6161" width="4.875" style="435" customWidth="1"/>
    <col min="6162" max="6162" width="6.5" style="435" customWidth="1"/>
    <col min="6163" max="6400" width="8" style="435" hidden="1"/>
    <col min="6401" max="6401" width="12.875" style="435" customWidth="1"/>
    <col min="6402" max="6402" width="10.625" style="435" customWidth="1"/>
    <col min="6403" max="6414" width="8" style="435" customWidth="1"/>
    <col min="6415" max="6415" width="17.25" style="435" bestFit="1" customWidth="1"/>
    <col min="6416" max="6416" width="18.75" style="435" customWidth="1"/>
    <col min="6417" max="6417" width="4.875" style="435" customWidth="1"/>
    <col min="6418" max="6418" width="6.5" style="435" customWidth="1"/>
    <col min="6419" max="6656" width="8" style="435" hidden="1"/>
    <col min="6657" max="6657" width="12.875" style="435" customWidth="1"/>
    <col min="6658" max="6658" width="10.625" style="435" customWidth="1"/>
    <col min="6659" max="6670" width="8" style="435" customWidth="1"/>
    <col min="6671" max="6671" width="17.25" style="435" bestFit="1" customWidth="1"/>
    <col min="6672" max="6672" width="18.75" style="435" customWidth="1"/>
    <col min="6673" max="6673" width="4.875" style="435" customWidth="1"/>
    <col min="6674" max="6674" width="6.5" style="435" customWidth="1"/>
    <col min="6675" max="6912" width="8" style="435" hidden="1"/>
    <col min="6913" max="6913" width="12.875" style="435" customWidth="1"/>
    <col min="6914" max="6914" width="10.625" style="435" customWidth="1"/>
    <col min="6915" max="6926" width="8" style="435" customWidth="1"/>
    <col min="6927" max="6927" width="17.25" style="435" bestFit="1" customWidth="1"/>
    <col min="6928" max="6928" width="18.75" style="435" customWidth="1"/>
    <col min="6929" max="6929" width="4.875" style="435" customWidth="1"/>
    <col min="6930" max="6930" width="6.5" style="435" customWidth="1"/>
    <col min="6931" max="7168" width="8" style="435" hidden="1"/>
    <col min="7169" max="7169" width="12.875" style="435" customWidth="1"/>
    <col min="7170" max="7170" width="10.625" style="435" customWidth="1"/>
    <col min="7171" max="7182" width="8" style="435" customWidth="1"/>
    <col min="7183" max="7183" width="17.25" style="435" bestFit="1" customWidth="1"/>
    <col min="7184" max="7184" width="18.75" style="435" customWidth="1"/>
    <col min="7185" max="7185" width="4.875" style="435" customWidth="1"/>
    <col min="7186" max="7186" width="6.5" style="435" customWidth="1"/>
    <col min="7187" max="7424" width="8" style="435" hidden="1"/>
    <col min="7425" max="7425" width="12.875" style="435" customWidth="1"/>
    <col min="7426" max="7426" width="10.625" style="435" customWidth="1"/>
    <col min="7427" max="7438" width="8" style="435" customWidth="1"/>
    <col min="7439" max="7439" width="17.25" style="435" bestFit="1" customWidth="1"/>
    <col min="7440" max="7440" width="18.75" style="435" customWidth="1"/>
    <col min="7441" max="7441" width="4.875" style="435" customWidth="1"/>
    <col min="7442" max="7442" width="6.5" style="435" customWidth="1"/>
    <col min="7443" max="7680" width="8" style="435" hidden="1"/>
    <col min="7681" max="7681" width="12.875" style="435" customWidth="1"/>
    <col min="7682" max="7682" width="10.625" style="435" customWidth="1"/>
    <col min="7683" max="7694" width="8" style="435" customWidth="1"/>
    <col min="7695" max="7695" width="17.25" style="435" bestFit="1" customWidth="1"/>
    <col min="7696" max="7696" width="18.75" style="435" customWidth="1"/>
    <col min="7697" max="7697" width="4.875" style="435" customWidth="1"/>
    <col min="7698" max="7698" width="6.5" style="435" customWidth="1"/>
    <col min="7699" max="7936" width="8" style="435" hidden="1"/>
    <col min="7937" max="7937" width="12.875" style="435" customWidth="1"/>
    <col min="7938" max="7938" width="10.625" style="435" customWidth="1"/>
    <col min="7939" max="7950" width="8" style="435" customWidth="1"/>
    <col min="7951" max="7951" width="17.25" style="435" bestFit="1" customWidth="1"/>
    <col min="7952" max="7952" width="18.75" style="435" customWidth="1"/>
    <col min="7953" max="7953" width="4.875" style="435" customWidth="1"/>
    <col min="7954" max="7954" width="6.5" style="435" customWidth="1"/>
    <col min="7955" max="8192" width="8" style="435" hidden="1"/>
    <col min="8193" max="8193" width="12.875" style="435" customWidth="1"/>
    <col min="8194" max="8194" width="10.625" style="435" customWidth="1"/>
    <col min="8195" max="8206" width="8" style="435" customWidth="1"/>
    <col min="8207" max="8207" width="17.25" style="435" bestFit="1" customWidth="1"/>
    <col min="8208" max="8208" width="18.75" style="435" customWidth="1"/>
    <col min="8209" max="8209" width="4.875" style="435" customWidth="1"/>
    <col min="8210" max="8210" width="6.5" style="435" customWidth="1"/>
    <col min="8211" max="8448" width="8" style="435" hidden="1"/>
    <col min="8449" max="8449" width="12.875" style="435" customWidth="1"/>
    <col min="8450" max="8450" width="10.625" style="435" customWidth="1"/>
    <col min="8451" max="8462" width="8" style="435" customWidth="1"/>
    <col min="8463" max="8463" width="17.25" style="435" bestFit="1" customWidth="1"/>
    <col min="8464" max="8464" width="18.75" style="435" customWidth="1"/>
    <col min="8465" max="8465" width="4.875" style="435" customWidth="1"/>
    <col min="8466" max="8466" width="6.5" style="435" customWidth="1"/>
    <col min="8467" max="8704" width="8" style="435" hidden="1"/>
    <col min="8705" max="8705" width="12.875" style="435" customWidth="1"/>
    <col min="8706" max="8706" width="10.625" style="435" customWidth="1"/>
    <col min="8707" max="8718" width="8" style="435" customWidth="1"/>
    <col min="8719" max="8719" width="17.25" style="435" bestFit="1" customWidth="1"/>
    <col min="8720" max="8720" width="18.75" style="435" customWidth="1"/>
    <col min="8721" max="8721" width="4.875" style="435" customWidth="1"/>
    <col min="8722" max="8722" width="6.5" style="435" customWidth="1"/>
    <col min="8723" max="8960" width="8" style="435" hidden="1"/>
    <col min="8961" max="8961" width="12.875" style="435" customWidth="1"/>
    <col min="8962" max="8962" width="10.625" style="435" customWidth="1"/>
    <col min="8963" max="8974" width="8" style="435" customWidth="1"/>
    <col min="8975" max="8975" width="17.25" style="435" bestFit="1" customWidth="1"/>
    <col min="8976" max="8976" width="18.75" style="435" customWidth="1"/>
    <col min="8977" max="8977" width="4.875" style="435" customWidth="1"/>
    <col min="8978" max="8978" width="6.5" style="435" customWidth="1"/>
    <col min="8979" max="9216" width="8" style="435" hidden="1"/>
    <col min="9217" max="9217" width="12.875" style="435" customWidth="1"/>
    <col min="9218" max="9218" width="10.625" style="435" customWidth="1"/>
    <col min="9219" max="9230" width="8" style="435" customWidth="1"/>
    <col min="9231" max="9231" width="17.25" style="435" bestFit="1" customWidth="1"/>
    <col min="9232" max="9232" width="18.75" style="435" customWidth="1"/>
    <col min="9233" max="9233" width="4.875" style="435" customWidth="1"/>
    <col min="9234" max="9234" width="6.5" style="435" customWidth="1"/>
    <col min="9235" max="9472" width="8" style="435" hidden="1"/>
    <col min="9473" max="9473" width="12.875" style="435" customWidth="1"/>
    <col min="9474" max="9474" width="10.625" style="435" customWidth="1"/>
    <col min="9475" max="9486" width="8" style="435" customWidth="1"/>
    <col min="9487" max="9487" width="17.25" style="435" bestFit="1" customWidth="1"/>
    <col min="9488" max="9488" width="18.75" style="435" customWidth="1"/>
    <col min="9489" max="9489" width="4.875" style="435" customWidth="1"/>
    <col min="9490" max="9490" width="6.5" style="435" customWidth="1"/>
    <col min="9491" max="9728" width="8" style="435" hidden="1"/>
    <col min="9729" max="9729" width="12.875" style="435" customWidth="1"/>
    <col min="9730" max="9730" width="10.625" style="435" customWidth="1"/>
    <col min="9731" max="9742" width="8" style="435" customWidth="1"/>
    <col min="9743" max="9743" width="17.25" style="435" bestFit="1" customWidth="1"/>
    <col min="9744" max="9744" width="18.75" style="435" customWidth="1"/>
    <col min="9745" max="9745" width="4.875" style="435" customWidth="1"/>
    <col min="9746" max="9746" width="6.5" style="435" customWidth="1"/>
    <col min="9747" max="9984" width="8" style="435" hidden="1"/>
    <col min="9985" max="9985" width="12.875" style="435" customWidth="1"/>
    <col min="9986" max="9986" width="10.625" style="435" customWidth="1"/>
    <col min="9987" max="9998" width="8" style="435" customWidth="1"/>
    <col min="9999" max="9999" width="17.25" style="435" bestFit="1" customWidth="1"/>
    <col min="10000" max="10000" width="18.75" style="435" customWidth="1"/>
    <col min="10001" max="10001" width="4.875" style="435" customWidth="1"/>
    <col min="10002" max="10002" width="6.5" style="435" customWidth="1"/>
    <col min="10003" max="10240" width="8" style="435" hidden="1"/>
    <col min="10241" max="10241" width="12.875" style="435" customWidth="1"/>
    <col min="10242" max="10242" width="10.625" style="435" customWidth="1"/>
    <col min="10243" max="10254" width="8" style="435" customWidth="1"/>
    <col min="10255" max="10255" width="17.25" style="435" bestFit="1" customWidth="1"/>
    <col min="10256" max="10256" width="18.75" style="435" customWidth="1"/>
    <col min="10257" max="10257" width="4.875" style="435" customWidth="1"/>
    <col min="10258" max="10258" width="6.5" style="435" customWidth="1"/>
    <col min="10259" max="10496" width="8" style="435" hidden="1"/>
    <col min="10497" max="10497" width="12.875" style="435" customWidth="1"/>
    <col min="10498" max="10498" width="10.625" style="435" customWidth="1"/>
    <col min="10499" max="10510" width="8" style="435" customWidth="1"/>
    <col min="10511" max="10511" width="17.25" style="435" bestFit="1" customWidth="1"/>
    <col min="10512" max="10512" width="18.75" style="435" customWidth="1"/>
    <col min="10513" max="10513" width="4.875" style="435" customWidth="1"/>
    <col min="10514" max="10514" width="6.5" style="435" customWidth="1"/>
    <col min="10515" max="10752" width="8" style="435" hidden="1"/>
    <col min="10753" max="10753" width="12.875" style="435" customWidth="1"/>
    <col min="10754" max="10754" width="10.625" style="435" customWidth="1"/>
    <col min="10755" max="10766" width="8" style="435" customWidth="1"/>
    <col min="10767" max="10767" width="17.25" style="435" bestFit="1" customWidth="1"/>
    <col min="10768" max="10768" width="18.75" style="435" customWidth="1"/>
    <col min="10769" max="10769" width="4.875" style="435" customWidth="1"/>
    <col min="10770" max="10770" width="6.5" style="435" customWidth="1"/>
    <col min="10771" max="11008" width="8" style="435" hidden="1"/>
    <col min="11009" max="11009" width="12.875" style="435" customWidth="1"/>
    <col min="11010" max="11010" width="10.625" style="435" customWidth="1"/>
    <col min="11011" max="11022" width="8" style="435" customWidth="1"/>
    <col min="11023" max="11023" width="17.25" style="435" bestFit="1" customWidth="1"/>
    <col min="11024" max="11024" width="18.75" style="435" customWidth="1"/>
    <col min="11025" max="11025" width="4.875" style="435" customWidth="1"/>
    <col min="11026" max="11026" width="6.5" style="435" customWidth="1"/>
    <col min="11027" max="11264" width="8" style="435" hidden="1"/>
    <col min="11265" max="11265" width="12.875" style="435" customWidth="1"/>
    <col min="11266" max="11266" width="10.625" style="435" customWidth="1"/>
    <col min="11267" max="11278" width="8" style="435" customWidth="1"/>
    <col min="11279" max="11279" width="17.25" style="435" bestFit="1" customWidth="1"/>
    <col min="11280" max="11280" width="18.75" style="435" customWidth="1"/>
    <col min="11281" max="11281" width="4.875" style="435" customWidth="1"/>
    <col min="11282" max="11282" width="6.5" style="435" customWidth="1"/>
    <col min="11283" max="11520" width="8" style="435" hidden="1"/>
    <col min="11521" max="11521" width="12.875" style="435" customWidth="1"/>
    <col min="11522" max="11522" width="10.625" style="435" customWidth="1"/>
    <col min="11523" max="11534" width="8" style="435" customWidth="1"/>
    <col min="11535" max="11535" width="17.25" style="435" bestFit="1" customWidth="1"/>
    <col min="11536" max="11536" width="18.75" style="435" customWidth="1"/>
    <col min="11537" max="11537" width="4.875" style="435" customWidth="1"/>
    <col min="11538" max="11538" width="6.5" style="435" customWidth="1"/>
    <col min="11539" max="11776" width="8" style="435" hidden="1"/>
    <col min="11777" max="11777" width="12.875" style="435" customWidth="1"/>
    <col min="11778" max="11778" width="10.625" style="435" customWidth="1"/>
    <col min="11779" max="11790" width="8" style="435" customWidth="1"/>
    <col min="11791" max="11791" width="17.25" style="435" bestFit="1" customWidth="1"/>
    <col min="11792" max="11792" width="18.75" style="435" customWidth="1"/>
    <col min="11793" max="11793" width="4.875" style="435" customWidth="1"/>
    <col min="11794" max="11794" width="6.5" style="435" customWidth="1"/>
    <col min="11795" max="12032" width="8" style="435" hidden="1"/>
    <col min="12033" max="12033" width="12.875" style="435" customWidth="1"/>
    <col min="12034" max="12034" width="10.625" style="435" customWidth="1"/>
    <col min="12035" max="12046" width="8" style="435" customWidth="1"/>
    <col min="12047" max="12047" width="17.25" style="435" bestFit="1" customWidth="1"/>
    <col min="12048" max="12048" width="18.75" style="435" customWidth="1"/>
    <col min="12049" max="12049" width="4.875" style="435" customWidth="1"/>
    <col min="12050" max="12050" width="6.5" style="435" customWidth="1"/>
    <col min="12051" max="12288" width="8" style="435" hidden="1"/>
    <col min="12289" max="12289" width="12.875" style="435" customWidth="1"/>
    <col min="12290" max="12290" width="10.625" style="435" customWidth="1"/>
    <col min="12291" max="12302" width="8" style="435" customWidth="1"/>
    <col min="12303" max="12303" width="17.25" style="435" bestFit="1" customWidth="1"/>
    <col min="12304" max="12304" width="18.75" style="435" customWidth="1"/>
    <col min="12305" max="12305" width="4.875" style="435" customWidth="1"/>
    <col min="12306" max="12306" width="6.5" style="435" customWidth="1"/>
    <col min="12307" max="12544" width="8" style="435" hidden="1"/>
    <col min="12545" max="12545" width="12.875" style="435" customWidth="1"/>
    <col min="12546" max="12546" width="10.625" style="435" customWidth="1"/>
    <col min="12547" max="12558" width="8" style="435" customWidth="1"/>
    <col min="12559" max="12559" width="17.25" style="435" bestFit="1" customWidth="1"/>
    <col min="12560" max="12560" width="18.75" style="435" customWidth="1"/>
    <col min="12561" max="12561" width="4.875" style="435" customWidth="1"/>
    <col min="12562" max="12562" width="6.5" style="435" customWidth="1"/>
    <col min="12563" max="12800" width="8" style="435" hidden="1"/>
    <col min="12801" max="12801" width="12.875" style="435" customWidth="1"/>
    <col min="12802" max="12802" width="10.625" style="435" customWidth="1"/>
    <col min="12803" max="12814" width="8" style="435" customWidth="1"/>
    <col min="12815" max="12815" width="17.25" style="435" bestFit="1" customWidth="1"/>
    <col min="12816" max="12816" width="18.75" style="435" customWidth="1"/>
    <col min="12817" max="12817" width="4.875" style="435" customWidth="1"/>
    <col min="12818" max="12818" width="6.5" style="435" customWidth="1"/>
    <col min="12819" max="13056" width="8" style="435" hidden="1"/>
    <col min="13057" max="13057" width="12.875" style="435" customWidth="1"/>
    <col min="13058" max="13058" width="10.625" style="435" customWidth="1"/>
    <col min="13059" max="13070" width="8" style="435" customWidth="1"/>
    <col min="13071" max="13071" width="17.25" style="435" bestFit="1" customWidth="1"/>
    <col min="13072" max="13072" width="18.75" style="435" customWidth="1"/>
    <col min="13073" max="13073" width="4.875" style="435" customWidth="1"/>
    <col min="13074" max="13074" width="6.5" style="435" customWidth="1"/>
    <col min="13075" max="13312" width="8" style="435" hidden="1"/>
    <col min="13313" max="13313" width="12.875" style="435" customWidth="1"/>
    <col min="13314" max="13314" width="10.625" style="435" customWidth="1"/>
    <col min="13315" max="13326" width="8" style="435" customWidth="1"/>
    <col min="13327" max="13327" width="17.25" style="435" bestFit="1" customWidth="1"/>
    <col min="13328" max="13328" width="18.75" style="435" customWidth="1"/>
    <col min="13329" max="13329" width="4.875" style="435" customWidth="1"/>
    <col min="13330" max="13330" width="6.5" style="435" customWidth="1"/>
    <col min="13331" max="13568" width="8" style="435" hidden="1"/>
    <col min="13569" max="13569" width="12.875" style="435" customWidth="1"/>
    <col min="13570" max="13570" width="10.625" style="435" customWidth="1"/>
    <col min="13571" max="13582" width="8" style="435" customWidth="1"/>
    <col min="13583" max="13583" width="17.25" style="435" bestFit="1" customWidth="1"/>
    <col min="13584" max="13584" width="18.75" style="435" customWidth="1"/>
    <col min="13585" max="13585" width="4.875" style="435" customWidth="1"/>
    <col min="13586" max="13586" width="6.5" style="435" customWidth="1"/>
    <col min="13587" max="13824" width="8" style="435" hidden="1"/>
    <col min="13825" max="13825" width="12.875" style="435" customWidth="1"/>
    <col min="13826" max="13826" width="10.625" style="435" customWidth="1"/>
    <col min="13827" max="13838" width="8" style="435" customWidth="1"/>
    <col min="13839" max="13839" width="17.25" style="435" bestFit="1" customWidth="1"/>
    <col min="13840" max="13840" width="18.75" style="435" customWidth="1"/>
    <col min="13841" max="13841" width="4.875" style="435" customWidth="1"/>
    <col min="13842" max="13842" width="6.5" style="435" customWidth="1"/>
    <col min="13843" max="14080" width="8" style="435" hidden="1"/>
    <col min="14081" max="14081" width="12.875" style="435" customWidth="1"/>
    <col min="14082" max="14082" width="10.625" style="435" customWidth="1"/>
    <col min="14083" max="14094" width="8" style="435" customWidth="1"/>
    <col min="14095" max="14095" width="17.25" style="435" bestFit="1" customWidth="1"/>
    <col min="14096" max="14096" width="18.75" style="435" customWidth="1"/>
    <col min="14097" max="14097" width="4.875" style="435" customWidth="1"/>
    <col min="14098" max="14098" width="6.5" style="435" customWidth="1"/>
    <col min="14099" max="14336" width="8" style="435" hidden="1"/>
    <col min="14337" max="14337" width="12.875" style="435" customWidth="1"/>
    <col min="14338" max="14338" width="10.625" style="435" customWidth="1"/>
    <col min="14339" max="14350" width="8" style="435" customWidth="1"/>
    <col min="14351" max="14351" width="17.25" style="435" bestFit="1" customWidth="1"/>
    <col min="14352" max="14352" width="18.75" style="435" customWidth="1"/>
    <col min="14353" max="14353" width="4.875" style="435" customWidth="1"/>
    <col min="14354" max="14354" width="6.5" style="435" customWidth="1"/>
    <col min="14355" max="14592" width="8" style="435" hidden="1"/>
    <col min="14593" max="14593" width="12.875" style="435" customWidth="1"/>
    <col min="14594" max="14594" width="10.625" style="435" customWidth="1"/>
    <col min="14595" max="14606" width="8" style="435" customWidth="1"/>
    <col min="14607" max="14607" width="17.25" style="435" bestFit="1" customWidth="1"/>
    <col min="14608" max="14608" width="18.75" style="435" customWidth="1"/>
    <col min="14609" max="14609" width="4.875" style="435" customWidth="1"/>
    <col min="14610" max="14610" width="6.5" style="435" customWidth="1"/>
    <col min="14611" max="14848" width="8" style="435" hidden="1"/>
    <col min="14849" max="14849" width="12.875" style="435" customWidth="1"/>
    <col min="14850" max="14850" width="10.625" style="435" customWidth="1"/>
    <col min="14851" max="14862" width="8" style="435" customWidth="1"/>
    <col min="14863" max="14863" width="17.25" style="435" bestFit="1" customWidth="1"/>
    <col min="14864" max="14864" width="18.75" style="435" customWidth="1"/>
    <col min="14865" max="14865" width="4.875" style="435" customWidth="1"/>
    <col min="14866" max="14866" width="6.5" style="435" customWidth="1"/>
    <col min="14867" max="15104" width="8" style="435" hidden="1"/>
    <col min="15105" max="15105" width="12.875" style="435" customWidth="1"/>
    <col min="15106" max="15106" width="10.625" style="435" customWidth="1"/>
    <col min="15107" max="15118" width="8" style="435" customWidth="1"/>
    <col min="15119" max="15119" width="17.25" style="435" bestFit="1" customWidth="1"/>
    <col min="15120" max="15120" width="18.75" style="435" customWidth="1"/>
    <col min="15121" max="15121" width="4.875" style="435" customWidth="1"/>
    <col min="15122" max="15122" width="6.5" style="435" customWidth="1"/>
    <col min="15123" max="15360" width="8" style="435" hidden="1"/>
    <col min="15361" max="15361" width="12.875" style="435" customWidth="1"/>
    <col min="15362" max="15362" width="10.625" style="435" customWidth="1"/>
    <col min="15363" max="15374" width="8" style="435" customWidth="1"/>
    <col min="15375" max="15375" width="17.25" style="435" bestFit="1" customWidth="1"/>
    <col min="15376" max="15376" width="18.75" style="435" customWidth="1"/>
    <col min="15377" max="15377" width="4.875" style="435" customWidth="1"/>
    <col min="15378" max="15378" width="6.5" style="435" customWidth="1"/>
    <col min="15379" max="15616" width="8" style="435" hidden="1"/>
    <col min="15617" max="15617" width="12.875" style="435" customWidth="1"/>
    <col min="15618" max="15618" width="10.625" style="435" customWidth="1"/>
    <col min="15619" max="15630" width="8" style="435" customWidth="1"/>
    <col min="15631" max="15631" width="17.25" style="435" bestFit="1" customWidth="1"/>
    <col min="15632" max="15632" width="18.75" style="435" customWidth="1"/>
    <col min="15633" max="15633" width="4.875" style="435" customWidth="1"/>
    <col min="15634" max="15634" width="6.5" style="435" customWidth="1"/>
    <col min="15635" max="15872" width="8" style="435" hidden="1"/>
    <col min="15873" max="15873" width="12.875" style="435" customWidth="1"/>
    <col min="15874" max="15874" width="10.625" style="435" customWidth="1"/>
    <col min="15875" max="15886" width="8" style="435" customWidth="1"/>
    <col min="15887" max="15887" width="17.25" style="435" bestFit="1" customWidth="1"/>
    <col min="15888" max="15888" width="18.75" style="435" customWidth="1"/>
    <col min="15889" max="15889" width="4.875" style="435" customWidth="1"/>
    <col min="15890" max="15890" width="6.5" style="435" customWidth="1"/>
    <col min="15891" max="16128" width="8" style="435" hidden="1"/>
    <col min="16129" max="16129" width="12.875" style="435" customWidth="1"/>
    <col min="16130" max="16130" width="10.625" style="435" customWidth="1"/>
    <col min="16131" max="16142" width="8" style="435" customWidth="1"/>
    <col min="16143" max="16143" width="17.25" style="435" bestFit="1" customWidth="1"/>
    <col min="16144" max="16144" width="18.75" style="435" customWidth="1"/>
    <col min="16145" max="16145" width="4.875" style="435" customWidth="1"/>
    <col min="16146" max="16146" width="6.5" style="435" customWidth="1"/>
    <col min="16147" max="16384" width="8" style="435" hidden="1"/>
  </cols>
  <sheetData>
    <row r="1" spans="1:16" ht="15" customHeight="1"/>
    <row r="2" spans="1:16" ht="15" customHeight="1"/>
    <row r="3" spans="1:16" ht="23.25" customHeight="1">
      <c r="A3" s="434" t="s">
        <v>746</v>
      </c>
      <c r="B3" s="434" t="s">
        <v>1090</v>
      </c>
    </row>
    <row r="4" spans="1:16">
      <c r="A4" s="436">
        <v>7964.7386280024639</v>
      </c>
      <c r="B4" s="437">
        <v>23</v>
      </c>
      <c r="D4" s="438">
        <f>SUM(B4:B103)</f>
        <v>10000</v>
      </c>
      <c r="E4" s="439">
        <f>SUM(A4:A103)</f>
        <v>262047.93370911718</v>
      </c>
      <c r="O4" s="407" t="str">
        <f>HLOOKUP($L$104,$A$104:$K$123,3)</f>
        <v>Celda</v>
      </c>
      <c r="P4" s="408" t="s">
        <v>1241</v>
      </c>
    </row>
    <row r="5" spans="1:16">
      <c r="A5" s="436">
        <v>8221.6016955280356</v>
      </c>
      <c r="B5" s="437">
        <v>73</v>
      </c>
      <c r="O5" s="407" t="str">
        <f>HLOOKUP($L$104,$A$104:$K$123,4)</f>
        <v>Nombre</v>
      </c>
      <c r="P5" s="409" t="s">
        <v>957</v>
      </c>
    </row>
    <row r="6" spans="1:16">
      <c r="A6" s="436">
        <v>8478.4647630536092</v>
      </c>
      <c r="B6" s="437">
        <v>167</v>
      </c>
      <c r="O6" s="407" t="str">
        <f>HLOOKUP($L$104,$A$104:$K$123,5)</f>
        <v>Número de Intentos</v>
      </c>
      <c r="P6" s="409">
        <v>10000</v>
      </c>
    </row>
    <row r="7" spans="1:16">
      <c r="A7" s="436">
        <v>8735.327830579181</v>
      </c>
      <c r="B7" s="437">
        <v>316</v>
      </c>
      <c r="O7" s="407" t="str">
        <f>HLOOKUP($L$104,$A$104:$K$123,6)</f>
        <v>Media</v>
      </c>
      <c r="P7" s="410">
        <v>10256.652742088239</v>
      </c>
    </row>
    <row r="8" spans="1:16">
      <c r="A8" s="436">
        <v>8992.1908981047545</v>
      </c>
      <c r="B8" s="437">
        <v>526</v>
      </c>
      <c r="O8" s="407" t="str">
        <f>HLOOKUP($L$104,$A$104:$K$123,7)</f>
        <v>Mediana</v>
      </c>
      <c r="P8" s="410">
        <v>10154.379686124446</v>
      </c>
    </row>
    <row r="9" spans="1:16">
      <c r="A9" s="436">
        <v>9249.0539656303263</v>
      </c>
      <c r="B9" s="437">
        <v>692</v>
      </c>
      <c r="O9" s="407" t="str">
        <f>HLOOKUP($L$104,$A$104:$K$123,8)</f>
        <v>Desviación Estándar</v>
      </c>
      <c r="P9" s="410">
        <v>1064.0294097563828</v>
      </c>
    </row>
    <row r="10" spans="1:16">
      <c r="A10" s="436">
        <v>9505.9170331558998</v>
      </c>
      <c r="B10" s="437">
        <v>871</v>
      </c>
      <c r="O10" s="407" t="str">
        <f>HLOOKUP($L$104,$A$104:$K$123,9)</f>
        <v>Variación</v>
      </c>
      <c r="P10" s="410">
        <v>1132158.5848265162</v>
      </c>
    </row>
    <row r="11" spans="1:16">
      <c r="A11" s="436">
        <v>9762.7801006814716</v>
      </c>
      <c r="B11" s="437">
        <v>946</v>
      </c>
      <c r="O11" s="407" t="str">
        <f>HLOOKUP($L$104,$A$104:$K$123,10)</f>
        <v>Coeficiente de Variación</v>
      </c>
      <c r="P11" s="410">
        <v>0.10374041478367806</v>
      </c>
    </row>
    <row r="12" spans="1:16">
      <c r="A12" s="436">
        <v>10019.643168207043</v>
      </c>
      <c r="B12" s="437">
        <v>916</v>
      </c>
      <c r="O12" s="407" t="str">
        <f>HLOOKUP($L$104,$A$104:$K$123,11)</f>
        <v>Máximo</v>
      </c>
      <c r="P12" s="410">
        <v>13872.589181090632</v>
      </c>
    </row>
    <row r="13" spans="1:16">
      <c r="A13" s="436">
        <v>10276.506235732617</v>
      </c>
      <c r="B13" s="437">
        <v>864</v>
      </c>
      <c r="O13" s="407" t="str">
        <f>HLOOKUP($L$104,$A$104:$K$123,12)</f>
        <v>Mínimo</v>
      </c>
      <c r="P13" s="410">
        <v>7707.8755604768912</v>
      </c>
    </row>
    <row r="14" spans="1:16">
      <c r="A14" s="436">
        <v>10533.369303258189</v>
      </c>
      <c r="B14" s="437">
        <v>848</v>
      </c>
      <c r="O14" s="407" t="str">
        <f>HLOOKUP($L$104,$A$104:$K$123,13)</f>
        <v>Rango</v>
      </c>
      <c r="P14" s="410">
        <v>6164.7136206137411</v>
      </c>
    </row>
    <row r="15" spans="1:16">
      <c r="A15" s="436">
        <v>10790.232370783762</v>
      </c>
      <c r="B15" s="437">
        <v>786</v>
      </c>
      <c r="O15" s="407" t="str">
        <f>HLOOKUP($L$104,$A$104:$K$123,14)</f>
        <v>Asimetría</v>
      </c>
      <c r="P15" s="410">
        <v>0.37664725444176012</v>
      </c>
    </row>
    <row r="16" spans="1:16">
      <c r="A16" s="436">
        <v>11047.095438309334</v>
      </c>
      <c r="B16" s="437">
        <v>653</v>
      </c>
      <c r="O16" s="407" t="str">
        <f>HLOOKUP($L$104,$A$104:$K$123,15)</f>
        <v>Curtósis</v>
      </c>
      <c r="P16" s="410">
        <v>-0.31550787954789067</v>
      </c>
    </row>
    <row r="17" spans="1:16">
      <c r="A17" s="436">
        <v>11303.958505834908</v>
      </c>
      <c r="B17" s="437">
        <v>580</v>
      </c>
      <c r="O17" s="407" t="str">
        <f>HLOOKUP($L$104,$A$104:$K$123,16)</f>
        <v>Percentil 25%</v>
      </c>
      <c r="P17" s="410">
        <v>9452.0589721170527</v>
      </c>
    </row>
    <row r="18" spans="1:16">
      <c r="A18" s="436">
        <v>11560.821573360479</v>
      </c>
      <c r="B18" s="437">
        <v>463</v>
      </c>
      <c r="O18" s="407" t="str">
        <f>HLOOKUP($L$104,$A$104:$K$123,17)</f>
        <v>Percentil 75%</v>
      </c>
      <c r="P18" s="410">
        <v>10973.43898715495</v>
      </c>
    </row>
    <row r="19" spans="1:16">
      <c r="A19" s="436">
        <v>11817.684640886051</v>
      </c>
      <c r="B19" s="437">
        <v>384</v>
      </c>
      <c r="O19" s="407" t="str">
        <f>HLOOKUP($L$104,$A$104:$K$123,18)</f>
        <v>Precisión de Error 95%</v>
      </c>
      <c r="P19" s="410">
        <v>95</v>
      </c>
    </row>
    <row r="20" spans="1:16">
      <c r="A20" s="436">
        <v>12074.547708411625</v>
      </c>
      <c r="B20" s="437">
        <v>306</v>
      </c>
      <c r="O20" s="440">
        <v>0</v>
      </c>
      <c r="P20" s="411">
        <v>7707.8755604768912</v>
      </c>
    </row>
    <row r="21" spans="1:16">
      <c r="A21" s="436">
        <v>12331.410775937196</v>
      </c>
      <c r="B21" s="437">
        <v>224</v>
      </c>
      <c r="O21" s="440">
        <v>0.05</v>
      </c>
      <c r="P21" s="411">
        <v>8682.3131354698926</v>
      </c>
    </row>
    <row r="22" spans="1:16">
      <c r="A22" s="436">
        <v>12588.27384346277</v>
      </c>
      <c r="B22" s="437">
        <v>162</v>
      </c>
      <c r="O22" s="440">
        <v>0.1</v>
      </c>
      <c r="P22" s="411">
        <v>8947.8784626661109</v>
      </c>
    </row>
    <row r="23" spans="1:16">
      <c r="A23" s="436">
        <v>12845.136910988342</v>
      </c>
      <c r="B23" s="437">
        <v>84</v>
      </c>
      <c r="O23" s="440">
        <v>0.2</v>
      </c>
      <c r="P23" s="411">
        <v>9309.2970078246308</v>
      </c>
    </row>
    <row r="24" spans="1:16">
      <c r="A24" s="436">
        <v>13101.999978513915</v>
      </c>
      <c r="B24" s="437">
        <v>58</v>
      </c>
      <c r="O24" s="440">
        <v>0.3</v>
      </c>
      <c r="P24" s="411">
        <v>9597.5442844670742</v>
      </c>
    </row>
    <row r="25" spans="1:16">
      <c r="A25" s="436">
        <v>13358.863046039487</v>
      </c>
      <c r="B25" s="437">
        <v>40</v>
      </c>
      <c r="O25" s="440">
        <v>0.4</v>
      </c>
      <c r="P25" s="411">
        <v>9872.9352569246712</v>
      </c>
    </row>
    <row r="26" spans="1:16">
      <c r="A26" s="436">
        <v>13615.726113565061</v>
      </c>
      <c r="B26" s="437">
        <v>12</v>
      </c>
      <c r="O26" s="440">
        <v>0.5</v>
      </c>
      <c r="P26" s="411">
        <v>10154.379686124446</v>
      </c>
    </row>
    <row r="27" spans="1:16">
      <c r="A27" s="436">
        <v>13872.589181090632</v>
      </c>
      <c r="B27" s="437">
        <v>6</v>
      </c>
      <c r="O27" s="440">
        <v>0.6</v>
      </c>
      <c r="P27" s="411">
        <v>10455.410209212327</v>
      </c>
    </row>
    <row r="28" spans="1:16">
      <c r="A28" s="436"/>
      <c r="B28" s="437"/>
      <c r="C28" s="435" t="s">
        <v>188</v>
      </c>
      <c r="O28" s="440">
        <v>0.7</v>
      </c>
      <c r="P28" s="411">
        <v>10779.288755762233</v>
      </c>
    </row>
    <row r="29" spans="1:16">
      <c r="A29" s="436"/>
      <c r="B29" s="437"/>
      <c r="C29" s="441">
        <v>150</v>
      </c>
      <c r="O29" s="440">
        <v>0.8</v>
      </c>
      <c r="P29" s="411">
        <v>11191.80162912601</v>
      </c>
    </row>
    <row r="30" spans="1:16">
      <c r="A30" s="436"/>
      <c r="B30" s="437"/>
      <c r="O30" s="440">
        <v>0.9</v>
      </c>
      <c r="P30" s="411">
        <v>11736.076408317776</v>
      </c>
    </row>
    <row r="31" spans="1:16">
      <c r="A31" s="436"/>
      <c r="B31" s="437"/>
      <c r="O31" s="440">
        <v>0.95</v>
      </c>
      <c r="P31" s="411">
        <v>12153.906755726797</v>
      </c>
    </row>
    <row r="32" spans="1:16">
      <c r="A32" s="436"/>
      <c r="B32" s="437"/>
      <c r="O32" s="440">
        <v>0.99</v>
      </c>
      <c r="P32" s="411">
        <v>12882.362715753059</v>
      </c>
    </row>
    <row r="33" spans="1:16">
      <c r="A33" s="436"/>
      <c r="B33" s="437"/>
      <c r="O33" s="440">
        <v>1</v>
      </c>
      <c r="P33" s="411">
        <v>13872.589181090632</v>
      </c>
    </row>
    <row r="34" spans="1:16">
      <c r="A34" s="436"/>
      <c r="B34" s="437"/>
    </row>
    <row r="35" spans="1:16">
      <c r="A35" s="436"/>
      <c r="B35" s="437"/>
      <c r="P35" s="442"/>
    </row>
    <row r="36" spans="1:16">
      <c r="A36" s="436"/>
      <c r="B36" s="437"/>
    </row>
    <row r="37" spans="1:16">
      <c r="A37" s="436"/>
      <c r="B37" s="437"/>
    </row>
    <row r="38" spans="1:16">
      <c r="A38" s="436"/>
      <c r="B38" s="437"/>
    </row>
    <row r="39" spans="1:16">
      <c r="A39" s="436"/>
      <c r="B39" s="437"/>
    </row>
    <row r="40" spans="1:16">
      <c r="A40" s="436"/>
      <c r="B40" s="437"/>
    </row>
    <row r="41" spans="1:16">
      <c r="A41" s="436"/>
      <c r="B41" s="437"/>
    </row>
    <row r="42" spans="1:16">
      <c r="A42" s="436"/>
      <c r="B42" s="437"/>
    </row>
    <row r="43" spans="1:16">
      <c r="A43" s="436"/>
      <c r="B43" s="437"/>
    </row>
    <row r="44" spans="1:16">
      <c r="A44" s="436"/>
      <c r="B44" s="437"/>
    </row>
    <row r="45" spans="1:16">
      <c r="A45" s="436"/>
      <c r="B45" s="437"/>
    </row>
    <row r="46" spans="1:16">
      <c r="A46" s="436"/>
      <c r="B46" s="437"/>
    </row>
    <row r="47" spans="1:16">
      <c r="A47" s="436"/>
      <c r="B47" s="437"/>
    </row>
    <row r="48" spans="1:16">
      <c r="A48" s="436"/>
      <c r="B48" s="437"/>
    </row>
    <row r="49" spans="1:7">
      <c r="A49" s="436"/>
      <c r="B49" s="437"/>
    </row>
    <row r="50" spans="1:7">
      <c r="A50" s="436"/>
      <c r="B50" s="437"/>
    </row>
    <row r="51" spans="1:7">
      <c r="A51" s="436"/>
      <c r="B51" s="437"/>
      <c r="G51" s="443"/>
    </row>
    <row r="52" spans="1:7">
      <c r="A52" s="436"/>
      <c r="B52" s="437"/>
      <c r="G52" s="443"/>
    </row>
    <row r="53" spans="1:7">
      <c r="A53" s="436"/>
      <c r="B53" s="437"/>
      <c r="G53" s="443"/>
    </row>
    <row r="54" spans="1:7">
      <c r="A54" s="436"/>
      <c r="B54" s="437"/>
    </row>
    <row r="55" spans="1:7">
      <c r="A55" s="436"/>
      <c r="B55" s="437"/>
    </row>
    <row r="56" spans="1:7">
      <c r="A56" s="436"/>
      <c r="B56" s="437"/>
    </row>
    <row r="57" spans="1:7">
      <c r="A57" s="436"/>
      <c r="B57" s="437"/>
    </row>
    <row r="58" spans="1:7">
      <c r="A58" s="436"/>
      <c r="B58" s="437"/>
    </row>
    <row r="59" spans="1:7">
      <c r="A59" s="436"/>
      <c r="B59" s="437"/>
    </row>
    <row r="60" spans="1:7">
      <c r="A60" s="436"/>
      <c r="B60" s="437"/>
    </row>
    <row r="61" spans="1:7">
      <c r="A61" s="436"/>
      <c r="B61" s="437"/>
    </row>
    <row r="62" spans="1:7">
      <c r="A62" s="436"/>
      <c r="B62" s="437"/>
    </row>
    <row r="63" spans="1:7">
      <c r="A63" s="436"/>
      <c r="B63" s="437"/>
    </row>
    <row r="64" spans="1:7">
      <c r="A64" s="436"/>
      <c r="B64" s="437"/>
    </row>
    <row r="65" spans="1:16">
      <c r="A65" s="436"/>
      <c r="B65" s="437"/>
      <c r="O65" s="444" t="s">
        <v>1091</v>
      </c>
      <c r="P65" s="444" t="s">
        <v>1092</v>
      </c>
    </row>
    <row r="66" spans="1:16">
      <c r="A66" s="436"/>
      <c r="B66" s="437"/>
      <c r="O66" s="445">
        <v>11</v>
      </c>
      <c r="P66" s="445">
        <v>20</v>
      </c>
    </row>
    <row r="67" spans="1:16">
      <c r="A67" s="436"/>
      <c r="B67" s="437"/>
      <c r="O67" s="446">
        <f>O66</f>
        <v>11</v>
      </c>
      <c r="P67" s="446">
        <f>P66</f>
        <v>20</v>
      </c>
    </row>
    <row r="68" spans="1:16">
      <c r="A68" s="436"/>
      <c r="B68" s="437"/>
      <c r="O68" s="446">
        <f t="shared" ref="O68:P83" si="0">O67</f>
        <v>11</v>
      </c>
      <c r="P68" s="446">
        <f t="shared" si="0"/>
        <v>20</v>
      </c>
    </row>
    <row r="69" spans="1:16">
      <c r="A69" s="436"/>
      <c r="B69" s="437"/>
      <c r="O69" s="446">
        <f t="shared" si="0"/>
        <v>11</v>
      </c>
      <c r="P69" s="446">
        <f t="shared" si="0"/>
        <v>20</v>
      </c>
    </row>
    <row r="70" spans="1:16">
      <c r="A70" s="436"/>
      <c r="B70" s="437"/>
      <c r="O70" s="446">
        <f t="shared" si="0"/>
        <v>11</v>
      </c>
      <c r="P70" s="446">
        <f t="shared" si="0"/>
        <v>20</v>
      </c>
    </row>
    <row r="71" spans="1:16">
      <c r="A71" s="436"/>
      <c r="B71" s="437"/>
      <c r="O71" s="446">
        <f t="shared" si="0"/>
        <v>11</v>
      </c>
      <c r="P71" s="446">
        <f t="shared" si="0"/>
        <v>20</v>
      </c>
    </row>
    <row r="72" spans="1:16">
      <c r="A72" s="436"/>
      <c r="B72" s="437"/>
      <c r="O72" s="446">
        <f t="shared" si="0"/>
        <v>11</v>
      </c>
      <c r="P72" s="446">
        <f t="shared" si="0"/>
        <v>20</v>
      </c>
    </row>
    <row r="73" spans="1:16">
      <c r="A73" s="444"/>
      <c r="B73" s="444"/>
      <c r="O73" s="446">
        <f t="shared" si="0"/>
        <v>11</v>
      </c>
      <c r="P73" s="446">
        <f t="shared" si="0"/>
        <v>20</v>
      </c>
    </row>
    <row r="74" spans="1:16">
      <c r="A74" s="444"/>
      <c r="B74" s="444"/>
      <c r="O74" s="446">
        <f t="shared" si="0"/>
        <v>11</v>
      </c>
      <c r="P74" s="446">
        <f t="shared" si="0"/>
        <v>20</v>
      </c>
    </row>
    <row r="75" spans="1:16">
      <c r="O75" s="446">
        <f t="shared" si="0"/>
        <v>11</v>
      </c>
      <c r="P75" s="446">
        <f t="shared" si="0"/>
        <v>20</v>
      </c>
    </row>
    <row r="76" spans="1:16">
      <c r="O76" s="446">
        <f t="shared" si="0"/>
        <v>11</v>
      </c>
      <c r="P76" s="446">
        <f t="shared" si="0"/>
        <v>20</v>
      </c>
    </row>
    <row r="77" spans="1:16">
      <c r="O77" s="446">
        <f t="shared" si="0"/>
        <v>11</v>
      </c>
      <c r="P77" s="446">
        <f t="shared" si="0"/>
        <v>20</v>
      </c>
    </row>
    <row r="78" spans="1:16">
      <c r="O78" s="446">
        <f t="shared" si="0"/>
        <v>11</v>
      </c>
      <c r="P78" s="446">
        <f t="shared" si="0"/>
        <v>20</v>
      </c>
    </row>
    <row r="79" spans="1:16">
      <c r="O79" s="446">
        <f t="shared" si="0"/>
        <v>11</v>
      </c>
      <c r="P79" s="446">
        <f t="shared" si="0"/>
        <v>20</v>
      </c>
    </row>
    <row r="80" spans="1:16">
      <c r="O80" s="446">
        <f t="shared" si="0"/>
        <v>11</v>
      </c>
      <c r="P80" s="446">
        <f t="shared" si="0"/>
        <v>20</v>
      </c>
    </row>
    <row r="81" spans="15:16">
      <c r="O81" s="446">
        <f t="shared" si="0"/>
        <v>11</v>
      </c>
      <c r="P81" s="446">
        <f t="shared" si="0"/>
        <v>20</v>
      </c>
    </row>
    <row r="82" spans="15:16">
      <c r="O82" s="446">
        <f t="shared" si="0"/>
        <v>11</v>
      </c>
      <c r="P82" s="446">
        <f t="shared" si="0"/>
        <v>20</v>
      </c>
    </row>
    <row r="83" spans="15:16">
      <c r="O83" s="446">
        <f t="shared" si="0"/>
        <v>11</v>
      </c>
      <c r="P83" s="446">
        <f t="shared" si="0"/>
        <v>20</v>
      </c>
    </row>
    <row r="84" spans="15:16">
      <c r="O84" s="446">
        <f t="shared" ref="O84:P90" si="1">O83</f>
        <v>11</v>
      </c>
      <c r="P84" s="446">
        <f t="shared" si="1"/>
        <v>20</v>
      </c>
    </row>
    <row r="85" spans="15:16">
      <c r="O85" s="446">
        <f t="shared" si="1"/>
        <v>11</v>
      </c>
      <c r="P85" s="446">
        <f t="shared" si="1"/>
        <v>20</v>
      </c>
    </row>
    <row r="86" spans="15:16" hidden="1">
      <c r="O86" s="446">
        <f t="shared" si="1"/>
        <v>11</v>
      </c>
      <c r="P86" s="446">
        <f t="shared" si="1"/>
        <v>20</v>
      </c>
    </row>
    <row r="87" spans="15:16" hidden="1">
      <c r="O87" s="446">
        <f t="shared" si="1"/>
        <v>11</v>
      </c>
      <c r="P87" s="446">
        <f t="shared" si="1"/>
        <v>20</v>
      </c>
    </row>
    <row r="88" spans="15:16" hidden="1">
      <c r="O88" s="446">
        <f t="shared" si="1"/>
        <v>11</v>
      </c>
      <c r="P88" s="446">
        <f t="shared" si="1"/>
        <v>20</v>
      </c>
    </row>
    <row r="89" spans="15:16" hidden="1">
      <c r="O89" s="446">
        <f t="shared" si="1"/>
        <v>11</v>
      </c>
      <c r="P89" s="446">
        <f t="shared" si="1"/>
        <v>20</v>
      </c>
    </row>
    <row r="90" spans="15:16" hidden="1">
      <c r="O90" s="446">
        <f t="shared" si="1"/>
        <v>11</v>
      </c>
      <c r="P90" s="446">
        <f t="shared" si="1"/>
        <v>20</v>
      </c>
    </row>
    <row r="91" spans="15:16" hidden="1"/>
    <row r="92" spans="15:16" hidden="1"/>
    <row r="93" spans="15:16" hidden="1"/>
    <row r="94" spans="15:16" hidden="1"/>
    <row r="95" spans="15:16" hidden="1"/>
    <row r="96" spans="15:16" hidden="1"/>
    <row r="97" spans="1:12" hidden="1"/>
    <row r="98" spans="1:12" hidden="1"/>
    <row r="99" spans="1:12" hidden="1"/>
    <row r="100" spans="1:12" hidden="1"/>
    <row r="101" spans="1:12" hidden="1"/>
    <row r="102" spans="1:12" hidden="1"/>
    <row r="103" spans="1:12" hidden="1"/>
    <row r="104" spans="1:12" hidden="1">
      <c r="A104" s="447">
        <v>1</v>
      </c>
      <c r="B104" s="447">
        <v>2</v>
      </c>
      <c r="C104" s="447">
        <v>3</v>
      </c>
      <c r="D104" s="447">
        <v>4</v>
      </c>
      <c r="E104" s="447">
        <v>5</v>
      </c>
      <c r="F104" s="447">
        <v>6</v>
      </c>
      <c r="G104" s="447">
        <v>7</v>
      </c>
      <c r="H104" s="447">
        <v>8</v>
      </c>
      <c r="I104" s="447">
        <v>9</v>
      </c>
      <c r="J104" s="447">
        <v>10</v>
      </c>
      <c r="K104" s="447">
        <v>11</v>
      </c>
      <c r="L104" s="447">
        <v>2</v>
      </c>
    </row>
    <row r="105" spans="1:12" hidden="1">
      <c r="A105" s="435" t="s">
        <v>1093</v>
      </c>
      <c r="B105" s="435" t="s">
        <v>1094</v>
      </c>
      <c r="C105" s="448" t="s">
        <v>1095</v>
      </c>
      <c r="D105" s="435" t="s">
        <v>1096</v>
      </c>
      <c r="E105" s="448" t="s">
        <v>1097</v>
      </c>
      <c r="F105" s="448" t="s">
        <v>1098</v>
      </c>
      <c r="G105" s="448" t="s">
        <v>1099</v>
      </c>
      <c r="H105" s="448" t="s">
        <v>1100</v>
      </c>
      <c r="I105" s="448" t="s">
        <v>1101</v>
      </c>
      <c r="J105" s="448" t="s">
        <v>1102</v>
      </c>
      <c r="K105" s="448" t="s">
        <v>1103</v>
      </c>
      <c r="L105" s="435" t="s">
        <v>1093</v>
      </c>
    </row>
    <row r="106" spans="1:12" hidden="1">
      <c r="A106" s="405" t="s">
        <v>1068</v>
      </c>
      <c r="B106" s="449" t="s">
        <v>944</v>
      </c>
      <c r="C106" s="449" t="s">
        <v>1104</v>
      </c>
      <c r="D106" s="449" t="s">
        <v>1105</v>
      </c>
      <c r="E106" s="449" t="s">
        <v>1106</v>
      </c>
      <c r="F106" s="449" t="s">
        <v>1107</v>
      </c>
      <c r="G106" s="449" t="s">
        <v>1108</v>
      </c>
      <c r="H106" s="449" t="s">
        <v>1109</v>
      </c>
      <c r="I106" s="405" t="s">
        <v>1110</v>
      </c>
      <c r="J106" s="449" t="s">
        <v>1111</v>
      </c>
      <c r="K106" s="449" t="s">
        <v>1112</v>
      </c>
      <c r="L106" s="435" t="s">
        <v>1094</v>
      </c>
    </row>
    <row r="107" spans="1:12" hidden="1">
      <c r="A107" s="405" t="s">
        <v>1067</v>
      </c>
      <c r="B107" s="449" t="s">
        <v>945</v>
      </c>
      <c r="C107" s="449" t="s">
        <v>1113</v>
      </c>
      <c r="D107" s="449" t="s">
        <v>1067</v>
      </c>
      <c r="E107" s="449" t="s">
        <v>1113</v>
      </c>
      <c r="F107" s="449" t="s">
        <v>1114</v>
      </c>
      <c r="G107" s="449" t="s">
        <v>1115</v>
      </c>
      <c r="H107" s="449" t="s">
        <v>1116</v>
      </c>
      <c r="I107" s="449" t="s">
        <v>1117</v>
      </c>
      <c r="J107" s="449" t="s">
        <v>1118</v>
      </c>
      <c r="K107" s="449" t="s">
        <v>1119</v>
      </c>
      <c r="L107" s="435" t="s">
        <v>1095</v>
      </c>
    </row>
    <row r="108" spans="1:12" hidden="1">
      <c r="A108" s="405" t="s">
        <v>1070</v>
      </c>
      <c r="B108" s="449" t="s">
        <v>953</v>
      </c>
      <c r="C108" s="449" t="s">
        <v>1120</v>
      </c>
      <c r="D108" s="449" t="s">
        <v>1121</v>
      </c>
      <c r="E108" s="449" t="s">
        <v>1122</v>
      </c>
      <c r="F108" s="449" t="s">
        <v>1123</v>
      </c>
      <c r="G108" s="449" t="s">
        <v>1124</v>
      </c>
      <c r="H108" s="449" t="s">
        <v>1125</v>
      </c>
      <c r="I108" s="449" t="s">
        <v>1126</v>
      </c>
      <c r="J108" s="449" t="s">
        <v>1127</v>
      </c>
      <c r="K108" s="449" t="s">
        <v>1128</v>
      </c>
      <c r="L108" s="435" t="s">
        <v>1096</v>
      </c>
    </row>
    <row r="109" spans="1:12" hidden="1">
      <c r="A109" s="405" t="s">
        <v>1071</v>
      </c>
      <c r="B109" s="449" t="s">
        <v>552</v>
      </c>
      <c r="C109" s="449" t="s">
        <v>1129</v>
      </c>
      <c r="D109" s="449" t="s">
        <v>1130</v>
      </c>
      <c r="E109" s="449" t="s">
        <v>1131</v>
      </c>
      <c r="F109" s="449" t="s">
        <v>1132</v>
      </c>
      <c r="G109" s="449" t="s">
        <v>1132</v>
      </c>
      <c r="H109" s="449" t="s">
        <v>1133</v>
      </c>
      <c r="I109" s="449" t="s">
        <v>552</v>
      </c>
      <c r="J109" s="449" t="s">
        <v>1134</v>
      </c>
      <c r="K109" s="449" t="s">
        <v>1135</v>
      </c>
      <c r="L109" s="435" t="s">
        <v>1097</v>
      </c>
    </row>
    <row r="110" spans="1:12" hidden="1">
      <c r="A110" s="405" t="s">
        <v>1072</v>
      </c>
      <c r="B110" s="449" t="s">
        <v>554</v>
      </c>
      <c r="C110" s="449" t="s">
        <v>554</v>
      </c>
      <c r="D110" s="449" t="s">
        <v>1136</v>
      </c>
      <c r="E110" s="449" t="s">
        <v>1137</v>
      </c>
      <c r="F110" s="449" t="s">
        <v>1138</v>
      </c>
      <c r="G110" s="449" t="s">
        <v>1139</v>
      </c>
      <c r="H110" s="449" t="s">
        <v>1140</v>
      </c>
      <c r="I110" s="449" t="s">
        <v>554</v>
      </c>
      <c r="J110" s="449" t="s">
        <v>1141</v>
      </c>
      <c r="K110" s="449" t="s">
        <v>1142</v>
      </c>
      <c r="L110" s="435" t="s">
        <v>1098</v>
      </c>
    </row>
    <row r="111" spans="1:12" hidden="1">
      <c r="A111" s="405" t="s">
        <v>1073</v>
      </c>
      <c r="B111" s="449" t="s">
        <v>1143</v>
      </c>
      <c r="C111" s="449" t="s">
        <v>1144</v>
      </c>
      <c r="D111" s="449" t="s">
        <v>1145</v>
      </c>
      <c r="E111" s="449" t="s">
        <v>1146</v>
      </c>
      <c r="F111" s="449" t="s">
        <v>1147</v>
      </c>
      <c r="G111" s="449" t="s">
        <v>1148</v>
      </c>
      <c r="H111" s="449" t="s">
        <v>1149</v>
      </c>
      <c r="I111" s="449" t="s">
        <v>1150</v>
      </c>
      <c r="J111" s="449" t="s">
        <v>1151</v>
      </c>
      <c r="K111" s="449" t="s">
        <v>1152</v>
      </c>
      <c r="L111" s="435" t="s">
        <v>1099</v>
      </c>
    </row>
    <row r="112" spans="1:12" hidden="1">
      <c r="A112" s="405" t="s">
        <v>1074</v>
      </c>
      <c r="B112" s="449" t="s">
        <v>946</v>
      </c>
      <c r="C112" s="449" t="s">
        <v>1153</v>
      </c>
      <c r="D112" s="449" t="s">
        <v>1154</v>
      </c>
      <c r="E112" s="449" t="s">
        <v>1074</v>
      </c>
      <c r="F112" s="449" t="s">
        <v>1155</v>
      </c>
      <c r="G112" s="449" t="s">
        <v>1156</v>
      </c>
      <c r="H112" s="449" t="s">
        <v>1157</v>
      </c>
      <c r="I112" s="449" t="s">
        <v>1158</v>
      </c>
      <c r="J112" s="449" t="s">
        <v>1159</v>
      </c>
      <c r="K112" s="449" t="s">
        <v>1160</v>
      </c>
      <c r="L112" s="435" t="s">
        <v>1100</v>
      </c>
    </row>
    <row r="113" spans="1:12" hidden="1">
      <c r="A113" s="405" t="s">
        <v>1075</v>
      </c>
      <c r="B113" s="449" t="s">
        <v>947</v>
      </c>
      <c r="C113" s="449" t="s">
        <v>1161</v>
      </c>
      <c r="D113" s="449" t="s">
        <v>1162</v>
      </c>
      <c r="E113" s="449" t="s">
        <v>1163</v>
      </c>
      <c r="F113" s="449" t="s">
        <v>1164</v>
      </c>
      <c r="G113" s="449" t="s">
        <v>1165</v>
      </c>
      <c r="H113" s="449" t="s">
        <v>1166</v>
      </c>
      <c r="I113" s="449" t="s">
        <v>1167</v>
      </c>
      <c r="J113" s="449" t="s">
        <v>1168</v>
      </c>
      <c r="K113" s="449" t="s">
        <v>1169</v>
      </c>
      <c r="L113" s="435" t="s">
        <v>1101</v>
      </c>
    </row>
    <row r="114" spans="1:12" hidden="1">
      <c r="A114" s="405" t="s">
        <v>1076</v>
      </c>
      <c r="B114" s="449" t="s">
        <v>562</v>
      </c>
      <c r="C114" s="449" t="s">
        <v>562</v>
      </c>
      <c r="D114" s="449" t="s">
        <v>1076</v>
      </c>
      <c r="E114" s="449" t="s">
        <v>1076</v>
      </c>
      <c r="F114" s="449" t="s">
        <v>1170</v>
      </c>
      <c r="G114" s="449" t="s">
        <v>1170</v>
      </c>
      <c r="H114" s="449" t="s">
        <v>1171</v>
      </c>
      <c r="I114" s="449" t="s">
        <v>1172</v>
      </c>
      <c r="J114" s="449" t="s">
        <v>1173</v>
      </c>
      <c r="K114" s="449" t="s">
        <v>1174</v>
      </c>
      <c r="L114" s="435" t="s">
        <v>1102</v>
      </c>
    </row>
    <row r="115" spans="1:12" hidden="1">
      <c r="A115" s="405" t="s">
        <v>1077</v>
      </c>
      <c r="B115" s="449" t="s">
        <v>561</v>
      </c>
      <c r="C115" s="449" t="s">
        <v>561</v>
      </c>
      <c r="D115" s="449" t="s">
        <v>1077</v>
      </c>
      <c r="E115" s="449" t="s">
        <v>1077</v>
      </c>
      <c r="F115" s="449" t="s">
        <v>1175</v>
      </c>
      <c r="G115" s="449" t="s">
        <v>1175</v>
      </c>
      <c r="H115" s="449" t="s">
        <v>1176</v>
      </c>
      <c r="I115" s="449" t="s">
        <v>181</v>
      </c>
      <c r="J115" s="449" t="s">
        <v>1177</v>
      </c>
      <c r="K115" s="449" t="s">
        <v>1178</v>
      </c>
      <c r="L115" s="435" t="s">
        <v>1103</v>
      </c>
    </row>
    <row r="116" spans="1:12" hidden="1">
      <c r="A116" s="405" t="s">
        <v>1069</v>
      </c>
      <c r="B116" s="449" t="s">
        <v>560</v>
      </c>
      <c r="C116" s="449" t="s">
        <v>1179</v>
      </c>
      <c r="D116" s="449" t="s">
        <v>1180</v>
      </c>
      <c r="E116" s="449" t="s">
        <v>1181</v>
      </c>
      <c r="F116" s="449" t="s">
        <v>1182</v>
      </c>
      <c r="G116" s="449" t="s">
        <v>1183</v>
      </c>
      <c r="H116" s="449" t="s">
        <v>1184</v>
      </c>
      <c r="I116" s="449" t="s">
        <v>1185</v>
      </c>
      <c r="J116" s="449" t="s">
        <v>1186</v>
      </c>
      <c r="K116" s="449" t="s">
        <v>1187</v>
      </c>
    </row>
    <row r="117" spans="1:12" hidden="1">
      <c r="A117" s="405" t="s">
        <v>1078</v>
      </c>
      <c r="B117" s="449" t="s">
        <v>948</v>
      </c>
      <c r="C117" s="449" t="s">
        <v>1188</v>
      </c>
      <c r="D117" s="449" t="s">
        <v>1189</v>
      </c>
      <c r="E117" s="449" t="s">
        <v>1190</v>
      </c>
      <c r="F117" s="449" t="s">
        <v>1191</v>
      </c>
      <c r="G117" s="449" t="s">
        <v>1191</v>
      </c>
      <c r="H117" s="449" t="s">
        <v>1192</v>
      </c>
      <c r="I117" s="449" t="s">
        <v>1193</v>
      </c>
      <c r="J117" s="449" t="s">
        <v>1194</v>
      </c>
      <c r="K117" s="449" t="s">
        <v>1195</v>
      </c>
    </row>
    <row r="118" spans="1:12" hidden="1">
      <c r="A118" s="405" t="s">
        <v>1079</v>
      </c>
      <c r="B118" s="449" t="s">
        <v>949</v>
      </c>
      <c r="C118" s="449" t="s">
        <v>1196</v>
      </c>
      <c r="D118" s="449" t="s">
        <v>1079</v>
      </c>
      <c r="E118" s="449" t="s">
        <v>1079</v>
      </c>
      <c r="F118" s="449" t="s">
        <v>1197</v>
      </c>
      <c r="G118" s="449" t="s">
        <v>1197</v>
      </c>
      <c r="H118" s="449" t="s">
        <v>1198</v>
      </c>
      <c r="I118" s="449" t="s">
        <v>1199</v>
      </c>
      <c r="J118" s="449" t="s">
        <v>1200</v>
      </c>
      <c r="K118" s="449" t="s">
        <v>1201</v>
      </c>
    </row>
    <row r="119" spans="1:12" hidden="1">
      <c r="A119" s="405" t="s">
        <v>1080</v>
      </c>
      <c r="B119" s="449" t="s">
        <v>950</v>
      </c>
      <c r="C119" s="449" t="s">
        <v>1202</v>
      </c>
      <c r="D119" s="449" t="s">
        <v>1203</v>
      </c>
      <c r="E119" s="449" t="s">
        <v>1204</v>
      </c>
      <c r="F119" s="449" t="s">
        <v>1205</v>
      </c>
      <c r="G119" s="449" t="s">
        <v>1205</v>
      </c>
      <c r="H119" s="449" t="s">
        <v>1206</v>
      </c>
      <c r="I119" s="449" t="s">
        <v>1080</v>
      </c>
      <c r="J119" s="449" t="s">
        <v>1207</v>
      </c>
      <c r="K119" s="449" t="s">
        <v>1208</v>
      </c>
    </row>
    <row r="120" spans="1:12" hidden="1">
      <c r="A120" s="405" t="s">
        <v>1081</v>
      </c>
      <c r="B120" s="449" t="s">
        <v>951</v>
      </c>
      <c r="C120" s="449" t="s">
        <v>1209</v>
      </c>
      <c r="D120" s="449" t="s">
        <v>1210</v>
      </c>
      <c r="E120" s="449" t="s">
        <v>1211</v>
      </c>
      <c r="F120" s="449" t="s">
        <v>1212</v>
      </c>
      <c r="G120" s="449" t="s">
        <v>1212</v>
      </c>
      <c r="H120" s="449" t="s">
        <v>1213</v>
      </c>
      <c r="I120" s="449" t="s">
        <v>1081</v>
      </c>
      <c r="J120" s="449" t="s">
        <v>1214</v>
      </c>
      <c r="K120" s="449" t="s">
        <v>1215</v>
      </c>
    </row>
    <row r="121" spans="1:12" hidden="1">
      <c r="A121" s="405" t="s">
        <v>1082</v>
      </c>
      <c r="B121" s="449" t="s">
        <v>952</v>
      </c>
      <c r="C121" s="406" t="s">
        <v>1216</v>
      </c>
      <c r="D121" s="449" t="s">
        <v>1217</v>
      </c>
      <c r="E121" s="449" t="s">
        <v>1218</v>
      </c>
      <c r="F121" s="449" t="s">
        <v>1219</v>
      </c>
      <c r="G121" s="449" t="s">
        <v>1220</v>
      </c>
      <c r="H121" s="449" t="s">
        <v>1221</v>
      </c>
      <c r="I121" s="449" t="s">
        <v>1222</v>
      </c>
      <c r="J121" s="449" t="s">
        <v>1223</v>
      </c>
      <c r="K121" s="449" t="s">
        <v>1224</v>
      </c>
    </row>
    <row r="122" spans="1:12" hidden="1">
      <c r="A122" s="405" t="s">
        <v>1091</v>
      </c>
      <c r="B122" s="449" t="s">
        <v>1225</v>
      </c>
      <c r="C122" s="449" t="s">
        <v>1226</v>
      </c>
      <c r="D122" s="449" t="s">
        <v>1227</v>
      </c>
      <c r="E122" s="449" t="s">
        <v>1228</v>
      </c>
      <c r="F122" s="449" t="s">
        <v>1229</v>
      </c>
      <c r="G122" s="449" t="s">
        <v>1229</v>
      </c>
      <c r="H122" s="449" t="s">
        <v>1230</v>
      </c>
      <c r="I122" s="449" t="s">
        <v>1231</v>
      </c>
      <c r="J122" s="449" t="s">
        <v>1232</v>
      </c>
      <c r="K122" s="449" t="s">
        <v>1229</v>
      </c>
    </row>
    <row r="123" spans="1:12" hidden="1">
      <c r="A123" s="405" t="s">
        <v>1092</v>
      </c>
      <c r="B123" s="449" t="s">
        <v>1233</v>
      </c>
      <c r="C123" s="449" t="s">
        <v>1234</v>
      </c>
      <c r="D123" s="449" t="s">
        <v>1235</v>
      </c>
      <c r="E123" s="449" t="s">
        <v>1236</v>
      </c>
      <c r="F123" s="449" t="s">
        <v>1237</v>
      </c>
      <c r="G123" s="449" t="s">
        <v>1237</v>
      </c>
      <c r="H123" s="449" t="s">
        <v>1238</v>
      </c>
      <c r="I123" s="449" t="s">
        <v>1239</v>
      </c>
      <c r="J123" s="449" t="s">
        <v>1240</v>
      </c>
      <c r="K123" s="449" t="s">
        <v>1237</v>
      </c>
    </row>
    <row r="124" spans="1:12" hidden="1"/>
    <row r="125" spans="1:12" hidden="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9329" r:id="rId3" name="Drop Down 1">
              <controlPr defaultSize="0" autoLine="0" autoPict="0">
                <anchor moveWithCells="1">
                  <from>
                    <xdr:col>15</xdr:col>
                    <xdr:colOff>533400</xdr:colOff>
                    <xdr:row>2</xdr:row>
                    <xdr:rowOff>104775</xdr:rowOff>
                  </from>
                  <to>
                    <xdr:col>15</xdr:col>
                    <xdr:colOff>1419225</xdr:colOff>
                    <xdr:row>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2"/>
  <sheetViews>
    <sheetView topLeftCell="A17" workbookViewId="0">
      <selection activeCell="B43" sqref="B43"/>
    </sheetView>
  </sheetViews>
  <sheetFormatPr baseColWidth="10" defaultColWidth="9" defaultRowHeight="12"/>
  <cols>
    <col min="1" max="1" width="1" style="406" customWidth="1"/>
    <col min="2" max="2" width="34.625" style="406" customWidth="1"/>
    <col min="3" max="5" width="9.125" style="406" customWidth="1"/>
    <col min="6" max="7" width="8.25" style="406" bestFit="1" customWidth="1"/>
    <col min="8" max="8" width="10.375" style="406" customWidth="1"/>
    <col min="9" max="9" width="5.5" style="406" customWidth="1"/>
    <col min="10" max="13" width="9" style="406"/>
    <col min="14" max="14" width="28.25" style="406" customWidth="1"/>
    <col min="15" max="256" width="9" style="406"/>
    <col min="257" max="257" width="1" style="406" customWidth="1"/>
    <col min="258" max="258" width="30.375" style="406" customWidth="1"/>
    <col min="259" max="261" width="9.125" style="406" customWidth="1"/>
    <col min="262" max="263" width="8.25" style="406" bestFit="1" customWidth="1"/>
    <col min="264" max="264" width="9.125" style="406" customWidth="1"/>
    <col min="265" max="265" width="4.875" style="406" customWidth="1"/>
    <col min="266" max="269" width="9" style="406"/>
    <col min="270" max="270" width="28.25" style="406" customWidth="1"/>
    <col min="271" max="512" width="9" style="406"/>
    <col min="513" max="513" width="1" style="406" customWidth="1"/>
    <col min="514" max="514" width="30.375" style="406" customWidth="1"/>
    <col min="515" max="517" width="9.125" style="406" customWidth="1"/>
    <col min="518" max="519" width="8.25" style="406" bestFit="1" customWidth="1"/>
    <col min="520" max="520" width="9.125" style="406" customWidth="1"/>
    <col min="521" max="521" width="4.875" style="406" customWidth="1"/>
    <col min="522" max="525" width="9" style="406"/>
    <col min="526" max="526" width="28.25" style="406" customWidth="1"/>
    <col min="527" max="768" width="9" style="406"/>
    <col min="769" max="769" width="1" style="406" customWidth="1"/>
    <col min="770" max="770" width="30.375" style="406" customWidth="1"/>
    <col min="771" max="773" width="9.125" style="406" customWidth="1"/>
    <col min="774" max="775" width="8.25" style="406" bestFit="1" customWidth="1"/>
    <col min="776" max="776" width="9.125" style="406" customWidth="1"/>
    <col min="777" max="777" width="4.875" style="406" customWidth="1"/>
    <col min="778" max="781" width="9" style="406"/>
    <col min="782" max="782" width="28.25" style="406" customWidth="1"/>
    <col min="783" max="1024" width="9" style="406"/>
    <col min="1025" max="1025" width="1" style="406" customWidth="1"/>
    <col min="1026" max="1026" width="30.375" style="406" customWidth="1"/>
    <col min="1027" max="1029" width="9.125" style="406" customWidth="1"/>
    <col min="1030" max="1031" width="8.25" style="406" bestFit="1" customWidth="1"/>
    <col min="1032" max="1032" width="9.125" style="406" customWidth="1"/>
    <col min="1033" max="1033" width="4.875" style="406" customWidth="1"/>
    <col min="1034" max="1037" width="9" style="406"/>
    <col min="1038" max="1038" width="28.25" style="406" customWidth="1"/>
    <col min="1039" max="1280" width="9" style="406"/>
    <col min="1281" max="1281" width="1" style="406" customWidth="1"/>
    <col min="1282" max="1282" width="30.375" style="406" customWidth="1"/>
    <col min="1283" max="1285" width="9.125" style="406" customWidth="1"/>
    <col min="1286" max="1287" width="8.25" style="406" bestFit="1" customWidth="1"/>
    <col min="1288" max="1288" width="9.125" style="406" customWidth="1"/>
    <col min="1289" max="1289" width="4.875" style="406" customWidth="1"/>
    <col min="1290" max="1293" width="9" style="406"/>
    <col min="1294" max="1294" width="28.25" style="406" customWidth="1"/>
    <col min="1295" max="1536" width="9" style="406"/>
    <col min="1537" max="1537" width="1" style="406" customWidth="1"/>
    <col min="1538" max="1538" width="30.375" style="406" customWidth="1"/>
    <col min="1539" max="1541" width="9.125" style="406" customWidth="1"/>
    <col min="1542" max="1543" width="8.25" style="406" bestFit="1" customWidth="1"/>
    <col min="1544" max="1544" width="9.125" style="406" customWidth="1"/>
    <col min="1545" max="1545" width="4.875" style="406" customWidth="1"/>
    <col min="1546" max="1549" width="9" style="406"/>
    <col min="1550" max="1550" width="28.25" style="406" customWidth="1"/>
    <col min="1551" max="1792" width="9" style="406"/>
    <col min="1793" max="1793" width="1" style="406" customWidth="1"/>
    <col min="1794" max="1794" width="30.375" style="406" customWidth="1"/>
    <col min="1795" max="1797" width="9.125" style="406" customWidth="1"/>
    <col min="1798" max="1799" width="8.25" style="406" bestFit="1" customWidth="1"/>
    <col min="1800" max="1800" width="9.125" style="406" customWidth="1"/>
    <col min="1801" max="1801" width="4.875" style="406" customWidth="1"/>
    <col min="1802" max="1805" width="9" style="406"/>
    <col min="1806" max="1806" width="28.25" style="406" customWidth="1"/>
    <col min="1807" max="2048" width="9" style="406"/>
    <col min="2049" max="2049" width="1" style="406" customWidth="1"/>
    <col min="2050" max="2050" width="30.375" style="406" customWidth="1"/>
    <col min="2051" max="2053" width="9.125" style="406" customWidth="1"/>
    <col min="2054" max="2055" width="8.25" style="406" bestFit="1" customWidth="1"/>
    <col min="2056" max="2056" width="9.125" style="406" customWidth="1"/>
    <col min="2057" max="2057" width="4.875" style="406" customWidth="1"/>
    <col min="2058" max="2061" width="9" style="406"/>
    <col min="2062" max="2062" width="28.25" style="406" customWidth="1"/>
    <col min="2063" max="2304" width="9" style="406"/>
    <col min="2305" max="2305" width="1" style="406" customWidth="1"/>
    <col min="2306" max="2306" width="30.375" style="406" customWidth="1"/>
    <col min="2307" max="2309" width="9.125" style="406" customWidth="1"/>
    <col min="2310" max="2311" width="8.25" style="406" bestFit="1" customWidth="1"/>
    <col min="2312" max="2312" width="9.125" style="406" customWidth="1"/>
    <col min="2313" max="2313" width="4.875" style="406" customWidth="1"/>
    <col min="2314" max="2317" width="9" style="406"/>
    <col min="2318" max="2318" width="28.25" style="406" customWidth="1"/>
    <col min="2319" max="2560" width="9" style="406"/>
    <col min="2561" max="2561" width="1" style="406" customWidth="1"/>
    <col min="2562" max="2562" width="30.375" style="406" customWidth="1"/>
    <col min="2563" max="2565" width="9.125" style="406" customWidth="1"/>
    <col min="2566" max="2567" width="8.25" style="406" bestFit="1" customWidth="1"/>
    <col min="2568" max="2568" width="9.125" style="406" customWidth="1"/>
    <col min="2569" max="2569" width="4.875" style="406" customWidth="1"/>
    <col min="2570" max="2573" width="9" style="406"/>
    <col min="2574" max="2574" width="28.25" style="406" customWidth="1"/>
    <col min="2575" max="2816" width="9" style="406"/>
    <col min="2817" max="2817" width="1" style="406" customWidth="1"/>
    <col min="2818" max="2818" width="30.375" style="406" customWidth="1"/>
    <col min="2819" max="2821" width="9.125" style="406" customWidth="1"/>
    <col min="2822" max="2823" width="8.25" style="406" bestFit="1" customWidth="1"/>
    <col min="2824" max="2824" width="9.125" style="406" customWidth="1"/>
    <col min="2825" max="2825" width="4.875" style="406" customWidth="1"/>
    <col min="2826" max="2829" width="9" style="406"/>
    <col min="2830" max="2830" width="28.25" style="406" customWidth="1"/>
    <col min="2831" max="3072" width="9" style="406"/>
    <col min="3073" max="3073" width="1" style="406" customWidth="1"/>
    <col min="3074" max="3074" width="30.375" style="406" customWidth="1"/>
    <col min="3075" max="3077" width="9.125" style="406" customWidth="1"/>
    <col min="3078" max="3079" width="8.25" style="406" bestFit="1" customWidth="1"/>
    <col min="3080" max="3080" width="9.125" style="406" customWidth="1"/>
    <col min="3081" max="3081" width="4.875" style="406" customWidth="1"/>
    <col min="3082" max="3085" width="9" style="406"/>
    <col min="3086" max="3086" width="28.25" style="406" customWidth="1"/>
    <col min="3087" max="3328" width="9" style="406"/>
    <col min="3329" max="3329" width="1" style="406" customWidth="1"/>
    <col min="3330" max="3330" width="30.375" style="406" customWidth="1"/>
    <col min="3331" max="3333" width="9.125" style="406" customWidth="1"/>
    <col min="3334" max="3335" width="8.25" style="406" bestFit="1" customWidth="1"/>
    <col min="3336" max="3336" width="9.125" style="406" customWidth="1"/>
    <col min="3337" max="3337" width="4.875" style="406" customWidth="1"/>
    <col min="3338" max="3341" width="9" style="406"/>
    <col min="3342" max="3342" width="28.25" style="406" customWidth="1"/>
    <col min="3343" max="3584" width="9" style="406"/>
    <col min="3585" max="3585" width="1" style="406" customWidth="1"/>
    <col min="3586" max="3586" width="30.375" style="406" customWidth="1"/>
    <col min="3587" max="3589" width="9.125" style="406" customWidth="1"/>
    <col min="3590" max="3591" width="8.25" style="406" bestFit="1" customWidth="1"/>
    <col min="3592" max="3592" width="9.125" style="406" customWidth="1"/>
    <col min="3593" max="3593" width="4.875" style="406" customWidth="1"/>
    <col min="3594" max="3597" width="9" style="406"/>
    <col min="3598" max="3598" width="28.25" style="406" customWidth="1"/>
    <col min="3599" max="3840" width="9" style="406"/>
    <col min="3841" max="3841" width="1" style="406" customWidth="1"/>
    <col min="3842" max="3842" width="30.375" style="406" customWidth="1"/>
    <col min="3843" max="3845" width="9.125" style="406" customWidth="1"/>
    <col min="3846" max="3847" width="8.25" style="406" bestFit="1" customWidth="1"/>
    <col min="3848" max="3848" width="9.125" style="406" customWidth="1"/>
    <col min="3849" max="3849" width="4.875" style="406" customWidth="1"/>
    <col min="3850" max="3853" width="9" style="406"/>
    <col min="3854" max="3854" width="28.25" style="406" customWidth="1"/>
    <col min="3855" max="4096" width="9" style="406"/>
    <col min="4097" max="4097" width="1" style="406" customWidth="1"/>
    <col min="4098" max="4098" width="30.375" style="406" customWidth="1"/>
    <col min="4099" max="4101" width="9.125" style="406" customWidth="1"/>
    <col min="4102" max="4103" width="8.25" style="406" bestFit="1" customWidth="1"/>
    <col min="4104" max="4104" width="9.125" style="406" customWidth="1"/>
    <col min="4105" max="4105" width="4.875" style="406" customWidth="1"/>
    <col min="4106" max="4109" width="9" style="406"/>
    <col min="4110" max="4110" width="28.25" style="406" customWidth="1"/>
    <col min="4111" max="4352" width="9" style="406"/>
    <col min="4353" max="4353" width="1" style="406" customWidth="1"/>
    <col min="4354" max="4354" width="30.375" style="406" customWidth="1"/>
    <col min="4355" max="4357" width="9.125" style="406" customWidth="1"/>
    <col min="4358" max="4359" width="8.25" style="406" bestFit="1" customWidth="1"/>
    <col min="4360" max="4360" width="9.125" style="406" customWidth="1"/>
    <col min="4361" max="4361" width="4.875" style="406" customWidth="1"/>
    <col min="4362" max="4365" width="9" style="406"/>
    <col min="4366" max="4366" width="28.25" style="406" customWidth="1"/>
    <col min="4367" max="4608" width="9" style="406"/>
    <col min="4609" max="4609" width="1" style="406" customWidth="1"/>
    <col min="4610" max="4610" width="30.375" style="406" customWidth="1"/>
    <col min="4611" max="4613" width="9.125" style="406" customWidth="1"/>
    <col min="4614" max="4615" width="8.25" style="406" bestFit="1" customWidth="1"/>
    <col min="4616" max="4616" width="9.125" style="406" customWidth="1"/>
    <col min="4617" max="4617" width="4.875" style="406" customWidth="1"/>
    <col min="4618" max="4621" width="9" style="406"/>
    <col min="4622" max="4622" width="28.25" style="406" customWidth="1"/>
    <col min="4623" max="4864" width="9" style="406"/>
    <col min="4865" max="4865" width="1" style="406" customWidth="1"/>
    <col min="4866" max="4866" width="30.375" style="406" customWidth="1"/>
    <col min="4867" max="4869" width="9.125" style="406" customWidth="1"/>
    <col min="4870" max="4871" width="8.25" style="406" bestFit="1" customWidth="1"/>
    <col min="4872" max="4872" width="9.125" style="406" customWidth="1"/>
    <col min="4873" max="4873" width="4.875" style="406" customWidth="1"/>
    <col min="4874" max="4877" width="9" style="406"/>
    <col min="4878" max="4878" width="28.25" style="406" customWidth="1"/>
    <col min="4879" max="5120" width="9" style="406"/>
    <col min="5121" max="5121" width="1" style="406" customWidth="1"/>
    <col min="5122" max="5122" width="30.375" style="406" customWidth="1"/>
    <col min="5123" max="5125" width="9.125" style="406" customWidth="1"/>
    <col min="5126" max="5127" width="8.25" style="406" bestFit="1" customWidth="1"/>
    <col min="5128" max="5128" width="9.125" style="406" customWidth="1"/>
    <col min="5129" max="5129" width="4.875" style="406" customWidth="1"/>
    <col min="5130" max="5133" width="9" style="406"/>
    <col min="5134" max="5134" width="28.25" style="406" customWidth="1"/>
    <col min="5135" max="5376" width="9" style="406"/>
    <col min="5377" max="5377" width="1" style="406" customWidth="1"/>
    <col min="5378" max="5378" width="30.375" style="406" customWidth="1"/>
    <col min="5379" max="5381" width="9.125" style="406" customWidth="1"/>
    <col min="5382" max="5383" width="8.25" style="406" bestFit="1" customWidth="1"/>
    <col min="5384" max="5384" width="9.125" style="406" customWidth="1"/>
    <col min="5385" max="5385" width="4.875" style="406" customWidth="1"/>
    <col min="5386" max="5389" width="9" style="406"/>
    <col min="5390" max="5390" width="28.25" style="406" customWidth="1"/>
    <col min="5391" max="5632" width="9" style="406"/>
    <col min="5633" max="5633" width="1" style="406" customWidth="1"/>
    <col min="5634" max="5634" width="30.375" style="406" customWidth="1"/>
    <col min="5635" max="5637" width="9.125" style="406" customWidth="1"/>
    <col min="5638" max="5639" width="8.25" style="406" bestFit="1" customWidth="1"/>
    <col min="5640" max="5640" width="9.125" style="406" customWidth="1"/>
    <col min="5641" max="5641" width="4.875" style="406" customWidth="1"/>
    <col min="5642" max="5645" width="9" style="406"/>
    <col min="5646" max="5646" width="28.25" style="406" customWidth="1"/>
    <col min="5647" max="5888" width="9" style="406"/>
    <col min="5889" max="5889" width="1" style="406" customWidth="1"/>
    <col min="5890" max="5890" width="30.375" style="406" customWidth="1"/>
    <col min="5891" max="5893" width="9.125" style="406" customWidth="1"/>
    <col min="5894" max="5895" width="8.25" style="406" bestFit="1" customWidth="1"/>
    <col min="5896" max="5896" width="9.125" style="406" customWidth="1"/>
    <col min="5897" max="5897" width="4.875" style="406" customWidth="1"/>
    <col min="5898" max="5901" width="9" style="406"/>
    <col min="5902" max="5902" width="28.25" style="406" customWidth="1"/>
    <col min="5903" max="6144" width="9" style="406"/>
    <col min="6145" max="6145" width="1" style="406" customWidth="1"/>
    <col min="6146" max="6146" width="30.375" style="406" customWidth="1"/>
    <col min="6147" max="6149" width="9.125" style="406" customWidth="1"/>
    <col min="6150" max="6151" width="8.25" style="406" bestFit="1" customWidth="1"/>
    <col min="6152" max="6152" width="9.125" style="406" customWidth="1"/>
    <col min="6153" max="6153" width="4.875" style="406" customWidth="1"/>
    <col min="6154" max="6157" width="9" style="406"/>
    <col min="6158" max="6158" width="28.25" style="406" customWidth="1"/>
    <col min="6159" max="6400" width="9" style="406"/>
    <col min="6401" max="6401" width="1" style="406" customWidth="1"/>
    <col min="6402" max="6402" width="30.375" style="406" customWidth="1"/>
    <col min="6403" max="6405" width="9.125" style="406" customWidth="1"/>
    <col min="6406" max="6407" width="8.25" style="406" bestFit="1" customWidth="1"/>
    <col min="6408" max="6408" width="9.125" style="406" customWidth="1"/>
    <col min="6409" max="6409" width="4.875" style="406" customWidth="1"/>
    <col min="6410" max="6413" width="9" style="406"/>
    <col min="6414" max="6414" width="28.25" style="406" customWidth="1"/>
    <col min="6415" max="6656" width="9" style="406"/>
    <col min="6657" max="6657" width="1" style="406" customWidth="1"/>
    <col min="6658" max="6658" width="30.375" style="406" customWidth="1"/>
    <col min="6659" max="6661" width="9.125" style="406" customWidth="1"/>
    <col min="6662" max="6663" width="8.25" style="406" bestFit="1" customWidth="1"/>
    <col min="6664" max="6664" width="9.125" style="406" customWidth="1"/>
    <col min="6665" max="6665" width="4.875" style="406" customWidth="1"/>
    <col min="6666" max="6669" width="9" style="406"/>
    <col min="6670" max="6670" width="28.25" style="406" customWidth="1"/>
    <col min="6671" max="6912" width="9" style="406"/>
    <col min="6913" max="6913" width="1" style="406" customWidth="1"/>
    <col min="6914" max="6914" width="30.375" style="406" customWidth="1"/>
    <col min="6915" max="6917" width="9.125" style="406" customWidth="1"/>
    <col min="6918" max="6919" width="8.25" style="406" bestFit="1" customWidth="1"/>
    <col min="6920" max="6920" width="9.125" style="406" customWidth="1"/>
    <col min="6921" max="6921" width="4.875" style="406" customWidth="1"/>
    <col min="6922" max="6925" width="9" style="406"/>
    <col min="6926" max="6926" width="28.25" style="406" customWidth="1"/>
    <col min="6927" max="7168" width="9" style="406"/>
    <col min="7169" max="7169" width="1" style="406" customWidth="1"/>
    <col min="7170" max="7170" width="30.375" style="406" customWidth="1"/>
    <col min="7171" max="7173" width="9.125" style="406" customWidth="1"/>
    <col min="7174" max="7175" width="8.25" style="406" bestFit="1" customWidth="1"/>
    <col min="7176" max="7176" width="9.125" style="406" customWidth="1"/>
    <col min="7177" max="7177" width="4.875" style="406" customWidth="1"/>
    <col min="7178" max="7181" width="9" style="406"/>
    <col min="7182" max="7182" width="28.25" style="406" customWidth="1"/>
    <col min="7183" max="7424" width="9" style="406"/>
    <col min="7425" max="7425" width="1" style="406" customWidth="1"/>
    <col min="7426" max="7426" width="30.375" style="406" customWidth="1"/>
    <col min="7427" max="7429" width="9.125" style="406" customWidth="1"/>
    <col min="7430" max="7431" width="8.25" style="406" bestFit="1" customWidth="1"/>
    <col min="7432" max="7432" width="9.125" style="406" customWidth="1"/>
    <col min="7433" max="7433" width="4.875" style="406" customWidth="1"/>
    <col min="7434" max="7437" width="9" style="406"/>
    <col min="7438" max="7438" width="28.25" style="406" customWidth="1"/>
    <col min="7439" max="7680" width="9" style="406"/>
    <col min="7681" max="7681" width="1" style="406" customWidth="1"/>
    <col min="7682" max="7682" width="30.375" style="406" customWidth="1"/>
    <col min="7683" max="7685" width="9.125" style="406" customWidth="1"/>
    <col min="7686" max="7687" width="8.25" style="406" bestFit="1" customWidth="1"/>
    <col min="7688" max="7688" width="9.125" style="406" customWidth="1"/>
    <col min="7689" max="7689" width="4.875" style="406" customWidth="1"/>
    <col min="7690" max="7693" width="9" style="406"/>
    <col min="7694" max="7694" width="28.25" style="406" customWidth="1"/>
    <col min="7695" max="7936" width="9" style="406"/>
    <col min="7937" max="7937" width="1" style="406" customWidth="1"/>
    <col min="7938" max="7938" width="30.375" style="406" customWidth="1"/>
    <col min="7939" max="7941" width="9.125" style="406" customWidth="1"/>
    <col min="7942" max="7943" width="8.25" style="406" bestFit="1" customWidth="1"/>
    <col min="7944" max="7944" width="9.125" style="406" customWidth="1"/>
    <col min="7945" max="7945" width="4.875" style="406" customWidth="1"/>
    <col min="7946" max="7949" width="9" style="406"/>
    <col min="7950" max="7950" width="28.25" style="406" customWidth="1"/>
    <col min="7951" max="8192" width="9" style="406"/>
    <col min="8193" max="8193" width="1" style="406" customWidth="1"/>
    <col min="8194" max="8194" width="30.375" style="406" customWidth="1"/>
    <col min="8195" max="8197" width="9.125" style="406" customWidth="1"/>
    <col min="8198" max="8199" width="8.25" style="406" bestFit="1" customWidth="1"/>
    <col min="8200" max="8200" width="9.125" style="406" customWidth="1"/>
    <col min="8201" max="8201" width="4.875" style="406" customWidth="1"/>
    <col min="8202" max="8205" width="9" style="406"/>
    <col min="8206" max="8206" width="28.25" style="406" customWidth="1"/>
    <col min="8207" max="8448" width="9" style="406"/>
    <col min="8449" max="8449" width="1" style="406" customWidth="1"/>
    <col min="8450" max="8450" width="30.375" style="406" customWidth="1"/>
    <col min="8451" max="8453" width="9.125" style="406" customWidth="1"/>
    <col min="8454" max="8455" width="8.25" style="406" bestFit="1" customWidth="1"/>
    <col min="8456" max="8456" width="9.125" style="406" customWidth="1"/>
    <col min="8457" max="8457" width="4.875" style="406" customWidth="1"/>
    <col min="8458" max="8461" width="9" style="406"/>
    <col min="8462" max="8462" width="28.25" style="406" customWidth="1"/>
    <col min="8463" max="8704" width="9" style="406"/>
    <col min="8705" max="8705" width="1" style="406" customWidth="1"/>
    <col min="8706" max="8706" width="30.375" style="406" customWidth="1"/>
    <col min="8707" max="8709" width="9.125" style="406" customWidth="1"/>
    <col min="8710" max="8711" width="8.25" style="406" bestFit="1" customWidth="1"/>
    <col min="8712" max="8712" width="9.125" style="406" customWidth="1"/>
    <col min="8713" max="8713" width="4.875" style="406" customWidth="1"/>
    <col min="8714" max="8717" width="9" style="406"/>
    <col min="8718" max="8718" width="28.25" style="406" customWidth="1"/>
    <col min="8719" max="8960" width="9" style="406"/>
    <col min="8961" max="8961" width="1" style="406" customWidth="1"/>
    <col min="8962" max="8962" width="30.375" style="406" customWidth="1"/>
    <col min="8963" max="8965" width="9.125" style="406" customWidth="1"/>
    <col min="8966" max="8967" width="8.25" style="406" bestFit="1" customWidth="1"/>
    <col min="8968" max="8968" width="9.125" style="406" customWidth="1"/>
    <col min="8969" max="8969" width="4.875" style="406" customWidth="1"/>
    <col min="8970" max="8973" width="9" style="406"/>
    <col min="8974" max="8974" width="28.25" style="406" customWidth="1"/>
    <col min="8975" max="9216" width="9" style="406"/>
    <col min="9217" max="9217" width="1" style="406" customWidth="1"/>
    <col min="9218" max="9218" width="30.375" style="406" customWidth="1"/>
    <col min="9219" max="9221" width="9.125" style="406" customWidth="1"/>
    <col min="9222" max="9223" width="8.25" style="406" bestFit="1" customWidth="1"/>
    <col min="9224" max="9224" width="9.125" style="406" customWidth="1"/>
    <col min="9225" max="9225" width="4.875" style="406" customWidth="1"/>
    <col min="9226" max="9229" width="9" style="406"/>
    <col min="9230" max="9230" width="28.25" style="406" customWidth="1"/>
    <col min="9231" max="9472" width="9" style="406"/>
    <col min="9473" max="9473" width="1" style="406" customWidth="1"/>
    <col min="9474" max="9474" width="30.375" style="406" customWidth="1"/>
    <col min="9475" max="9477" width="9.125" style="406" customWidth="1"/>
    <col min="9478" max="9479" width="8.25" style="406" bestFit="1" customWidth="1"/>
    <col min="9480" max="9480" width="9.125" style="406" customWidth="1"/>
    <col min="9481" max="9481" width="4.875" style="406" customWidth="1"/>
    <col min="9482" max="9485" width="9" style="406"/>
    <col min="9486" max="9486" width="28.25" style="406" customWidth="1"/>
    <col min="9487" max="9728" width="9" style="406"/>
    <col min="9729" max="9729" width="1" style="406" customWidth="1"/>
    <col min="9730" max="9730" width="30.375" style="406" customWidth="1"/>
    <col min="9731" max="9733" width="9.125" style="406" customWidth="1"/>
    <col min="9734" max="9735" width="8.25" style="406" bestFit="1" customWidth="1"/>
    <col min="9736" max="9736" width="9.125" style="406" customWidth="1"/>
    <col min="9737" max="9737" width="4.875" style="406" customWidth="1"/>
    <col min="9738" max="9741" width="9" style="406"/>
    <col min="9742" max="9742" width="28.25" style="406" customWidth="1"/>
    <col min="9743" max="9984" width="9" style="406"/>
    <col min="9985" max="9985" width="1" style="406" customWidth="1"/>
    <col min="9986" max="9986" width="30.375" style="406" customWidth="1"/>
    <col min="9987" max="9989" width="9.125" style="406" customWidth="1"/>
    <col min="9990" max="9991" width="8.25" style="406" bestFit="1" customWidth="1"/>
    <col min="9992" max="9992" width="9.125" style="406" customWidth="1"/>
    <col min="9993" max="9993" width="4.875" style="406" customWidth="1"/>
    <col min="9994" max="9997" width="9" style="406"/>
    <col min="9998" max="9998" width="28.25" style="406" customWidth="1"/>
    <col min="9999" max="10240" width="9" style="406"/>
    <col min="10241" max="10241" width="1" style="406" customWidth="1"/>
    <col min="10242" max="10242" width="30.375" style="406" customWidth="1"/>
    <col min="10243" max="10245" width="9.125" style="406" customWidth="1"/>
    <col min="10246" max="10247" width="8.25" style="406" bestFit="1" customWidth="1"/>
    <col min="10248" max="10248" width="9.125" style="406" customWidth="1"/>
    <col min="10249" max="10249" width="4.875" style="406" customWidth="1"/>
    <col min="10250" max="10253" width="9" style="406"/>
    <col min="10254" max="10254" width="28.25" style="406" customWidth="1"/>
    <col min="10255" max="10496" width="9" style="406"/>
    <col min="10497" max="10497" width="1" style="406" customWidth="1"/>
    <col min="10498" max="10498" width="30.375" style="406" customWidth="1"/>
    <col min="10499" max="10501" width="9.125" style="406" customWidth="1"/>
    <col min="10502" max="10503" width="8.25" style="406" bestFit="1" customWidth="1"/>
    <col min="10504" max="10504" width="9.125" style="406" customWidth="1"/>
    <col min="10505" max="10505" width="4.875" style="406" customWidth="1"/>
    <col min="10506" max="10509" width="9" style="406"/>
    <col min="10510" max="10510" width="28.25" style="406" customWidth="1"/>
    <col min="10511" max="10752" width="9" style="406"/>
    <col min="10753" max="10753" width="1" style="406" customWidth="1"/>
    <col min="10754" max="10754" width="30.375" style="406" customWidth="1"/>
    <col min="10755" max="10757" width="9.125" style="406" customWidth="1"/>
    <col min="10758" max="10759" width="8.25" style="406" bestFit="1" customWidth="1"/>
    <col min="10760" max="10760" width="9.125" style="406" customWidth="1"/>
    <col min="10761" max="10761" width="4.875" style="406" customWidth="1"/>
    <col min="10762" max="10765" width="9" style="406"/>
    <col min="10766" max="10766" width="28.25" style="406" customWidth="1"/>
    <col min="10767" max="11008" width="9" style="406"/>
    <col min="11009" max="11009" width="1" style="406" customWidth="1"/>
    <col min="11010" max="11010" width="30.375" style="406" customWidth="1"/>
    <col min="11011" max="11013" width="9.125" style="406" customWidth="1"/>
    <col min="11014" max="11015" width="8.25" style="406" bestFit="1" customWidth="1"/>
    <col min="11016" max="11016" width="9.125" style="406" customWidth="1"/>
    <col min="11017" max="11017" width="4.875" style="406" customWidth="1"/>
    <col min="11018" max="11021" width="9" style="406"/>
    <col min="11022" max="11022" width="28.25" style="406" customWidth="1"/>
    <col min="11023" max="11264" width="9" style="406"/>
    <col min="11265" max="11265" width="1" style="406" customWidth="1"/>
    <col min="11266" max="11266" width="30.375" style="406" customWidth="1"/>
    <col min="11267" max="11269" width="9.125" style="406" customWidth="1"/>
    <col min="11270" max="11271" width="8.25" style="406" bestFit="1" customWidth="1"/>
    <col min="11272" max="11272" width="9.125" style="406" customWidth="1"/>
    <col min="11273" max="11273" width="4.875" style="406" customWidth="1"/>
    <col min="11274" max="11277" width="9" style="406"/>
    <col min="11278" max="11278" width="28.25" style="406" customWidth="1"/>
    <col min="11279" max="11520" width="9" style="406"/>
    <col min="11521" max="11521" width="1" style="406" customWidth="1"/>
    <col min="11522" max="11522" width="30.375" style="406" customWidth="1"/>
    <col min="11523" max="11525" width="9.125" style="406" customWidth="1"/>
    <col min="11526" max="11527" width="8.25" style="406" bestFit="1" customWidth="1"/>
    <col min="11528" max="11528" width="9.125" style="406" customWidth="1"/>
    <col min="11529" max="11529" width="4.875" style="406" customWidth="1"/>
    <col min="11530" max="11533" width="9" style="406"/>
    <col min="11534" max="11534" width="28.25" style="406" customWidth="1"/>
    <col min="11535" max="11776" width="9" style="406"/>
    <col min="11777" max="11777" width="1" style="406" customWidth="1"/>
    <col min="11778" max="11778" width="30.375" style="406" customWidth="1"/>
    <col min="11779" max="11781" width="9.125" style="406" customWidth="1"/>
    <col min="11782" max="11783" width="8.25" style="406" bestFit="1" customWidth="1"/>
    <col min="11784" max="11784" width="9.125" style="406" customWidth="1"/>
    <col min="11785" max="11785" width="4.875" style="406" customWidth="1"/>
    <col min="11786" max="11789" width="9" style="406"/>
    <col min="11790" max="11790" width="28.25" style="406" customWidth="1"/>
    <col min="11791" max="12032" width="9" style="406"/>
    <col min="12033" max="12033" width="1" style="406" customWidth="1"/>
    <col min="12034" max="12034" width="30.375" style="406" customWidth="1"/>
    <col min="12035" max="12037" width="9.125" style="406" customWidth="1"/>
    <col min="12038" max="12039" width="8.25" style="406" bestFit="1" customWidth="1"/>
    <col min="12040" max="12040" width="9.125" style="406" customWidth="1"/>
    <col min="12041" max="12041" width="4.875" style="406" customWidth="1"/>
    <col min="12042" max="12045" width="9" style="406"/>
    <col min="12046" max="12046" width="28.25" style="406" customWidth="1"/>
    <col min="12047" max="12288" width="9" style="406"/>
    <col min="12289" max="12289" width="1" style="406" customWidth="1"/>
    <col min="12290" max="12290" width="30.375" style="406" customWidth="1"/>
    <col min="12291" max="12293" width="9.125" style="406" customWidth="1"/>
    <col min="12294" max="12295" width="8.25" style="406" bestFit="1" customWidth="1"/>
    <col min="12296" max="12296" width="9.125" style="406" customWidth="1"/>
    <col min="12297" max="12297" width="4.875" style="406" customWidth="1"/>
    <col min="12298" max="12301" width="9" style="406"/>
    <col min="12302" max="12302" width="28.25" style="406" customWidth="1"/>
    <col min="12303" max="12544" width="9" style="406"/>
    <col min="12545" max="12545" width="1" style="406" customWidth="1"/>
    <col min="12546" max="12546" width="30.375" style="406" customWidth="1"/>
    <col min="12547" max="12549" width="9.125" style="406" customWidth="1"/>
    <col min="12550" max="12551" width="8.25" style="406" bestFit="1" customWidth="1"/>
    <col min="12552" max="12552" width="9.125" style="406" customWidth="1"/>
    <col min="12553" max="12553" width="4.875" style="406" customWidth="1"/>
    <col min="12554" max="12557" width="9" style="406"/>
    <col min="12558" max="12558" width="28.25" style="406" customWidth="1"/>
    <col min="12559" max="12800" width="9" style="406"/>
    <col min="12801" max="12801" width="1" style="406" customWidth="1"/>
    <col min="12802" max="12802" width="30.375" style="406" customWidth="1"/>
    <col min="12803" max="12805" width="9.125" style="406" customWidth="1"/>
    <col min="12806" max="12807" width="8.25" style="406" bestFit="1" customWidth="1"/>
    <col min="12808" max="12808" width="9.125" style="406" customWidth="1"/>
    <col min="12809" max="12809" width="4.875" style="406" customWidth="1"/>
    <col min="12810" max="12813" width="9" style="406"/>
    <col min="12814" max="12814" width="28.25" style="406" customWidth="1"/>
    <col min="12815" max="13056" width="9" style="406"/>
    <col min="13057" max="13057" width="1" style="406" customWidth="1"/>
    <col min="13058" max="13058" width="30.375" style="406" customWidth="1"/>
    <col min="13059" max="13061" width="9.125" style="406" customWidth="1"/>
    <col min="13062" max="13063" width="8.25" style="406" bestFit="1" customWidth="1"/>
    <col min="13064" max="13064" width="9.125" style="406" customWidth="1"/>
    <col min="13065" max="13065" width="4.875" style="406" customWidth="1"/>
    <col min="13066" max="13069" width="9" style="406"/>
    <col min="13070" max="13070" width="28.25" style="406" customWidth="1"/>
    <col min="13071" max="13312" width="9" style="406"/>
    <col min="13313" max="13313" width="1" style="406" customWidth="1"/>
    <col min="13314" max="13314" width="30.375" style="406" customWidth="1"/>
    <col min="13315" max="13317" width="9.125" style="406" customWidth="1"/>
    <col min="13318" max="13319" width="8.25" style="406" bestFit="1" customWidth="1"/>
    <col min="13320" max="13320" width="9.125" style="406" customWidth="1"/>
    <col min="13321" max="13321" width="4.875" style="406" customWidth="1"/>
    <col min="13322" max="13325" width="9" style="406"/>
    <col min="13326" max="13326" width="28.25" style="406" customWidth="1"/>
    <col min="13327" max="13568" width="9" style="406"/>
    <col min="13569" max="13569" width="1" style="406" customWidth="1"/>
    <col min="13570" max="13570" width="30.375" style="406" customWidth="1"/>
    <col min="13571" max="13573" width="9.125" style="406" customWidth="1"/>
    <col min="13574" max="13575" width="8.25" style="406" bestFit="1" customWidth="1"/>
    <col min="13576" max="13576" width="9.125" style="406" customWidth="1"/>
    <col min="13577" max="13577" width="4.875" style="406" customWidth="1"/>
    <col min="13578" max="13581" width="9" style="406"/>
    <col min="13582" max="13582" width="28.25" style="406" customWidth="1"/>
    <col min="13583" max="13824" width="9" style="406"/>
    <col min="13825" max="13825" width="1" style="406" customWidth="1"/>
    <col min="13826" max="13826" width="30.375" style="406" customWidth="1"/>
    <col min="13827" max="13829" width="9.125" style="406" customWidth="1"/>
    <col min="13830" max="13831" width="8.25" style="406" bestFit="1" customWidth="1"/>
    <col min="13832" max="13832" width="9.125" style="406" customWidth="1"/>
    <col min="13833" max="13833" width="4.875" style="406" customWidth="1"/>
    <col min="13834" max="13837" width="9" style="406"/>
    <col min="13838" max="13838" width="28.25" style="406" customWidth="1"/>
    <col min="13839" max="14080" width="9" style="406"/>
    <col min="14081" max="14081" width="1" style="406" customWidth="1"/>
    <col min="14082" max="14082" width="30.375" style="406" customWidth="1"/>
    <col min="14083" max="14085" width="9.125" style="406" customWidth="1"/>
    <col min="14086" max="14087" width="8.25" style="406" bestFit="1" customWidth="1"/>
    <col min="14088" max="14088" width="9.125" style="406" customWidth="1"/>
    <col min="14089" max="14089" width="4.875" style="406" customWidth="1"/>
    <col min="14090" max="14093" width="9" style="406"/>
    <col min="14094" max="14094" width="28.25" style="406" customWidth="1"/>
    <col min="14095" max="14336" width="9" style="406"/>
    <col min="14337" max="14337" width="1" style="406" customWidth="1"/>
    <col min="14338" max="14338" width="30.375" style="406" customWidth="1"/>
    <col min="14339" max="14341" width="9.125" style="406" customWidth="1"/>
    <col min="14342" max="14343" width="8.25" style="406" bestFit="1" customWidth="1"/>
    <col min="14344" max="14344" width="9.125" style="406" customWidth="1"/>
    <col min="14345" max="14345" width="4.875" style="406" customWidth="1"/>
    <col min="14346" max="14349" width="9" style="406"/>
    <col min="14350" max="14350" width="28.25" style="406" customWidth="1"/>
    <col min="14351" max="14592" width="9" style="406"/>
    <col min="14593" max="14593" width="1" style="406" customWidth="1"/>
    <col min="14594" max="14594" width="30.375" style="406" customWidth="1"/>
    <col min="14595" max="14597" width="9.125" style="406" customWidth="1"/>
    <col min="14598" max="14599" width="8.25" style="406" bestFit="1" customWidth="1"/>
    <col min="14600" max="14600" width="9.125" style="406" customWidth="1"/>
    <col min="14601" max="14601" width="4.875" style="406" customWidth="1"/>
    <col min="14602" max="14605" width="9" style="406"/>
    <col min="14606" max="14606" width="28.25" style="406" customWidth="1"/>
    <col min="14607" max="14848" width="9" style="406"/>
    <col min="14849" max="14849" width="1" style="406" customWidth="1"/>
    <col min="14850" max="14850" width="30.375" style="406" customWidth="1"/>
    <col min="14851" max="14853" width="9.125" style="406" customWidth="1"/>
    <col min="14854" max="14855" width="8.25" style="406" bestFit="1" customWidth="1"/>
    <col min="14856" max="14856" width="9.125" style="406" customWidth="1"/>
    <col min="14857" max="14857" width="4.875" style="406" customWidth="1"/>
    <col min="14858" max="14861" width="9" style="406"/>
    <col min="14862" max="14862" width="28.25" style="406" customWidth="1"/>
    <col min="14863" max="15104" width="9" style="406"/>
    <col min="15105" max="15105" width="1" style="406" customWidth="1"/>
    <col min="15106" max="15106" width="30.375" style="406" customWidth="1"/>
    <col min="15107" max="15109" width="9.125" style="406" customWidth="1"/>
    <col min="15110" max="15111" width="8.25" style="406" bestFit="1" customWidth="1"/>
    <col min="15112" max="15112" width="9.125" style="406" customWidth="1"/>
    <col min="15113" max="15113" width="4.875" style="406" customWidth="1"/>
    <col min="15114" max="15117" width="9" style="406"/>
    <col min="15118" max="15118" width="28.25" style="406" customWidth="1"/>
    <col min="15119" max="15360" width="9" style="406"/>
    <col min="15361" max="15361" width="1" style="406" customWidth="1"/>
    <col min="15362" max="15362" width="30.375" style="406" customWidth="1"/>
    <col min="15363" max="15365" width="9.125" style="406" customWidth="1"/>
    <col min="15366" max="15367" width="8.25" style="406" bestFit="1" customWidth="1"/>
    <col min="15368" max="15368" width="9.125" style="406" customWidth="1"/>
    <col min="15369" max="15369" width="4.875" style="406" customWidth="1"/>
    <col min="15370" max="15373" width="9" style="406"/>
    <col min="15374" max="15374" width="28.25" style="406" customWidth="1"/>
    <col min="15375" max="15616" width="9" style="406"/>
    <col min="15617" max="15617" width="1" style="406" customWidth="1"/>
    <col min="15618" max="15618" width="30.375" style="406" customWidth="1"/>
    <col min="15619" max="15621" width="9.125" style="406" customWidth="1"/>
    <col min="15622" max="15623" width="8.25" style="406" bestFit="1" customWidth="1"/>
    <col min="15624" max="15624" width="9.125" style="406" customWidth="1"/>
    <col min="15625" max="15625" width="4.875" style="406" customWidth="1"/>
    <col min="15626" max="15629" width="9" style="406"/>
    <col min="15630" max="15630" width="28.25" style="406" customWidth="1"/>
    <col min="15631" max="15872" width="9" style="406"/>
    <col min="15873" max="15873" width="1" style="406" customWidth="1"/>
    <col min="15874" max="15874" width="30.375" style="406" customWidth="1"/>
    <col min="15875" max="15877" width="9.125" style="406" customWidth="1"/>
    <col min="15878" max="15879" width="8.25" style="406" bestFit="1" customWidth="1"/>
    <col min="15880" max="15880" width="9.125" style="406" customWidth="1"/>
    <col min="15881" max="15881" width="4.875" style="406" customWidth="1"/>
    <col min="15882" max="15885" width="9" style="406"/>
    <col min="15886" max="15886" width="28.25" style="406" customWidth="1"/>
    <col min="15887" max="16128" width="9" style="406"/>
    <col min="16129" max="16129" width="1" style="406" customWidth="1"/>
    <col min="16130" max="16130" width="30.375" style="406" customWidth="1"/>
    <col min="16131" max="16133" width="9.125" style="406" customWidth="1"/>
    <col min="16134" max="16135" width="8.25" style="406" bestFit="1" customWidth="1"/>
    <col min="16136" max="16136" width="9.125" style="406" customWidth="1"/>
    <col min="16137" max="16137" width="4.875" style="406" customWidth="1"/>
    <col min="16138" max="16141" width="9" style="406"/>
    <col min="16142" max="16142" width="28.25" style="406" customWidth="1"/>
    <col min="16143" max="16384" width="9" style="406"/>
  </cols>
  <sheetData>
    <row r="1" spans="2:14" ht="24.95" customHeight="1">
      <c r="B1" s="649" t="s">
        <v>1466</v>
      </c>
      <c r="C1" s="649"/>
      <c r="D1" s="649"/>
      <c r="E1" s="649"/>
      <c r="F1" s="649"/>
      <c r="G1" s="649"/>
      <c r="H1" s="649"/>
      <c r="I1" s="649"/>
      <c r="J1" s="649"/>
      <c r="K1" s="649"/>
      <c r="L1" s="649"/>
      <c r="M1" s="649"/>
      <c r="N1" s="649"/>
    </row>
    <row r="3" spans="2:14" ht="15.75" thickBot="1">
      <c r="B3" s="650" t="s">
        <v>1394</v>
      </c>
      <c r="C3" s="650"/>
      <c r="D3" s="650"/>
      <c r="E3" s="650"/>
      <c r="F3" s="650"/>
      <c r="G3" s="650"/>
      <c r="H3" s="650"/>
      <c r="I3" s="650"/>
      <c r="J3" s="650"/>
      <c r="K3" s="650"/>
      <c r="L3" s="650"/>
      <c r="M3" s="650"/>
      <c r="N3" s="650"/>
    </row>
    <row r="4" spans="2:14" ht="12.75" thickTop="1"/>
    <row r="5" spans="2:14" ht="84.2" customHeight="1">
      <c r="B5" s="665" t="s">
        <v>1467</v>
      </c>
      <c r="C5" s="665"/>
      <c r="D5" s="665"/>
      <c r="E5" s="665"/>
      <c r="F5" s="665"/>
      <c r="G5" s="665"/>
      <c r="H5" s="665"/>
      <c r="I5" s="665"/>
      <c r="J5" s="665"/>
      <c r="K5" s="665"/>
      <c r="L5" s="665"/>
      <c r="M5" s="665"/>
      <c r="N5" s="665"/>
    </row>
    <row r="6" spans="2:14" ht="63.6" customHeight="1">
      <c r="B6" s="665" t="s">
        <v>1468</v>
      </c>
      <c r="C6" s="665"/>
      <c r="D6" s="665"/>
      <c r="E6" s="665"/>
      <c r="F6" s="665"/>
      <c r="G6" s="665"/>
      <c r="H6" s="665"/>
      <c r="I6" s="665"/>
      <c r="J6" s="665"/>
      <c r="K6" s="665"/>
      <c r="L6" s="665"/>
      <c r="M6" s="665"/>
      <c r="N6" s="665"/>
    </row>
    <row r="8" spans="2:14" ht="15.75" thickBot="1">
      <c r="B8" s="650" t="s">
        <v>1469</v>
      </c>
      <c r="C8" s="650"/>
      <c r="D8" s="650"/>
      <c r="E8" s="650"/>
      <c r="F8" s="650"/>
      <c r="G8" s="650"/>
      <c r="H8" s="650"/>
      <c r="I8" s="650"/>
      <c r="J8" s="650"/>
      <c r="K8" s="650"/>
      <c r="L8" s="650"/>
      <c r="M8" s="650"/>
      <c r="N8" s="650"/>
    </row>
    <row r="9" spans="2:14" ht="13.5" thickTop="1" thickBot="1"/>
    <row r="10" spans="2:14" ht="13.5" thickTop="1" thickBot="1">
      <c r="B10" s="570"/>
      <c r="C10" s="660" t="s">
        <v>1470</v>
      </c>
      <c r="D10" s="661"/>
      <c r="E10" s="662"/>
      <c r="F10" s="663" t="s">
        <v>1471</v>
      </c>
      <c r="G10" s="661"/>
      <c r="H10" s="664"/>
    </row>
    <row r="11" spans="2:14" ht="29.25" customHeight="1">
      <c r="B11" s="575" t="s">
        <v>1472</v>
      </c>
      <c r="C11" s="578" t="s">
        <v>1473</v>
      </c>
      <c r="D11" s="576" t="s">
        <v>1474</v>
      </c>
      <c r="E11" s="581" t="s">
        <v>1475</v>
      </c>
      <c r="F11" s="576" t="s">
        <v>1476</v>
      </c>
      <c r="G11" s="576" t="s">
        <v>1477</v>
      </c>
      <c r="H11" s="577" t="s">
        <v>1478</v>
      </c>
    </row>
    <row r="12" spans="2:14">
      <c r="B12" s="554" t="s">
        <v>1479</v>
      </c>
      <c r="C12" s="579">
        <v>17865.156873208471</v>
      </c>
      <c r="D12" s="555">
        <v>14549.753403518531</v>
      </c>
      <c r="E12" s="582">
        <v>3315.4034696899398</v>
      </c>
      <c r="F12" s="556">
        <v>-0.51749999999999996</v>
      </c>
      <c r="G12" s="556">
        <v>-0.63249999999999995</v>
      </c>
      <c r="H12" s="563">
        <v>-0.57499999999999996</v>
      </c>
    </row>
    <row r="13" spans="2:14">
      <c r="B13" s="554" t="s">
        <v>1480</v>
      </c>
      <c r="C13" s="579">
        <v>15445.974065625069</v>
      </c>
      <c r="D13" s="555">
        <v>16968.936211101933</v>
      </c>
      <c r="E13" s="582">
        <v>1522.962145476864</v>
      </c>
      <c r="F13" s="557">
        <v>80.099999999999994</v>
      </c>
      <c r="G13" s="557">
        <v>97.9</v>
      </c>
      <c r="H13" s="564">
        <v>89</v>
      </c>
    </row>
    <row r="14" spans="2:14">
      <c r="B14" s="554" t="s">
        <v>1481</v>
      </c>
      <c r="C14" s="579">
        <v>16918.153205189188</v>
      </c>
      <c r="D14" s="555">
        <v>15496.757071537811</v>
      </c>
      <c r="E14" s="582">
        <v>1421.3961336513767</v>
      </c>
      <c r="F14" s="556">
        <v>-0.5202</v>
      </c>
      <c r="G14" s="556">
        <v>-0.63579999999999992</v>
      </c>
      <c r="H14" s="563">
        <v>-0.57799999999999996</v>
      </c>
    </row>
    <row r="15" spans="2:14">
      <c r="B15" s="554" t="s">
        <v>1482</v>
      </c>
      <c r="C15" s="579">
        <v>16887.286290182627</v>
      </c>
      <c r="D15" s="555">
        <v>15527.623986544373</v>
      </c>
      <c r="E15" s="582">
        <v>1359.6623036382534</v>
      </c>
      <c r="F15" s="557">
        <v>79.47</v>
      </c>
      <c r="G15" s="557">
        <v>97.13</v>
      </c>
      <c r="H15" s="564">
        <v>88.3</v>
      </c>
    </row>
    <row r="16" spans="2:14">
      <c r="B16" s="554" t="s">
        <v>1483</v>
      </c>
      <c r="C16" s="579">
        <v>16775.160340631319</v>
      </c>
      <c r="D16" s="555">
        <v>15639.749936095679</v>
      </c>
      <c r="E16" s="582">
        <v>1135.4104045356398</v>
      </c>
      <c r="F16" s="558">
        <v>-0.13499999999999998</v>
      </c>
      <c r="G16" s="558">
        <v>-0.16500000000000001</v>
      </c>
      <c r="H16" s="565">
        <v>-0.15</v>
      </c>
    </row>
    <row r="17" spans="2:8">
      <c r="B17" s="554" t="s">
        <v>1484</v>
      </c>
      <c r="C17" s="579">
        <v>16591.178587095859</v>
      </c>
      <c r="D17" s="555">
        <v>15823.731689631139</v>
      </c>
      <c r="E17" s="582">
        <v>767.44689746472068</v>
      </c>
      <c r="F17" s="559">
        <v>23.13</v>
      </c>
      <c r="G17" s="559">
        <v>28.27</v>
      </c>
      <c r="H17" s="566">
        <v>25.7</v>
      </c>
    </row>
    <row r="18" spans="2:8">
      <c r="B18" s="554" t="s">
        <v>1485</v>
      </c>
      <c r="C18" s="579">
        <v>15853.861494937515</v>
      </c>
      <c r="D18" s="555">
        <v>16561.048781789486</v>
      </c>
      <c r="E18" s="582">
        <v>707.18728685197129</v>
      </c>
      <c r="F18" s="559">
        <v>23.85</v>
      </c>
      <c r="G18" s="559">
        <v>29.15</v>
      </c>
      <c r="H18" s="566">
        <v>26.5</v>
      </c>
    </row>
    <row r="19" spans="2:8">
      <c r="B19" s="554" t="s">
        <v>1486</v>
      </c>
      <c r="C19" s="579">
        <v>16502.661843542766</v>
      </c>
      <c r="D19" s="555">
        <v>15912.24843318423</v>
      </c>
      <c r="E19" s="582">
        <v>590.41341035853657</v>
      </c>
      <c r="F19" s="560">
        <v>-7.0199999999999999E-2</v>
      </c>
      <c r="G19" s="560">
        <v>-8.5800000000000001E-2</v>
      </c>
      <c r="H19" s="567">
        <v>-7.8E-2</v>
      </c>
    </row>
    <row r="20" spans="2:8">
      <c r="B20" s="554" t="s">
        <v>1487</v>
      </c>
      <c r="C20" s="579">
        <v>15952.696686619884</v>
      </c>
      <c r="D20" s="555">
        <v>16462.213590107116</v>
      </c>
      <c r="E20" s="582">
        <v>509.51690348723241</v>
      </c>
      <c r="F20" s="561">
        <v>-46438.256249999999</v>
      </c>
      <c r="G20" s="561">
        <v>-56757.868750000001</v>
      </c>
      <c r="H20" s="568">
        <v>-51598.0625</v>
      </c>
    </row>
    <row r="21" spans="2:8">
      <c r="B21" s="554" t="s">
        <v>1488</v>
      </c>
      <c r="C21" s="579">
        <v>16453.04104877761</v>
      </c>
      <c r="D21" s="555">
        <v>15961.869227949388</v>
      </c>
      <c r="E21" s="582">
        <v>491.17182082822183</v>
      </c>
      <c r="F21" s="557">
        <v>34.200000000000003</v>
      </c>
      <c r="G21" s="557">
        <v>41.8</v>
      </c>
      <c r="H21" s="564">
        <v>38</v>
      </c>
    </row>
    <row r="22" spans="2:8">
      <c r="B22" s="554" t="s">
        <v>1489</v>
      </c>
      <c r="C22" s="579">
        <v>16433.385261525564</v>
      </c>
      <c r="D22" s="555">
        <v>15981.525015201438</v>
      </c>
      <c r="E22" s="582">
        <v>451.86024632412591</v>
      </c>
      <c r="F22" s="556">
        <v>-0.53910000000000002</v>
      </c>
      <c r="G22" s="556">
        <v>-0.65889999999999993</v>
      </c>
      <c r="H22" s="563">
        <v>-0.59899999999999998</v>
      </c>
    </row>
    <row r="23" spans="2:8">
      <c r="B23" s="554" t="s">
        <v>1490</v>
      </c>
      <c r="C23" s="579">
        <v>16414.182661178776</v>
      </c>
      <c r="D23" s="555">
        <v>16000.727615548223</v>
      </c>
      <c r="E23" s="582">
        <v>413.45504563055329</v>
      </c>
      <c r="F23" s="556">
        <v>-0.52649999999999997</v>
      </c>
      <c r="G23" s="556">
        <v>-0.64349999999999996</v>
      </c>
      <c r="H23" s="563">
        <v>-0.58499999999999996</v>
      </c>
    </row>
    <row r="24" spans="2:8">
      <c r="B24" s="554" t="s">
        <v>1491</v>
      </c>
      <c r="C24" s="579">
        <v>16057.88808456279</v>
      </c>
      <c r="D24" s="555">
        <v>16357.022192164208</v>
      </c>
      <c r="E24" s="582">
        <v>299.13410760141778</v>
      </c>
      <c r="F24" s="557">
        <v>36</v>
      </c>
      <c r="G24" s="557">
        <v>44</v>
      </c>
      <c r="H24" s="564">
        <v>40</v>
      </c>
    </row>
    <row r="25" spans="2:8">
      <c r="B25" s="554" t="s">
        <v>1492</v>
      </c>
      <c r="C25" s="579">
        <v>16320.60318571282</v>
      </c>
      <c r="D25" s="555">
        <v>16094.307091014178</v>
      </c>
      <c r="E25" s="582">
        <v>226.29609469864226</v>
      </c>
      <c r="F25" s="556">
        <v>-0.52199999999999991</v>
      </c>
      <c r="G25" s="556">
        <v>-0.63800000000000001</v>
      </c>
      <c r="H25" s="563">
        <v>-0.57999999999999996</v>
      </c>
    </row>
    <row r="26" spans="2:8">
      <c r="B26" s="554" t="s">
        <v>1493</v>
      </c>
      <c r="C26" s="579">
        <v>16132.56926496545</v>
      </c>
      <c r="D26" s="555">
        <v>16282.341011761548</v>
      </c>
      <c r="E26" s="582">
        <v>149.77174679609743</v>
      </c>
      <c r="F26" s="557">
        <v>36.9</v>
      </c>
      <c r="G26" s="557">
        <v>45.1</v>
      </c>
      <c r="H26" s="564">
        <v>41</v>
      </c>
    </row>
    <row r="27" spans="2:8">
      <c r="B27" s="554" t="s">
        <v>1494</v>
      </c>
      <c r="C27" s="579">
        <v>16271.284625022756</v>
      </c>
      <c r="D27" s="555">
        <v>16143.625651704246</v>
      </c>
      <c r="E27" s="582">
        <v>127.65897331851011</v>
      </c>
      <c r="F27" s="556">
        <v>-0.15030000000000002</v>
      </c>
      <c r="G27" s="556">
        <v>-0.1837</v>
      </c>
      <c r="H27" s="563">
        <v>-0.16700000000000001</v>
      </c>
    </row>
    <row r="28" spans="2:8">
      <c r="B28" s="554" t="s">
        <v>1495</v>
      </c>
      <c r="C28" s="579">
        <v>16266.873660925479</v>
      </c>
      <c r="D28" s="555">
        <v>16148.036615801522</v>
      </c>
      <c r="E28" s="582">
        <v>118.83704512395707</v>
      </c>
      <c r="F28" s="556">
        <v>-7.1999999999999995E-2</v>
      </c>
      <c r="G28" s="556">
        <v>-8.8000000000000009E-2</v>
      </c>
      <c r="H28" s="563">
        <v>-0.08</v>
      </c>
    </row>
    <row r="29" spans="2:8">
      <c r="B29" s="554" t="s">
        <v>1496</v>
      </c>
      <c r="C29" s="579">
        <v>16264.803526433574</v>
      </c>
      <c r="D29" s="555">
        <v>16150.10675029342</v>
      </c>
      <c r="E29" s="582">
        <v>114.69677614015382</v>
      </c>
      <c r="F29" s="556">
        <v>-0.14399999999999999</v>
      </c>
      <c r="G29" s="556">
        <v>-0.17600000000000002</v>
      </c>
      <c r="H29" s="563">
        <v>-0.16</v>
      </c>
    </row>
    <row r="30" spans="2:8">
      <c r="B30" s="554" t="s">
        <v>1497</v>
      </c>
      <c r="C30" s="579">
        <v>16259.163509537861</v>
      </c>
      <c r="D30" s="555">
        <v>16155.746767189137</v>
      </c>
      <c r="E30" s="582">
        <v>103.41674234872335</v>
      </c>
      <c r="F30" s="558">
        <v>-0.13949999999999999</v>
      </c>
      <c r="G30" s="558">
        <v>-0.17050000000000001</v>
      </c>
      <c r="H30" s="565">
        <v>-0.155</v>
      </c>
    </row>
    <row r="31" spans="2:8">
      <c r="B31" s="554" t="s">
        <v>1498</v>
      </c>
      <c r="C31" s="579">
        <v>16254.59752087318</v>
      </c>
      <c r="D31" s="555">
        <v>16160.312755853822</v>
      </c>
      <c r="E31" s="582">
        <v>94.284765019358019</v>
      </c>
      <c r="F31" s="558">
        <v>-0.1368</v>
      </c>
      <c r="G31" s="558">
        <v>-0.16719999999999999</v>
      </c>
      <c r="H31" s="565">
        <v>-0.152</v>
      </c>
    </row>
    <row r="32" spans="2:8">
      <c r="B32" s="554" t="s">
        <v>1499</v>
      </c>
      <c r="C32" s="579">
        <v>16245.676387860058</v>
      </c>
      <c r="D32" s="555">
        <v>16169.23388886694</v>
      </c>
      <c r="E32" s="582">
        <v>76.442498993117624</v>
      </c>
      <c r="F32" s="560">
        <v>-9.0000000000000011E-2</v>
      </c>
      <c r="G32" s="560">
        <v>-0.11</v>
      </c>
      <c r="H32" s="567">
        <v>-0.1</v>
      </c>
    </row>
    <row r="33" spans="2:8">
      <c r="B33" s="554" t="s">
        <v>1500</v>
      </c>
      <c r="C33" s="579">
        <v>16241.147316354669</v>
      </c>
      <c r="D33" s="555">
        <v>16173.762960372329</v>
      </c>
      <c r="E33" s="582">
        <v>67.384355982339912</v>
      </c>
      <c r="F33" s="560">
        <v>-8.4599999999999995E-2</v>
      </c>
      <c r="G33" s="560">
        <v>-0.10340000000000001</v>
      </c>
      <c r="H33" s="567">
        <v>-9.4E-2</v>
      </c>
    </row>
    <row r="34" spans="2:8">
      <c r="B34" s="554" t="s">
        <v>1501</v>
      </c>
      <c r="C34" s="579">
        <v>16236.144944305403</v>
      </c>
      <c r="D34" s="555">
        <v>16178.765332421595</v>
      </c>
      <c r="E34" s="582">
        <v>57.379611883807229</v>
      </c>
      <c r="F34" s="560">
        <v>-7.7399999999999997E-2</v>
      </c>
      <c r="G34" s="560">
        <v>-9.459999999999999E-2</v>
      </c>
      <c r="H34" s="567">
        <v>-8.5999999999999993E-2</v>
      </c>
    </row>
    <row r="35" spans="2:8">
      <c r="B35" s="554" t="s">
        <v>1502</v>
      </c>
      <c r="C35" s="579">
        <v>16179.816225619621</v>
      </c>
      <c r="D35" s="555">
        <v>16235.094051107377</v>
      </c>
      <c r="E35" s="582">
        <v>55.277825487755763</v>
      </c>
      <c r="F35" s="561">
        <v>-46412.1</v>
      </c>
      <c r="G35" s="561">
        <v>-56725.9</v>
      </c>
      <c r="H35" s="568">
        <v>-51569</v>
      </c>
    </row>
    <row r="36" spans="2:8">
      <c r="B36" s="554" t="s">
        <v>1503</v>
      </c>
      <c r="C36" s="579">
        <v>16182.052336255249</v>
      </c>
      <c r="D36" s="555">
        <v>16232.857940471749</v>
      </c>
      <c r="E36" s="582">
        <v>50.805604216500797</v>
      </c>
      <c r="F36" s="561">
        <v>-46453.95</v>
      </c>
      <c r="G36" s="561">
        <v>-56777.05</v>
      </c>
      <c r="H36" s="568">
        <v>-51615.5</v>
      </c>
    </row>
    <row r="37" spans="2:8">
      <c r="B37" s="554" t="s">
        <v>1504</v>
      </c>
      <c r="C37" s="579">
        <v>16232.266918631747</v>
      </c>
      <c r="D37" s="555">
        <v>16182.643358095247</v>
      </c>
      <c r="E37" s="582">
        <v>49.623560536500008</v>
      </c>
      <c r="F37" s="560">
        <v>-7.1999999999999995E-2</v>
      </c>
      <c r="G37" s="560">
        <v>-8.8000000000000009E-2</v>
      </c>
      <c r="H37" s="567">
        <v>-0.08</v>
      </c>
    </row>
    <row r="38" spans="2:8">
      <c r="B38" s="554" t="s">
        <v>1505</v>
      </c>
      <c r="C38" s="579">
        <v>16184.143775960158</v>
      </c>
      <c r="D38" s="555">
        <v>16230.76650076684</v>
      </c>
      <c r="E38" s="582">
        <v>46.622724806682527</v>
      </c>
      <c r="F38" s="561">
        <v>-46433.025000000001</v>
      </c>
      <c r="G38" s="561">
        <v>-56751.474999999999</v>
      </c>
      <c r="H38" s="568">
        <v>-51592.25</v>
      </c>
    </row>
    <row r="39" spans="2:8">
      <c r="B39" s="554" t="s">
        <v>1506</v>
      </c>
      <c r="C39" s="579">
        <v>16186.053958790833</v>
      </c>
      <c r="D39" s="555">
        <v>16228.856317936166</v>
      </c>
      <c r="E39" s="582">
        <v>42.802359145332957</v>
      </c>
      <c r="F39" s="561">
        <v>-46443.487500000003</v>
      </c>
      <c r="G39" s="561">
        <v>-56764.262499999997</v>
      </c>
      <c r="H39" s="568">
        <v>-51603.875</v>
      </c>
    </row>
    <row r="40" spans="2:8">
      <c r="B40" s="554" t="s">
        <v>1507</v>
      </c>
      <c r="C40" s="579">
        <v>16191.757584359057</v>
      </c>
      <c r="D40" s="555">
        <v>16223.152692367941</v>
      </c>
      <c r="E40" s="582">
        <v>31.395108008884563</v>
      </c>
      <c r="F40" s="556">
        <v>2.2500000000000003E-2</v>
      </c>
      <c r="G40" s="556">
        <v>2.75E-2</v>
      </c>
      <c r="H40" s="563">
        <v>2.5000000000000001E-2</v>
      </c>
    </row>
    <row r="41" spans="2:8">
      <c r="B41" s="554" t="s">
        <v>1508</v>
      </c>
      <c r="C41" s="579">
        <v>16198.148705130761</v>
      </c>
      <c r="D41" s="555">
        <v>16216.761571596237</v>
      </c>
      <c r="E41" s="582">
        <v>18.612866465475236</v>
      </c>
      <c r="F41" s="556">
        <v>1.2939153488999369E-2</v>
      </c>
      <c r="G41" s="556">
        <v>1.5814520930999228E-2</v>
      </c>
      <c r="H41" s="563">
        <v>1.4376837209999299E-2</v>
      </c>
    </row>
    <row r="42" spans="2:8">
      <c r="B42" s="554" t="s">
        <v>1509</v>
      </c>
      <c r="C42" s="579">
        <v>16199.002702746198</v>
      </c>
      <c r="D42" s="555">
        <v>16215.907573980803</v>
      </c>
      <c r="E42" s="582">
        <v>16.904871234604798</v>
      </c>
      <c r="F42" s="556">
        <v>1.240726519670508E-2</v>
      </c>
      <c r="G42" s="556">
        <v>1.5164435240417318E-2</v>
      </c>
      <c r="H42" s="563">
        <v>1.3785850218561199E-2</v>
      </c>
    </row>
    <row r="43" spans="2:8">
      <c r="B43" s="554" t="s">
        <v>1510</v>
      </c>
      <c r="C43" s="579">
        <v>16201.019961564509</v>
      </c>
      <c r="D43" s="555">
        <v>16213.890315162489</v>
      </c>
      <c r="E43" s="582">
        <v>12.870353597980284</v>
      </c>
      <c r="F43" s="556">
        <v>1.1610000000000001E-2</v>
      </c>
      <c r="G43" s="556">
        <v>1.4189999999999999E-2</v>
      </c>
      <c r="H43" s="563">
        <v>1.29E-2</v>
      </c>
    </row>
    <row r="44" spans="2:8">
      <c r="B44" s="554" t="s">
        <v>1511</v>
      </c>
      <c r="C44" s="579">
        <v>16201.369549737661</v>
      </c>
      <c r="D44" s="555">
        <v>16213.540726989335</v>
      </c>
      <c r="E44" s="582">
        <v>12.171177251673726</v>
      </c>
      <c r="F44" s="562">
        <v>74.7</v>
      </c>
      <c r="G44" s="562">
        <v>91.3</v>
      </c>
      <c r="H44" s="569">
        <v>83</v>
      </c>
    </row>
    <row r="45" spans="2:8">
      <c r="B45" s="554" t="s">
        <v>1512</v>
      </c>
      <c r="C45" s="579">
        <v>16201.717831328628</v>
      </c>
      <c r="D45" s="555">
        <v>16213.192445398374</v>
      </c>
      <c r="E45" s="582">
        <v>11.474614069746167</v>
      </c>
      <c r="F45" s="557">
        <v>76.5</v>
      </c>
      <c r="G45" s="557">
        <v>93.5</v>
      </c>
      <c r="H45" s="564">
        <v>85</v>
      </c>
    </row>
    <row r="46" spans="2:8">
      <c r="B46" s="554" t="s">
        <v>1513</v>
      </c>
      <c r="C46" s="579">
        <v>16202.011581506569</v>
      </c>
      <c r="D46" s="555">
        <v>16212.898695220432</v>
      </c>
      <c r="E46" s="582">
        <v>10.887113713863073</v>
      </c>
      <c r="F46" s="557">
        <v>78.3</v>
      </c>
      <c r="G46" s="557">
        <v>95.7</v>
      </c>
      <c r="H46" s="564">
        <v>87</v>
      </c>
    </row>
    <row r="47" spans="2:8">
      <c r="B47" s="554" t="s">
        <v>1514</v>
      </c>
      <c r="C47" s="579">
        <v>16210.9292100242</v>
      </c>
      <c r="D47" s="555">
        <v>16203.9810667028</v>
      </c>
      <c r="E47" s="582">
        <v>6.9481433214004937</v>
      </c>
      <c r="F47" s="562">
        <v>25.2</v>
      </c>
      <c r="G47" s="562">
        <v>30.8</v>
      </c>
      <c r="H47" s="569">
        <v>28</v>
      </c>
    </row>
    <row r="48" spans="2:8">
      <c r="B48" s="554" t="s">
        <v>1515</v>
      </c>
      <c r="C48" s="579">
        <v>16210.640540776245</v>
      </c>
      <c r="D48" s="555">
        <v>16204.269735950753</v>
      </c>
      <c r="E48" s="582">
        <v>6.3708048254920868</v>
      </c>
      <c r="F48" s="562">
        <v>24.75</v>
      </c>
      <c r="G48" s="562">
        <v>30.25</v>
      </c>
      <c r="H48" s="569">
        <v>27.5</v>
      </c>
    </row>
    <row r="49" spans="2:8">
      <c r="B49" s="554" t="s">
        <v>1516</v>
      </c>
      <c r="C49" s="579">
        <v>16210.608563496709</v>
      </c>
      <c r="D49" s="555">
        <v>16204.301713230287</v>
      </c>
      <c r="E49" s="582">
        <v>6.3068502664227708</v>
      </c>
      <c r="F49" s="562">
        <v>38.700000000000003</v>
      </c>
      <c r="G49" s="562">
        <v>47.3</v>
      </c>
      <c r="H49" s="569">
        <v>43</v>
      </c>
    </row>
    <row r="50" spans="2:8">
      <c r="B50" s="554" t="s">
        <v>1517</v>
      </c>
      <c r="C50" s="579">
        <v>16210.374235478146</v>
      </c>
      <c r="D50" s="555">
        <v>16204.536041248854</v>
      </c>
      <c r="E50" s="582">
        <v>5.8381942292926396</v>
      </c>
      <c r="F50" s="559">
        <v>24.3</v>
      </c>
      <c r="G50" s="559">
        <v>29.7</v>
      </c>
      <c r="H50" s="566">
        <v>27</v>
      </c>
    </row>
    <row r="51" spans="2:8" ht="12.75" thickBot="1">
      <c r="B51" s="571" t="s">
        <v>1518</v>
      </c>
      <c r="C51" s="580">
        <v>16210.262404023882</v>
      </c>
      <c r="D51" s="572">
        <v>16204.647872703112</v>
      </c>
      <c r="E51" s="583">
        <v>5.6145313207707659</v>
      </c>
      <c r="F51" s="573">
        <v>37.799999999999997</v>
      </c>
      <c r="G51" s="573">
        <v>46.2</v>
      </c>
      <c r="H51" s="574">
        <v>42</v>
      </c>
    </row>
    <row r="52" spans="2:8" ht="12.75" thickTop="1"/>
  </sheetData>
  <mergeCells count="7">
    <mergeCell ref="C10:E10"/>
    <mergeCell ref="F10:H10"/>
    <mergeCell ref="B1:N1"/>
    <mergeCell ref="B3:N3"/>
    <mergeCell ref="B5:N5"/>
    <mergeCell ref="B6:N6"/>
    <mergeCell ref="B8:N8"/>
  </mergeCells>
  <pageMargins left="0.5" right="0.5" top="1" bottom="1" header="0.5" footer="0.5"/>
  <pageSetup scale="57" fitToHeight="1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sheetPr>
  <dimension ref="A1:T28"/>
  <sheetViews>
    <sheetView showGridLines="0" tabSelected="1" zoomScale="80" zoomScaleNormal="80" workbookViewId="0">
      <selection activeCell="A6" sqref="A6:A17"/>
    </sheetView>
  </sheetViews>
  <sheetFormatPr baseColWidth="10" defaultColWidth="9" defaultRowHeight="15.75"/>
  <cols>
    <col min="1" max="1" width="29.625" bestFit="1" customWidth="1"/>
    <col min="2" max="2" width="11.375" customWidth="1"/>
    <col min="3" max="3" width="12.375" bestFit="1" customWidth="1"/>
    <col min="18" max="20" width="13.625" bestFit="1" customWidth="1"/>
  </cols>
  <sheetData>
    <row r="1" spans="1:20">
      <c r="B1" s="632" t="s">
        <v>965</v>
      </c>
      <c r="C1" s="632"/>
      <c r="D1" s="632"/>
      <c r="E1" s="632"/>
      <c r="F1" s="632"/>
      <c r="G1" s="632"/>
      <c r="H1" s="632"/>
      <c r="I1" s="632"/>
      <c r="J1" s="632"/>
      <c r="K1" s="632"/>
      <c r="L1" s="632"/>
      <c r="M1" s="632"/>
      <c r="N1" s="632"/>
      <c r="O1" s="632"/>
      <c r="P1" s="632"/>
    </row>
    <row r="2" spans="1:20">
      <c r="B2" s="632"/>
      <c r="C2" s="632"/>
      <c r="D2" s="632"/>
      <c r="E2" s="632"/>
      <c r="F2" s="632"/>
      <c r="G2" s="632"/>
      <c r="H2" s="632"/>
      <c r="I2" s="632"/>
      <c r="J2" s="632"/>
      <c r="K2" s="632"/>
      <c r="L2" s="632"/>
      <c r="M2" s="632"/>
      <c r="N2" s="632"/>
      <c r="O2" s="632"/>
      <c r="P2" s="632"/>
    </row>
    <row r="3" spans="1:20">
      <c r="B3" s="632"/>
      <c r="C3" s="632"/>
      <c r="D3" s="632"/>
      <c r="E3" s="632"/>
      <c r="F3" s="632"/>
      <c r="G3" s="632"/>
      <c r="H3" s="632"/>
      <c r="I3" s="632"/>
      <c r="J3" s="632"/>
      <c r="K3" s="632"/>
      <c r="L3" s="632"/>
      <c r="M3" s="632"/>
      <c r="N3" s="632"/>
      <c r="O3" s="632"/>
      <c r="P3" s="632"/>
    </row>
    <row r="4" spans="1:20">
      <c r="B4" s="666">
        <v>2019</v>
      </c>
      <c r="C4" s="666"/>
      <c r="D4" s="666"/>
      <c r="E4" s="666">
        <v>2020</v>
      </c>
      <c r="F4" s="666"/>
      <c r="G4" s="666"/>
      <c r="H4" s="666">
        <v>2021</v>
      </c>
      <c r="I4" s="666"/>
      <c r="J4" s="666"/>
      <c r="K4" s="666">
        <v>2022</v>
      </c>
      <c r="L4" s="666"/>
      <c r="M4" s="666"/>
      <c r="N4" s="666">
        <v>2023</v>
      </c>
      <c r="O4" s="666"/>
      <c r="P4" s="666"/>
    </row>
    <row r="5" spans="1:20">
      <c r="A5" s="9" t="s">
        <v>54</v>
      </c>
      <c r="B5" s="9" t="s">
        <v>561</v>
      </c>
      <c r="C5" s="9" t="s">
        <v>943</v>
      </c>
      <c r="D5" s="9" t="s">
        <v>562</v>
      </c>
      <c r="E5" s="9" t="s">
        <v>561</v>
      </c>
      <c r="F5" s="9" t="s">
        <v>943</v>
      </c>
      <c r="G5" s="9" t="s">
        <v>562</v>
      </c>
      <c r="H5" s="9" t="s">
        <v>561</v>
      </c>
      <c r="I5" s="9" t="s">
        <v>943</v>
      </c>
      <c r="J5" s="9" t="s">
        <v>562</v>
      </c>
      <c r="K5" s="9" t="s">
        <v>561</v>
      </c>
      <c r="L5" s="9" t="s">
        <v>943</v>
      </c>
      <c r="M5" s="9" t="s">
        <v>562</v>
      </c>
      <c r="N5" s="9" t="s">
        <v>561</v>
      </c>
      <c r="O5" s="9" t="s">
        <v>943</v>
      </c>
      <c r="P5" s="9" t="s">
        <v>562</v>
      </c>
    </row>
    <row r="6" spans="1:20">
      <c r="A6" s="344" t="s">
        <v>763</v>
      </c>
      <c r="B6" s="3">
        <v>-0.09</v>
      </c>
      <c r="C6" s="397">
        <v>-0.08</v>
      </c>
      <c r="D6" s="3">
        <v>-0.04</v>
      </c>
      <c r="E6" s="3">
        <v>0.01</v>
      </c>
      <c r="F6" s="397">
        <v>1.4376837209999261E-2</v>
      </c>
      <c r="G6" s="3">
        <v>3.5000000000000003E-2</v>
      </c>
      <c r="H6" s="3">
        <v>0.01</v>
      </c>
      <c r="I6" s="397">
        <v>1.3785850218561213E-2</v>
      </c>
      <c r="J6" s="3">
        <v>0.02</v>
      </c>
      <c r="K6" s="3">
        <v>2.9459564902547287E-3</v>
      </c>
      <c r="L6" s="397">
        <v>1.29E-2</v>
      </c>
      <c r="M6" s="3">
        <v>1.7000000000000001E-2</v>
      </c>
      <c r="N6" s="3">
        <v>1.29E-2</v>
      </c>
      <c r="O6" s="397">
        <v>2.5000000000000001E-2</v>
      </c>
      <c r="P6" s="3">
        <v>3.4000000000000002E-2</v>
      </c>
      <c r="R6" s="544"/>
      <c r="S6" s="544"/>
      <c r="T6" s="544"/>
    </row>
    <row r="7" spans="1:20">
      <c r="A7" s="344" t="s">
        <v>764</v>
      </c>
      <c r="B7" s="3">
        <v>-0.63</v>
      </c>
      <c r="C7" s="397">
        <v>-0.59899999999999998</v>
      </c>
      <c r="D7" s="3">
        <v>-0.58599999999999997</v>
      </c>
      <c r="E7" s="3">
        <v>-0.6</v>
      </c>
      <c r="F7" s="397">
        <v>-0.58499999999999996</v>
      </c>
      <c r="G7" s="3">
        <v>-0.56000000000000005</v>
      </c>
      <c r="H7" s="3">
        <v>-0.59</v>
      </c>
      <c r="I7" s="397">
        <v>-0.57999999999999996</v>
      </c>
      <c r="J7" s="3">
        <v>-0.56000000000000005</v>
      </c>
      <c r="K7" s="3">
        <v>-0.57999999999999996</v>
      </c>
      <c r="L7" s="397">
        <v>-0.57799999999999996</v>
      </c>
      <c r="M7" s="3">
        <v>-0.55000000000000004</v>
      </c>
      <c r="N7" s="3">
        <v>-0.56999999999999995</v>
      </c>
      <c r="O7" s="397">
        <v>-0.57499999999999996</v>
      </c>
      <c r="P7" s="3">
        <v>-0.54</v>
      </c>
    </row>
    <row r="8" spans="1:20">
      <c r="A8" s="344" t="s">
        <v>765</v>
      </c>
      <c r="B8" s="49">
        <v>-53570</v>
      </c>
      <c r="C8" s="398">
        <v>-51569</v>
      </c>
      <c r="D8" s="49">
        <v>-50568</v>
      </c>
      <c r="E8" s="49">
        <v>-53616.5</v>
      </c>
      <c r="F8" s="398">
        <v>-51615.5</v>
      </c>
      <c r="G8" s="49">
        <v>-50614.5</v>
      </c>
      <c r="H8" s="49">
        <v>-53593.25</v>
      </c>
      <c r="I8" s="398">
        <v>-51592.25</v>
      </c>
      <c r="J8" s="49">
        <v>-50591.25</v>
      </c>
      <c r="K8" s="49">
        <v>-53604.875</v>
      </c>
      <c r="L8" s="398">
        <v>-51603.875</v>
      </c>
      <c r="M8" s="49">
        <v>-50602.875</v>
      </c>
      <c r="N8" s="49">
        <v>-53599.0625</v>
      </c>
      <c r="O8" s="398">
        <v>-51598.0625</v>
      </c>
      <c r="P8" s="49">
        <v>-50597.0625</v>
      </c>
    </row>
    <row r="9" spans="1:20">
      <c r="A9" s="344" t="s">
        <v>770</v>
      </c>
      <c r="B9" s="3">
        <v>-0.17700000000000002</v>
      </c>
      <c r="C9" s="399">
        <v>-0.16700000000000001</v>
      </c>
      <c r="D9" s="3">
        <v>-0.158</v>
      </c>
      <c r="E9" s="3">
        <v>-0.17</v>
      </c>
      <c r="F9" s="399">
        <v>-0.16</v>
      </c>
      <c r="G9" s="3">
        <v>-0.14499999999999999</v>
      </c>
      <c r="H9" s="3">
        <v>-0.16300000000000001</v>
      </c>
      <c r="I9" s="403">
        <v>-0.155</v>
      </c>
      <c r="J9" s="3">
        <v>-0.13999999999999999</v>
      </c>
      <c r="K9" s="3">
        <v>-0.16</v>
      </c>
      <c r="L9" s="403">
        <v>-0.152</v>
      </c>
      <c r="M9" s="3">
        <v>-0.14000000000000001</v>
      </c>
      <c r="N9" s="3">
        <v>-0.16</v>
      </c>
      <c r="O9" s="403">
        <v>-0.15</v>
      </c>
      <c r="P9" s="3">
        <v>-0.13999999999999999</v>
      </c>
    </row>
    <row r="10" spans="1:20">
      <c r="A10" s="344" t="s">
        <v>776</v>
      </c>
      <c r="B10" s="3">
        <v>-0.11</v>
      </c>
      <c r="C10" s="400">
        <v>-0.1</v>
      </c>
      <c r="D10" s="3">
        <v>-9.0000000000000011E-2</v>
      </c>
      <c r="E10" s="3">
        <v>-0.1</v>
      </c>
      <c r="F10" s="400">
        <v>-9.4E-2</v>
      </c>
      <c r="G10" s="3">
        <v>-7.8E-2</v>
      </c>
      <c r="H10" s="3">
        <v>-9.0999999999999998E-2</v>
      </c>
      <c r="I10" s="400">
        <v>-8.5999999999999993E-2</v>
      </c>
      <c r="J10" s="3">
        <v>-7.2999999999999995E-2</v>
      </c>
      <c r="K10" s="3">
        <v>-8.5000000000000006E-2</v>
      </c>
      <c r="L10" s="400">
        <v>-0.08</v>
      </c>
      <c r="M10" s="3">
        <v>-7.0999999999999994E-2</v>
      </c>
      <c r="N10" s="3">
        <v>-8.5000000000000006E-2</v>
      </c>
      <c r="O10" s="400">
        <v>-7.8E-2</v>
      </c>
      <c r="P10" s="3">
        <v>-7.0999999999999994E-2</v>
      </c>
    </row>
    <row r="11" spans="1:20">
      <c r="A11" s="344" t="s">
        <v>777</v>
      </c>
      <c r="B11" s="3">
        <v>-0.28500000000000003</v>
      </c>
      <c r="C11" s="399">
        <v>-0.27500000000000002</v>
      </c>
      <c r="D11" s="3">
        <v>-0.26500000000000001</v>
      </c>
      <c r="E11" s="3">
        <v>-0.25700000000000001</v>
      </c>
      <c r="F11" s="399">
        <v>-0.25700000000000001</v>
      </c>
      <c r="G11" s="3">
        <v>-0.23699999999999999</v>
      </c>
      <c r="H11" s="3">
        <v>-0.245</v>
      </c>
      <c r="I11" s="399">
        <v>-9.5145355072586035E-2</v>
      </c>
      <c r="J11" s="3">
        <v>-8.514535507258604E-2</v>
      </c>
      <c r="K11" s="3">
        <v>-0.23799999999999999</v>
      </c>
      <c r="L11" s="399">
        <v>-0.23</v>
      </c>
      <c r="M11" s="3">
        <v>-0.218</v>
      </c>
      <c r="N11" s="3">
        <v>-0.23799999999999999</v>
      </c>
      <c r="O11" s="399">
        <v>-0.23</v>
      </c>
      <c r="P11" s="3">
        <v>-0.218</v>
      </c>
    </row>
    <row r="12" spans="1:20">
      <c r="A12" s="345" t="s">
        <v>832</v>
      </c>
      <c r="B12" s="343">
        <v>26</v>
      </c>
      <c r="C12" s="401">
        <v>28</v>
      </c>
      <c r="D12" s="4">
        <v>30</v>
      </c>
      <c r="E12" s="50">
        <v>25.5</v>
      </c>
      <c r="F12" s="401">
        <v>27.5</v>
      </c>
      <c r="G12" s="4">
        <v>28.5</v>
      </c>
      <c r="H12" s="50">
        <v>25</v>
      </c>
      <c r="I12" s="495">
        <v>27</v>
      </c>
      <c r="J12" s="4">
        <v>29</v>
      </c>
      <c r="K12" s="50">
        <v>24.5</v>
      </c>
      <c r="L12" s="495">
        <v>26.5</v>
      </c>
      <c r="M12" s="4">
        <v>28</v>
      </c>
      <c r="N12" s="50">
        <v>24.5</v>
      </c>
      <c r="O12" s="495">
        <v>25.7</v>
      </c>
      <c r="P12" s="4">
        <v>28</v>
      </c>
    </row>
    <row r="13" spans="1:20">
      <c r="A13" s="344" t="s">
        <v>833</v>
      </c>
      <c r="B13" s="343">
        <v>40.5</v>
      </c>
      <c r="C13" s="401">
        <v>43</v>
      </c>
      <c r="D13" s="4">
        <v>45</v>
      </c>
      <c r="E13" s="50">
        <v>40</v>
      </c>
      <c r="F13" s="402">
        <v>42</v>
      </c>
      <c r="G13" s="4">
        <v>44</v>
      </c>
      <c r="H13" s="343">
        <v>38</v>
      </c>
      <c r="I13" s="402">
        <v>41</v>
      </c>
      <c r="J13" s="4">
        <v>43</v>
      </c>
      <c r="K13" s="343">
        <v>39.5</v>
      </c>
      <c r="L13" s="402">
        <v>40</v>
      </c>
      <c r="M13" s="4">
        <v>42.5</v>
      </c>
      <c r="N13" s="50">
        <v>38</v>
      </c>
      <c r="O13" s="402">
        <v>38</v>
      </c>
      <c r="P13" s="4">
        <v>41</v>
      </c>
    </row>
    <row r="14" spans="1:20">
      <c r="A14" s="344" t="s">
        <v>834</v>
      </c>
      <c r="B14" s="50">
        <v>81</v>
      </c>
      <c r="C14" s="401">
        <v>83</v>
      </c>
      <c r="D14" s="4">
        <v>87</v>
      </c>
      <c r="E14" s="50">
        <v>84</v>
      </c>
      <c r="F14" s="402">
        <v>85</v>
      </c>
      <c r="G14" s="4">
        <v>90</v>
      </c>
      <c r="H14" s="50">
        <v>85</v>
      </c>
      <c r="I14" s="402">
        <v>87</v>
      </c>
      <c r="J14" s="4">
        <v>92</v>
      </c>
      <c r="K14" s="50">
        <v>86</v>
      </c>
      <c r="L14" s="402">
        <v>88.3</v>
      </c>
      <c r="M14" s="4">
        <v>92</v>
      </c>
      <c r="N14" s="50">
        <v>88</v>
      </c>
      <c r="O14" s="402">
        <v>89</v>
      </c>
      <c r="P14" s="4">
        <v>92</v>
      </c>
    </row>
    <row r="15" spans="1:20">
      <c r="A15" s="344" t="s">
        <v>855</v>
      </c>
      <c r="B15" s="3">
        <v>3.4000000000000002E-2</v>
      </c>
      <c r="C15" s="399">
        <v>4.4048279369999679E-2</v>
      </c>
      <c r="D15" s="3">
        <v>5.4048279369999681E-2</v>
      </c>
      <c r="E15" s="3">
        <v>3.4000000000000002E-2</v>
      </c>
      <c r="F15" s="399">
        <v>4.4048279369999679E-2</v>
      </c>
      <c r="G15" s="3">
        <v>5.4048279369999681E-2</v>
      </c>
      <c r="H15" s="3">
        <v>3.4000000000000002E-2</v>
      </c>
      <c r="I15" s="399">
        <v>4.3999999999999997E-2</v>
      </c>
      <c r="J15" s="3">
        <v>5.3999999999999999E-2</v>
      </c>
      <c r="K15" s="3">
        <v>3.4000000000000002E-2</v>
      </c>
      <c r="L15" s="399">
        <v>4.4048279369999679E-2</v>
      </c>
      <c r="M15" s="3">
        <v>5.4048279369999681E-2</v>
      </c>
      <c r="N15" s="3">
        <v>3.4000000000000002E-2</v>
      </c>
      <c r="O15" s="399">
        <v>4.4048279369999679E-2</v>
      </c>
      <c r="P15" s="3">
        <v>5.4048279369999681E-2</v>
      </c>
    </row>
    <row r="16" spans="1:20">
      <c r="A16" s="346" t="s">
        <v>936</v>
      </c>
      <c r="B16" s="3">
        <v>0.01</v>
      </c>
      <c r="C16" s="399">
        <v>1.2999999999999999E-2</v>
      </c>
      <c r="D16" s="3">
        <v>1.7000000000000001E-2</v>
      </c>
      <c r="E16" s="3">
        <v>0.01</v>
      </c>
      <c r="F16" s="399">
        <v>1.2999999999999999E-2</v>
      </c>
      <c r="G16" s="497">
        <v>1.7000000000000001E-2</v>
      </c>
      <c r="H16" s="3">
        <v>0.01</v>
      </c>
      <c r="I16" s="399">
        <v>1.2999999999999999E-2</v>
      </c>
      <c r="J16" s="497">
        <v>1.7000000000000001E-2</v>
      </c>
      <c r="K16" s="3">
        <v>0.01</v>
      </c>
      <c r="L16" s="399">
        <v>1.2999999999999999E-2</v>
      </c>
      <c r="M16" s="497">
        <v>1.7000000000000001E-2</v>
      </c>
      <c r="N16" s="3">
        <v>0.01</v>
      </c>
      <c r="O16" s="399">
        <v>1.2999999999999999E-2</v>
      </c>
      <c r="P16" s="497">
        <v>1.7000000000000001E-2</v>
      </c>
    </row>
    <row r="17" spans="1:16">
      <c r="A17" s="347" t="s">
        <v>187</v>
      </c>
      <c r="B17" s="3">
        <f>C17-1%</f>
        <v>7.8430596599509003E-2</v>
      </c>
      <c r="C17" s="397">
        <v>8.8430596599508998E-2</v>
      </c>
      <c r="D17" s="3">
        <f>C17+2%</f>
        <v>0.108430596599509</v>
      </c>
      <c r="E17" s="3">
        <f>F17-1%</f>
        <v>7.9007218901696707E-2</v>
      </c>
      <c r="F17" s="397">
        <v>8.9007218901696702E-2</v>
      </c>
      <c r="G17" s="3">
        <f>F17+2%</f>
        <v>0.10900721890169671</v>
      </c>
      <c r="H17" s="3">
        <f>I17-1%</f>
        <v>7.9226750290949402E-2</v>
      </c>
      <c r="I17" s="397">
        <v>8.9226750290949397E-2</v>
      </c>
      <c r="J17" s="3">
        <f>I17+2%</f>
        <v>0.1092267502909494</v>
      </c>
      <c r="K17" s="3">
        <f>L17-1%</f>
        <v>7.9501396228186999E-2</v>
      </c>
      <c r="L17" s="397">
        <v>8.9501396228186994E-2</v>
      </c>
      <c r="M17" s="3">
        <f>L17+2%</f>
        <v>0.109501396228187</v>
      </c>
      <c r="N17" s="3">
        <f>O17-1%</f>
        <v>8.2620596350964609E-2</v>
      </c>
      <c r="O17" s="397">
        <v>9.2620596350964604E-2</v>
      </c>
      <c r="P17" s="3">
        <f>O17+2%</f>
        <v>0.11262059635096461</v>
      </c>
    </row>
    <row r="20" spans="1:16">
      <c r="A20" s="426" t="s">
        <v>1465</v>
      </c>
      <c r="B20">
        <f>FCL!P50</f>
        <v>16207.455138363499</v>
      </c>
      <c r="E20" s="3"/>
      <c r="F20" s="3"/>
      <c r="I20" s="497"/>
      <c r="L20" s="497"/>
      <c r="O20" s="497"/>
    </row>
    <row r="21" spans="1:16">
      <c r="F21" s="497"/>
      <c r="I21" s="497"/>
      <c r="L21" s="497"/>
      <c r="O21" s="497"/>
    </row>
    <row r="22" spans="1:16">
      <c r="F22" s="497"/>
      <c r="I22" s="497"/>
      <c r="L22" s="497"/>
      <c r="O22" s="497"/>
    </row>
    <row r="25" spans="1:16">
      <c r="C25" s="526"/>
      <c r="F25" s="526"/>
      <c r="I25" s="526"/>
      <c r="L25" s="526"/>
      <c r="O25" s="526"/>
    </row>
    <row r="27" spans="1:16">
      <c r="C27" s="162"/>
      <c r="D27" s="4"/>
      <c r="E27" s="4"/>
      <c r="F27" s="4"/>
      <c r="G27" s="4"/>
    </row>
    <row r="28" spans="1:16">
      <c r="C28" s="527"/>
      <c r="D28" s="526"/>
      <c r="E28" s="526"/>
      <c r="F28" s="526"/>
      <c r="G28" s="343"/>
    </row>
  </sheetData>
  <mergeCells count="6">
    <mergeCell ref="B1:P3"/>
    <mergeCell ref="B4:D4"/>
    <mergeCell ref="E4:G4"/>
    <mergeCell ref="H4:J4"/>
    <mergeCell ref="K4:M4"/>
    <mergeCell ref="N4:P4"/>
  </mergeCell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sheetPr>
  <dimension ref="A1:N30"/>
  <sheetViews>
    <sheetView showGridLines="0" zoomScale="118" zoomScaleNormal="118" workbookViewId="0">
      <pane xSplit="1" ySplit="3" topLeftCell="B4" activePane="bottomRight" state="frozen"/>
      <selection pane="topRight" activeCell="B1" sqref="B1"/>
      <selection pane="bottomLeft" activeCell="A4" sqref="A4"/>
      <selection pane="bottomRight" activeCell="K23" sqref="K23"/>
    </sheetView>
  </sheetViews>
  <sheetFormatPr baseColWidth="10" defaultColWidth="11" defaultRowHeight="15.75"/>
  <cols>
    <col min="1" max="1" width="42.5" customWidth="1"/>
    <col min="2" max="2" width="28.375" customWidth="1"/>
    <col min="5" max="5" width="12.125" bestFit="1" customWidth="1"/>
    <col min="6" max="8" width="13.625" bestFit="1" customWidth="1"/>
    <col min="10" max="10" width="13.375" customWidth="1"/>
  </cols>
  <sheetData>
    <row r="1" spans="1:14" ht="43.5" customHeight="1">
      <c r="B1" s="668" t="s">
        <v>784</v>
      </c>
      <c r="C1" s="668"/>
      <c r="D1" s="668"/>
      <c r="E1" s="668"/>
      <c r="F1" s="668"/>
      <c r="G1" s="668"/>
      <c r="H1" s="668"/>
      <c r="I1" s="668"/>
      <c r="J1" s="668"/>
    </row>
    <row r="3" spans="1:14">
      <c r="A3" s="9" t="s">
        <v>159</v>
      </c>
      <c r="B3" s="9">
        <v>2013</v>
      </c>
      <c r="C3" s="9">
        <v>2014</v>
      </c>
      <c r="D3" s="9">
        <v>2015</v>
      </c>
      <c r="E3" s="9">
        <v>2016</v>
      </c>
      <c r="F3" s="9">
        <v>2017</v>
      </c>
      <c r="G3" s="9">
        <v>2018</v>
      </c>
      <c r="H3" s="432" t="s">
        <v>771</v>
      </c>
      <c r="I3" s="432" t="s">
        <v>772</v>
      </c>
      <c r="J3" s="432" t="s">
        <v>773</v>
      </c>
      <c r="K3" s="432" t="s">
        <v>774</v>
      </c>
      <c r="L3" s="432" t="s">
        <v>859</v>
      </c>
    </row>
    <row r="4" spans="1:14">
      <c r="A4" s="10" t="s">
        <v>158</v>
      </c>
      <c r="B4" s="333">
        <f>+'Balance General'!D11</f>
        <v>103683</v>
      </c>
      <c r="C4" s="333">
        <f>+'Balance General'!E11</f>
        <v>102821</v>
      </c>
      <c r="D4" s="333">
        <f>+'Balance General'!F11</f>
        <v>86134</v>
      </c>
      <c r="E4" s="333">
        <f>+'Balance General'!G11</f>
        <v>71595</v>
      </c>
      <c r="F4" s="333">
        <f>+'Balance General'!H11</f>
        <v>82675</v>
      </c>
      <c r="G4" s="333">
        <f>+'BG Proyectado'!I11</f>
        <v>81172</v>
      </c>
      <c r="H4" s="243">
        <f>+'BG Proyectado'!J11</f>
        <v>72954.032357666656</v>
      </c>
      <c r="I4" s="243">
        <f>+'BG Proyectado'!K11</f>
        <v>70592.490447533928</v>
      </c>
      <c r="J4" s="243">
        <f>+'BG Proyectado'!L11</f>
        <v>69264.614724832893</v>
      </c>
      <c r="K4" s="243">
        <f>+'BG Proyectado'!M11</f>
        <v>68210.930414238377</v>
      </c>
      <c r="L4" s="243">
        <f>+'BG Proyectado'!N11</f>
        <v>66075.650964095417</v>
      </c>
    </row>
    <row r="5" spans="1:14">
      <c r="A5" s="10" t="s">
        <v>160</v>
      </c>
      <c r="B5" s="333">
        <f>-'Estados de Resultados Consolida'!C4</f>
        <v>852161</v>
      </c>
      <c r="C5" s="333">
        <f>-'Estados de Resultados Consolida'!D4</f>
        <v>869388</v>
      </c>
      <c r="D5" s="333">
        <f>-'Estados de Resultados Consolida'!E4</f>
        <v>749646</v>
      </c>
      <c r="E5" s="333">
        <f>-'Estados de Resultados Consolida'!F4</f>
        <v>676860</v>
      </c>
      <c r="F5" s="333">
        <f>-'Estados de Resultados Consolida'!G4</f>
        <v>670188</v>
      </c>
      <c r="G5" s="334">
        <f>-'ER Proyectado'!H4</f>
        <v>649670</v>
      </c>
      <c r="H5" s="243">
        <f>-'ER Proyectado'!I4</f>
        <v>610777.94531999994</v>
      </c>
      <c r="I5" s="243">
        <f>-'ER Proyectado'!J4</f>
        <v>605078.48955029075</v>
      </c>
      <c r="J5" s="243">
        <f>-'ER Proyectado'!K4</f>
        <v>608177.10490097175</v>
      </c>
      <c r="K5" s="243">
        <f>-'ER Proyectado'!L4</f>
        <v>613898.37372814538</v>
      </c>
      <c r="L5" s="243">
        <f>-'ER Proyectado'!M4</f>
        <v>625979.8512387987</v>
      </c>
    </row>
    <row r="6" spans="1:14">
      <c r="A6" s="10" t="s">
        <v>161</v>
      </c>
      <c r="B6" s="333">
        <v>93147</v>
      </c>
      <c r="C6" s="333">
        <f t="shared" ref="C6:L6" si="0">+B4</f>
        <v>103683</v>
      </c>
      <c r="D6" s="333">
        <f t="shared" si="0"/>
        <v>102821</v>
      </c>
      <c r="E6" s="333">
        <f t="shared" si="0"/>
        <v>86134</v>
      </c>
      <c r="F6" s="333">
        <f t="shared" si="0"/>
        <v>71595</v>
      </c>
      <c r="G6" s="333">
        <f t="shared" si="0"/>
        <v>82675</v>
      </c>
      <c r="H6" s="243">
        <f t="shared" si="0"/>
        <v>81172</v>
      </c>
      <c r="I6" s="243">
        <f t="shared" si="0"/>
        <v>72954.032357666656</v>
      </c>
      <c r="J6" s="243">
        <f t="shared" si="0"/>
        <v>70592.490447533928</v>
      </c>
      <c r="K6" s="243">
        <f t="shared" si="0"/>
        <v>69264.614724832893</v>
      </c>
      <c r="L6" s="243">
        <f t="shared" si="0"/>
        <v>68210.930414238377</v>
      </c>
    </row>
    <row r="7" spans="1:14">
      <c r="A7" s="10" t="s">
        <v>162</v>
      </c>
      <c r="B7" s="333">
        <f>+B4+B5-B6</f>
        <v>862697</v>
      </c>
      <c r="C7" s="333">
        <f t="shared" ref="C7:L7" si="1">+C4+C5-C6</f>
        <v>868526</v>
      </c>
      <c r="D7" s="333">
        <f t="shared" si="1"/>
        <v>732959</v>
      </c>
      <c r="E7" s="333">
        <f t="shared" si="1"/>
        <v>662321</v>
      </c>
      <c r="F7" s="333">
        <f t="shared" si="1"/>
        <v>681268</v>
      </c>
      <c r="G7" s="333">
        <f t="shared" si="1"/>
        <v>648167</v>
      </c>
      <c r="H7" s="243">
        <f t="shared" si="1"/>
        <v>602559.97767766658</v>
      </c>
      <c r="I7" s="243">
        <f t="shared" si="1"/>
        <v>602716.947640158</v>
      </c>
      <c r="J7" s="243">
        <f t="shared" si="1"/>
        <v>606849.22917827079</v>
      </c>
      <c r="K7" s="243">
        <f t="shared" si="1"/>
        <v>612844.68941755081</v>
      </c>
      <c r="L7" s="243">
        <f t="shared" si="1"/>
        <v>623844.57178865571</v>
      </c>
    </row>
    <row r="9" spans="1:14">
      <c r="A9" s="653" t="s">
        <v>178</v>
      </c>
      <c r="B9" s="653"/>
    </row>
    <row r="10" spans="1:14">
      <c r="A10" s="10" t="s">
        <v>179</v>
      </c>
      <c r="B10" s="336">
        <f>AVERAGE(ComportamientoAcción!D124:D366)</f>
        <v>2147527225.9876542</v>
      </c>
    </row>
    <row r="11" spans="1:14">
      <c r="A11" s="10" t="s">
        <v>180</v>
      </c>
      <c r="B11" s="337">
        <f>MAX(ComportamientoAcción!G124:G1339)</f>
        <v>19820</v>
      </c>
    </row>
    <row r="12" spans="1:14">
      <c r="A12" s="10" t="s">
        <v>181</v>
      </c>
      <c r="B12" s="337">
        <f>MIN(ComportamientoAcción!G124:G1339)</f>
        <v>3511.18</v>
      </c>
    </row>
    <row r="13" spans="1:14">
      <c r="A13" s="10" t="s">
        <v>707</v>
      </c>
      <c r="B13" s="428">
        <v>2377.8000000000002</v>
      </c>
      <c r="H13" s="77"/>
      <c r="I13" s="77"/>
      <c r="J13" s="77"/>
      <c r="K13" s="77"/>
    </row>
    <row r="14" spans="1:14">
      <c r="A14" s="10" t="s">
        <v>956</v>
      </c>
      <c r="B14" s="429">
        <v>557079229</v>
      </c>
    </row>
    <row r="15" spans="1:14">
      <c r="A15" s="669" t="s">
        <v>819</v>
      </c>
      <c r="B15" s="669"/>
      <c r="C15" s="669"/>
      <c r="D15" s="669"/>
      <c r="E15" s="669"/>
      <c r="F15" s="669"/>
      <c r="G15" s="669"/>
      <c r="H15" s="669"/>
    </row>
    <row r="16" spans="1:14">
      <c r="A16" s="9" t="s">
        <v>53</v>
      </c>
      <c r="B16" s="9">
        <v>2018</v>
      </c>
      <c r="C16" s="432">
        <v>2019</v>
      </c>
      <c r="D16" s="432">
        <v>2020</v>
      </c>
      <c r="E16" s="432">
        <v>2021</v>
      </c>
      <c r="F16" s="432">
        <v>2022</v>
      </c>
      <c r="G16" s="432">
        <v>2023</v>
      </c>
      <c r="H16" s="9" t="s">
        <v>798</v>
      </c>
      <c r="I16" s="9" t="s">
        <v>1256</v>
      </c>
      <c r="J16" s="9" t="s">
        <v>1257</v>
      </c>
      <c r="K16" s="9" t="s">
        <v>1254</v>
      </c>
      <c r="L16" s="9" t="s">
        <v>1258</v>
      </c>
      <c r="M16" s="9" t="s">
        <v>1259</v>
      </c>
      <c r="N16" s="9" t="s">
        <v>1260</v>
      </c>
    </row>
    <row r="17" spans="1:14">
      <c r="A17" s="10" t="s">
        <v>55</v>
      </c>
      <c r="B17" s="158">
        <v>0.37</v>
      </c>
      <c r="C17" s="158">
        <v>0.33</v>
      </c>
      <c r="D17" s="158">
        <v>0.32</v>
      </c>
      <c r="E17" s="158">
        <v>0.32</v>
      </c>
      <c r="F17" s="158">
        <v>0.32</v>
      </c>
      <c r="G17" s="158">
        <v>0.32</v>
      </c>
      <c r="H17" s="191">
        <f>+C26</f>
        <v>0.47308154889026632</v>
      </c>
      <c r="I17" s="7">
        <f t="shared" ref="I17:I22" si="2">+B17*H17</f>
        <v>0.17504017308939854</v>
      </c>
      <c r="J17" s="7">
        <f t="shared" ref="J17:J22" si="3">+H17*C17</f>
        <v>0.15611691113378789</v>
      </c>
      <c r="K17" s="7">
        <f>+$H17*D17</f>
        <v>0.15138609564488523</v>
      </c>
      <c r="L17" s="7">
        <f>+$H17*E17</f>
        <v>0.15138609564488523</v>
      </c>
      <c r="M17" s="7">
        <f>+$H17*F17</f>
        <v>0.15138609564488523</v>
      </c>
      <c r="N17" s="7">
        <f>+$H17*G17</f>
        <v>0.15138609564488523</v>
      </c>
    </row>
    <row r="18" spans="1:14">
      <c r="A18" s="10" t="s">
        <v>610</v>
      </c>
      <c r="B18" s="158">
        <v>0.25</v>
      </c>
      <c r="C18" s="158">
        <v>0.25</v>
      </c>
      <c r="D18" s="158">
        <v>0.25</v>
      </c>
      <c r="E18" s="158">
        <v>0.25</v>
      </c>
      <c r="F18" s="158">
        <v>0.25</v>
      </c>
      <c r="G18" s="158">
        <v>0.25</v>
      </c>
      <c r="H18" s="191">
        <f>+C27</f>
        <v>0.2001463464368432</v>
      </c>
      <c r="I18" s="7">
        <f t="shared" si="2"/>
        <v>5.0036586609210801E-2</v>
      </c>
      <c r="J18" s="7">
        <f t="shared" si="3"/>
        <v>5.0036586609210801E-2</v>
      </c>
      <c r="K18" s="7">
        <f t="shared" ref="K18:N22" si="4">+$H18*D18</f>
        <v>5.0036586609210801E-2</v>
      </c>
      <c r="L18" s="7">
        <f t="shared" si="4"/>
        <v>5.0036586609210801E-2</v>
      </c>
      <c r="M18" s="7">
        <f t="shared" si="4"/>
        <v>5.0036586609210801E-2</v>
      </c>
      <c r="N18" s="7">
        <f t="shared" si="4"/>
        <v>5.0036586609210801E-2</v>
      </c>
    </row>
    <row r="19" spans="1:14">
      <c r="A19" s="10" t="s">
        <v>57</v>
      </c>
      <c r="B19" s="158">
        <v>0.3</v>
      </c>
      <c r="C19" s="158">
        <v>0.3</v>
      </c>
      <c r="D19" s="158">
        <v>0.3</v>
      </c>
      <c r="E19" s="158">
        <v>0.3</v>
      </c>
      <c r="F19" s="158">
        <v>0.3</v>
      </c>
      <c r="G19" s="158">
        <v>0.3</v>
      </c>
      <c r="H19" s="191">
        <f>+C28</f>
        <v>0.11258389882426607</v>
      </c>
      <c r="I19" s="7">
        <f t="shared" si="2"/>
        <v>3.3775169647279821E-2</v>
      </c>
      <c r="J19" s="7">
        <f t="shared" si="3"/>
        <v>3.3775169647279821E-2</v>
      </c>
      <c r="K19" s="7">
        <f t="shared" si="4"/>
        <v>3.3775169647279821E-2</v>
      </c>
      <c r="L19" s="7">
        <f t="shared" si="4"/>
        <v>3.3775169647279821E-2</v>
      </c>
      <c r="M19" s="7">
        <f t="shared" si="4"/>
        <v>3.3775169647279821E-2</v>
      </c>
      <c r="N19" s="7">
        <f t="shared" si="4"/>
        <v>3.3775169647279821E-2</v>
      </c>
    </row>
    <row r="20" spans="1:14">
      <c r="A20" s="10" t="s">
        <v>644</v>
      </c>
      <c r="B20" s="158">
        <v>0.3</v>
      </c>
      <c r="C20" s="158">
        <v>0.3</v>
      </c>
      <c r="D20" s="158">
        <v>0.3</v>
      </c>
      <c r="E20" s="158">
        <v>0.3</v>
      </c>
      <c r="F20" s="158">
        <v>0.3</v>
      </c>
      <c r="G20" s="158">
        <v>0.3</v>
      </c>
      <c r="H20" s="141">
        <f>+$C$29/3</f>
        <v>7.1396068616208119E-2</v>
      </c>
      <c r="I20" s="7">
        <f t="shared" si="2"/>
        <v>2.1418820584862434E-2</v>
      </c>
      <c r="J20" s="7">
        <f t="shared" si="3"/>
        <v>2.1418820584862434E-2</v>
      </c>
      <c r="K20" s="7">
        <f t="shared" si="4"/>
        <v>2.1418820584862434E-2</v>
      </c>
      <c r="L20" s="7">
        <f t="shared" si="4"/>
        <v>2.1418820584862434E-2</v>
      </c>
      <c r="M20" s="7">
        <f t="shared" si="4"/>
        <v>2.1418820584862434E-2</v>
      </c>
      <c r="N20" s="7">
        <f t="shared" si="4"/>
        <v>2.1418820584862434E-2</v>
      </c>
    </row>
    <row r="21" spans="1:14">
      <c r="A21" s="10" t="s">
        <v>638</v>
      </c>
      <c r="B21" s="158">
        <v>0.25</v>
      </c>
      <c r="C21" s="158">
        <v>0.25</v>
      </c>
      <c r="D21" s="158">
        <v>0.25</v>
      </c>
      <c r="E21" s="158">
        <v>0.25</v>
      </c>
      <c r="F21" s="158">
        <v>0.25</v>
      </c>
      <c r="G21" s="158">
        <v>0.25</v>
      </c>
      <c r="H21" s="141">
        <f>+$C$29/3</f>
        <v>7.1396068616208119E-2</v>
      </c>
      <c r="I21" s="7">
        <f t="shared" si="2"/>
        <v>1.784901715405203E-2</v>
      </c>
      <c r="J21" s="7">
        <f t="shared" si="3"/>
        <v>1.784901715405203E-2</v>
      </c>
      <c r="K21" s="7">
        <f t="shared" si="4"/>
        <v>1.784901715405203E-2</v>
      </c>
      <c r="L21" s="7">
        <f t="shared" si="4"/>
        <v>1.784901715405203E-2</v>
      </c>
      <c r="M21" s="7">
        <f t="shared" si="4"/>
        <v>1.784901715405203E-2</v>
      </c>
      <c r="N21" s="7">
        <f t="shared" si="4"/>
        <v>1.784901715405203E-2</v>
      </c>
    </row>
    <row r="22" spans="1:14">
      <c r="A22" s="10" t="s">
        <v>712</v>
      </c>
      <c r="B22" s="158">
        <v>0.3</v>
      </c>
      <c r="C22" s="158">
        <v>0.3</v>
      </c>
      <c r="D22" s="158">
        <v>0.3</v>
      </c>
      <c r="E22" s="158">
        <v>0.3</v>
      </c>
      <c r="F22" s="158">
        <v>0.3</v>
      </c>
      <c r="G22" s="158">
        <v>0.3</v>
      </c>
      <c r="H22" s="141">
        <f>+$C$29/3</f>
        <v>7.1396068616208119E-2</v>
      </c>
      <c r="I22" s="7">
        <f t="shared" si="2"/>
        <v>2.1418820584862434E-2</v>
      </c>
      <c r="J22" s="7">
        <f t="shared" si="3"/>
        <v>2.1418820584862434E-2</v>
      </c>
      <c r="K22" s="7">
        <f t="shared" si="4"/>
        <v>2.1418820584862434E-2</v>
      </c>
      <c r="L22" s="7">
        <f t="shared" si="4"/>
        <v>2.1418820584862434E-2</v>
      </c>
      <c r="M22" s="7">
        <f t="shared" si="4"/>
        <v>2.1418820584862434E-2</v>
      </c>
      <c r="N22" s="7">
        <f t="shared" si="4"/>
        <v>2.1418820584862434E-2</v>
      </c>
    </row>
    <row r="23" spans="1:14">
      <c r="A23" s="670" t="s">
        <v>1255</v>
      </c>
      <c r="B23" s="671"/>
      <c r="C23" s="671"/>
      <c r="D23" s="671"/>
      <c r="E23" s="671"/>
      <c r="F23" s="671"/>
      <c r="G23" s="671"/>
      <c r="H23" s="672"/>
      <c r="I23" s="205">
        <f>SUM(I17:I22)</f>
        <v>0.31953858766966609</v>
      </c>
      <c r="J23" s="205">
        <f>SUM(J17:J22)</f>
        <v>0.30061532571405541</v>
      </c>
      <c r="K23" s="205">
        <f>SUM(K17:K22)</f>
        <v>0.29588451022515277</v>
      </c>
      <c r="L23" s="205">
        <f t="shared" ref="L23:N23" si="5">SUM(L17:L22)</f>
        <v>0.29588451022515277</v>
      </c>
      <c r="M23" s="205">
        <f t="shared" si="5"/>
        <v>0.29588451022515277</v>
      </c>
      <c r="N23" s="205">
        <f t="shared" si="5"/>
        <v>0.29588451022515277</v>
      </c>
    </row>
    <row r="24" spans="1:14">
      <c r="A24" s="667" t="s">
        <v>1252</v>
      </c>
      <c r="B24" s="667"/>
      <c r="C24" s="667"/>
    </row>
    <row r="25" spans="1:14">
      <c r="A25" s="9" t="s">
        <v>53</v>
      </c>
      <c r="B25" s="192" t="s">
        <v>65</v>
      </c>
      <c r="C25" s="192" t="s">
        <v>801</v>
      </c>
    </row>
    <row r="26" spans="1:14">
      <c r="A26" s="10" t="s">
        <v>55</v>
      </c>
      <c r="B26" s="4">
        <v>524330</v>
      </c>
      <c r="C26" s="141">
        <f>+B26/$B$30</f>
        <v>0.47308154889026632</v>
      </c>
    </row>
    <row r="27" spans="1:14">
      <c r="A27" s="10" t="s">
        <v>610</v>
      </c>
      <c r="B27" s="4">
        <v>221828</v>
      </c>
      <c r="C27" s="141">
        <f>+B27/$B$30</f>
        <v>0.2001463464368432</v>
      </c>
    </row>
    <row r="28" spans="1:14">
      <c r="A28" s="10" t="s">
        <v>57</v>
      </c>
      <c r="B28" s="4">
        <v>124780</v>
      </c>
      <c r="C28" s="141">
        <f>+B28/$B$30</f>
        <v>0.11258389882426607</v>
      </c>
    </row>
    <row r="29" spans="1:14">
      <c r="A29" s="10" t="s">
        <v>799</v>
      </c>
      <c r="B29" s="4">
        <v>237391</v>
      </c>
      <c r="C29" s="141">
        <f>+B29/$B$30</f>
        <v>0.21418820584862436</v>
      </c>
    </row>
    <row r="30" spans="1:14">
      <c r="A30" s="9" t="s">
        <v>800</v>
      </c>
      <c r="B30" s="335">
        <f>SUM(B26:B29)</f>
        <v>1108329</v>
      </c>
      <c r="C30" s="205">
        <f>SUM(C26:C29)</f>
        <v>1</v>
      </c>
    </row>
  </sheetData>
  <mergeCells count="5">
    <mergeCell ref="A9:B9"/>
    <mergeCell ref="A24:C24"/>
    <mergeCell ref="B1:J1"/>
    <mergeCell ref="A15:H15"/>
    <mergeCell ref="A23:H2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B108"/>
  <sheetViews>
    <sheetView showGridLines="0" workbookViewId="0">
      <pane xSplit="1" ySplit="3" topLeftCell="B4" activePane="bottomRight" state="frozen"/>
      <selection pane="topRight" activeCell="B1" sqref="B1"/>
      <selection pane="bottomLeft" activeCell="A4" sqref="A4"/>
      <selection pane="bottomRight" activeCell="A14" sqref="A14"/>
    </sheetView>
  </sheetViews>
  <sheetFormatPr baseColWidth="10" defaultColWidth="11" defaultRowHeight="15.75"/>
  <cols>
    <col min="1" max="1" width="22.25" customWidth="1"/>
    <col min="7" max="7" width="10.75" customWidth="1"/>
    <col min="11" max="11" width="25.625" customWidth="1"/>
    <col min="21" max="21" width="13.875" bestFit="1" customWidth="1"/>
    <col min="22" max="22" width="15.25" bestFit="1" customWidth="1"/>
    <col min="23" max="23" width="9.5" bestFit="1" customWidth="1"/>
    <col min="24" max="24" width="10.375" bestFit="1" customWidth="1"/>
    <col min="25" max="25" width="10.125" bestFit="1" customWidth="1"/>
    <col min="26" max="26" width="9.5" bestFit="1" customWidth="1"/>
    <col min="27" max="27" width="7.75" bestFit="1" customWidth="1"/>
    <col min="28" max="28" width="11" bestFit="1" customWidth="1"/>
    <col min="29" max="29" width="5.125" bestFit="1" customWidth="1"/>
    <col min="30" max="30" width="7.875" bestFit="1" customWidth="1"/>
    <col min="31" max="31" width="10.375" bestFit="1" customWidth="1"/>
    <col min="32" max="32" width="10.125" bestFit="1" customWidth="1"/>
    <col min="33" max="33" width="9.125" bestFit="1" customWidth="1"/>
    <col min="34" max="34" width="7" bestFit="1" customWidth="1"/>
    <col min="35" max="35" width="9.5" bestFit="1" customWidth="1"/>
    <col min="36" max="36" width="11.5" bestFit="1" customWidth="1"/>
    <col min="37" max="37" width="7.75" bestFit="1" customWidth="1"/>
    <col min="38" max="38" width="8.875" bestFit="1" customWidth="1"/>
    <col min="39" max="39" width="5.875" bestFit="1" customWidth="1"/>
    <col min="40" max="40" width="10.875" bestFit="1" customWidth="1"/>
    <col min="41" max="41" width="20.125" bestFit="1" customWidth="1"/>
    <col min="42" max="42" width="8.125" bestFit="1" customWidth="1"/>
    <col min="43" max="43" width="9.5" bestFit="1" customWidth="1"/>
    <col min="44" max="44" width="11" bestFit="1" customWidth="1"/>
    <col min="45" max="64" width="23.375" bestFit="1" customWidth="1"/>
    <col min="65" max="66" width="16.375" bestFit="1" customWidth="1"/>
  </cols>
  <sheetData>
    <row r="1" spans="1:28">
      <c r="A1" t="s">
        <v>646</v>
      </c>
      <c r="V1" s="84" t="s">
        <v>611</v>
      </c>
    </row>
    <row r="2" spans="1:28">
      <c r="A2" t="s">
        <v>647</v>
      </c>
      <c r="U2" s="84" t="s">
        <v>689</v>
      </c>
      <c r="V2" t="s">
        <v>55</v>
      </c>
      <c r="W2" t="s">
        <v>57</v>
      </c>
      <c r="X2" t="s">
        <v>637</v>
      </c>
      <c r="Y2" t="s">
        <v>638</v>
      </c>
      <c r="Z2" t="s">
        <v>644</v>
      </c>
      <c r="AA2" t="s">
        <v>610</v>
      </c>
      <c r="AB2" t="s">
        <v>683</v>
      </c>
    </row>
    <row r="3" spans="1:28" ht="31.5">
      <c r="A3" s="150" t="s">
        <v>621</v>
      </c>
      <c r="B3" s="149">
        <v>2013</v>
      </c>
      <c r="C3" s="149">
        <v>2014</v>
      </c>
      <c r="D3" s="149">
        <v>2015</v>
      </c>
      <c r="E3" s="149" t="s">
        <v>622</v>
      </c>
      <c r="F3" s="149" t="s">
        <v>623</v>
      </c>
      <c r="G3" s="151" t="s">
        <v>624</v>
      </c>
      <c r="H3" s="151" t="s">
        <v>620</v>
      </c>
      <c r="I3" s="151" t="s">
        <v>625</v>
      </c>
      <c r="J3" s="151" t="s">
        <v>626</v>
      </c>
      <c r="K3" s="151" t="s">
        <v>627</v>
      </c>
      <c r="U3" s="45" t="s">
        <v>690</v>
      </c>
      <c r="V3">
        <v>11252</v>
      </c>
      <c r="W3">
        <v>1460</v>
      </c>
      <c r="X3">
        <v>1015</v>
      </c>
      <c r="Y3">
        <v>2703</v>
      </c>
      <c r="Z3">
        <v>650</v>
      </c>
      <c r="AA3">
        <v>2184</v>
      </c>
      <c r="AB3">
        <v>19264</v>
      </c>
    </row>
    <row r="4" spans="1:28">
      <c r="A4" t="s">
        <v>619</v>
      </c>
      <c r="B4" s="4">
        <v>11892</v>
      </c>
      <c r="C4" s="4">
        <v>11408</v>
      </c>
      <c r="D4" s="4">
        <v>12193</v>
      </c>
      <c r="E4" s="4">
        <v>10899</v>
      </c>
      <c r="F4" s="4">
        <v>11960</v>
      </c>
      <c r="G4" s="141">
        <f>+C4/B4-1</f>
        <v>-4.0699630003363629E-2</v>
      </c>
      <c r="H4" s="141">
        <f>+D4/C4-1</f>
        <v>6.8811360448807868E-2</v>
      </c>
      <c r="I4" s="141">
        <f>+E4/D4-1</f>
        <v>-0.10612646600508491</v>
      </c>
      <c r="J4" s="141">
        <f>+F4/E4-1</f>
        <v>9.7348380585374761E-2</v>
      </c>
      <c r="K4" t="s">
        <v>628</v>
      </c>
      <c r="L4" s="50"/>
      <c r="U4" s="45" t="s">
        <v>691</v>
      </c>
      <c r="V4">
        <v>12404</v>
      </c>
      <c r="W4">
        <v>1470</v>
      </c>
      <c r="X4">
        <v>954</v>
      </c>
      <c r="Y4">
        <v>2861</v>
      </c>
      <c r="Z4">
        <v>640</v>
      </c>
      <c r="AA4">
        <v>2031</v>
      </c>
      <c r="AB4">
        <v>20360</v>
      </c>
    </row>
    <row r="5" spans="1:28">
      <c r="A5" t="s">
        <v>629</v>
      </c>
      <c r="B5" s="4">
        <v>3100</v>
      </c>
      <c r="C5" s="4">
        <v>3340</v>
      </c>
      <c r="D5" s="4">
        <v>3720</v>
      </c>
      <c r="E5" s="4">
        <v>4020</v>
      </c>
      <c r="F5" s="4">
        <v>4580</v>
      </c>
      <c r="G5" s="141">
        <f t="shared" ref="G5:G25" si="0">+C5/B5-1</f>
        <v>7.7419354838709653E-2</v>
      </c>
      <c r="H5" s="141">
        <f t="shared" ref="H5:H25" si="1">+D5/C5-1</f>
        <v>0.11377245508982026</v>
      </c>
      <c r="I5" s="141">
        <f t="shared" ref="I5:I25" si="2">+E5/D5-1</f>
        <v>8.0645161290322509E-2</v>
      </c>
      <c r="J5" s="141">
        <f t="shared" ref="J5:J25" si="3">+F5/E5-1</f>
        <v>0.13930348258706471</v>
      </c>
      <c r="K5" t="s">
        <v>630</v>
      </c>
      <c r="U5" s="45" t="s">
        <v>692</v>
      </c>
      <c r="V5">
        <v>13047</v>
      </c>
      <c r="W5">
        <v>1550</v>
      </c>
      <c r="X5">
        <v>998</v>
      </c>
      <c r="Y5">
        <v>3004</v>
      </c>
      <c r="Z5">
        <v>740</v>
      </c>
      <c r="AA5">
        <v>1845</v>
      </c>
      <c r="AB5">
        <v>21184</v>
      </c>
    </row>
    <row r="6" spans="1:28">
      <c r="A6" t="s">
        <v>631</v>
      </c>
      <c r="B6" s="4">
        <v>70161</v>
      </c>
      <c r="C6" s="4">
        <v>71254</v>
      </c>
      <c r="D6" s="4">
        <v>65283</v>
      </c>
      <c r="E6" s="4">
        <v>57557</v>
      </c>
      <c r="F6" s="4">
        <v>53800</v>
      </c>
      <c r="G6" s="141">
        <f t="shared" si="0"/>
        <v>1.5578455267171165E-2</v>
      </c>
      <c r="H6" s="141">
        <f t="shared" si="1"/>
        <v>-8.3798804277654626E-2</v>
      </c>
      <c r="I6" s="141">
        <f t="shared" si="2"/>
        <v>-0.11834627697869282</v>
      </c>
      <c r="J6" s="141">
        <f t="shared" si="3"/>
        <v>-6.5274423614851362E-2</v>
      </c>
      <c r="K6" t="s">
        <v>632</v>
      </c>
      <c r="U6" s="45" t="s">
        <v>693</v>
      </c>
      <c r="V6">
        <v>12495</v>
      </c>
      <c r="W6">
        <v>1620</v>
      </c>
      <c r="X6">
        <v>990</v>
      </c>
      <c r="Y6">
        <v>2900</v>
      </c>
      <c r="Z6">
        <v>810</v>
      </c>
      <c r="AA6">
        <v>1865</v>
      </c>
      <c r="AB6">
        <v>20680</v>
      </c>
    </row>
    <row r="7" spans="1:28">
      <c r="A7" t="s">
        <v>633</v>
      </c>
      <c r="B7" s="4">
        <v>4880</v>
      </c>
      <c r="C7" s="4">
        <v>4220</v>
      </c>
      <c r="D7" s="4">
        <v>4320</v>
      </c>
      <c r="E7" s="4">
        <v>4240</v>
      </c>
      <c r="F7" s="4">
        <v>4280</v>
      </c>
      <c r="G7" s="141">
        <f t="shared" si="0"/>
        <v>-0.13524590163934425</v>
      </c>
      <c r="H7" s="141">
        <f t="shared" si="1"/>
        <v>2.3696682464454888E-2</v>
      </c>
      <c r="I7" s="141">
        <f t="shared" si="2"/>
        <v>-1.851851851851849E-2</v>
      </c>
      <c r="J7" s="141">
        <f t="shared" si="3"/>
        <v>9.4339622641510523E-3</v>
      </c>
      <c r="K7" t="s">
        <v>630</v>
      </c>
      <c r="U7" s="45" t="s">
        <v>694</v>
      </c>
      <c r="V7">
        <v>12302</v>
      </c>
      <c r="W7">
        <v>1840</v>
      </c>
      <c r="X7">
        <v>990</v>
      </c>
      <c r="Y7">
        <v>3180</v>
      </c>
      <c r="Z7">
        <v>870</v>
      </c>
      <c r="AA7">
        <v>1910</v>
      </c>
      <c r="AB7">
        <v>21092</v>
      </c>
    </row>
    <row r="8" spans="1:28">
      <c r="A8" t="s">
        <v>55</v>
      </c>
      <c r="B8" s="4">
        <v>11252</v>
      </c>
      <c r="C8" s="4">
        <v>12404</v>
      </c>
      <c r="D8" s="4">
        <v>13047</v>
      </c>
      <c r="E8" s="4">
        <v>12495</v>
      </c>
      <c r="F8" s="4">
        <v>12302</v>
      </c>
      <c r="G8" s="141">
        <f t="shared" si="0"/>
        <v>0.10238179879132603</v>
      </c>
      <c r="H8" s="141">
        <f t="shared" si="1"/>
        <v>5.183811673653671E-2</v>
      </c>
      <c r="I8" s="141">
        <f t="shared" si="2"/>
        <v>-4.2308576684295218E-2</v>
      </c>
      <c r="J8" s="141">
        <f t="shared" si="3"/>
        <v>-1.5446178471388516E-2</v>
      </c>
      <c r="K8" t="s">
        <v>636</v>
      </c>
    </row>
    <row r="9" spans="1:28">
      <c r="A9" t="s">
        <v>57</v>
      </c>
      <c r="B9" s="4">
        <v>1460</v>
      </c>
      <c r="C9" s="4">
        <v>1470</v>
      </c>
      <c r="D9" s="4">
        <v>1550</v>
      </c>
      <c r="E9" s="4">
        <v>1620</v>
      </c>
      <c r="F9" s="4">
        <v>1840</v>
      </c>
      <c r="G9" s="141">
        <f t="shared" si="0"/>
        <v>6.8493150684931781E-3</v>
      </c>
      <c r="H9" s="141">
        <f t="shared" si="1"/>
        <v>5.4421768707483054E-2</v>
      </c>
      <c r="I9" s="141">
        <f t="shared" si="2"/>
        <v>4.5161290322580649E-2</v>
      </c>
      <c r="J9" s="141">
        <f t="shared" si="3"/>
        <v>0.13580246913580241</v>
      </c>
      <c r="K9" t="s">
        <v>630</v>
      </c>
    </row>
    <row r="10" spans="1:28">
      <c r="A10" t="s">
        <v>634</v>
      </c>
      <c r="B10" s="4">
        <v>1900</v>
      </c>
      <c r="C10" s="4">
        <v>1580</v>
      </c>
      <c r="D10" s="4">
        <v>1520</v>
      </c>
      <c r="E10" s="4">
        <v>1520</v>
      </c>
      <c r="F10" s="4">
        <v>1550</v>
      </c>
      <c r="G10" s="141">
        <f t="shared" si="0"/>
        <v>-0.16842105263157892</v>
      </c>
      <c r="H10" s="141">
        <f t="shared" si="1"/>
        <v>-3.7974683544303778E-2</v>
      </c>
      <c r="I10" s="141">
        <f t="shared" si="2"/>
        <v>0</v>
      </c>
      <c r="J10" s="141">
        <f t="shared" si="3"/>
        <v>1.9736842105263053E-2</v>
      </c>
      <c r="K10" t="s">
        <v>630</v>
      </c>
    </row>
    <row r="11" spans="1:28">
      <c r="A11" t="s">
        <v>635</v>
      </c>
      <c r="B11" s="4">
        <v>6670</v>
      </c>
      <c r="C11" s="4">
        <v>4830</v>
      </c>
      <c r="D11" s="4">
        <v>5860</v>
      </c>
      <c r="E11" s="4">
        <v>5550</v>
      </c>
      <c r="F11" s="4">
        <v>5690</v>
      </c>
      <c r="G11" s="141">
        <f t="shared" si="0"/>
        <v>-0.27586206896551724</v>
      </c>
      <c r="H11" s="141">
        <f t="shared" si="1"/>
        <v>0.21325051759834368</v>
      </c>
      <c r="I11" s="141">
        <f t="shared" si="2"/>
        <v>-5.2901023890784993E-2</v>
      </c>
      <c r="J11" s="141">
        <f t="shared" si="3"/>
        <v>2.522522522522519E-2</v>
      </c>
      <c r="K11" t="s">
        <v>630</v>
      </c>
    </row>
    <row r="12" spans="1:28">
      <c r="A12" t="s">
        <v>637</v>
      </c>
      <c r="B12" s="4">
        <v>1015</v>
      </c>
      <c r="C12" s="4">
        <v>954</v>
      </c>
      <c r="D12" s="4">
        <v>998</v>
      </c>
      <c r="E12" s="4">
        <v>990</v>
      </c>
      <c r="F12" s="4">
        <v>990</v>
      </c>
      <c r="G12" s="141">
        <f t="shared" si="0"/>
        <v>-6.0098522167487678E-2</v>
      </c>
      <c r="H12" s="141">
        <f t="shared" si="1"/>
        <v>4.6121593291404528E-2</v>
      </c>
      <c r="I12" s="141">
        <f t="shared" si="2"/>
        <v>-8.0160320641282645E-3</v>
      </c>
      <c r="J12" s="141">
        <f t="shared" si="3"/>
        <v>0</v>
      </c>
      <c r="K12" t="s">
        <v>639</v>
      </c>
    </row>
    <row r="13" spans="1:28">
      <c r="A13" t="s">
        <v>638</v>
      </c>
      <c r="B13" s="4">
        <v>2703</v>
      </c>
      <c r="C13" s="4">
        <v>2861</v>
      </c>
      <c r="D13" s="4">
        <v>3004</v>
      </c>
      <c r="E13" s="4">
        <v>2900</v>
      </c>
      <c r="F13" s="4">
        <v>3180</v>
      </c>
      <c r="G13" s="141">
        <f t="shared" si="0"/>
        <v>5.8453570107288133E-2</v>
      </c>
      <c r="H13" s="141">
        <f t="shared" si="1"/>
        <v>4.9982523593149253E-2</v>
      </c>
      <c r="I13" s="141">
        <f t="shared" si="2"/>
        <v>-3.4620505992010608E-2</v>
      </c>
      <c r="J13" s="141">
        <f t="shared" si="3"/>
        <v>9.6551724137931005E-2</v>
      </c>
      <c r="K13" t="s">
        <v>640</v>
      </c>
    </row>
    <row r="14" spans="1:28">
      <c r="A14" t="s">
        <v>641</v>
      </c>
      <c r="B14" s="4">
        <v>1550</v>
      </c>
      <c r="C14" s="4">
        <v>1540</v>
      </c>
      <c r="D14" s="4">
        <v>1700</v>
      </c>
      <c r="E14" s="4">
        <v>1680</v>
      </c>
      <c r="F14" s="4">
        <v>1760</v>
      </c>
      <c r="G14" s="141">
        <f t="shared" si="0"/>
        <v>-6.4516129032258229E-3</v>
      </c>
      <c r="H14" s="141">
        <f t="shared" si="1"/>
        <v>0.10389610389610393</v>
      </c>
      <c r="I14" s="141">
        <f t="shared" si="2"/>
        <v>-1.1764705882352899E-2</v>
      </c>
      <c r="J14" s="141">
        <f t="shared" si="3"/>
        <v>4.7619047619047672E-2</v>
      </c>
      <c r="K14" t="s">
        <v>630</v>
      </c>
    </row>
    <row r="15" spans="1:28">
      <c r="A15" t="s">
        <v>642</v>
      </c>
      <c r="B15" s="4">
        <v>34600</v>
      </c>
      <c r="C15" s="4">
        <v>36600</v>
      </c>
      <c r="D15" s="4">
        <v>39600</v>
      </c>
      <c r="E15" s="4">
        <v>40600</v>
      </c>
      <c r="F15" s="4">
        <v>41810</v>
      </c>
      <c r="G15" s="141">
        <f t="shared" si="0"/>
        <v>5.7803468208092568E-2</v>
      </c>
      <c r="H15" s="141">
        <f t="shared" si="1"/>
        <v>8.1967213114754189E-2</v>
      </c>
      <c r="I15" s="141">
        <f t="shared" si="2"/>
        <v>2.5252525252525304E-2</v>
      </c>
      <c r="J15" s="141">
        <f t="shared" si="3"/>
        <v>2.9802955665024555E-2</v>
      </c>
      <c r="K15" t="s">
        <v>643</v>
      </c>
    </row>
    <row r="16" spans="1:28">
      <c r="A16" t="s">
        <v>644</v>
      </c>
      <c r="B16" s="4">
        <v>650</v>
      </c>
      <c r="C16" s="4">
        <v>640</v>
      </c>
      <c r="D16" s="4">
        <v>740</v>
      </c>
      <c r="E16" s="4">
        <v>810</v>
      </c>
      <c r="F16" s="4">
        <v>870</v>
      </c>
      <c r="G16" s="141">
        <f t="shared" si="0"/>
        <v>-1.538461538461533E-2</v>
      </c>
      <c r="H16" s="141">
        <f t="shared" si="1"/>
        <v>0.15625</v>
      </c>
      <c r="I16" s="141">
        <f t="shared" si="2"/>
        <v>9.4594594594594517E-2</v>
      </c>
      <c r="J16" s="141">
        <f t="shared" si="3"/>
        <v>7.4074074074074181E-2</v>
      </c>
      <c r="K16" t="s">
        <v>630</v>
      </c>
    </row>
    <row r="17" spans="1:11">
      <c r="A17" t="s">
        <v>610</v>
      </c>
      <c r="B17" s="4">
        <v>2184</v>
      </c>
      <c r="C17" s="4">
        <v>2031</v>
      </c>
      <c r="D17" s="4">
        <v>1845</v>
      </c>
      <c r="E17" s="4">
        <v>1865</v>
      </c>
      <c r="F17" s="4">
        <v>1910</v>
      </c>
      <c r="G17" s="141">
        <f t="shared" si="0"/>
        <v>-7.0054945054945028E-2</v>
      </c>
      <c r="H17" s="141">
        <f t="shared" si="1"/>
        <v>-9.1580502215657278E-2</v>
      </c>
      <c r="I17" s="141">
        <f t="shared" si="2"/>
        <v>1.084010840108407E-2</v>
      </c>
      <c r="J17" s="141">
        <f t="shared" si="3"/>
        <v>2.4128686327077764E-2</v>
      </c>
      <c r="K17" t="s">
        <v>645</v>
      </c>
    </row>
    <row r="18" spans="1:11">
      <c r="A18" t="s">
        <v>663</v>
      </c>
      <c r="B18" s="4">
        <v>960</v>
      </c>
      <c r="C18" s="4">
        <v>1030</v>
      </c>
      <c r="D18" s="4">
        <v>1250</v>
      </c>
      <c r="E18" s="4">
        <v>1300</v>
      </c>
      <c r="F18" s="4">
        <v>1360</v>
      </c>
      <c r="G18" s="141">
        <f t="shared" si="0"/>
        <v>7.2916666666666741E-2</v>
      </c>
      <c r="H18" s="141">
        <f t="shared" si="1"/>
        <v>0.21359223300970864</v>
      </c>
      <c r="I18" s="141">
        <f t="shared" si="2"/>
        <v>4.0000000000000036E-2</v>
      </c>
      <c r="J18" s="141">
        <f t="shared" si="3"/>
        <v>4.6153846153846212E-2</v>
      </c>
      <c r="K18" t="s">
        <v>630</v>
      </c>
    </row>
    <row r="19" spans="1:11">
      <c r="A19" t="s">
        <v>664</v>
      </c>
      <c r="B19" s="4">
        <v>10804</v>
      </c>
      <c r="C19" s="4">
        <v>11058</v>
      </c>
      <c r="D19" s="4">
        <v>10764</v>
      </c>
      <c r="E19" s="4">
        <v>10441</v>
      </c>
      <c r="F19" s="4">
        <v>10368</v>
      </c>
      <c r="G19" s="141">
        <f t="shared" si="0"/>
        <v>2.3509811181044116E-2</v>
      </c>
      <c r="H19" s="141">
        <f t="shared" si="1"/>
        <v>-2.6587086272381932E-2</v>
      </c>
      <c r="I19" s="141">
        <f t="shared" si="2"/>
        <v>-3.0007432181345273E-2</v>
      </c>
      <c r="J19" s="141">
        <f t="shared" si="3"/>
        <v>-6.9916674648021759E-3</v>
      </c>
      <c r="K19" t="s">
        <v>672</v>
      </c>
    </row>
    <row r="20" spans="1:11">
      <c r="A20" t="s">
        <v>665</v>
      </c>
      <c r="B20" s="4">
        <v>590</v>
      </c>
      <c r="C20" s="4">
        <v>580</v>
      </c>
      <c r="D20" s="4">
        <v>510</v>
      </c>
      <c r="E20" s="4">
        <v>460</v>
      </c>
      <c r="F20" s="4">
        <v>510</v>
      </c>
      <c r="G20" s="141">
        <f t="shared" si="0"/>
        <v>-1.6949152542372836E-2</v>
      </c>
      <c r="H20" s="141">
        <f t="shared" si="1"/>
        <v>-0.12068965517241381</v>
      </c>
      <c r="I20" s="141">
        <f t="shared" si="2"/>
        <v>-9.8039215686274495E-2</v>
      </c>
      <c r="J20" s="141">
        <f t="shared" si="3"/>
        <v>0.10869565217391308</v>
      </c>
      <c r="K20" t="s">
        <v>630</v>
      </c>
    </row>
    <row r="21" spans="1:11">
      <c r="A21" t="s">
        <v>666</v>
      </c>
      <c r="B21" s="4">
        <v>4400</v>
      </c>
      <c r="C21" s="4">
        <v>5018</v>
      </c>
      <c r="D21" s="4">
        <v>5181</v>
      </c>
      <c r="E21" s="4">
        <v>5171</v>
      </c>
      <c r="F21" s="4">
        <v>5254</v>
      </c>
      <c r="G21" s="141">
        <f t="shared" si="0"/>
        <v>0.14045454545454539</v>
      </c>
      <c r="H21" s="141">
        <f t="shared" si="1"/>
        <v>3.2483060980470269E-2</v>
      </c>
      <c r="I21" s="141">
        <f t="shared" si="2"/>
        <v>-1.9301293186643198E-3</v>
      </c>
      <c r="J21" s="141">
        <f t="shared" si="3"/>
        <v>1.6051053954747596E-2</v>
      </c>
      <c r="K21" t="s">
        <v>673</v>
      </c>
    </row>
    <row r="22" spans="1:11">
      <c r="A22" t="s">
        <v>667</v>
      </c>
      <c r="B22" s="4">
        <v>850</v>
      </c>
      <c r="C22" s="4">
        <v>830</v>
      </c>
      <c r="D22" s="4">
        <v>860</v>
      </c>
      <c r="E22" s="4">
        <v>920</v>
      </c>
      <c r="F22" s="4">
        <v>940</v>
      </c>
      <c r="G22" s="141">
        <f t="shared" si="0"/>
        <v>-2.352941176470591E-2</v>
      </c>
      <c r="H22" s="141">
        <f t="shared" si="1"/>
        <v>3.6144578313253017E-2</v>
      </c>
      <c r="I22" s="141">
        <f t="shared" si="2"/>
        <v>6.9767441860465018E-2</v>
      </c>
      <c r="J22" s="141">
        <f t="shared" si="3"/>
        <v>2.1739130434782705E-2</v>
      </c>
      <c r="K22" t="s">
        <v>630</v>
      </c>
    </row>
    <row r="23" spans="1:11">
      <c r="A23" t="s">
        <v>668</v>
      </c>
      <c r="B23" s="4">
        <v>8460</v>
      </c>
      <c r="C23" s="4">
        <v>7940</v>
      </c>
      <c r="D23" s="4">
        <v>8210</v>
      </c>
      <c r="E23" s="4">
        <v>8100</v>
      </c>
      <c r="F23" s="4">
        <v>8150</v>
      </c>
      <c r="G23" s="141">
        <f t="shared" si="0"/>
        <v>-6.1465721040189103E-2</v>
      </c>
      <c r="H23" s="141">
        <f t="shared" si="1"/>
        <v>3.400503778337538E-2</v>
      </c>
      <c r="I23" s="141">
        <f t="shared" si="2"/>
        <v>-1.3398294762484775E-2</v>
      </c>
      <c r="J23" s="141">
        <f t="shared" si="3"/>
        <v>6.1728395061728669E-3</v>
      </c>
      <c r="K23" t="s">
        <v>630</v>
      </c>
    </row>
    <row r="24" spans="1:11">
      <c r="A24" t="s">
        <v>669</v>
      </c>
      <c r="B24" s="4">
        <v>1780</v>
      </c>
      <c r="C24" s="4">
        <v>1162</v>
      </c>
      <c r="D24" s="4">
        <v>999</v>
      </c>
      <c r="E24" s="4">
        <v>1009</v>
      </c>
      <c r="F24" s="4">
        <v>926</v>
      </c>
      <c r="G24" s="141">
        <f t="shared" si="0"/>
        <v>-0.34719101123595508</v>
      </c>
      <c r="H24" s="141">
        <f t="shared" si="1"/>
        <v>-0.1402753872633391</v>
      </c>
      <c r="I24" s="141">
        <f t="shared" si="2"/>
        <v>1.0010010010010006E-2</v>
      </c>
      <c r="J24" s="141">
        <f t="shared" si="3"/>
        <v>-8.2259663032705599E-2</v>
      </c>
      <c r="K24" t="s">
        <v>630</v>
      </c>
    </row>
    <row r="25" spans="1:11">
      <c r="A25" t="s">
        <v>671</v>
      </c>
      <c r="B25" s="4">
        <v>181861</v>
      </c>
      <c r="C25" s="4">
        <v>182750</v>
      </c>
      <c r="D25" s="4">
        <v>183154</v>
      </c>
      <c r="E25" s="4">
        <v>174147</v>
      </c>
      <c r="F25" s="4">
        <v>174030</v>
      </c>
      <c r="G25" s="141">
        <f t="shared" si="0"/>
        <v>4.8883487938591319E-3</v>
      </c>
      <c r="H25" s="141">
        <f t="shared" si="1"/>
        <v>2.2106703146373974E-3</v>
      </c>
      <c r="I25" s="141">
        <f t="shared" si="2"/>
        <v>-4.9177195147253161E-2</v>
      </c>
      <c r="J25" s="141">
        <f t="shared" si="3"/>
        <v>-6.7184619890092723E-4</v>
      </c>
      <c r="K25" t="s">
        <v>670</v>
      </c>
    </row>
    <row r="26" spans="1:11">
      <c r="B26" s="4"/>
      <c r="C26" s="4"/>
      <c r="D26" s="4"/>
      <c r="E26" s="4"/>
      <c r="F26" s="4"/>
      <c r="G26" s="141"/>
      <c r="H26" s="141"/>
      <c r="I26" s="141"/>
      <c r="J26" s="141"/>
    </row>
    <row r="27" spans="1:11">
      <c r="A27" t="s">
        <v>674</v>
      </c>
      <c r="B27" s="4"/>
      <c r="C27" s="4"/>
      <c r="D27" s="4"/>
      <c r="E27" s="4"/>
      <c r="F27" s="4"/>
      <c r="G27" s="141"/>
      <c r="H27" s="141"/>
      <c r="I27" s="141"/>
      <c r="J27" s="141"/>
    </row>
    <row r="28" spans="1:11">
      <c r="A28" t="s">
        <v>675</v>
      </c>
      <c r="E28" s="50"/>
    </row>
    <row r="29" spans="1:11">
      <c r="A29" t="s">
        <v>676</v>
      </c>
    </row>
    <row r="32" spans="1:11">
      <c r="A32" s="150" t="s">
        <v>648</v>
      </c>
    </row>
    <row r="33" spans="1:7">
      <c r="B33" s="609">
        <v>2014</v>
      </c>
      <c r="C33" s="609"/>
      <c r="D33" s="609">
        <v>2015</v>
      </c>
      <c r="E33" s="609"/>
      <c r="F33" s="609" t="s">
        <v>662</v>
      </c>
      <c r="G33" s="609"/>
    </row>
    <row r="34" spans="1:7">
      <c r="A34" t="s">
        <v>649</v>
      </c>
      <c r="B34" s="150" t="s">
        <v>660</v>
      </c>
      <c r="C34" s="150" t="s">
        <v>661</v>
      </c>
      <c r="D34" s="150" t="s">
        <v>660</v>
      </c>
      <c r="E34" s="150" t="s">
        <v>661</v>
      </c>
      <c r="F34" s="150" t="s">
        <v>660</v>
      </c>
      <c r="G34" s="150" t="s">
        <v>661</v>
      </c>
    </row>
    <row r="35" spans="1:7">
      <c r="A35" t="s">
        <v>650</v>
      </c>
      <c r="B35">
        <v>65.06</v>
      </c>
      <c r="C35">
        <v>35.19</v>
      </c>
      <c r="D35">
        <v>61.86</v>
      </c>
      <c r="E35">
        <v>30.77</v>
      </c>
      <c r="F35">
        <v>59.93</v>
      </c>
      <c r="G35">
        <v>28.06</v>
      </c>
    </row>
    <row r="36" spans="1:7">
      <c r="A36" t="s">
        <v>651</v>
      </c>
      <c r="B36">
        <v>36.31</v>
      </c>
      <c r="C36">
        <v>8.64</v>
      </c>
      <c r="D36">
        <v>36.799999999999997</v>
      </c>
      <c r="E36">
        <v>7.63</v>
      </c>
      <c r="F36">
        <v>39.44</v>
      </c>
      <c r="G36">
        <v>7.29</v>
      </c>
    </row>
    <row r="37" spans="1:7">
      <c r="A37" t="s">
        <v>652</v>
      </c>
      <c r="B37">
        <v>34.159999999999997</v>
      </c>
      <c r="C37">
        <v>24.39</v>
      </c>
      <c r="D37">
        <v>31.02</v>
      </c>
      <c r="E37">
        <v>26.22</v>
      </c>
      <c r="F37">
        <v>31.84</v>
      </c>
      <c r="G37">
        <v>23.01</v>
      </c>
    </row>
    <row r="38" spans="1:7">
      <c r="A38" t="s">
        <v>653</v>
      </c>
      <c r="B38">
        <v>32.58</v>
      </c>
      <c r="C38">
        <v>21.59</v>
      </c>
      <c r="D38">
        <v>28.8</v>
      </c>
      <c r="E38">
        <v>22.83</v>
      </c>
      <c r="F38">
        <v>30.69</v>
      </c>
      <c r="G38">
        <v>17.309999999999999</v>
      </c>
    </row>
    <row r="39" spans="1:7">
      <c r="A39" t="s">
        <v>654</v>
      </c>
      <c r="B39">
        <v>14.71</v>
      </c>
      <c r="C39">
        <v>27.76</v>
      </c>
      <c r="D39">
        <v>11.18</v>
      </c>
      <c r="E39">
        <v>28.36</v>
      </c>
      <c r="F39">
        <v>12.57</v>
      </c>
      <c r="G39">
        <v>35.049999999999997</v>
      </c>
    </row>
    <row r="40" spans="1:7">
      <c r="A40" t="s">
        <v>655</v>
      </c>
      <c r="B40">
        <v>10.28</v>
      </c>
      <c r="C40">
        <v>55.2</v>
      </c>
      <c r="D40">
        <v>10.41</v>
      </c>
      <c r="E40">
        <v>46.42</v>
      </c>
      <c r="F40">
        <v>14.87</v>
      </c>
      <c r="G40">
        <v>36.26</v>
      </c>
    </row>
    <row r="41" spans="1:7">
      <c r="A41" t="s">
        <v>656</v>
      </c>
      <c r="B41">
        <v>6.23</v>
      </c>
      <c r="C41">
        <v>7.62</v>
      </c>
      <c r="D41">
        <v>5.39</v>
      </c>
      <c r="E41">
        <v>11.72</v>
      </c>
      <c r="F41">
        <v>5.5</v>
      </c>
      <c r="G41">
        <v>13.9</v>
      </c>
    </row>
    <row r="42" spans="1:7">
      <c r="A42" t="s">
        <v>657</v>
      </c>
      <c r="B42">
        <v>5.96</v>
      </c>
      <c r="C42">
        <v>14.6</v>
      </c>
      <c r="D42">
        <v>5.34</v>
      </c>
      <c r="E42">
        <v>11.21</v>
      </c>
      <c r="F42">
        <v>4.9000000000000004</v>
      </c>
      <c r="G42">
        <v>9.86</v>
      </c>
    </row>
    <row r="43" spans="1:7">
      <c r="A43" t="s">
        <v>658</v>
      </c>
      <c r="B43">
        <v>0.14000000000000001</v>
      </c>
      <c r="C43">
        <v>4.0599999999999996</v>
      </c>
      <c r="D43">
        <v>0.12</v>
      </c>
      <c r="E43">
        <v>4.07</v>
      </c>
      <c r="F43">
        <v>0.18</v>
      </c>
      <c r="G43">
        <v>4.67</v>
      </c>
    </row>
    <row r="44" spans="1:7">
      <c r="A44" s="150" t="s">
        <v>659</v>
      </c>
      <c r="B44" s="150">
        <f>SUM(B35:B43)</f>
        <v>205.43</v>
      </c>
      <c r="C44" s="150">
        <f>SUM(C35:C43)</f>
        <v>199.05</v>
      </c>
      <c r="D44" s="150">
        <f t="shared" ref="D44:G44" si="4">SUM(D35:D43)</f>
        <v>190.92000000000002</v>
      </c>
      <c r="E44" s="150">
        <f t="shared" si="4"/>
        <v>189.23000000000002</v>
      </c>
      <c r="F44" s="150">
        <f t="shared" si="4"/>
        <v>199.92000000000002</v>
      </c>
      <c r="G44" s="150">
        <f t="shared" si="4"/>
        <v>175.41</v>
      </c>
    </row>
    <row r="48" spans="1:7">
      <c r="A48" s="150" t="s">
        <v>677</v>
      </c>
    </row>
    <row r="50" spans="1:28" ht="31.5">
      <c r="A50" s="150" t="s">
        <v>621</v>
      </c>
      <c r="B50" s="149">
        <v>2013</v>
      </c>
      <c r="C50" s="149">
        <v>2014</v>
      </c>
      <c r="D50" s="149">
        <v>2015</v>
      </c>
      <c r="E50" s="149" t="s">
        <v>622</v>
      </c>
      <c r="F50" s="149" t="s">
        <v>623</v>
      </c>
      <c r="G50" s="151" t="s">
        <v>624</v>
      </c>
      <c r="H50" s="151" t="s">
        <v>620</v>
      </c>
      <c r="I50" s="151" t="s">
        <v>625</v>
      </c>
      <c r="J50" s="151" t="s">
        <v>626</v>
      </c>
      <c r="K50" s="151" t="s">
        <v>627</v>
      </c>
      <c r="V50" s="84" t="s">
        <v>611</v>
      </c>
    </row>
    <row r="51" spans="1:28">
      <c r="A51" t="s">
        <v>619</v>
      </c>
      <c r="B51" s="4">
        <v>11688</v>
      </c>
      <c r="C51" s="4">
        <v>11274</v>
      </c>
      <c r="D51" s="4">
        <v>12125</v>
      </c>
      <c r="E51" s="4">
        <v>10827</v>
      </c>
      <c r="F51" s="4">
        <v>12124</v>
      </c>
      <c r="G51" s="141">
        <f>+C51/B51-1</f>
        <v>-3.5420944558521517E-2</v>
      </c>
      <c r="H51" s="141">
        <f>+D51/C51-1</f>
        <v>7.5483413163029978E-2</v>
      </c>
      <c r="I51" s="141">
        <f>+E51/D51-1</f>
        <v>-0.10705154639175263</v>
      </c>
      <c r="J51" s="141">
        <f>+F51/E51-1</f>
        <v>0.11979310981804758</v>
      </c>
      <c r="K51" t="s">
        <v>628</v>
      </c>
      <c r="U51" s="84" t="s">
        <v>689</v>
      </c>
      <c r="V51" t="s">
        <v>55</v>
      </c>
      <c r="W51" t="s">
        <v>57</v>
      </c>
      <c r="X51" t="s">
        <v>637</v>
      </c>
      <c r="Y51" t="s">
        <v>638</v>
      </c>
      <c r="Z51" t="s">
        <v>644</v>
      </c>
      <c r="AA51" t="s">
        <v>610</v>
      </c>
      <c r="AB51" t="s">
        <v>683</v>
      </c>
    </row>
    <row r="52" spans="1:28">
      <c r="A52" t="s">
        <v>629</v>
      </c>
      <c r="B52" s="4">
        <v>3270</v>
      </c>
      <c r="C52" s="4">
        <v>3560</v>
      </c>
      <c r="D52" s="4">
        <v>4050</v>
      </c>
      <c r="E52" s="4">
        <v>4470</v>
      </c>
      <c r="F52" s="4">
        <v>4750</v>
      </c>
      <c r="G52" s="141">
        <f t="shared" ref="G52:G72" si="5">+C52/B52-1</f>
        <v>8.8685015290519864E-2</v>
      </c>
      <c r="H52" s="141">
        <f t="shared" ref="H52:H72" si="6">+D52/C52-1</f>
        <v>0.13764044943820219</v>
      </c>
      <c r="I52" s="141">
        <f t="shared" ref="I52:I72" si="7">+E52/D52-1</f>
        <v>0.10370370370370363</v>
      </c>
      <c r="J52" s="141">
        <f t="shared" ref="J52:J72" si="8">+F52/E52-1</f>
        <v>6.2639821029082832E-2</v>
      </c>
      <c r="K52" t="s">
        <v>630</v>
      </c>
      <c r="U52" s="45" t="s">
        <v>684</v>
      </c>
      <c r="V52">
        <v>10866</v>
      </c>
      <c r="W52">
        <v>1400</v>
      </c>
      <c r="X52">
        <v>1029</v>
      </c>
      <c r="Y52">
        <v>2769</v>
      </c>
      <c r="Z52">
        <v>760</v>
      </c>
      <c r="AA52">
        <v>2184</v>
      </c>
      <c r="AB52">
        <v>19008</v>
      </c>
    </row>
    <row r="53" spans="1:28">
      <c r="A53" t="s">
        <v>631</v>
      </c>
      <c r="B53" s="4">
        <v>70966</v>
      </c>
      <c r="C53" s="4">
        <v>71703</v>
      </c>
      <c r="D53" s="4">
        <v>65316</v>
      </c>
      <c r="E53" s="4">
        <v>57784</v>
      </c>
      <c r="F53" s="4">
        <v>54170</v>
      </c>
      <c r="G53" s="141">
        <f t="shared" si="5"/>
        <v>1.0385254910802333E-2</v>
      </c>
      <c r="H53" s="141">
        <f t="shared" si="6"/>
        <v>-8.9075770888247363E-2</v>
      </c>
      <c r="I53" s="141">
        <f t="shared" si="7"/>
        <v>-0.11531630840835327</v>
      </c>
      <c r="J53" s="141">
        <f t="shared" si="8"/>
        <v>-6.2543264571507717E-2</v>
      </c>
      <c r="K53" t="s">
        <v>632</v>
      </c>
      <c r="U53" s="45" t="s">
        <v>685</v>
      </c>
      <c r="V53">
        <v>11970</v>
      </c>
      <c r="W53">
        <v>1380</v>
      </c>
      <c r="X53">
        <v>941</v>
      </c>
      <c r="Y53">
        <v>2874</v>
      </c>
      <c r="Z53">
        <v>740</v>
      </c>
      <c r="AA53">
        <v>2033</v>
      </c>
      <c r="AB53">
        <v>19938</v>
      </c>
    </row>
    <row r="54" spans="1:28">
      <c r="A54" t="s">
        <v>633</v>
      </c>
      <c r="B54" s="4">
        <v>5430</v>
      </c>
      <c r="C54" s="4">
        <v>5300</v>
      </c>
      <c r="D54" s="4">
        <v>5570</v>
      </c>
      <c r="E54" s="4">
        <v>5430</v>
      </c>
      <c r="F54" s="4">
        <v>5380</v>
      </c>
      <c r="G54" s="141">
        <f t="shared" si="5"/>
        <v>-2.3941068139963217E-2</v>
      </c>
      <c r="H54" s="141">
        <f t="shared" si="6"/>
        <v>5.0943396226415194E-2</v>
      </c>
      <c r="I54" s="141">
        <f t="shared" si="7"/>
        <v>-2.5134649910233398E-2</v>
      </c>
      <c r="J54" s="141">
        <f t="shared" si="8"/>
        <v>-9.2081031307550409E-3</v>
      </c>
      <c r="K54" t="s">
        <v>630</v>
      </c>
      <c r="U54" s="45" t="s">
        <v>686</v>
      </c>
      <c r="V54">
        <v>12807</v>
      </c>
      <c r="W54">
        <v>1410</v>
      </c>
      <c r="X54">
        <v>945</v>
      </c>
      <c r="Y54">
        <v>2954</v>
      </c>
      <c r="Z54">
        <v>760</v>
      </c>
      <c r="AA54">
        <v>1848</v>
      </c>
      <c r="AB54">
        <v>20724</v>
      </c>
    </row>
    <row r="55" spans="1:28">
      <c r="A55" t="s">
        <v>55</v>
      </c>
      <c r="B55" s="4">
        <v>10866</v>
      </c>
      <c r="C55" s="4">
        <v>11970</v>
      </c>
      <c r="D55" s="4">
        <v>12807</v>
      </c>
      <c r="E55" s="4">
        <v>12101</v>
      </c>
      <c r="F55" s="4">
        <v>11983</v>
      </c>
      <c r="G55" s="141">
        <f t="shared" si="5"/>
        <v>0.10160132523467702</v>
      </c>
      <c r="H55" s="141">
        <f t="shared" si="6"/>
        <v>6.9924812030075278E-2</v>
      </c>
      <c r="I55" s="141">
        <f t="shared" si="7"/>
        <v>-5.5126102912469777E-2</v>
      </c>
      <c r="J55" s="141">
        <f t="shared" si="8"/>
        <v>-9.7512602264275827E-3</v>
      </c>
      <c r="K55" t="s">
        <v>636</v>
      </c>
      <c r="U55" s="45" t="s">
        <v>687</v>
      </c>
      <c r="V55">
        <v>12101</v>
      </c>
      <c r="W55">
        <v>1450</v>
      </c>
      <c r="X55">
        <v>956</v>
      </c>
      <c r="Y55">
        <v>3000</v>
      </c>
      <c r="Z55">
        <v>820</v>
      </c>
      <c r="AA55">
        <v>1903</v>
      </c>
      <c r="AB55">
        <v>20230</v>
      </c>
    </row>
    <row r="56" spans="1:28">
      <c r="A56" t="s">
        <v>57</v>
      </c>
      <c r="B56" s="4">
        <v>1400</v>
      </c>
      <c r="C56" s="4">
        <v>1380</v>
      </c>
      <c r="D56" s="4">
        <v>1410</v>
      </c>
      <c r="E56" s="4">
        <v>1450</v>
      </c>
      <c r="F56" s="4">
        <v>1560</v>
      </c>
      <c r="G56" s="141">
        <f t="shared" si="5"/>
        <v>-1.4285714285714235E-2</v>
      </c>
      <c r="H56" s="141">
        <f t="shared" si="6"/>
        <v>2.1739130434782705E-2</v>
      </c>
      <c r="I56" s="141">
        <f t="shared" si="7"/>
        <v>2.8368794326241176E-2</v>
      </c>
      <c r="J56" s="141">
        <f t="shared" si="8"/>
        <v>7.5862068965517171E-2</v>
      </c>
      <c r="K56" t="s">
        <v>630</v>
      </c>
      <c r="U56" s="45" t="s">
        <v>688</v>
      </c>
      <c r="V56">
        <v>11983</v>
      </c>
      <c r="W56">
        <v>1560</v>
      </c>
      <c r="X56">
        <v>1034</v>
      </c>
      <c r="Y56">
        <v>3240</v>
      </c>
      <c r="Z56">
        <v>870</v>
      </c>
      <c r="AA56">
        <v>1960</v>
      </c>
      <c r="AB56">
        <v>20647</v>
      </c>
    </row>
    <row r="57" spans="1:28">
      <c r="A57" t="s">
        <v>634</v>
      </c>
      <c r="B57" s="4">
        <v>1450</v>
      </c>
      <c r="C57" s="4">
        <v>1440</v>
      </c>
      <c r="D57" s="4">
        <v>1430</v>
      </c>
      <c r="E57" s="4">
        <v>1420</v>
      </c>
      <c r="F57" s="4">
        <v>1470</v>
      </c>
      <c r="G57" s="141">
        <f t="shared" si="5"/>
        <v>-6.8965517241379448E-3</v>
      </c>
      <c r="H57" s="141">
        <f t="shared" si="6"/>
        <v>-6.9444444444444198E-3</v>
      </c>
      <c r="I57" s="141">
        <f t="shared" si="7"/>
        <v>-6.9930069930069783E-3</v>
      </c>
      <c r="J57" s="141">
        <f t="shared" si="8"/>
        <v>3.5211267605633756E-2</v>
      </c>
      <c r="K57" t="s">
        <v>630</v>
      </c>
    </row>
    <row r="58" spans="1:28">
      <c r="A58" t="s">
        <v>635</v>
      </c>
      <c r="B58" s="4">
        <v>6600</v>
      </c>
      <c r="C58" s="4">
        <v>6516</v>
      </c>
      <c r="D58" s="4">
        <v>5848</v>
      </c>
      <c r="E58" s="4">
        <v>5430</v>
      </c>
      <c r="F58" s="4">
        <v>5560</v>
      </c>
      <c r="G58" s="141">
        <f t="shared" si="5"/>
        <v>-1.2727272727272698E-2</v>
      </c>
      <c r="H58" s="141">
        <f t="shared" si="6"/>
        <v>-0.10251688152240634</v>
      </c>
      <c r="I58" s="141">
        <f t="shared" si="7"/>
        <v>-7.1477428180574565E-2</v>
      </c>
      <c r="J58" s="141">
        <f t="shared" si="8"/>
        <v>2.3941068139963217E-2</v>
      </c>
      <c r="K58" t="s">
        <v>630</v>
      </c>
    </row>
    <row r="59" spans="1:28">
      <c r="A59" t="s">
        <v>637</v>
      </c>
      <c r="B59" s="4">
        <v>1029</v>
      </c>
      <c r="C59" s="4">
        <v>941</v>
      </c>
      <c r="D59" s="4">
        <v>945</v>
      </c>
      <c r="E59" s="4">
        <v>956</v>
      </c>
      <c r="F59" s="4">
        <v>1034</v>
      </c>
      <c r="G59" s="141">
        <f t="shared" si="5"/>
        <v>-8.5519922254616132E-2</v>
      </c>
      <c r="H59" s="141">
        <f t="shared" si="6"/>
        <v>4.2507970244420878E-3</v>
      </c>
      <c r="I59" s="141">
        <f t="shared" si="7"/>
        <v>1.1640211640211673E-2</v>
      </c>
      <c r="J59" s="141">
        <f t="shared" si="8"/>
        <v>8.1589958158995834E-2</v>
      </c>
      <c r="K59" t="s">
        <v>639</v>
      </c>
    </row>
    <row r="60" spans="1:28">
      <c r="A60" t="s">
        <v>638</v>
      </c>
      <c r="B60" s="4">
        <v>2769</v>
      </c>
      <c r="C60" s="4">
        <v>2874</v>
      </c>
      <c r="D60" s="4">
        <v>2954</v>
      </c>
      <c r="E60" s="4">
        <v>3000</v>
      </c>
      <c r="F60" s="4">
        <v>3240</v>
      </c>
      <c r="G60" s="141">
        <f t="shared" si="5"/>
        <v>3.7919826652220934E-2</v>
      </c>
      <c r="H60" s="141">
        <f t="shared" si="6"/>
        <v>2.783576896311768E-2</v>
      </c>
      <c r="I60" s="141">
        <f t="shared" si="7"/>
        <v>1.5572105619499066E-2</v>
      </c>
      <c r="J60" s="141">
        <f t="shared" si="8"/>
        <v>8.0000000000000071E-2</v>
      </c>
      <c r="K60" t="s">
        <v>640</v>
      </c>
    </row>
    <row r="61" spans="1:28">
      <c r="A61" t="s">
        <v>641</v>
      </c>
      <c r="B61" s="4">
        <v>1500</v>
      </c>
      <c r="C61" s="4">
        <v>1470</v>
      </c>
      <c r="D61" s="4">
        <v>1590</v>
      </c>
      <c r="E61" s="4">
        <v>1680</v>
      </c>
      <c r="F61" s="4">
        <v>1760</v>
      </c>
      <c r="G61" s="141">
        <f t="shared" si="5"/>
        <v>-2.0000000000000018E-2</v>
      </c>
      <c r="H61" s="141">
        <f t="shared" si="6"/>
        <v>8.163265306122458E-2</v>
      </c>
      <c r="I61" s="141">
        <f t="shared" si="7"/>
        <v>5.6603773584905648E-2</v>
      </c>
      <c r="J61" s="141">
        <f t="shared" si="8"/>
        <v>4.7619047619047672E-2</v>
      </c>
      <c r="K61" t="s">
        <v>630</v>
      </c>
    </row>
    <row r="62" spans="1:28">
      <c r="A62" t="s">
        <v>642</v>
      </c>
      <c r="B62" s="4">
        <v>33700</v>
      </c>
      <c r="C62" s="4">
        <v>35900</v>
      </c>
      <c r="D62" s="4">
        <v>39100</v>
      </c>
      <c r="E62" s="4">
        <v>40100</v>
      </c>
      <c r="F62" s="4">
        <v>40870</v>
      </c>
      <c r="G62" s="141">
        <f t="shared" si="5"/>
        <v>6.5281899109792318E-2</v>
      </c>
      <c r="H62" s="141">
        <f t="shared" si="6"/>
        <v>8.9136490250696365E-2</v>
      </c>
      <c r="I62" s="141">
        <f t="shared" si="7"/>
        <v>2.5575447570332477E-2</v>
      </c>
      <c r="J62" s="141">
        <f t="shared" si="8"/>
        <v>1.9201995012468887E-2</v>
      </c>
      <c r="K62" t="s">
        <v>643</v>
      </c>
    </row>
    <row r="63" spans="1:28">
      <c r="A63" t="s">
        <v>644</v>
      </c>
      <c r="B63" s="4">
        <v>760</v>
      </c>
      <c r="C63" s="4">
        <v>740</v>
      </c>
      <c r="D63" s="4">
        <v>760</v>
      </c>
      <c r="E63" s="4">
        <v>820</v>
      </c>
      <c r="F63" s="4">
        <v>870</v>
      </c>
      <c r="G63" s="141">
        <f t="shared" si="5"/>
        <v>-2.6315789473684181E-2</v>
      </c>
      <c r="H63" s="141">
        <f t="shared" si="6"/>
        <v>2.7027027027026973E-2</v>
      </c>
      <c r="I63" s="141">
        <f t="shared" si="7"/>
        <v>7.8947368421052655E-2</v>
      </c>
      <c r="J63" s="141">
        <f t="shared" si="8"/>
        <v>6.0975609756097615E-2</v>
      </c>
      <c r="K63" t="s">
        <v>630</v>
      </c>
    </row>
    <row r="64" spans="1:28">
      <c r="A64" t="s">
        <v>610</v>
      </c>
      <c r="B64" s="4">
        <v>2184</v>
      </c>
      <c r="C64" s="4">
        <v>2033</v>
      </c>
      <c r="D64" s="4">
        <v>1848</v>
      </c>
      <c r="E64" s="4">
        <v>1903</v>
      </c>
      <c r="F64" s="4">
        <v>1960</v>
      </c>
      <c r="G64" s="141">
        <f t="shared" si="5"/>
        <v>-6.9139194139194116E-2</v>
      </c>
      <c r="H64" s="141">
        <f t="shared" si="6"/>
        <v>-9.099852434825384E-2</v>
      </c>
      <c r="I64" s="141">
        <f t="shared" si="7"/>
        <v>2.9761904761904656E-2</v>
      </c>
      <c r="J64" s="141">
        <f t="shared" si="8"/>
        <v>2.9952706253284278E-2</v>
      </c>
      <c r="K64" t="s">
        <v>645</v>
      </c>
    </row>
    <row r="65" spans="1:11">
      <c r="A65" t="s">
        <v>663</v>
      </c>
      <c r="B65" s="4">
        <v>1390</v>
      </c>
      <c r="C65" s="4">
        <v>1490</v>
      </c>
      <c r="D65" s="4">
        <v>1520</v>
      </c>
      <c r="E65" s="4">
        <v>1590</v>
      </c>
      <c r="F65" s="4">
        <v>1610</v>
      </c>
      <c r="G65" s="141">
        <f t="shared" si="5"/>
        <v>7.1942446043165464E-2</v>
      </c>
      <c r="H65" s="141">
        <f t="shared" si="6"/>
        <v>2.0134228187919545E-2</v>
      </c>
      <c r="I65" s="141">
        <f t="shared" si="7"/>
        <v>4.6052631578947345E-2</v>
      </c>
      <c r="J65" s="141">
        <f t="shared" si="8"/>
        <v>1.2578616352201255E-2</v>
      </c>
      <c r="K65" t="s">
        <v>630</v>
      </c>
    </row>
    <row r="66" spans="1:11">
      <c r="A66" t="s">
        <v>664</v>
      </c>
      <c r="B66" s="4">
        <v>11027</v>
      </c>
      <c r="C66" s="4">
        <v>11220</v>
      </c>
      <c r="D66" s="4">
        <v>10850</v>
      </c>
      <c r="E66" s="4">
        <v>10499</v>
      </c>
      <c r="F66" s="4">
        <v>10555</v>
      </c>
      <c r="G66" s="141">
        <f t="shared" si="5"/>
        <v>1.7502493878661429E-2</v>
      </c>
      <c r="H66" s="141">
        <f t="shared" si="6"/>
        <v>-3.2976827094474137E-2</v>
      </c>
      <c r="I66" s="141">
        <f t="shared" si="7"/>
        <v>-3.2350230414746495E-2</v>
      </c>
      <c r="J66" s="141">
        <f t="shared" si="8"/>
        <v>5.3338413182206779E-3</v>
      </c>
      <c r="K66" t="s">
        <v>672</v>
      </c>
    </row>
    <row r="67" spans="1:11">
      <c r="A67" t="s">
        <v>665</v>
      </c>
      <c r="B67" s="4">
        <v>680</v>
      </c>
      <c r="C67" s="4">
        <v>640</v>
      </c>
      <c r="D67" s="4">
        <v>580</v>
      </c>
      <c r="E67" s="4">
        <v>520</v>
      </c>
      <c r="F67" s="4">
        <v>480</v>
      </c>
      <c r="G67" s="141">
        <f t="shared" si="5"/>
        <v>-5.8823529411764719E-2</v>
      </c>
      <c r="H67" s="141">
        <f t="shared" si="6"/>
        <v>-9.375E-2</v>
      </c>
      <c r="I67" s="141">
        <f t="shared" si="7"/>
        <v>-0.10344827586206895</v>
      </c>
      <c r="J67" s="141">
        <f t="shared" si="8"/>
        <v>-7.6923076923076872E-2</v>
      </c>
      <c r="K67" t="s">
        <v>630</v>
      </c>
    </row>
    <row r="68" spans="1:11">
      <c r="A68" t="s">
        <v>666</v>
      </c>
      <c r="B68" s="4">
        <v>3000</v>
      </c>
      <c r="C68" s="4">
        <v>3740</v>
      </c>
      <c r="D68" s="4">
        <v>3970</v>
      </c>
      <c r="E68" s="4">
        <v>4247</v>
      </c>
      <c r="F68" s="4">
        <v>4183</v>
      </c>
      <c r="G68" s="141">
        <f t="shared" si="5"/>
        <v>0.24666666666666659</v>
      </c>
      <c r="H68" s="141">
        <f t="shared" si="6"/>
        <v>6.149732620320858E-2</v>
      </c>
      <c r="I68" s="141">
        <f t="shared" si="7"/>
        <v>6.9773299748110862E-2</v>
      </c>
      <c r="J68" s="141">
        <f t="shared" si="8"/>
        <v>-1.5069460795855916E-2</v>
      </c>
      <c r="K68" t="s">
        <v>673</v>
      </c>
    </row>
    <row r="69" spans="1:11">
      <c r="A69" t="s">
        <v>667</v>
      </c>
      <c r="B69" s="4">
        <v>910</v>
      </c>
      <c r="C69" s="4">
        <v>810</v>
      </c>
      <c r="D69" s="4">
        <v>800</v>
      </c>
      <c r="E69" s="4">
        <v>850</v>
      </c>
      <c r="F69" s="4">
        <v>880</v>
      </c>
      <c r="G69" s="141">
        <f t="shared" si="5"/>
        <v>-0.10989010989010994</v>
      </c>
      <c r="H69" s="141">
        <f t="shared" si="6"/>
        <v>-1.2345679012345734E-2</v>
      </c>
      <c r="I69" s="141">
        <f t="shared" si="7"/>
        <v>6.25E-2</v>
      </c>
      <c r="J69" s="141">
        <f t="shared" si="8"/>
        <v>3.529411764705892E-2</v>
      </c>
      <c r="K69" t="s">
        <v>630</v>
      </c>
    </row>
    <row r="70" spans="1:11">
      <c r="A70" t="s">
        <v>668</v>
      </c>
      <c r="B70" s="4">
        <v>8610</v>
      </c>
      <c r="C70" s="4">
        <v>7910</v>
      </c>
      <c r="D70" s="4">
        <v>8140</v>
      </c>
      <c r="E70" s="4">
        <v>8030</v>
      </c>
      <c r="F70" s="4">
        <v>8080</v>
      </c>
      <c r="G70" s="141">
        <f t="shared" si="5"/>
        <v>-8.1300813008130079E-2</v>
      </c>
      <c r="H70" s="141">
        <f t="shared" si="6"/>
        <v>2.9077117572692712E-2</v>
      </c>
      <c r="I70" s="141">
        <f t="shared" si="7"/>
        <v>-1.3513513513513487E-2</v>
      </c>
      <c r="J70" s="141">
        <f t="shared" si="8"/>
        <v>6.2266500622665255E-3</v>
      </c>
      <c r="K70" t="s">
        <v>630</v>
      </c>
    </row>
    <row r="71" spans="1:11">
      <c r="A71" t="s">
        <v>678</v>
      </c>
      <c r="B71" s="4">
        <v>6000</v>
      </c>
      <c r="C71" s="4">
        <v>6550</v>
      </c>
      <c r="D71" s="4">
        <v>6770</v>
      </c>
      <c r="E71" s="4">
        <v>6880</v>
      </c>
      <c r="F71" s="4">
        <v>6950</v>
      </c>
      <c r="G71" s="141">
        <f t="shared" si="5"/>
        <v>9.1666666666666563E-2</v>
      </c>
      <c r="H71" s="141">
        <f t="shared" si="6"/>
        <v>3.3587786259541952E-2</v>
      </c>
      <c r="I71" s="141">
        <f t="shared" si="7"/>
        <v>1.6248153618906969E-2</v>
      </c>
      <c r="J71" s="141">
        <f t="shared" si="8"/>
        <v>1.017441860465107E-2</v>
      </c>
      <c r="K71" t="s">
        <v>630</v>
      </c>
    </row>
    <row r="72" spans="1:11">
      <c r="A72" t="s">
        <v>671</v>
      </c>
      <c r="B72" s="4">
        <v>185229</v>
      </c>
      <c r="C72" s="4">
        <v>189461</v>
      </c>
      <c r="D72" s="4">
        <v>188382</v>
      </c>
      <c r="E72" s="4">
        <v>179987</v>
      </c>
      <c r="F72" s="4">
        <v>179469</v>
      </c>
      <c r="G72" s="141">
        <f t="shared" si="5"/>
        <v>2.2847394306507063E-2</v>
      </c>
      <c r="H72" s="141">
        <f t="shared" si="6"/>
        <v>-5.695103477760588E-3</v>
      </c>
      <c r="I72" s="141">
        <f t="shared" si="7"/>
        <v>-4.4563705661899711E-2</v>
      </c>
      <c r="J72" s="141">
        <f t="shared" si="8"/>
        <v>-2.8779856322956876E-3</v>
      </c>
      <c r="K72" t="s">
        <v>670</v>
      </c>
    </row>
    <row r="75" spans="1:11">
      <c r="A75" t="s">
        <v>674</v>
      </c>
    </row>
    <row r="76" spans="1:11">
      <c r="A76" t="s">
        <v>675</v>
      </c>
    </row>
    <row r="77" spans="1:11">
      <c r="A77" t="s">
        <v>676</v>
      </c>
    </row>
    <row r="80" spans="1:11">
      <c r="A80" s="150" t="s">
        <v>679</v>
      </c>
    </row>
    <row r="82" spans="1:7">
      <c r="A82" s="150" t="s">
        <v>621</v>
      </c>
      <c r="B82" s="149">
        <v>2013</v>
      </c>
      <c r="C82" s="149">
        <v>2014</v>
      </c>
      <c r="D82" s="149">
        <v>2015</v>
      </c>
      <c r="E82" s="149" t="s">
        <v>622</v>
      </c>
      <c r="F82" s="149" t="s">
        <v>623</v>
      </c>
      <c r="G82" s="151" t="s">
        <v>627</v>
      </c>
    </row>
    <row r="83" spans="1:7">
      <c r="A83" t="s">
        <v>619</v>
      </c>
      <c r="B83">
        <v>283</v>
      </c>
      <c r="C83">
        <v>271</v>
      </c>
      <c r="D83">
        <v>289</v>
      </c>
      <c r="E83">
        <v>248</v>
      </c>
      <c r="F83">
        <v>275</v>
      </c>
      <c r="G83" t="s">
        <v>628</v>
      </c>
    </row>
    <row r="84" spans="1:7">
      <c r="A84" t="s">
        <v>629</v>
      </c>
      <c r="B84">
        <v>297</v>
      </c>
      <c r="C84">
        <v>357</v>
      </c>
      <c r="D84">
        <v>386</v>
      </c>
      <c r="E84">
        <v>410</v>
      </c>
      <c r="F84">
        <v>424</v>
      </c>
      <c r="G84" t="s">
        <v>630</v>
      </c>
    </row>
    <row r="85" spans="1:7">
      <c r="A85" t="s">
        <v>631</v>
      </c>
      <c r="B85">
        <v>353</v>
      </c>
      <c r="C85">
        <v>354</v>
      </c>
      <c r="D85">
        <v>317</v>
      </c>
      <c r="E85">
        <v>279</v>
      </c>
      <c r="F85">
        <v>261</v>
      </c>
      <c r="G85" t="s">
        <v>632</v>
      </c>
    </row>
    <row r="86" spans="1:7">
      <c r="A86" t="s">
        <v>633</v>
      </c>
      <c r="B86">
        <v>308</v>
      </c>
      <c r="C86">
        <v>316</v>
      </c>
      <c r="D86">
        <v>309</v>
      </c>
      <c r="E86">
        <v>301</v>
      </c>
      <c r="F86">
        <v>295</v>
      </c>
      <c r="G86" t="s">
        <v>680</v>
      </c>
    </row>
    <row r="87" spans="1:7">
      <c r="A87" t="s">
        <v>55</v>
      </c>
      <c r="B87">
        <v>226</v>
      </c>
      <c r="C87">
        <v>250</v>
      </c>
      <c r="D87">
        <v>266</v>
      </c>
      <c r="E87">
        <v>249</v>
      </c>
      <c r="F87">
        <v>244</v>
      </c>
      <c r="G87" t="s">
        <v>680</v>
      </c>
    </row>
    <row r="88" spans="1:7">
      <c r="A88" t="s">
        <v>57</v>
      </c>
      <c r="B88">
        <v>297</v>
      </c>
      <c r="C88">
        <v>296</v>
      </c>
      <c r="D88">
        <v>294</v>
      </c>
      <c r="E88">
        <v>299</v>
      </c>
      <c r="F88">
        <v>318</v>
      </c>
      <c r="G88" t="s">
        <v>680</v>
      </c>
    </row>
    <row r="89" spans="1:7">
      <c r="A89" t="s">
        <v>634</v>
      </c>
      <c r="B89">
        <v>128</v>
      </c>
      <c r="C89">
        <v>134</v>
      </c>
      <c r="D89">
        <v>129</v>
      </c>
      <c r="E89">
        <v>124</v>
      </c>
      <c r="F89">
        <v>129</v>
      </c>
      <c r="G89" t="s">
        <v>680</v>
      </c>
    </row>
    <row r="90" spans="1:7">
      <c r="A90" t="s">
        <v>635</v>
      </c>
      <c r="B90">
        <v>418</v>
      </c>
      <c r="C90">
        <v>404</v>
      </c>
      <c r="D90">
        <v>359</v>
      </c>
      <c r="E90">
        <v>331</v>
      </c>
      <c r="F90">
        <v>334</v>
      </c>
      <c r="G90" t="s">
        <v>680</v>
      </c>
    </row>
    <row r="91" spans="1:7">
      <c r="A91" t="s">
        <v>637</v>
      </c>
      <c r="B91">
        <v>163</v>
      </c>
      <c r="C91">
        <v>146</v>
      </c>
      <c r="D91">
        <v>150</v>
      </c>
      <c r="E91">
        <v>151</v>
      </c>
      <c r="F91">
        <v>163</v>
      </c>
      <c r="G91" t="s">
        <v>680</v>
      </c>
    </row>
    <row r="92" spans="1:7">
      <c r="A92" t="s">
        <v>638</v>
      </c>
      <c r="B92">
        <v>179</v>
      </c>
      <c r="C92">
        <v>182</v>
      </c>
      <c r="D92">
        <v>183</v>
      </c>
      <c r="E92">
        <v>187</v>
      </c>
      <c r="F92">
        <v>196</v>
      </c>
      <c r="G92" t="s">
        <v>640</v>
      </c>
    </row>
    <row r="93" spans="1:7">
      <c r="A93" t="s">
        <v>641</v>
      </c>
      <c r="B93">
        <v>174</v>
      </c>
      <c r="C93">
        <v>188</v>
      </c>
      <c r="D93">
        <v>192</v>
      </c>
      <c r="E93">
        <v>188</v>
      </c>
      <c r="F93">
        <v>194</v>
      </c>
      <c r="G93" t="s">
        <v>680</v>
      </c>
    </row>
    <row r="94" spans="1:7">
      <c r="A94" t="s">
        <v>642</v>
      </c>
      <c r="B94">
        <v>284</v>
      </c>
      <c r="C94">
        <v>301</v>
      </c>
      <c r="D94">
        <v>323</v>
      </c>
      <c r="E94">
        <v>327</v>
      </c>
      <c r="F94">
        <v>320</v>
      </c>
      <c r="G94" t="s">
        <v>681</v>
      </c>
    </row>
    <row r="95" spans="1:7">
      <c r="A95" t="s">
        <v>644</v>
      </c>
      <c r="B95">
        <v>127</v>
      </c>
      <c r="C95">
        <v>123</v>
      </c>
      <c r="D95">
        <v>121</v>
      </c>
      <c r="E95">
        <v>133</v>
      </c>
      <c r="F95">
        <v>140</v>
      </c>
      <c r="G95" t="s">
        <v>680</v>
      </c>
    </row>
    <row r="96" spans="1:7">
      <c r="A96" t="s">
        <v>610</v>
      </c>
      <c r="B96">
        <v>666</v>
      </c>
      <c r="C96">
        <v>573</v>
      </c>
      <c r="D96">
        <v>490</v>
      </c>
      <c r="E96">
        <v>465</v>
      </c>
      <c r="F96">
        <v>484</v>
      </c>
      <c r="G96" t="s">
        <v>670</v>
      </c>
    </row>
    <row r="97" spans="1:7">
      <c r="A97" t="s">
        <v>663</v>
      </c>
      <c r="B97">
        <v>204</v>
      </c>
      <c r="C97">
        <v>217</v>
      </c>
      <c r="D97">
        <v>217</v>
      </c>
      <c r="E97">
        <v>237</v>
      </c>
      <c r="F97">
        <v>237</v>
      </c>
      <c r="G97" t="s">
        <v>680</v>
      </c>
    </row>
    <row r="98" spans="1:7">
      <c r="A98" t="s">
        <v>664</v>
      </c>
      <c r="B98">
        <v>362</v>
      </c>
      <c r="C98">
        <v>364</v>
      </c>
      <c r="D98">
        <v>348</v>
      </c>
      <c r="E98">
        <v>333</v>
      </c>
      <c r="F98">
        <v>332</v>
      </c>
      <c r="G98" t="s">
        <v>672</v>
      </c>
    </row>
    <row r="99" spans="1:7">
      <c r="A99" t="s">
        <v>665</v>
      </c>
      <c r="B99">
        <v>189</v>
      </c>
      <c r="C99">
        <v>172</v>
      </c>
      <c r="D99">
        <v>166</v>
      </c>
      <c r="E99">
        <v>153</v>
      </c>
      <c r="F99">
        <v>144</v>
      </c>
      <c r="G99" t="s">
        <v>680</v>
      </c>
    </row>
    <row r="100" spans="1:7">
      <c r="A100" t="s">
        <v>666</v>
      </c>
      <c r="B100">
        <v>297</v>
      </c>
      <c r="C100">
        <v>356</v>
      </c>
      <c r="D100">
        <v>396</v>
      </c>
      <c r="E100">
        <v>400</v>
      </c>
      <c r="F100">
        <v>387</v>
      </c>
      <c r="G100" t="s">
        <v>673</v>
      </c>
    </row>
    <row r="101" spans="1:7">
      <c r="A101" t="s">
        <v>667</v>
      </c>
      <c r="B101">
        <v>268</v>
      </c>
      <c r="C101">
        <v>237</v>
      </c>
      <c r="D101">
        <v>222</v>
      </c>
      <c r="E101">
        <v>247</v>
      </c>
      <c r="F101">
        <v>255</v>
      </c>
      <c r="G101" t="s">
        <v>680</v>
      </c>
    </row>
    <row r="102" spans="1:7">
      <c r="A102" t="s">
        <v>668</v>
      </c>
      <c r="B102">
        <v>290</v>
      </c>
      <c r="C102">
        <v>262</v>
      </c>
      <c r="D102">
        <v>266</v>
      </c>
      <c r="E102">
        <v>260</v>
      </c>
      <c r="F102">
        <v>258</v>
      </c>
      <c r="G102" t="s">
        <v>680</v>
      </c>
    </row>
    <row r="103" spans="1:7">
      <c r="A103" t="s">
        <v>678</v>
      </c>
      <c r="B103" t="s">
        <v>682</v>
      </c>
      <c r="C103" t="s">
        <v>682</v>
      </c>
      <c r="D103" t="s">
        <v>682</v>
      </c>
      <c r="E103" t="s">
        <v>682</v>
      </c>
      <c r="F103" t="s">
        <v>682</v>
      </c>
    </row>
    <row r="104" spans="1:7">
      <c r="A104" t="s">
        <v>671</v>
      </c>
      <c r="B104">
        <v>303</v>
      </c>
      <c r="C104">
        <v>307</v>
      </c>
      <c r="D104">
        <v>301</v>
      </c>
      <c r="E104">
        <v>283</v>
      </c>
      <c r="F104">
        <v>278</v>
      </c>
      <c r="G104" t="s">
        <v>670</v>
      </c>
    </row>
    <row r="106" spans="1:7">
      <c r="A106" t="s">
        <v>674</v>
      </c>
    </row>
    <row r="107" spans="1:7">
      <c r="A107" t="s">
        <v>675</v>
      </c>
    </row>
    <row r="108" spans="1:7">
      <c r="A108" t="s">
        <v>676</v>
      </c>
    </row>
  </sheetData>
  <mergeCells count="3">
    <mergeCell ref="B33:C33"/>
    <mergeCell ref="D33:E33"/>
    <mergeCell ref="F33:G33"/>
  </mergeCells>
  <pageMargins left="0.7" right="0.7" top="0.75" bottom="0.75" header="0.3" footer="0.3"/>
  <pageSetup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X77"/>
  <sheetViews>
    <sheetView workbookViewId="0">
      <selection activeCell="F14" sqref="F14"/>
    </sheetView>
  </sheetViews>
  <sheetFormatPr baseColWidth="10" defaultColWidth="9" defaultRowHeight="12"/>
  <cols>
    <col min="1" max="2" width="1.75" style="450" customWidth="1"/>
    <col min="3" max="3" width="9" style="450"/>
    <col min="4" max="14" width="11.375" style="450" bestFit="1" customWidth="1"/>
    <col min="15" max="256" width="9" style="450"/>
    <col min="257" max="258" width="1.75" style="450" customWidth="1"/>
    <col min="259" max="266" width="9" style="450"/>
    <col min="267" max="270" width="8.25" style="450" bestFit="1" customWidth="1"/>
    <col min="271" max="512" width="9" style="450"/>
    <col min="513" max="514" width="1.75" style="450" customWidth="1"/>
    <col min="515" max="522" width="9" style="450"/>
    <col min="523" max="526" width="8.25" style="450" bestFit="1" customWidth="1"/>
    <col min="527" max="768" width="9" style="450"/>
    <col min="769" max="770" width="1.75" style="450" customWidth="1"/>
    <col min="771" max="778" width="9" style="450"/>
    <col min="779" max="782" width="8.25" style="450" bestFit="1" customWidth="1"/>
    <col min="783" max="1024" width="9" style="450"/>
    <col min="1025" max="1026" width="1.75" style="450" customWidth="1"/>
    <col min="1027" max="1034" width="9" style="450"/>
    <col min="1035" max="1038" width="8.25" style="450" bestFit="1" customWidth="1"/>
    <col min="1039" max="1280" width="9" style="450"/>
    <col min="1281" max="1282" width="1.75" style="450" customWidth="1"/>
    <col min="1283" max="1290" width="9" style="450"/>
    <col min="1291" max="1294" width="8.25" style="450" bestFit="1" customWidth="1"/>
    <col min="1295" max="1536" width="9" style="450"/>
    <col min="1537" max="1538" width="1.75" style="450" customWidth="1"/>
    <col min="1539" max="1546" width="9" style="450"/>
    <col min="1547" max="1550" width="8.25" style="450" bestFit="1" customWidth="1"/>
    <col min="1551" max="1792" width="9" style="450"/>
    <col min="1793" max="1794" width="1.75" style="450" customWidth="1"/>
    <col min="1795" max="1802" width="9" style="450"/>
    <col min="1803" max="1806" width="8.25" style="450" bestFit="1" customWidth="1"/>
    <col min="1807" max="2048" width="9" style="450"/>
    <col min="2049" max="2050" width="1.75" style="450" customWidth="1"/>
    <col min="2051" max="2058" width="9" style="450"/>
    <col min="2059" max="2062" width="8.25" style="450" bestFit="1" customWidth="1"/>
    <col min="2063" max="2304" width="9" style="450"/>
    <col min="2305" max="2306" width="1.75" style="450" customWidth="1"/>
    <col min="2307" max="2314" width="9" style="450"/>
    <col min="2315" max="2318" width="8.25" style="450" bestFit="1" customWidth="1"/>
    <col min="2319" max="2560" width="9" style="450"/>
    <col min="2561" max="2562" width="1.75" style="450" customWidth="1"/>
    <col min="2563" max="2570" width="9" style="450"/>
    <col min="2571" max="2574" width="8.25" style="450" bestFit="1" customWidth="1"/>
    <col min="2575" max="2816" width="9" style="450"/>
    <col min="2817" max="2818" width="1.75" style="450" customWidth="1"/>
    <col min="2819" max="2826" width="9" style="450"/>
    <col min="2827" max="2830" width="8.25" style="450" bestFit="1" customWidth="1"/>
    <col min="2831" max="3072" width="9" style="450"/>
    <col min="3073" max="3074" width="1.75" style="450" customWidth="1"/>
    <col min="3075" max="3082" width="9" style="450"/>
    <col min="3083" max="3086" width="8.25" style="450" bestFit="1" customWidth="1"/>
    <col min="3087" max="3328" width="9" style="450"/>
    <col min="3329" max="3330" width="1.75" style="450" customWidth="1"/>
    <col min="3331" max="3338" width="9" style="450"/>
    <col min="3339" max="3342" width="8.25" style="450" bestFit="1" customWidth="1"/>
    <col min="3343" max="3584" width="9" style="450"/>
    <col min="3585" max="3586" width="1.75" style="450" customWidth="1"/>
    <col min="3587" max="3594" width="9" style="450"/>
    <col min="3595" max="3598" width="8.25" style="450" bestFit="1" customWidth="1"/>
    <col min="3599" max="3840" width="9" style="450"/>
    <col min="3841" max="3842" width="1.75" style="450" customWidth="1"/>
    <col min="3843" max="3850" width="9" style="450"/>
    <col min="3851" max="3854" width="8.25" style="450" bestFit="1" customWidth="1"/>
    <col min="3855" max="4096" width="9" style="450"/>
    <col min="4097" max="4098" width="1.75" style="450" customWidth="1"/>
    <col min="4099" max="4106" width="9" style="450"/>
    <col min="4107" max="4110" width="8.25" style="450" bestFit="1" customWidth="1"/>
    <col min="4111" max="4352" width="9" style="450"/>
    <col min="4353" max="4354" width="1.75" style="450" customWidth="1"/>
    <col min="4355" max="4362" width="9" style="450"/>
    <col min="4363" max="4366" width="8.25" style="450" bestFit="1" customWidth="1"/>
    <col min="4367" max="4608" width="9" style="450"/>
    <col min="4609" max="4610" width="1.75" style="450" customWidth="1"/>
    <col min="4611" max="4618" width="9" style="450"/>
    <col min="4619" max="4622" width="8.25" style="450" bestFit="1" customWidth="1"/>
    <col min="4623" max="4864" width="9" style="450"/>
    <col min="4865" max="4866" width="1.75" style="450" customWidth="1"/>
    <col min="4867" max="4874" width="9" style="450"/>
    <col min="4875" max="4878" width="8.25" style="450" bestFit="1" customWidth="1"/>
    <col min="4879" max="5120" width="9" style="450"/>
    <col min="5121" max="5122" width="1.75" style="450" customWidth="1"/>
    <col min="5123" max="5130" width="9" style="450"/>
    <col min="5131" max="5134" width="8.25" style="450" bestFit="1" customWidth="1"/>
    <col min="5135" max="5376" width="9" style="450"/>
    <col min="5377" max="5378" width="1.75" style="450" customWidth="1"/>
    <col min="5379" max="5386" width="9" style="450"/>
    <col min="5387" max="5390" width="8.25" style="450" bestFit="1" customWidth="1"/>
    <col min="5391" max="5632" width="9" style="450"/>
    <col min="5633" max="5634" width="1.75" style="450" customWidth="1"/>
    <col min="5635" max="5642" width="9" style="450"/>
    <col min="5643" max="5646" width="8.25" style="450" bestFit="1" customWidth="1"/>
    <col min="5647" max="5888" width="9" style="450"/>
    <col min="5889" max="5890" width="1.75" style="450" customWidth="1"/>
    <col min="5891" max="5898" width="9" style="450"/>
    <col min="5899" max="5902" width="8.25" style="450" bestFit="1" customWidth="1"/>
    <col min="5903" max="6144" width="9" style="450"/>
    <col min="6145" max="6146" width="1.75" style="450" customWidth="1"/>
    <col min="6147" max="6154" width="9" style="450"/>
    <col min="6155" max="6158" width="8.25" style="450" bestFit="1" customWidth="1"/>
    <col min="6159" max="6400" width="9" style="450"/>
    <col min="6401" max="6402" width="1.75" style="450" customWidth="1"/>
    <col min="6403" max="6410" width="9" style="450"/>
    <col min="6411" max="6414" width="8.25" style="450" bestFit="1" customWidth="1"/>
    <col min="6415" max="6656" width="9" style="450"/>
    <col min="6657" max="6658" width="1.75" style="450" customWidth="1"/>
    <col min="6659" max="6666" width="9" style="450"/>
    <col min="6667" max="6670" width="8.25" style="450" bestFit="1" customWidth="1"/>
    <col min="6671" max="6912" width="9" style="450"/>
    <col min="6913" max="6914" width="1.75" style="450" customWidth="1"/>
    <col min="6915" max="6922" width="9" style="450"/>
    <col min="6923" max="6926" width="8.25" style="450" bestFit="1" customWidth="1"/>
    <col min="6927" max="7168" width="9" style="450"/>
    <col min="7169" max="7170" width="1.75" style="450" customWidth="1"/>
    <col min="7171" max="7178" width="9" style="450"/>
    <col min="7179" max="7182" width="8.25" style="450" bestFit="1" customWidth="1"/>
    <col min="7183" max="7424" width="9" style="450"/>
    <col min="7425" max="7426" width="1.75" style="450" customWidth="1"/>
    <col min="7427" max="7434" width="9" style="450"/>
    <col min="7435" max="7438" width="8.25" style="450" bestFit="1" customWidth="1"/>
    <col min="7439" max="7680" width="9" style="450"/>
    <col min="7681" max="7682" width="1.75" style="450" customWidth="1"/>
    <col min="7683" max="7690" width="9" style="450"/>
    <col min="7691" max="7694" width="8.25" style="450" bestFit="1" customWidth="1"/>
    <col min="7695" max="7936" width="9" style="450"/>
    <col min="7937" max="7938" width="1.75" style="450" customWidth="1"/>
    <col min="7939" max="7946" width="9" style="450"/>
    <col min="7947" max="7950" width="8.25" style="450" bestFit="1" customWidth="1"/>
    <col min="7951" max="8192" width="9" style="450"/>
    <col min="8193" max="8194" width="1.75" style="450" customWidth="1"/>
    <col min="8195" max="8202" width="9" style="450"/>
    <col min="8203" max="8206" width="8.25" style="450" bestFit="1" customWidth="1"/>
    <col min="8207" max="8448" width="9" style="450"/>
    <col min="8449" max="8450" width="1.75" style="450" customWidth="1"/>
    <col min="8451" max="8458" width="9" style="450"/>
    <col min="8459" max="8462" width="8.25" style="450" bestFit="1" customWidth="1"/>
    <col min="8463" max="8704" width="9" style="450"/>
    <col min="8705" max="8706" width="1.75" style="450" customWidth="1"/>
    <col min="8707" max="8714" width="9" style="450"/>
    <col min="8715" max="8718" width="8.25" style="450" bestFit="1" customWidth="1"/>
    <col min="8719" max="8960" width="9" style="450"/>
    <col min="8961" max="8962" width="1.75" style="450" customWidth="1"/>
    <col min="8963" max="8970" width="9" style="450"/>
    <col min="8971" max="8974" width="8.25" style="450" bestFit="1" customWidth="1"/>
    <col min="8975" max="9216" width="9" style="450"/>
    <col min="9217" max="9218" width="1.75" style="450" customWidth="1"/>
    <col min="9219" max="9226" width="9" style="450"/>
    <col min="9227" max="9230" width="8.25" style="450" bestFit="1" customWidth="1"/>
    <col min="9231" max="9472" width="9" style="450"/>
    <col min="9473" max="9474" width="1.75" style="450" customWidth="1"/>
    <col min="9475" max="9482" width="9" style="450"/>
    <col min="9483" max="9486" width="8.25" style="450" bestFit="1" customWidth="1"/>
    <col min="9487" max="9728" width="9" style="450"/>
    <col min="9729" max="9730" width="1.75" style="450" customWidth="1"/>
    <col min="9731" max="9738" width="9" style="450"/>
    <col min="9739" max="9742" width="8.25" style="450" bestFit="1" customWidth="1"/>
    <col min="9743" max="9984" width="9" style="450"/>
    <col min="9985" max="9986" width="1.75" style="450" customWidth="1"/>
    <col min="9987" max="9994" width="9" style="450"/>
    <col min="9995" max="9998" width="8.25" style="450" bestFit="1" customWidth="1"/>
    <col min="9999" max="10240" width="9" style="450"/>
    <col min="10241" max="10242" width="1.75" style="450" customWidth="1"/>
    <col min="10243" max="10250" width="9" style="450"/>
    <col min="10251" max="10254" width="8.25" style="450" bestFit="1" customWidth="1"/>
    <col min="10255" max="10496" width="9" style="450"/>
    <col min="10497" max="10498" width="1.75" style="450" customWidth="1"/>
    <col min="10499" max="10506" width="9" style="450"/>
    <col min="10507" max="10510" width="8.25" style="450" bestFit="1" customWidth="1"/>
    <col min="10511" max="10752" width="9" style="450"/>
    <col min="10753" max="10754" width="1.75" style="450" customWidth="1"/>
    <col min="10755" max="10762" width="9" style="450"/>
    <col min="10763" max="10766" width="8.25" style="450" bestFit="1" customWidth="1"/>
    <col min="10767" max="11008" width="9" style="450"/>
    <col min="11009" max="11010" width="1.75" style="450" customWidth="1"/>
    <col min="11011" max="11018" width="9" style="450"/>
    <col min="11019" max="11022" width="8.25" style="450" bestFit="1" customWidth="1"/>
    <col min="11023" max="11264" width="9" style="450"/>
    <col min="11265" max="11266" width="1.75" style="450" customWidth="1"/>
    <col min="11267" max="11274" width="9" style="450"/>
    <col min="11275" max="11278" width="8.25" style="450" bestFit="1" customWidth="1"/>
    <col min="11279" max="11520" width="9" style="450"/>
    <col min="11521" max="11522" width="1.75" style="450" customWidth="1"/>
    <col min="11523" max="11530" width="9" style="450"/>
    <col min="11531" max="11534" width="8.25" style="450" bestFit="1" customWidth="1"/>
    <col min="11535" max="11776" width="9" style="450"/>
    <col min="11777" max="11778" width="1.75" style="450" customWidth="1"/>
    <col min="11779" max="11786" width="9" style="450"/>
    <col min="11787" max="11790" width="8.25" style="450" bestFit="1" customWidth="1"/>
    <col min="11791" max="12032" width="9" style="450"/>
    <col min="12033" max="12034" width="1.75" style="450" customWidth="1"/>
    <col min="12035" max="12042" width="9" style="450"/>
    <col min="12043" max="12046" width="8.25" style="450" bestFit="1" customWidth="1"/>
    <col min="12047" max="12288" width="9" style="450"/>
    <col min="12289" max="12290" width="1.75" style="450" customWidth="1"/>
    <col min="12291" max="12298" width="9" style="450"/>
    <col min="12299" max="12302" width="8.25" style="450" bestFit="1" customWidth="1"/>
    <col min="12303" max="12544" width="9" style="450"/>
    <col min="12545" max="12546" width="1.75" style="450" customWidth="1"/>
    <col min="12547" max="12554" width="9" style="450"/>
    <col min="12555" max="12558" width="8.25" style="450" bestFit="1" customWidth="1"/>
    <col min="12559" max="12800" width="9" style="450"/>
    <col min="12801" max="12802" width="1.75" style="450" customWidth="1"/>
    <col min="12803" max="12810" width="9" style="450"/>
    <col min="12811" max="12814" width="8.25" style="450" bestFit="1" customWidth="1"/>
    <col min="12815" max="13056" width="9" style="450"/>
    <col min="13057" max="13058" width="1.75" style="450" customWidth="1"/>
    <col min="13059" max="13066" width="9" style="450"/>
    <col min="13067" max="13070" width="8.25" style="450" bestFit="1" customWidth="1"/>
    <col min="13071" max="13312" width="9" style="450"/>
    <col min="13313" max="13314" width="1.75" style="450" customWidth="1"/>
    <col min="13315" max="13322" width="9" style="450"/>
    <col min="13323" max="13326" width="8.25" style="450" bestFit="1" customWidth="1"/>
    <col min="13327" max="13568" width="9" style="450"/>
    <col min="13569" max="13570" width="1.75" style="450" customWidth="1"/>
    <col min="13571" max="13578" width="9" style="450"/>
    <col min="13579" max="13582" width="8.25" style="450" bestFit="1" customWidth="1"/>
    <col min="13583" max="13824" width="9" style="450"/>
    <col min="13825" max="13826" width="1.75" style="450" customWidth="1"/>
    <col min="13827" max="13834" width="9" style="450"/>
    <col min="13835" max="13838" width="8.25" style="450" bestFit="1" customWidth="1"/>
    <col min="13839" max="14080" width="9" style="450"/>
    <col min="14081" max="14082" width="1.75" style="450" customWidth="1"/>
    <col min="14083" max="14090" width="9" style="450"/>
    <col min="14091" max="14094" width="8.25" style="450" bestFit="1" customWidth="1"/>
    <col min="14095" max="14336" width="9" style="450"/>
    <col min="14337" max="14338" width="1.75" style="450" customWidth="1"/>
    <col min="14339" max="14346" width="9" style="450"/>
    <col min="14347" max="14350" width="8.25" style="450" bestFit="1" customWidth="1"/>
    <col min="14351" max="14592" width="9" style="450"/>
    <col min="14593" max="14594" width="1.75" style="450" customWidth="1"/>
    <col min="14595" max="14602" width="9" style="450"/>
    <col min="14603" max="14606" width="8.25" style="450" bestFit="1" customWidth="1"/>
    <col min="14607" max="14848" width="9" style="450"/>
    <col min="14849" max="14850" width="1.75" style="450" customWidth="1"/>
    <col min="14851" max="14858" width="9" style="450"/>
    <col min="14859" max="14862" width="8.25" style="450" bestFit="1" customWidth="1"/>
    <col min="14863" max="15104" width="9" style="450"/>
    <col min="15105" max="15106" width="1.75" style="450" customWidth="1"/>
    <col min="15107" max="15114" width="9" style="450"/>
    <col min="15115" max="15118" width="8.25" style="450" bestFit="1" customWidth="1"/>
    <col min="15119" max="15360" width="9" style="450"/>
    <col min="15361" max="15362" width="1.75" style="450" customWidth="1"/>
    <col min="15363" max="15370" width="9" style="450"/>
    <col min="15371" max="15374" width="8.25" style="450" bestFit="1" customWidth="1"/>
    <col min="15375" max="15616" width="9" style="450"/>
    <col min="15617" max="15618" width="1.75" style="450" customWidth="1"/>
    <col min="15619" max="15626" width="9" style="450"/>
    <col min="15627" max="15630" width="8.25" style="450" bestFit="1" customWidth="1"/>
    <col min="15631" max="15872" width="9" style="450"/>
    <col min="15873" max="15874" width="1.75" style="450" customWidth="1"/>
    <col min="15875" max="15882" width="9" style="450"/>
    <col min="15883" max="15886" width="8.25" style="450" bestFit="1" customWidth="1"/>
    <col min="15887" max="16128" width="9" style="450"/>
    <col min="16129" max="16130" width="1.75" style="450" customWidth="1"/>
    <col min="16131" max="16138" width="9" style="450"/>
    <col min="16139" max="16142" width="8.25" style="450" bestFit="1" customWidth="1"/>
    <col min="16143" max="16384" width="9" style="450"/>
  </cols>
  <sheetData>
    <row r="1" spans="2:76" ht="18" customHeight="1"/>
    <row r="2" spans="2:76" ht="16.5" thickBot="1">
      <c r="B2" s="658" t="s">
        <v>1291</v>
      </c>
      <c r="C2" s="659"/>
      <c r="D2" s="659"/>
      <c r="E2" s="659"/>
      <c r="F2" s="659"/>
      <c r="G2" s="659"/>
      <c r="H2" s="659"/>
      <c r="I2" s="659"/>
      <c r="J2" s="659"/>
      <c r="K2" s="659"/>
      <c r="L2" s="659"/>
      <c r="M2" s="659"/>
      <c r="N2" s="659"/>
      <c r="O2" s="659"/>
      <c r="P2" s="659"/>
      <c r="Q2" s="659"/>
    </row>
    <row r="3" spans="2:76" ht="12.75" thickTop="1"/>
    <row r="4" spans="2:76" ht="12.75">
      <c r="C4" s="657" t="s">
        <v>1292</v>
      </c>
      <c r="D4" s="657"/>
      <c r="E4" s="450" t="s">
        <v>1397</v>
      </c>
      <c r="F4" s="657" t="s">
        <v>1293</v>
      </c>
      <c r="G4" s="657"/>
      <c r="H4" s="657"/>
      <c r="I4" s="458">
        <v>12966.406386389404</v>
      </c>
      <c r="J4" s="451"/>
      <c r="K4" s="451"/>
    </row>
    <row r="5" spans="2:76" ht="12.75">
      <c r="C5" s="657" t="s">
        <v>1294</v>
      </c>
      <c r="D5" s="657"/>
      <c r="E5" s="450" t="s">
        <v>1398</v>
      </c>
      <c r="F5" s="452" t="s">
        <v>1295</v>
      </c>
      <c r="G5" s="451">
        <v>7.8E-2</v>
      </c>
      <c r="H5" s="502" t="s">
        <v>1296</v>
      </c>
      <c r="I5" s="451">
        <v>0.1</v>
      </c>
      <c r="J5" s="502" t="s">
        <v>1297</v>
      </c>
      <c r="K5" s="451">
        <v>10</v>
      </c>
      <c r="L5" s="502" t="s">
        <v>1298</v>
      </c>
      <c r="M5" s="451" t="s">
        <v>954</v>
      </c>
      <c r="N5" s="657" t="s">
        <v>1293</v>
      </c>
      <c r="O5" s="657"/>
      <c r="P5" s="657"/>
      <c r="Q5" s="456">
        <v>9.6000000000000002E-2</v>
      </c>
    </row>
    <row r="6" spans="2:76" ht="12.75">
      <c r="C6" s="657" t="s">
        <v>1299</v>
      </c>
      <c r="D6" s="657"/>
      <c r="E6" s="450" t="s">
        <v>1399</v>
      </c>
      <c r="F6" s="452" t="s">
        <v>1295</v>
      </c>
      <c r="G6" s="451">
        <v>5.0000000000000001E-3</v>
      </c>
      <c r="H6" s="502" t="s">
        <v>1296</v>
      </c>
      <c r="I6" s="451">
        <v>0.03</v>
      </c>
      <c r="J6" s="502" t="s">
        <v>1297</v>
      </c>
      <c r="K6" s="451">
        <v>10</v>
      </c>
      <c r="L6" s="502" t="s">
        <v>1298</v>
      </c>
      <c r="M6" s="451" t="s">
        <v>954</v>
      </c>
      <c r="N6" s="657" t="s">
        <v>1293</v>
      </c>
      <c r="O6" s="657"/>
      <c r="P6" s="657"/>
      <c r="Q6" s="522">
        <v>1.2999999999999999E-2</v>
      </c>
    </row>
    <row r="8" spans="2:76">
      <c r="C8" s="454"/>
      <c r="D8" s="455">
        <v>7.8E-2</v>
      </c>
      <c r="E8" s="455">
        <v>8.0199999999999994E-2</v>
      </c>
      <c r="F8" s="455">
        <v>8.2400000000000001E-2</v>
      </c>
      <c r="G8" s="455">
        <v>8.4600000000000009E-2</v>
      </c>
      <c r="H8" s="455">
        <v>8.6800000000000002E-2</v>
      </c>
      <c r="I8" s="455">
        <v>8.8999999999999996E-2</v>
      </c>
      <c r="J8" s="455">
        <v>9.1200000000000003E-2</v>
      </c>
      <c r="K8" s="455">
        <v>9.3400000000000011E-2</v>
      </c>
      <c r="L8" s="455">
        <v>9.5600000000000004E-2</v>
      </c>
      <c r="M8" s="455">
        <v>9.7799999999999998E-2</v>
      </c>
      <c r="N8" s="455">
        <v>0.1</v>
      </c>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4"/>
      <c r="BB8" s="454"/>
      <c r="BC8" s="454"/>
      <c r="BD8" s="454"/>
      <c r="BE8" s="454"/>
      <c r="BF8" s="454"/>
      <c r="BG8" s="454"/>
      <c r="BH8" s="454"/>
      <c r="BI8" s="454"/>
      <c r="BJ8" s="454"/>
      <c r="BK8" s="454"/>
      <c r="BL8" s="454"/>
      <c r="BM8" s="454"/>
      <c r="BN8" s="454"/>
      <c r="BO8" s="454"/>
      <c r="BP8" s="454"/>
      <c r="BQ8" s="454"/>
      <c r="BR8" s="454"/>
      <c r="BS8" s="454"/>
      <c r="BT8" s="454"/>
      <c r="BU8" s="454"/>
      <c r="BV8" s="454"/>
      <c r="BW8" s="454"/>
      <c r="BX8" s="454"/>
    </row>
    <row r="9" spans="2:76">
      <c r="C9" s="521">
        <v>5.0000000000000001E-3</v>
      </c>
      <c r="D9" s="458">
        <v>14307.327475044365</v>
      </c>
      <c r="E9" s="458">
        <v>13974.597944121822</v>
      </c>
      <c r="F9" s="458">
        <v>13660.782856293839</v>
      </c>
      <c r="G9" s="458">
        <v>13364.313931039662</v>
      </c>
      <c r="H9" s="458">
        <v>13083.791602594101</v>
      </c>
      <c r="I9" s="458">
        <v>12817.962926348755</v>
      </c>
      <c r="J9" s="458">
        <v>12565.702868495768</v>
      </c>
      <c r="K9" s="458">
        <v>12325.998389525677</v>
      </c>
      <c r="L9" s="458">
        <v>12097.93484668583</v>
      </c>
      <c r="M9" s="458">
        <v>11880.684330571874</v>
      </c>
      <c r="N9" s="458">
        <v>11673.495622319169</v>
      </c>
    </row>
    <row r="10" spans="2:76">
      <c r="C10" s="521">
        <v>7.4999999999999997E-3</v>
      </c>
      <c r="D10" s="458">
        <v>14719.841551151145</v>
      </c>
      <c r="E10" s="458">
        <v>14363.46212834679</v>
      </c>
      <c r="F10" s="458">
        <v>14028.017569093481</v>
      </c>
      <c r="G10" s="458">
        <v>13711.715787707048</v>
      </c>
      <c r="H10" s="458">
        <v>13412.963568007057</v>
      </c>
      <c r="I10" s="458">
        <v>13130.33972203439</v>
      </c>
      <c r="J10" s="458">
        <v>12862.572481802621</v>
      </c>
      <c r="K10" s="458">
        <v>12608.520365192355</v>
      </c>
      <c r="L10" s="458">
        <v>12367.155908703613</v>
      </c>
      <c r="M10" s="458">
        <v>12137.551778144754</v>
      </c>
      <c r="N10" s="458">
        <v>11918.868861363615</v>
      </c>
    </row>
    <row r="11" spans="2:76">
      <c r="C11" s="521">
        <v>9.9999999999999985E-3</v>
      </c>
      <c r="D11" s="458">
        <v>15162.009966666419</v>
      </c>
      <c r="E11" s="458">
        <v>14779.367127774975</v>
      </c>
      <c r="F11" s="458">
        <v>14419.977936552443</v>
      </c>
      <c r="G11" s="458">
        <v>14081.785105026594</v>
      </c>
      <c r="H11" s="458">
        <v>13762.967076097348</v>
      </c>
      <c r="I11" s="458">
        <v>13461.905200251216</v>
      </c>
      <c r="J11" s="458">
        <v>13177.156248080721</v>
      </c>
      <c r="K11" s="458">
        <v>12907.429273340358</v>
      </c>
      <c r="L11" s="458">
        <v>12651.566043849027</v>
      </c>
      <c r="M11" s="458">
        <v>12408.524414443587</v>
      </c>
      <c r="N11" s="458">
        <v>12177.364138565888</v>
      </c>
    </row>
    <row r="12" spans="2:76">
      <c r="C12" s="521">
        <v>1.2499999999999999E-2</v>
      </c>
      <c r="D12" s="458">
        <v>15637.228256636963</v>
      </c>
      <c r="E12" s="458">
        <v>15225.308601402319</v>
      </c>
      <c r="F12" s="458">
        <v>14839.316925908865</v>
      </c>
      <c r="G12" s="458">
        <v>14476.879801928833</v>
      </c>
      <c r="H12" s="458">
        <v>14135.904907081405</v>
      </c>
      <c r="I12" s="458">
        <v>13814.540604384647</v>
      </c>
      <c r="J12" s="458">
        <v>13511.142301348926</v>
      </c>
      <c r="K12" s="458">
        <v>13224.244298068694</v>
      </c>
      <c r="L12" s="458">
        <v>12952.53610709749</v>
      </c>
      <c r="M12" s="458">
        <v>12694.842437773717</v>
      </c>
      <c r="N12" s="458">
        <v>12450.106200053815</v>
      </c>
    </row>
    <row r="13" spans="2:76">
      <c r="C13" s="521">
        <v>1.4999999999999999E-2</v>
      </c>
      <c r="D13" s="458">
        <v>16149.430929926497</v>
      </c>
      <c r="E13" s="458">
        <v>15704.741665125959</v>
      </c>
      <c r="F13" s="458">
        <v>15289.081119718088</v>
      </c>
      <c r="G13" s="458">
        <v>14899.696578799834</v>
      </c>
      <c r="H13" s="458">
        <v>14534.172707501051</v>
      </c>
      <c r="I13" s="458">
        <v>14190.381399899201</v>
      </c>
      <c r="J13" s="458">
        <v>13866.440315523589</v>
      </c>
      <c r="K13" s="458">
        <v>13560.678396958396</v>
      </c>
      <c r="L13" s="458">
        <v>13271.607034686886</v>
      </c>
      <c r="M13" s="458">
        <v>12997.89582884449</v>
      </c>
      <c r="N13" s="458">
        <v>12738.352115029056</v>
      </c>
    </row>
    <row r="14" spans="2:76">
      <c r="C14" s="521">
        <v>1.7499999999999998E-2</v>
      </c>
      <c r="D14" s="458">
        <v>16703.202827442343</v>
      </c>
      <c r="E14" s="458">
        <v>16221.672490010049</v>
      </c>
      <c r="F14" s="458">
        <v>15772.786527739696</v>
      </c>
      <c r="G14" s="458">
        <v>15353.334028780664</v>
      </c>
      <c r="H14" s="458">
        <v>14960.511816039801</v>
      </c>
      <c r="I14" s="458">
        <v>14591.861718757944</v>
      </c>
      <c r="J14" s="458">
        <v>14245.219079028031</v>
      </c>
      <c r="K14" s="458">
        <v>13918.670213701298</v>
      </c>
      <c r="L14" s="458">
        <v>13610.517065830491</v>
      </c>
      <c r="M14" s="458">
        <v>13319.247666834677</v>
      </c>
      <c r="N14" s="458">
        <v>13043.511324717743</v>
      </c>
    </row>
    <row r="15" spans="2:76">
      <c r="C15" s="521">
        <v>1.9999999999999997E-2</v>
      </c>
      <c r="D15" s="458">
        <v>17303.919279903403</v>
      </c>
      <c r="E15" s="458">
        <v>16780.772724039685</v>
      </c>
      <c r="F15" s="458">
        <v>16294.512622835735</v>
      </c>
      <c r="G15" s="458">
        <v>15841.370403393354</v>
      </c>
      <c r="H15" s="458">
        <v>15418.073951423583</v>
      </c>
      <c r="I15" s="458">
        <v>15021.768465672185</v>
      </c>
      <c r="J15" s="458">
        <v>14649.951985401192</v>
      </c>
      <c r="K15" s="458">
        <v>14300.422512383215</v>
      </c>
      <c r="L15" s="458">
        <v>13971.234365563436</v>
      </c>
      <c r="M15" s="458">
        <v>13660.661940843187</v>
      </c>
      <c r="N15" s="458">
        <v>13367.169450499259</v>
      </c>
    </row>
    <row r="16" spans="2:76">
      <c r="C16" s="521">
        <v>2.2499999999999999E-2</v>
      </c>
      <c r="D16" s="458">
        <v>17957.924146086072</v>
      </c>
      <c r="E16" s="458">
        <v>17387.52365956482</v>
      </c>
      <c r="F16" s="458">
        <v>16859.019925090655</v>
      </c>
      <c r="G16" s="458">
        <v>16367.960162134521</v>
      </c>
      <c r="H16" s="458">
        <v>15910.50099081163</v>
      </c>
      <c r="I16" s="458">
        <v>15483.307628768494</v>
      </c>
      <c r="J16" s="458">
        <v>15083.472456353638</v>
      </c>
      <c r="K16" s="458">
        <v>14708.448743138741</v>
      </c>
      <c r="L16" s="458">
        <v>14355.996341743734</v>
      </c>
      <c r="M16" s="458">
        <v>14024.136901469457</v>
      </c>
      <c r="N16" s="458">
        <v>13711.11671006</v>
      </c>
    </row>
    <row r="17" spans="3:14">
      <c r="C17" s="521">
        <v>2.4999999999999998E-2</v>
      </c>
      <c r="D17" s="458">
        <v>18672.758239252842</v>
      </c>
      <c r="E17" s="458">
        <v>18048.399576679942</v>
      </c>
      <c r="F17" s="458">
        <v>17471.898313488644</v>
      </c>
      <c r="G17" s="458">
        <v>16937.95482146327</v>
      </c>
      <c r="H17" s="458">
        <v>16442.024111874358</v>
      </c>
      <c r="I17" s="458">
        <v>15980.186131818207</v>
      </c>
      <c r="J17" s="458">
        <v>15549.04192291777</v>
      </c>
      <c r="K17" s="458">
        <v>15145.629819572434</v>
      </c>
      <c r="L17" s="458">
        <v>14767.357315523712</v>
      </c>
      <c r="M17" s="458">
        <v>14411.945284285375</v>
      </c>
      <c r="N17" s="458">
        <v>14077.38201677789</v>
      </c>
    </row>
    <row r="18" spans="3:14">
      <c r="C18" s="521">
        <v>2.7499999999999997E-2</v>
      </c>
      <c r="D18" s="458">
        <v>19457.455603015205</v>
      </c>
      <c r="E18" s="458">
        <v>18771.103271626525</v>
      </c>
      <c r="F18" s="458">
        <v>18139.755859907167</v>
      </c>
      <c r="G18" s="458">
        <v>17557.055550458546</v>
      </c>
      <c r="H18" s="458">
        <v>17017.588012968601</v>
      </c>
      <c r="I18" s="458">
        <v>16516.713650425394</v>
      </c>
      <c r="J18" s="458">
        <v>16050.433814718192</v>
      </c>
      <c r="K18" s="458">
        <v>15615.283819720509</v>
      </c>
      <c r="L18" s="458">
        <v>15208.246691925377</v>
      </c>
      <c r="M18" s="458">
        <v>14826.683115840338</v>
      </c>
      <c r="N18" s="458">
        <v>14468.274134151961</v>
      </c>
    </row>
    <row r="19" spans="3:14">
      <c r="C19" s="521">
        <v>0.03</v>
      </c>
      <c r="D19" s="458">
        <v>20322.932373403728</v>
      </c>
      <c r="E19" s="458">
        <v>19564.871962208061</v>
      </c>
      <c r="F19" s="458">
        <v>18870.461718643044</v>
      </c>
      <c r="G19" s="458">
        <v>18232.007688360238</v>
      </c>
      <c r="H19" s="458">
        <v>17643.007937936545</v>
      </c>
      <c r="I19" s="458">
        <v>17097.930313686349</v>
      </c>
      <c r="J19" s="458">
        <v>16592.038134847586</v>
      </c>
      <c r="K19" s="458">
        <v>16121.252177776309</v>
      </c>
      <c r="L19" s="458">
        <v>15682.04043161431</v>
      </c>
      <c r="M19" s="458">
        <v>15271.329317455027</v>
      </c>
      <c r="N19" s="458">
        <v>14886.431649038204</v>
      </c>
    </row>
    <row r="20" spans="3:14">
      <c r="C20" s="454"/>
    </row>
    <row r="21" spans="3:14">
      <c r="C21" s="454"/>
    </row>
    <row r="22" spans="3:14">
      <c r="C22" s="454"/>
    </row>
    <row r="23" spans="3:14">
      <c r="C23" s="454"/>
    </row>
    <row r="24" spans="3:14">
      <c r="C24" s="454"/>
    </row>
    <row r="25" spans="3:14">
      <c r="C25" s="454"/>
    </row>
    <row r="26" spans="3:14">
      <c r="C26" s="454"/>
    </row>
    <row r="27" spans="3:14">
      <c r="C27" s="454"/>
    </row>
    <row r="28" spans="3:14">
      <c r="C28" s="454"/>
    </row>
    <row r="29" spans="3:14">
      <c r="C29" s="454"/>
    </row>
    <row r="30" spans="3:14">
      <c r="C30" s="454"/>
    </row>
    <row r="31" spans="3:14">
      <c r="C31" s="454"/>
    </row>
    <row r="32" spans="3:14">
      <c r="C32" s="454"/>
    </row>
    <row r="33" spans="3:3">
      <c r="C33" s="454"/>
    </row>
    <row r="34" spans="3:3">
      <c r="C34" s="454"/>
    </row>
    <row r="35" spans="3:3">
      <c r="C35" s="454"/>
    </row>
    <row r="36" spans="3:3">
      <c r="C36" s="454"/>
    </row>
    <row r="37" spans="3:3">
      <c r="C37" s="454"/>
    </row>
    <row r="38" spans="3:3">
      <c r="C38" s="454"/>
    </row>
    <row r="39" spans="3:3">
      <c r="C39" s="454"/>
    </row>
    <row r="40" spans="3:3">
      <c r="C40" s="454"/>
    </row>
    <row r="41" spans="3:3">
      <c r="C41" s="454"/>
    </row>
    <row r="42" spans="3:3">
      <c r="C42" s="454"/>
    </row>
    <row r="43" spans="3:3">
      <c r="C43" s="454"/>
    </row>
    <row r="44" spans="3:3">
      <c r="C44" s="454"/>
    </row>
    <row r="45" spans="3:3">
      <c r="C45" s="454"/>
    </row>
    <row r="46" spans="3:3">
      <c r="C46" s="454"/>
    </row>
    <row r="47" spans="3:3">
      <c r="C47" s="454"/>
    </row>
    <row r="48" spans="3:3">
      <c r="C48" s="454"/>
    </row>
    <row r="49" spans="3:3">
      <c r="C49" s="454"/>
    </row>
    <row r="50" spans="3:3">
      <c r="C50" s="454"/>
    </row>
    <row r="51" spans="3:3">
      <c r="C51" s="454"/>
    </row>
    <row r="52" spans="3:3">
      <c r="C52" s="454"/>
    </row>
    <row r="53" spans="3:3">
      <c r="C53" s="454"/>
    </row>
    <row r="54" spans="3:3">
      <c r="C54" s="454"/>
    </row>
    <row r="55" spans="3:3">
      <c r="C55" s="454"/>
    </row>
    <row r="56" spans="3:3">
      <c r="C56" s="454"/>
    </row>
    <row r="57" spans="3:3">
      <c r="C57" s="454"/>
    </row>
    <row r="58" spans="3:3">
      <c r="C58" s="454"/>
    </row>
    <row r="59" spans="3:3">
      <c r="C59" s="454"/>
    </row>
    <row r="60" spans="3:3">
      <c r="C60" s="454"/>
    </row>
    <row r="61" spans="3:3">
      <c r="C61" s="454"/>
    </row>
    <row r="62" spans="3:3">
      <c r="C62" s="454"/>
    </row>
    <row r="63" spans="3:3">
      <c r="C63" s="454"/>
    </row>
    <row r="64" spans="3:3">
      <c r="C64" s="454"/>
    </row>
    <row r="65" spans="3:3">
      <c r="C65" s="454"/>
    </row>
    <row r="66" spans="3:3">
      <c r="C66" s="454"/>
    </row>
    <row r="67" spans="3:3">
      <c r="C67" s="454"/>
    </row>
    <row r="68" spans="3:3">
      <c r="C68" s="454"/>
    </row>
    <row r="69" spans="3:3">
      <c r="C69" s="454"/>
    </row>
    <row r="70" spans="3:3">
      <c r="C70" s="454"/>
    </row>
    <row r="71" spans="3:3">
      <c r="C71" s="454"/>
    </row>
    <row r="72" spans="3:3">
      <c r="C72" s="454"/>
    </row>
    <row r="73" spans="3:3">
      <c r="C73" s="454"/>
    </row>
    <row r="74" spans="3:3">
      <c r="C74" s="454"/>
    </row>
    <row r="75" spans="3:3">
      <c r="C75" s="454"/>
    </row>
    <row r="76" spans="3:3">
      <c r="C76" s="454"/>
    </row>
    <row r="77" spans="3:3">
      <c r="C77" s="454"/>
    </row>
  </sheetData>
  <mergeCells count="7">
    <mergeCell ref="C6:D6"/>
    <mergeCell ref="N6:P6"/>
    <mergeCell ref="B2:Q2"/>
    <mergeCell ref="C4:D4"/>
    <mergeCell ref="F4:H4"/>
    <mergeCell ref="C5:D5"/>
    <mergeCell ref="N5:P5"/>
  </mergeCells>
  <pageMargins left="0.75" right="0.75" top="1" bottom="1" header="0.5" footer="0.5"/>
  <pageSetup scale="37" fitToHeight="5"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
  <sheetViews>
    <sheetView workbookViewId="0">
      <selection activeCell="I8" sqref="I8"/>
    </sheetView>
  </sheetViews>
  <sheetFormatPr baseColWidth="10" defaultColWidth="9" defaultRowHeight="12"/>
  <cols>
    <col min="1" max="1" width="2.375" style="406" customWidth="1"/>
    <col min="2" max="13" width="9" style="406"/>
    <col min="14" max="14" width="13.75" style="406" customWidth="1"/>
    <col min="15" max="256" width="9" style="406"/>
    <col min="257" max="257" width="2.375" style="406" customWidth="1"/>
    <col min="258" max="269" width="9" style="406"/>
    <col min="270" max="270" width="13.75" style="406" customWidth="1"/>
    <col min="271" max="512" width="9" style="406"/>
    <col min="513" max="513" width="2.375" style="406" customWidth="1"/>
    <col min="514" max="525" width="9" style="406"/>
    <col min="526" max="526" width="13.75" style="406" customWidth="1"/>
    <col min="527" max="768" width="9" style="406"/>
    <col min="769" max="769" width="2.375" style="406" customWidth="1"/>
    <col min="770" max="781" width="9" style="406"/>
    <col min="782" max="782" width="13.75" style="406" customWidth="1"/>
    <col min="783" max="1024" width="9" style="406"/>
    <col min="1025" max="1025" width="2.375" style="406" customWidth="1"/>
    <col min="1026" max="1037" width="9" style="406"/>
    <col min="1038" max="1038" width="13.75" style="406" customWidth="1"/>
    <col min="1039" max="1280" width="9" style="406"/>
    <col min="1281" max="1281" width="2.375" style="406" customWidth="1"/>
    <col min="1282" max="1293" width="9" style="406"/>
    <col min="1294" max="1294" width="13.75" style="406" customWidth="1"/>
    <col min="1295" max="1536" width="9" style="406"/>
    <col min="1537" max="1537" width="2.375" style="406" customWidth="1"/>
    <col min="1538" max="1549" width="9" style="406"/>
    <col min="1550" max="1550" width="13.75" style="406" customWidth="1"/>
    <col min="1551" max="1792" width="9" style="406"/>
    <col min="1793" max="1793" width="2.375" style="406" customWidth="1"/>
    <col min="1794" max="1805" width="9" style="406"/>
    <col min="1806" max="1806" width="13.75" style="406" customWidth="1"/>
    <col min="1807" max="2048" width="9" style="406"/>
    <col min="2049" max="2049" width="2.375" style="406" customWidth="1"/>
    <col min="2050" max="2061" width="9" style="406"/>
    <col min="2062" max="2062" width="13.75" style="406" customWidth="1"/>
    <col min="2063" max="2304" width="9" style="406"/>
    <col min="2305" max="2305" width="2.375" style="406" customWidth="1"/>
    <col min="2306" max="2317" width="9" style="406"/>
    <col min="2318" max="2318" width="13.75" style="406" customWidth="1"/>
    <col min="2319" max="2560" width="9" style="406"/>
    <col min="2561" max="2561" width="2.375" style="406" customWidth="1"/>
    <col min="2562" max="2573" width="9" style="406"/>
    <col min="2574" max="2574" width="13.75" style="406" customWidth="1"/>
    <col min="2575" max="2816" width="9" style="406"/>
    <col min="2817" max="2817" width="2.375" style="406" customWidth="1"/>
    <col min="2818" max="2829" width="9" style="406"/>
    <col min="2830" max="2830" width="13.75" style="406" customWidth="1"/>
    <col min="2831" max="3072" width="9" style="406"/>
    <col min="3073" max="3073" width="2.375" style="406" customWidth="1"/>
    <col min="3074" max="3085" width="9" style="406"/>
    <col min="3086" max="3086" width="13.75" style="406" customWidth="1"/>
    <col min="3087" max="3328" width="9" style="406"/>
    <col min="3329" max="3329" width="2.375" style="406" customWidth="1"/>
    <col min="3330" max="3341" width="9" style="406"/>
    <col min="3342" max="3342" width="13.75" style="406" customWidth="1"/>
    <col min="3343" max="3584" width="9" style="406"/>
    <col min="3585" max="3585" width="2.375" style="406" customWidth="1"/>
    <col min="3586" max="3597" width="9" style="406"/>
    <col min="3598" max="3598" width="13.75" style="406" customWidth="1"/>
    <col min="3599" max="3840" width="9" style="406"/>
    <col min="3841" max="3841" width="2.375" style="406" customWidth="1"/>
    <col min="3842" max="3853" width="9" style="406"/>
    <col min="3854" max="3854" width="13.75" style="406" customWidth="1"/>
    <col min="3855" max="4096" width="9" style="406"/>
    <col min="4097" max="4097" width="2.375" style="406" customWidth="1"/>
    <col min="4098" max="4109" width="9" style="406"/>
    <col min="4110" max="4110" width="13.75" style="406" customWidth="1"/>
    <col min="4111" max="4352" width="9" style="406"/>
    <col min="4353" max="4353" width="2.375" style="406" customWidth="1"/>
    <col min="4354" max="4365" width="9" style="406"/>
    <col min="4366" max="4366" width="13.75" style="406" customWidth="1"/>
    <col min="4367" max="4608" width="9" style="406"/>
    <col min="4609" max="4609" width="2.375" style="406" customWidth="1"/>
    <col min="4610" max="4621" width="9" style="406"/>
    <col min="4622" max="4622" width="13.75" style="406" customWidth="1"/>
    <col min="4623" max="4864" width="9" style="406"/>
    <col min="4865" max="4865" width="2.375" style="406" customWidth="1"/>
    <col min="4866" max="4877" width="9" style="406"/>
    <col min="4878" max="4878" width="13.75" style="406" customWidth="1"/>
    <col min="4879" max="5120" width="9" style="406"/>
    <col min="5121" max="5121" width="2.375" style="406" customWidth="1"/>
    <col min="5122" max="5133" width="9" style="406"/>
    <col min="5134" max="5134" width="13.75" style="406" customWidth="1"/>
    <col min="5135" max="5376" width="9" style="406"/>
    <col min="5377" max="5377" width="2.375" style="406" customWidth="1"/>
    <col min="5378" max="5389" width="9" style="406"/>
    <col min="5390" max="5390" width="13.75" style="406" customWidth="1"/>
    <col min="5391" max="5632" width="9" style="406"/>
    <col min="5633" max="5633" width="2.375" style="406" customWidth="1"/>
    <col min="5634" max="5645" width="9" style="406"/>
    <col min="5646" max="5646" width="13.75" style="406" customWidth="1"/>
    <col min="5647" max="5888" width="9" style="406"/>
    <col min="5889" max="5889" width="2.375" style="406" customWidth="1"/>
    <col min="5890" max="5901" width="9" style="406"/>
    <col min="5902" max="5902" width="13.75" style="406" customWidth="1"/>
    <col min="5903" max="6144" width="9" style="406"/>
    <col min="6145" max="6145" width="2.375" style="406" customWidth="1"/>
    <col min="6146" max="6157" width="9" style="406"/>
    <col min="6158" max="6158" width="13.75" style="406" customWidth="1"/>
    <col min="6159" max="6400" width="9" style="406"/>
    <col min="6401" max="6401" width="2.375" style="406" customWidth="1"/>
    <col min="6402" max="6413" width="9" style="406"/>
    <col min="6414" max="6414" width="13.75" style="406" customWidth="1"/>
    <col min="6415" max="6656" width="9" style="406"/>
    <col min="6657" max="6657" width="2.375" style="406" customWidth="1"/>
    <col min="6658" max="6669" width="9" style="406"/>
    <col min="6670" max="6670" width="13.75" style="406" customWidth="1"/>
    <col min="6671" max="6912" width="9" style="406"/>
    <col min="6913" max="6913" width="2.375" style="406" customWidth="1"/>
    <col min="6914" max="6925" width="9" style="406"/>
    <col min="6926" max="6926" width="13.75" style="406" customWidth="1"/>
    <col min="6927" max="7168" width="9" style="406"/>
    <col min="7169" max="7169" width="2.375" style="406" customWidth="1"/>
    <col min="7170" max="7181" width="9" style="406"/>
    <col min="7182" max="7182" width="13.75" style="406" customWidth="1"/>
    <col min="7183" max="7424" width="9" style="406"/>
    <col min="7425" max="7425" width="2.375" style="406" customWidth="1"/>
    <col min="7426" max="7437" width="9" style="406"/>
    <col min="7438" max="7438" width="13.75" style="406" customWidth="1"/>
    <col min="7439" max="7680" width="9" style="406"/>
    <col min="7681" max="7681" width="2.375" style="406" customWidth="1"/>
    <col min="7682" max="7693" width="9" style="406"/>
    <col min="7694" max="7694" width="13.75" style="406" customWidth="1"/>
    <col min="7695" max="7936" width="9" style="406"/>
    <col min="7937" max="7937" width="2.375" style="406" customWidth="1"/>
    <col min="7938" max="7949" width="9" style="406"/>
    <col min="7950" max="7950" width="13.75" style="406" customWidth="1"/>
    <col min="7951" max="8192" width="9" style="406"/>
    <col min="8193" max="8193" width="2.375" style="406" customWidth="1"/>
    <col min="8194" max="8205" width="9" style="406"/>
    <col min="8206" max="8206" width="13.75" style="406" customWidth="1"/>
    <col min="8207" max="8448" width="9" style="406"/>
    <col min="8449" max="8449" width="2.375" style="406" customWidth="1"/>
    <col min="8450" max="8461" width="9" style="406"/>
    <col min="8462" max="8462" width="13.75" style="406" customWidth="1"/>
    <col min="8463" max="8704" width="9" style="406"/>
    <col min="8705" max="8705" width="2.375" style="406" customWidth="1"/>
    <col min="8706" max="8717" width="9" style="406"/>
    <col min="8718" max="8718" width="13.75" style="406" customWidth="1"/>
    <col min="8719" max="8960" width="9" style="406"/>
    <col min="8961" max="8961" width="2.375" style="406" customWidth="1"/>
    <col min="8962" max="8973" width="9" style="406"/>
    <col min="8974" max="8974" width="13.75" style="406" customWidth="1"/>
    <col min="8975" max="9216" width="9" style="406"/>
    <col min="9217" max="9217" width="2.375" style="406" customWidth="1"/>
    <col min="9218" max="9229" width="9" style="406"/>
    <col min="9230" max="9230" width="13.75" style="406" customWidth="1"/>
    <col min="9231" max="9472" width="9" style="406"/>
    <col min="9473" max="9473" width="2.375" style="406" customWidth="1"/>
    <col min="9474" max="9485" width="9" style="406"/>
    <col min="9486" max="9486" width="13.75" style="406" customWidth="1"/>
    <col min="9487" max="9728" width="9" style="406"/>
    <col min="9729" max="9729" width="2.375" style="406" customWidth="1"/>
    <col min="9730" max="9741" width="9" style="406"/>
    <col min="9742" max="9742" width="13.75" style="406" customWidth="1"/>
    <col min="9743" max="9984" width="9" style="406"/>
    <col min="9985" max="9985" width="2.375" style="406" customWidth="1"/>
    <col min="9986" max="9997" width="9" style="406"/>
    <col min="9998" max="9998" width="13.75" style="406" customWidth="1"/>
    <col min="9999" max="10240" width="9" style="406"/>
    <col min="10241" max="10241" width="2.375" style="406" customWidth="1"/>
    <col min="10242" max="10253" width="9" style="406"/>
    <col min="10254" max="10254" width="13.75" style="406" customWidth="1"/>
    <col min="10255" max="10496" width="9" style="406"/>
    <col min="10497" max="10497" width="2.375" style="406" customWidth="1"/>
    <col min="10498" max="10509" width="9" style="406"/>
    <col min="10510" max="10510" width="13.75" style="406" customWidth="1"/>
    <col min="10511" max="10752" width="9" style="406"/>
    <col min="10753" max="10753" width="2.375" style="406" customWidth="1"/>
    <col min="10754" max="10765" width="9" style="406"/>
    <col min="10766" max="10766" width="13.75" style="406" customWidth="1"/>
    <col min="10767" max="11008" width="9" style="406"/>
    <col min="11009" max="11009" width="2.375" style="406" customWidth="1"/>
    <col min="11010" max="11021" width="9" style="406"/>
    <col min="11022" max="11022" width="13.75" style="406" customWidth="1"/>
    <col min="11023" max="11264" width="9" style="406"/>
    <col min="11265" max="11265" width="2.375" style="406" customWidth="1"/>
    <col min="11266" max="11277" width="9" style="406"/>
    <col min="11278" max="11278" width="13.75" style="406" customWidth="1"/>
    <col min="11279" max="11520" width="9" style="406"/>
    <col min="11521" max="11521" width="2.375" style="406" customWidth="1"/>
    <col min="11522" max="11533" width="9" style="406"/>
    <col min="11534" max="11534" width="13.75" style="406" customWidth="1"/>
    <col min="11535" max="11776" width="9" style="406"/>
    <col min="11777" max="11777" width="2.375" style="406" customWidth="1"/>
    <col min="11778" max="11789" width="9" style="406"/>
    <col min="11790" max="11790" width="13.75" style="406" customWidth="1"/>
    <col min="11791" max="12032" width="9" style="406"/>
    <col min="12033" max="12033" width="2.375" style="406" customWidth="1"/>
    <col min="12034" max="12045" width="9" style="406"/>
    <col min="12046" max="12046" width="13.75" style="406" customWidth="1"/>
    <col min="12047" max="12288" width="9" style="406"/>
    <col min="12289" max="12289" width="2.375" style="406" customWidth="1"/>
    <col min="12290" max="12301" width="9" style="406"/>
    <col min="12302" max="12302" width="13.75" style="406" customWidth="1"/>
    <col min="12303" max="12544" width="9" style="406"/>
    <col min="12545" max="12545" width="2.375" style="406" customWidth="1"/>
    <col min="12546" max="12557" width="9" style="406"/>
    <col min="12558" max="12558" width="13.75" style="406" customWidth="1"/>
    <col min="12559" max="12800" width="9" style="406"/>
    <col min="12801" max="12801" width="2.375" style="406" customWidth="1"/>
    <col min="12802" max="12813" width="9" style="406"/>
    <col min="12814" max="12814" width="13.75" style="406" customWidth="1"/>
    <col min="12815" max="13056" width="9" style="406"/>
    <col min="13057" max="13057" width="2.375" style="406" customWidth="1"/>
    <col min="13058" max="13069" width="9" style="406"/>
    <col min="13070" max="13070" width="13.75" style="406" customWidth="1"/>
    <col min="13071" max="13312" width="9" style="406"/>
    <col min="13313" max="13313" width="2.375" style="406" customWidth="1"/>
    <col min="13314" max="13325" width="9" style="406"/>
    <col min="13326" max="13326" width="13.75" style="406" customWidth="1"/>
    <col min="13327" max="13568" width="9" style="406"/>
    <col min="13569" max="13569" width="2.375" style="406" customWidth="1"/>
    <col min="13570" max="13581" width="9" style="406"/>
    <col min="13582" max="13582" width="13.75" style="406" customWidth="1"/>
    <col min="13583" max="13824" width="9" style="406"/>
    <col min="13825" max="13825" width="2.375" style="406" customWidth="1"/>
    <col min="13826" max="13837" width="9" style="406"/>
    <col min="13838" max="13838" width="13.75" style="406" customWidth="1"/>
    <col min="13839" max="14080" width="9" style="406"/>
    <col min="14081" max="14081" width="2.375" style="406" customWidth="1"/>
    <col min="14082" max="14093" width="9" style="406"/>
    <col min="14094" max="14094" width="13.75" style="406" customWidth="1"/>
    <col min="14095" max="14336" width="9" style="406"/>
    <col min="14337" max="14337" width="2.375" style="406" customWidth="1"/>
    <col min="14338" max="14349" width="9" style="406"/>
    <col min="14350" max="14350" width="13.75" style="406" customWidth="1"/>
    <col min="14351" max="14592" width="9" style="406"/>
    <col min="14593" max="14593" width="2.375" style="406" customWidth="1"/>
    <col min="14594" max="14605" width="9" style="406"/>
    <col min="14606" max="14606" width="13.75" style="406" customWidth="1"/>
    <col min="14607" max="14848" width="9" style="406"/>
    <col min="14849" max="14849" width="2.375" style="406" customWidth="1"/>
    <col min="14850" max="14861" width="9" style="406"/>
    <col min="14862" max="14862" width="13.75" style="406" customWidth="1"/>
    <col min="14863" max="15104" width="9" style="406"/>
    <col min="15105" max="15105" width="2.375" style="406" customWidth="1"/>
    <col min="15106" max="15117" width="9" style="406"/>
    <col min="15118" max="15118" width="13.75" style="406" customWidth="1"/>
    <col min="15119" max="15360" width="9" style="406"/>
    <col min="15361" max="15361" width="2.375" style="406" customWidth="1"/>
    <col min="15362" max="15373" width="9" style="406"/>
    <col min="15374" max="15374" width="13.75" style="406" customWidth="1"/>
    <col min="15375" max="15616" width="9" style="406"/>
    <col min="15617" max="15617" width="2.375" style="406" customWidth="1"/>
    <col min="15618" max="15629" width="9" style="406"/>
    <col min="15630" max="15630" width="13.75" style="406" customWidth="1"/>
    <col min="15631" max="15872" width="9" style="406"/>
    <col min="15873" max="15873" width="2.375" style="406" customWidth="1"/>
    <col min="15874" max="15885" width="9" style="406"/>
    <col min="15886" max="15886" width="13.75" style="406" customWidth="1"/>
    <col min="15887" max="16128" width="9" style="406"/>
    <col min="16129" max="16129" width="2.375" style="406" customWidth="1"/>
    <col min="16130" max="16141" width="9" style="406"/>
    <col min="16142" max="16142" width="13.75" style="406" customWidth="1"/>
    <col min="16143" max="16384" width="9" style="406"/>
  </cols>
  <sheetData>
    <row r="1" spans="2:14" ht="24.95" customHeight="1">
      <c r="B1" s="649" t="s">
        <v>1393</v>
      </c>
      <c r="C1" s="649"/>
      <c r="D1" s="649"/>
      <c r="E1" s="649"/>
      <c r="F1" s="649"/>
      <c r="G1" s="649"/>
      <c r="H1" s="649"/>
      <c r="I1" s="649"/>
      <c r="J1" s="649"/>
      <c r="K1" s="649"/>
      <c r="L1" s="649"/>
      <c r="M1" s="649"/>
      <c r="N1" s="649"/>
    </row>
    <row r="3" spans="2:14" ht="15.75" thickBot="1">
      <c r="B3" s="650" t="s">
        <v>1394</v>
      </c>
      <c r="C3" s="650"/>
      <c r="D3" s="650"/>
      <c r="E3" s="650"/>
      <c r="F3" s="650"/>
      <c r="G3" s="650"/>
      <c r="H3" s="650"/>
      <c r="I3" s="650"/>
      <c r="J3" s="650"/>
      <c r="K3" s="650"/>
      <c r="L3" s="650"/>
      <c r="M3" s="650"/>
      <c r="N3" s="650"/>
    </row>
    <row r="4" spans="2:14" ht="12.75" thickTop="1"/>
    <row r="5" spans="2:14" ht="72.75" customHeight="1">
      <c r="B5" s="665" t="s">
        <v>1395</v>
      </c>
      <c r="C5" s="665"/>
      <c r="D5" s="665"/>
      <c r="E5" s="665"/>
      <c r="F5" s="665"/>
      <c r="G5" s="665"/>
      <c r="H5" s="665"/>
      <c r="I5" s="665"/>
      <c r="J5" s="665"/>
      <c r="K5" s="665"/>
      <c r="L5" s="665"/>
      <c r="M5" s="665"/>
      <c r="N5" s="665"/>
    </row>
    <row r="6" spans="2:14" ht="62.25" customHeight="1">
      <c r="B6" s="665" t="s">
        <v>1396</v>
      </c>
      <c r="C6" s="665"/>
      <c r="D6" s="665"/>
      <c r="E6" s="665"/>
      <c r="F6" s="665"/>
      <c r="G6" s="665"/>
      <c r="H6" s="665"/>
      <c r="I6" s="665"/>
      <c r="J6" s="665"/>
      <c r="K6" s="665"/>
      <c r="L6" s="665"/>
      <c r="M6" s="665"/>
      <c r="N6" s="665"/>
    </row>
  </sheetData>
  <mergeCells count="4">
    <mergeCell ref="B1:N1"/>
    <mergeCell ref="B3:N3"/>
    <mergeCell ref="B5:N5"/>
    <mergeCell ref="B6:N6"/>
  </mergeCells>
  <pageMargins left="0.75" right="0.75" top="1" bottom="1" header="0.5" footer="0.5"/>
  <pageSetup scale="69" fitToHeight="10"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VZ123"/>
  <sheetViews>
    <sheetView showGridLines="0" topLeftCell="A11" workbookViewId="0">
      <selection activeCell="P31" sqref="P31"/>
    </sheetView>
  </sheetViews>
  <sheetFormatPr baseColWidth="10" defaultColWidth="0" defaultRowHeight="15" customHeight="1" zeroHeight="1"/>
  <cols>
    <col min="1" max="1" width="12.875" style="506" customWidth="1"/>
    <col min="2" max="2" width="10.625" style="506" customWidth="1"/>
    <col min="3" max="14" width="8" style="506" customWidth="1"/>
    <col min="15" max="15" width="17.25" style="506" bestFit="1" customWidth="1"/>
    <col min="16" max="16" width="18.75" style="506" customWidth="1"/>
    <col min="17" max="17" width="4.875" style="506" customWidth="1"/>
    <col min="18" max="18" width="6.5" style="506" customWidth="1"/>
    <col min="19" max="256" width="8" style="506" hidden="1"/>
    <col min="257" max="257" width="12.875" style="506" customWidth="1"/>
    <col min="258" max="258" width="10.625" style="506" customWidth="1"/>
    <col min="259" max="270" width="8" style="506" customWidth="1"/>
    <col min="271" max="271" width="17.25" style="506" bestFit="1" customWidth="1"/>
    <col min="272" max="272" width="18.75" style="506" customWidth="1"/>
    <col min="273" max="273" width="4.875" style="506" customWidth="1"/>
    <col min="274" max="274" width="6.5" style="506" customWidth="1"/>
    <col min="275" max="512" width="8" style="506" hidden="1"/>
    <col min="513" max="513" width="12.875" style="506" customWidth="1"/>
    <col min="514" max="514" width="10.625" style="506" customWidth="1"/>
    <col min="515" max="526" width="8" style="506" customWidth="1"/>
    <col min="527" max="527" width="17.25" style="506" bestFit="1" customWidth="1"/>
    <col min="528" max="528" width="18.75" style="506" customWidth="1"/>
    <col min="529" max="529" width="4.875" style="506" customWidth="1"/>
    <col min="530" max="530" width="6.5" style="506" customWidth="1"/>
    <col min="531" max="768" width="8" style="506" hidden="1"/>
    <col min="769" max="769" width="12.875" style="506" customWidth="1"/>
    <col min="770" max="770" width="10.625" style="506" customWidth="1"/>
    <col min="771" max="782" width="8" style="506" customWidth="1"/>
    <col min="783" max="783" width="17.25" style="506" bestFit="1" customWidth="1"/>
    <col min="784" max="784" width="18.75" style="506" customWidth="1"/>
    <col min="785" max="785" width="4.875" style="506" customWidth="1"/>
    <col min="786" max="786" width="6.5" style="506" customWidth="1"/>
    <col min="787" max="1024" width="8" style="506" hidden="1"/>
    <col min="1025" max="1025" width="12.875" style="506" customWidth="1"/>
    <col min="1026" max="1026" width="10.625" style="506" customWidth="1"/>
    <col min="1027" max="1038" width="8" style="506" customWidth="1"/>
    <col min="1039" max="1039" width="17.25" style="506" bestFit="1" customWidth="1"/>
    <col min="1040" max="1040" width="18.75" style="506" customWidth="1"/>
    <col min="1041" max="1041" width="4.875" style="506" customWidth="1"/>
    <col min="1042" max="1042" width="6.5" style="506" customWidth="1"/>
    <col min="1043" max="1280" width="8" style="506" hidden="1"/>
    <col min="1281" max="1281" width="12.875" style="506" customWidth="1"/>
    <col min="1282" max="1282" width="10.625" style="506" customWidth="1"/>
    <col min="1283" max="1294" width="8" style="506" customWidth="1"/>
    <col min="1295" max="1295" width="17.25" style="506" bestFit="1" customWidth="1"/>
    <col min="1296" max="1296" width="18.75" style="506" customWidth="1"/>
    <col min="1297" max="1297" width="4.875" style="506" customWidth="1"/>
    <col min="1298" max="1298" width="6.5" style="506" customWidth="1"/>
    <col min="1299" max="1536" width="8" style="506" hidden="1"/>
    <col min="1537" max="1537" width="12.875" style="506" customWidth="1"/>
    <col min="1538" max="1538" width="10.625" style="506" customWidth="1"/>
    <col min="1539" max="1550" width="8" style="506" customWidth="1"/>
    <col min="1551" max="1551" width="17.25" style="506" bestFit="1" customWidth="1"/>
    <col min="1552" max="1552" width="18.75" style="506" customWidth="1"/>
    <col min="1553" max="1553" width="4.875" style="506" customWidth="1"/>
    <col min="1554" max="1554" width="6.5" style="506" customWidth="1"/>
    <col min="1555" max="1792" width="8" style="506" hidden="1"/>
    <col min="1793" max="1793" width="12.875" style="506" customWidth="1"/>
    <col min="1794" max="1794" width="10.625" style="506" customWidth="1"/>
    <col min="1795" max="1806" width="8" style="506" customWidth="1"/>
    <col min="1807" max="1807" width="17.25" style="506" bestFit="1" customWidth="1"/>
    <col min="1808" max="1808" width="18.75" style="506" customWidth="1"/>
    <col min="1809" max="1809" width="4.875" style="506" customWidth="1"/>
    <col min="1810" max="1810" width="6.5" style="506" customWidth="1"/>
    <col min="1811" max="2048" width="8" style="506" hidden="1"/>
    <col min="2049" max="2049" width="12.875" style="506" customWidth="1"/>
    <col min="2050" max="2050" width="10.625" style="506" customWidth="1"/>
    <col min="2051" max="2062" width="8" style="506" customWidth="1"/>
    <col min="2063" max="2063" width="17.25" style="506" bestFit="1" customWidth="1"/>
    <col min="2064" max="2064" width="18.75" style="506" customWidth="1"/>
    <col min="2065" max="2065" width="4.875" style="506" customWidth="1"/>
    <col min="2066" max="2066" width="6.5" style="506" customWidth="1"/>
    <col min="2067" max="2304" width="8" style="506" hidden="1"/>
    <col min="2305" max="2305" width="12.875" style="506" customWidth="1"/>
    <col min="2306" max="2306" width="10.625" style="506" customWidth="1"/>
    <col min="2307" max="2318" width="8" style="506" customWidth="1"/>
    <col min="2319" max="2319" width="17.25" style="506" bestFit="1" customWidth="1"/>
    <col min="2320" max="2320" width="18.75" style="506" customWidth="1"/>
    <col min="2321" max="2321" width="4.875" style="506" customWidth="1"/>
    <col min="2322" max="2322" width="6.5" style="506" customWidth="1"/>
    <col min="2323" max="2560" width="8" style="506" hidden="1"/>
    <col min="2561" max="2561" width="12.875" style="506" customWidth="1"/>
    <col min="2562" max="2562" width="10.625" style="506" customWidth="1"/>
    <col min="2563" max="2574" width="8" style="506" customWidth="1"/>
    <col min="2575" max="2575" width="17.25" style="506" bestFit="1" customWidth="1"/>
    <col min="2576" max="2576" width="18.75" style="506" customWidth="1"/>
    <col min="2577" max="2577" width="4.875" style="506" customWidth="1"/>
    <col min="2578" max="2578" width="6.5" style="506" customWidth="1"/>
    <col min="2579" max="2816" width="8" style="506" hidden="1"/>
    <col min="2817" max="2817" width="12.875" style="506" customWidth="1"/>
    <col min="2818" max="2818" width="10.625" style="506" customWidth="1"/>
    <col min="2819" max="2830" width="8" style="506" customWidth="1"/>
    <col min="2831" max="2831" width="17.25" style="506" bestFit="1" customWidth="1"/>
    <col min="2832" max="2832" width="18.75" style="506" customWidth="1"/>
    <col min="2833" max="2833" width="4.875" style="506" customWidth="1"/>
    <col min="2834" max="2834" width="6.5" style="506" customWidth="1"/>
    <col min="2835" max="3072" width="8" style="506" hidden="1"/>
    <col min="3073" max="3073" width="12.875" style="506" customWidth="1"/>
    <col min="3074" max="3074" width="10.625" style="506" customWidth="1"/>
    <col min="3075" max="3086" width="8" style="506" customWidth="1"/>
    <col min="3087" max="3087" width="17.25" style="506" bestFit="1" customWidth="1"/>
    <col min="3088" max="3088" width="18.75" style="506" customWidth="1"/>
    <col min="3089" max="3089" width="4.875" style="506" customWidth="1"/>
    <col min="3090" max="3090" width="6.5" style="506" customWidth="1"/>
    <col min="3091" max="3328" width="8" style="506" hidden="1"/>
    <col min="3329" max="3329" width="12.875" style="506" customWidth="1"/>
    <col min="3330" max="3330" width="10.625" style="506" customWidth="1"/>
    <col min="3331" max="3342" width="8" style="506" customWidth="1"/>
    <col min="3343" max="3343" width="17.25" style="506" bestFit="1" customWidth="1"/>
    <col min="3344" max="3344" width="18.75" style="506" customWidth="1"/>
    <col min="3345" max="3345" width="4.875" style="506" customWidth="1"/>
    <col min="3346" max="3346" width="6.5" style="506" customWidth="1"/>
    <col min="3347" max="3584" width="8" style="506" hidden="1"/>
    <col min="3585" max="3585" width="12.875" style="506" customWidth="1"/>
    <col min="3586" max="3586" width="10.625" style="506" customWidth="1"/>
    <col min="3587" max="3598" width="8" style="506" customWidth="1"/>
    <col min="3599" max="3599" width="17.25" style="506" bestFit="1" customWidth="1"/>
    <col min="3600" max="3600" width="18.75" style="506" customWidth="1"/>
    <col min="3601" max="3601" width="4.875" style="506" customWidth="1"/>
    <col min="3602" max="3602" width="6.5" style="506" customWidth="1"/>
    <col min="3603" max="3840" width="8" style="506" hidden="1"/>
    <col min="3841" max="3841" width="12.875" style="506" customWidth="1"/>
    <col min="3842" max="3842" width="10.625" style="506" customWidth="1"/>
    <col min="3843" max="3854" width="8" style="506" customWidth="1"/>
    <col min="3855" max="3855" width="17.25" style="506" bestFit="1" customWidth="1"/>
    <col min="3856" max="3856" width="18.75" style="506" customWidth="1"/>
    <col min="3857" max="3857" width="4.875" style="506" customWidth="1"/>
    <col min="3858" max="3858" width="6.5" style="506" customWidth="1"/>
    <col min="3859" max="4096" width="8" style="506" hidden="1"/>
    <col min="4097" max="4097" width="12.875" style="506" customWidth="1"/>
    <col min="4098" max="4098" width="10.625" style="506" customWidth="1"/>
    <col min="4099" max="4110" width="8" style="506" customWidth="1"/>
    <col min="4111" max="4111" width="17.25" style="506" bestFit="1" customWidth="1"/>
    <col min="4112" max="4112" width="18.75" style="506" customWidth="1"/>
    <col min="4113" max="4113" width="4.875" style="506" customWidth="1"/>
    <col min="4114" max="4114" width="6.5" style="506" customWidth="1"/>
    <col min="4115" max="4352" width="8" style="506" hidden="1"/>
    <col min="4353" max="4353" width="12.875" style="506" customWidth="1"/>
    <col min="4354" max="4354" width="10.625" style="506" customWidth="1"/>
    <col min="4355" max="4366" width="8" style="506" customWidth="1"/>
    <col min="4367" max="4367" width="17.25" style="506" bestFit="1" customWidth="1"/>
    <col min="4368" max="4368" width="18.75" style="506" customWidth="1"/>
    <col min="4369" max="4369" width="4.875" style="506" customWidth="1"/>
    <col min="4370" max="4370" width="6.5" style="506" customWidth="1"/>
    <col min="4371" max="4608" width="8" style="506" hidden="1"/>
    <col min="4609" max="4609" width="12.875" style="506" customWidth="1"/>
    <col min="4610" max="4610" width="10.625" style="506" customWidth="1"/>
    <col min="4611" max="4622" width="8" style="506" customWidth="1"/>
    <col min="4623" max="4623" width="17.25" style="506" bestFit="1" customWidth="1"/>
    <col min="4624" max="4624" width="18.75" style="506" customWidth="1"/>
    <col min="4625" max="4625" width="4.875" style="506" customWidth="1"/>
    <col min="4626" max="4626" width="6.5" style="506" customWidth="1"/>
    <col min="4627" max="4864" width="8" style="506" hidden="1"/>
    <col min="4865" max="4865" width="12.875" style="506" customWidth="1"/>
    <col min="4866" max="4866" width="10.625" style="506" customWidth="1"/>
    <col min="4867" max="4878" width="8" style="506" customWidth="1"/>
    <col min="4879" max="4879" width="17.25" style="506" bestFit="1" customWidth="1"/>
    <col min="4880" max="4880" width="18.75" style="506" customWidth="1"/>
    <col min="4881" max="4881" width="4.875" style="506" customWidth="1"/>
    <col min="4882" max="4882" width="6.5" style="506" customWidth="1"/>
    <col min="4883" max="5120" width="8" style="506" hidden="1"/>
    <col min="5121" max="5121" width="12.875" style="506" customWidth="1"/>
    <col min="5122" max="5122" width="10.625" style="506" customWidth="1"/>
    <col min="5123" max="5134" width="8" style="506" customWidth="1"/>
    <col min="5135" max="5135" width="17.25" style="506" bestFit="1" customWidth="1"/>
    <col min="5136" max="5136" width="18.75" style="506" customWidth="1"/>
    <col min="5137" max="5137" width="4.875" style="506" customWidth="1"/>
    <col min="5138" max="5138" width="6.5" style="506" customWidth="1"/>
    <col min="5139" max="5376" width="8" style="506" hidden="1"/>
    <col min="5377" max="5377" width="12.875" style="506" customWidth="1"/>
    <col min="5378" max="5378" width="10.625" style="506" customWidth="1"/>
    <col min="5379" max="5390" width="8" style="506" customWidth="1"/>
    <col min="5391" max="5391" width="17.25" style="506" bestFit="1" customWidth="1"/>
    <col min="5392" max="5392" width="18.75" style="506" customWidth="1"/>
    <col min="5393" max="5393" width="4.875" style="506" customWidth="1"/>
    <col min="5394" max="5394" width="6.5" style="506" customWidth="1"/>
    <col min="5395" max="5632" width="8" style="506" hidden="1"/>
    <col min="5633" max="5633" width="12.875" style="506" customWidth="1"/>
    <col min="5634" max="5634" width="10.625" style="506" customWidth="1"/>
    <col min="5635" max="5646" width="8" style="506" customWidth="1"/>
    <col min="5647" max="5647" width="17.25" style="506" bestFit="1" customWidth="1"/>
    <col min="5648" max="5648" width="18.75" style="506" customWidth="1"/>
    <col min="5649" max="5649" width="4.875" style="506" customWidth="1"/>
    <col min="5650" max="5650" width="6.5" style="506" customWidth="1"/>
    <col min="5651" max="5888" width="8" style="506" hidden="1"/>
    <col min="5889" max="5889" width="12.875" style="506" customWidth="1"/>
    <col min="5890" max="5890" width="10.625" style="506" customWidth="1"/>
    <col min="5891" max="5902" width="8" style="506" customWidth="1"/>
    <col min="5903" max="5903" width="17.25" style="506" bestFit="1" customWidth="1"/>
    <col min="5904" max="5904" width="18.75" style="506" customWidth="1"/>
    <col min="5905" max="5905" width="4.875" style="506" customWidth="1"/>
    <col min="5906" max="5906" width="6.5" style="506" customWidth="1"/>
    <col min="5907" max="6144" width="8" style="506" hidden="1"/>
    <col min="6145" max="6145" width="12.875" style="506" customWidth="1"/>
    <col min="6146" max="6146" width="10.625" style="506" customWidth="1"/>
    <col min="6147" max="6158" width="8" style="506" customWidth="1"/>
    <col min="6159" max="6159" width="17.25" style="506" bestFit="1" customWidth="1"/>
    <col min="6160" max="6160" width="18.75" style="506" customWidth="1"/>
    <col min="6161" max="6161" width="4.875" style="506" customWidth="1"/>
    <col min="6162" max="6162" width="6.5" style="506" customWidth="1"/>
    <col min="6163" max="6400" width="8" style="506" hidden="1"/>
    <col min="6401" max="6401" width="12.875" style="506" customWidth="1"/>
    <col min="6402" max="6402" width="10.625" style="506" customWidth="1"/>
    <col min="6403" max="6414" width="8" style="506" customWidth="1"/>
    <col min="6415" max="6415" width="17.25" style="506" bestFit="1" customWidth="1"/>
    <col min="6416" max="6416" width="18.75" style="506" customWidth="1"/>
    <col min="6417" max="6417" width="4.875" style="506" customWidth="1"/>
    <col min="6418" max="6418" width="6.5" style="506" customWidth="1"/>
    <col min="6419" max="6656" width="8" style="506" hidden="1"/>
    <col min="6657" max="6657" width="12.875" style="506" customWidth="1"/>
    <col min="6658" max="6658" width="10.625" style="506" customWidth="1"/>
    <col min="6659" max="6670" width="8" style="506" customWidth="1"/>
    <col min="6671" max="6671" width="17.25" style="506" bestFit="1" customWidth="1"/>
    <col min="6672" max="6672" width="18.75" style="506" customWidth="1"/>
    <col min="6673" max="6673" width="4.875" style="506" customWidth="1"/>
    <col min="6674" max="6674" width="6.5" style="506" customWidth="1"/>
    <col min="6675" max="6912" width="8" style="506" hidden="1"/>
    <col min="6913" max="6913" width="12.875" style="506" customWidth="1"/>
    <col min="6914" max="6914" width="10.625" style="506" customWidth="1"/>
    <col min="6915" max="6926" width="8" style="506" customWidth="1"/>
    <col min="6927" max="6927" width="17.25" style="506" bestFit="1" customWidth="1"/>
    <col min="6928" max="6928" width="18.75" style="506" customWidth="1"/>
    <col min="6929" max="6929" width="4.875" style="506" customWidth="1"/>
    <col min="6930" max="6930" width="6.5" style="506" customWidth="1"/>
    <col min="6931" max="7168" width="8" style="506" hidden="1"/>
    <col min="7169" max="7169" width="12.875" style="506" customWidth="1"/>
    <col min="7170" max="7170" width="10.625" style="506" customWidth="1"/>
    <col min="7171" max="7182" width="8" style="506" customWidth="1"/>
    <col min="7183" max="7183" width="17.25" style="506" bestFit="1" customWidth="1"/>
    <col min="7184" max="7184" width="18.75" style="506" customWidth="1"/>
    <col min="7185" max="7185" width="4.875" style="506" customWidth="1"/>
    <col min="7186" max="7186" width="6.5" style="506" customWidth="1"/>
    <col min="7187" max="7424" width="8" style="506" hidden="1"/>
    <col min="7425" max="7425" width="12.875" style="506" customWidth="1"/>
    <col min="7426" max="7426" width="10.625" style="506" customWidth="1"/>
    <col min="7427" max="7438" width="8" style="506" customWidth="1"/>
    <col min="7439" max="7439" width="17.25" style="506" bestFit="1" customWidth="1"/>
    <col min="7440" max="7440" width="18.75" style="506" customWidth="1"/>
    <col min="7441" max="7441" width="4.875" style="506" customWidth="1"/>
    <col min="7442" max="7442" width="6.5" style="506" customWidth="1"/>
    <col min="7443" max="7680" width="8" style="506" hidden="1"/>
    <col min="7681" max="7681" width="12.875" style="506" customWidth="1"/>
    <col min="7682" max="7682" width="10.625" style="506" customWidth="1"/>
    <col min="7683" max="7694" width="8" style="506" customWidth="1"/>
    <col min="7695" max="7695" width="17.25" style="506" bestFit="1" customWidth="1"/>
    <col min="7696" max="7696" width="18.75" style="506" customWidth="1"/>
    <col min="7697" max="7697" width="4.875" style="506" customWidth="1"/>
    <col min="7698" max="7698" width="6.5" style="506" customWidth="1"/>
    <col min="7699" max="7936" width="8" style="506" hidden="1"/>
    <col min="7937" max="7937" width="12.875" style="506" customWidth="1"/>
    <col min="7938" max="7938" width="10.625" style="506" customWidth="1"/>
    <col min="7939" max="7950" width="8" style="506" customWidth="1"/>
    <col min="7951" max="7951" width="17.25" style="506" bestFit="1" customWidth="1"/>
    <col min="7952" max="7952" width="18.75" style="506" customWidth="1"/>
    <col min="7953" max="7953" width="4.875" style="506" customWidth="1"/>
    <col min="7954" max="7954" width="6.5" style="506" customWidth="1"/>
    <col min="7955" max="8192" width="8" style="506" hidden="1"/>
    <col min="8193" max="8193" width="12.875" style="506" customWidth="1"/>
    <col min="8194" max="8194" width="10.625" style="506" customWidth="1"/>
    <col min="8195" max="8206" width="8" style="506" customWidth="1"/>
    <col min="8207" max="8207" width="17.25" style="506" bestFit="1" customWidth="1"/>
    <col min="8208" max="8208" width="18.75" style="506" customWidth="1"/>
    <col min="8209" max="8209" width="4.875" style="506" customWidth="1"/>
    <col min="8210" max="8210" width="6.5" style="506" customWidth="1"/>
    <col min="8211" max="8448" width="8" style="506" hidden="1"/>
    <col min="8449" max="8449" width="12.875" style="506" customWidth="1"/>
    <col min="8450" max="8450" width="10.625" style="506" customWidth="1"/>
    <col min="8451" max="8462" width="8" style="506" customWidth="1"/>
    <col min="8463" max="8463" width="17.25" style="506" bestFit="1" customWidth="1"/>
    <col min="8464" max="8464" width="18.75" style="506" customWidth="1"/>
    <col min="8465" max="8465" width="4.875" style="506" customWidth="1"/>
    <col min="8466" max="8466" width="6.5" style="506" customWidth="1"/>
    <col min="8467" max="8704" width="8" style="506" hidden="1"/>
    <col min="8705" max="8705" width="12.875" style="506" customWidth="1"/>
    <col min="8706" max="8706" width="10.625" style="506" customWidth="1"/>
    <col min="8707" max="8718" width="8" style="506" customWidth="1"/>
    <col min="8719" max="8719" width="17.25" style="506" bestFit="1" customWidth="1"/>
    <col min="8720" max="8720" width="18.75" style="506" customWidth="1"/>
    <col min="8721" max="8721" width="4.875" style="506" customWidth="1"/>
    <col min="8722" max="8722" width="6.5" style="506" customWidth="1"/>
    <col min="8723" max="8960" width="8" style="506" hidden="1"/>
    <col min="8961" max="8961" width="12.875" style="506" customWidth="1"/>
    <col min="8962" max="8962" width="10.625" style="506" customWidth="1"/>
    <col min="8963" max="8974" width="8" style="506" customWidth="1"/>
    <col min="8975" max="8975" width="17.25" style="506" bestFit="1" customWidth="1"/>
    <col min="8976" max="8976" width="18.75" style="506" customWidth="1"/>
    <col min="8977" max="8977" width="4.875" style="506" customWidth="1"/>
    <col min="8978" max="8978" width="6.5" style="506" customWidth="1"/>
    <col min="8979" max="9216" width="8" style="506" hidden="1"/>
    <col min="9217" max="9217" width="12.875" style="506" customWidth="1"/>
    <col min="9218" max="9218" width="10.625" style="506" customWidth="1"/>
    <col min="9219" max="9230" width="8" style="506" customWidth="1"/>
    <col min="9231" max="9231" width="17.25" style="506" bestFit="1" customWidth="1"/>
    <col min="9232" max="9232" width="18.75" style="506" customWidth="1"/>
    <col min="9233" max="9233" width="4.875" style="506" customWidth="1"/>
    <col min="9234" max="9234" width="6.5" style="506" customWidth="1"/>
    <col min="9235" max="9472" width="8" style="506" hidden="1"/>
    <col min="9473" max="9473" width="12.875" style="506" customWidth="1"/>
    <col min="9474" max="9474" width="10.625" style="506" customWidth="1"/>
    <col min="9475" max="9486" width="8" style="506" customWidth="1"/>
    <col min="9487" max="9487" width="17.25" style="506" bestFit="1" customWidth="1"/>
    <col min="9488" max="9488" width="18.75" style="506" customWidth="1"/>
    <col min="9489" max="9489" width="4.875" style="506" customWidth="1"/>
    <col min="9490" max="9490" width="6.5" style="506" customWidth="1"/>
    <col min="9491" max="9728" width="8" style="506" hidden="1"/>
    <col min="9729" max="9729" width="12.875" style="506" customWidth="1"/>
    <col min="9730" max="9730" width="10.625" style="506" customWidth="1"/>
    <col min="9731" max="9742" width="8" style="506" customWidth="1"/>
    <col min="9743" max="9743" width="17.25" style="506" bestFit="1" customWidth="1"/>
    <col min="9744" max="9744" width="18.75" style="506" customWidth="1"/>
    <col min="9745" max="9745" width="4.875" style="506" customWidth="1"/>
    <col min="9746" max="9746" width="6.5" style="506" customWidth="1"/>
    <col min="9747" max="9984" width="8" style="506" hidden="1"/>
    <col min="9985" max="9985" width="12.875" style="506" customWidth="1"/>
    <col min="9986" max="9986" width="10.625" style="506" customWidth="1"/>
    <col min="9987" max="9998" width="8" style="506" customWidth="1"/>
    <col min="9999" max="9999" width="17.25" style="506" bestFit="1" customWidth="1"/>
    <col min="10000" max="10000" width="18.75" style="506" customWidth="1"/>
    <col min="10001" max="10001" width="4.875" style="506" customWidth="1"/>
    <col min="10002" max="10002" width="6.5" style="506" customWidth="1"/>
    <col min="10003" max="10240" width="8" style="506" hidden="1"/>
    <col min="10241" max="10241" width="12.875" style="506" customWidth="1"/>
    <col min="10242" max="10242" width="10.625" style="506" customWidth="1"/>
    <col min="10243" max="10254" width="8" style="506" customWidth="1"/>
    <col min="10255" max="10255" width="17.25" style="506" bestFit="1" customWidth="1"/>
    <col min="10256" max="10256" width="18.75" style="506" customWidth="1"/>
    <col min="10257" max="10257" width="4.875" style="506" customWidth="1"/>
    <col min="10258" max="10258" width="6.5" style="506" customWidth="1"/>
    <col min="10259" max="10496" width="8" style="506" hidden="1"/>
    <col min="10497" max="10497" width="12.875" style="506" customWidth="1"/>
    <col min="10498" max="10498" width="10.625" style="506" customWidth="1"/>
    <col min="10499" max="10510" width="8" style="506" customWidth="1"/>
    <col min="10511" max="10511" width="17.25" style="506" bestFit="1" customWidth="1"/>
    <col min="10512" max="10512" width="18.75" style="506" customWidth="1"/>
    <col min="10513" max="10513" width="4.875" style="506" customWidth="1"/>
    <col min="10514" max="10514" width="6.5" style="506" customWidth="1"/>
    <col min="10515" max="10752" width="8" style="506" hidden="1"/>
    <col min="10753" max="10753" width="12.875" style="506" customWidth="1"/>
    <col min="10754" max="10754" width="10.625" style="506" customWidth="1"/>
    <col min="10755" max="10766" width="8" style="506" customWidth="1"/>
    <col min="10767" max="10767" width="17.25" style="506" bestFit="1" customWidth="1"/>
    <col min="10768" max="10768" width="18.75" style="506" customWidth="1"/>
    <col min="10769" max="10769" width="4.875" style="506" customWidth="1"/>
    <col min="10770" max="10770" width="6.5" style="506" customWidth="1"/>
    <col min="10771" max="11008" width="8" style="506" hidden="1"/>
    <col min="11009" max="11009" width="12.875" style="506" customWidth="1"/>
    <col min="11010" max="11010" width="10.625" style="506" customWidth="1"/>
    <col min="11011" max="11022" width="8" style="506" customWidth="1"/>
    <col min="11023" max="11023" width="17.25" style="506" bestFit="1" customWidth="1"/>
    <col min="11024" max="11024" width="18.75" style="506" customWidth="1"/>
    <col min="11025" max="11025" width="4.875" style="506" customWidth="1"/>
    <col min="11026" max="11026" width="6.5" style="506" customWidth="1"/>
    <col min="11027" max="11264" width="8" style="506" hidden="1"/>
    <col min="11265" max="11265" width="12.875" style="506" customWidth="1"/>
    <col min="11266" max="11266" width="10.625" style="506" customWidth="1"/>
    <col min="11267" max="11278" width="8" style="506" customWidth="1"/>
    <col min="11279" max="11279" width="17.25" style="506" bestFit="1" customWidth="1"/>
    <col min="11280" max="11280" width="18.75" style="506" customWidth="1"/>
    <col min="11281" max="11281" width="4.875" style="506" customWidth="1"/>
    <col min="11282" max="11282" width="6.5" style="506" customWidth="1"/>
    <col min="11283" max="11520" width="8" style="506" hidden="1"/>
    <col min="11521" max="11521" width="12.875" style="506" customWidth="1"/>
    <col min="11522" max="11522" width="10.625" style="506" customWidth="1"/>
    <col min="11523" max="11534" width="8" style="506" customWidth="1"/>
    <col min="11535" max="11535" width="17.25" style="506" bestFit="1" customWidth="1"/>
    <col min="11536" max="11536" width="18.75" style="506" customWidth="1"/>
    <col min="11537" max="11537" width="4.875" style="506" customWidth="1"/>
    <col min="11538" max="11538" width="6.5" style="506" customWidth="1"/>
    <col min="11539" max="11776" width="8" style="506" hidden="1"/>
    <col min="11777" max="11777" width="12.875" style="506" customWidth="1"/>
    <col min="11778" max="11778" width="10.625" style="506" customWidth="1"/>
    <col min="11779" max="11790" width="8" style="506" customWidth="1"/>
    <col min="11791" max="11791" width="17.25" style="506" bestFit="1" customWidth="1"/>
    <col min="11792" max="11792" width="18.75" style="506" customWidth="1"/>
    <col min="11793" max="11793" width="4.875" style="506" customWidth="1"/>
    <col min="11794" max="11794" width="6.5" style="506" customWidth="1"/>
    <col min="11795" max="12032" width="8" style="506" hidden="1"/>
    <col min="12033" max="12033" width="12.875" style="506" customWidth="1"/>
    <col min="12034" max="12034" width="10.625" style="506" customWidth="1"/>
    <col min="12035" max="12046" width="8" style="506" customWidth="1"/>
    <col min="12047" max="12047" width="17.25" style="506" bestFit="1" customWidth="1"/>
    <col min="12048" max="12048" width="18.75" style="506" customWidth="1"/>
    <col min="12049" max="12049" width="4.875" style="506" customWidth="1"/>
    <col min="12050" max="12050" width="6.5" style="506" customWidth="1"/>
    <col min="12051" max="12288" width="8" style="506" hidden="1"/>
    <col min="12289" max="12289" width="12.875" style="506" customWidth="1"/>
    <col min="12290" max="12290" width="10.625" style="506" customWidth="1"/>
    <col min="12291" max="12302" width="8" style="506" customWidth="1"/>
    <col min="12303" max="12303" width="17.25" style="506" bestFit="1" customWidth="1"/>
    <col min="12304" max="12304" width="18.75" style="506" customWidth="1"/>
    <col min="12305" max="12305" width="4.875" style="506" customWidth="1"/>
    <col min="12306" max="12306" width="6.5" style="506" customWidth="1"/>
    <col min="12307" max="12544" width="8" style="506" hidden="1"/>
    <col min="12545" max="12545" width="12.875" style="506" customWidth="1"/>
    <col min="12546" max="12546" width="10.625" style="506" customWidth="1"/>
    <col min="12547" max="12558" width="8" style="506" customWidth="1"/>
    <col min="12559" max="12559" width="17.25" style="506" bestFit="1" customWidth="1"/>
    <col min="12560" max="12560" width="18.75" style="506" customWidth="1"/>
    <col min="12561" max="12561" width="4.875" style="506" customWidth="1"/>
    <col min="12562" max="12562" width="6.5" style="506" customWidth="1"/>
    <col min="12563" max="12800" width="8" style="506" hidden="1"/>
    <col min="12801" max="12801" width="12.875" style="506" customWidth="1"/>
    <col min="12802" max="12802" width="10.625" style="506" customWidth="1"/>
    <col min="12803" max="12814" width="8" style="506" customWidth="1"/>
    <col min="12815" max="12815" width="17.25" style="506" bestFit="1" customWidth="1"/>
    <col min="12816" max="12816" width="18.75" style="506" customWidth="1"/>
    <col min="12817" max="12817" width="4.875" style="506" customWidth="1"/>
    <col min="12818" max="12818" width="6.5" style="506" customWidth="1"/>
    <col min="12819" max="13056" width="8" style="506" hidden="1"/>
    <col min="13057" max="13057" width="12.875" style="506" customWidth="1"/>
    <col min="13058" max="13058" width="10.625" style="506" customWidth="1"/>
    <col min="13059" max="13070" width="8" style="506" customWidth="1"/>
    <col min="13071" max="13071" width="17.25" style="506" bestFit="1" customWidth="1"/>
    <col min="13072" max="13072" width="18.75" style="506" customWidth="1"/>
    <col min="13073" max="13073" width="4.875" style="506" customWidth="1"/>
    <col min="13074" max="13074" width="6.5" style="506" customWidth="1"/>
    <col min="13075" max="13312" width="8" style="506" hidden="1"/>
    <col min="13313" max="13313" width="12.875" style="506" customWidth="1"/>
    <col min="13314" max="13314" width="10.625" style="506" customWidth="1"/>
    <col min="13315" max="13326" width="8" style="506" customWidth="1"/>
    <col min="13327" max="13327" width="17.25" style="506" bestFit="1" customWidth="1"/>
    <col min="13328" max="13328" width="18.75" style="506" customWidth="1"/>
    <col min="13329" max="13329" width="4.875" style="506" customWidth="1"/>
    <col min="13330" max="13330" width="6.5" style="506" customWidth="1"/>
    <col min="13331" max="13568" width="8" style="506" hidden="1"/>
    <col min="13569" max="13569" width="12.875" style="506" customWidth="1"/>
    <col min="13570" max="13570" width="10.625" style="506" customWidth="1"/>
    <col min="13571" max="13582" width="8" style="506" customWidth="1"/>
    <col min="13583" max="13583" width="17.25" style="506" bestFit="1" customWidth="1"/>
    <col min="13584" max="13584" width="18.75" style="506" customWidth="1"/>
    <col min="13585" max="13585" width="4.875" style="506" customWidth="1"/>
    <col min="13586" max="13586" width="6.5" style="506" customWidth="1"/>
    <col min="13587" max="13824" width="8" style="506" hidden="1"/>
    <col min="13825" max="13825" width="12.875" style="506" customWidth="1"/>
    <col min="13826" max="13826" width="10.625" style="506" customWidth="1"/>
    <col min="13827" max="13838" width="8" style="506" customWidth="1"/>
    <col min="13839" max="13839" width="17.25" style="506" bestFit="1" customWidth="1"/>
    <col min="13840" max="13840" width="18.75" style="506" customWidth="1"/>
    <col min="13841" max="13841" width="4.875" style="506" customWidth="1"/>
    <col min="13842" max="13842" width="6.5" style="506" customWidth="1"/>
    <col min="13843" max="14080" width="8" style="506" hidden="1"/>
    <col min="14081" max="14081" width="12.875" style="506" customWidth="1"/>
    <col min="14082" max="14082" width="10.625" style="506" customWidth="1"/>
    <col min="14083" max="14094" width="8" style="506" customWidth="1"/>
    <col min="14095" max="14095" width="17.25" style="506" bestFit="1" customWidth="1"/>
    <col min="14096" max="14096" width="18.75" style="506" customWidth="1"/>
    <col min="14097" max="14097" width="4.875" style="506" customWidth="1"/>
    <col min="14098" max="14098" width="6.5" style="506" customWidth="1"/>
    <col min="14099" max="14336" width="8" style="506" hidden="1"/>
    <col min="14337" max="14337" width="12.875" style="506" customWidth="1"/>
    <col min="14338" max="14338" width="10.625" style="506" customWidth="1"/>
    <col min="14339" max="14350" width="8" style="506" customWidth="1"/>
    <col min="14351" max="14351" width="17.25" style="506" bestFit="1" customWidth="1"/>
    <col min="14352" max="14352" width="18.75" style="506" customWidth="1"/>
    <col min="14353" max="14353" width="4.875" style="506" customWidth="1"/>
    <col min="14354" max="14354" width="6.5" style="506" customWidth="1"/>
    <col min="14355" max="14592" width="8" style="506" hidden="1"/>
    <col min="14593" max="14593" width="12.875" style="506" customWidth="1"/>
    <col min="14594" max="14594" width="10.625" style="506" customWidth="1"/>
    <col min="14595" max="14606" width="8" style="506" customWidth="1"/>
    <col min="14607" max="14607" width="17.25" style="506" bestFit="1" customWidth="1"/>
    <col min="14608" max="14608" width="18.75" style="506" customWidth="1"/>
    <col min="14609" max="14609" width="4.875" style="506" customWidth="1"/>
    <col min="14610" max="14610" width="6.5" style="506" customWidth="1"/>
    <col min="14611" max="14848" width="8" style="506" hidden="1"/>
    <col min="14849" max="14849" width="12.875" style="506" customWidth="1"/>
    <col min="14850" max="14850" width="10.625" style="506" customWidth="1"/>
    <col min="14851" max="14862" width="8" style="506" customWidth="1"/>
    <col min="14863" max="14863" width="17.25" style="506" bestFit="1" customWidth="1"/>
    <col min="14864" max="14864" width="18.75" style="506" customWidth="1"/>
    <col min="14865" max="14865" width="4.875" style="506" customWidth="1"/>
    <col min="14866" max="14866" width="6.5" style="506" customWidth="1"/>
    <col min="14867" max="15104" width="8" style="506" hidden="1"/>
    <col min="15105" max="15105" width="12.875" style="506" customWidth="1"/>
    <col min="15106" max="15106" width="10.625" style="506" customWidth="1"/>
    <col min="15107" max="15118" width="8" style="506" customWidth="1"/>
    <col min="15119" max="15119" width="17.25" style="506" bestFit="1" customWidth="1"/>
    <col min="15120" max="15120" width="18.75" style="506" customWidth="1"/>
    <col min="15121" max="15121" width="4.875" style="506" customWidth="1"/>
    <col min="15122" max="15122" width="6.5" style="506" customWidth="1"/>
    <col min="15123" max="15360" width="8" style="506" hidden="1"/>
    <col min="15361" max="15361" width="12.875" style="506" customWidth="1"/>
    <col min="15362" max="15362" width="10.625" style="506" customWidth="1"/>
    <col min="15363" max="15374" width="8" style="506" customWidth="1"/>
    <col min="15375" max="15375" width="17.25" style="506" bestFit="1" customWidth="1"/>
    <col min="15376" max="15376" width="18.75" style="506" customWidth="1"/>
    <col min="15377" max="15377" width="4.875" style="506" customWidth="1"/>
    <col min="15378" max="15378" width="6.5" style="506" customWidth="1"/>
    <col min="15379" max="15616" width="8" style="506" hidden="1"/>
    <col min="15617" max="15617" width="12.875" style="506" customWidth="1"/>
    <col min="15618" max="15618" width="10.625" style="506" customWidth="1"/>
    <col min="15619" max="15630" width="8" style="506" customWidth="1"/>
    <col min="15631" max="15631" width="17.25" style="506" bestFit="1" customWidth="1"/>
    <col min="15632" max="15632" width="18.75" style="506" customWidth="1"/>
    <col min="15633" max="15633" width="4.875" style="506" customWidth="1"/>
    <col min="15634" max="15634" width="6.5" style="506" customWidth="1"/>
    <col min="15635" max="15872" width="8" style="506" hidden="1"/>
    <col min="15873" max="15873" width="12.875" style="506" customWidth="1"/>
    <col min="15874" max="15874" width="10.625" style="506" customWidth="1"/>
    <col min="15875" max="15886" width="8" style="506" customWidth="1"/>
    <col min="15887" max="15887" width="17.25" style="506" bestFit="1" customWidth="1"/>
    <col min="15888" max="15888" width="18.75" style="506" customWidth="1"/>
    <col min="15889" max="15889" width="4.875" style="506" customWidth="1"/>
    <col min="15890" max="15890" width="6.5" style="506" customWidth="1"/>
    <col min="15891" max="16128" width="8" style="506" hidden="1"/>
    <col min="16129" max="16129" width="12.875" style="506" customWidth="1"/>
    <col min="16130" max="16130" width="10.625" style="506" customWidth="1"/>
    <col min="16131" max="16142" width="8" style="506" customWidth="1"/>
    <col min="16143" max="16143" width="17.25" style="506" bestFit="1" customWidth="1"/>
    <col min="16144" max="16144" width="18.75" style="506" customWidth="1"/>
    <col min="16145" max="16145" width="4.875" style="506" customWidth="1"/>
    <col min="16146" max="16146" width="6.5" style="506" customWidth="1"/>
    <col min="16147" max="16384" width="8" style="506" hidden="1"/>
  </cols>
  <sheetData>
    <row r="1" spans="1:16" ht="23.25" customHeight="1">
      <c r="A1" s="505" t="s">
        <v>746</v>
      </c>
      <c r="B1" s="505" t="s">
        <v>1090</v>
      </c>
    </row>
    <row r="2" spans="1:16">
      <c r="A2" s="507">
        <v>11591.323350501307</v>
      </c>
      <c r="B2" s="508">
        <v>2</v>
      </c>
      <c r="D2" s="509">
        <f>SUM(B2:B101)</f>
        <v>10000</v>
      </c>
      <c r="E2" s="510">
        <f>SUM(A2:A101)</f>
        <v>329853.72980806883</v>
      </c>
      <c r="O2" s="407" t="str">
        <f>HLOOKUP($L$102,$A$102:$K$121,3)</f>
        <v>Cell</v>
      </c>
      <c r="P2" s="408" t="s">
        <v>1392</v>
      </c>
    </row>
    <row r="3" spans="1:16">
      <c r="A3" s="507">
        <v>11724.892170653093</v>
      </c>
      <c r="B3" s="508">
        <v>13</v>
      </c>
      <c r="O3" s="407" t="str">
        <f>HLOOKUP($L$102,$A$102:$K$121,4)</f>
        <v>Name</v>
      </c>
      <c r="P3" s="409" t="s">
        <v>1370</v>
      </c>
    </row>
    <row r="4" spans="1:16">
      <c r="A4" s="507">
        <v>11858.460990804881</v>
      </c>
      <c r="B4" s="508">
        <v>16</v>
      </c>
      <c r="O4" s="407" t="str">
        <f>HLOOKUP($L$102,$A$102:$K$121,5)</f>
        <v>Number of Datapoints</v>
      </c>
      <c r="P4" s="409">
        <v>10000</v>
      </c>
    </row>
    <row r="5" spans="1:16">
      <c r="A5" s="507">
        <v>11992.029810956668</v>
      </c>
      <c r="B5" s="508">
        <v>68</v>
      </c>
      <c r="O5" s="407" t="str">
        <f>HLOOKUP($L$102,$A$102:$K$121,6)</f>
        <v>Mean</v>
      </c>
      <c r="P5" s="410">
        <v>13061.781918050156</v>
      </c>
    </row>
    <row r="6" spans="1:16">
      <c r="A6" s="507">
        <v>12125.598631108456</v>
      </c>
      <c r="B6" s="508">
        <v>103</v>
      </c>
      <c r="O6" s="407" t="str">
        <f>HLOOKUP($L$102,$A$102:$K$121,7)</f>
        <v>Median</v>
      </c>
      <c r="P6" s="410">
        <v>13056.435570885496</v>
      </c>
    </row>
    <row r="7" spans="1:16">
      <c r="A7" s="507">
        <v>12259.167451260242</v>
      </c>
      <c r="B7" s="508">
        <v>206</v>
      </c>
      <c r="O7" s="407" t="str">
        <f>HLOOKUP($L$102,$A$102:$K$121,8)</f>
        <v>Standard Deviation</v>
      </c>
      <c r="P7" s="410">
        <v>460.06593320201119</v>
      </c>
    </row>
    <row r="8" spans="1:16">
      <c r="A8" s="507">
        <v>12392.73627141203</v>
      </c>
      <c r="B8" s="508">
        <v>332</v>
      </c>
      <c r="O8" s="407" t="str">
        <f>HLOOKUP($L$102,$A$102:$K$121,9)</f>
        <v>Variance</v>
      </c>
      <c r="P8" s="410">
        <v>211660.66289303746</v>
      </c>
    </row>
    <row r="9" spans="1:16">
      <c r="A9" s="507">
        <v>12526.305091563818</v>
      </c>
      <c r="B9" s="508">
        <v>483</v>
      </c>
      <c r="O9" s="407" t="str">
        <f>HLOOKUP($L$102,$A$102:$K$121,10)</f>
        <v>Coefficient of Variation</v>
      </c>
      <c r="P9" s="410">
        <v>3.5222294790134515E-2</v>
      </c>
    </row>
    <row r="10" spans="1:16">
      <c r="A10" s="507">
        <v>12659.873911715604</v>
      </c>
      <c r="B10" s="508">
        <v>657</v>
      </c>
      <c r="O10" s="407" t="str">
        <f>HLOOKUP($L$102,$A$102:$K$121,11)</f>
        <v>Maximum</v>
      </c>
      <c r="P10" s="410">
        <v>14796.975034144201</v>
      </c>
    </row>
    <row r="11" spans="1:16">
      <c r="A11" s="507">
        <v>12793.442731867392</v>
      </c>
      <c r="B11" s="508">
        <v>909</v>
      </c>
      <c r="O11" s="407" t="str">
        <f>HLOOKUP($L$102,$A$102:$K$121,12)</f>
        <v>Minimum</v>
      </c>
      <c r="P11" s="410">
        <v>11457.754530349519</v>
      </c>
    </row>
    <row r="12" spans="1:16">
      <c r="A12" s="507">
        <v>12927.011552019179</v>
      </c>
      <c r="B12" s="508">
        <v>1088</v>
      </c>
      <c r="O12" s="407" t="str">
        <f>HLOOKUP($L$102,$A$102:$K$121,13)</f>
        <v>Range</v>
      </c>
      <c r="P12" s="410">
        <v>3339.2205037946824</v>
      </c>
    </row>
    <row r="13" spans="1:16">
      <c r="A13" s="507">
        <v>13060.580372170967</v>
      </c>
      <c r="B13" s="508">
        <v>1160</v>
      </c>
      <c r="O13" s="407" t="str">
        <f>HLOOKUP($L$102,$A$102:$K$121,14)</f>
        <v>Skewness</v>
      </c>
      <c r="P13" s="410">
        <v>3.9877537735140654E-2</v>
      </c>
    </row>
    <row r="14" spans="1:16">
      <c r="A14" s="507">
        <v>13194.149192322753</v>
      </c>
      <c r="B14" s="508">
        <v>1155</v>
      </c>
      <c r="O14" s="407" t="str">
        <f>HLOOKUP($L$102,$A$102:$K$121,15)</f>
        <v>Kurtosis</v>
      </c>
      <c r="P14" s="410">
        <v>-3.7050965307524254E-2</v>
      </c>
    </row>
    <row r="15" spans="1:16">
      <c r="A15" s="507">
        <v>13327.718012474541</v>
      </c>
      <c r="B15" s="508">
        <v>995</v>
      </c>
      <c r="O15" s="407" t="str">
        <f>HLOOKUP($L$102,$A$102:$K$121,16)</f>
        <v>25% Percentile</v>
      </c>
      <c r="P15" s="410">
        <v>12755.63715706157</v>
      </c>
    </row>
    <row r="16" spans="1:16">
      <c r="A16" s="507">
        <v>13461.286832626329</v>
      </c>
      <c r="B16" s="508">
        <v>899</v>
      </c>
      <c r="O16" s="407" t="str">
        <f>HLOOKUP($L$102,$A$102:$K$121,17)</f>
        <v>75% Percentile</v>
      </c>
      <c r="P16" s="410">
        <v>13371.154562894946</v>
      </c>
    </row>
    <row r="17" spans="1:16">
      <c r="A17" s="507">
        <v>13594.855652778117</v>
      </c>
      <c r="B17" s="508">
        <v>652</v>
      </c>
      <c r="O17" s="407" t="str">
        <f>HLOOKUP($L$102,$A$102:$K$121,18)</f>
        <v>Error Precision at 95%</v>
      </c>
      <c r="P17" s="410">
        <v>95</v>
      </c>
    </row>
    <row r="18" spans="1:16">
      <c r="A18" s="507">
        <v>13728.424472929903</v>
      </c>
      <c r="B18" s="508">
        <v>508</v>
      </c>
      <c r="O18" s="511">
        <v>0</v>
      </c>
      <c r="P18" s="411">
        <v>11457.754530349519</v>
      </c>
    </row>
    <row r="19" spans="1:16">
      <c r="A19" s="507">
        <v>13861.99329308169</v>
      </c>
      <c r="B19" s="508">
        <v>312</v>
      </c>
      <c r="O19" s="511">
        <v>0.05</v>
      </c>
      <c r="P19" s="411">
        <v>12307.801250169312</v>
      </c>
    </row>
    <row r="20" spans="1:16">
      <c r="A20" s="507">
        <v>13995.562113233478</v>
      </c>
      <c r="B20" s="508">
        <v>217</v>
      </c>
      <c r="O20" s="511">
        <v>0.1</v>
      </c>
      <c r="P20" s="411">
        <v>12469.181229086371</v>
      </c>
    </row>
    <row r="21" spans="1:16">
      <c r="A21" s="507">
        <v>14129.130933385264</v>
      </c>
      <c r="B21" s="508">
        <v>120</v>
      </c>
      <c r="O21" s="511">
        <v>0.2</v>
      </c>
      <c r="P21" s="411">
        <v>12680.812863697378</v>
      </c>
    </row>
    <row r="22" spans="1:16">
      <c r="A22" s="507">
        <v>14262.699753537052</v>
      </c>
      <c r="B22" s="508">
        <v>57</v>
      </c>
      <c r="O22" s="511">
        <v>0.3</v>
      </c>
      <c r="P22" s="411">
        <v>12820.000703733307</v>
      </c>
    </row>
    <row r="23" spans="1:16">
      <c r="A23" s="507">
        <v>14396.26857368884</v>
      </c>
      <c r="B23" s="508">
        <v>30</v>
      </c>
      <c r="O23" s="511">
        <v>0.4</v>
      </c>
      <c r="P23" s="411">
        <v>12942.619453820929</v>
      </c>
    </row>
    <row r="24" spans="1:16">
      <c r="A24" s="507">
        <v>14529.837393840628</v>
      </c>
      <c r="B24" s="508">
        <v>12</v>
      </c>
      <c r="O24" s="511">
        <v>0.5</v>
      </c>
      <c r="P24" s="411">
        <v>13056.435570885496</v>
      </c>
    </row>
    <row r="25" spans="1:16">
      <c r="A25" s="507">
        <v>14663.406213992414</v>
      </c>
      <c r="B25" s="508">
        <v>3</v>
      </c>
      <c r="O25" s="511">
        <v>0.6</v>
      </c>
      <c r="P25" s="411">
        <v>13170.811502738517</v>
      </c>
    </row>
    <row r="26" spans="1:16">
      <c r="A26" s="507">
        <v>14796.975034144201</v>
      </c>
      <c r="B26" s="508">
        <v>3</v>
      </c>
      <c r="C26" s="506" t="s">
        <v>188</v>
      </c>
      <c r="O26" s="511">
        <v>0.7</v>
      </c>
      <c r="P26" s="411">
        <v>13301.446381338465</v>
      </c>
    </row>
    <row r="27" spans="1:16">
      <c r="A27" s="507"/>
      <c r="B27" s="508"/>
      <c r="C27" s="512">
        <v>150</v>
      </c>
      <c r="O27" s="511">
        <v>0.8</v>
      </c>
      <c r="P27" s="411">
        <v>13446.503633311129</v>
      </c>
    </row>
    <row r="28" spans="1:16">
      <c r="A28" s="507"/>
      <c r="B28" s="508"/>
      <c r="O28" s="511">
        <v>0.9</v>
      </c>
      <c r="P28" s="411">
        <v>13652.439361153583</v>
      </c>
    </row>
    <row r="29" spans="1:16">
      <c r="A29" s="507"/>
      <c r="B29" s="508"/>
      <c r="O29" s="511">
        <v>0.95</v>
      </c>
      <c r="P29" s="411">
        <v>13832.383050249828</v>
      </c>
    </row>
    <row r="30" spans="1:16">
      <c r="A30" s="507"/>
      <c r="B30" s="508"/>
      <c r="O30" s="511">
        <v>0.99</v>
      </c>
      <c r="P30" s="411">
        <v>14142.703192685736</v>
      </c>
    </row>
    <row r="31" spans="1:16">
      <c r="A31" s="507"/>
      <c r="B31" s="508"/>
      <c r="O31" s="511">
        <v>1</v>
      </c>
      <c r="P31" s="411">
        <v>14796.975034144201</v>
      </c>
    </row>
    <row r="32" spans="1:16">
      <c r="A32" s="507"/>
      <c r="B32" s="508"/>
    </row>
    <row r="33" spans="1:16">
      <c r="A33" s="507"/>
      <c r="B33" s="508"/>
      <c r="P33" s="513"/>
    </row>
    <row r="34" spans="1:16">
      <c r="A34" s="507"/>
      <c r="B34" s="508"/>
    </row>
    <row r="35" spans="1:16">
      <c r="A35" s="507"/>
      <c r="B35" s="508"/>
    </row>
    <row r="36" spans="1:16">
      <c r="A36" s="507"/>
      <c r="B36" s="508"/>
    </row>
    <row r="37" spans="1:16">
      <c r="A37" s="507"/>
      <c r="B37" s="508"/>
    </row>
    <row r="38" spans="1:16">
      <c r="A38" s="507"/>
      <c r="B38" s="508"/>
    </row>
    <row r="39" spans="1:16">
      <c r="A39" s="507"/>
      <c r="B39" s="508"/>
    </row>
    <row r="40" spans="1:16">
      <c r="A40" s="507"/>
      <c r="B40" s="508"/>
    </row>
    <row r="41" spans="1:16">
      <c r="A41" s="507"/>
      <c r="B41" s="508"/>
    </row>
    <row r="42" spans="1:16">
      <c r="A42" s="507"/>
      <c r="B42" s="508"/>
    </row>
    <row r="43" spans="1:16">
      <c r="A43" s="507"/>
      <c r="B43" s="508"/>
    </row>
    <row r="44" spans="1:16">
      <c r="A44" s="507"/>
      <c r="B44" s="508"/>
    </row>
    <row r="45" spans="1:16">
      <c r="A45" s="507"/>
      <c r="B45" s="508"/>
    </row>
    <row r="46" spans="1:16">
      <c r="A46" s="507"/>
      <c r="B46" s="508"/>
    </row>
    <row r="47" spans="1:16">
      <c r="A47" s="507"/>
      <c r="B47" s="508"/>
    </row>
    <row r="48" spans="1:16">
      <c r="A48" s="507"/>
      <c r="B48" s="508"/>
    </row>
    <row r="49" spans="1:16">
      <c r="A49" s="507"/>
      <c r="B49" s="508"/>
      <c r="G49" s="514"/>
    </row>
    <row r="50" spans="1:16">
      <c r="A50" s="507"/>
      <c r="B50" s="508"/>
      <c r="G50" s="514"/>
    </row>
    <row r="51" spans="1:16">
      <c r="A51" s="507"/>
      <c r="B51" s="508"/>
      <c r="G51" s="514"/>
    </row>
    <row r="52" spans="1:16">
      <c r="A52" s="507"/>
      <c r="B52" s="508"/>
    </row>
    <row r="53" spans="1:16">
      <c r="A53" s="507"/>
      <c r="B53" s="508"/>
    </row>
    <row r="54" spans="1:16">
      <c r="A54" s="507"/>
      <c r="B54" s="508"/>
    </row>
    <row r="55" spans="1:16">
      <c r="A55" s="507"/>
      <c r="B55" s="508"/>
    </row>
    <row r="56" spans="1:16">
      <c r="A56" s="507"/>
      <c r="B56" s="508"/>
    </row>
    <row r="57" spans="1:16">
      <c r="A57" s="507"/>
      <c r="B57" s="508"/>
    </row>
    <row r="58" spans="1:16">
      <c r="A58" s="507"/>
      <c r="B58" s="508"/>
    </row>
    <row r="59" spans="1:16">
      <c r="A59" s="507"/>
      <c r="B59" s="508"/>
    </row>
    <row r="60" spans="1:16">
      <c r="A60" s="507"/>
      <c r="B60" s="508"/>
    </row>
    <row r="61" spans="1:16">
      <c r="A61" s="507"/>
      <c r="B61" s="508"/>
    </row>
    <row r="62" spans="1:16">
      <c r="A62" s="507"/>
      <c r="B62" s="508"/>
    </row>
    <row r="63" spans="1:16">
      <c r="A63" s="507"/>
      <c r="B63" s="508"/>
      <c r="O63" s="515" t="s">
        <v>1091</v>
      </c>
      <c r="P63" s="515" t="s">
        <v>1092</v>
      </c>
    </row>
    <row r="64" spans="1:16">
      <c r="A64" s="507"/>
      <c r="B64" s="508"/>
      <c r="O64" s="516">
        <v>11</v>
      </c>
      <c r="P64" s="516">
        <v>20</v>
      </c>
    </row>
    <row r="65" spans="1:16">
      <c r="A65" s="507"/>
      <c r="B65" s="508"/>
      <c r="O65" s="517">
        <f>O64</f>
        <v>11</v>
      </c>
      <c r="P65" s="517">
        <f>P64</f>
        <v>20</v>
      </c>
    </row>
    <row r="66" spans="1:16">
      <c r="A66" s="507"/>
      <c r="B66" s="508"/>
      <c r="O66" s="517">
        <f t="shared" ref="O66:P81" si="0">O65</f>
        <v>11</v>
      </c>
      <c r="P66" s="517">
        <f t="shared" si="0"/>
        <v>20</v>
      </c>
    </row>
    <row r="67" spans="1:16">
      <c r="A67" s="507"/>
      <c r="B67" s="508"/>
      <c r="O67" s="517">
        <f t="shared" si="0"/>
        <v>11</v>
      </c>
      <c r="P67" s="517">
        <f t="shared" si="0"/>
        <v>20</v>
      </c>
    </row>
    <row r="68" spans="1:16">
      <c r="A68" s="507"/>
      <c r="B68" s="508"/>
      <c r="O68" s="517">
        <f t="shared" si="0"/>
        <v>11</v>
      </c>
      <c r="P68" s="517">
        <f t="shared" si="0"/>
        <v>20</v>
      </c>
    </row>
    <row r="69" spans="1:16">
      <c r="A69" s="507"/>
      <c r="B69" s="508"/>
      <c r="O69" s="517">
        <f t="shared" si="0"/>
        <v>11</v>
      </c>
      <c r="P69" s="517">
        <f t="shared" si="0"/>
        <v>20</v>
      </c>
    </row>
    <row r="70" spans="1:16">
      <c r="A70" s="507"/>
      <c r="B70" s="508"/>
      <c r="O70" s="517">
        <f t="shared" si="0"/>
        <v>11</v>
      </c>
      <c r="P70" s="517">
        <f t="shared" si="0"/>
        <v>20</v>
      </c>
    </row>
    <row r="71" spans="1:16">
      <c r="A71" s="515"/>
      <c r="B71" s="515"/>
      <c r="O71" s="517">
        <f t="shared" si="0"/>
        <v>11</v>
      </c>
      <c r="P71" s="517">
        <f t="shared" si="0"/>
        <v>20</v>
      </c>
    </row>
    <row r="72" spans="1:16">
      <c r="A72" s="515"/>
      <c r="B72" s="515"/>
      <c r="O72" s="517">
        <f t="shared" si="0"/>
        <v>11</v>
      </c>
      <c r="P72" s="517">
        <f t="shared" si="0"/>
        <v>20</v>
      </c>
    </row>
    <row r="73" spans="1:16">
      <c r="O73" s="517">
        <f t="shared" si="0"/>
        <v>11</v>
      </c>
      <c r="P73" s="517">
        <f t="shared" si="0"/>
        <v>20</v>
      </c>
    </row>
    <row r="74" spans="1:16">
      <c r="O74" s="517">
        <f t="shared" si="0"/>
        <v>11</v>
      </c>
      <c r="P74" s="517">
        <f t="shared" si="0"/>
        <v>20</v>
      </c>
    </row>
    <row r="75" spans="1:16">
      <c r="O75" s="517">
        <f t="shared" si="0"/>
        <v>11</v>
      </c>
      <c r="P75" s="517">
        <f t="shared" si="0"/>
        <v>20</v>
      </c>
    </row>
    <row r="76" spans="1:16">
      <c r="O76" s="517">
        <f t="shared" si="0"/>
        <v>11</v>
      </c>
      <c r="P76" s="517">
        <f t="shared" si="0"/>
        <v>20</v>
      </c>
    </row>
    <row r="77" spans="1:16">
      <c r="O77" s="517">
        <f t="shared" si="0"/>
        <v>11</v>
      </c>
      <c r="P77" s="517">
        <f t="shared" si="0"/>
        <v>20</v>
      </c>
    </row>
    <row r="78" spans="1:16">
      <c r="O78" s="517">
        <f t="shared" si="0"/>
        <v>11</v>
      </c>
      <c r="P78" s="517">
        <f t="shared" si="0"/>
        <v>20</v>
      </c>
    </row>
    <row r="79" spans="1:16">
      <c r="O79" s="517">
        <f t="shared" si="0"/>
        <v>11</v>
      </c>
      <c r="P79" s="517">
        <f t="shared" si="0"/>
        <v>20</v>
      </c>
    </row>
    <row r="80" spans="1:16">
      <c r="O80" s="517">
        <f t="shared" si="0"/>
        <v>11</v>
      </c>
      <c r="P80" s="517">
        <f t="shared" si="0"/>
        <v>20</v>
      </c>
    </row>
    <row r="81" spans="15:16">
      <c r="O81" s="517">
        <f t="shared" si="0"/>
        <v>11</v>
      </c>
      <c r="P81" s="517">
        <f t="shared" si="0"/>
        <v>20</v>
      </c>
    </row>
    <row r="82" spans="15:16">
      <c r="O82" s="517">
        <f t="shared" ref="O82:P88" si="1">O81</f>
        <v>11</v>
      </c>
      <c r="P82" s="517">
        <f t="shared" si="1"/>
        <v>20</v>
      </c>
    </row>
    <row r="83" spans="15:16">
      <c r="O83" s="517">
        <f t="shared" si="1"/>
        <v>11</v>
      </c>
      <c r="P83" s="517">
        <f t="shared" si="1"/>
        <v>20</v>
      </c>
    </row>
    <row r="84" spans="15:16" hidden="1">
      <c r="O84" s="517">
        <f t="shared" si="1"/>
        <v>11</v>
      </c>
      <c r="P84" s="517">
        <f t="shared" si="1"/>
        <v>20</v>
      </c>
    </row>
    <row r="85" spans="15:16" hidden="1">
      <c r="O85" s="517">
        <f t="shared" si="1"/>
        <v>11</v>
      </c>
      <c r="P85" s="517">
        <f t="shared" si="1"/>
        <v>20</v>
      </c>
    </row>
    <row r="86" spans="15:16" hidden="1">
      <c r="O86" s="517">
        <f t="shared" si="1"/>
        <v>11</v>
      </c>
      <c r="P86" s="517">
        <f t="shared" si="1"/>
        <v>20</v>
      </c>
    </row>
    <row r="87" spans="15:16" hidden="1">
      <c r="O87" s="517">
        <f t="shared" si="1"/>
        <v>11</v>
      </c>
      <c r="P87" s="517">
        <f t="shared" si="1"/>
        <v>20</v>
      </c>
    </row>
    <row r="88" spans="15:16" hidden="1">
      <c r="O88" s="517">
        <f t="shared" si="1"/>
        <v>11</v>
      </c>
      <c r="P88" s="517">
        <f t="shared" si="1"/>
        <v>20</v>
      </c>
    </row>
    <row r="89" spans="15:16" hidden="1"/>
    <row r="90" spans="15:16" hidden="1"/>
    <row r="91" spans="15:16" hidden="1"/>
    <row r="92" spans="15:16" hidden="1"/>
    <row r="93" spans="15:16" hidden="1"/>
    <row r="94" spans="15:16" hidden="1"/>
    <row r="95" spans="15:16" hidden="1"/>
    <row r="96" spans="15:16" hidden="1"/>
    <row r="97" spans="1:12" hidden="1"/>
    <row r="98" spans="1:12" hidden="1"/>
    <row r="99" spans="1:12" hidden="1"/>
    <row r="100" spans="1:12" hidden="1"/>
    <row r="101" spans="1:12" hidden="1"/>
    <row r="102" spans="1:12" hidden="1">
      <c r="A102" s="518">
        <v>1</v>
      </c>
      <c r="B102" s="518">
        <v>2</v>
      </c>
      <c r="C102" s="518">
        <v>3</v>
      </c>
      <c r="D102" s="518">
        <v>4</v>
      </c>
      <c r="E102" s="518">
        <v>5</v>
      </c>
      <c r="F102" s="518">
        <v>6</v>
      </c>
      <c r="G102" s="518">
        <v>7</v>
      </c>
      <c r="H102" s="518">
        <v>8</v>
      </c>
      <c r="I102" s="518">
        <v>9</v>
      </c>
      <c r="J102" s="518">
        <v>10</v>
      </c>
      <c r="K102" s="518">
        <v>11</v>
      </c>
      <c r="L102" s="518">
        <v>1</v>
      </c>
    </row>
    <row r="103" spans="1:12" hidden="1">
      <c r="A103" s="506" t="s">
        <v>1093</v>
      </c>
      <c r="B103" s="506" t="s">
        <v>1094</v>
      </c>
      <c r="C103" s="519" t="s">
        <v>1095</v>
      </c>
      <c r="D103" s="506" t="s">
        <v>1096</v>
      </c>
      <c r="E103" s="519" t="s">
        <v>1097</v>
      </c>
      <c r="F103" s="519" t="s">
        <v>1098</v>
      </c>
      <c r="G103" s="519" t="s">
        <v>1099</v>
      </c>
      <c r="H103" s="519" t="s">
        <v>1100</v>
      </c>
      <c r="I103" s="519" t="s">
        <v>1101</v>
      </c>
      <c r="J103" s="519" t="s">
        <v>1102</v>
      </c>
      <c r="K103" s="519" t="s">
        <v>1103</v>
      </c>
      <c r="L103" s="506" t="s">
        <v>1093</v>
      </c>
    </row>
    <row r="104" spans="1:12" hidden="1">
      <c r="A104" s="405" t="s">
        <v>1068</v>
      </c>
      <c r="B104" s="520" t="s">
        <v>944</v>
      </c>
      <c r="C104" s="520" t="s">
        <v>1104</v>
      </c>
      <c r="D104" s="520" t="s">
        <v>1105</v>
      </c>
      <c r="E104" s="520" t="s">
        <v>1106</v>
      </c>
      <c r="F104" s="520" t="s">
        <v>1107</v>
      </c>
      <c r="G104" s="520" t="s">
        <v>1108</v>
      </c>
      <c r="H104" s="520" t="s">
        <v>1109</v>
      </c>
      <c r="I104" s="405" t="s">
        <v>1110</v>
      </c>
      <c r="J104" s="520" t="s">
        <v>1111</v>
      </c>
      <c r="K104" s="520" t="s">
        <v>1112</v>
      </c>
      <c r="L104" s="506" t="s">
        <v>1094</v>
      </c>
    </row>
    <row r="105" spans="1:12" hidden="1">
      <c r="A105" s="405" t="s">
        <v>1067</v>
      </c>
      <c r="B105" s="520" t="s">
        <v>945</v>
      </c>
      <c r="C105" s="520" t="s">
        <v>1113</v>
      </c>
      <c r="D105" s="520" t="s">
        <v>1067</v>
      </c>
      <c r="E105" s="520" t="s">
        <v>1113</v>
      </c>
      <c r="F105" s="520" t="s">
        <v>1114</v>
      </c>
      <c r="G105" s="520" t="s">
        <v>1115</v>
      </c>
      <c r="H105" s="520" t="s">
        <v>1116</v>
      </c>
      <c r="I105" s="520" t="s">
        <v>1117</v>
      </c>
      <c r="J105" s="520" t="s">
        <v>1118</v>
      </c>
      <c r="K105" s="520" t="s">
        <v>1119</v>
      </c>
      <c r="L105" s="506" t="s">
        <v>1095</v>
      </c>
    </row>
    <row r="106" spans="1:12" hidden="1">
      <c r="A106" s="405" t="s">
        <v>1070</v>
      </c>
      <c r="B106" s="520" t="s">
        <v>953</v>
      </c>
      <c r="C106" s="520" t="s">
        <v>1120</v>
      </c>
      <c r="D106" s="520" t="s">
        <v>1121</v>
      </c>
      <c r="E106" s="520" t="s">
        <v>1122</v>
      </c>
      <c r="F106" s="520" t="s">
        <v>1123</v>
      </c>
      <c r="G106" s="520" t="s">
        <v>1124</v>
      </c>
      <c r="H106" s="520" t="s">
        <v>1125</v>
      </c>
      <c r="I106" s="520" t="s">
        <v>1126</v>
      </c>
      <c r="J106" s="520" t="s">
        <v>1127</v>
      </c>
      <c r="K106" s="520" t="s">
        <v>1128</v>
      </c>
      <c r="L106" s="506" t="s">
        <v>1096</v>
      </c>
    </row>
    <row r="107" spans="1:12" hidden="1">
      <c r="A107" s="405" t="s">
        <v>1071</v>
      </c>
      <c r="B107" s="520" t="s">
        <v>552</v>
      </c>
      <c r="C107" s="520" t="s">
        <v>1129</v>
      </c>
      <c r="D107" s="520" t="s">
        <v>1130</v>
      </c>
      <c r="E107" s="520" t="s">
        <v>1131</v>
      </c>
      <c r="F107" s="520" t="s">
        <v>1132</v>
      </c>
      <c r="G107" s="520" t="s">
        <v>1132</v>
      </c>
      <c r="H107" s="520" t="s">
        <v>1133</v>
      </c>
      <c r="I107" s="520" t="s">
        <v>552</v>
      </c>
      <c r="J107" s="520" t="s">
        <v>1134</v>
      </c>
      <c r="K107" s="520" t="s">
        <v>1135</v>
      </c>
      <c r="L107" s="506" t="s">
        <v>1097</v>
      </c>
    </row>
    <row r="108" spans="1:12" hidden="1">
      <c r="A108" s="405" t="s">
        <v>1072</v>
      </c>
      <c r="B108" s="520" t="s">
        <v>554</v>
      </c>
      <c r="C108" s="520" t="s">
        <v>554</v>
      </c>
      <c r="D108" s="520" t="s">
        <v>1136</v>
      </c>
      <c r="E108" s="520" t="s">
        <v>1137</v>
      </c>
      <c r="F108" s="520" t="s">
        <v>1138</v>
      </c>
      <c r="G108" s="520" t="s">
        <v>1139</v>
      </c>
      <c r="H108" s="520" t="s">
        <v>1140</v>
      </c>
      <c r="I108" s="520" t="s">
        <v>554</v>
      </c>
      <c r="J108" s="520" t="s">
        <v>1141</v>
      </c>
      <c r="K108" s="520" t="s">
        <v>1142</v>
      </c>
      <c r="L108" s="506" t="s">
        <v>1098</v>
      </c>
    </row>
    <row r="109" spans="1:12" hidden="1">
      <c r="A109" s="405" t="s">
        <v>1073</v>
      </c>
      <c r="B109" s="520" t="s">
        <v>1143</v>
      </c>
      <c r="C109" s="520" t="s">
        <v>1144</v>
      </c>
      <c r="D109" s="520" t="s">
        <v>1145</v>
      </c>
      <c r="E109" s="520" t="s">
        <v>1146</v>
      </c>
      <c r="F109" s="520" t="s">
        <v>1147</v>
      </c>
      <c r="G109" s="520" t="s">
        <v>1148</v>
      </c>
      <c r="H109" s="520" t="s">
        <v>1149</v>
      </c>
      <c r="I109" s="520" t="s">
        <v>1150</v>
      </c>
      <c r="J109" s="520" t="s">
        <v>1151</v>
      </c>
      <c r="K109" s="520" t="s">
        <v>1152</v>
      </c>
      <c r="L109" s="506" t="s">
        <v>1099</v>
      </c>
    </row>
    <row r="110" spans="1:12" hidden="1">
      <c r="A110" s="405" t="s">
        <v>1074</v>
      </c>
      <c r="B110" s="520" t="s">
        <v>946</v>
      </c>
      <c r="C110" s="520" t="s">
        <v>1153</v>
      </c>
      <c r="D110" s="520" t="s">
        <v>1154</v>
      </c>
      <c r="E110" s="520" t="s">
        <v>1074</v>
      </c>
      <c r="F110" s="520" t="s">
        <v>1155</v>
      </c>
      <c r="G110" s="520" t="s">
        <v>1156</v>
      </c>
      <c r="H110" s="520" t="s">
        <v>1157</v>
      </c>
      <c r="I110" s="520" t="s">
        <v>1158</v>
      </c>
      <c r="J110" s="520" t="s">
        <v>1159</v>
      </c>
      <c r="K110" s="520" t="s">
        <v>1160</v>
      </c>
      <c r="L110" s="506" t="s">
        <v>1100</v>
      </c>
    </row>
    <row r="111" spans="1:12" hidden="1">
      <c r="A111" s="405" t="s">
        <v>1075</v>
      </c>
      <c r="B111" s="520" t="s">
        <v>947</v>
      </c>
      <c r="C111" s="520" t="s">
        <v>1161</v>
      </c>
      <c r="D111" s="520" t="s">
        <v>1162</v>
      </c>
      <c r="E111" s="520" t="s">
        <v>1163</v>
      </c>
      <c r="F111" s="520" t="s">
        <v>1164</v>
      </c>
      <c r="G111" s="520" t="s">
        <v>1165</v>
      </c>
      <c r="H111" s="520" t="s">
        <v>1166</v>
      </c>
      <c r="I111" s="520" t="s">
        <v>1167</v>
      </c>
      <c r="J111" s="520" t="s">
        <v>1168</v>
      </c>
      <c r="K111" s="520" t="s">
        <v>1169</v>
      </c>
      <c r="L111" s="506" t="s">
        <v>1101</v>
      </c>
    </row>
    <row r="112" spans="1:12" hidden="1">
      <c r="A112" s="405" t="s">
        <v>1076</v>
      </c>
      <c r="B112" s="520" t="s">
        <v>562</v>
      </c>
      <c r="C112" s="520" t="s">
        <v>562</v>
      </c>
      <c r="D112" s="520" t="s">
        <v>1076</v>
      </c>
      <c r="E112" s="520" t="s">
        <v>1076</v>
      </c>
      <c r="F112" s="520" t="s">
        <v>1170</v>
      </c>
      <c r="G112" s="520" t="s">
        <v>1170</v>
      </c>
      <c r="H112" s="520" t="s">
        <v>1171</v>
      </c>
      <c r="I112" s="520" t="s">
        <v>1172</v>
      </c>
      <c r="J112" s="520" t="s">
        <v>1173</v>
      </c>
      <c r="K112" s="520" t="s">
        <v>1174</v>
      </c>
      <c r="L112" s="506" t="s">
        <v>1102</v>
      </c>
    </row>
    <row r="113" spans="1:12" hidden="1">
      <c r="A113" s="405" t="s">
        <v>1077</v>
      </c>
      <c r="B113" s="520" t="s">
        <v>561</v>
      </c>
      <c r="C113" s="520" t="s">
        <v>561</v>
      </c>
      <c r="D113" s="520" t="s">
        <v>1077</v>
      </c>
      <c r="E113" s="520" t="s">
        <v>1077</v>
      </c>
      <c r="F113" s="520" t="s">
        <v>1175</v>
      </c>
      <c r="G113" s="520" t="s">
        <v>1175</v>
      </c>
      <c r="H113" s="520" t="s">
        <v>1176</v>
      </c>
      <c r="I113" s="520" t="s">
        <v>181</v>
      </c>
      <c r="J113" s="520" t="s">
        <v>1177</v>
      </c>
      <c r="K113" s="520" t="s">
        <v>1178</v>
      </c>
      <c r="L113" s="506" t="s">
        <v>1103</v>
      </c>
    </row>
    <row r="114" spans="1:12" hidden="1">
      <c r="A114" s="405" t="s">
        <v>1069</v>
      </c>
      <c r="B114" s="520" t="s">
        <v>560</v>
      </c>
      <c r="C114" s="520" t="s">
        <v>1179</v>
      </c>
      <c r="D114" s="520" t="s">
        <v>1180</v>
      </c>
      <c r="E114" s="520" t="s">
        <v>1181</v>
      </c>
      <c r="F114" s="520" t="s">
        <v>1182</v>
      </c>
      <c r="G114" s="520" t="s">
        <v>1183</v>
      </c>
      <c r="H114" s="520" t="s">
        <v>1184</v>
      </c>
      <c r="I114" s="520" t="s">
        <v>1185</v>
      </c>
      <c r="J114" s="520" t="s">
        <v>1186</v>
      </c>
      <c r="K114" s="520" t="s">
        <v>1187</v>
      </c>
    </row>
    <row r="115" spans="1:12" hidden="1">
      <c r="A115" s="405" t="s">
        <v>1078</v>
      </c>
      <c r="B115" s="520" t="s">
        <v>948</v>
      </c>
      <c r="C115" s="520" t="s">
        <v>1188</v>
      </c>
      <c r="D115" s="520" t="s">
        <v>1189</v>
      </c>
      <c r="E115" s="520" t="s">
        <v>1190</v>
      </c>
      <c r="F115" s="520" t="s">
        <v>1191</v>
      </c>
      <c r="G115" s="520" t="s">
        <v>1191</v>
      </c>
      <c r="H115" s="520" t="s">
        <v>1192</v>
      </c>
      <c r="I115" s="520" t="s">
        <v>1193</v>
      </c>
      <c r="J115" s="520" t="s">
        <v>1194</v>
      </c>
      <c r="K115" s="520" t="s">
        <v>1195</v>
      </c>
    </row>
    <row r="116" spans="1:12" hidden="1">
      <c r="A116" s="405" t="s">
        <v>1079</v>
      </c>
      <c r="B116" s="520" t="s">
        <v>949</v>
      </c>
      <c r="C116" s="520" t="s">
        <v>1196</v>
      </c>
      <c r="D116" s="520" t="s">
        <v>1079</v>
      </c>
      <c r="E116" s="520" t="s">
        <v>1079</v>
      </c>
      <c r="F116" s="520" t="s">
        <v>1197</v>
      </c>
      <c r="G116" s="520" t="s">
        <v>1197</v>
      </c>
      <c r="H116" s="520" t="s">
        <v>1198</v>
      </c>
      <c r="I116" s="520" t="s">
        <v>1199</v>
      </c>
      <c r="J116" s="520" t="s">
        <v>1200</v>
      </c>
      <c r="K116" s="520" t="s">
        <v>1201</v>
      </c>
    </row>
    <row r="117" spans="1:12" hidden="1">
      <c r="A117" s="405" t="s">
        <v>1080</v>
      </c>
      <c r="B117" s="520" t="s">
        <v>950</v>
      </c>
      <c r="C117" s="520" t="s">
        <v>1202</v>
      </c>
      <c r="D117" s="520" t="s">
        <v>1203</v>
      </c>
      <c r="E117" s="520" t="s">
        <v>1204</v>
      </c>
      <c r="F117" s="520" t="s">
        <v>1205</v>
      </c>
      <c r="G117" s="520" t="s">
        <v>1205</v>
      </c>
      <c r="H117" s="520" t="s">
        <v>1206</v>
      </c>
      <c r="I117" s="520" t="s">
        <v>1080</v>
      </c>
      <c r="J117" s="520" t="s">
        <v>1207</v>
      </c>
      <c r="K117" s="520" t="s">
        <v>1208</v>
      </c>
    </row>
    <row r="118" spans="1:12" hidden="1">
      <c r="A118" s="405" t="s">
        <v>1081</v>
      </c>
      <c r="B118" s="520" t="s">
        <v>951</v>
      </c>
      <c r="C118" s="520" t="s">
        <v>1209</v>
      </c>
      <c r="D118" s="520" t="s">
        <v>1210</v>
      </c>
      <c r="E118" s="520" t="s">
        <v>1211</v>
      </c>
      <c r="F118" s="520" t="s">
        <v>1212</v>
      </c>
      <c r="G118" s="520" t="s">
        <v>1212</v>
      </c>
      <c r="H118" s="520" t="s">
        <v>1213</v>
      </c>
      <c r="I118" s="520" t="s">
        <v>1081</v>
      </c>
      <c r="J118" s="520" t="s">
        <v>1214</v>
      </c>
      <c r="K118" s="520" t="s">
        <v>1215</v>
      </c>
    </row>
    <row r="119" spans="1:12" hidden="1">
      <c r="A119" s="405" t="s">
        <v>1082</v>
      </c>
      <c r="B119" s="520" t="s">
        <v>952</v>
      </c>
      <c r="C119" s="406" t="s">
        <v>1216</v>
      </c>
      <c r="D119" s="520" t="s">
        <v>1217</v>
      </c>
      <c r="E119" s="520" t="s">
        <v>1218</v>
      </c>
      <c r="F119" s="520" t="s">
        <v>1219</v>
      </c>
      <c r="G119" s="520" t="s">
        <v>1220</v>
      </c>
      <c r="H119" s="520" t="s">
        <v>1221</v>
      </c>
      <c r="I119" s="520" t="s">
        <v>1222</v>
      </c>
      <c r="J119" s="520" t="s">
        <v>1223</v>
      </c>
      <c r="K119" s="520" t="s">
        <v>1224</v>
      </c>
    </row>
    <row r="120" spans="1:12" hidden="1">
      <c r="A120" s="405" t="s">
        <v>1091</v>
      </c>
      <c r="B120" s="520" t="s">
        <v>1225</v>
      </c>
      <c r="C120" s="520" t="s">
        <v>1226</v>
      </c>
      <c r="D120" s="520" t="s">
        <v>1227</v>
      </c>
      <c r="E120" s="520" t="s">
        <v>1228</v>
      </c>
      <c r="F120" s="520" t="s">
        <v>1229</v>
      </c>
      <c r="G120" s="520" t="s">
        <v>1229</v>
      </c>
      <c r="H120" s="520" t="s">
        <v>1230</v>
      </c>
      <c r="I120" s="520" t="s">
        <v>1231</v>
      </c>
      <c r="J120" s="520" t="s">
        <v>1232</v>
      </c>
      <c r="K120" s="520" t="s">
        <v>1229</v>
      </c>
    </row>
    <row r="121" spans="1:12" hidden="1">
      <c r="A121" s="405" t="s">
        <v>1092</v>
      </c>
      <c r="B121" s="520" t="s">
        <v>1233</v>
      </c>
      <c r="C121" s="520" t="s">
        <v>1234</v>
      </c>
      <c r="D121" s="520" t="s">
        <v>1235</v>
      </c>
      <c r="E121" s="520" t="s">
        <v>1236</v>
      </c>
      <c r="F121" s="520" t="s">
        <v>1237</v>
      </c>
      <c r="G121" s="520" t="s">
        <v>1237</v>
      </c>
      <c r="H121" s="520" t="s">
        <v>1238</v>
      </c>
      <c r="I121" s="520" t="s">
        <v>1239</v>
      </c>
      <c r="J121" s="520" t="s">
        <v>1240</v>
      </c>
      <c r="K121" s="520" t="s">
        <v>1237</v>
      </c>
    </row>
    <row r="122" spans="1:12" hidden="1"/>
    <row r="123" spans="1:12" hidden="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6673" r:id="rId3" name="Drop Down 1">
              <controlPr defaultSize="0" autoLine="0" autoPict="0">
                <anchor moveWithCells="1">
                  <from>
                    <xdr:col>15</xdr:col>
                    <xdr:colOff>533400</xdr:colOff>
                    <xdr:row>0</xdr:row>
                    <xdr:rowOff>104775</xdr:rowOff>
                  </from>
                  <to>
                    <xdr:col>15</xdr:col>
                    <xdr:colOff>1419225</xdr:colOff>
                    <xdr:row>1</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sheetPr>
  <dimension ref="A1:A5299"/>
  <sheetViews>
    <sheetView showGridLines="0" workbookViewId="0"/>
  </sheetViews>
  <sheetFormatPr baseColWidth="10" defaultColWidth="11" defaultRowHeight="15.75"/>
  <sheetData>
    <row r="1" spans="1:1">
      <c r="A1" t="s">
        <v>937</v>
      </c>
    </row>
    <row r="2" spans="1:1">
      <c r="A2" t="s">
        <v>1543</v>
      </c>
    </row>
    <row r="3" spans="1:1">
      <c r="A3" t="s">
        <v>1544</v>
      </c>
    </row>
    <row r="4" spans="1:1">
      <c r="A4" t="s">
        <v>1545</v>
      </c>
    </row>
    <row r="5" spans="1:1">
      <c r="A5" t="s">
        <v>1546</v>
      </c>
    </row>
    <row r="6" spans="1:1">
      <c r="A6" t="s">
        <v>1547</v>
      </c>
    </row>
    <row r="7" spans="1:1">
      <c r="A7" t="s">
        <v>1548</v>
      </c>
    </row>
    <row r="8" spans="1:1">
      <c r="A8" t="s">
        <v>1549</v>
      </c>
    </row>
    <row r="9" spans="1:1">
      <c r="A9" t="s">
        <v>1550</v>
      </c>
    </row>
    <row r="10" spans="1:1">
      <c r="A10" t="s">
        <v>1551</v>
      </c>
    </row>
    <row r="11" spans="1:1">
      <c r="A11" t="s">
        <v>1552</v>
      </c>
    </row>
    <row r="12" spans="1:1">
      <c r="A12" t="s">
        <v>1553</v>
      </c>
    </row>
    <row r="13" spans="1:1">
      <c r="A13" t="s">
        <v>1554</v>
      </c>
    </row>
    <row r="14" spans="1:1">
      <c r="A14" t="s">
        <v>1555</v>
      </c>
    </row>
    <row r="15" spans="1:1">
      <c r="A15" t="s">
        <v>1556</v>
      </c>
    </row>
    <row r="16" spans="1:1">
      <c r="A16" t="s">
        <v>1557</v>
      </c>
    </row>
    <row r="17" spans="1:1">
      <c r="A17" t="s">
        <v>1558</v>
      </c>
    </row>
    <row r="18" spans="1:1">
      <c r="A18" t="s">
        <v>1559</v>
      </c>
    </row>
    <row r="19" spans="1:1">
      <c r="A19" t="s">
        <v>1560</v>
      </c>
    </row>
    <row r="20" spans="1:1">
      <c r="A20" t="s">
        <v>1561</v>
      </c>
    </row>
    <row r="21" spans="1:1">
      <c r="A21" t="s">
        <v>1562</v>
      </c>
    </row>
    <row r="22" spans="1:1">
      <c r="A22" t="s">
        <v>1563</v>
      </c>
    </row>
    <row r="23" spans="1:1">
      <c r="A23" t="s">
        <v>1564</v>
      </c>
    </row>
    <row r="24" spans="1:1">
      <c r="A24" t="s">
        <v>1565</v>
      </c>
    </row>
    <row r="25" spans="1:1">
      <c r="A25" t="s">
        <v>1566</v>
      </c>
    </row>
    <row r="26" spans="1:1">
      <c r="A26" t="s">
        <v>1567</v>
      </c>
    </row>
    <row r="27" spans="1:1">
      <c r="A27" t="s">
        <v>1568</v>
      </c>
    </row>
    <row r="28" spans="1:1">
      <c r="A28" t="s">
        <v>1569</v>
      </c>
    </row>
    <row r="29" spans="1:1">
      <c r="A29" t="s">
        <v>1570</v>
      </c>
    </row>
    <row r="30" spans="1:1">
      <c r="A30" t="s">
        <v>1571</v>
      </c>
    </row>
    <row r="31" spans="1:1">
      <c r="A31" t="s">
        <v>1572</v>
      </c>
    </row>
    <row r="32" spans="1:1">
      <c r="A32" t="s">
        <v>1573</v>
      </c>
    </row>
    <row r="33" spans="1:1">
      <c r="A33" t="s">
        <v>1574</v>
      </c>
    </row>
    <row r="34" spans="1:1">
      <c r="A34" t="s">
        <v>1575</v>
      </c>
    </row>
    <row r="35" spans="1:1">
      <c r="A35" t="s">
        <v>1576</v>
      </c>
    </row>
    <row r="36" spans="1:1">
      <c r="A36" t="s">
        <v>1577</v>
      </c>
    </row>
    <row r="37" spans="1:1">
      <c r="A37" t="s">
        <v>1578</v>
      </c>
    </row>
    <row r="38" spans="1:1">
      <c r="A38" t="s">
        <v>1579</v>
      </c>
    </row>
    <row r="39" spans="1:1">
      <c r="A39" t="s">
        <v>1580</v>
      </c>
    </row>
    <row r="40" spans="1:1">
      <c r="A40" t="s">
        <v>1581</v>
      </c>
    </row>
    <row r="41" spans="1:1">
      <c r="A41" t="s">
        <v>1582</v>
      </c>
    </row>
    <row r="42" spans="1:1">
      <c r="A42" t="s">
        <v>1583</v>
      </c>
    </row>
    <row r="43" spans="1:1">
      <c r="A43" t="s">
        <v>1584</v>
      </c>
    </row>
    <row r="44" spans="1:1">
      <c r="A44" t="s">
        <v>1585</v>
      </c>
    </row>
    <row r="45" spans="1:1">
      <c r="A45" t="s">
        <v>1586</v>
      </c>
    </row>
    <row r="46" spans="1:1">
      <c r="A46" t="s">
        <v>1587</v>
      </c>
    </row>
    <row r="47" spans="1:1">
      <c r="A47" t="s">
        <v>1588</v>
      </c>
    </row>
    <row r="48" spans="1:1">
      <c r="A48" t="s">
        <v>1589</v>
      </c>
    </row>
    <row r="49" spans="1:1">
      <c r="A49" t="s">
        <v>1590</v>
      </c>
    </row>
    <row r="50" spans="1:1">
      <c r="A50" t="s">
        <v>1591</v>
      </c>
    </row>
    <row r="51" spans="1:1">
      <c r="A51" t="s">
        <v>1592</v>
      </c>
    </row>
    <row r="52" spans="1:1">
      <c r="A52" t="s">
        <v>1593</v>
      </c>
    </row>
    <row r="53" spans="1:1">
      <c r="A53" t="s">
        <v>1594</v>
      </c>
    </row>
    <row r="54" spans="1:1">
      <c r="A54" t="s">
        <v>1595</v>
      </c>
    </row>
    <row r="55" spans="1:1">
      <c r="A55" t="s">
        <v>1596</v>
      </c>
    </row>
    <row r="56" spans="1:1">
      <c r="A56" t="s">
        <v>1597</v>
      </c>
    </row>
    <row r="57" spans="1:1">
      <c r="A57" t="s">
        <v>1598</v>
      </c>
    </row>
    <row r="58" spans="1:1">
      <c r="A58" t="s">
        <v>1599</v>
      </c>
    </row>
    <row r="59" spans="1:1">
      <c r="A59" t="s">
        <v>1600</v>
      </c>
    </row>
    <row r="60" spans="1:1">
      <c r="A60" t="s">
        <v>1601</v>
      </c>
    </row>
    <row r="61" spans="1:1">
      <c r="A61" t="s">
        <v>1602</v>
      </c>
    </row>
    <row r="62" spans="1:1">
      <c r="A62" t="s">
        <v>1603</v>
      </c>
    </row>
    <row r="63" spans="1:1">
      <c r="A63" t="s">
        <v>1604</v>
      </c>
    </row>
    <row r="64" spans="1:1">
      <c r="A64" t="s">
        <v>1605</v>
      </c>
    </row>
    <row r="65" spans="1:1">
      <c r="A65" t="s">
        <v>1606</v>
      </c>
    </row>
    <row r="66" spans="1:1">
      <c r="A66" t="s">
        <v>1607</v>
      </c>
    </row>
    <row r="67" spans="1:1">
      <c r="A67" t="s">
        <v>1608</v>
      </c>
    </row>
    <row r="68" spans="1:1">
      <c r="A68" t="s">
        <v>1609</v>
      </c>
    </row>
    <row r="69" spans="1:1">
      <c r="A69" t="s">
        <v>1610</v>
      </c>
    </row>
    <row r="70" spans="1:1">
      <c r="A70" t="s">
        <v>1611</v>
      </c>
    </row>
    <row r="71" spans="1:1">
      <c r="A71" t="s">
        <v>1612</v>
      </c>
    </row>
    <row r="72" spans="1:1">
      <c r="A72" t="s">
        <v>1613</v>
      </c>
    </row>
    <row r="73" spans="1:1">
      <c r="A73" t="s">
        <v>1614</v>
      </c>
    </row>
    <row r="74" spans="1:1">
      <c r="A74" t="s">
        <v>1615</v>
      </c>
    </row>
    <row r="75" spans="1:1">
      <c r="A75" t="s">
        <v>1616</v>
      </c>
    </row>
    <row r="76" spans="1:1">
      <c r="A76" t="s">
        <v>1617</v>
      </c>
    </row>
    <row r="77" spans="1:1">
      <c r="A77" t="s">
        <v>1618</v>
      </c>
    </row>
    <row r="78" spans="1:1">
      <c r="A78" t="s">
        <v>1619</v>
      </c>
    </row>
    <row r="79" spans="1:1">
      <c r="A79" t="s">
        <v>1620</v>
      </c>
    </row>
    <row r="80" spans="1:1">
      <c r="A80" t="s">
        <v>1621</v>
      </c>
    </row>
    <row r="81" spans="1:1">
      <c r="A81" t="s">
        <v>1622</v>
      </c>
    </row>
    <row r="82" spans="1:1">
      <c r="A82" t="s">
        <v>1623</v>
      </c>
    </row>
    <row r="83" spans="1:1">
      <c r="A83" t="s">
        <v>1624</v>
      </c>
    </row>
    <row r="84" spans="1:1">
      <c r="A84" t="s">
        <v>1625</v>
      </c>
    </row>
    <row r="85" spans="1:1">
      <c r="A85" t="s">
        <v>1626</v>
      </c>
    </row>
    <row r="86" spans="1:1">
      <c r="A86" t="s">
        <v>1627</v>
      </c>
    </row>
    <row r="87" spans="1:1">
      <c r="A87" t="s">
        <v>1628</v>
      </c>
    </row>
    <row r="88" spans="1:1">
      <c r="A88" t="s">
        <v>1629</v>
      </c>
    </row>
    <row r="89" spans="1:1">
      <c r="A89" t="s">
        <v>1630</v>
      </c>
    </row>
    <row r="90" spans="1:1">
      <c r="A90" t="s">
        <v>1631</v>
      </c>
    </row>
    <row r="91" spans="1:1">
      <c r="A91" t="s">
        <v>1632</v>
      </c>
    </row>
    <row r="92" spans="1:1">
      <c r="A92" t="s">
        <v>1633</v>
      </c>
    </row>
    <row r="93" spans="1:1">
      <c r="A93" t="s">
        <v>1634</v>
      </c>
    </row>
    <row r="94" spans="1:1">
      <c r="A94" t="s">
        <v>1635</v>
      </c>
    </row>
    <row r="95" spans="1:1">
      <c r="A95" t="s">
        <v>1636</v>
      </c>
    </row>
    <row r="96" spans="1:1">
      <c r="A96" t="s">
        <v>1637</v>
      </c>
    </row>
    <row r="97" spans="1:1">
      <c r="A97" t="s">
        <v>1638</v>
      </c>
    </row>
    <row r="98" spans="1:1">
      <c r="A98" t="s">
        <v>1639</v>
      </c>
    </row>
    <row r="99" spans="1:1">
      <c r="A99" t="s">
        <v>1640</v>
      </c>
    </row>
    <row r="100" spans="1:1">
      <c r="A100" t="s">
        <v>1641</v>
      </c>
    </row>
    <row r="101" spans="1:1">
      <c r="A101" t="s">
        <v>1642</v>
      </c>
    </row>
    <row r="102" spans="1:1">
      <c r="A102" t="s">
        <v>1643</v>
      </c>
    </row>
    <row r="103" spans="1:1">
      <c r="A103" t="s">
        <v>1644</v>
      </c>
    </row>
    <row r="104" spans="1:1">
      <c r="A104" t="s">
        <v>1645</v>
      </c>
    </row>
    <row r="105" spans="1:1">
      <c r="A105" t="s">
        <v>1646</v>
      </c>
    </row>
    <row r="106" spans="1:1">
      <c r="A106" t="s">
        <v>1647</v>
      </c>
    </row>
    <row r="107" spans="1:1">
      <c r="A107" t="s">
        <v>1648</v>
      </c>
    </row>
    <row r="108" spans="1:1">
      <c r="A108" t="s">
        <v>1649</v>
      </c>
    </row>
    <row r="109" spans="1:1">
      <c r="A109" t="s">
        <v>1650</v>
      </c>
    </row>
    <row r="110" spans="1:1">
      <c r="A110" t="s">
        <v>1651</v>
      </c>
    </row>
    <row r="111" spans="1:1">
      <c r="A111" t="s">
        <v>1652</v>
      </c>
    </row>
    <row r="112" spans="1:1">
      <c r="A112" t="s">
        <v>1653</v>
      </c>
    </row>
    <row r="113" spans="1:1">
      <c r="A113" t="s">
        <v>1654</v>
      </c>
    </row>
    <row r="114" spans="1:1">
      <c r="A114" t="s">
        <v>1655</v>
      </c>
    </row>
    <row r="115" spans="1:1">
      <c r="A115" t="s">
        <v>1656</v>
      </c>
    </row>
    <row r="116" spans="1:1">
      <c r="A116" t="s">
        <v>1657</v>
      </c>
    </row>
    <row r="117" spans="1:1">
      <c r="A117" t="s">
        <v>1658</v>
      </c>
    </row>
    <row r="118" spans="1:1">
      <c r="A118" t="s">
        <v>1659</v>
      </c>
    </row>
    <row r="119" spans="1:1">
      <c r="A119" t="s">
        <v>1660</v>
      </c>
    </row>
    <row r="120" spans="1:1">
      <c r="A120" t="s">
        <v>1661</v>
      </c>
    </row>
    <row r="121" spans="1:1">
      <c r="A121" t="s">
        <v>1662</v>
      </c>
    </row>
    <row r="122" spans="1:1">
      <c r="A122" t="s">
        <v>1663</v>
      </c>
    </row>
    <row r="123" spans="1:1">
      <c r="A123" t="s">
        <v>1664</v>
      </c>
    </row>
    <row r="124" spans="1:1">
      <c r="A124" t="s">
        <v>1665</v>
      </c>
    </row>
    <row r="125" spans="1:1">
      <c r="A125" t="s">
        <v>1666</v>
      </c>
    </row>
    <row r="126" spans="1:1">
      <c r="A126" t="s">
        <v>1667</v>
      </c>
    </row>
    <row r="127" spans="1:1">
      <c r="A127" t="s">
        <v>1668</v>
      </c>
    </row>
    <row r="128" spans="1:1">
      <c r="A128" t="s">
        <v>1669</v>
      </c>
    </row>
    <row r="129" spans="1:1">
      <c r="A129" t="s">
        <v>1670</v>
      </c>
    </row>
    <row r="130" spans="1:1">
      <c r="A130" t="s">
        <v>1671</v>
      </c>
    </row>
    <row r="131" spans="1:1">
      <c r="A131" t="s">
        <v>1672</v>
      </c>
    </row>
    <row r="132" spans="1:1">
      <c r="A132" t="s">
        <v>1673</v>
      </c>
    </row>
    <row r="133" spans="1:1">
      <c r="A133" t="s">
        <v>1674</v>
      </c>
    </row>
    <row r="134" spans="1:1">
      <c r="A134" t="s">
        <v>1675</v>
      </c>
    </row>
    <row r="135" spans="1:1">
      <c r="A135" t="s">
        <v>1676</v>
      </c>
    </row>
    <row r="136" spans="1:1">
      <c r="A136" t="s">
        <v>1677</v>
      </c>
    </row>
    <row r="137" spans="1:1">
      <c r="A137" t="s">
        <v>1678</v>
      </c>
    </row>
    <row r="138" spans="1:1">
      <c r="A138" t="s">
        <v>1679</v>
      </c>
    </row>
    <row r="139" spans="1:1">
      <c r="A139" t="s">
        <v>1680</v>
      </c>
    </row>
    <row r="140" spans="1:1">
      <c r="A140" t="s">
        <v>1681</v>
      </c>
    </row>
    <row r="141" spans="1:1">
      <c r="A141" t="s">
        <v>1682</v>
      </c>
    </row>
    <row r="142" spans="1:1">
      <c r="A142" t="s">
        <v>1683</v>
      </c>
    </row>
    <row r="143" spans="1:1">
      <c r="A143" t="s">
        <v>1684</v>
      </c>
    </row>
    <row r="144" spans="1:1">
      <c r="A144" t="s">
        <v>1685</v>
      </c>
    </row>
    <row r="145" spans="1:1">
      <c r="A145" t="s">
        <v>1686</v>
      </c>
    </row>
    <row r="146" spans="1:1">
      <c r="A146" t="s">
        <v>1687</v>
      </c>
    </row>
    <row r="147" spans="1:1">
      <c r="A147" t="s">
        <v>1688</v>
      </c>
    </row>
    <row r="148" spans="1:1">
      <c r="A148" t="s">
        <v>1689</v>
      </c>
    </row>
    <row r="149" spans="1:1">
      <c r="A149" t="s">
        <v>1690</v>
      </c>
    </row>
    <row r="150" spans="1:1">
      <c r="A150" t="s">
        <v>1691</v>
      </c>
    </row>
    <row r="151" spans="1:1">
      <c r="A151" t="s">
        <v>1692</v>
      </c>
    </row>
    <row r="152" spans="1:1">
      <c r="A152" t="s">
        <v>1693</v>
      </c>
    </row>
    <row r="153" spans="1:1">
      <c r="A153" t="s">
        <v>1694</v>
      </c>
    </row>
    <row r="154" spans="1:1">
      <c r="A154" t="s">
        <v>1695</v>
      </c>
    </row>
    <row r="155" spans="1:1">
      <c r="A155" t="s">
        <v>1696</v>
      </c>
    </row>
    <row r="156" spans="1:1">
      <c r="A156" t="s">
        <v>1697</v>
      </c>
    </row>
    <row r="157" spans="1:1">
      <c r="A157" t="s">
        <v>1698</v>
      </c>
    </row>
    <row r="158" spans="1:1">
      <c r="A158" t="s">
        <v>1699</v>
      </c>
    </row>
    <row r="159" spans="1:1">
      <c r="A159" t="s">
        <v>1700</v>
      </c>
    </row>
    <row r="160" spans="1:1">
      <c r="A160" t="s">
        <v>1701</v>
      </c>
    </row>
    <row r="161" spans="1:1">
      <c r="A161" t="s">
        <v>1702</v>
      </c>
    </row>
    <row r="162" spans="1:1">
      <c r="A162" t="s">
        <v>1703</v>
      </c>
    </row>
    <row r="163" spans="1:1">
      <c r="A163" t="s">
        <v>1704</v>
      </c>
    </row>
    <row r="164" spans="1:1">
      <c r="A164" t="s">
        <v>1705</v>
      </c>
    </row>
    <row r="165" spans="1:1">
      <c r="A165" t="s">
        <v>1706</v>
      </c>
    </row>
    <row r="166" spans="1:1">
      <c r="A166" t="s">
        <v>1707</v>
      </c>
    </row>
    <row r="167" spans="1:1">
      <c r="A167" t="s">
        <v>1708</v>
      </c>
    </row>
    <row r="168" spans="1:1">
      <c r="A168" t="s">
        <v>1709</v>
      </c>
    </row>
    <row r="169" spans="1:1">
      <c r="A169" t="s">
        <v>1710</v>
      </c>
    </row>
    <row r="170" spans="1:1">
      <c r="A170" t="s">
        <v>1711</v>
      </c>
    </row>
    <row r="171" spans="1:1">
      <c r="A171" t="s">
        <v>1712</v>
      </c>
    </row>
    <row r="172" spans="1:1">
      <c r="A172" t="s">
        <v>1713</v>
      </c>
    </row>
    <row r="173" spans="1:1">
      <c r="A173" t="s">
        <v>1714</v>
      </c>
    </row>
    <row r="174" spans="1:1">
      <c r="A174" t="s">
        <v>1715</v>
      </c>
    </row>
    <row r="175" spans="1:1">
      <c r="A175" t="s">
        <v>1716</v>
      </c>
    </row>
    <row r="176" spans="1:1">
      <c r="A176" t="s">
        <v>1717</v>
      </c>
    </row>
    <row r="177" spans="1:1">
      <c r="A177" t="s">
        <v>1718</v>
      </c>
    </row>
    <row r="178" spans="1:1">
      <c r="A178" t="s">
        <v>1719</v>
      </c>
    </row>
    <row r="179" spans="1:1">
      <c r="A179" t="s">
        <v>1720</v>
      </c>
    </row>
    <row r="180" spans="1:1">
      <c r="A180" t="s">
        <v>1721</v>
      </c>
    </row>
    <row r="181" spans="1:1">
      <c r="A181" t="s">
        <v>1722</v>
      </c>
    </row>
    <row r="182" spans="1:1">
      <c r="A182" t="s">
        <v>1723</v>
      </c>
    </row>
    <row r="183" spans="1:1">
      <c r="A183" t="s">
        <v>1724</v>
      </c>
    </row>
    <row r="184" spans="1:1">
      <c r="A184" t="s">
        <v>1725</v>
      </c>
    </row>
    <row r="185" spans="1:1">
      <c r="A185" t="s">
        <v>1726</v>
      </c>
    </row>
    <row r="186" spans="1:1">
      <c r="A186" t="s">
        <v>1727</v>
      </c>
    </row>
    <row r="187" spans="1:1">
      <c r="A187" t="s">
        <v>1728</v>
      </c>
    </row>
    <row r="188" spans="1:1">
      <c r="A188" t="s">
        <v>1729</v>
      </c>
    </row>
    <row r="189" spans="1:1">
      <c r="A189" t="s">
        <v>1730</v>
      </c>
    </row>
    <row r="190" spans="1:1">
      <c r="A190" t="s">
        <v>1731</v>
      </c>
    </row>
    <row r="191" spans="1:1">
      <c r="A191" t="s">
        <v>1732</v>
      </c>
    </row>
    <row r="192" spans="1:1">
      <c r="A192" t="s">
        <v>1733</v>
      </c>
    </row>
    <row r="193" spans="1:1">
      <c r="A193" t="s">
        <v>1734</v>
      </c>
    </row>
    <row r="194" spans="1:1">
      <c r="A194" t="s">
        <v>1735</v>
      </c>
    </row>
    <row r="195" spans="1:1">
      <c r="A195" t="s">
        <v>1736</v>
      </c>
    </row>
    <row r="196" spans="1:1">
      <c r="A196" t="s">
        <v>1737</v>
      </c>
    </row>
    <row r="197" spans="1:1">
      <c r="A197" t="s">
        <v>1738</v>
      </c>
    </row>
    <row r="198" spans="1:1">
      <c r="A198" t="s">
        <v>1739</v>
      </c>
    </row>
    <row r="199" spans="1:1">
      <c r="A199" t="s">
        <v>1740</v>
      </c>
    </row>
    <row r="200" spans="1:1">
      <c r="A200" t="s">
        <v>1741</v>
      </c>
    </row>
    <row r="201" spans="1:1">
      <c r="A201" t="s">
        <v>1742</v>
      </c>
    </row>
    <row r="202" spans="1:1">
      <c r="A202" t="s">
        <v>1743</v>
      </c>
    </row>
    <row r="203" spans="1:1">
      <c r="A203" t="s">
        <v>1744</v>
      </c>
    </row>
    <row r="204" spans="1:1">
      <c r="A204" t="s">
        <v>1745</v>
      </c>
    </row>
    <row r="205" spans="1:1">
      <c r="A205" t="s">
        <v>1746</v>
      </c>
    </row>
    <row r="206" spans="1:1">
      <c r="A206" t="s">
        <v>1747</v>
      </c>
    </row>
    <row r="207" spans="1:1">
      <c r="A207" t="s">
        <v>1748</v>
      </c>
    </row>
    <row r="208" spans="1:1">
      <c r="A208" t="s">
        <v>1749</v>
      </c>
    </row>
    <row r="209" spans="1:1">
      <c r="A209" t="s">
        <v>1750</v>
      </c>
    </row>
    <row r="210" spans="1:1">
      <c r="A210" t="s">
        <v>1751</v>
      </c>
    </row>
    <row r="211" spans="1:1">
      <c r="A211" t="s">
        <v>1752</v>
      </c>
    </row>
    <row r="212" spans="1:1">
      <c r="A212" t="s">
        <v>1753</v>
      </c>
    </row>
    <row r="213" spans="1:1">
      <c r="A213" t="s">
        <v>1754</v>
      </c>
    </row>
    <row r="214" spans="1:1">
      <c r="A214" t="s">
        <v>1755</v>
      </c>
    </row>
    <row r="215" spans="1:1">
      <c r="A215" t="s">
        <v>1756</v>
      </c>
    </row>
    <row r="216" spans="1:1">
      <c r="A216" t="s">
        <v>1757</v>
      </c>
    </row>
    <row r="217" spans="1:1">
      <c r="A217" t="s">
        <v>1758</v>
      </c>
    </row>
    <row r="218" spans="1:1">
      <c r="A218" t="s">
        <v>1759</v>
      </c>
    </row>
    <row r="219" spans="1:1">
      <c r="A219" t="s">
        <v>1760</v>
      </c>
    </row>
    <row r="220" spans="1:1">
      <c r="A220" t="s">
        <v>1761</v>
      </c>
    </row>
    <row r="221" spans="1:1">
      <c r="A221" t="s">
        <v>1762</v>
      </c>
    </row>
    <row r="222" spans="1:1">
      <c r="A222" t="s">
        <v>1763</v>
      </c>
    </row>
    <row r="223" spans="1:1">
      <c r="A223" t="s">
        <v>1764</v>
      </c>
    </row>
    <row r="224" spans="1:1">
      <c r="A224" t="s">
        <v>1765</v>
      </c>
    </row>
    <row r="225" spans="1:1">
      <c r="A225" t="s">
        <v>1766</v>
      </c>
    </row>
    <row r="226" spans="1:1">
      <c r="A226" t="s">
        <v>1767</v>
      </c>
    </row>
    <row r="227" spans="1:1">
      <c r="A227" t="s">
        <v>1768</v>
      </c>
    </row>
    <row r="228" spans="1:1">
      <c r="A228" t="s">
        <v>1769</v>
      </c>
    </row>
    <row r="229" spans="1:1">
      <c r="A229" t="s">
        <v>1770</v>
      </c>
    </row>
    <row r="230" spans="1:1">
      <c r="A230" t="s">
        <v>1771</v>
      </c>
    </row>
    <row r="231" spans="1:1">
      <c r="A231" t="s">
        <v>1772</v>
      </c>
    </row>
    <row r="232" spans="1:1">
      <c r="A232" t="s">
        <v>1773</v>
      </c>
    </row>
    <row r="233" spans="1:1">
      <c r="A233" t="s">
        <v>1774</v>
      </c>
    </row>
    <row r="234" spans="1:1">
      <c r="A234" t="s">
        <v>1775</v>
      </c>
    </row>
    <row r="235" spans="1:1">
      <c r="A235" t="s">
        <v>1776</v>
      </c>
    </row>
    <row r="236" spans="1:1">
      <c r="A236" t="s">
        <v>1777</v>
      </c>
    </row>
    <row r="237" spans="1:1">
      <c r="A237" t="s">
        <v>1778</v>
      </c>
    </row>
    <row r="238" spans="1:1">
      <c r="A238" t="s">
        <v>1779</v>
      </c>
    </row>
    <row r="239" spans="1:1">
      <c r="A239" t="s">
        <v>1780</v>
      </c>
    </row>
    <row r="240" spans="1:1">
      <c r="A240" t="s">
        <v>1781</v>
      </c>
    </row>
    <row r="241" spans="1:1">
      <c r="A241" t="s">
        <v>1782</v>
      </c>
    </row>
    <row r="242" spans="1:1">
      <c r="A242" t="s">
        <v>1783</v>
      </c>
    </row>
    <row r="243" spans="1:1">
      <c r="A243" t="s">
        <v>1784</v>
      </c>
    </row>
    <row r="244" spans="1:1">
      <c r="A244" t="s">
        <v>1785</v>
      </c>
    </row>
    <row r="245" spans="1:1">
      <c r="A245" t="s">
        <v>1786</v>
      </c>
    </row>
    <row r="246" spans="1:1">
      <c r="A246" t="s">
        <v>1787</v>
      </c>
    </row>
    <row r="247" spans="1:1">
      <c r="A247" t="s">
        <v>1788</v>
      </c>
    </row>
    <row r="248" spans="1:1">
      <c r="A248" t="s">
        <v>1789</v>
      </c>
    </row>
    <row r="249" spans="1:1">
      <c r="A249" t="s">
        <v>1790</v>
      </c>
    </row>
    <row r="250" spans="1:1">
      <c r="A250" t="s">
        <v>1791</v>
      </c>
    </row>
    <row r="251" spans="1:1">
      <c r="A251" t="s">
        <v>1792</v>
      </c>
    </row>
    <row r="252" spans="1:1">
      <c r="A252" t="s">
        <v>1793</v>
      </c>
    </row>
    <row r="253" spans="1:1">
      <c r="A253" t="s">
        <v>1794</v>
      </c>
    </row>
    <row r="254" spans="1:1">
      <c r="A254" t="s">
        <v>1795</v>
      </c>
    </row>
    <row r="255" spans="1:1">
      <c r="A255" t="s">
        <v>1796</v>
      </c>
    </row>
    <row r="256" spans="1:1">
      <c r="A256" t="s">
        <v>1797</v>
      </c>
    </row>
    <row r="257" spans="1:1">
      <c r="A257" t="s">
        <v>1798</v>
      </c>
    </row>
    <row r="258" spans="1:1">
      <c r="A258" t="s">
        <v>1799</v>
      </c>
    </row>
    <row r="259" spans="1:1">
      <c r="A259" t="s">
        <v>1800</v>
      </c>
    </row>
    <row r="260" spans="1:1">
      <c r="A260" t="s">
        <v>1801</v>
      </c>
    </row>
    <row r="261" spans="1:1">
      <c r="A261" t="s">
        <v>1802</v>
      </c>
    </row>
    <row r="262" spans="1:1">
      <c r="A262" t="s">
        <v>1803</v>
      </c>
    </row>
    <row r="263" spans="1:1">
      <c r="A263" t="s">
        <v>1804</v>
      </c>
    </row>
    <row r="264" spans="1:1">
      <c r="A264" t="s">
        <v>1805</v>
      </c>
    </row>
    <row r="265" spans="1:1">
      <c r="A265" t="s">
        <v>1806</v>
      </c>
    </row>
    <row r="266" spans="1:1">
      <c r="A266" t="s">
        <v>1807</v>
      </c>
    </row>
    <row r="267" spans="1:1">
      <c r="A267" t="s">
        <v>1808</v>
      </c>
    </row>
    <row r="268" spans="1:1">
      <c r="A268" t="s">
        <v>1809</v>
      </c>
    </row>
    <row r="269" spans="1:1">
      <c r="A269" t="s">
        <v>1810</v>
      </c>
    </row>
    <row r="270" spans="1:1">
      <c r="A270" t="s">
        <v>1811</v>
      </c>
    </row>
    <row r="271" spans="1:1">
      <c r="A271" t="s">
        <v>1812</v>
      </c>
    </row>
    <row r="272" spans="1:1">
      <c r="A272" t="s">
        <v>1813</v>
      </c>
    </row>
    <row r="273" spans="1:1">
      <c r="A273" t="s">
        <v>1814</v>
      </c>
    </row>
    <row r="274" spans="1:1">
      <c r="A274" t="s">
        <v>1815</v>
      </c>
    </row>
    <row r="275" spans="1:1">
      <c r="A275" t="s">
        <v>1816</v>
      </c>
    </row>
    <row r="276" spans="1:1">
      <c r="A276" t="s">
        <v>1817</v>
      </c>
    </row>
    <row r="277" spans="1:1">
      <c r="A277" t="s">
        <v>1818</v>
      </c>
    </row>
    <row r="278" spans="1:1">
      <c r="A278" t="s">
        <v>1819</v>
      </c>
    </row>
    <row r="279" spans="1:1">
      <c r="A279" t="s">
        <v>1820</v>
      </c>
    </row>
    <row r="280" spans="1:1">
      <c r="A280" t="s">
        <v>1821</v>
      </c>
    </row>
    <row r="281" spans="1:1">
      <c r="A281" t="s">
        <v>1822</v>
      </c>
    </row>
    <row r="282" spans="1:1">
      <c r="A282" t="s">
        <v>1823</v>
      </c>
    </row>
    <row r="283" spans="1:1">
      <c r="A283" t="s">
        <v>1824</v>
      </c>
    </row>
    <row r="284" spans="1:1">
      <c r="A284" t="s">
        <v>1825</v>
      </c>
    </row>
    <row r="285" spans="1:1">
      <c r="A285" t="s">
        <v>1826</v>
      </c>
    </row>
    <row r="286" spans="1:1">
      <c r="A286" t="s">
        <v>1827</v>
      </c>
    </row>
    <row r="287" spans="1:1">
      <c r="A287" t="s">
        <v>1828</v>
      </c>
    </row>
    <row r="288" spans="1:1">
      <c r="A288" t="s">
        <v>1829</v>
      </c>
    </row>
    <row r="289" spans="1:1">
      <c r="A289" t="s">
        <v>1830</v>
      </c>
    </row>
    <row r="290" spans="1:1">
      <c r="A290" t="s">
        <v>1831</v>
      </c>
    </row>
    <row r="291" spans="1:1">
      <c r="A291" t="s">
        <v>1832</v>
      </c>
    </row>
    <row r="292" spans="1:1">
      <c r="A292" t="s">
        <v>1833</v>
      </c>
    </row>
    <row r="293" spans="1:1">
      <c r="A293" t="s">
        <v>1834</v>
      </c>
    </row>
    <row r="294" spans="1:1">
      <c r="A294" t="s">
        <v>1835</v>
      </c>
    </row>
    <row r="295" spans="1:1">
      <c r="A295" t="s">
        <v>1836</v>
      </c>
    </row>
    <row r="296" spans="1:1">
      <c r="A296" t="s">
        <v>1837</v>
      </c>
    </row>
    <row r="297" spans="1:1">
      <c r="A297" t="s">
        <v>1838</v>
      </c>
    </row>
    <row r="298" spans="1:1">
      <c r="A298" t="s">
        <v>1839</v>
      </c>
    </row>
    <row r="299" spans="1:1">
      <c r="A299" t="s">
        <v>1840</v>
      </c>
    </row>
    <row r="300" spans="1:1">
      <c r="A300" t="s">
        <v>1841</v>
      </c>
    </row>
    <row r="301" spans="1:1">
      <c r="A301" t="s">
        <v>1842</v>
      </c>
    </row>
    <row r="302" spans="1:1">
      <c r="A302" t="s">
        <v>1843</v>
      </c>
    </row>
    <row r="303" spans="1:1">
      <c r="A303" t="s">
        <v>1844</v>
      </c>
    </row>
    <row r="304" spans="1:1">
      <c r="A304" t="s">
        <v>1845</v>
      </c>
    </row>
    <row r="305" spans="1:1">
      <c r="A305" t="s">
        <v>1846</v>
      </c>
    </row>
    <row r="306" spans="1:1">
      <c r="A306" t="s">
        <v>1847</v>
      </c>
    </row>
    <row r="307" spans="1:1">
      <c r="A307" t="s">
        <v>1848</v>
      </c>
    </row>
    <row r="308" spans="1:1">
      <c r="A308" t="s">
        <v>1849</v>
      </c>
    </row>
    <row r="309" spans="1:1">
      <c r="A309" t="s">
        <v>1850</v>
      </c>
    </row>
    <row r="310" spans="1:1">
      <c r="A310" t="s">
        <v>1851</v>
      </c>
    </row>
    <row r="311" spans="1:1">
      <c r="A311" t="s">
        <v>1852</v>
      </c>
    </row>
    <row r="312" spans="1:1">
      <c r="A312" t="s">
        <v>1853</v>
      </c>
    </row>
    <row r="313" spans="1:1">
      <c r="A313" t="s">
        <v>1854</v>
      </c>
    </row>
    <row r="314" spans="1:1">
      <c r="A314" t="s">
        <v>1855</v>
      </c>
    </row>
    <row r="315" spans="1:1">
      <c r="A315" t="s">
        <v>1856</v>
      </c>
    </row>
    <row r="316" spans="1:1">
      <c r="A316" t="s">
        <v>1857</v>
      </c>
    </row>
    <row r="317" spans="1:1">
      <c r="A317" t="s">
        <v>1858</v>
      </c>
    </row>
    <row r="318" spans="1:1">
      <c r="A318" t="s">
        <v>1859</v>
      </c>
    </row>
    <row r="319" spans="1:1">
      <c r="A319" t="s">
        <v>1860</v>
      </c>
    </row>
    <row r="320" spans="1:1">
      <c r="A320" t="s">
        <v>1861</v>
      </c>
    </row>
    <row r="321" spans="1:1">
      <c r="A321" t="s">
        <v>1862</v>
      </c>
    </row>
    <row r="322" spans="1:1">
      <c r="A322" t="s">
        <v>1863</v>
      </c>
    </row>
    <row r="323" spans="1:1">
      <c r="A323" t="s">
        <v>1864</v>
      </c>
    </row>
    <row r="324" spans="1:1">
      <c r="A324" t="s">
        <v>1865</v>
      </c>
    </row>
    <row r="325" spans="1:1">
      <c r="A325" t="s">
        <v>1866</v>
      </c>
    </row>
    <row r="326" spans="1:1">
      <c r="A326" t="s">
        <v>1867</v>
      </c>
    </row>
    <row r="327" spans="1:1">
      <c r="A327" t="s">
        <v>1868</v>
      </c>
    </row>
    <row r="328" spans="1:1">
      <c r="A328" t="s">
        <v>1869</v>
      </c>
    </row>
    <row r="329" spans="1:1">
      <c r="A329" t="s">
        <v>1870</v>
      </c>
    </row>
    <row r="330" spans="1:1">
      <c r="A330" t="s">
        <v>1871</v>
      </c>
    </row>
    <row r="331" spans="1:1">
      <c r="A331" t="s">
        <v>1872</v>
      </c>
    </row>
    <row r="332" spans="1:1">
      <c r="A332" t="s">
        <v>1873</v>
      </c>
    </row>
    <row r="333" spans="1:1">
      <c r="A333" t="s">
        <v>1874</v>
      </c>
    </row>
    <row r="334" spans="1:1">
      <c r="A334" t="s">
        <v>1875</v>
      </c>
    </row>
    <row r="335" spans="1:1">
      <c r="A335" t="s">
        <v>1876</v>
      </c>
    </row>
    <row r="336" spans="1:1">
      <c r="A336" t="s">
        <v>1877</v>
      </c>
    </row>
    <row r="337" spans="1:1">
      <c r="A337" t="s">
        <v>1878</v>
      </c>
    </row>
    <row r="338" spans="1:1">
      <c r="A338" t="s">
        <v>1879</v>
      </c>
    </row>
    <row r="339" spans="1:1">
      <c r="A339" t="s">
        <v>1880</v>
      </c>
    </row>
    <row r="340" spans="1:1">
      <c r="A340" t="s">
        <v>1881</v>
      </c>
    </row>
    <row r="341" spans="1:1">
      <c r="A341" t="s">
        <v>1882</v>
      </c>
    </row>
    <row r="342" spans="1:1">
      <c r="A342" t="s">
        <v>1883</v>
      </c>
    </row>
    <row r="343" spans="1:1">
      <c r="A343" t="s">
        <v>1884</v>
      </c>
    </row>
    <row r="344" spans="1:1">
      <c r="A344" t="s">
        <v>1885</v>
      </c>
    </row>
    <row r="345" spans="1:1">
      <c r="A345" t="s">
        <v>1886</v>
      </c>
    </row>
    <row r="346" spans="1:1">
      <c r="A346" t="s">
        <v>1887</v>
      </c>
    </row>
    <row r="347" spans="1:1">
      <c r="A347" t="s">
        <v>1888</v>
      </c>
    </row>
    <row r="348" spans="1:1">
      <c r="A348" t="s">
        <v>1889</v>
      </c>
    </row>
    <row r="349" spans="1:1">
      <c r="A349" t="s">
        <v>1890</v>
      </c>
    </row>
    <row r="350" spans="1:1">
      <c r="A350" t="s">
        <v>1891</v>
      </c>
    </row>
    <row r="351" spans="1:1">
      <c r="A351" t="s">
        <v>1892</v>
      </c>
    </row>
    <row r="352" spans="1:1">
      <c r="A352" t="s">
        <v>1893</v>
      </c>
    </row>
    <row r="353" spans="1:1">
      <c r="A353" t="s">
        <v>1894</v>
      </c>
    </row>
    <row r="354" spans="1:1">
      <c r="A354" t="s">
        <v>1895</v>
      </c>
    </row>
    <row r="355" spans="1:1">
      <c r="A355" t="s">
        <v>1896</v>
      </c>
    </row>
    <row r="356" spans="1:1">
      <c r="A356" t="s">
        <v>1897</v>
      </c>
    </row>
    <row r="357" spans="1:1">
      <c r="A357" t="s">
        <v>1898</v>
      </c>
    </row>
    <row r="358" spans="1:1">
      <c r="A358" t="s">
        <v>1899</v>
      </c>
    </row>
    <row r="359" spans="1:1">
      <c r="A359" t="s">
        <v>1900</v>
      </c>
    </row>
    <row r="360" spans="1:1">
      <c r="A360" t="s">
        <v>1901</v>
      </c>
    </row>
    <row r="361" spans="1:1">
      <c r="A361" t="s">
        <v>1902</v>
      </c>
    </row>
    <row r="362" spans="1:1">
      <c r="A362" t="s">
        <v>1903</v>
      </c>
    </row>
    <row r="363" spans="1:1">
      <c r="A363" t="s">
        <v>1904</v>
      </c>
    </row>
    <row r="364" spans="1:1">
      <c r="A364" t="s">
        <v>1905</v>
      </c>
    </row>
    <row r="365" spans="1:1">
      <c r="A365" t="s">
        <v>1906</v>
      </c>
    </row>
    <row r="366" spans="1:1">
      <c r="A366" t="s">
        <v>1907</v>
      </c>
    </row>
    <row r="367" spans="1:1">
      <c r="A367" t="s">
        <v>1908</v>
      </c>
    </row>
    <row r="368" spans="1:1">
      <c r="A368" t="s">
        <v>1909</v>
      </c>
    </row>
    <row r="369" spans="1:1">
      <c r="A369" t="s">
        <v>1910</v>
      </c>
    </row>
    <row r="370" spans="1:1">
      <c r="A370" t="s">
        <v>1911</v>
      </c>
    </row>
    <row r="371" spans="1:1">
      <c r="A371" t="s">
        <v>1912</v>
      </c>
    </row>
    <row r="372" spans="1:1">
      <c r="A372" t="s">
        <v>1913</v>
      </c>
    </row>
    <row r="373" spans="1:1">
      <c r="A373" t="s">
        <v>1914</v>
      </c>
    </row>
    <row r="374" spans="1:1">
      <c r="A374" t="s">
        <v>1915</v>
      </c>
    </row>
    <row r="375" spans="1:1">
      <c r="A375" t="s">
        <v>1916</v>
      </c>
    </row>
    <row r="376" spans="1:1">
      <c r="A376" t="s">
        <v>1917</v>
      </c>
    </row>
    <row r="377" spans="1:1">
      <c r="A377" t="s">
        <v>1918</v>
      </c>
    </row>
    <row r="378" spans="1:1">
      <c r="A378" t="s">
        <v>1919</v>
      </c>
    </row>
    <row r="379" spans="1:1">
      <c r="A379" t="s">
        <v>1920</v>
      </c>
    </row>
    <row r="380" spans="1:1">
      <c r="A380" t="s">
        <v>1921</v>
      </c>
    </row>
    <row r="381" spans="1:1">
      <c r="A381" t="s">
        <v>1922</v>
      </c>
    </row>
    <row r="382" spans="1:1">
      <c r="A382" t="s">
        <v>1923</v>
      </c>
    </row>
    <row r="383" spans="1:1">
      <c r="A383" t="s">
        <v>1924</v>
      </c>
    </row>
    <row r="384" spans="1:1">
      <c r="A384" t="s">
        <v>1925</v>
      </c>
    </row>
    <row r="385" spans="1:1">
      <c r="A385" t="s">
        <v>1926</v>
      </c>
    </row>
    <row r="386" spans="1:1">
      <c r="A386" t="s">
        <v>1927</v>
      </c>
    </row>
    <row r="387" spans="1:1">
      <c r="A387" t="s">
        <v>1928</v>
      </c>
    </row>
    <row r="388" spans="1:1">
      <c r="A388" t="s">
        <v>1929</v>
      </c>
    </row>
    <row r="389" spans="1:1">
      <c r="A389" t="s">
        <v>1930</v>
      </c>
    </row>
    <row r="390" spans="1:1">
      <c r="A390" t="s">
        <v>1931</v>
      </c>
    </row>
    <row r="391" spans="1:1">
      <c r="A391" t="s">
        <v>1932</v>
      </c>
    </row>
    <row r="392" spans="1:1">
      <c r="A392" t="s">
        <v>1933</v>
      </c>
    </row>
    <row r="393" spans="1:1">
      <c r="A393" t="s">
        <v>1934</v>
      </c>
    </row>
    <row r="394" spans="1:1">
      <c r="A394" t="s">
        <v>1935</v>
      </c>
    </row>
    <row r="395" spans="1:1">
      <c r="A395" t="s">
        <v>1936</v>
      </c>
    </row>
    <row r="396" spans="1:1">
      <c r="A396" t="s">
        <v>1937</v>
      </c>
    </row>
    <row r="397" spans="1:1">
      <c r="A397" t="s">
        <v>1938</v>
      </c>
    </row>
    <row r="398" spans="1:1">
      <c r="A398" t="s">
        <v>1939</v>
      </c>
    </row>
    <row r="399" spans="1:1">
      <c r="A399" t="s">
        <v>1940</v>
      </c>
    </row>
    <row r="400" spans="1:1">
      <c r="A400" t="s">
        <v>1941</v>
      </c>
    </row>
    <row r="401" spans="1:1">
      <c r="A401" t="s">
        <v>1942</v>
      </c>
    </row>
    <row r="402" spans="1:1">
      <c r="A402" t="s">
        <v>1943</v>
      </c>
    </row>
    <row r="403" spans="1:1">
      <c r="A403" t="s">
        <v>1944</v>
      </c>
    </row>
    <row r="404" spans="1:1">
      <c r="A404" t="s">
        <v>1945</v>
      </c>
    </row>
    <row r="405" spans="1:1">
      <c r="A405" t="s">
        <v>1946</v>
      </c>
    </row>
    <row r="406" spans="1:1">
      <c r="A406" t="s">
        <v>1947</v>
      </c>
    </row>
    <row r="407" spans="1:1">
      <c r="A407" t="s">
        <v>1948</v>
      </c>
    </row>
    <row r="408" spans="1:1">
      <c r="A408" t="s">
        <v>1949</v>
      </c>
    </row>
    <row r="409" spans="1:1">
      <c r="A409" t="s">
        <v>1950</v>
      </c>
    </row>
    <row r="410" spans="1:1">
      <c r="A410" t="s">
        <v>1951</v>
      </c>
    </row>
    <row r="411" spans="1:1">
      <c r="A411" t="s">
        <v>1952</v>
      </c>
    </row>
    <row r="412" spans="1:1">
      <c r="A412" t="s">
        <v>1953</v>
      </c>
    </row>
    <row r="413" spans="1:1">
      <c r="A413" t="s">
        <v>1954</v>
      </c>
    </row>
    <row r="414" spans="1:1">
      <c r="A414" t="s">
        <v>1955</v>
      </c>
    </row>
    <row r="415" spans="1:1">
      <c r="A415" t="s">
        <v>1956</v>
      </c>
    </row>
    <row r="416" spans="1:1">
      <c r="A416" t="s">
        <v>1957</v>
      </c>
    </row>
    <row r="417" spans="1:1">
      <c r="A417" t="s">
        <v>1958</v>
      </c>
    </row>
    <row r="418" spans="1:1">
      <c r="A418" t="s">
        <v>1959</v>
      </c>
    </row>
    <row r="419" spans="1:1">
      <c r="A419" t="s">
        <v>1960</v>
      </c>
    </row>
    <row r="420" spans="1:1">
      <c r="A420" t="s">
        <v>1961</v>
      </c>
    </row>
    <row r="421" spans="1:1">
      <c r="A421" t="s">
        <v>1962</v>
      </c>
    </row>
    <row r="422" spans="1:1">
      <c r="A422" t="s">
        <v>1963</v>
      </c>
    </row>
    <row r="423" spans="1:1">
      <c r="A423" t="s">
        <v>1964</v>
      </c>
    </row>
    <row r="424" spans="1:1">
      <c r="A424" t="s">
        <v>1965</v>
      </c>
    </row>
    <row r="425" spans="1:1">
      <c r="A425" t="s">
        <v>1966</v>
      </c>
    </row>
    <row r="426" spans="1:1">
      <c r="A426" t="s">
        <v>1967</v>
      </c>
    </row>
    <row r="427" spans="1:1">
      <c r="A427" t="s">
        <v>1968</v>
      </c>
    </row>
    <row r="428" spans="1:1">
      <c r="A428" t="s">
        <v>1969</v>
      </c>
    </row>
    <row r="429" spans="1:1">
      <c r="A429" t="s">
        <v>1970</v>
      </c>
    </row>
    <row r="430" spans="1:1">
      <c r="A430" t="s">
        <v>1971</v>
      </c>
    </row>
    <row r="431" spans="1:1">
      <c r="A431" t="s">
        <v>1972</v>
      </c>
    </row>
    <row r="432" spans="1:1">
      <c r="A432" t="s">
        <v>1973</v>
      </c>
    </row>
    <row r="433" spans="1:1">
      <c r="A433" t="s">
        <v>1974</v>
      </c>
    </row>
    <row r="434" spans="1:1">
      <c r="A434" t="s">
        <v>1975</v>
      </c>
    </row>
    <row r="435" spans="1:1">
      <c r="A435" t="s">
        <v>1976</v>
      </c>
    </row>
    <row r="436" spans="1:1">
      <c r="A436" t="s">
        <v>1977</v>
      </c>
    </row>
    <row r="437" spans="1:1">
      <c r="A437" t="s">
        <v>1978</v>
      </c>
    </row>
    <row r="438" spans="1:1">
      <c r="A438" t="s">
        <v>1979</v>
      </c>
    </row>
    <row r="439" spans="1:1">
      <c r="A439" t="s">
        <v>1980</v>
      </c>
    </row>
    <row r="440" spans="1:1">
      <c r="A440" t="s">
        <v>1981</v>
      </c>
    </row>
    <row r="441" spans="1:1">
      <c r="A441" t="s">
        <v>1982</v>
      </c>
    </row>
    <row r="442" spans="1:1">
      <c r="A442" t="s">
        <v>1983</v>
      </c>
    </row>
    <row r="443" spans="1:1">
      <c r="A443" t="s">
        <v>1984</v>
      </c>
    </row>
    <row r="444" spans="1:1">
      <c r="A444" t="s">
        <v>1985</v>
      </c>
    </row>
    <row r="445" spans="1:1">
      <c r="A445" t="s">
        <v>1986</v>
      </c>
    </row>
    <row r="446" spans="1:1">
      <c r="A446" t="s">
        <v>1987</v>
      </c>
    </row>
    <row r="447" spans="1:1">
      <c r="A447" t="s">
        <v>1988</v>
      </c>
    </row>
    <row r="448" spans="1:1">
      <c r="A448" t="s">
        <v>1989</v>
      </c>
    </row>
    <row r="449" spans="1:1">
      <c r="A449" t="s">
        <v>1990</v>
      </c>
    </row>
    <row r="450" spans="1:1">
      <c r="A450" t="s">
        <v>1991</v>
      </c>
    </row>
    <row r="451" spans="1:1">
      <c r="A451" t="s">
        <v>1992</v>
      </c>
    </row>
    <row r="452" spans="1:1">
      <c r="A452" t="s">
        <v>1993</v>
      </c>
    </row>
    <row r="453" spans="1:1">
      <c r="A453" t="s">
        <v>1994</v>
      </c>
    </row>
    <row r="454" spans="1:1">
      <c r="A454" t="s">
        <v>1995</v>
      </c>
    </row>
    <row r="455" spans="1:1">
      <c r="A455" t="s">
        <v>1996</v>
      </c>
    </row>
    <row r="456" spans="1:1">
      <c r="A456" t="s">
        <v>1997</v>
      </c>
    </row>
    <row r="457" spans="1:1">
      <c r="A457" t="s">
        <v>1998</v>
      </c>
    </row>
    <row r="458" spans="1:1">
      <c r="A458" t="s">
        <v>1999</v>
      </c>
    </row>
    <row r="459" spans="1:1">
      <c r="A459" t="s">
        <v>2000</v>
      </c>
    </row>
    <row r="460" spans="1:1">
      <c r="A460" t="s">
        <v>2001</v>
      </c>
    </row>
    <row r="461" spans="1:1">
      <c r="A461" t="s">
        <v>2002</v>
      </c>
    </row>
    <row r="462" spans="1:1">
      <c r="A462" t="s">
        <v>2003</v>
      </c>
    </row>
    <row r="463" spans="1:1">
      <c r="A463" t="s">
        <v>2004</v>
      </c>
    </row>
    <row r="464" spans="1:1">
      <c r="A464" t="s">
        <v>2005</v>
      </c>
    </row>
    <row r="465" spans="1:1">
      <c r="A465" t="s">
        <v>2006</v>
      </c>
    </row>
    <row r="466" spans="1:1">
      <c r="A466" t="s">
        <v>2007</v>
      </c>
    </row>
    <row r="467" spans="1:1">
      <c r="A467" t="s">
        <v>2008</v>
      </c>
    </row>
    <row r="468" spans="1:1">
      <c r="A468" t="s">
        <v>2009</v>
      </c>
    </row>
    <row r="469" spans="1:1">
      <c r="A469" t="s">
        <v>2010</v>
      </c>
    </row>
    <row r="470" spans="1:1">
      <c r="A470" t="s">
        <v>2011</v>
      </c>
    </row>
    <row r="471" spans="1:1">
      <c r="A471" t="s">
        <v>2012</v>
      </c>
    </row>
    <row r="472" spans="1:1">
      <c r="A472" t="s">
        <v>2013</v>
      </c>
    </row>
    <row r="473" spans="1:1">
      <c r="A473" t="s">
        <v>2014</v>
      </c>
    </row>
    <row r="474" spans="1:1">
      <c r="A474" t="s">
        <v>2015</v>
      </c>
    </row>
    <row r="475" spans="1:1">
      <c r="A475" t="s">
        <v>2016</v>
      </c>
    </row>
    <row r="476" spans="1:1">
      <c r="A476" t="s">
        <v>2017</v>
      </c>
    </row>
    <row r="477" spans="1:1">
      <c r="A477" t="s">
        <v>2018</v>
      </c>
    </row>
    <row r="478" spans="1:1">
      <c r="A478" t="s">
        <v>2019</v>
      </c>
    </row>
    <row r="479" spans="1:1">
      <c r="A479" t="s">
        <v>2020</v>
      </c>
    </row>
    <row r="480" spans="1:1">
      <c r="A480" t="s">
        <v>2021</v>
      </c>
    </row>
    <row r="481" spans="1:1">
      <c r="A481" t="s">
        <v>2022</v>
      </c>
    </row>
    <row r="482" spans="1:1">
      <c r="A482" t="s">
        <v>2023</v>
      </c>
    </row>
    <row r="483" spans="1:1">
      <c r="A483" t="s">
        <v>2024</v>
      </c>
    </row>
    <row r="484" spans="1:1">
      <c r="A484" t="s">
        <v>2025</v>
      </c>
    </row>
    <row r="485" spans="1:1">
      <c r="A485" t="s">
        <v>2026</v>
      </c>
    </row>
    <row r="486" spans="1:1">
      <c r="A486" t="s">
        <v>2027</v>
      </c>
    </row>
    <row r="487" spans="1:1">
      <c r="A487" t="s">
        <v>2028</v>
      </c>
    </row>
    <row r="488" spans="1:1">
      <c r="A488" t="s">
        <v>2029</v>
      </c>
    </row>
    <row r="489" spans="1:1">
      <c r="A489" t="s">
        <v>2030</v>
      </c>
    </row>
    <row r="490" spans="1:1">
      <c r="A490" t="s">
        <v>2031</v>
      </c>
    </row>
    <row r="491" spans="1:1">
      <c r="A491" t="s">
        <v>2032</v>
      </c>
    </row>
    <row r="492" spans="1:1">
      <c r="A492" t="s">
        <v>2033</v>
      </c>
    </row>
    <row r="493" spans="1:1">
      <c r="A493" t="s">
        <v>2034</v>
      </c>
    </row>
    <row r="494" spans="1:1">
      <c r="A494" t="s">
        <v>2035</v>
      </c>
    </row>
    <row r="495" spans="1:1">
      <c r="A495" t="s">
        <v>2036</v>
      </c>
    </row>
    <row r="496" spans="1:1">
      <c r="A496" t="s">
        <v>2037</v>
      </c>
    </row>
    <row r="497" spans="1:1">
      <c r="A497" t="s">
        <v>2038</v>
      </c>
    </row>
    <row r="498" spans="1:1">
      <c r="A498" t="s">
        <v>2039</v>
      </c>
    </row>
    <row r="499" spans="1:1">
      <c r="A499" t="s">
        <v>2040</v>
      </c>
    </row>
    <row r="500" spans="1:1">
      <c r="A500" t="s">
        <v>2041</v>
      </c>
    </row>
    <row r="501" spans="1:1">
      <c r="A501" t="s">
        <v>2042</v>
      </c>
    </row>
    <row r="502" spans="1:1">
      <c r="A502" t="s">
        <v>2043</v>
      </c>
    </row>
    <row r="503" spans="1:1">
      <c r="A503" t="s">
        <v>2044</v>
      </c>
    </row>
    <row r="504" spans="1:1">
      <c r="A504" t="s">
        <v>2045</v>
      </c>
    </row>
    <row r="505" spans="1:1">
      <c r="A505" t="s">
        <v>2046</v>
      </c>
    </row>
    <row r="506" spans="1:1">
      <c r="A506" t="s">
        <v>2047</v>
      </c>
    </row>
    <row r="507" spans="1:1">
      <c r="A507" t="s">
        <v>2048</v>
      </c>
    </row>
    <row r="508" spans="1:1">
      <c r="A508" t="s">
        <v>2049</v>
      </c>
    </row>
    <row r="509" spans="1:1">
      <c r="A509" t="s">
        <v>2050</v>
      </c>
    </row>
    <row r="510" spans="1:1">
      <c r="A510" t="s">
        <v>2051</v>
      </c>
    </row>
    <row r="511" spans="1:1">
      <c r="A511" t="s">
        <v>2052</v>
      </c>
    </row>
    <row r="512" spans="1:1">
      <c r="A512" t="s">
        <v>2053</v>
      </c>
    </row>
    <row r="513" spans="1:1">
      <c r="A513" t="s">
        <v>2054</v>
      </c>
    </row>
    <row r="514" spans="1:1">
      <c r="A514" t="s">
        <v>2055</v>
      </c>
    </row>
    <row r="515" spans="1:1">
      <c r="A515" t="s">
        <v>2056</v>
      </c>
    </row>
    <row r="516" spans="1:1">
      <c r="A516" t="s">
        <v>2057</v>
      </c>
    </row>
    <row r="517" spans="1:1">
      <c r="A517" t="s">
        <v>2058</v>
      </c>
    </row>
    <row r="518" spans="1:1">
      <c r="A518" t="s">
        <v>2059</v>
      </c>
    </row>
    <row r="519" spans="1:1">
      <c r="A519" t="s">
        <v>2060</v>
      </c>
    </row>
    <row r="520" spans="1:1">
      <c r="A520" t="s">
        <v>2061</v>
      </c>
    </row>
    <row r="521" spans="1:1">
      <c r="A521" t="s">
        <v>2062</v>
      </c>
    </row>
    <row r="522" spans="1:1">
      <c r="A522" t="s">
        <v>2063</v>
      </c>
    </row>
    <row r="523" spans="1:1">
      <c r="A523" t="s">
        <v>2064</v>
      </c>
    </row>
    <row r="524" spans="1:1">
      <c r="A524" t="s">
        <v>2065</v>
      </c>
    </row>
    <row r="525" spans="1:1">
      <c r="A525" t="s">
        <v>2066</v>
      </c>
    </row>
    <row r="526" spans="1:1">
      <c r="A526" t="s">
        <v>2067</v>
      </c>
    </row>
    <row r="527" spans="1:1">
      <c r="A527" t="s">
        <v>2068</v>
      </c>
    </row>
    <row r="528" spans="1:1">
      <c r="A528" t="s">
        <v>2069</v>
      </c>
    </row>
    <row r="529" spans="1:1">
      <c r="A529" t="s">
        <v>2070</v>
      </c>
    </row>
    <row r="530" spans="1:1">
      <c r="A530" t="s">
        <v>2071</v>
      </c>
    </row>
    <row r="531" spans="1:1">
      <c r="A531" t="s">
        <v>2072</v>
      </c>
    </row>
    <row r="532" spans="1:1">
      <c r="A532" t="s">
        <v>2073</v>
      </c>
    </row>
    <row r="533" spans="1:1">
      <c r="A533" t="s">
        <v>2074</v>
      </c>
    </row>
    <row r="534" spans="1:1">
      <c r="A534" t="s">
        <v>2075</v>
      </c>
    </row>
    <row r="535" spans="1:1">
      <c r="A535" t="s">
        <v>2076</v>
      </c>
    </row>
    <row r="536" spans="1:1">
      <c r="A536" t="s">
        <v>2077</v>
      </c>
    </row>
    <row r="537" spans="1:1">
      <c r="A537" t="s">
        <v>2078</v>
      </c>
    </row>
    <row r="538" spans="1:1">
      <c r="A538" t="s">
        <v>2079</v>
      </c>
    </row>
    <row r="539" spans="1:1">
      <c r="A539" t="s">
        <v>2080</v>
      </c>
    </row>
    <row r="540" spans="1:1">
      <c r="A540" t="s">
        <v>2081</v>
      </c>
    </row>
    <row r="541" spans="1:1">
      <c r="A541" t="s">
        <v>2082</v>
      </c>
    </row>
    <row r="542" spans="1:1">
      <c r="A542" t="s">
        <v>2083</v>
      </c>
    </row>
    <row r="543" spans="1:1">
      <c r="A543" t="s">
        <v>2084</v>
      </c>
    </row>
    <row r="544" spans="1:1">
      <c r="A544" t="s">
        <v>2085</v>
      </c>
    </row>
    <row r="545" spans="1:1">
      <c r="A545" t="s">
        <v>2086</v>
      </c>
    </row>
    <row r="546" spans="1:1">
      <c r="A546" t="s">
        <v>2087</v>
      </c>
    </row>
    <row r="547" spans="1:1">
      <c r="A547" t="s">
        <v>2088</v>
      </c>
    </row>
    <row r="548" spans="1:1">
      <c r="A548" t="s">
        <v>2089</v>
      </c>
    </row>
    <row r="549" spans="1:1">
      <c r="A549" t="s">
        <v>2090</v>
      </c>
    </row>
    <row r="550" spans="1:1">
      <c r="A550" t="s">
        <v>2091</v>
      </c>
    </row>
    <row r="551" spans="1:1">
      <c r="A551" t="s">
        <v>2092</v>
      </c>
    </row>
    <row r="552" spans="1:1">
      <c r="A552" t="s">
        <v>2093</v>
      </c>
    </row>
    <row r="553" spans="1:1">
      <c r="A553" t="s">
        <v>2094</v>
      </c>
    </row>
    <row r="554" spans="1:1">
      <c r="A554" t="s">
        <v>2095</v>
      </c>
    </row>
    <row r="555" spans="1:1">
      <c r="A555" t="s">
        <v>2096</v>
      </c>
    </row>
    <row r="556" spans="1:1">
      <c r="A556" t="s">
        <v>2097</v>
      </c>
    </row>
    <row r="557" spans="1:1">
      <c r="A557" t="s">
        <v>2098</v>
      </c>
    </row>
    <row r="558" spans="1:1">
      <c r="A558" t="s">
        <v>2099</v>
      </c>
    </row>
    <row r="559" spans="1:1">
      <c r="A559" t="s">
        <v>2100</v>
      </c>
    </row>
    <row r="560" spans="1:1">
      <c r="A560" t="s">
        <v>2101</v>
      </c>
    </row>
    <row r="561" spans="1:1">
      <c r="A561" t="s">
        <v>2102</v>
      </c>
    </row>
    <row r="562" spans="1:1">
      <c r="A562" t="s">
        <v>2103</v>
      </c>
    </row>
    <row r="563" spans="1:1">
      <c r="A563" t="s">
        <v>2104</v>
      </c>
    </row>
    <row r="564" spans="1:1">
      <c r="A564" t="s">
        <v>2105</v>
      </c>
    </row>
    <row r="565" spans="1:1">
      <c r="A565" t="s">
        <v>2106</v>
      </c>
    </row>
    <row r="566" spans="1:1">
      <c r="A566" t="s">
        <v>2107</v>
      </c>
    </row>
    <row r="567" spans="1:1">
      <c r="A567" t="s">
        <v>2108</v>
      </c>
    </row>
    <row r="568" spans="1:1">
      <c r="A568" t="s">
        <v>2109</v>
      </c>
    </row>
    <row r="569" spans="1:1">
      <c r="A569" t="s">
        <v>2110</v>
      </c>
    </row>
    <row r="570" spans="1:1">
      <c r="A570" t="s">
        <v>2111</v>
      </c>
    </row>
    <row r="571" spans="1:1">
      <c r="A571" t="s">
        <v>2112</v>
      </c>
    </row>
    <row r="572" spans="1:1">
      <c r="A572" t="s">
        <v>2113</v>
      </c>
    </row>
    <row r="573" spans="1:1">
      <c r="A573" t="s">
        <v>2114</v>
      </c>
    </row>
    <row r="574" spans="1:1">
      <c r="A574" t="s">
        <v>2115</v>
      </c>
    </row>
    <row r="575" spans="1:1">
      <c r="A575" t="s">
        <v>2116</v>
      </c>
    </row>
    <row r="576" spans="1:1">
      <c r="A576" t="s">
        <v>2117</v>
      </c>
    </row>
    <row r="577" spans="1:1">
      <c r="A577" t="s">
        <v>2118</v>
      </c>
    </row>
    <row r="578" spans="1:1">
      <c r="A578" t="s">
        <v>2119</v>
      </c>
    </row>
    <row r="579" spans="1:1">
      <c r="A579" t="s">
        <v>2120</v>
      </c>
    </row>
    <row r="580" spans="1:1">
      <c r="A580" t="s">
        <v>2121</v>
      </c>
    </row>
    <row r="581" spans="1:1">
      <c r="A581" t="s">
        <v>2122</v>
      </c>
    </row>
    <row r="582" spans="1:1">
      <c r="A582" t="s">
        <v>2123</v>
      </c>
    </row>
    <row r="583" spans="1:1">
      <c r="A583" t="s">
        <v>2124</v>
      </c>
    </row>
    <row r="584" spans="1:1">
      <c r="A584" t="s">
        <v>2125</v>
      </c>
    </row>
    <row r="585" spans="1:1">
      <c r="A585" t="s">
        <v>2126</v>
      </c>
    </row>
    <row r="586" spans="1:1">
      <c r="A586" t="s">
        <v>2127</v>
      </c>
    </row>
    <row r="587" spans="1:1">
      <c r="A587" t="s">
        <v>2128</v>
      </c>
    </row>
    <row r="588" spans="1:1">
      <c r="A588" t="s">
        <v>2129</v>
      </c>
    </row>
    <row r="589" spans="1:1">
      <c r="A589" t="s">
        <v>2130</v>
      </c>
    </row>
    <row r="590" spans="1:1">
      <c r="A590" t="s">
        <v>2131</v>
      </c>
    </row>
    <row r="591" spans="1:1">
      <c r="A591" t="s">
        <v>2132</v>
      </c>
    </row>
    <row r="592" spans="1:1">
      <c r="A592" t="s">
        <v>2133</v>
      </c>
    </row>
    <row r="593" spans="1:1">
      <c r="A593" t="s">
        <v>2134</v>
      </c>
    </row>
    <row r="594" spans="1:1">
      <c r="A594" t="s">
        <v>2135</v>
      </c>
    </row>
    <row r="595" spans="1:1">
      <c r="A595" t="s">
        <v>2136</v>
      </c>
    </row>
    <row r="596" spans="1:1">
      <c r="A596" t="s">
        <v>2137</v>
      </c>
    </row>
    <row r="597" spans="1:1">
      <c r="A597" t="s">
        <v>2138</v>
      </c>
    </row>
    <row r="598" spans="1:1">
      <c r="A598" t="s">
        <v>2139</v>
      </c>
    </row>
    <row r="599" spans="1:1">
      <c r="A599" t="s">
        <v>2140</v>
      </c>
    </row>
    <row r="600" spans="1:1">
      <c r="A600" t="s">
        <v>2141</v>
      </c>
    </row>
    <row r="601" spans="1:1">
      <c r="A601" t="s">
        <v>2142</v>
      </c>
    </row>
    <row r="602" spans="1:1">
      <c r="A602" t="s">
        <v>2143</v>
      </c>
    </row>
    <row r="603" spans="1:1">
      <c r="A603" t="s">
        <v>2144</v>
      </c>
    </row>
    <row r="604" spans="1:1">
      <c r="A604" t="s">
        <v>2145</v>
      </c>
    </row>
    <row r="605" spans="1:1">
      <c r="A605" t="s">
        <v>2146</v>
      </c>
    </row>
    <row r="606" spans="1:1">
      <c r="A606" t="s">
        <v>2147</v>
      </c>
    </row>
    <row r="607" spans="1:1">
      <c r="A607" t="s">
        <v>2148</v>
      </c>
    </row>
    <row r="608" spans="1:1">
      <c r="A608" t="s">
        <v>2149</v>
      </c>
    </row>
    <row r="609" spans="1:1">
      <c r="A609" t="s">
        <v>2150</v>
      </c>
    </row>
    <row r="610" spans="1:1">
      <c r="A610" t="s">
        <v>2151</v>
      </c>
    </row>
    <row r="611" spans="1:1">
      <c r="A611" t="s">
        <v>2152</v>
      </c>
    </row>
    <row r="612" spans="1:1">
      <c r="A612" t="s">
        <v>2153</v>
      </c>
    </row>
    <row r="613" spans="1:1">
      <c r="A613" t="s">
        <v>2154</v>
      </c>
    </row>
    <row r="614" spans="1:1">
      <c r="A614" t="s">
        <v>2155</v>
      </c>
    </row>
    <row r="615" spans="1:1">
      <c r="A615" t="s">
        <v>2156</v>
      </c>
    </row>
    <row r="616" spans="1:1">
      <c r="A616" t="s">
        <v>2157</v>
      </c>
    </row>
    <row r="617" spans="1:1">
      <c r="A617" t="s">
        <v>2158</v>
      </c>
    </row>
    <row r="618" spans="1:1">
      <c r="A618" t="s">
        <v>2159</v>
      </c>
    </row>
    <row r="619" spans="1:1">
      <c r="A619" t="s">
        <v>2160</v>
      </c>
    </row>
    <row r="620" spans="1:1">
      <c r="A620" t="s">
        <v>2161</v>
      </c>
    </row>
    <row r="621" spans="1:1">
      <c r="A621" t="s">
        <v>2162</v>
      </c>
    </row>
    <row r="622" spans="1:1">
      <c r="A622" t="s">
        <v>2163</v>
      </c>
    </row>
    <row r="623" spans="1:1">
      <c r="A623" t="s">
        <v>2164</v>
      </c>
    </row>
    <row r="624" spans="1:1">
      <c r="A624" t="s">
        <v>2165</v>
      </c>
    </row>
    <row r="625" spans="1:1">
      <c r="A625" t="s">
        <v>2166</v>
      </c>
    </row>
    <row r="626" spans="1:1">
      <c r="A626" t="s">
        <v>2167</v>
      </c>
    </row>
    <row r="627" spans="1:1">
      <c r="A627" t="s">
        <v>2168</v>
      </c>
    </row>
    <row r="628" spans="1:1">
      <c r="A628" t="s">
        <v>2169</v>
      </c>
    </row>
    <row r="629" spans="1:1">
      <c r="A629" t="s">
        <v>2170</v>
      </c>
    </row>
    <row r="630" spans="1:1">
      <c r="A630" t="s">
        <v>2171</v>
      </c>
    </row>
    <row r="631" spans="1:1">
      <c r="A631" t="s">
        <v>2172</v>
      </c>
    </row>
    <row r="632" spans="1:1">
      <c r="A632" t="s">
        <v>2173</v>
      </c>
    </row>
    <row r="633" spans="1:1">
      <c r="A633" t="s">
        <v>2174</v>
      </c>
    </row>
    <row r="634" spans="1:1">
      <c r="A634" t="s">
        <v>2175</v>
      </c>
    </row>
    <row r="635" spans="1:1">
      <c r="A635" t="s">
        <v>2176</v>
      </c>
    </row>
    <row r="636" spans="1:1">
      <c r="A636" t="s">
        <v>2177</v>
      </c>
    </row>
    <row r="637" spans="1:1">
      <c r="A637" t="s">
        <v>2178</v>
      </c>
    </row>
    <row r="638" spans="1:1">
      <c r="A638" t="s">
        <v>2179</v>
      </c>
    </row>
    <row r="639" spans="1:1">
      <c r="A639" t="s">
        <v>2180</v>
      </c>
    </row>
    <row r="640" spans="1:1">
      <c r="A640" t="s">
        <v>2181</v>
      </c>
    </row>
    <row r="641" spans="1:1">
      <c r="A641" t="s">
        <v>2182</v>
      </c>
    </row>
    <row r="642" spans="1:1">
      <c r="A642" t="s">
        <v>2183</v>
      </c>
    </row>
    <row r="643" spans="1:1">
      <c r="A643" t="s">
        <v>2184</v>
      </c>
    </row>
    <row r="644" spans="1:1">
      <c r="A644" t="s">
        <v>2185</v>
      </c>
    </row>
    <row r="645" spans="1:1">
      <c r="A645" t="s">
        <v>2186</v>
      </c>
    </row>
    <row r="646" spans="1:1">
      <c r="A646" t="s">
        <v>2187</v>
      </c>
    </row>
    <row r="647" spans="1:1">
      <c r="A647" t="s">
        <v>2188</v>
      </c>
    </row>
    <row r="648" spans="1:1">
      <c r="A648" t="s">
        <v>2189</v>
      </c>
    </row>
    <row r="649" spans="1:1">
      <c r="A649" t="s">
        <v>2190</v>
      </c>
    </row>
    <row r="650" spans="1:1">
      <c r="A650" t="s">
        <v>2191</v>
      </c>
    </row>
    <row r="651" spans="1:1">
      <c r="A651" t="s">
        <v>2192</v>
      </c>
    </row>
    <row r="652" spans="1:1">
      <c r="A652" t="s">
        <v>2193</v>
      </c>
    </row>
    <row r="653" spans="1:1">
      <c r="A653" t="s">
        <v>2194</v>
      </c>
    </row>
    <row r="654" spans="1:1">
      <c r="A654" t="s">
        <v>2195</v>
      </c>
    </row>
    <row r="655" spans="1:1">
      <c r="A655" t="s">
        <v>2196</v>
      </c>
    </row>
    <row r="656" spans="1:1">
      <c r="A656" t="s">
        <v>2197</v>
      </c>
    </row>
    <row r="657" spans="1:1">
      <c r="A657" t="s">
        <v>2198</v>
      </c>
    </row>
    <row r="658" spans="1:1">
      <c r="A658" t="s">
        <v>2199</v>
      </c>
    </row>
    <row r="659" spans="1:1">
      <c r="A659" t="s">
        <v>2200</v>
      </c>
    </row>
    <row r="660" spans="1:1">
      <c r="A660" t="s">
        <v>2201</v>
      </c>
    </row>
    <row r="661" spans="1:1">
      <c r="A661" t="s">
        <v>2202</v>
      </c>
    </row>
    <row r="662" spans="1:1">
      <c r="A662" t="s">
        <v>2203</v>
      </c>
    </row>
    <row r="663" spans="1:1">
      <c r="A663" t="s">
        <v>2204</v>
      </c>
    </row>
    <row r="664" spans="1:1">
      <c r="A664" t="s">
        <v>2205</v>
      </c>
    </row>
    <row r="665" spans="1:1">
      <c r="A665" t="s">
        <v>2206</v>
      </c>
    </row>
    <row r="666" spans="1:1">
      <c r="A666" t="s">
        <v>2207</v>
      </c>
    </row>
    <row r="667" spans="1:1">
      <c r="A667" t="s">
        <v>2208</v>
      </c>
    </row>
    <row r="668" spans="1:1">
      <c r="A668" t="s">
        <v>2209</v>
      </c>
    </row>
    <row r="669" spans="1:1">
      <c r="A669" t="s">
        <v>2210</v>
      </c>
    </row>
    <row r="670" spans="1:1">
      <c r="A670" t="s">
        <v>2211</v>
      </c>
    </row>
    <row r="671" spans="1:1">
      <c r="A671" t="s">
        <v>2212</v>
      </c>
    </row>
    <row r="672" spans="1:1">
      <c r="A672" t="s">
        <v>2213</v>
      </c>
    </row>
    <row r="673" spans="1:1">
      <c r="A673" t="s">
        <v>2214</v>
      </c>
    </row>
    <row r="674" spans="1:1">
      <c r="A674" t="s">
        <v>2215</v>
      </c>
    </row>
    <row r="675" spans="1:1">
      <c r="A675" t="s">
        <v>2216</v>
      </c>
    </row>
    <row r="676" spans="1:1">
      <c r="A676" t="s">
        <v>2217</v>
      </c>
    </row>
    <row r="677" spans="1:1">
      <c r="A677" t="s">
        <v>2218</v>
      </c>
    </row>
    <row r="678" spans="1:1">
      <c r="A678" t="s">
        <v>2219</v>
      </c>
    </row>
    <row r="679" spans="1:1">
      <c r="A679" t="s">
        <v>2220</v>
      </c>
    </row>
    <row r="680" spans="1:1">
      <c r="A680" t="s">
        <v>2221</v>
      </c>
    </row>
    <row r="681" spans="1:1">
      <c r="A681" t="s">
        <v>2222</v>
      </c>
    </row>
    <row r="682" spans="1:1">
      <c r="A682" t="s">
        <v>2223</v>
      </c>
    </row>
    <row r="683" spans="1:1">
      <c r="A683" t="s">
        <v>2224</v>
      </c>
    </row>
    <row r="684" spans="1:1">
      <c r="A684" t="s">
        <v>2225</v>
      </c>
    </row>
    <row r="685" spans="1:1">
      <c r="A685" t="s">
        <v>2226</v>
      </c>
    </row>
    <row r="686" spans="1:1">
      <c r="A686" t="s">
        <v>2227</v>
      </c>
    </row>
    <row r="687" spans="1:1">
      <c r="A687" t="s">
        <v>2228</v>
      </c>
    </row>
    <row r="688" spans="1:1">
      <c r="A688" t="s">
        <v>2229</v>
      </c>
    </row>
    <row r="689" spans="1:1">
      <c r="A689" t="s">
        <v>2230</v>
      </c>
    </row>
    <row r="690" spans="1:1">
      <c r="A690" t="s">
        <v>2231</v>
      </c>
    </row>
    <row r="691" spans="1:1">
      <c r="A691" t="s">
        <v>2232</v>
      </c>
    </row>
    <row r="692" spans="1:1">
      <c r="A692" t="s">
        <v>2233</v>
      </c>
    </row>
    <row r="693" spans="1:1">
      <c r="A693" t="s">
        <v>2234</v>
      </c>
    </row>
    <row r="694" spans="1:1">
      <c r="A694" t="s">
        <v>2235</v>
      </c>
    </row>
    <row r="695" spans="1:1">
      <c r="A695" t="s">
        <v>2236</v>
      </c>
    </row>
    <row r="696" spans="1:1">
      <c r="A696" t="s">
        <v>2237</v>
      </c>
    </row>
    <row r="697" spans="1:1">
      <c r="A697" t="s">
        <v>2238</v>
      </c>
    </row>
    <row r="698" spans="1:1">
      <c r="A698" t="s">
        <v>2239</v>
      </c>
    </row>
    <row r="699" spans="1:1">
      <c r="A699" t="s">
        <v>2240</v>
      </c>
    </row>
    <row r="700" spans="1:1">
      <c r="A700" t="s">
        <v>2241</v>
      </c>
    </row>
    <row r="701" spans="1:1">
      <c r="A701" t="s">
        <v>2242</v>
      </c>
    </row>
    <row r="702" spans="1:1">
      <c r="A702" t="s">
        <v>2243</v>
      </c>
    </row>
    <row r="703" spans="1:1">
      <c r="A703" t="s">
        <v>2244</v>
      </c>
    </row>
    <row r="704" spans="1:1">
      <c r="A704" t="s">
        <v>2245</v>
      </c>
    </row>
    <row r="705" spans="1:1">
      <c r="A705" t="s">
        <v>2246</v>
      </c>
    </row>
    <row r="706" spans="1:1">
      <c r="A706" t="s">
        <v>2247</v>
      </c>
    </row>
    <row r="707" spans="1:1">
      <c r="A707" t="s">
        <v>2248</v>
      </c>
    </row>
    <row r="708" spans="1:1">
      <c r="A708" t="s">
        <v>2249</v>
      </c>
    </row>
    <row r="709" spans="1:1">
      <c r="A709" t="s">
        <v>2250</v>
      </c>
    </row>
    <row r="710" spans="1:1">
      <c r="A710" t="s">
        <v>2251</v>
      </c>
    </row>
    <row r="711" spans="1:1">
      <c r="A711" t="s">
        <v>2252</v>
      </c>
    </row>
    <row r="712" spans="1:1">
      <c r="A712" t="s">
        <v>2253</v>
      </c>
    </row>
    <row r="713" spans="1:1">
      <c r="A713" t="s">
        <v>2254</v>
      </c>
    </row>
    <row r="714" spans="1:1">
      <c r="A714" t="s">
        <v>2255</v>
      </c>
    </row>
    <row r="715" spans="1:1">
      <c r="A715" t="s">
        <v>2256</v>
      </c>
    </row>
    <row r="716" spans="1:1">
      <c r="A716" t="s">
        <v>2257</v>
      </c>
    </row>
    <row r="717" spans="1:1">
      <c r="A717" t="s">
        <v>2258</v>
      </c>
    </row>
    <row r="718" spans="1:1">
      <c r="A718" t="s">
        <v>2259</v>
      </c>
    </row>
    <row r="719" spans="1:1">
      <c r="A719" t="s">
        <v>2260</v>
      </c>
    </row>
    <row r="720" spans="1:1">
      <c r="A720" t="s">
        <v>2261</v>
      </c>
    </row>
    <row r="721" spans="1:1">
      <c r="A721" t="s">
        <v>2262</v>
      </c>
    </row>
    <row r="722" spans="1:1">
      <c r="A722" t="s">
        <v>2263</v>
      </c>
    </row>
    <row r="723" spans="1:1">
      <c r="A723" t="s">
        <v>2264</v>
      </c>
    </row>
    <row r="724" spans="1:1">
      <c r="A724" t="s">
        <v>2265</v>
      </c>
    </row>
    <row r="725" spans="1:1">
      <c r="A725" t="s">
        <v>2266</v>
      </c>
    </row>
    <row r="726" spans="1:1">
      <c r="A726" t="s">
        <v>2267</v>
      </c>
    </row>
    <row r="727" spans="1:1">
      <c r="A727" t="s">
        <v>2268</v>
      </c>
    </row>
    <row r="728" spans="1:1">
      <c r="A728" t="s">
        <v>2269</v>
      </c>
    </row>
    <row r="729" spans="1:1">
      <c r="A729" t="s">
        <v>2270</v>
      </c>
    </row>
    <row r="730" spans="1:1">
      <c r="A730" t="s">
        <v>2271</v>
      </c>
    </row>
    <row r="731" spans="1:1">
      <c r="A731" t="s">
        <v>2272</v>
      </c>
    </row>
    <row r="732" spans="1:1">
      <c r="A732" t="s">
        <v>2273</v>
      </c>
    </row>
    <row r="733" spans="1:1">
      <c r="A733" t="s">
        <v>2274</v>
      </c>
    </row>
    <row r="734" spans="1:1">
      <c r="A734" t="s">
        <v>2275</v>
      </c>
    </row>
    <row r="735" spans="1:1">
      <c r="A735" t="s">
        <v>2276</v>
      </c>
    </row>
    <row r="736" spans="1:1">
      <c r="A736" t="s">
        <v>2277</v>
      </c>
    </row>
    <row r="737" spans="1:1">
      <c r="A737" t="s">
        <v>2278</v>
      </c>
    </row>
    <row r="738" spans="1:1">
      <c r="A738" t="s">
        <v>2279</v>
      </c>
    </row>
    <row r="739" spans="1:1">
      <c r="A739" t="s">
        <v>2280</v>
      </c>
    </row>
    <row r="740" spans="1:1">
      <c r="A740" t="s">
        <v>2281</v>
      </c>
    </row>
    <row r="741" spans="1:1">
      <c r="A741" t="s">
        <v>2282</v>
      </c>
    </row>
    <row r="742" spans="1:1">
      <c r="A742" t="s">
        <v>2283</v>
      </c>
    </row>
    <row r="743" spans="1:1">
      <c r="A743" t="s">
        <v>2284</v>
      </c>
    </row>
    <row r="744" spans="1:1">
      <c r="A744" t="s">
        <v>2285</v>
      </c>
    </row>
    <row r="745" spans="1:1">
      <c r="A745" t="s">
        <v>2286</v>
      </c>
    </row>
    <row r="746" spans="1:1">
      <c r="A746" t="s">
        <v>2287</v>
      </c>
    </row>
    <row r="747" spans="1:1">
      <c r="A747" t="s">
        <v>2288</v>
      </c>
    </row>
    <row r="748" spans="1:1">
      <c r="A748" t="s">
        <v>2289</v>
      </c>
    </row>
    <row r="749" spans="1:1">
      <c r="A749" t="s">
        <v>2290</v>
      </c>
    </row>
    <row r="750" spans="1:1">
      <c r="A750" t="s">
        <v>2291</v>
      </c>
    </row>
    <row r="751" spans="1:1">
      <c r="A751" t="s">
        <v>2292</v>
      </c>
    </row>
    <row r="752" spans="1:1">
      <c r="A752" t="s">
        <v>2293</v>
      </c>
    </row>
    <row r="753" spans="1:1">
      <c r="A753" t="s">
        <v>2294</v>
      </c>
    </row>
    <row r="754" spans="1:1">
      <c r="A754" t="s">
        <v>2295</v>
      </c>
    </row>
    <row r="755" spans="1:1">
      <c r="A755" t="s">
        <v>2296</v>
      </c>
    </row>
    <row r="756" spans="1:1">
      <c r="A756" t="s">
        <v>2297</v>
      </c>
    </row>
    <row r="757" spans="1:1">
      <c r="A757" t="s">
        <v>2298</v>
      </c>
    </row>
    <row r="758" spans="1:1">
      <c r="A758" t="s">
        <v>2299</v>
      </c>
    </row>
    <row r="759" spans="1:1">
      <c r="A759" t="s">
        <v>2300</v>
      </c>
    </row>
    <row r="760" spans="1:1">
      <c r="A760" t="s">
        <v>2301</v>
      </c>
    </row>
    <row r="761" spans="1:1">
      <c r="A761" t="s">
        <v>2302</v>
      </c>
    </row>
    <row r="762" spans="1:1">
      <c r="A762" t="s">
        <v>2303</v>
      </c>
    </row>
    <row r="763" spans="1:1">
      <c r="A763" t="s">
        <v>2304</v>
      </c>
    </row>
    <row r="764" spans="1:1">
      <c r="A764" t="s">
        <v>2305</v>
      </c>
    </row>
    <row r="765" spans="1:1">
      <c r="A765" t="s">
        <v>2306</v>
      </c>
    </row>
    <row r="766" spans="1:1">
      <c r="A766" t="s">
        <v>2307</v>
      </c>
    </row>
    <row r="767" spans="1:1">
      <c r="A767" t="s">
        <v>2308</v>
      </c>
    </row>
    <row r="768" spans="1:1">
      <c r="A768" t="s">
        <v>2309</v>
      </c>
    </row>
    <row r="769" spans="1:1">
      <c r="A769" t="s">
        <v>2310</v>
      </c>
    </row>
    <row r="770" spans="1:1">
      <c r="A770" t="s">
        <v>2311</v>
      </c>
    </row>
    <row r="771" spans="1:1">
      <c r="A771" t="s">
        <v>2312</v>
      </c>
    </row>
    <row r="772" spans="1:1">
      <c r="A772" t="s">
        <v>2313</v>
      </c>
    </row>
    <row r="773" spans="1:1">
      <c r="A773" t="s">
        <v>2314</v>
      </c>
    </row>
    <row r="774" spans="1:1">
      <c r="A774" t="s">
        <v>2315</v>
      </c>
    </row>
    <row r="775" spans="1:1">
      <c r="A775" t="s">
        <v>2316</v>
      </c>
    </row>
    <row r="776" spans="1:1">
      <c r="A776" t="s">
        <v>2317</v>
      </c>
    </row>
    <row r="777" spans="1:1">
      <c r="A777" t="s">
        <v>2318</v>
      </c>
    </row>
    <row r="778" spans="1:1">
      <c r="A778" t="s">
        <v>2319</v>
      </c>
    </row>
    <row r="779" spans="1:1">
      <c r="A779" t="s">
        <v>2320</v>
      </c>
    </row>
    <row r="780" spans="1:1">
      <c r="A780" t="s">
        <v>2321</v>
      </c>
    </row>
    <row r="781" spans="1:1">
      <c r="A781" t="s">
        <v>2322</v>
      </c>
    </row>
    <row r="782" spans="1:1">
      <c r="A782" t="s">
        <v>2323</v>
      </c>
    </row>
    <row r="783" spans="1:1">
      <c r="A783" t="s">
        <v>2324</v>
      </c>
    </row>
    <row r="784" spans="1:1">
      <c r="A784" t="s">
        <v>2325</v>
      </c>
    </row>
    <row r="785" spans="1:1">
      <c r="A785" t="s">
        <v>2326</v>
      </c>
    </row>
    <row r="786" spans="1:1">
      <c r="A786" t="s">
        <v>2327</v>
      </c>
    </row>
    <row r="787" spans="1:1">
      <c r="A787" t="s">
        <v>2328</v>
      </c>
    </row>
    <row r="788" spans="1:1">
      <c r="A788" t="s">
        <v>2329</v>
      </c>
    </row>
    <row r="789" spans="1:1">
      <c r="A789" t="s">
        <v>2330</v>
      </c>
    </row>
    <row r="790" spans="1:1">
      <c r="A790" t="s">
        <v>2331</v>
      </c>
    </row>
    <row r="791" spans="1:1">
      <c r="A791" t="s">
        <v>2332</v>
      </c>
    </row>
    <row r="792" spans="1:1">
      <c r="A792" t="s">
        <v>2333</v>
      </c>
    </row>
    <row r="793" spans="1:1">
      <c r="A793" t="s">
        <v>2334</v>
      </c>
    </row>
    <row r="794" spans="1:1">
      <c r="A794" t="s">
        <v>2335</v>
      </c>
    </row>
    <row r="795" spans="1:1">
      <c r="A795" t="s">
        <v>2336</v>
      </c>
    </row>
    <row r="796" spans="1:1">
      <c r="A796" t="s">
        <v>2337</v>
      </c>
    </row>
    <row r="797" spans="1:1">
      <c r="A797" t="s">
        <v>2338</v>
      </c>
    </row>
    <row r="798" spans="1:1">
      <c r="A798" t="s">
        <v>2339</v>
      </c>
    </row>
    <row r="799" spans="1:1">
      <c r="A799" t="s">
        <v>2340</v>
      </c>
    </row>
    <row r="800" spans="1:1">
      <c r="A800" t="s">
        <v>2341</v>
      </c>
    </row>
    <row r="801" spans="1:1">
      <c r="A801" t="s">
        <v>2342</v>
      </c>
    </row>
    <row r="802" spans="1:1">
      <c r="A802" t="s">
        <v>2343</v>
      </c>
    </row>
    <row r="803" spans="1:1">
      <c r="A803" t="s">
        <v>2344</v>
      </c>
    </row>
    <row r="804" spans="1:1">
      <c r="A804" t="s">
        <v>2345</v>
      </c>
    </row>
    <row r="805" spans="1:1">
      <c r="A805" t="s">
        <v>2346</v>
      </c>
    </row>
    <row r="806" spans="1:1">
      <c r="A806" t="s">
        <v>2347</v>
      </c>
    </row>
    <row r="807" spans="1:1">
      <c r="A807" t="s">
        <v>2348</v>
      </c>
    </row>
    <row r="808" spans="1:1">
      <c r="A808" t="s">
        <v>2349</v>
      </c>
    </row>
    <row r="809" spans="1:1">
      <c r="A809" t="s">
        <v>2350</v>
      </c>
    </row>
    <row r="810" spans="1:1">
      <c r="A810" t="s">
        <v>2351</v>
      </c>
    </row>
    <row r="811" spans="1:1">
      <c r="A811" t="s">
        <v>2352</v>
      </c>
    </row>
    <row r="812" spans="1:1">
      <c r="A812" t="s">
        <v>2353</v>
      </c>
    </row>
    <row r="813" spans="1:1">
      <c r="A813" t="s">
        <v>2354</v>
      </c>
    </row>
    <row r="814" spans="1:1">
      <c r="A814" t="s">
        <v>2355</v>
      </c>
    </row>
    <row r="815" spans="1:1">
      <c r="A815" t="s">
        <v>2356</v>
      </c>
    </row>
    <row r="816" spans="1:1">
      <c r="A816" t="s">
        <v>2357</v>
      </c>
    </row>
    <row r="817" spans="1:1">
      <c r="A817" t="s">
        <v>2358</v>
      </c>
    </row>
    <row r="818" spans="1:1">
      <c r="A818" t="s">
        <v>2359</v>
      </c>
    </row>
    <row r="819" spans="1:1">
      <c r="A819" t="s">
        <v>2360</v>
      </c>
    </row>
    <row r="820" spans="1:1">
      <c r="A820" t="s">
        <v>2361</v>
      </c>
    </row>
    <row r="821" spans="1:1">
      <c r="A821" t="s">
        <v>2362</v>
      </c>
    </row>
    <row r="822" spans="1:1">
      <c r="A822" t="s">
        <v>2363</v>
      </c>
    </row>
    <row r="823" spans="1:1">
      <c r="A823" t="s">
        <v>2364</v>
      </c>
    </row>
    <row r="824" spans="1:1">
      <c r="A824" t="s">
        <v>2365</v>
      </c>
    </row>
    <row r="825" spans="1:1">
      <c r="A825" t="s">
        <v>2366</v>
      </c>
    </row>
    <row r="826" spans="1:1">
      <c r="A826" t="s">
        <v>2367</v>
      </c>
    </row>
    <row r="827" spans="1:1">
      <c r="A827" t="s">
        <v>2368</v>
      </c>
    </row>
    <row r="828" spans="1:1">
      <c r="A828" t="s">
        <v>2369</v>
      </c>
    </row>
    <row r="829" spans="1:1">
      <c r="A829" t="s">
        <v>2370</v>
      </c>
    </row>
    <row r="830" spans="1:1">
      <c r="A830" t="s">
        <v>2371</v>
      </c>
    </row>
    <row r="831" spans="1:1">
      <c r="A831" t="s">
        <v>2372</v>
      </c>
    </row>
    <row r="832" spans="1:1">
      <c r="A832" t="s">
        <v>2373</v>
      </c>
    </row>
    <row r="833" spans="1:1">
      <c r="A833" t="s">
        <v>2374</v>
      </c>
    </row>
    <row r="834" spans="1:1">
      <c r="A834" t="s">
        <v>2375</v>
      </c>
    </row>
    <row r="835" spans="1:1">
      <c r="A835" t="s">
        <v>2376</v>
      </c>
    </row>
    <row r="836" spans="1:1">
      <c r="A836" t="s">
        <v>2377</v>
      </c>
    </row>
    <row r="837" spans="1:1">
      <c r="A837" t="s">
        <v>2378</v>
      </c>
    </row>
    <row r="838" spans="1:1">
      <c r="A838" t="s">
        <v>2379</v>
      </c>
    </row>
    <row r="839" spans="1:1">
      <c r="A839" t="s">
        <v>2380</v>
      </c>
    </row>
    <row r="840" spans="1:1">
      <c r="A840" t="s">
        <v>2381</v>
      </c>
    </row>
    <row r="841" spans="1:1">
      <c r="A841" t="s">
        <v>2382</v>
      </c>
    </row>
    <row r="842" spans="1:1">
      <c r="A842" t="s">
        <v>2383</v>
      </c>
    </row>
    <row r="843" spans="1:1">
      <c r="A843" t="s">
        <v>2384</v>
      </c>
    </row>
    <row r="844" spans="1:1">
      <c r="A844" t="s">
        <v>2385</v>
      </c>
    </row>
    <row r="845" spans="1:1">
      <c r="A845" t="s">
        <v>2386</v>
      </c>
    </row>
    <row r="846" spans="1:1">
      <c r="A846" t="s">
        <v>2387</v>
      </c>
    </row>
    <row r="847" spans="1:1">
      <c r="A847" t="s">
        <v>2388</v>
      </c>
    </row>
    <row r="848" spans="1:1">
      <c r="A848" t="s">
        <v>2389</v>
      </c>
    </row>
    <row r="849" spans="1:1">
      <c r="A849" t="s">
        <v>2390</v>
      </c>
    </row>
    <row r="850" spans="1:1">
      <c r="A850" t="s">
        <v>2391</v>
      </c>
    </row>
    <row r="851" spans="1:1">
      <c r="A851" t="s">
        <v>2392</v>
      </c>
    </row>
    <row r="852" spans="1:1">
      <c r="A852" t="s">
        <v>2393</v>
      </c>
    </row>
    <row r="853" spans="1:1">
      <c r="A853" t="s">
        <v>2394</v>
      </c>
    </row>
    <row r="854" spans="1:1">
      <c r="A854" t="s">
        <v>2395</v>
      </c>
    </row>
    <row r="855" spans="1:1">
      <c r="A855" t="s">
        <v>2396</v>
      </c>
    </row>
    <row r="856" spans="1:1">
      <c r="A856" t="s">
        <v>2397</v>
      </c>
    </row>
    <row r="857" spans="1:1">
      <c r="A857" t="s">
        <v>2398</v>
      </c>
    </row>
    <row r="858" spans="1:1">
      <c r="A858" t="s">
        <v>2399</v>
      </c>
    </row>
    <row r="859" spans="1:1">
      <c r="A859" t="s">
        <v>2400</v>
      </c>
    </row>
    <row r="860" spans="1:1">
      <c r="A860" t="s">
        <v>2401</v>
      </c>
    </row>
    <row r="861" spans="1:1">
      <c r="A861" t="s">
        <v>2402</v>
      </c>
    </row>
    <row r="862" spans="1:1">
      <c r="A862" t="s">
        <v>2403</v>
      </c>
    </row>
    <row r="863" spans="1:1">
      <c r="A863" t="s">
        <v>2404</v>
      </c>
    </row>
    <row r="864" spans="1:1">
      <c r="A864" t="s">
        <v>2405</v>
      </c>
    </row>
    <row r="865" spans="1:1">
      <c r="A865" t="s">
        <v>2406</v>
      </c>
    </row>
    <row r="866" spans="1:1">
      <c r="A866" t="s">
        <v>2407</v>
      </c>
    </row>
    <row r="867" spans="1:1">
      <c r="A867" t="s">
        <v>2408</v>
      </c>
    </row>
    <row r="868" spans="1:1">
      <c r="A868" t="s">
        <v>2409</v>
      </c>
    </row>
    <row r="869" spans="1:1">
      <c r="A869" t="s">
        <v>2410</v>
      </c>
    </row>
    <row r="870" spans="1:1">
      <c r="A870" t="s">
        <v>2411</v>
      </c>
    </row>
    <row r="871" spans="1:1">
      <c r="A871" t="s">
        <v>2412</v>
      </c>
    </row>
    <row r="872" spans="1:1">
      <c r="A872" t="s">
        <v>2413</v>
      </c>
    </row>
    <row r="873" spans="1:1">
      <c r="A873" t="s">
        <v>2414</v>
      </c>
    </row>
    <row r="874" spans="1:1">
      <c r="A874" t="s">
        <v>2415</v>
      </c>
    </row>
    <row r="875" spans="1:1">
      <c r="A875" t="s">
        <v>2416</v>
      </c>
    </row>
    <row r="876" spans="1:1">
      <c r="A876" t="s">
        <v>2417</v>
      </c>
    </row>
    <row r="877" spans="1:1">
      <c r="A877" t="s">
        <v>2418</v>
      </c>
    </row>
    <row r="878" spans="1:1">
      <c r="A878" t="s">
        <v>2419</v>
      </c>
    </row>
    <row r="879" spans="1:1">
      <c r="A879" t="s">
        <v>2420</v>
      </c>
    </row>
    <row r="880" spans="1:1">
      <c r="A880" t="s">
        <v>2421</v>
      </c>
    </row>
    <row r="881" spans="1:1">
      <c r="A881" t="s">
        <v>2422</v>
      </c>
    </row>
    <row r="882" spans="1:1">
      <c r="A882" t="s">
        <v>2423</v>
      </c>
    </row>
    <row r="883" spans="1:1">
      <c r="A883" t="s">
        <v>2424</v>
      </c>
    </row>
    <row r="884" spans="1:1">
      <c r="A884" t="s">
        <v>2425</v>
      </c>
    </row>
    <row r="885" spans="1:1">
      <c r="A885" t="s">
        <v>2426</v>
      </c>
    </row>
    <row r="886" spans="1:1">
      <c r="A886" t="s">
        <v>2427</v>
      </c>
    </row>
    <row r="887" spans="1:1">
      <c r="A887" t="s">
        <v>2428</v>
      </c>
    </row>
    <row r="888" spans="1:1">
      <c r="A888" t="s">
        <v>2429</v>
      </c>
    </row>
    <row r="889" spans="1:1">
      <c r="A889" t="s">
        <v>2430</v>
      </c>
    </row>
    <row r="890" spans="1:1">
      <c r="A890" t="s">
        <v>2431</v>
      </c>
    </row>
    <row r="891" spans="1:1">
      <c r="A891" t="s">
        <v>2432</v>
      </c>
    </row>
    <row r="892" spans="1:1">
      <c r="A892" t="s">
        <v>2433</v>
      </c>
    </row>
    <row r="893" spans="1:1">
      <c r="A893" t="s">
        <v>2434</v>
      </c>
    </row>
    <row r="894" spans="1:1">
      <c r="A894" t="s">
        <v>2435</v>
      </c>
    </row>
    <row r="895" spans="1:1">
      <c r="A895" t="s">
        <v>2436</v>
      </c>
    </row>
    <row r="896" spans="1:1">
      <c r="A896" t="s">
        <v>2437</v>
      </c>
    </row>
    <row r="897" spans="1:1">
      <c r="A897" t="s">
        <v>2438</v>
      </c>
    </row>
    <row r="898" spans="1:1">
      <c r="A898" t="s">
        <v>2439</v>
      </c>
    </row>
    <row r="899" spans="1:1">
      <c r="A899" t="s">
        <v>2440</v>
      </c>
    </row>
    <row r="900" spans="1:1">
      <c r="A900" t="s">
        <v>2441</v>
      </c>
    </row>
    <row r="901" spans="1:1">
      <c r="A901" t="s">
        <v>2442</v>
      </c>
    </row>
    <row r="902" spans="1:1">
      <c r="A902" t="s">
        <v>2443</v>
      </c>
    </row>
    <row r="903" spans="1:1">
      <c r="A903" t="s">
        <v>2444</v>
      </c>
    </row>
    <row r="904" spans="1:1">
      <c r="A904" t="s">
        <v>2445</v>
      </c>
    </row>
    <row r="905" spans="1:1">
      <c r="A905" t="s">
        <v>2446</v>
      </c>
    </row>
    <row r="906" spans="1:1">
      <c r="A906" t="s">
        <v>2447</v>
      </c>
    </row>
    <row r="907" spans="1:1">
      <c r="A907" t="s">
        <v>2448</v>
      </c>
    </row>
    <row r="908" spans="1:1">
      <c r="A908" t="s">
        <v>2449</v>
      </c>
    </row>
    <row r="909" spans="1:1">
      <c r="A909" t="s">
        <v>2450</v>
      </c>
    </row>
    <row r="910" spans="1:1">
      <c r="A910" t="s">
        <v>2451</v>
      </c>
    </row>
    <row r="911" spans="1:1">
      <c r="A911" t="s">
        <v>2452</v>
      </c>
    </row>
    <row r="912" spans="1:1">
      <c r="A912" t="s">
        <v>2453</v>
      </c>
    </row>
    <row r="913" spans="1:1">
      <c r="A913" t="s">
        <v>2454</v>
      </c>
    </row>
    <row r="914" spans="1:1">
      <c r="A914" t="s">
        <v>2455</v>
      </c>
    </row>
    <row r="915" spans="1:1">
      <c r="A915" t="s">
        <v>2456</v>
      </c>
    </row>
    <row r="916" spans="1:1">
      <c r="A916" t="s">
        <v>2457</v>
      </c>
    </row>
    <row r="917" spans="1:1">
      <c r="A917" t="s">
        <v>2458</v>
      </c>
    </row>
    <row r="918" spans="1:1">
      <c r="A918" t="s">
        <v>2459</v>
      </c>
    </row>
    <row r="919" spans="1:1">
      <c r="A919" t="s">
        <v>2460</v>
      </c>
    </row>
    <row r="920" spans="1:1">
      <c r="A920" t="s">
        <v>2461</v>
      </c>
    </row>
    <row r="921" spans="1:1">
      <c r="A921" t="s">
        <v>2462</v>
      </c>
    </row>
    <row r="922" spans="1:1">
      <c r="A922" t="s">
        <v>2463</v>
      </c>
    </row>
    <row r="923" spans="1:1">
      <c r="A923" t="s">
        <v>2464</v>
      </c>
    </row>
    <row r="924" spans="1:1">
      <c r="A924" t="s">
        <v>2465</v>
      </c>
    </row>
    <row r="925" spans="1:1">
      <c r="A925" t="s">
        <v>2466</v>
      </c>
    </row>
    <row r="926" spans="1:1">
      <c r="A926" t="s">
        <v>2467</v>
      </c>
    </row>
    <row r="927" spans="1:1">
      <c r="A927" t="s">
        <v>2468</v>
      </c>
    </row>
    <row r="928" spans="1:1">
      <c r="A928" t="s">
        <v>2469</v>
      </c>
    </row>
    <row r="929" spans="1:1">
      <c r="A929" t="s">
        <v>2470</v>
      </c>
    </row>
    <row r="930" spans="1:1">
      <c r="A930" t="s">
        <v>2471</v>
      </c>
    </row>
    <row r="931" spans="1:1">
      <c r="A931" t="s">
        <v>2472</v>
      </c>
    </row>
    <row r="932" spans="1:1">
      <c r="A932" t="s">
        <v>2473</v>
      </c>
    </row>
    <row r="933" spans="1:1">
      <c r="A933" t="s">
        <v>2474</v>
      </c>
    </row>
    <row r="934" spans="1:1">
      <c r="A934" t="s">
        <v>2475</v>
      </c>
    </row>
    <row r="935" spans="1:1">
      <c r="A935" t="s">
        <v>2476</v>
      </c>
    </row>
    <row r="936" spans="1:1">
      <c r="A936" t="s">
        <v>2477</v>
      </c>
    </row>
    <row r="937" spans="1:1">
      <c r="A937" t="s">
        <v>2478</v>
      </c>
    </row>
    <row r="938" spans="1:1">
      <c r="A938" t="s">
        <v>2479</v>
      </c>
    </row>
    <row r="939" spans="1:1">
      <c r="A939" t="s">
        <v>2480</v>
      </c>
    </row>
    <row r="940" spans="1:1">
      <c r="A940" t="s">
        <v>2481</v>
      </c>
    </row>
    <row r="941" spans="1:1">
      <c r="A941" t="s">
        <v>2482</v>
      </c>
    </row>
    <row r="942" spans="1:1">
      <c r="A942" t="s">
        <v>2483</v>
      </c>
    </row>
    <row r="943" spans="1:1">
      <c r="A943" t="s">
        <v>2484</v>
      </c>
    </row>
    <row r="944" spans="1:1">
      <c r="A944" t="s">
        <v>2485</v>
      </c>
    </row>
    <row r="945" spans="1:1">
      <c r="A945" t="s">
        <v>2486</v>
      </c>
    </row>
    <row r="946" spans="1:1">
      <c r="A946" t="s">
        <v>2487</v>
      </c>
    </row>
    <row r="947" spans="1:1">
      <c r="A947" t="s">
        <v>2488</v>
      </c>
    </row>
    <row r="948" spans="1:1">
      <c r="A948" t="s">
        <v>2489</v>
      </c>
    </row>
    <row r="949" spans="1:1">
      <c r="A949" t="s">
        <v>2490</v>
      </c>
    </row>
    <row r="950" spans="1:1">
      <c r="A950" t="s">
        <v>2491</v>
      </c>
    </row>
    <row r="951" spans="1:1">
      <c r="A951" t="s">
        <v>2492</v>
      </c>
    </row>
    <row r="952" spans="1:1">
      <c r="A952" t="s">
        <v>2493</v>
      </c>
    </row>
    <row r="953" spans="1:1">
      <c r="A953" t="s">
        <v>2494</v>
      </c>
    </row>
    <row r="954" spans="1:1">
      <c r="A954" t="s">
        <v>2495</v>
      </c>
    </row>
    <row r="955" spans="1:1">
      <c r="A955" t="s">
        <v>2496</v>
      </c>
    </row>
    <row r="956" spans="1:1">
      <c r="A956" t="s">
        <v>2497</v>
      </c>
    </row>
    <row r="957" spans="1:1">
      <c r="A957" t="s">
        <v>2498</v>
      </c>
    </row>
    <row r="958" spans="1:1">
      <c r="A958" t="s">
        <v>2499</v>
      </c>
    </row>
    <row r="959" spans="1:1">
      <c r="A959" t="s">
        <v>2500</v>
      </c>
    </row>
    <row r="960" spans="1:1">
      <c r="A960" t="s">
        <v>2501</v>
      </c>
    </row>
    <row r="961" spans="1:1">
      <c r="A961" t="s">
        <v>2502</v>
      </c>
    </row>
    <row r="962" spans="1:1">
      <c r="A962" t="s">
        <v>2503</v>
      </c>
    </row>
    <row r="963" spans="1:1">
      <c r="A963" t="s">
        <v>2504</v>
      </c>
    </row>
    <row r="964" spans="1:1">
      <c r="A964" t="s">
        <v>2505</v>
      </c>
    </row>
    <row r="965" spans="1:1">
      <c r="A965" t="s">
        <v>2506</v>
      </c>
    </row>
    <row r="966" spans="1:1">
      <c r="A966" t="s">
        <v>2507</v>
      </c>
    </row>
    <row r="967" spans="1:1">
      <c r="A967" t="s">
        <v>2508</v>
      </c>
    </row>
    <row r="968" spans="1:1">
      <c r="A968" t="s">
        <v>2509</v>
      </c>
    </row>
    <row r="969" spans="1:1">
      <c r="A969" t="s">
        <v>2510</v>
      </c>
    </row>
    <row r="970" spans="1:1">
      <c r="A970" t="s">
        <v>2511</v>
      </c>
    </row>
    <row r="971" spans="1:1">
      <c r="A971" t="s">
        <v>2512</v>
      </c>
    </row>
    <row r="972" spans="1:1">
      <c r="A972" t="s">
        <v>2513</v>
      </c>
    </row>
    <row r="973" spans="1:1">
      <c r="A973" t="s">
        <v>2514</v>
      </c>
    </row>
    <row r="974" spans="1:1">
      <c r="A974" t="s">
        <v>2515</v>
      </c>
    </row>
    <row r="975" spans="1:1">
      <c r="A975" t="s">
        <v>2516</v>
      </c>
    </row>
    <row r="976" spans="1:1">
      <c r="A976" t="s">
        <v>2517</v>
      </c>
    </row>
    <row r="977" spans="1:1">
      <c r="A977" t="s">
        <v>2518</v>
      </c>
    </row>
    <row r="978" spans="1:1">
      <c r="A978" t="s">
        <v>2519</v>
      </c>
    </row>
    <row r="979" spans="1:1">
      <c r="A979" t="s">
        <v>2520</v>
      </c>
    </row>
    <row r="980" spans="1:1">
      <c r="A980" t="s">
        <v>2521</v>
      </c>
    </row>
    <row r="981" spans="1:1">
      <c r="A981" t="s">
        <v>2522</v>
      </c>
    </row>
    <row r="982" spans="1:1">
      <c r="A982" t="s">
        <v>2523</v>
      </c>
    </row>
    <row r="983" spans="1:1">
      <c r="A983" t="s">
        <v>2524</v>
      </c>
    </row>
    <row r="984" spans="1:1">
      <c r="A984" t="s">
        <v>2525</v>
      </c>
    </row>
    <row r="985" spans="1:1">
      <c r="A985" t="s">
        <v>2526</v>
      </c>
    </row>
    <row r="986" spans="1:1">
      <c r="A986" t="s">
        <v>2527</v>
      </c>
    </row>
    <row r="987" spans="1:1">
      <c r="A987" t="s">
        <v>2528</v>
      </c>
    </row>
    <row r="988" spans="1:1">
      <c r="A988" t="s">
        <v>2529</v>
      </c>
    </row>
    <row r="989" spans="1:1">
      <c r="A989" t="s">
        <v>2530</v>
      </c>
    </row>
    <row r="990" spans="1:1">
      <c r="A990" t="s">
        <v>2531</v>
      </c>
    </row>
    <row r="991" spans="1:1">
      <c r="A991" t="s">
        <v>2532</v>
      </c>
    </row>
    <row r="992" spans="1:1">
      <c r="A992" t="s">
        <v>2533</v>
      </c>
    </row>
    <row r="993" spans="1:1">
      <c r="A993" t="s">
        <v>2534</v>
      </c>
    </row>
    <row r="994" spans="1:1">
      <c r="A994" t="s">
        <v>2535</v>
      </c>
    </row>
    <row r="995" spans="1:1">
      <c r="A995" t="s">
        <v>2536</v>
      </c>
    </row>
    <row r="996" spans="1:1">
      <c r="A996" t="s">
        <v>2537</v>
      </c>
    </row>
    <row r="997" spans="1:1">
      <c r="A997" t="s">
        <v>2538</v>
      </c>
    </row>
    <row r="998" spans="1:1">
      <c r="A998" t="s">
        <v>2539</v>
      </c>
    </row>
    <row r="999" spans="1:1">
      <c r="A999" t="s">
        <v>2540</v>
      </c>
    </row>
    <row r="1000" spans="1:1">
      <c r="A1000" t="s">
        <v>2541</v>
      </c>
    </row>
    <row r="1001" spans="1:1">
      <c r="A1001" t="s">
        <v>2542</v>
      </c>
    </row>
    <row r="1002" spans="1:1">
      <c r="A1002" t="s">
        <v>2543</v>
      </c>
    </row>
    <row r="1003" spans="1:1">
      <c r="A1003" t="s">
        <v>2544</v>
      </c>
    </row>
    <row r="1004" spans="1:1">
      <c r="A1004" t="s">
        <v>2545</v>
      </c>
    </row>
    <row r="1005" spans="1:1">
      <c r="A1005" t="s">
        <v>2546</v>
      </c>
    </row>
    <row r="1006" spans="1:1">
      <c r="A1006" t="s">
        <v>2547</v>
      </c>
    </row>
    <row r="1007" spans="1:1">
      <c r="A1007" t="s">
        <v>2548</v>
      </c>
    </row>
    <row r="1008" spans="1:1">
      <c r="A1008" t="s">
        <v>2549</v>
      </c>
    </row>
    <row r="1009" spans="1:1">
      <c r="A1009" t="s">
        <v>2550</v>
      </c>
    </row>
    <row r="1010" spans="1:1">
      <c r="A1010" t="s">
        <v>2551</v>
      </c>
    </row>
    <row r="1011" spans="1:1">
      <c r="A1011" t="s">
        <v>2552</v>
      </c>
    </row>
    <row r="1012" spans="1:1">
      <c r="A1012" t="s">
        <v>2553</v>
      </c>
    </row>
    <row r="1013" spans="1:1">
      <c r="A1013" t="s">
        <v>2554</v>
      </c>
    </row>
    <row r="1014" spans="1:1">
      <c r="A1014" t="s">
        <v>2555</v>
      </c>
    </row>
    <row r="1015" spans="1:1">
      <c r="A1015" t="s">
        <v>2556</v>
      </c>
    </row>
    <row r="1016" spans="1:1">
      <c r="A1016" t="s">
        <v>2557</v>
      </c>
    </row>
    <row r="1017" spans="1:1">
      <c r="A1017" t="s">
        <v>2558</v>
      </c>
    </row>
    <row r="1018" spans="1:1">
      <c r="A1018" t="s">
        <v>2559</v>
      </c>
    </row>
    <row r="1019" spans="1:1">
      <c r="A1019" t="s">
        <v>2560</v>
      </c>
    </row>
    <row r="1020" spans="1:1">
      <c r="A1020" t="s">
        <v>2561</v>
      </c>
    </row>
    <row r="1021" spans="1:1">
      <c r="A1021" t="s">
        <v>2562</v>
      </c>
    </row>
    <row r="1022" spans="1:1">
      <c r="A1022" t="s">
        <v>2563</v>
      </c>
    </row>
    <row r="1023" spans="1:1">
      <c r="A1023" t="s">
        <v>2564</v>
      </c>
    </row>
    <row r="1024" spans="1:1">
      <c r="A1024" t="s">
        <v>2565</v>
      </c>
    </row>
    <row r="1025" spans="1:1">
      <c r="A1025" t="s">
        <v>2566</v>
      </c>
    </row>
    <row r="1026" spans="1:1">
      <c r="A1026" t="s">
        <v>2567</v>
      </c>
    </row>
    <row r="1027" spans="1:1">
      <c r="A1027" t="s">
        <v>2568</v>
      </c>
    </row>
    <row r="1028" spans="1:1">
      <c r="A1028" t="s">
        <v>2569</v>
      </c>
    </row>
    <row r="1029" spans="1:1">
      <c r="A1029" t="s">
        <v>2570</v>
      </c>
    </row>
    <row r="1030" spans="1:1">
      <c r="A1030" t="s">
        <v>2571</v>
      </c>
    </row>
    <row r="1031" spans="1:1">
      <c r="A1031" t="s">
        <v>2572</v>
      </c>
    </row>
    <row r="1032" spans="1:1">
      <c r="A1032" t="s">
        <v>2573</v>
      </c>
    </row>
    <row r="1033" spans="1:1">
      <c r="A1033" t="s">
        <v>2574</v>
      </c>
    </row>
    <row r="1034" spans="1:1">
      <c r="A1034" t="s">
        <v>2575</v>
      </c>
    </row>
    <row r="1035" spans="1:1">
      <c r="A1035" t="s">
        <v>2576</v>
      </c>
    </row>
    <row r="1036" spans="1:1">
      <c r="A1036" t="s">
        <v>2577</v>
      </c>
    </row>
    <row r="1037" spans="1:1">
      <c r="A1037" t="s">
        <v>2578</v>
      </c>
    </row>
    <row r="1038" spans="1:1">
      <c r="A1038" t="s">
        <v>2579</v>
      </c>
    </row>
    <row r="1039" spans="1:1">
      <c r="A1039" t="s">
        <v>2580</v>
      </c>
    </row>
    <row r="1040" spans="1:1">
      <c r="A1040" t="s">
        <v>2581</v>
      </c>
    </row>
    <row r="1041" spans="1:1">
      <c r="A1041" t="s">
        <v>2582</v>
      </c>
    </row>
    <row r="1042" spans="1:1">
      <c r="A1042" t="s">
        <v>2583</v>
      </c>
    </row>
    <row r="1043" spans="1:1">
      <c r="A1043" t="s">
        <v>2584</v>
      </c>
    </row>
    <row r="1044" spans="1:1">
      <c r="A1044" t="s">
        <v>2585</v>
      </c>
    </row>
    <row r="1045" spans="1:1">
      <c r="A1045" t="s">
        <v>2586</v>
      </c>
    </row>
    <row r="1046" spans="1:1">
      <c r="A1046" t="s">
        <v>2587</v>
      </c>
    </row>
    <row r="1047" spans="1:1">
      <c r="A1047" t="s">
        <v>2588</v>
      </c>
    </row>
    <row r="1048" spans="1:1">
      <c r="A1048" t="s">
        <v>2589</v>
      </c>
    </row>
    <row r="1049" spans="1:1">
      <c r="A1049" t="s">
        <v>2590</v>
      </c>
    </row>
    <row r="1050" spans="1:1">
      <c r="A1050" t="s">
        <v>2591</v>
      </c>
    </row>
    <row r="1051" spans="1:1">
      <c r="A1051" t="s">
        <v>2592</v>
      </c>
    </row>
    <row r="1052" spans="1:1">
      <c r="A1052" t="s">
        <v>2593</v>
      </c>
    </row>
    <row r="1053" spans="1:1">
      <c r="A1053" t="s">
        <v>2594</v>
      </c>
    </row>
    <row r="1054" spans="1:1">
      <c r="A1054" t="s">
        <v>2595</v>
      </c>
    </row>
    <row r="1055" spans="1:1">
      <c r="A1055" t="s">
        <v>2596</v>
      </c>
    </row>
    <row r="1056" spans="1:1">
      <c r="A1056" t="s">
        <v>2597</v>
      </c>
    </row>
    <row r="1057" spans="1:1">
      <c r="A1057" t="s">
        <v>2598</v>
      </c>
    </row>
    <row r="1058" spans="1:1">
      <c r="A1058" t="s">
        <v>2599</v>
      </c>
    </row>
    <row r="1059" spans="1:1">
      <c r="A1059" t="s">
        <v>2600</v>
      </c>
    </row>
    <row r="1060" spans="1:1">
      <c r="A1060" t="s">
        <v>2601</v>
      </c>
    </row>
    <row r="1061" spans="1:1">
      <c r="A1061" t="s">
        <v>2602</v>
      </c>
    </row>
    <row r="1062" spans="1:1">
      <c r="A1062" t="s">
        <v>2603</v>
      </c>
    </row>
    <row r="1063" spans="1:1">
      <c r="A1063" t="s">
        <v>2604</v>
      </c>
    </row>
    <row r="1064" spans="1:1">
      <c r="A1064" t="s">
        <v>2605</v>
      </c>
    </row>
    <row r="1065" spans="1:1">
      <c r="A1065" t="s">
        <v>2606</v>
      </c>
    </row>
    <row r="1066" spans="1:1">
      <c r="A1066" t="s">
        <v>2607</v>
      </c>
    </row>
    <row r="1067" spans="1:1">
      <c r="A1067" t="s">
        <v>2608</v>
      </c>
    </row>
    <row r="1068" spans="1:1">
      <c r="A1068" t="s">
        <v>2609</v>
      </c>
    </row>
    <row r="1069" spans="1:1">
      <c r="A1069" t="s">
        <v>2610</v>
      </c>
    </row>
    <row r="1070" spans="1:1">
      <c r="A1070" t="s">
        <v>2611</v>
      </c>
    </row>
    <row r="1071" spans="1:1">
      <c r="A1071" t="s">
        <v>2612</v>
      </c>
    </row>
    <row r="1072" spans="1:1">
      <c r="A1072" t="s">
        <v>2613</v>
      </c>
    </row>
    <row r="1073" spans="1:1">
      <c r="A1073" t="s">
        <v>2614</v>
      </c>
    </row>
    <row r="1074" spans="1:1">
      <c r="A1074" t="s">
        <v>2615</v>
      </c>
    </row>
    <row r="1075" spans="1:1">
      <c r="A1075" t="s">
        <v>2616</v>
      </c>
    </row>
    <row r="1076" spans="1:1">
      <c r="A1076" t="s">
        <v>2617</v>
      </c>
    </row>
    <row r="1077" spans="1:1">
      <c r="A1077" t="s">
        <v>2618</v>
      </c>
    </row>
    <row r="1078" spans="1:1">
      <c r="A1078" t="s">
        <v>2619</v>
      </c>
    </row>
    <row r="1079" spans="1:1">
      <c r="A1079" t="s">
        <v>2620</v>
      </c>
    </row>
    <row r="1080" spans="1:1">
      <c r="A1080" t="s">
        <v>2621</v>
      </c>
    </row>
    <row r="1081" spans="1:1">
      <c r="A1081" t="s">
        <v>2622</v>
      </c>
    </row>
    <row r="1082" spans="1:1">
      <c r="A1082" t="s">
        <v>2623</v>
      </c>
    </row>
    <row r="1083" spans="1:1">
      <c r="A1083" t="s">
        <v>2624</v>
      </c>
    </row>
    <row r="1084" spans="1:1">
      <c r="A1084" t="s">
        <v>2625</v>
      </c>
    </row>
    <row r="1085" spans="1:1">
      <c r="A1085" t="s">
        <v>2626</v>
      </c>
    </row>
    <row r="1086" spans="1:1">
      <c r="A1086" t="s">
        <v>2627</v>
      </c>
    </row>
    <row r="1087" spans="1:1">
      <c r="A1087" t="s">
        <v>2628</v>
      </c>
    </row>
    <row r="1088" spans="1:1">
      <c r="A1088" t="s">
        <v>2629</v>
      </c>
    </row>
    <row r="1089" spans="1:1">
      <c r="A1089" t="s">
        <v>2630</v>
      </c>
    </row>
    <row r="1090" spans="1:1">
      <c r="A1090" t="s">
        <v>2631</v>
      </c>
    </row>
    <row r="1091" spans="1:1">
      <c r="A1091" t="s">
        <v>2632</v>
      </c>
    </row>
    <row r="1092" spans="1:1">
      <c r="A1092" t="s">
        <v>2633</v>
      </c>
    </row>
    <row r="1093" spans="1:1">
      <c r="A1093" t="s">
        <v>2634</v>
      </c>
    </row>
    <row r="1094" spans="1:1">
      <c r="A1094" t="s">
        <v>2635</v>
      </c>
    </row>
    <row r="1095" spans="1:1">
      <c r="A1095" t="s">
        <v>2636</v>
      </c>
    </row>
    <row r="1096" spans="1:1">
      <c r="A1096" t="s">
        <v>2637</v>
      </c>
    </row>
    <row r="1097" spans="1:1">
      <c r="A1097" t="s">
        <v>2638</v>
      </c>
    </row>
    <row r="1098" spans="1:1">
      <c r="A1098" t="s">
        <v>2639</v>
      </c>
    </row>
    <row r="1099" spans="1:1">
      <c r="A1099" t="s">
        <v>2640</v>
      </c>
    </row>
    <row r="1100" spans="1:1">
      <c r="A1100" t="s">
        <v>2641</v>
      </c>
    </row>
    <row r="1101" spans="1:1">
      <c r="A1101" t="s">
        <v>2642</v>
      </c>
    </row>
    <row r="1102" spans="1:1">
      <c r="A1102" t="s">
        <v>2643</v>
      </c>
    </row>
    <row r="1103" spans="1:1">
      <c r="A1103" t="s">
        <v>2644</v>
      </c>
    </row>
    <row r="1104" spans="1:1">
      <c r="A1104" t="s">
        <v>2645</v>
      </c>
    </row>
    <row r="1105" spans="1:1">
      <c r="A1105" t="s">
        <v>2646</v>
      </c>
    </row>
    <row r="1106" spans="1:1">
      <c r="A1106" t="s">
        <v>2647</v>
      </c>
    </row>
    <row r="1107" spans="1:1">
      <c r="A1107" t="s">
        <v>2648</v>
      </c>
    </row>
    <row r="1108" spans="1:1">
      <c r="A1108" t="s">
        <v>2649</v>
      </c>
    </row>
    <row r="1109" spans="1:1">
      <c r="A1109" t="s">
        <v>2650</v>
      </c>
    </row>
    <row r="1110" spans="1:1">
      <c r="A1110" t="s">
        <v>2651</v>
      </c>
    </row>
    <row r="1111" spans="1:1">
      <c r="A1111" t="s">
        <v>2652</v>
      </c>
    </row>
    <row r="1112" spans="1:1">
      <c r="A1112" t="s">
        <v>2653</v>
      </c>
    </row>
    <row r="1113" spans="1:1">
      <c r="A1113" t="s">
        <v>2654</v>
      </c>
    </row>
    <row r="1114" spans="1:1">
      <c r="A1114" t="s">
        <v>2655</v>
      </c>
    </row>
    <row r="1115" spans="1:1">
      <c r="A1115" t="s">
        <v>2656</v>
      </c>
    </row>
    <row r="1116" spans="1:1">
      <c r="A1116" t="s">
        <v>2657</v>
      </c>
    </row>
    <row r="1117" spans="1:1">
      <c r="A1117" t="s">
        <v>2658</v>
      </c>
    </row>
    <row r="1118" spans="1:1">
      <c r="A1118" t="s">
        <v>2659</v>
      </c>
    </row>
    <row r="1119" spans="1:1">
      <c r="A1119" t="s">
        <v>2660</v>
      </c>
    </row>
    <row r="1120" spans="1:1">
      <c r="A1120" t="s">
        <v>2661</v>
      </c>
    </row>
    <row r="1121" spans="1:1">
      <c r="A1121" t="s">
        <v>2662</v>
      </c>
    </row>
    <row r="1122" spans="1:1">
      <c r="A1122" t="s">
        <v>2663</v>
      </c>
    </row>
    <row r="1123" spans="1:1">
      <c r="A1123" t="s">
        <v>2664</v>
      </c>
    </row>
    <row r="1124" spans="1:1">
      <c r="A1124" t="s">
        <v>2665</v>
      </c>
    </row>
    <row r="1125" spans="1:1">
      <c r="A1125" t="s">
        <v>2666</v>
      </c>
    </row>
    <row r="1126" spans="1:1">
      <c r="A1126" t="s">
        <v>2667</v>
      </c>
    </row>
    <row r="1127" spans="1:1">
      <c r="A1127" t="s">
        <v>2668</v>
      </c>
    </row>
    <row r="1128" spans="1:1">
      <c r="A1128" t="s">
        <v>2669</v>
      </c>
    </row>
    <row r="1129" spans="1:1">
      <c r="A1129" t="s">
        <v>2670</v>
      </c>
    </row>
    <row r="1130" spans="1:1">
      <c r="A1130" t="s">
        <v>2671</v>
      </c>
    </row>
    <row r="1131" spans="1:1">
      <c r="A1131" t="s">
        <v>2672</v>
      </c>
    </row>
    <row r="1132" spans="1:1">
      <c r="A1132" t="s">
        <v>2673</v>
      </c>
    </row>
    <row r="1133" spans="1:1">
      <c r="A1133" t="s">
        <v>2674</v>
      </c>
    </row>
    <row r="1134" spans="1:1">
      <c r="A1134" t="s">
        <v>2675</v>
      </c>
    </row>
    <row r="1135" spans="1:1">
      <c r="A1135" t="s">
        <v>2676</v>
      </c>
    </row>
    <row r="1136" spans="1:1">
      <c r="A1136" t="s">
        <v>2677</v>
      </c>
    </row>
    <row r="1137" spans="1:1">
      <c r="A1137" t="s">
        <v>2678</v>
      </c>
    </row>
    <row r="1138" spans="1:1">
      <c r="A1138" t="s">
        <v>2679</v>
      </c>
    </row>
    <row r="1139" spans="1:1">
      <c r="A1139" t="s">
        <v>2680</v>
      </c>
    </row>
    <row r="1140" spans="1:1">
      <c r="A1140" t="s">
        <v>2681</v>
      </c>
    </row>
    <row r="1141" spans="1:1">
      <c r="A1141" t="s">
        <v>2682</v>
      </c>
    </row>
    <row r="1142" spans="1:1">
      <c r="A1142" t="s">
        <v>2683</v>
      </c>
    </row>
    <row r="1143" spans="1:1">
      <c r="A1143" t="s">
        <v>2684</v>
      </c>
    </row>
    <row r="1144" spans="1:1">
      <c r="A1144" t="s">
        <v>2685</v>
      </c>
    </row>
    <row r="1145" spans="1:1">
      <c r="A1145" t="s">
        <v>2686</v>
      </c>
    </row>
    <row r="1146" spans="1:1">
      <c r="A1146" t="s">
        <v>2687</v>
      </c>
    </row>
    <row r="1147" spans="1:1">
      <c r="A1147" t="s">
        <v>2688</v>
      </c>
    </row>
    <row r="1148" spans="1:1">
      <c r="A1148" t="s">
        <v>2689</v>
      </c>
    </row>
    <row r="1149" spans="1:1">
      <c r="A1149" t="s">
        <v>2690</v>
      </c>
    </row>
    <row r="1150" spans="1:1">
      <c r="A1150" t="s">
        <v>2691</v>
      </c>
    </row>
    <row r="1151" spans="1:1">
      <c r="A1151" t="s">
        <v>2692</v>
      </c>
    </row>
    <row r="1152" spans="1:1">
      <c r="A1152" t="s">
        <v>2693</v>
      </c>
    </row>
    <row r="1153" spans="1:1">
      <c r="A1153" t="s">
        <v>2694</v>
      </c>
    </row>
    <row r="1154" spans="1:1">
      <c r="A1154" t="s">
        <v>2695</v>
      </c>
    </row>
    <row r="1155" spans="1:1">
      <c r="A1155" t="s">
        <v>2696</v>
      </c>
    </row>
    <row r="1156" spans="1:1">
      <c r="A1156" t="s">
        <v>2697</v>
      </c>
    </row>
    <row r="1157" spans="1:1">
      <c r="A1157" t="s">
        <v>2698</v>
      </c>
    </row>
    <row r="1158" spans="1:1">
      <c r="A1158" t="s">
        <v>2699</v>
      </c>
    </row>
    <row r="1159" spans="1:1">
      <c r="A1159" t="s">
        <v>2700</v>
      </c>
    </row>
    <row r="1160" spans="1:1">
      <c r="A1160" t="s">
        <v>2701</v>
      </c>
    </row>
    <row r="1161" spans="1:1">
      <c r="A1161" t="s">
        <v>2702</v>
      </c>
    </row>
    <row r="1162" spans="1:1">
      <c r="A1162" t="s">
        <v>2703</v>
      </c>
    </row>
    <row r="1163" spans="1:1">
      <c r="A1163" t="s">
        <v>2704</v>
      </c>
    </row>
    <row r="1164" spans="1:1">
      <c r="A1164" t="s">
        <v>2705</v>
      </c>
    </row>
    <row r="1165" spans="1:1">
      <c r="A1165" t="s">
        <v>2706</v>
      </c>
    </row>
    <row r="1166" spans="1:1">
      <c r="A1166" t="s">
        <v>2707</v>
      </c>
    </row>
    <row r="1167" spans="1:1">
      <c r="A1167" t="s">
        <v>2708</v>
      </c>
    </row>
    <row r="1168" spans="1:1">
      <c r="A1168" t="s">
        <v>2709</v>
      </c>
    </row>
    <row r="1169" spans="1:1">
      <c r="A1169" t="s">
        <v>2710</v>
      </c>
    </row>
    <row r="1170" spans="1:1">
      <c r="A1170" t="s">
        <v>2711</v>
      </c>
    </row>
    <row r="1171" spans="1:1">
      <c r="A1171" t="s">
        <v>2712</v>
      </c>
    </row>
    <row r="1172" spans="1:1">
      <c r="A1172" t="s">
        <v>2713</v>
      </c>
    </row>
    <row r="1173" spans="1:1">
      <c r="A1173" t="s">
        <v>2714</v>
      </c>
    </row>
    <row r="1174" spans="1:1">
      <c r="A1174" t="s">
        <v>2715</v>
      </c>
    </row>
    <row r="1175" spans="1:1">
      <c r="A1175" t="s">
        <v>2716</v>
      </c>
    </row>
    <row r="1176" spans="1:1">
      <c r="A1176" t="s">
        <v>2717</v>
      </c>
    </row>
    <row r="1177" spans="1:1">
      <c r="A1177" t="s">
        <v>2718</v>
      </c>
    </row>
    <row r="1178" spans="1:1">
      <c r="A1178" t="s">
        <v>2719</v>
      </c>
    </row>
    <row r="1179" spans="1:1">
      <c r="A1179" t="s">
        <v>2720</v>
      </c>
    </row>
    <row r="1180" spans="1:1">
      <c r="A1180" t="s">
        <v>2721</v>
      </c>
    </row>
    <row r="1181" spans="1:1">
      <c r="A1181" t="s">
        <v>2722</v>
      </c>
    </row>
    <row r="1182" spans="1:1">
      <c r="A1182" t="s">
        <v>2723</v>
      </c>
    </row>
    <row r="1183" spans="1:1">
      <c r="A1183" t="s">
        <v>2724</v>
      </c>
    </row>
    <row r="1184" spans="1:1">
      <c r="A1184" t="s">
        <v>2725</v>
      </c>
    </row>
    <row r="1185" spans="1:1">
      <c r="A1185" t="s">
        <v>2726</v>
      </c>
    </row>
    <row r="1186" spans="1:1">
      <c r="A1186" t="s">
        <v>2727</v>
      </c>
    </row>
    <row r="1187" spans="1:1">
      <c r="A1187" t="s">
        <v>2728</v>
      </c>
    </row>
    <row r="1188" spans="1:1">
      <c r="A1188" t="s">
        <v>2729</v>
      </c>
    </row>
    <row r="1189" spans="1:1">
      <c r="A1189" t="s">
        <v>2730</v>
      </c>
    </row>
    <row r="1190" spans="1:1">
      <c r="A1190" t="s">
        <v>2731</v>
      </c>
    </row>
    <row r="1191" spans="1:1">
      <c r="A1191" t="s">
        <v>2732</v>
      </c>
    </row>
    <row r="1192" spans="1:1">
      <c r="A1192" t="s">
        <v>2733</v>
      </c>
    </row>
    <row r="1193" spans="1:1">
      <c r="A1193" t="s">
        <v>2734</v>
      </c>
    </row>
    <row r="1194" spans="1:1">
      <c r="A1194" t="s">
        <v>2735</v>
      </c>
    </row>
    <row r="1195" spans="1:1">
      <c r="A1195" t="s">
        <v>2736</v>
      </c>
    </row>
    <row r="1196" spans="1:1">
      <c r="A1196" t="s">
        <v>2737</v>
      </c>
    </row>
    <row r="1197" spans="1:1">
      <c r="A1197" t="s">
        <v>2738</v>
      </c>
    </row>
    <row r="1198" spans="1:1">
      <c r="A1198" t="s">
        <v>2739</v>
      </c>
    </row>
    <row r="1199" spans="1:1">
      <c r="A1199" t="s">
        <v>2740</v>
      </c>
    </row>
    <row r="1200" spans="1:1">
      <c r="A1200" t="s">
        <v>2741</v>
      </c>
    </row>
    <row r="1201" spans="1:1">
      <c r="A1201" t="s">
        <v>2742</v>
      </c>
    </row>
    <row r="1202" spans="1:1">
      <c r="A1202" t="s">
        <v>2743</v>
      </c>
    </row>
    <row r="1203" spans="1:1">
      <c r="A1203" t="s">
        <v>2744</v>
      </c>
    </row>
    <row r="1204" spans="1:1">
      <c r="A1204" t="s">
        <v>2745</v>
      </c>
    </row>
    <row r="1205" spans="1:1">
      <c r="A1205" t="s">
        <v>2746</v>
      </c>
    </row>
    <row r="1206" spans="1:1">
      <c r="A1206" t="s">
        <v>2747</v>
      </c>
    </row>
    <row r="1207" spans="1:1">
      <c r="A1207" t="s">
        <v>2748</v>
      </c>
    </row>
    <row r="1208" spans="1:1">
      <c r="A1208" t="s">
        <v>2749</v>
      </c>
    </row>
    <row r="1209" spans="1:1">
      <c r="A1209" t="s">
        <v>2750</v>
      </c>
    </row>
    <row r="1210" spans="1:1">
      <c r="A1210" t="s">
        <v>2751</v>
      </c>
    </row>
    <row r="1211" spans="1:1">
      <c r="A1211" t="s">
        <v>2752</v>
      </c>
    </row>
    <row r="1212" spans="1:1">
      <c r="A1212" t="s">
        <v>2753</v>
      </c>
    </row>
    <row r="1213" spans="1:1">
      <c r="A1213" t="s">
        <v>2754</v>
      </c>
    </row>
    <row r="1214" spans="1:1">
      <c r="A1214" t="s">
        <v>2755</v>
      </c>
    </row>
    <row r="1215" spans="1:1">
      <c r="A1215" t="s">
        <v>2756</v>
      </c>
    </row>
    <row r="1216" spans="1:1">
      <c r="A1216" t="s">
        <v>2757</v>
      </c>
    </row>
    <row r="1217" spans="1:1">
      <c r="A1217" t="s">
        <v>2758</v>
      </c>
    </row>
    <row r="1218" spans="1:1">
      <c r="A1218" t="s">
        <v>2759</v>
      </c>
    </row>
    <row r="1219" spans="1:1">
      <c r="A1219" t="s">
        <v>2760</v>
      </c>
    </row>
    <row r="1220" spans="1:1">
      <c r="A1220" t="s">
        <v>2761</v>
      </c>
    </row>
    <row r="1221" spans="1:1">
      <c r="A1221" t="s">
        <v>2762</v>
      </c>
    </row>
    <row r="1222" spans="1:1">
      <c r="A1222" t="s">
        <v>2763</v>
      </c>
    </row>
    <row r="1223" spans="1:1">
      <c r="A1223" t="s">
        <v>2764</v>
      </c>
    </row>
    <row r="1224" spans="1:1">
      <c r="A1224" t="s">
        <v>2765</v>
      </c>
    </row>
    <row r="1225" spans="1:1">
      <c r="A1225" t="s">
        <v>2766</v>
      </c>
    </row>
    <row r="1226" spans="1:1">
      <c r="A1226" t="s">
        <v>2767</v>
      </c>
    </row>
    <row r="1227" spans="1:1">
      <c r="A1227" t="s">
        <v>2768</v>
      </c>
    </row>
    <row r="1228" spans="1:1">
      <c r="A1228" t="s">
        <v>2769</v>
      </c>
    </row>
    <row r="1229" spans="1:1">
      <c r="A1229" t="s">
        <v>2770</v>
      </c>
    </row>
    <row r="1230" spans="1:1">
      <c r="A1230" t="s">
        <v>2771</v>
      </c>
    </row>
    <row r="1231" spans="1:1">
      <c r="A1231" t="s">
        <v>2772</v>
      </c>
    </row>
    <row r="1232" spans="1:1">
      <c r="A1232" t="s">
        <v>2773</v>
      </c>
    </row>
    <row r="1233" spans="1:1">
      <c r="A1233" t="s">
        <v>2774</v>
      </c>
    </row>
    <row r="1234" spans="1:1">
      <c r="A1234" t="s">
        <v>2775</v>
      </c>
    </row>
    <row r="1235" spans="1:1">
      <c r="A1235" t="s">
        <v>2776</v>
      </c>
    </row>
    <row r="1236" spans="1:1">
      <c r="A1236" t="s">
        <v>2777</v>
      </c>
    </row>
    <row r="1237" spans="1:1">
      <c r="A1237" t="s">
        <v>2778</v>
      </c>
    </row>
    <row r="1238" spans="1:1">
      <c r="A1238" t="s">
        <v>2779</v>
      </c>
    </row>
    <row r="1239" spans="1:1">
      <c r="A1239" t="s">
        <v>2780</v>
      </c>
    </row>
    <row r="1240" spans="1:1">
      <c r="A1240" t="s">
        <v>2781</v>
      </c>
    </row>
    <row r="1241" spans="1:1">
      <c r="A1241" t="s">
        <v>2782</v>
      </c>
    </row>
    <row r="1242" spans="1:1">
      <c r="A1242" t="s">
        <v>2783</v>
      </c>
    </row>
    <row r="1243" spans="1:1">
      <c r="A1243" t="s">
        <v>2784</v>
      </c>
    </row>
    <row r="1244" spans="1:1">
      <c r="A1244" t="s">
        <v>2785</v>
      </c>
    </row>
    <row r="1245" spans="1:1">
      <c r="A1245" t="s">
        <v>2786</v>
      </c>
    </row>
    <row r="1246" spans="1:1">
      <c r="A1246" t="s">
        <v>2787</v>
      </c>
    </row>
    <row r="1247" spans="1:1">
      <c r="A1247" t="s">
        <v>2788</v>
      </c>
    </row>
    <row r="1248" spans="1:1">
      <c r="A1248" t="s">
        <v>2789</v>
      </c>
    </row>
    <row r="1249" spans="1:1">
      <c r="A1249" t="s">
        <v>2790</v>
      </c>
    </row>
    <row r="1250" spans="1:1">
      <c r="A1250" t="s">
        <v>2791</v>
      </c>
    </row>
    <row r="1251" spans="1:1">
      <c r="A1251" t="s">
        <v>2792</v>
      </c>
    </row>
    <row r="1252" spans="1:1">
      <c r="A1252" t="s">
        <v>2793</v>
      </c>
    </row>
    <row r="1253" spans="1:1">
      <c r="A1253" t="s">
        <v>2794</v>
      </c>
    </row>
    <row r="1254" spans="1:1">
      <c r="A1254" t="s">
        <v>2795</v>
      </c>
    </row>
    <row r="1255" spans="1:1">
      <c r="A1255" t="s">
        <v>2796</v>
      </c>
    </row>
    <row r="1256" spans="1:1">
      <c r="A1256" t="s">
        <v>2797</v>
      </c>
    </row>
    <row r="1257" spans="1:1">
      <c r="A1257" t="s">
        <v>2798</v>
      </c>
    </row>
    <row r="1258" spans="1:1">
      <c r="A1258" t="s">
        <v>2799</v>
      </c>
    </row>
    <row r="1259" spans="1:1">
      <c r="A1259" t="s">
        <v>2800</v>
      </c>
    </row>
    <row r="1260" spans="1:1">
      <c r="A1260" t="s">
        <v>2801</v>
      </c>
    </row>
    <row r="1261" spans="1:1">
      <c r="A1261" t="s">
        <v>2802</v>
      </c>
    </row>
    <row r="1262" spans="1:1">
      <c r="A1262" t="s">
        <v>2803</v>
      </c>
    </row>
    <row r="1263" spans="1:1">
      <c r="A1263" t="s">
        <v>2804</v>
      </c>
    </row>
    <row r="1264" spans="1:1">
      <c r="A1264" t="s">
        <v>2805</v>
      </c>
    </row>
    <row r="1265" spans="1:1">
      <c r="A1265" t="s">
        <v>2806</v>
      </c>
    </row>
    <row r="1266" spans="1:1">
      <c r="A1266" t="s">
        <v>2807</v>
      </c>
    </row>
    <row r="1267" spans="1:1">
      <c r="A1267" t="s">
        <v>2808</v>
      </c>
    </row>
    <row r="1268" spans="1:1">
      <c r="A1268" t="s">
        <v>2809</v>
      </c>
    </row>
    <row r="1269" spans="1:1">
      <c r="A1269" t="s">
        <v>2810</v>
      </c>
    </row>
    <row r="1270" spans="1:1">
      <c r="A1270" t="s">
        <v>2811</v>
      </c>
    </row>
    <row r="1271" spans="1:1">
      <c r="A1271" t="s">
        <v>2812</v>
      </c>
    </row>
    <row r="1272" spans="1:1">
      <c r="A1272" t="s">
        <v>2813</v>
      </c>
    </row>
    <row r="1273" spans="1:1">
      <c r="A1273" t="s">
        <v>2814</v>
      </c>
    </row>
    <row r="1274" spans="1:1">
      <c r="A1274" t="s">
        <v>2815</v>
      </c>
    </row>
    <row r="1275" spans="1:1">
      <c r="A1275" t="s">
        <v>2816</v>
      </c>
    </row>
    <row r="1276" spans="1:1">
      <c r="A1276" t="s">
        <v>2817</v>
      </c>
    </row>
    <row r="1277" spans="1:1">
      <c r="A1277" t="s">
        <v>2818</v>
      </c>
    </row>
    <row r="1278" spans="1:1">
      <c r="A1278" t="s">
        <v>2819</v>
      </c>
    </row>
    <row r="1279" spans="1:1">
      <c r="A1279" t="s">
        <v>2820</v>
      </c>
    </row>
    <row r="1280" spans="1:1">
      <c r="A1280" t="s">
        <v>2821</v>
      </c>
    </row>
    <row r="1281" spans="1:1">
      <c r="A1281" t="s">
        <v>2822</v>
      </c>
    </row>
    <row r="1282" spans="1:1">
      <c r="A1282" t="s">
        <v>2823</v>
      </c>
    </row>
    <row r="1283" spans="1:1">
      <c r="A1283" t="s">
        <v>2824</v>
      </c>
    </row>
    <row r="1284" spans="1:1">
      <c r="A1284" t="s">
        <v>2825</v>
      </c>
    </row>
    <row r="1285" spans="1:1">
      <c r="A1285" t="s">
        <v>2826</v>
      </c>
    </row>
    <row r="1286" spans="1:1">
      <c r="A1286" t="s">
        <v>2827</v>
      </c>
    </row>
    <row r="1287" spans="1:1">
      <c r="A1287" t="s">
        <v>2828</v>
      </c>
    </row>
    <row r="1288" spans="1:1">
      <c r="A1288" t="s">
        <v>2829</v>
      </c>
    </row>
    <row r="1289" spans="1:1">
      <c r="A1289" t="s">
        <v>2830</v>
      </c>
    </row>
    <row r="1290" spans="1:1">
      <c r="A1290" t="s">
        <v>2831</v>
      </c>
    </row>
    <row r="1291" spans="1:1">
      <c r="A1291" t="s">
        <v>2832</v>
      </c>
    </row>
    <row r="1292" spans="1:1">
      <c r="A1292" t="s">
        <v>2833</v>
      </c>
    </row>
    <row r="1293" spans="1:1">
      <c r="A1293" t="s">
        <v>2834</v>
      </c>
    </row>
    <row r="1294" spans="1:1">
      <c r="A1294" t="s">
        <v>2835</v>
      </c>
    </row>
    <row r="1295" spans="1:1">
      <c r="A1295" t="s">
        <v>2836</v>
      </c>
    </row>
    <row r="1296" spans="1:1">
      <c r="A1296" t="s">
        <v>2837</v>
      </c>
    </row>
    <row r="1297" spans="1:1">
      <c r="A1297" t="s">
        <v>2838</v>
      </c>
    </row>
    <row r="1298" spans="1:1">
      <c r="A1298" t="s">
        <v>2839</v>
      </c>
    </row>
    <row r="1299" spans="1:1">
      <c r="A1299" t="s">
        <v>2840</v>
      </c>
    </row>
    <row r="1300" spans="1:1">
      <c r="A1300" t="s">
        <v>2841</v>
      </c>
    </row>
    <row r="1301" spans="1:1">
      <c r="A1301" t="s">
        <v>2842</v>
      </c>
    </row>
    <row r="1302" spans="1:1">
      <c r="A1302" t="s">
        <v>2843</v>
      </c>
    </row>
    <row r="1303" spans="1:1">
      <c r="A1303" t="s">
        <v>2844</v>
      </c>
    </row>
    <row r="1304" spans="1:1">
      <c r="A1304" t="s">
        <v>2845</v>
      </c>
    </row>
    <row r="1305" spans="1:1">
      <c r="A1305" t="s">
        <v>2846</v>
      </c>
    </row>
    <row r="1306" spans="1:1">
      <c r="A1306" t="s">
        <v>2847</v>
      </c>
    </row>
    <row r="1307" spans="1:1">
      <c r="A1307" t="s">
        <v>2848</v>
      </c>
    </row>
    <row r="1308" spans="1:1">
      <c r="A1308" t="s">
        <v>2849</v>
      </c>
    </row>
    <row r="1309" spans="1:1">
      <c r="A1309" t="s">
        <v>2850</v>
      </c>
    </row>
    <row r="1310" spans="1:1">
      <c r="A1310" t="s">
        <v>2851</v>
      </c>
    </row>
    <row r="1311" spans="1:1">
      <c r="A1311" t="s">
        <v>2852</v>
      </c>
    </row>
    <row r="1312" spans="1:1">
      <c r="A1312" t="s">
        <v>2853</v>
      </c>
    </row>
    <row r="1313" spans="1:1">
      <c r="A1313" t="s">
        <v>2854</v>
      </c>
    </row>
    <row r="1314" spans="1:1">
      <c r="A1314" t="s">
        <v>2855</v>
      </c>
    </row>
    <row r="1315" spans="1:1">
      <c r="A1315" t="s">
        <v>2856</v>
      </c>
    </row>
    <row r="1316" spans="1:1">
      <c r="A1316" t="s">
        <v>2857</v>
      </c>
    </row>
    <row r="1317" spans="1:1">
      <c r="A1317" t="s">
        <v>2858</v>
      </c>
    </row>
    <row r="1318" spans="1:1">
      <c r="A1318" t="s">
        <v>2859</v>
      </c>
    </row>
    <row r="1319" spans="1:1">
      <c r="A1319" t="s">
        <v>2860</v>
      </c>
    </row>
    <row r="1320" spans="1:1">
      <c r="A1320" t="s">
        <v>2861</v>
      </c>
    </row>
    <row r="1321" spans="1:1">
      <c r="A1321" t="s">
        <v>2862</v>
      </c>
    </row>
    <row r="1322" spans="1:1">
      <c r="A1322" t="s">
        <v>2863</v>
      </c>
    </row>
    <row r="1323" spans="1:1">
      <c r="A1323" t="s">
        <v>2864</v>
      </c>
    </row>
    <row r="1324" spans="1:1">
      <c r="A1324" t="s">
        <v>2865</v>
      </c>
    </row>
    <row r="1325" spans="1:1">
      <c r="A1325" t="s">
        <v>2866</v>
      </c>
    </row>
    <row r="1326" spans="1:1">
      <c r="A1326" t="s">
        <v>2867</v>
      </c>
    </row>
    <row r="1327" spans="1:1">
      <c r="A1327" t="s">
        <v>2868</v>
      </c>
    </row>
    <row r="1328" spans="1:1">
      <c r="A1328" t="s">
        <v>2869</v>
      </c>
    </row>
    <row r="1329" spans="1:1">
      <c r="A1329" t="s">
        <v>2870</v>
      </c>
    </row>
    <row r="1330" spans="1:1">
      <c r="A1330" t="s">
        <v>2871</v>
      </c>
    </row>
    <row r="1331" spans="1:1">
      <c r="A1331" t="s">
        <v>2872</v>
      </c>
    </row>
    <row r="1332" spans="1:1">
      <c r="A1332" t="s">
        <v>2873</v>
      </c>
    </row>
    <row r="1333" spans="1:1">
      <c r="A1333" t="s">
        <v>2874</v>
      </c>
    </row>
    <row r="1334" spans="1:1">
      <c r="A1334" t="s">
        <v>2875</v>
      </c>
    </row>
    <row r="1335" spans="1:1">
      <c r="A1335" t="s">
        <v>2876</v>
      </c>
    </row>
    <row r="1336" spans="1:1">
      <c r="A1336" t="s">
        <v>2877</v>
      </c>
    </row>
    <row r="1337" spans="1:1">
      <c r="A1337" t="s">
        <v>2878</v>
      </c>
    </row>
    <row r="1338" spans="1:1">
      <c r="A1338" t="s">
        <v>2879</v>
      </c>
    </row>
    <row r="1339" spans="1:1">
      <c r="A1339" t="s">
        <v>2880</v>
      </c>
    </row>
    <row r="1340" spans="1:1">
      <c r="A1340" t="s">
        <v>2881</v>
      </c>
    </row>
    <row r="1341" spans="1:1">
      <c r="A1341" t="s">
        <v>2882</v>
      </c>
    </row>
    <row r="1342" spans="1:1">
      <c r="A1342" t="s">
        <v>2883</v>
      </c>
    </row>
    <row r="1343" spans="1:1">
      <c r="A1343" t="s">
        <v>2884</v>
      </c>
    </row>
    <row r="1344" spans="1:1">
      <c r="A1344" t="s">
        <v>2885</v>
      </c>
    </row>
    <row r="1345" spans="1:1">
      <c r="A1345" t="s">
        <v>2886</v>
      </c>
    </row>
    <row r="1346" spans="1:1">
      <c r="A1346" t="s">
        <v>2887</v>
      </c>
    </row>
    <row r="1347" spans="1:1">
      <c r="A1347" t="s">
        <v>2888</v>
      </c>
    </row>
    <row r="1348" spans="1:1">
      <c r="A1348" t="s">
        <v>2889</v>
      </c>
    </row>
    <row r="1349" spans="1:1">
      <c r="A1349" t="s">
        <v>2890</v>
      </c>
    </row>
    <row r="1350" spans="1:1">
      <c r="A1350" t="s">
        <v>2891</v>
      </c>
    </row>
    <row r="1351" spans="1:1">
      <c r="A1351" t="s">
        <v>2892</v>
      </c>
    </row>
    <row r="1352" spans="1:1">
      <c r="A1352" t="s">
        <v>2893</v>
      </c>
    </row>
    <row r="1353" spans="1:1">
      <c r="A1353" t="s">
        <v>2894</v>
      </c>
    </row>
    <row r="1354" spans="1:1">
      <c r="A1354" t="s">
        <v>2895</v>
      </c>
    </row>
    <row r="1355" spans="1:1">
      <c r="A1355" t="s">
        <v>2896</v>
      </c>
    </row>
    <row r="1356" spans="1:1">
      <c r="A1356" t="s">
        <v>2897</v>
      </c>
    </row>
    <row r="1357" spans="1:1">
      <c r="A1357" t="s">
        <v>2898</v>
      </c>
    </row>
    <row r="1358" spans="1:1">
      <c r="A1358" t="s">
        <v>2899</v>
      </c>
    </row>
    <row r="1359" spans="1:1">
      <c r="A1359" t="s">
        <v>2900</v>
      </c>
    </row>
    <row r="1360" spans="1:1">
      <c r="A1360" t="s">
        <v>2901</v>
      </c>
    </row>
    <row r="1361" spans="1:1">
      <c r="A1361" t="s">
        <v>2902</v>
      </c>
    </row>
    <row r="1362" spans="1:1">
      <c r="A1362" t="s">
        <v>2903</v>
      </c>
    </row>
    <row r="1363" spans="1:1">
      <c r="A1363" t="s">
        <v>2904</v>
      </c>
    </row>
    <row r="1364" spans="1:1">
      <c r="A1364" t="s">
        <v>2905</v>
      </c>
    </row>
    <row r="1365" spans="1:1">
      <c r="A1365" t="s">
        <v>2906</v>
      </c>
    </row>
    <row r="1366" spans="1:1">
      <c r="A1366" t="s">
        <v>2907</v>
      </c>
    </row>
    <row r="1367" spans="1:1">
      <c r="A1367" t="s">
        <v>2908</v>
      </c>
    </row>
    <row r="1368" spans="1:1">
      <c r="A1368" t="s">
        <v>2909</v>
      </c>
    </row>
    <row r="1369" spans="1:1">
      <c r="A1369" t="s">
        <v>2910</v>
      </c>
    </row>
    <row r="1370" spans="1:1">
      <c r="A1370" t="s">
        <v>2911</v>
      </c>
    </row>
    <row r="1371" spans="1:1">
      <c r="A1371" t="s">
        <v>2912</v>
      </c>
    </row>
    <row r="1372" spans="1:1">
      <c r="A1372" t="s">
        <v>2913</v>
      </c>
    </row>
    <row r="1373" spans="1:1">
      <c r="A1373" t="s">
        <v>2914</v>
      </c>
    </row>
    <row r="1374" spans="1:1">
      <c r="A1374" t="s">
        <v>2915</v>
      </c>
    </row>
    <row r="1375" spans="1:1">
      <c r="A1375" t="s">
        <v>2916</v>
      </c>
    </row>
    <row r="1376" spans="1:1">
      <c r="A1376" t="s">
        <v>2917</v>
      </c>
    </row>
    <row r="1377" spans="1:1">
      <c r="A1377" t="s">
        <v>2918</v>
      </c>
    </row>
    <row r="1378" spans="1:1">
      <c r="A1378" t="s">
        <v>2919</v>
      </c>
    </row>
    <row r="1379" spans="1:1">
      <c r="A1379" t="s">
        <v>2920</v>
      </c>
    </row>
    <row r="1380" spans="1:1">
      <c r="A1380" t="s">
        <v>2921</v>
      </c>
    </row>
    <row r="1381" spans="1:1">
      <c r="A1381" t="s">
        <v>2922</v>
      </c>
    </row>
    <row r="1382" spans="1:1">
      <c r="A1382" t="s">
        <v>2923</v>
      </c>
    </row>
    <row r="1383" spans="1:1">
      <c r="A1383" t="s">
        <v>2924</v>
      </c>
    </row>
    <row r="1384" spans="1:1">
      <c r="A1384" t="s">
        <v>2925</v>
      </c>
    </row>
    <row r="1385" spans="1:1">
      <c r="A1385" t="s">
        <v>2926</v>
      </c>
    </row>
    <row r="1386" spans="1:1">
      <c r="A1386" t="s">
        <v>2927</v>
      </c>
    </row>
    <row r="1387" spans="1:1">
      <c r="A1387" t="s">
        <v>2928</v>
      </c>
    </row>
    <row r="1388" spans="1:1">
      <c r="A1388" t="s">
        <v>2929</v>
      </c>
    </row>
    <row r="1389" spans="1:1">
      <c r="A1389" t="s">
        <v>2930</v>
      </c>
    </row>
    <row r="1390" spans="1:1">
      <c r="A1390" t="s">
        <v>2931</v>
      </c>
    </row>
    <row r="1391" spans="1:1">
      <c r="A1391" t="s">
        <v>2932</v>
      </c>
    </row>
    <row r="1392" spans="1:1">
      <c r="A1392" t="s">
        <v>2933</v>
      </c>
    </row>
    <row r="1393" spans="1:1">
      <c r="A1393" t="s">
        <v>2934</v>
      </c>
    </row>
    <row r="1394" spans="1:1">
      <c r="A1394" t="s">
        <v>2935</v>
      </c>
    </row>
    <row r="1395" spans="1:1">
      <c r="A1395" t="s">
        <v>2936</v>
      </c>
    </row>
    <row r="1396" spans="1:1">
      <c r="A1396" t="s">
        <v>2937</v>
      </c>
    </row>
    <row r="1397" spans="1:1">
      <c r="A1397" t="s">
        <v>2938</v>
      </c>
    </row>
    <row r="1398" spans="1:1">
      <c r="A1398" t="s">
        <v>2939</v>
      </c>
    </row>
    <row r="1399" spans="1:1">
      <c r="A1399" t="s">
        <v>2940</v>
      </c>
    </row>
    <row r="1400" spans="1:1">
      <c r="A1400" t="s">
        <v>2941</v>
      </c>
    </row>
    <row r="1401" spans="1:1">
      <c r="A1401" t="s">
        <v>2942</v>
      </c>
    </row>
    <row r="1402" spans="1:1">
      <c r="A1402" t="s">
        <v>2943</v>
      </c>
    </row>
    <row r="1403" spans="1:1">
      <c r="A1403" t="s">
        <v>2944</v>
      </c>
    </row>
    <row r="1404" spans="1:1">
      <c r="A1404" t="s">
        <v>2945</v>
      </c>
    </row>
    <row r="1405" spans="1:1">
      <c r="A1405" t="s">
        <v>2946</v>
      </c>
    </row>
    <row r="1406" spans="1:1">
      <c r="A1406" t="s">
        <v>2947</v>
      </c>
    </row>
    <row r="1407" spans="1:1">
      <c r="A1407" t="s">
        <v>2948</v>
      </c>
    </row>
    <row r="1408" spans="1:1">
      <c r="A1408" t="s">
        <v>2949</v>
      </c>
    </row>
    <row r="1409" spans="1:1">
      <c r="A1409" t="s">
        <v>2950</v>
      </c>
    </row>
    <row r="1410" spans="1:1">
      <c r="A1410" t="s">
        <v>2951</v>
      </c>
    </row>
    <row r="1411" spans="1:1">
      <c r="A1411" t="s">
        <v>2952</v>
      </c>
    </row>
    <row r="1412" spans="1:1">
      <c r="A1412" t="s">
        <v>2953</v>
      </c>
    </row>
    <row r="1413" spans="1:1">
      <c r="A1413" t="s">
        <v>2954</v>
      </c>
    </row>
    <row r="1414" spans="1:1">
      <c r="A1414" t="s">
        <v>2955</v>
      </c>
    </row>
    <row r="1415" spans="1:1">
      <c r="A1415" t="s">
        <v>2956</v>
      </c>
    </row>
    <row r="1416" spans="1:1">
      <c r="A1416" t="s">
        <v>2957</v>
      </c>
    </row>
    <row r="1417" spans="1:1">
      <c r="A1417" t="s">
        <v>2958</v>
      </c>
    </row>
    <row r="1418" spans="1:1">
      <c r="A1418" t="s">
        <v>2959</v>
      </c>
    </row>
    <row r="1419" spans="1:1">
      <c r="A1419" t="s">
        <v>2960</v>
      </c>
    </row>
    <row r="1420" spans="1:1">
      <c r="A1420" t="s">
        <v>2961</v>
      </c>
    </row>
    <row r="1421" spans="1:1">
      <c r="A1421" t="s">
        <v>2962</v>
      </c>
    </row>
    <row r="1422" spans="1:1">
      <c r="A1422" t="s">
        <v>2963</v>
      </c>
    </row>
    <row r="1423" spans="1:1">
      <c r="A1423" t="s">
        <v>2964</v>
      </c>
    </row>
    <row r="1424" spans="1:1">
      <c r="A1424" t="s">
        <v>2965</v>
      </c>
    </row>
    <row r="1425" spans="1:1">
      <c r="A1425" t="s">
        <v>2966</v>
      </c>
    </row>
    <row r="1426" spans="1:1">
      <c r="A1426" t="s">
        <v>2967</v>
      </c>
    </row>
    <row r="1427" spans="1:1">
      <c r="A1427" t="s">
        <v>2968</v>
      </c>
    </row>
    <row r="1428" spans="1:1">
      <c r="A1428" t="s">
        <v>2969</v>
      </c>
    </row>
    <row r="1429" spans="1:1">
      <c r="A1429" t="s">
        <v>2970</v>
      </c>
    </row>
    <row r="1430" spans="1:1">
      <c r="A1430" t="s">
        <v>2971</v>
      </c>
    </row>
    <row r="1431" spans="1:1">
      <c r="A1431" t="s">
        <v>2972</v>
      </c>
    </row>
    <row r="1432" spans="1:1">
      <c r="A1432" t="s">
        <v>2973</v>
      </c>
    </row>
    <row r="1433" spans="1:1">
      <c r="A1433" t="s">
        <v>2974</v>
      </c>
    </row>
    <row r="1434" spans="1:1">
      <c r="A1434" t="s">
        <v>2975</v>
      </c>
    </row>
    <row r="1435" spans="1:1">
      <c r="A1435" t="s">
        <v>2976</v>
      </c>
    </row>
    <row r="1436" spans="1:1">
      <c r="A1436" t="s">
        <v>2977</v>
      </c>
    </row>
    <row r="1437" spans="1:1">
      <c r="A1437" t="s">
        <v>2978</v>
      </c>
    </row>
    <row r="1438" spans="1:1">
      <c r="A1438" t="s">
        <v>2979</v>
      </c>
    </row>
    <row r="1439" spans="1:1">
      <c r="A1439" t="s">
        <v>2980</v>
      </c>
    </row>
    <row r="1440" spans="1:1">
      <c r="A1440" t="s">
        <v>2981</v>
      </c>
    </row>
    <row r="1441" spans="1:1">
      <c r="A1441" t="s">
        <v>2982</v>
      </c>
    </row>
    <row r="1442" spans="1:1">
      <c r="A1442" t="s">
        <v>2983</v>
      </c>
    </row>
    <row r="1443" spans="1:1">
      <c r="A1443" t="s">
        <v>2984</v>
      </c>
    </row>
    <row r="1444" spans="1:1">
      <c r="A1444" t="s">
        <v>2985</v>
      </c>
    </row>
    <row r="1445" spans="1:1">
      <c r="A1445" t="s">
        <v>2986</v>
      </c>
    </row>
    <row r="1446" spans="1:1">
      <c r="A1446" t="s">
        <v>2987</v>
      </c>
    </row>
    <row r="1447" spans="1:1">
      <c r="A1447" t="s">
        <v>2988</v>
      </c>
    </row>
    <row r="1448" spans="1:1">
      <c r="A1448" t="s">
        <v>2989</v>
      </c>
    </row>
    <row r="1449" spans="1:1">
      <c r="A1449" t="s">
        <v>2990</v>
      </c>
    </row>
    <row r="1450" spans="1:1">
      <c r="A1450" t="s">
        <v>2991</v>
      </c>
    </row>
    <row r="1451" spans="1:1">
      <c r="A1451" t="s">
        <v>2992</v>
      </c>
    </row>
    <row r="1452" spans="1:1">
      <c r="A1452" t="s">
        <v>2993</v>
      </c>
    </row>
    <row r="1453" spans="1:1">
      <c r="A1453" t="s">
        <v>2994</v>
      </c>
    </row>
    <row r="1454" spans="1:1">
      <c r="A1454" t="s">
        <v>2995</v>
      </c>
    </row>
    <row r="1455" spans="1:1">
      <c r="A1455" t="s">
        <v>2996</v>
      </c>
    </row>
    <row r="1456" spans="1:1">
      <c r="A1456" t="s">
        <v>2997</v>
      </c>
    </row>
    <row r="1457" spans="1:1">
      <c r="A1457" t="s">
        <v>2998</v>
      </c>
    </row>
    <row r="1458" spans="1:1">
      <c r="A1458" t="s">
        <v>2999</v>
      </c>
    </row>
    <row r="1459" spans="1:1">
      <c r="A1459" t="s">
        <v>3000</v>
      </c>
    </row>
    <row r="1460" spans="1:1">
      <c r="A1460" t="s">
        <v>3001</v>
      </c>
    </row>
    <row r="1461" spans="1:1">
      <c r="A1461" t="s">
        <v>3002</v>
      </c>
    </row>
    <row r="1462" spans="1:1">
      <c r="A1462" t="s">
        <v>3003</v>
      </c>
    </row>
    <row r="1463" spans="1:1">
      <c r="A1463" t="s">
        <v>3004</v>
      </c>
    </row>
    <row r="1464" spans="1:1">
      <c r="A1464" t="s">
        <v>3005</v>
      </c>
    </row>
    <row r="1465" spans="1:1">
      <c r="A1465" t="s">
        <v>3006</v>
      </c>
    </row>
    <row r="1466" spans="1:1">
      <c r="A1466" t="s">
        <v>3007</v>
      </c>
    </row>
    <row r="1467" spans="1:1">
      <c r="A1467" t="s">
        <v>3008</v>
      </c>
    </row>
    <row r="1468" spans="1:1">
      <c r="A1468" t="s">
        <v>3009</v>
      </c>
    </row>
    <row r="1469" spans="1:1">
      <c r="A1469" t="s">
        <v>3010</v>
      </c>
    </row>
    <row r="1470" spans="1:1">
      <c r="A1470" t="s">
        <v>3011</v>
      </c>
    </row>
    <row r="1471" spans="1:1">
      <c r="A1471" t="s">
        <v>3012</v>
      </c>
    </row>
    <row r="1472" spans="1:1">
      <c r="A1472" t="s">
        <v>3013</v>
      </c>
    </row>
    <row r="1473" spans="1:1">
      <c r="A1473" t="s">
        <v>3014</v>
      </c>
    </row>
    <row r="1474" spans="1:1">
      <c r="A1474" t="s">
        <v>3015</v>
      </c>
    </row>
    <row r="1475" spans="1:1">
      <c r="A1475" t="s">
        <v>3016</v>
      </c>
    </row>
    <row r="1476" spans="1:1">
      <c r="A1476" t="s">
        <v>3017</v>
      </c>
    </row>
    <row r="1477" spans="1:1">
      <c r="A1477" t="s">
        <v>3018</v>
      </c>
    </row>
    <row r="1478" spans="1:1">
      <c r="A1478" t="s">
        <v>3019</v>
      </c>
    </row>
    <row r="1479" spans="1:1">
      <c r="A1479" t="s">
        <v>3020</v>
      </c>
    </row>
    <row r="1480" spans="1:1">
      <c r="A1480" t="s">
        <v>3021</v>
      </c>
    </row>
    <row r="1481" spans="1:1">
      <c r="A1481" t="s">
        <v>3022</v>
      </c>
    </row>
    <row r="1482" spans="1:1">
      <c r="A1482" t="s">
        <v>3023</v>
      </c>
    </row>
    <row r="1483" spans="1:1">
      <c r="A1483" t="s">
        <v>3024</v>
      </c>
    </row>
    <row r="1484" spans="1:1">
      <c r="A1484" t="s">
        <v>3025</v>
      </c>
    </row>
    <row r="1485" spans="1:1">
      <c r="A1485" t="s">
        <v>3026</v>
      </c>
    </row>
    <row r="1486" spans="1:1">
      <c r="A1486" t="s">
        <v>3027</v>
      </c>
    </row>
    <row r="1487" spans="1:1">
      <c r="A1487" t="s">
        <v>3028</v>
      </c>
    </row>
    <row r="1488" spans="1:1">
      <c r="A1488" t="s">
        <v>3029</v>
      </c>
    </row>
    <row r="1489" spans="1:1">
      <c r="A1489" t="s">
        <v>3030</v>
      </c>
    </row>
    <row r="1490" spans="1:1">
      <c r="A1490" t="s">
        <v>3031</v>
      </c>
    </row>
    <row r="1491" spans="1:1">
      <c r="A1491" t="s">
        <v>3032</v>
      </c>
    </row>
    <row r="1492" spans="1:1">
      <c r="A1492" t="s">
        <v>3033</v>
      </c>
    </row>
    <row r="1493" spans="1:1">
      <c r="A1493" t="s">
        <v>3034</v>
      </c>
    </row>
    <row r="1494" spans="1:1">
      <c r="A1494" t="s">
        <v>3035</v>
      </c>
    </row>
    <row r="1495" spans="1:1">
      <c r="A1495" t="s">
        <v>3036</v>
      </c>
    </row>
    <row r="1496" spans="1:1">
      <c r="A1496" t="s">
        <v>3037</v>
      </c>
    </row>
    <row r="1497" spans="1:1">
      <c r="A1497" t="s">
        <v>3038</v>
      </c>
    </row>
    <row r="1498" spans="1:1">
      <c r="A1498" t="s">
        <v>3039</v>
      </c>
    </row>
    <row r="1499" spans="1:1">
      <c r="A1499" t="s">
        <v>3040</v>
      </c>
    </row>
    <row r="1500" spans="1:1">
      <c r="A1500" t="s">
        <v>3041</v>
      </c>
    </row>
    <row r="1501" spans="1:1">
      <c r="A1501" t="s">
        <v>3042</v>
      </c>
    </row>
    <row r="1502" spans="1:1">
      <c r="A1502" t="s">
        <v>3043</v>
      </c>
    </row>
    <row r="1503" spans="1:1">
      <c r="A1503" t="s">
        <v>3044</v>
      </c>
    </row>
    <row r="1504" spans="1:1">
      <c r="A1504" t="s">
        <v>3045</v>
      </c>
    </row>
    <row r="1505" spans="1:1">
      <c r="A1505" t="s">
        <v>3046</v>
      </c>
    </row>
    <row r="1506" spans="1:1">
      <c r="A1506" t="s">
        <v>3047</v>
      </c>
    </row>
    <row r="1507" spans="1:1">
      <c r="A1507" t="s">
        <v>3048</v>
      </c>
    </row>
    <row r="1508" spans="1:1">
      <c r="A1508" t="s">
        <v>3049</v>
      </c>
    </row>
    <row r="1509" spans="1:1">
      <c r="A1509" t="s">
        <v>3050</v>
      </c>
    </row>
    <row r="1510" spans="1:1">
      <c r="A1510" t="s">
        <v>3051</v>
      </c>
    </row>
    <row r="1511" spans="1:1">
      <c r="A1511" t="s">
        <v>3052</v>
      </c>
    </row>
    <row r="1512" spans="1:1">
      <c r="A1512" t="s">
        <v>3053</v>
      </c>
    </row>
    <row r="1513" spans="1:1">
      <c r="A1513" t="s">
        <v>3054</v>
      </c>
    </row>
    <row r="1514" spans="1:1">
      <c r="A1514" t="s">
        <v>3055</v>
      </c>
    </row>
    <row r="1515" spans="1:1">
      <c r="A1515" t="s">
        <v>3056</v>
      </c>
    </row>
    <row r="1516" spans="1:1">
      <c r="A1516" t="s">
        <v>3057</v>
      </c>
    </row>
    <row r="1517" spans="1:1">
      <c r="A1517" t="s">
        <v>3058</v>
      </c>
    </row>
    <row r="1518" spans="1:1">
      <c r="A1518" t="s">
        <v>3059</v>
      </c>
    </row>
    <row r="1519" spans="1:1">
      <c r="A1519" t="s">
        <v>3060</v>
      </c>
    </row>
    <row r="1520" spans="1:1">
      <c r="A1520" t="s">
        <v>3061</v>
      </c>
    </row>
    <row r="1521" spans="1:1">
      <c r="A1521" t="s">
        <v>3062</v>
      </c>
    </row>
    <row r="1522" spans="1:1">
      <c r="A1522" t="s">
        <v>3063</v>
      </c>
    </row>
    <row r="1523" spans="1:1">
      <c r="A1523" t="s">
        <v>3064</v>
      </c>
    </row>
    <row r="1524" spans="1:1">
      <c r="A1524" t="s">
        <v>3065</v>
      </c>
    </row>
    <row r="1525" spans="1:1">
      <c r="A1525" t="s">
        <v>3066</v>
      </c>
    </row>
    <row r="1526" spans="1:1">
      <c r="A1526" t="s">
        <v>3067</v>
      </c>
    </row>
    <row r="1527" spans="1:1">
      <c r="A1527" t="s">
        <v>3068</v>
      </c>
    </row>
    <row r="1528" spans="1:1">
      <c r="A1528" t="s">
        <v>3069</v>
      </c>
    </row>
    <row r="1529" spans="1:1">
      <c r="A1529" t="s">
        <v>3070</v>
      </c>
    </row>
    <row r="1530" spans="1:1">
      <c r="A1530" t="s">
        <v>3071</v>
      </c>
    </row>
    <row r="1531" spans="1:1">
      <c r="A1531" t="s">
        <v>3072</v>
      </c>
    </row>
    <row r="1532" spans="1:1">
      <c r="A1532" t="s">
        <v>3073</v>
      </c>
    </row>
    <row r="1533" spans="1:1">
      <c r="A1533" t="s">
        <v>3074</v>
      </c>
    </row>
    <row r="1534" spans="1:1">
      <c r="A1534" t="s">
        <v>3075</v>
      </c>
    </row>
    <row r="1535" spans="1:1">
      <c r="A1535" t="s">
        <v>3076</v>
      </c>
    </row>
    <row r="1536" spans="1:1">
      <c r="A1536" t="s">
        <v>3077</v>
      </c>
    </row>
    <row r="1537" spans="1:1">
      <c r="A1537" t="s">
        <v>3078</v>
      </c>
    </row>
    <row r="1538" spans="1:1">
      <c r="A1538" t="s">
        <v>3079</v>
      </c>
    </row>
    <row r="1539" spans="1:1">
      <c r="A1539" t="s">
        <v>3080</v>
      </c>
    </row>
    <row r="1540" spans="1:1">
      <c r="A1540" t="s">
        <v>3081</v>
      </c>
    </row>
    <row r="1541" spans="1:1">
      <c r="A1541" t="s">
        <v>3082</v>
      </c>
    </row>
    <row r="1542" spans="1:1">
      <c r="A1542" t="s">
        <v>3083</v>
      </c>
    </row>
    <row r="1543" spans="1:1">
      <c r="A1543" t="s">
        <v>3084</v>
      </c>
    </row>
    <row r="1544" spans="1:1">
      <c r="A1544" t="s">
        <v>3085</v>
      </c>
    </row>
    <row r="1545" spans="1:1">
      <c r="A1545" t="s">
        <v>3086</v>
      </c>
    </row>
    <row r="1546" spans="1:1">
      <c r="A1546" t="s">
        <v>3087</v>
      </c>
    </row>
    <row r="1547" spans="1:1">
      <c r="A1547" t="s">
        <v>3088</v>
      </c>
    </row>
    <row r="1548" spans="1:1">
      <c r="A1548" t="s">
        <v>3089</v>
      </c>
    </row>
    <row r="1549" spans="1:1">
      <c r="A1549" t="s">
        <v>3090</v>
      </c>
    </row>
    <row r="1550" spans="1:1">
      <c r="A1550" t="s">
        <v>3091</v>
      </c>
    </row>
    <row r="1551" spans="1:1">
      <c r="A1551" t="s">
        <v>3092</v>
      </c>
    </row>
    <row r="1552" spans="1:1">
      <c r="A1552" t="s">
        <v>3093</v>
      </c>
    </row>
    <row r="1553" spans="1:1">
      <c r="A1553" t="s">
        <v>3094</v>
      </c>
    </row>
    <row r="1554" spans="1:1">
      <c r="A1554" t="s">
        <v>3095</v>
      </c>
    </row>
    <row r="1555" spans="1:1">
      <c r="A1555" t="s">
        <v>3096</v>
      </c>
    </row>
    <row r="1556" spans="1:1">
      <c r="A1556" t="s">
        <v>3097</v>
      </c>
    </row>
    <row r="1557" spans="1:1">
      <c r="A1557" t="s">
        <v>3098</v>
      </c>
    </row>
    <row r="1558" spans="1:1">
      <c r="A1558" t="s">
        <v>3099</v>
      </c>
    </row>
    <row r="1559" spans="1:1">
      <c r="A1559" t="s">
        <v>3100</v>
      </c>
    </row>
    <row r="1560" spans="1:1">
      <c r="A1560" t="s">
        <v>3101</v>
      </c>
    </row>
    <row r="1561" spans="1:1">
      <c r="A1561" t="s">
        <v>3102</v>
      </c>
    </row>
    <row r="1562" spans="1:1">
      <c r="A1562" t="s">
        <v>3103</v>
      </c>
    </row>
    <row r="1563" spans="1:1">
      <c r="A1563" t="s">
        <v>3104</v>
      </c>
    </row>
    <row r="1564" spans="1:1">
      <c r="A1564" t="s">
        <v>3105</v>
      </c>
    </row>
    <row r="1565" spans="1:1">
      <c r="A1565" t="s">
        <v>3106</v>
      </c>
    </row>
    <row r="1566" spans="1:1">
      <c r="A1566" t="s">
        <v>3107</v>
      </c>
    </row>
    <row r="1567" spans="1:1">
      <c r="A1567" t="s">
        <v>3108</v>
      </c>
    </row>
    <row r="1568" spans="1:1">
      <c r="A1568" t="s">
        <v>3109</v>
      </c>
    </row>
    <row r="1569" spans="1:1">
      <c r="A1569" t="s">
        <v>3110</v>
      </c>
    </row>
    <row r="1570" spans="1:1">
      <c r="A1570" t="s">
        <v>3111</v>
      </c>
    </row>
    <row r="1571" spans="1:1">
      <c r="A1571" t="s">
        <v>3112</v>
      </c>
    </row>
    <row r="1572" spans="1:1">
      <c r="A1572" t="s">
        <v>3113</v>
      </c>
    </row>
    <row r="1573" spans="1:1">
      <c r="A1573" t="s">
        <v>3114</v>
      </c>
    </row>
    <row r="1574" spans="1:1">
      <c r="A1574" t="s">
        <v>3115</v>
      </c>
    </row>
    <row r="1575" spans="1:1">
      <c r="A1575" t="s">
        <v>3116</v>
      </c>
    </row>
    <row r="1576" spans="1:1">
      <c r="A1576" t="s">
        <v>3117</v>
      </c>
    </row>
    <row r="1577" spans="1:1">
      <c r="A1577" t="s">
        <v>3118</v>
      </c>
    </row>
    <row r="1578" spans="1:1">
      <c r="A1578" t="s">
        <v>3119</v>
      </c>
    </row>
    <row r="1579" spans="1:1">
      <c r="A1579" t="s">
        <v>3120</v>
      </c>
    </row>
    <row r="1580" spans="1:1">
      <c r="A1580" t="s">
        <v>3121</v>
      </c>
    </row>
    <row r="1581" spans="1:1">
      <c r="A1581" t="s">
        <v>3122</v>
      </c>
    </row>
    <row r="1582" spans="1:1">
      <c r="A1582" t="s">
        <v>3123</v>
      </c>
    </row>
    <row r="1583" spans="1:1">
      <c r="A1583" t="s">
        <v>3124</v>
      </c>
    </row>
    <row r="1584" spans="1:1">
      <c r="A1584" t="s">
        <v>3125</v>
      </c>
    </row>
    <row r="1585" spans="1:1">
      <c r="A1585" t="s">
        <v>3126</v>
      </c>
    </row>
    <row r="1586" spans="1:1">
      <c r="A1586" t="s">
        <v>3127</v>
      </c>
    </row>
    <row r="1587" spans="1:1">
      <c r="A1587" t="s">
        <v>3128</v>
      </c>
    </row>
    <row r="1588" spans="1:1">
      <c r="A1588" t="s">
        <v>3129</v>
      </c>
    </row>
    <row r="1589" spans="1:1">
      <c r="A1589" t="s">
        <v>3130</v>
      </c>
    </row>
    <row r="1590" spans="1:1">
      <c r="A1590" t="s">
        <v>3131</v>
      </c>
    </row>
    <row r="1591" spans="1:1">
      <c r="A1591" t="s">
        <v>3132</v>
      </c>
    </row>
    <row r="1592" spans="1:1">
      <c r="A1592" t="s">
        <v>3133</v>
      </c>
    </row>
    <row r="1593" spans="1:1">
      <c r="A1593" t="s">
        <v>3134</v>
      </c>
    </row>
    <row r="1594" spans="1:1">
      <c r="A1594" t="s">
        <v>3135</v>
      </c>
    </row>
    <row r="1595" spans="1:1">
      <c r="A1595" t="s">
        <v>3136</v>
      </c>
    </row>
    <row r="1596" spans="1:1">
      <c r="A1596" t="s">
        <v>3137</v>
      </c>
    </row>
    <row r="1597" spans="1:1">
      <c r="A1597" t="s">
        <v>3138</v>
      </c>
    </row>
    <row r="1598" spans="1:1">
      <c r="A1598" t="s">
        <v>3139</v>
      </c>
    </row>
    <row r="1599" spans="1:1">
      <c r="A1599" t="s">
        <v>3140</v>
      </c>
    </row>
    <row r="1600" spans="1:1">
      <c r="A1600" t="s">
        <v>3141</v>
      </c>
    </row>
    <row r="1601" spans="1:1">
      <c r="A1601" t="s">
        <v>3142</v>
      </c>
    </row>
    <row r="1602" spans="1:1">
      <c r="A1602" t="s">
        <v>3143</v>
      </c>
    </row>
    <row r="1603" spans="1:1">
      <c r="A1603" t="s">
        <v>3144</v>
      </c>
    </row>
    <row r="1604" spans="1:1">
      <c r="A1604" t="s">
        <v>3145</v>
      </c>
    </row>
    <row r="1605" spans="1:1">
      <c r="A1605" t="s">
        <v>3146</v>
      </c>
    </row>
    <row r="1606" spans="1:1">
      <c r="A1606" t="s">
        <v>3147</v>
      </c>
    </row>
    <row r="1607" spans="1:1">
      <c r="A1607" t="s">
        <v>3148</v>
      </c>
    </row>
    <row r="1608" spans="1:1">
      <c r="A1608" t="s">
        <v>3149</v>
      </c>
    </row>
    <row r="1609" spans="1:1">
      <c r="A1609" t="s">
        <v>3150</v>
      </c>
    </row>
    <row r="1610" spans="1:1">
      <c r="A1610" t="s">
        <v>3151</v>
      </c>
    </row>
    <row r="1611" spans="1:1">
      <c r="A1611" t="s">
        <v>3152</v>
      </c>
    </row>
    <row r="1612" spans="1:1">
      <c r="A1612" t="s">
        <v>3153</v>
      </c>
    </row>
    <row r="1613" spans="1:1">
      <c r="A1613" t="s">
        <v>3154</v>
      </c>
    </row>
    <row r="1614" spans="1:1">
      <c r="A1614" t="s">
        <v>3155</v>
      </c>
    </row>
    <row r="1615" spans="1:1">
      <c r="A1615" t="s">
        <v>3156</v>
      </c>
    </row>
    <row r="1616" spans="1:1">
      <c r="A1616" t="s">
        <v>3157</v>
      </c>
    </row>
    <row r="1617" spans="1:1">
      <c r="A1617" t="s">
        <v>3158</v>
      </c>
    </row>
    <row r="1618" spans="1:1">
      <c r="A1618" t="s">
        <v>3159</v>
      </c>
    </row>
    <row r="1619" spans="1:1">
      <c r="A1619" t="s">
        <v>3160</v>
      </c>
    </row>
    <row r="1620" spans="1:1">
      <c r="A1620" t="s">
        <v>3161</v>
      </c>
    </row>
    <row r="1621" spans="1:1">
      <c r="A1621" t="s">
        <v>3162</v>
      </c>
    </row>
    <row r="1622" spans="1:1">
      <c r="A1622" t="s">
        <v>3163</v>
      </c>
    </row>
    <row r="1623" spans="1:1">
      <c r="A1623" t="s">
        <v>3164</v>
      </c>
    </row>
    <row r="1624" spans="1:1">
      <c r="A1624" t="s">
        <v>3165</v>
      </c>
    </row>
    <row r="1625" spans="1:1">
      <c r="A1625" t="s">
        <v>3166</v>
      </c>
    </row>
    <row r="1626" spans="1:1">
      <c r="A1626" t="s">
        <v>3167</v>
      </c>
    </row>
    <row r="1627" spans="1:1">
      <c r="A1627" t="s">
        <v>3168</v>
      </c>
    </row>
    <row r="1628" spans="1:1">
      <c r="A1628" t="s">
        <v>3169</v>
      </c>
    </row>
    <row r="1629" spans="1:1">
      <c r="A1629" t="s">
        <v>3170</v>
      </c>
    </row>
    <row r="1630" spans="1:1">
      <c r="A1630" t="s">
        <v>3171</v>
      </c>
    </row>
    <row r="1631" spans="1:1">
      <c r="A1631" t="s">
        <v>3172</v>
      </c>
    </row>
    <row r="1632" spans="1:1">
      <c r="A1632" t="s">
        <v>3173</v>
      </c>
    </row>
    <row r="1633" spans="1:1">
      <c r="A1633" t="s">
        <v>3174</v>
      </c>
    </row>
    <row r="1634" spans="1:1">
      <c r="A1634" t="s">
        <v>3175</v>
      </c>
    </row>
    <row r="1635" spans="1:1">
      <c r="A1635" t="s">
        <v>3176</v>
      </c>
    </row>
    <row r="1636" spans="1:1">
      <c r="A1636" t="s">
        <v>3177</v>
      </c>
    </row>
    <row r="1637" spans="1:1">
      <c r="A1637" t="s">
        <v>3178</v>
      </c>
    </row>
    <row r="1638" spans="1:1">
      <c r="A1638" t="s">
        <v>3179</v>
      </c>
    </row>
    <row r="1639" spans="1:1">
      <c r="A1639" t="s">
        <v>3180</v>
      </c>
    </row>
    <row r="1640" spans="1:1">
      <c r="A1640" t="s">
        <v>3181</v>
      </c>
    </row>
    <row r="1641" spans="1:1">
      <c r="A1641" t="s">
        <v>3182</v>
      </c>
    </row>
    <row r="1642" spans="1:1">
      <c r="A1642" t="s">
        <v>3183</v>
      </c>
    </row>
    <row r="1643" spans="1:1">
      <c r="A1643" t="s">
        <v>3184</v>
      </c>
    </row>
    <row r="1644" spans="1:1">
      <c r="A1644" t="s">
        <v>3185</v>
      </c>
    </row>
    <row r="1645" spans="1:1">
      <c r="A1645" t="s">
        <v>3186</v>
      </c>
    </row>
    <row r="1646" spans="1:1">
      <c r="A1646" t="s">
        <v>3187</v>
      </c>
    </row>
    <row r="1647" spans="1:1">
      <c r="A1647" t="s">
        <v>3188</v>
      </c>
    </row>
    <row r="1648" spans="1:1">
      <c r="A1648" t="s">
        <v>3189</v>
      </c>
    </row>
    <row r="1649" spans="1:1">
      <c r="A1649" t="s">
        <v>3190</v>
      </c>
    </row>
    <row r="1650" spans="1:1">
      <c r="A1650" t="s">
        <v>3191</v>
      </c>
    </row>
    <row r="1651" spans="1:1">
      <c r="A1651" t="s">
        <v>3192</v>
      </c>
    </row>
    <row r="1652" spans="1:1">
      <c r="A1652" t="s">
        <v>3193</v>
      </c>
    </row>
    <row r="1653" spans="1:1">
      <c r="A1653" t="s">
        <v>3194</v>
      </c>
    </row>
    <row r="1654" spans="1:1">
      <c r="A1654" t="s">
        <v>3195</v>
      </c>
    </row>
    <row r="1655" spans="1:1">
      <c r="A1655" t="s">
        <v>3196</v>
      </c>
    </row>
    <row r="1656" spans="1:1">
      <c r="A1656" t="s">
        <v>3197</v>
      </c>
    </row>
    <row r="1657" spans="1:1">
      <c r="A1657" t="s">
        <v>3198</v>
      </c>
    </row>
    <row r="1658" spans="1:1">
      <c r="A1658" t="s">
        <v>3199</v>
      </c>
    </row>
    <row r="1659" spans="1:1">
      <c r="A1659" t="s">
        <v>3200</v>
      </c>
    </row>
    <row r="1660" spans="1:1">
      <c r="A1660" t="s">
        <v>3201</v>
      </c>
    </row>
    <row r="1661" spans="1:1">
      <c r="A1661" t="s">
        <v>3202</v>
      </c>
    </row>
    <row r="1662" spans="1:1">
      <c r="A1662" t="s">
        <v>3203</v>
      </c>
    </row>
    <row r="1663" spans="1:1">
      <c r="A1663" t="s">
        <v>3204</v>
      </c>
    </row>
    <row r="1664" spans="1:1">
      <c r="A1664" t="s">
        <v>3205</v>
      </c>
    </row>
    <row r="1665" spans="1:1">
      <c r="A1665" t="s">
        <v>3206</v>
      </c>
    </row>
    <row r="1666" spans="1:1">
      <c r="A1666" t="s">
        <v>3207</v>
      </c>
    </row>
    <row r="1667" spans="1:1">
      <c r="A1667" t="s">
        <v>3208</v>
      </c>
    </row>
    <row r="1668" spans="1:1">
      <c r="A1668" t="s">
        <v>3209</v>
      </c>
    </row>
    <row r="1669" spans="1:1">
      <c r="A1669" t="s">
        <v>3210</v>
      </c>
    </row>
    <row r="1670" spans="1:1">
      <c r="A1670" t="s">
        <v>3211</v>
      </c>
    </row>
    <row r="1671" spans="1:1">
      <c r="A1671" t="s">
        <v>3212</v>
      </c>
    </row>
    <row r="1672" spans="1:1">
      <c r="A1672" t="s">
        <v>3213</v>
      </c>
    </row>
    <row r="1673" spans="1:1">
      <c r="A1673" t="s">
        <v>3214</v>
      </c>
    </row>
    <row r="1674" spans="1:1">
      <c r="A1674" t="s">
        <v>3215</v>
      </c>
    </row>
    <row r="1675" spans="1:1">
      <c r="A1675" t="s">
        <v>3216</v>
      </c>
    </row>
    <row r="1676" spans="1:1">
      <c r="A1676" t="s">
        <v>3217</v>
      </c>
    </row>
    <row r="1677" spans="1:1">
      <c r="A1677" t="s">
        <v>3218</v>
      </c>
    </row>
    <row r="1678" spans="1:1">
      <c r="A1678" t="s">
        <v>3219</v>
      </c>
    </row>
    <row r="1679" spans="1:1">
      <c r="A1679" t="s">
        <v>3220</v>
      </c>
    </row>
    <row r="1680" spans="1:1">
      <c r="A1680" t="s">
        <v>3221</v>
      </c>
    </row>
    <row r="1681" spans="1:1">
      <c r="A1681" t="s">
        <v>3222</v>
      </c>
    </row>
    <row r="1682" spans="1:1">
      <c r="A1682" t="s">
        <v>3223</v>
      </c>
    </row>
    <row r="1683" spans="1:1">
      <c r="A1683" t="s">
        <v>3224</v>
      </c>
    </row>
    <row r="1684" spans="1:1">
      <c r="A1684" t="s">
        <v>3225</v>
      </c>
    </row>
    <row r="1685" spans="1:1">
      <c r="A1685" t="s">
        <v>3226</v>
      </c>
    </row>
    <row r="1686" spans="1:1">
      <c r="A1686" t="s">
        <v>3227</v>
      </c>
    </row>
    <row r="1687" spans="1:1">
      <c r="A1687" t="s">
        <v>3228</v>
      </c>
    </row>
    <row r="1688" spans="1:1">
      <c r="A1688" t="s">
        <v>3229</v>
      </c>
    </row>
    <row r="1689" spans="1:1">
      <c r="A1689" t="s">
        <v>3230</v>
      </c>
    </row>
    <row r="1690" spans="1:1">
      <c r="A1690" t="s">
        <v>3231</v>
      </c>
    </row>
    <row r="1691" spans="1:1">
      <c r="A1691" t="s">
        <v>3232</v>
      </c>
    </row>
    <row r="1692" spans="1:1">
      <c r="A1692" t="s">
        <v>3233</v>
      </c>
    </row>
    <row r="1693" spans="1:1">
      <c r="A1693" t="s">
        <v>3234</v>
      </c>
    </row>
    <row r="1694" spans="1:1">
      <c r="A1694" t="s">
        <v>3235</v>
      </c>
    </row>
    <row r="1695" spans="1:1">
      <c r="A1695" t="s">
        <v>3236</v>
      </c>
    </row>
    <row r="1696" spans="1:1">
      <c r="A1696" t="s">
        <v>3237</v>
      </c>
    </row>
    <row r="1697" spans="1:1">
      <c r="A1697" t="s">
        <v>3238</v>
      </c>
    </row>
    <row r="1698" spans="1:1">
      <c r="A1698" t="s">
        <v>3239</v>
      </c>
    </row>
    <row r="1699" spans="1:1">
      <c r="A1699" t="s">
        <v>3240</v>
      </c>
    </row>
    <row r="1700" spans="1:1">
      <c r="A1700" t="s">
        <v>3241</v>
      </c>
    </row>
    <row r="1701" spans="1:1">
      <c r="A1701" t="s">
        <v>3242</v>
      </c>
    </row>
    <row r="1702" spans="1:1">
      <c r="A1702" t="s">
        <v>3243</v>
      </c>
    </row>
    <row r="1703" spans="1:1">
      <c r="A1703" t="s">
        <v>3244</v>
      </c>
    </row>
    <row r="1704" spans="1:1">
      <c r="A1704" t="s">
        <v>3245</v>
      </c>
    </row>
    <row r="1705" spans="1:1">
      <c r="A1705" t="s">
        <v>3246</v>
      </c>
    </row>
    <row r="1706" spans="1:1">
      <c r="A1706" t="s">
        <v>3247</v>
      </c>
    </row>
    <row r="1707" spans="1:1">
      <c r="A1707" t="s">
        <v>3248</v>
      </c>
    </row>
    <row r="1708" spans="1:1">
      <c r="A1708" t="s">
        <v>3249</v>
      </c>
    </row>
    <row r="1709" spans="1:1">
      <c r="A1709" t="s">
        <v>3250</v>
      </c>
    </row>
    <row r="1710" spans="1:1">
      <c r="A1710" t="s">
        <v>3251</v>
      </c>
    </row>
    <row r="1711" spans="1:1">
      <c r="A1711" t="s">
        <v>3252</v>
      </c>
    </row>
    <row r="1712" spans="1:1">
      <c r="A1712" t="s">
        <v>3253</v>
      </c>
    </row>
    <row r="1713" spans="1:1">
      <c r="A1713" t="s">
        <v>3254</v>
      </c>
    </row>
    <row r="1714" spans="1:1">
      <c r="A1714" t="s">
        <v>3255</v>
      </c>
    </row>
    <row r="1715" spans="1:1">
      <c r="A1715" t="s">
        <v>3256</v>
      </c>
    </row>
    <row r="1716" spans="1:1">
      <c r="A1716" t="s">
        <v>3257</v>
      </c>
    </row>
    <row r="1717" spans="1:1">
      <c r="A1717" t="s">
        <v>3258</v>
      </c>
    </row>
    <row r="1718" spans="1:1">
      <c r="A1718" t="s">
        <v>3259</v>
      </c>
    </row>
    <row r="1719" spans="1:1">
      <c r="A1719" t="s">
        <v>3260</v>
      </c>
    </row>
    <row r="1720" spans="1:1">
      <c r="A1720" t="s">
        <v>3261</v>
      </c>
    </row>
    <row r="1721" spans="1:1">
      <c r="A1721" t="s">
        <v>3262</v>
      </c>
    </row>
    <row r="1722" spans="1:1">
      <c r="A1722" t="s">
        <v>3263</v>
      </c>
    </row>
    <row r="1723" spans="1:1">
      <c r="A1723" t="s">
        <v>3264</v>
      </c>
    </row>
    <row r="1724" spans="1:1">
      <c r="A1724" t="s">
        <v>3265</v>
      </c>
    </row>
    <row r="1725" spans="1:1">
      <c r="A1725" t="s">
        <v>3266</v>
      </c>
    </row>
    <row r="1726" spans="1:1">
      <c r="A1726" t="s">
        <v>3267</v>
      </c>
    </row>
    <row r="1727" spans="1:1">
      <c r="A1727" t="s">
        <v>3268</v>
      </c>
    </row>
    <row r="1728" spans="1:1">
      <c r="A1728" t="s">
        <v>3269</v>
      </c>
    </row>
    <row r="1729" spans="1:1">
      <c r="A1729" t="s">
        <v>3270</v>
      </c>
    </row>
    <row r="1730" spans="1:1">
      <c r="A1730" t="s">
        <v>3271</v>
      </c>
    </row>
    <row r="1731" spans="1:1">
      <c r="A1731" t="s">
        <v>3272</v>
      </c>
    </row>
    <row r="1732" spans="1:1">
      <c r="A1732" t="s">
        <v>3273</v>
      </c>
    </row>
    <row r="1733" spans="1:1">
      <c r="A1733" t="s">
        <v>3274</v>
      </c>
    </row>
    <row r="1734" spans="1:1">
      <c r="A1734" t="s">
        <v>3275</v>
      </c>
    </row>
    <row r="1735" spans="1:1">
      <c r="A1735" t="s">
        <v>3276</v>
      </c>
    </row>
    <row r="1736" spans="1:1">
      <c r="A1736" t="s">
        <v>3277</v>
      </c>
    </row>
    <row r="1737" spans="1:1">
      <c r="A1737" t="s">
        <v>3278</v>
      </c>
    </row>
    <row r="1738" spans="1:1">
      <c r="A1738" t="s">
        <v>3279</v>
      </c>
    </row>
    <row r="1739" spans="1:1">
      <c r="A1739" t="s">
        <v>3280</v>
      </c>
    </row>
    <row r="1740" spans="1:1">
      <c r="A1740" t="s">
        <v>3281</v>
      </c>
    </row>
    <row r="1741" spans="1:1">
      <c r="A1741" t="s">
        <v>3282</v>
      </c>
    </row>
    <row r="1742" spans="1:1">
      <c r="A1742" t="s">
        <v>3283</v>
      </c>
    </row>
    <row r="1743" spans="1:1">
      <c r="A1743" t="s">
        <v>3284</v>
      </c>
    </row>
    <row r="1744" spans="1:1">
      <c r="A1744" t="s">
        <v>3285</v>
      </c>
    </row>
    <row r="1745" spans="1:1">
      <c r="A1745" t="s">
        <v>3286</v>
      </c>
    </row>
    <row r="1746" spans="1:1">
      <c r="A1746" t="s">
        <v>3287</v>
      </c>
    </row>
    <row r="1747" spans="1:1">
      <c r="A1747" t="s">
        <v>3288</v>
      </c>
    </row>
    <row r="1748" spans="1:1">
      <c r="A1748" t="s">
        <v>3289</v>
      </c>
    </row>
    <row r="1749" spans="1:1">
      <c r="A1749" t="s">
        <v>3290</v>
      </c>
    </row>
    <row r="1750" spans="1:1">
      <c r="A1750" t="s">
        <v>3291</v>
      </c>
    </row>
    <row r="1751" spans="1:1">
      <c r="A1751" t="s">
        <v>3292</v>
      </c>
    </row>
    <row r="1752" spans="1:1">
      <c r="A1752" t="s">
        <v>3293</v>
      </c>
    </row>
    <row r="1753" spans="1:1">
      <c r="A1753" t="s">
        <v>3294</v>
      </c>
    </row>
    <row r="1754" spans="1:1">
      <c r="A1754" t="s">
        <v>3295</v>
      </c>
    </row>
    <row r="1755" spans="1:1">
      <c r="A1755" t="s">
        <v>3296</v>
      </c>
    </row>
    <row r="1756" spans="1:1">
      <c r="A1756" t="s">
        <v>3297</v>
      </c>
    </row>
    <row r="1757" spans="1:1">
      <c r="A1757" t="s">
        <v>3298</v>
      </c>
    </row>
    <row r="1758" spans="1:1">
      <c r="A1758" t="s">
        <v>3299</v>
      </c>
    </row>
    <row r="1759" spans="1:1">
      <c r="A1759" t="s">
        <v>3300</v>
      </c>
    </row>
    <row r="1760" spans="1:1">
      <c r="A1760" t="s">
        <v>3301</v>
      </c>
    </row>
    <row r="1761" spans="1:1">
      <c r="A1761" t="s">
        <v>3302</v>
      </c>
    </row>
    <row r="1762" spans="1:1">
      <c r="A1762" t="s">
        <v>3303</v>
      </c>
    </row>
    <row r="1763" spans="1:1">
      <c r="A1763" t="s">
        <v>3304</v>
      </c>
    </row>
    <row r="1764" spans="1:1">
      <c r="A1764" t="s">
        <v>3305</v>
      </c>
    </row>
    <row r="1765" spans="1:1">
      <c r="A1765" t="s">
        <v>3306</v>
      </c>
    </row>
    <row r="1766" spans="1:1">
      <c r="A1766" t="s">
        <v>3307</v>
      </c>
    </row>
    <row r="1767" spans="1:1">
      <c r="A1767" t="s">
        <v>3308</v>
      </c>
    </row>
    <row r="1768" spans="1:1">
      <c r="A1768" t="s">
        <v>3309</v>
      </c>
    </row>
    <row r="1769" spans="1:1">
      <c r="A1769" t="s">
        <v>3310</v>
      </c>
    </row>
    <row r="1770" spans="1:1">
      <c r="A1770" t="s">
        <v>3311</v>
      </c>
    </row>
    <row r="1771" spans="1:1">
      <c r="A1771" t="s">
        <v>3312</v>
      </c>
    </row>
    <row r="1772" spans="1:1">
      <c r="A1772" t="s">
        <v>3313</v>
      </c>
    </row>
    <row r="1773" spans="1:1">
      <c r="A1773" t="s">
        <v>3314</v>
      </c>
    </row>
    <row r="1774" spans="1:1">
      <c r="A1774" t="s">
        <v>3315</v>
      </c>
    </row>
    <row r="1775" spans="1:1">
      <c r="A1775" t="s">
        <v>3316</v>
      </c>
    </row>
    <row r="1776" spans="1:1">
      <c r="A1776" t="s">
        <v>3317</v>
      </c>
    </row>
    <row r="1777" spans="1:1">
      <c r="A1777" t="s">
        <v>3318</v>
      </c>
    </row>
    <row r="1778" spans="1:1">
      <c r="A1778" t="s">
        <v>3319</v>
      </c>
    </row>
    <row r="1779" spans="1:1">
      <c r="A1779" t="s">
        <v>3320</v>
      </c>
    </row>
    <row r="1780" spans="1:1">
      <c r="A1780" t="s">
        <v>3321</v>
      </c>
    </row>
    <row r="1781" spans="1:1">
      <c r="A1781" t="s">
        <v>3322</v>
      </c>
    </row>
    <row r="1782" spans="1:1">
      <c r="A1782" t="s">
        <v>3323</v>
      </c>
    </row>
    <row r="1783" spans="1:1">
      <c r="A1783" t="s">
        <v>3324</v>
      </c>
    </row>
    <row r="1784" spans="1:1">
      <c r="A1784" t="s">
        <v>3325</v>
      </c>
    </row>
    <row r="1785" spans="1:1">
      <c r="A1785" t="s">
        <v>3326</v>
      </c>
    </row>
    <row r="1786" spans="1:1">
      <c r="A1786" t="s">
        <v>3327</v>
      </c>
    </row>
    <row r="1787" spans="1:1">
      <c r="A1787" t="s">
        <v>3328</v>
      </c>
    </row>
    <row r="1788" spans="1:1">
      <c r="A1788" t="s">
        <v>3329</v>
      </c>
    </row>
    <row r="1789" spans="1:1">
      <c r="A1789" t="s">
        <v>3330</v>
      </c>
    </row>
    <row r="1790" spans="1:1">
      <c r="A1790" t="s">
        <v>3331</v>
      </c>
    </row>
    <row r="1791" spans="1:1">
      <c r="A1791" t="s">
        <v>3332</v>
      </c>
    </row>
    <row r="1792" spans="1:1">
      <c r="A1792" t="s">
        <v>3333</v>
      </c>
    </row>
    <row r="1793" spans="1:1">
      <c r="A1793" t="s">
        <v>3334</v>
      </c>
    </row>
    <row r="1794" spans="1:1">
      <c r="A1794" t="s">
        <v>3335</v>
      </c>
    </row>
    <row r="1795" spans="1:1">
      <c r="A1795" t="s">
        <v>3336</v>
      </c>
    </row>
    <row r="1796" spans="1:1">
      <c r="A1796" t="s">
        <v>3337</v>
      </c>
    </row>
    <row r="1797" spans="1:1">
      <c r="A1797" t="s">
        <v>3338</v>
      </c>
    </row>
    <row r="1798" spans="1:1">
      <c r="A1798" t="s">
        <v>3339</v>
      </c>
    </row>
    <row r="1799" spans="1:1">
      <c r="A1799" t="s">
        <v>3340</v>
      </c>
    </row>
    <row r="1800" spans="1:1">
      <c r="A1800" t="s">
        <v>3341</v>
      </c>
    </row>
    <row r="1801" spans="1:1">
      <c r="A1801" t="s">
        <v>3342</v>
      </c>
    </row>
    <row r="1802" spans="1:1">
      <c r="A1802" t="s">
        <v>3343</v>
      </c>
    </row>
    <row r="1803" spans="1:1">
      <c r="A1803" t="s">
        <v>3344</v>
      </c>
    </row>
    <row r="1804" spans="1:1">
      <c r="A1804" t="s">
        <v>3345</v>
      </c>
    </row>
    <row r="1805" spans="1:1">
      <c r="A1805" t="s">
        <v>3346</v>
      </c>
    </row>
    <row r="1806" spans="1:1">
      <c r="A1806" t="s">
        <v>3347</v>
      </c>
    </row>
    <row r="1807" spans="1:1">
      <c r="A1807" t="s">
        <v>3348</v>
      </c>
    </row>
    <row r="1808" spans="1:1">
      <c r="A1808" t="s">
        <v>3349</v>
      </c>
    </row>
    <row r="1809" spans="1:1">
      <c r="A1809" t="s">
        <v>3350</v>
      </c>
    </row>
    <row r="1810" spans="1:1">
      <c r="A1810" t="s">
        <v>3351</v>
      </c>
    </row>
    <row r="1811" spans="1:1">
      <c r="A1811" t="s">
        <v>3352</v>
      </c>
    </row>
    <row r="1812" spans="1:1">
      <c r="A1812" t="s">
        <v>3353</v>
      </c>
    </row>
    <row r="1813" spans="1:1">
      <c r="A1813" t="s">
        <v>3354</v>
      </c>
    </row>
    <row r="1814" spans="1:1">
      <c r="A1814" t="s">
        <v>3355</v>
      </c>
    </row>
    <row r="1815" spans="1:1">
      <c r="A1815" t="s">
        <v>3356</v>
      </c>
    </row>
    <row r="1816" spans="1:1">
      <c r="A1816" t="s">
        <v>3357</v>
      </c>
    </row>
    <row r="1817" spans="1:1">
      <c r="A1817" t="s">
        <v>3358</v>
      </c>
    </row>
    <row r="1818" spans="1:1">
      <c r="A1818" t="s">
        <v>3359</v>
      </c>
    </row>
    <row r="1819" spans="1:1">
      <c r="A1819" t="s">
        <v>3360</v>
      </c>
    </row>
    <row r="1820" spans="1:1">
      <c r="A1820" t="s">
        <v>3361</v>
      </c>
    </row>
    <row r="1821" spans="1:1">
      <c r="A1821" t="s">
        <v>3362</v>
      </c>
    </row>
    <row r="1822" spans="1:1">
      <c r="A1822" t="s">
        <v>3363</v>
      </c>
    </row>
    <row r="1823" spans="1:1">
      <c r="A1823" t="s">
        <v>3364</v>
      </c>
    </row>
    <row r="1824" spans="1:1">
      <c r="A1824" t="s">
        <v>3365</v>
      </c>
    </row>
    <row r="1825" spans="1:1">
      <c r="A1825" t="s">
        <v>3366</v>
      </c>
    </row>
    <row r="1826" spans="1:1">
      <c r="A1826" t="s">
        <v>3367</v>
      </c>
    </row>
    <row r="1827" spans="1:1">
      <c r="A1827" t="s">
        <v>3368</v>
      </c>
    </row>
    <row r="1828" spans="1:1">
      <c r="A1828" t="s">
        <v>3369</v>
      </c>
    </row>
    <row r="1829" spans="1:1">
      <c r="A1829" t="s">
        <v>3370</v>
      </c>
    </row>
    <row r="1830" spans="1:1">
      <c r="A1830" t="s">
        <v>3371</v>
      </c>
    </row>
    <row r="1831" spans="1:1">
      <c r="A1831" t="s">
        <v>3372</v>
      </c>
    </row>
    <row r="1832" spans="1:1">
      <c r="A1832" t="s">
        <v>3373</v>
      </c>
    </row>
    <row r="1833" spans="1:1">
      <c r="A1833" t="s">
        <v>3374</v>
      </c>
    </row>
    <row r="1834" spans="1:1">
      <c r="A1834" t="s">
        <v>3375</v>
      </c>
    </row>
    <row r="1835" spans="1:1">
      <c r="A1835" t="s">
        <v>3376</v>
      </c>
    </row>
    <row r="1836" spans="1:1">
      <c r="A1836" t="s">
        <v>3377</v>
      </c>
    </row>
    <row r="1837" spans="1:1">
      <c r="A1837" t="s">
        <v>3378</v>
      </c>
    </row>
    <row r="1838" spans="1:1">
      <c r="A1838" t="s">
        <v>3379</v>
      </c>
    </row>
    <row r="1839" spans="1:1">
      <c r="A1839" t="s">
        <v>3380</v>
      </c>
    </row>
    <row r="1840" spans="1:1">
      <c r="A1840" t="s">
        <v>3381</v>
      </c>
    </row>
    <row r="1841" spans="1:1">
      <c r="A1841" t="s">
        <v>3382</v>
      </c>
    </row>
    <row r="1842" spans="1:1">
      <c r="A1842" t="s">
        <v>3383</v>
      </c>
    </row>
    <row r="1843" spans="1:1">
      <c r="A1843" t="s">
        <v>3384</v>
      </c>
    </row>
    <row r="1844" spans="1:1">
      <c r="A1844" t="s">
        <v>3385</v>
      </c>
    </row>
    <row r="1845" spans="1:1">
      <c r="A1845" t="s">
        <v>3386</v>
      </c>
    </row>
    <row r="1846" spans="1:1">
      <c r="A1846" t="s">
        <v>3387</v>
      </c>
    </row>
    <row r="1847" spans="1:1">
      <c r="A1847" t="s">
        <v>3388</v>
      </c>
    </row>
    <row r="1848" spans="1:1">
      <c r="A1848" t="s">
        <v>3389</v>
      </c>
    </row>
    <row r="1849" spans="1:1">
      <c r="A1849" t="s">
        <v>3390</v>
      </c>
    </row>
    <row r="1850" spans="1:1">
      <c r="A1850" t="s">
        <v>3391</v>
      </c>
    </row>
    <row r="1851" spans="1:1">
      <c r="A1851" t="s">
        <v>3392</v>
      </c>
    </row>
    <row r="1852" spans="1:1">
      <c r="A1852" t="s">
        <v>3393</v>
      </c>
    </row>
    <row r="1853" spans="1:1">
      <c r="A1853" t="s">
        <v>3394</v>
      </c>
    </row>
    <row r="1854" spans="1:1">
      <c r="A1854" t="s">
        <v>3395</v>
      </c>
    </row>
    <row r="1855" spans="1:1">
      <c r="A1855" t="s">
        <v>3396</v>
      </c>
    </row>
    <row r="1856" spans="1:1">
      <c r="A1856" t="s">
        <v>3397</v>
      </c>
    </row>
    <row r="1857" spans="1:1">
      <c r="A1857" t="s">
        <v>3398</v>
      </c>
    </row>
    <row r="1858" spans="1:1">
      <c r="A1858" t="s">
        <v>3399</v>
      </c>
    </row>
    <row r="1859" spans="1:1">
      <c r="A1859" t="s">
        <v>3400</v>
      </c>
    </row>
    <row r="1860" spans="1:1">
      <c r="A1860" t="s">
        <v>3401</v>
      </c>
    </row>
    <row r="1861" spans="1:1">
      <c r="A1861" t="s">
        <v>3402</v>
      </c>
    </row>
    <row r="1862" spans="1:1">
      <c r="A1862" t="s">
        <v>3403</v>
      </c>
    </row>
    <row r="1863" spans="1:1">
      <c r="A1863" t="s">
        <v>3404</v>
      </c>
    </row>
    <row r="1864" spans="1:1">
      <c r="A1864" t="s">
        <v>3405</v>
      </c>
    </row>
    <row r="1865" spans="1:1">
      <c r="A1865" t="s">
        <v>3406</v>
      </c>
    </row>
    <row r="1866" spans="1:1">
      <c r="A1866" t="s">
        <v>3407</v>
      </c>
    </row>
    <row r="1867" spans="1:1">
      <c r="A1867" t="s">
        <v>3408</v>
      </c>
    </row>
    <row r="1868" spans="1:1">
      <c r="A1868" t="s">
        <v>3409</v>
      </c>
    </row>
    <row r="1869" spans="1:1">
      <c r="A1869" t="s">
        <v>3410</v>
      </c>
    </row>
    <row r="1870" spans="1:1">
      <c r="A1870" t="s">
        <v>3411</v>
      </c>
    </row>
    <row r="1871" spans="1:1">
      <c r="A1871" t="s">
        <v>3412</v>
      </c>
    </row>
    <row r="1872" spans="1:1">
      <c r="A1872" t="s">
        <v>3413</v>
      </c>
    </row>
    <row r="1873" spans="1:1">
      <c r="A1873" t="s">
        <v>3414</v>
      </c>
    </row>
    <row r="1874" spans="1:1">
      <c r="A1874" t="s">
        <v>3415</v>
      </c>
    </row>
    <row r="1875" spans="1:1">
      <c r="A1875" t="s">
        <v>3416</v>
      </c>
    </row>
    <row r="1876" spans="1:1">
      <c r="A1876" t="s">
        <v>3417</v>
      </c>
    </row>
    <row r="1877" spans="1:1">
      <c r="A1877" t="s">
        <v>3418</v>
      </c>
    </row>
    <row r="1878" spans="1:1">
      <c r="A1878" t="s">
        <v>3419</v>
      </c>
    </row>
    <row r="1879" spans="1:1">
      <c r="A1879" t="s">
        <v>3420</v>
      </c>
    </row>
    <row r="1880" spans="1:1">
      <c r="A1880" t="s">
        <v>3421</v>
      </c>
    </row>
    <row r="1881" spans="1:1">
      <c r="A1881" t="s">
        <v>3422</v>
      </c>
    </row>
    <row r="1882" spans="1:1">
      <c r="A1882" t="s">
        <v>3423</v>
      </c>
    </row>
    <row r="1883" spans="1:1">
      <c r="A1883" t="s">
        <v>3424</v>
      </c>
    </row>
    <row r="1884" spans="1:1">
      <c r="A1884" t="s">
        <v>3425</v>
      </c>
    </row>
    <row r="1885" spans="1:1">
      <c r="A1885" t="s">
        <v>3426</v>
      </c>
    </row>
    <row r="1886" spans="1:1">
      <c r="A1886" t="s">
        <v>3427</v>
      </c>
    </row>
    <row r="1887" spans="1:1">
      <c r="A1887" t="s">
        <v>3428</v>
      </c>
    </row>
    <row r="1888" spans="1:1">
      <c r="A1888" t="s">
        <v>3429</v>
      </c>
    </row>
    <row r="1889" spans="1:1">
      <c r="A1889" t="s">
        <v>3430</v>
      </c>
    </row>
    <row r="1890" spans="1:1">
      <c r="A1890" t="s">
        <v>3431</v>
      </c>
    </row>
    <row r="1891" spans="1:1">
      <c r="A1891" t="s">
        <v>3432</v>
      </c>
    </row>
    <row r="1892" spans="1:1">
      <c r="A1892" t="s">
        <v>3433</v>
      </c>
    </row>
    <row r="1893" spans="1:1">
      <c r="A1893" t="s">
        <v>3434</v>
      </c>
    </row>
    <row r="1894" spans="1:1">
      <c r="A1894" t="s">
        <v>3435</v>
      </c>
    </row>
    <row r="1895" spans="1:1">
      <c r="A1895" t="s">
        <v>3436</v>
      </c>
    </row>
    <row r="1896" spans="1:1">
      <c r="A1896" t="s">
        <v>3437</v>
      </c>
    </row>
    <row r="1897" spans="1:1">
      <c r="A1897" t="s">
        <v>3438</v>
      </c>
    </row>
    <row r="1898" spans="1:1">
      <c r="A1898" t="s">
        <v>3439</v>
      </c>
    </row>
    <row r="1899" spans="1:1">
      <c r="A1899" t="s">
        <v>3440</v>
      </c>
    </row>
    <row r="1900" spans="1:1">
      <c r="A1900" t="s">
        <v>3441</v>
      </c>
    </row>
    <row r="1901" spans="1:1">
      <c r="A1901" t="s">
        <v>3442</v>
      </c>
    </row>
    <row r="1902" spans="1:1">
      <c r="A1902" t="s">
        <v>3443</v>
      </c>
    </row>
    <row r="1903" spans="1:1">
      <c r="A1903" t="s">
        <v>3444</v>
      </c>
    </row>
    <row r="1904" spans="1:1">
      <c r="A1904" t="s">
        <v>3445</v>
      </c>
    </row>
    <row r="1905" spans="1:1">
      <c r="A1905" t="s">
        <v>3446</v>
      </c>
    </row>
    <row r="1906" spans="1:1">
      <c r="A1906" t="s">
        <v>3447</v>
      </c>
    </row>
    <row r="1907" spans="1:1">
      <c r="A1907" t="s">
        <v>3448</v>
      </c>
    </row>
    <row r="1908" spans="1:1">
      <c r="A1908" t="s">
        <v>3449</v>
      </c>
    </row>
    <row r="1909" spans="1:1">
      <c r="A1909" t="s">
        <v>3450</v>
      </c>
    </row>
    <row r="1910" spans="1:1">
      <c r="A1910" t="s">
        <v>3451</v>
      </c>
    </row>
    <row r="1911" spans="1:1">
      <c r="A1911" t="s">
        <v>3452</v>
      </c>
    </row>
    <row r="1912" spans="1:1">
      <c r="A1912" t="s">
        <v>3453</v>
      </c>
    </row>
    <row r="1913" spans="1:1">
      <c r="A1913" t="s">
        <v>3454</v>
      </c>
    </row>
    <row r="1914" spans="1:1">
      <c r="A1914" t="s">
        <v>3455</v>
      </c>
    </row>
    <row r="1915" spans="1:1">
      <c r="A1915" t="s">
        <v>3456</v>
      </c>
    </row>
    <row r="1916" spans="1:1">
      <c r="A1916" t="s">
        <v>3457</v>
      </c>
    </row>
    <row r="1917" spans="1:1">
      <c r="A1917" t="s">
        <v>3458</v>
      </c>
    </row>
    <row r="1918" spans="1:1">
      <c r="A1918" t="s">
        <v>3459</v>
      </c>
    </row>
    <row r="1919" spans="1:1">
      <c r="A1919" t="s">
        <v>3460</v>
      </c>
    </row>
    <row r="1920" spans="1:1">
      <c r="A1920" t="s">
        <v>3461</v>
      </c>
    </row>
    <row r="1921" spans="1:1">
      <c r="A1921" t="s">
        <v>3462</v>
      </c>
    </row>
    <row r="1922" spans="1:1">
      <c r="A1922" t="s">
        <v>3463</v>
      </c>
    </row>
    <row r="1923" spans="1:1">
      <c r="A1923" t="s">
        <v>3464</v>
      </c>
    </row>
    <row r="1924" spans="1:1">
      <c r="A1924" t="s">
        <v>3465</v>
      </c>
    </row>
    <row r="1925" spans="1:1">
      <c r="A1925" t="s">
        <v>3466</v>
      </c>
    </row>
    <row r="1926" spans="1:1">
      <c r="A1926" t="s">
        <v>3467</v>
      </c>
    </row>
    <row r="1927" spans="1:1">
      <c r="A1927" t="s">
        <v>3468</v>
      </c>
    </row>
    <row r="1928" spans="1:1">
      <c r="A1928" t="s">
        <v>3469</v>
      </c>
    </row>
    <row r="1929" spans="1:1">
      <c r="A1929" t="s">
        <v>3470</v>
      </c>
    </row>
    <row r="1930" spans="1:1">
      <c r="A1930" t="s">
        <v>3471</v>
      </c>
    </row>
    <row r="1931" spans="1:1">
      <c r="A1931" t="s">
        <v>3472</v>
      </c>
    </row>
    <row r="1932" spans="1:1">
      <c r="A1932" t="s">
        <v>3473</v>
      </c>
    </row>
    <row r="1933" spans="1:1">
      <c r="A1933" t="s">
        <v>3474</v>
      </c>
    </row>
    <row r="1934" spans="1:1">
      <c r="A1934" t="s">
        <v>3475</v>
      </c>
    </row>
    <row r="1935" spans="1:1">
      <c r="A1935" t="s">
        <v>3476</v>
      </c>
    </row>
    <row r="1936" spans="1:1">
      <c r="A1936" t="s">
        <v>3477</v>
      </c>
    </row>
    <row r="1937" spans="1:1">
      <c r="A1937" t="s">
        <v>3478</v>
      </c>
    </row>
    <row r="1938" spans="1:1">
      <c r="A1938" t="s">
        <v>3479</v>
      </c>
    </row>
    <row r="1939" spans="1:1">
      <c r="A1939" t="s">
        <v>3480</v>
      </c>
    </row>
    <row r="1940" spans="1:1">
      <c r="A1940" t="s">
        <v>3481</v>
      </c>
    </row>
    <row r="1941" spans="1:1">
      <c r="A1941" t="s">
        <v>3482</v>
      </c>
    </row>
    <row r="1942" spans="1:1">
      <c r="A1942" t="s">
        <v>3483</v>
      </c>
    </row>
    <row r="1943" spans="1:1">
      <c r="A1943" t="s">
        <v>3484</v>
      </c>
    </row>
    <row r="1944" spans="1:1">
      <c r="A1944" t="s">
        <v>3485</v>
      </c>
    </row>
    <row r="1945" spans="1:1">
      <c r="A1945" t="s">
        <v>3486</v>
      </c>
    </row>
    <row r="1946" spans="1:1">
      <c r="A1946" t="s">
        <v>3487</v>
      </c>
    </row>
    <row r="1947" spans="1:1">
      <c r="A1947" t="s">
        <v>3488</v>
      </c>
    </row>
    <row r="1948" spans="1:1">
      <c r="A1948" t="s">
        <v>3489</v>
      </c>
    </row>
    <row r="1949" spans="1:1">
      <c r="A1949" t="s">
        <v>3490</v>
      </c>
    </row>
    <row r="1950" spans="1:1">
      <c r="A1950" t="s">
        <v>3491</v>
      </c>
    </row>
    <row r="1951" spans="1:1">
      <c r="A1951" t="s">
        <v>3492</v>
      </c>
    </row>
    <row r="1952" spans="1:1">
      <c r="A1952" t="s">
        <v>3493</v>
      </c>
    </row>
    <row r="1953" spans="1:1">
      <c r="A1953" t="s">
        <v>3494</v>
      </c>
    </row>
    <row r="1954" spans="1:1">
      <c r="A1954" t="s">
        <v>3495</v>
      </c>
    </row>
    <row r="1955" spans="1:1">
      <c r="A1955" t="s">
        <v>3496</v>
      </c>
    </row>
    <row r="1956" spans="1:1">
      <c r="A1956" t="s">
        <v>3497</v>
      </c>
    </row>
    <row r="1957" spans="1:1">
      <c r="A1957" t="s">
        <v>3498</v>
      </c>
    </row>
    <row r="1958" spans="1:1">
      <c r="A1958" t="s">
        <v>3499</v>
      </c>
    </row>
    <row r="1959" spans="1:1">
      <c r="A1959" t="s">
        <v>3500</v>
      </c>
    </row>
    <row r="1960" spans="1:1">
      <c r="A1960" t="s">
        <v>3501</v>
      </c>
    </row>
    <row r="1961" spans="1:1">
      <c r="A1961" t="s">
        <v>3502</v>
      </c>
    </row>
    <row r="1962" spans="1:1">
      <c r="A1962" t="s">
        <v>3503</v>
      </c>
    </row>
    <row r="1963" spans="1:1">
      <c r="A1963" t="s">
        <v>3504</v>
      </c>
    </row>
    <row r="1964" spans="1:1">
      <c r="A1964" t="s">
        <v>3505</v>
      </c>
    </row>
    <row r="1965" spans="1:1">
      <c r="A1965" t="s">
        <v>3506</v>
      </c>
    </row>
    <row r="1966" spans="1:1">
      <c r="A1966" t="s">
        <v>3507</v>
      </c>
    </row>
    <row r="1967" spans="1:1">
      <c r="A1967" t="s">
        <v>3508</v>
      </c>
    </row>
    <row r="1968" spans="1:1">
      <c r="A1968" t="s">
        <v>3509</v>
      </c>
    </row>
    <row r="1969" spans="1:1">
      <c r="A1969" t="s">
        <v>3510</v>
      </c>
    </row>
    <row r="1970" spans="1:1">
      <c r="A1970" t="s">
        <v>3511</v>
      </c>
    </row>
    <row r="1971" spans="1:1">
      <c r="A1971" t="s">
        <v>3512</v>
      </c>
    </row>
    <row r="1972" spans="1:1">
      <c r="A1972" t="s">
        <v>3513</v>
      </c>
    </row>
    <row r="1973" spans="1:1">
      <c r="A1973" t="s">
        <v>3514</v>
      </c>
    </row>
    <row r="1974" spans="1:1">
      <c r="A1974" t="s">
        <v>3515</v>
      </c>
    </row>
    <row r="1975" spans="1:1">
      <c r="A1975" t="s">
        <v>3516</v>
      </c>
    </row>
    <row r="1976" spans="1:1">
      <c r="A1976" t="s">
        <v>3517</v>
      </c>
    </row>
    <row r="1977" spans="1:1">
      <c r="A1977" t="s">
        <v>3518</v>
      </c>
    </row>
    <row r="1978" spans="1:1">
      <c r="A1978" t="s">
        <v>3519</v>
      </c>
    </row>
    <row r="1979" spans="1:1">
      <c r="A1979" t="s">
        <v>3520</v>
      </c>
    </row>
    <row r="1980" spans="1:1">
      <c r="A1980" t="s">
        <v>3521</v>
      </c>
    </row>
    <row r="1981" spans="1:1">
      <c r="A1981" t="s">
        <v>3522</v>
      </c>
    </row>
    <row r="1982" spans="1:1">
      <c r="A1982" t="s">
        <v>3523</v>
      </c>
    </row>
    <row r="1983" spans="1:1">
      <c r="A1983" t="s">
        <v>3524</v>
      </c>
    </row>
    <row r="1984" spans="1:1">
      <c r="A1984" t="s">
        <v>3525</v>
      </c>
    </row>
    <row r="1985" spans="1:1">
      <c r="A1985" t="s">
        <v>3526</v>
      </c>
    </row>
    <row r="1986" spans="1:1">
      <c r="A1986" t="s">
        <v>3527</v>
      </c>
    </row>
    <row r="1987" spans="1:1">
      <c r="A1987" t="s">
        <v>3528</v>
      </c>
    </row>
    <row r="1988" spans="1:1">
      <c r="A1988" t="s">
        <v>3529</v>
      </c>
    </row>
    <row r="1989" spans="1:1">
      <c r="A1989" t="s">
        <v>3530</v>
      </c>
    </row>
    <row r="1990" spans="1:1">
      <c r="A1990" t="s">
        <v>3531</v>
      </c>
    </row>
    <row r="1991" spans="1:1">
      <c r="A1991" t="s">
        <v>3532</v>
      </c>
    </row>
    <row r="1992" spans="1:1">
      <c r="A1992" t="s">
        <v>3533</v>
      </c>
    </row>
    <row r="1993" spans="1:1">
      <c r="A1993" t="s">
        <v>3534</v>
      </c>
    </row>
    <row r="1994" spans="1:1">
      <c r="A1994" t="s">
        <v>3535</v>
      </c>
    </row>
    <row r="1995" spans="1:1">
      <c r="A1995" t="s">
        <v>3536</v>
      </c>
    </row>
    <row r="1996" spans="1:1">
      <c r="A1996" t="s">
        <v>3537</v>
      </c>
    </row>
    <row r="1997" spans="1:1">
      <c r="A1997" t="s">
        <v>3538</v>
      </c>
    </row>
    <row r="1998" spans="1:1">
      <c r="A1998" t="s">
        <v>3539</v>
      </c>
    </row>
    <row r="1999" spans="1:1">
      <c r="A1999" t="s">
        <v>3540</v>
      </c>
    </row>
    <row r="2000" spans="1:1">
      <c r="A2000" t="s">
        <v>3541</v>
      </c>
    </row>
    <row r="2001" spans="1:1">
      <c r="A2001" t="s">
        <v>3542</v>
      </c>
    </row>
    <row r="2002" spans="1:1">
      <c r="A2002" t="s">
        <v>3543</v>
      </c>
    </row>
    <row r="2003" spans="1:1">
      <c r="A2003" t="s">
        <v>3544</v>
      </c>
    </row>
    <row r="2004" spans="1:1">
      <c r="A2004" t="s">
        <v>3545</v>
      </c>
    </row>
    <row r="2005" spans="1:1">
      <c r="A2005" t="s">
        <v>3546</v>
      </c>
    </row>
    <row r="2006" spans="1:1">
      <c r="A2006" t="s">
        <v>3547</v>
      </c>
    </row>
    <row r="2007" spans="1:1">
      <c r="A2007" t="s">
        <v>3548</v>
      </c>
    </row>
    <row r="2008" spans="1:1">
      <c r="A2008" t="s">
        <v>3549</v>
      </c>
    </row>
    <row r="2009" spans="1:1">
      <c r="A2009" t="s">
        <v>3550</v>
      </c>
    </row>
    <row r="2010" spans="1:1">
      <c r="A2010" t="s">
        <v>3551</v>
      </c>
    </row>
    <row r="2011" spans="1:1">
      <c r="A2011" t="s">
        <v>3552</v>
      </c>
    </row>
    <row r="2012" spans="1:1">
      <c r="A2012" t="s">
        <v>3553</v>
      </c>
    </row>
    <row r="2013" spans="1:1">
      <c r="A2013" t="s">
        <v>3554</v>
      </c>
    </row>
    <row r="2014" spans="1:1">
      <c r="A2014" t="s">
        <v>3555</v>
      </c>
    </row>
    <row r="2015" spans="1:1">
      <c r="A2015" t="s">
        <v>3556</v>
      </c>
    </row>
    <row r="2016" spans="1:1">
      <c r="A2016" t="s">
        <v>3557</v>
      </c>
    </row>
    <row r="2017" spans="1:1">
      <c r="A2017" t="s">
        <v>3558</v>
      </c>
    </row>
    <row r="2018" spans="1:1">
      <c r="A2018" t="s">
        <v>3559</v>
      </c>
    </row>
    <row r="2019" spans="1:1">
      <c r="A2019" t="s">
        <v>3560</v>
      </c>
    </row>
    <row r="2020" spans="1:1">
      <c r="A2020" t="s">
        <v>3561</v>
      </c>
    </row>
    <row r="2021" spans="1:1">
      <c r="A2021" t="s">
        <v>3562</v>
      </c>
    </row>
    <row r="2022" spans="1:1">
      <c r="A2022" t="s">
        <v>3563</v>
      </c>
    </row>
    <row r="2023" spans="1:1">
      <c r="A2023" t="s">
        <v>3564</v>
      </c>
    </row>
    <row r="2024" spans="1:1">
      <c r="A2024" t="s">
        <v>3565</v>
      </c>
    </row>
    <row r="2025" spans="1:1">
      <c r="A2025" t="s">
        <v>3566</v>
      </c>
    </row>
    <row r="2026" spans="1:1">
      <c r="A2026" t="s">
        <v>3567</v>
      </c>
    </row>
    <row r="2027" spans="1:1">
      <c r="A2027" t="s">
        <v>3568</v>
      </c>
    </row>
    <row r="2028" spans="1:1">
      <c r="A2028" t="s">
        <v>3569</v>
      </c>
    </row>
    <row r="2029" spans="1:1">
      <c r="A2029" t="s">
        <v>3570</v>
      </c>
    </row>
    <row r="2030" spans="1:1">
      <c r="A2030" t="s">
        <v>3571</v>
      </c>
    </row>
    <row r="2031" spans="1:1">
      <c r="A2031" t="s">
        <v>3572</v>
      </c>
    </row>
    <row r="2032" spans="1:1">
      <c r="A2032" t="s">
        <v>3573</v>
      </c>
    </row>
    <row r="2033" spans="1:1">
      <c r="A2033" t="s">
        <v>3574</v>
      </c>
    </row>
    <row r="2034" spans="1:1">
      <c r="A2034" t="s">
        <v>3575</v>
      </c>
    </row>
    <row r="2035" spans="1:1">
      <c r="A2035" t="s">
        <v>3576</v>
      </c>
    </row>
    <row r="2036" spans="1:1">
      <c r="A2036" t="s">
        <v>3577</v>
      </c>
    </row>
    <row r="2037" spans="1:1">
      <c r="A2037" t="s">
        <v>3578</v>
      </c>
    </row>
    <row r="2038" spans="1:1">
      <c r="A2038" t="s">
        <v>3579</v>
      </c>
    </row>
    <row r="2039" spans="1:1">
      <c r="A2039" t="s">
        <v>3580</v>
      </c>
    </row>
    <row r="2040" spans="1:1">
      <c r="A2040" t="s">
        <v>3581</v>
      </c>
    </row>
    <row r="2041" spans="1:1">
      <c r="A2041" t="s">
        <v>3582</v>
      </c>
    </row>
    <row r="2042" spans="1:1">
      <c r="A2042" t="s">
        <v>3583</v>
      </c>
    </row>
    <row r="2043" spans="1:1">
      <c r="A2043" t="s">
        <v>3584</v>
      </c>
    </row>
    <row r="2044" spans="1:1">
      <c r="A2044" t="s">
        <v>3585</v>
      </c>
    </row>
    <row r="2045" spans="1:1">
      <c r="A2045" t="s">
        <v>3586</v>
      </c>
    </row>
    <row r="2046" spans="1:1">
      <c r="A2046" t="s">
        <v>3587</v>
      </c>
    </row>
    <row r="2047" spans="1:1">
      <c r="A2047" t="s">
        <v>3588</v>
      </c>
    </row>
    <row r="2048" spans="1:1">
      <c r="A2048" t="s">
        <v>3589</v>
      </c>
    </row>
    <row r="2049" spans="1:1">
      <c r="A2049" t="s">
        <v>3590</v>
      </c>
    </row>
    <row r="2050" spans="1:1">
      <c r="A2050" t="s">
        <v>3591</v>
      </c>
    </row>
    <row r="2051" spans="1:1">
      <c r="A2051" t="s">
        <v>3592</v>
      </c>
    </row>
    <row r="2052" spans="1:1">
      <c r="A2052" t="s">
        <v>3593</v>
      </c>
    </row>
    <row r="2053" spans="1:1">
      <c r="A2053" t="s">
        <v>3594</v>
      </c>
    </row>
    <row r="2054" spans="1:1">
      <c r="A2054" t="s">
        <v>3595</v>
      </c>
    </row>
    <row r="2055" spans="1:1">
      <c r="A2055" t="s">
        <v>3596</v>
      </c>
    </row>
    <row r="2056" spans="1:1">
      <c r="A2056" t="s">
        <v>3597</v>
      </c>
    </row>
    <row r="2057" spans="1:1">
      <c r="A2057" t="s">
        <v>3598</v>
      </c>
    </row>
    <row r="2058" spans="1:1">
      <c r="A2058" t="s">
        <v>3599</v>
      </c>
    </row>
    <row r="2059" spans="1:1">
      <c r="A2059" t="s">
        <v>3600</v>
      </c>
    </row>
    <row r="2060" spans="1:1">
      <c r="A2060" t="s">
        <v>3601</v>
      </c>
    </row>
    <row r="2061" spans="1:1">
      <c r="A2061" t="s">
        <v>3602</v>
      </c>
    </row>
    <row r="2062" spans="1:1">
      <c r="A2062" t="s">
        <v>3603</v>
      </c>
    </row>
    <row r="2063" spans="1:1">
      <c r="A2063" t="s">
        <v>3604</v>
      </c>
    </row>
    <row r="2064" spans="1:1">
      <c r="A2064" t="s">
        <v>3605</v>
      </c>
    </row>
    <row r="2065" spans="1:1">
      <c r="A2065" t="s">
        <v>3606</v>
      </c>
    </row>
    <row r="2066" spans="1:1">
      <c r="A2066" t="s">
        <v>3607</v>
      </c>
    </row>
    <row r="2067" spans="1:1">
      <c r="A2067" t="s">
        <v>3608</v>
      </c>
    </row>
    <row r="2068" spans="1:1">
      <c r="A2068" t="s">
        <v>3609</v>
      </c>
    </row>
    <row r="2069" spans="1:1">
      <c r="A2069" t="s">
        <v>3610</v>
      </c>
    </row>
    <row r="2070" spans="1:1">
      <c r="A2070" t="s">
        <v>3611</v>
      </c>
    </row>
    <row r="2071" spans="1:1">
      <c r="A2071" t="s">
        <v>3612</v>
      </c>
    </row>
    <row r="2072" spans="1:1">
      <c r="A2072" t="s">
        <v>3613</v>
      </c>
    </row>
    <row r="2073" spans="1:1">
      <c r="A2073" t="s">
        <v>3614</v>
      </c>
    </row>
    <row r="2074" spans="1:1">
      <c r="A2074" t="s">
        <v>3615</v>
      </c>
    </row>
    <row r="2075" spans="1:1">
      <c r="A2075" t="s">
        <v>3616</v>
      </c>
    </row>
    <row r="2076" spans="1:1">
      <c r="A2076" t="s">
        <v>3617</v>
      </c>
    </row>
    <row r="2077" spans="1:1">
      <c r="A2077" t="s">
        <v>3618</v>
      </c>
    </row>
    <row r="2078" spans="1:1">
      <c r="A2078" t="s">
        <v>3619</v>
      </c>
    </row>
    <row r="2079" spans="1:1">
      <c r="A2079" t="s">
        <v>3620</v>
      </c>
    </row>
    <row r="2080" spans="1:1">
      <c r="A2080" t="s">
        <v>3621</v>
      </c>
    </row>
    <row r="2081" spans="1:1">
      <c r="A2081" t="s">
        <v>3622</v>
      </c>
    </row>
    <row r="2082" spans="1:1">
      <c r="A2082" t="s">
        <v>3623</v>
      </c>
    </row>
    <row r="2083" spans="1:1">
      <c r="A2083" t="s">
        <v>3624</v>
      </c>
    </row>
    <row r="2084" spans="1:1">
      <c r="A2084" t="s">
        <v>3625</v>
      </c>
    </row>
    <row r="2085" spans="1:1">
      <c r="A2085" t="s">
        <v>3626</v>
      </c>
    </row>
    <row r="2086" spans="1:1">
      <c r="A2086" t="s">
        <v>3627</v>
      </c>
    </row>
    <row r="2087" spans="1:1">
      <c r="A2087" t="s">
        <v>3628</v>
      </c>
    </row>
    <row r="2088" spans="1:1">
      <c r="A2088" t="s">
        <v>3629</v>
      </c>
    </row>
    <row r="2089" spans="1:1">
      <c r="A2089" t="s">
        <v>3630</v>
      </c>
    </row>
    <row r="2090" spans="1:1">
      <c r="A2090" t="s">
        <v>3631</v>
      </c>
    </row>
    <row r="2091" spans="1:1">
      <c r="A2091" t="s">
        <v>3632</v>
      </c>
    </row>
    <row r="2092" spans="1:1">
      <c r="A2092" t="s">
        <v>3633</v>
      </c>
    </row>
    <row r="2093" spans="1:1">
      <c r="A2093" t="s">
        <v>3634</v>
      </c>
    </row>
    <row r="2094" spans="1:1">
      <c r="A2094" t="s">
        <v>3635</v>
      </c>
    </row>
    <row r="2095" spans="1:1">
      <c r="A2095" t="s">
        <v>3636</v>
      </c>
    </row>
    <row r="2096" spans="1:1">
      <c r="A2096" t="s">
        <v>3637</v>
      </c>
    </row>
    <row r="2097" spans="1:1">
      <c r="A2097" t="s">
        <v>3638</v>
      </c>
    </row>
    <row r="2098" spans="1:1">
      <c r="A2098" t="s">
        <v>3639</v>
      </c>
    </row>
    <row r="2099" spans="1:1">
      <c r="A2099" t="s">
        <v>3640</v>
      </c>
    </row>
    <row r="2100" spans="1:1">
      <c r="A2100" t="s">
        <v>3641</v>
      </c>
    </row>
    <row r="2101" spans="1:1">
      <c r="A2101" t="s">
        <v>3642</v>
      </c>
    </row>
    <row r="2102" spans="1:1">
      <c r="A2102" t="s">
        <v>3643</v>
      </c>
    </row>
    <row r="2103" spans="1:1">
      <c r="A2103" t="s">
        <v>3644</v>
      </c>
    </row>
    <row r="2104" spans="1:1">
      <c r="A2104" t="s">
        <v>3645</v>
      </c>
    </row>
    <row r="2105" spans="1:1">
      <c r="A2105" t="s">
        <v>3646</v>
      </c>
    </row>
    <row r="2106" spans="1:1">
      <c r="A2106" t="s">
        <v>3647</v>
      </c>
    </row>
    <row r="2107" spans="1:1">
      <c r="A2107" t="s">
        <v>3648</v>
      </c>
    </row>
    <row r="2108" spans="1:1">
      <c r="A2108" t="s">
        <v>3649</v>
      </c>
    </row>
    <row r="2109" spans="1:1">
      <c r="A2109" t="s">
        <v>3650</v>
      </c>
    </row>
    <row r="2110" spans="1:1">
      <c r="A2110" t="s">
        <v>3651</v>
      </c>
    </row>
    <row r="2111" spans="1:1">
      <c r="A2111" t="s">
        <v>3652</v>
      </c>
    </row>
    <row r="2112" spans="1:1">
      <c r="A2112" t="s">
        <v>3653</v>
      </c>
    </row>
    <row r="2113" spans="1:1">
      <c r="A2113" t="s">
        <v>3654</v>
      </c>
    </row>
    <row r="2114" spans="1:1">
      <c r="A2114" t="s">
        <v>3655</v>
      </c>
    </row>
    <row r="2115" spans="1:1">
      <c r="A2115" t="s">
        <v>3656</v>
      </c>
    </row>
    <row r="2116" spans="1:1">
      <c r="A2116" t="s">
        <v>3657</v>
      </c>
    </row>
    <row r="2117" spans="1:1">
      <c r="A2117" t="s">
        <v>3658</v>
      </c>
    </row>
    <row r="2118" spans="1:1">
      <c r="A2118" t="s">
        <v>3659</v>
      </c>
    </row>
    <row r="2119" spans="1:1">
      <c r="A2119" t="s">
        <v>3660</v>
      </c>
    </row>
    <row r="2120" spans="1:1">
      <c r="A2120" t="s">
        <v>3661</v>
      </c>
    </row>
    <row r="2121" spans="1:1">
      <c r="A2121" t="s">
        <v>3662</v>
      </c>
    </row>
    <row r="2122" spans="1:1">
      <c r="A2122" t="s">
        <v>3663</v>
      </c>
    </row>
    <row r="2123" spans="1:1">
      <c r="A2123" t="s">
        <v>3664</v>
      </c>
    </row>
    <row r="2124" spans="1:1">
      <c r="A2124" t="s">
        <v>3665</v>
      </c>
    </row>
    <row r="2125" spans="1:1">
      <c r="A2125" t="s">
        <v>3666</v>
      </c>
    </row>
    <row r="2126" spans="1:1">
      <c r="A2126" t="s">
        <v>3667</v>
      </c>
    </row>
    <row r="2127" spans="1:1">
      <c r="A2127" t="s">
        <v>3668</v>
      </c>
    </row>
    <row r="2128" spans="1:1">
      <c r="A2128" t="s">
        <v>3669</v>
      </c>
    </row>
    <row r="2129" spans="1:1">
      <c r="A2129" t="s">
        <v>3670</v>
      </c>
    </row>
    <row r="2130" spans="1:1">
      <c r="A2130" t="s">
        <v>3671</v>
      </c>
    </row>
    <row r="2131" spans="1:1">
      <c r="A2131" t="s">
        <v>3672</v>
      </c>
    </row>
    <row r="2132" spans="1:1">
      <c r="A2132" t="s">
        <v>3673</v>
      </c>
    </row>
    <row r="2133" spans="1:1">
      <c r="A2133" t="s">
        <v>3674</v>
      </c>
    </row>
    <row r="2134" spans="1:1">
      <c r="A2134" t="s">
        <v>3675</v>
      </c>
    </row>
    <row r="2135" spans="1:1">
      <c r="A2135" t="s">
        <v>3676</v>
      </c>
    </row>
    <row r="2136" spans="1:1">
      <c r="A2136" t="s">
        <v>3677</v>
      </c>
    </row>
    <row r="2137" spans="1:1">
      <c r="A2137" t="s">
        <v>3678</v>
      </c>
    </row>
    <row r="2138" spans="1:1">
      <c r="A2138" t="s">
        <v>3679</v>
      </c>
    </row>
    <row r="2139" spans="1:1">
      <c r="A2139" t="s">
        <v>3680</v>
      </c>
    </row>
    <row r="2140" spans="1:1">
      <c r="A2140" t="s">
        <v>3681</v>
      </c>
    </row>
    <row r="2141" spans="1:1">
      <c r="A2141" t="s">
        <v>3682</v>
      </c>
    </row>
    <row r="2142" spans="1:1">
      <c r="A2142" t="s">
        <v>3683</v>
      </c>
    </row>
    <row r="2143" spans="1:1">
      <c r="A2143" t="s">
        <v>3684</v>
      </c>
    </row>
    <row r="2144" spans="1:1">
      <c r="A2144" t="s">
        <v>3685</v>
      </c>
    </row>
    <row r="2145" spans="1:1">
      <c r="A2145" t="s">
        <v>3686</v>
      </c>
    </row>
    <row r="2146" spans="1:1">
      <c r="A2146" t="s">
        <v>3687</v>
      </c>
    </row>
    <row r="2147" spans="1:1">
      <c r="A2147" t="s">
        <v>3688</v>
      </c>
    </row>
    <row r="2148" spans="1:1">
      <c r="A2148" t="s">
        <v>3689</v>
      </c>
    </row>
    <row r="2149" spans="1:1">
      <c r="A2149" t="s">
        <v>3690</v>
      </c>
    </row>
    <row r="2150" spans="1:1">
      <c r="A2150" t="s">
        <v>3691</v>
      </c>
    </row>
    <row r="2151" spans="1:1">
      <c r="A2151" t="s">
        <v>3692</v>
      </c>
    </row>
    <row r="2152" spans="1:1">
      <c r="A2152" t="s">
        <v>3693</v>
      </c>
    </row>
    <row r="2153" spans="1:1">
      <c r="A2153" t="s">
        <v>3694</v>
      </c>
    </row>
    <row r="2154" spans="1:1">
      <c r="A2154" t="s">
        <v>3695</v>
      </c>
    </row>
    <row r="2155" spans="1:1">
      <c r="A2155" t="s">
        <v>3696</v>
      </c>
    </row>
    <row r="2156" spans="1:1">
      <c r="A2156" t="s">
        <v>3697</v>
      </c>
    </row>
    <row r="2157" spans="1:1">
      <c r="A2157" t="s">
        <v>3698</v>
      </c>
    </row>
    <row r="2158" spans="1:1">
      <c r="A2158" t="s">
        <v>3699</v>
      </c>
    </row>
    <row r="2159" spans="1:1">
      <c r="A2159" t="s">
        <v>3700</v>
      </c>
    </row>
    <row r="2160" spans="1:1">
      <c r="A2160" t="s">
        <v>3701</v>
      </c>
    </row>
    <row r="2161" spans="1:1">
      <c r="A2161" t="s">
        <v>3702</v>
      </c>
    </row>
    <row r="2162" spans="1:1">
      <c r="A2162" t="s">
        <v>3703</v>
      </c>
    </row>
    <row r="2163" spans="1:1">
      <c r="A2163" t="s">
        <v>3704</v>
      </c>
    </row>
    <row r="2164" spans="1:1">
      <c r="A2164" t="s">
        <v>3705</v>
      </c>
    </row>
    <row r="2165" spans="1:1">
      <c r="A2165" t="s">
        <v>3706</v>
      </c>
    </row>
    <row r="2166" spans="1:1">
      <c r="A2166" t="s">
        <v>3707</v>
      </c>
    </row>
    <row r="2167" spans="1:1">
      <c r="A2167" t="s">
        <v>3708</v>
      </c>
    </row>
    <row r="2168" spans="1:1">
      <c r="A2168" t="s">
        <v>3709</v>
      </c>
    </row>
    <row r="2169" spans="1:1">
      <c r="A2169" t="s">
        <v>3710</v>
      </c>
    </row>
    <row r="2170" spans="1:1">
      <c r="A2170" t="s">
        <v>3711</v>
      </c>
    </row>
    <row r="2171" spans="1:1">
      <c r="A2171" t="s">
        <v>3712</v>
      </c>
    </row>
    <row r="2172" spans="1:1">
      <c r="A2172" t="s">
        <v>3713</v>
      </c>
    </row>
    <row r="2173" spans="1:1">
      <c r="A2173" t="s">
        <v>3714</v>
      </c>
    </row>
    <row r="2174" spans="1:1">
      <c r="A2174" t="s">
        <v>3715</v>
      </c>
    </row>
    <row r="2175" spans="1:1">
      <c r="A2175" t="s">
        <v>3716</v>
      </c>
    </row>
    <row r="2176" spans="1:1">
      <c r="A2176" t="s">
        <v>3717</v>
      </c>
    </row>
    <row r="2177" spans="1:1">
      <c r="A2177" t="s">
        <v>3718</v>
      </c>
    </row>
    <row r="2178" spans="1:1">
      <c r="A2178" t="s">
        <v>3719</v>
      </c>
    </row>
    <row r="2179" spans="1:1">
      <c r="A2179" t="s">
        <v>3720</v>
      </c>
    </row>
    <row r="2180" spans="1:1">
      <c r="A2180" t="s">
        <v>3721</v>
      </c>
    </row>
    <row r="2181" spans="1:1">
      <c r="A2181" t="s">
        <v>3722</v>
      </c>
    </row>
    <row r="2182" spans="1:1">
      <c r="A2182" t="s">
        <v>3723</v>
      </c>
    </row>
    <row r="2183" spans="1:1">
      <c r="A2183" t="s">
        <v>3724</v>
      </c>
    </row>
    <row r="2184" spans="1:1">
      <c r="A2184" t="s">
        <v>3725</v>
      </c>
    </row>
    <row r="2185" spans="1:1">
      <c r="A2185" t="s">
        <v>3726</v>
      </c>
    </row>
    <row r="2186" spans="1:1">
      <c r="A2186" t="s">
        <v>3727</v>
      </c>
    </row>
    <row r="2187" spans="1:1">
      <c r="A2187" t="s">
        <v>3728</v>
      </c>
    </row>
    <row r="2188" spans="1:1">
      <c r="A2188" t="s">
        <v>3729</v>
      </c>
    </row>
    <row r="2189" spans="1:1">
      <c r="A2189" t="s">
        <v>3730</v>
      </c>
    </row>
    <row r="2190" spans="1:1">
      <c r="A2190" t="s">
        <v>3731</v>
      </c>
    </row>
    <row r="2191" spans="1:1">
      <c r="A2191" t="s">
        <v>3732</v>
      </c>
    </row>
    <row r="2192" spans="1:1">
      <c r="A2192" t="s">
        <v>3733</v>
      </c>
    </row>
    <row r="2193" spans="1:1">
      <c r="A2193" t="s">
        <v>3734</v>
      </c>
    </row>
    <row r="2194" spans="1:1">
      <c r="A2194" t="s">
        <v>3735</v>
      </c>
    </row>
    <row r="2195" spans="1:1">
      <c r="A2195" t="s">
        <v>3736</v>
      </c>
    </row>
    <row r="2196" spans="1:1">
      <c r="A2196" t="s">
        <v>3737</v>
      </c>
    </row>
    <row r="2197" spans="1:1">
      <c r="A2197" t="s">
        <v>3738</v>
      </c>
    </row>
    <row r="2198" spans="1:1">
      <c r="A2198" t="s">
        <v>3739</v>
      </c>
    </row>
    <row r="2199" spans="1:1">
      <c r="A2199" t="s">
        <v>3740</v>
      </c>
    </row>
    <row r="2200" spans="1:1">
      <c r="A2200" t="s">
        <v>3741</v>
      </c>
    </row>
    <row r="2201" spans="1:1">
      <c r="A2201" t="s">
        <v>3742</v>
      </c>
    </row>
    <row r="2202" spans="1:1">
      <c r="A2202" t="s">
        <v>3743</v>
      </c>
    </row>
    <row r="2203" spans="1:1">
      <c r="A2203" t="s">
        <v>3744</v>
      </c>
    </row>
    <row r="2204" spans="1:1">
      <c r="A2204" t="s">
        <v>3745</v>
      </c>
    </row>
    <row r="2205" spans="1:1">
      <c r="A2205" t="s">
        <v>3746</v>
      </c>
    </row>
    <row r="2206" spans="1:1">
      <c r="A2206" t="s">
        <v>3747</v>
      </c>
    </row>
    <row r="2207" spans="1:1">
      <c r="A2207" t="s">
        <v>3748</v>
      </c>
    </row>
    <row r="2208" spans="1:1">
      <c r="A2208" t="s">
        <v>3749</v>
      </c>
    </row>
    <row r="2209" spans="1:1">
      <c r="A2209" t="s">
        <v>3750</v>
      </c>
    </row>
    <row r="2210" spans="1:1">
      <c r="A2210" t="s">
        <v>3751</v>
      </c>
    </row>
    <row r="2211" spans="1:1">
      <c r="A2211" t="s">
        <v>3752</v>
      </c>
    </row>
    <row r="2212" spans="1:1">
      <c r="A2212" t="s">
        <v>3753</v>
      </c>
    </row>
    <row r="2213" spans="1:1">
      <c r="A2213" t="s">
        <v>3754</v>
      </c>
    </row>
    <row r="2214" spans="1:1">
      <c r="A2214" t="s">
        <v>3755</v>
      </c>
    </row>
    <row r="2215" spans="1:1">
      <c r="A2215" t="s">
        <v>3756</v>
      </c>
    </row>
    <row r="2216" spans="1:1">
      <c r="A2216" t="s">
        <v>3757</v>
      </c>
    </row>
    <row r="2217" spans="1:1">
      <c r="A2217" t="s">
        <v>3758</v>
      </c>
    </row>
    <row r="2218" spans="1:1">
      <c r="A2218" t="s">
        <v>3759</v>
      </c>
    </row>
    <row r="2219" spans="1:1">
      <c r="A2219" t="s">
        <v>3760</v>
      </c>
    </row>
    <row r="2220" spans="1:1">
      <c r="A2220" t="s">
        <v>3761</v>
      </c>
    </row>
    <row r="2221" spans="1:1">
      <c r="A2221" t="s">
        <v>3762</v>
      </c>
    </row>
    <row r="2222" spans="1:1">
      <c r="A2222" t="s">
        <v>3763</v>
      </c>
    </row>
    <row r="2223" spans="1:1">
      <c r="A2223" t="s">
        <v>3764</v>
      </c>
    </row>
    <row r="2224" spans="1:1">
      <c r="A2224" t="s">
        <v>3765</v>
      </c>
    </row>
    <row r="2225" spans="1:1">
      <c r="A2225" t="s">
        <v>3766</v>
      </c>
    </row>
    <row r="2226" spans="1:1">
      <c r="A2226" t="s">
        <v>3767</v>
      </c>
    </row>
    <row r="2227" spans="1:1">
      <c r="A2227" t="s">
        <v>3768</v>
      </c>
    </row>
    <row r="2228" spans="1:1">
      <c r="A2228" t="s">
        <v>3769</v>
      </c>
    </row>
    <row r="2229" spans="1:1">
      <c r="A2229" t="s">
        <v>3770</v>
      </c>
    </row>
    <row r="2230" spans="1:1">
      <c r="A2230" t="s">
        <v>3771</v>
      </c>
    </row>
    <row r="2231" spans="1:1">
      <c r="A2231" t="s">
        <v>3772</v>
      </c>
    </row>
    <row r="2232" spans="1:1">
      <c r="A2232" t="s">
        <v>3773</v>
      </c>
    </row>
    <row r="2233" spans="1:1">
      <c r="A2233" t="s">
        <v>3774</v>
      </c>
    </row>
    <row r="2234" spans="1:1">
      <c r="A2234" t="s">
        <v>3775</v>
      </c>
    </row>
    <row r="2235" spans="1:1">
      <c r="A2235" t="s">
        <v>3776</v>
      </c>
    </row>
    <row r="2236" spans="1:1">
      <c r="A2236" t="s">
        <v>3777</v>
      </c>
    </row>
    <row r="2237" spans="1:1">
      <c r="A2237" t="s">
        <v>3778</v>
      </c>
    </row>
    <row r="2238" spans="1:1">
      <c r="A2238" t="s">
        <v>3779</v>
      </c>
    </row>
    <row r="2239" spans="1:1">
      <c r="A2239" t="s">
        <v>3780</v>
      </c>
    </row>
    <row r="2240" spans="1:1">
      <c r="A2240" t="s">
        <v>3781</v>
      </c>
    </row>
    <row r="2241" spans="1:1">
      <c r="A2241" t="s">
        <v>3782</v>
      </c>
    </row>
    <row r="2242" spans="1:1">
      <c r="A2242" t="s">
        <v>3783</v>
      </c>
    </row>
    <row r="2243" spans="1:1">
      <c r="A2243" t="s">
        <v>3784</v>
      </c>
    </row>
    <row r="2244" spans="1:1">
      <c r="A2244" t="s">
        <v>3785</v>
      </c>
    </row>
    <row r="2245" spans="1:1">
      <c r="A2245" t="s">
        <v>3786</v>
      </c>
    </row>
    <row r="2246" spans="1:1">
      <c r="A2246" t="s">
        <v>3787</v>
      </c>
    </row>
    <row r="2247" spans="1:1">
      <c r="A2247" t="s">
        <v>3788</v>
      </c>
    </row>
    <row r="2248" spans="1:1">
      <c r="A2248" t="s">
        <v>3789</v>
      </c>
    </row>
    <row r="2249" spans="1:1">
      <c r="A2249" t="s">
        <v>3790</v>
      </c>
    </row>
    <row r="2250" spans="1:1">
      <c r="A2250" t="s">
        <v>3791</v>
      </c>
    </row>
    <row r="2251" spans="1:1">
      <c r="A2251" t="s">
        <v>3792</v>
      </c>
    </row>
    <row r="2252" spans="1:1">
      <c r="A2252" t="s">
        <v>3793</v>
      </c>
    </row>
    <row r="2253" spans="1:1">
      <c r="A2253" t="s">
        <v>3794</v>
      </c>
    </row>
    <row r="2254" spans="1:1">
      <c r="A2254" t="s">
        <v>3795</v>
      </c>
    </row>
    <row r="2255" spans="1:1">
      <c r="A2255" t="s">
        <v>3796</v>
      </c>
    </row>
    <row r="2256" spans="1:1">
      <c r="A2256" t="s">
        <v>3797</v>
      </c>
    </row>
    <row r="2257" spans="1:1">
      <c r="A2257" t="s">
        <v>3798</v>
      </c>
    </row>
    <row r="2258" spans="1:1">
      <c r="A2258" t="s">
        <v>3799</v>
      </c>
    </row>
    <row r="2259" spans="1:1">
      <c r="A2259" t="s">
        <v>3800</v>
      </c>
    </row>
    <row r="2260" spans="1:1">
      <c r="A2260" t="s">
        <v>3801</v>
      </c>
    </row>
    <row r="2261" spans="1:1">
      <c r="A2261" t="s">
        <v>3802</v>
      </c>
    </row>
    <row r="2262" spans="1:1">
      <c r="A2262" t="s">
        <v>3803</v>
      </c>
    </row>
    <row r="2263" spans="1:1">
      <c r="A2263" t="s">
        <v>3804</v>
      </c>
    </row>
    <row r="2264" spans="1:1">
      <c r="A2264" t="s">
        <v>3805</v>
      </c>
    </row>
    <row r="2265" spans="1:1">
      <c r="A2265" t="s">
        <v>3806</v>
      </c>
    </row>
    <row r="2266" spans="1:1">
      <c r="A2266" t="s">
        <v>3807</v>
      </c>
    </row>
    <row r="2267" spans="1:1">
      <c r="A2267" t="s">
        <v>3808</v>
      </c>
    </row>
    <row r="2268" spans="1:1">
      <c r="A2268" t="s">
        <v>3809</v>
      </c>
    </row>
    <row r="2269" spans="1:1">
      <c r="A2269" t="s">
        <v>3810</v>
      </c>
    </row>
    <row r="2270" spans="1:1">
      <c r="A2270" t="s">
        <v>3811</v>
      </c>
    </row>
    <row r="2271" spans="1:1">
      <c r="A2271" t="s">
        <v>3812</v>
      </c>
    </row>
    <row r="2272" spans="1:1">
      <c r="A2272" t="s">
        <v>3813</v>
      </c>
    </row>
    <row r="2273" spans="1:1">
      <c r="A2273" t="s">
        <v>3814</v>
      </c>
    </row>
    <row r="2274" spans="1:1">
      <c r="A2274" t="s">
        <v>3815</v>
      </c>
    </row>
    <row r="2275" spans="1:1">
      <c r="A2275" t="s">
        <v>3816</v>
      </c>
    </row>
    <row r="2276" spans="1:1">
      <c r="A2276" t="s">
        <v>3817</v>
      </c>
    </row>
    <row r="2277" spans="1:1">
      <c r="A2277" t="s">
        <v>3818</v>
      </c>
    </row>
    <row r="2278" spans="1:1">
      <c r="A2278" t="s">
        <v>3819</v>
      </c>
    </row>
    <row r="2279" spans="1:1">
      <c r="A2279" t="s">
        <v>3820</v>
      </c>
    </row>
    <row r="2280" spans="1:1">
      <c r="A2280" t="s">
        <v>3821</v>
      </c>
    </row>
    <row r="2281" spans="1:1">
      <c r="A2281" t="s">
        <v>3822</v>
      </c>
    </row>
    <row r="2282" spans="1:1">
      <c r="A2282" t="s">
        <v>3823</v>
      </c>
    </row>
    <row r="2283" spans="1:1">
      <c r="A2283" t="s">
        <v>3824</v>
      </c>
    </row>
    <row r="2284" spans="1:1">
      <c r="A2284" t="s">
        <v>3825</v>
      </c>
    </row>
    <row r="2285" spans="1:1">
      <c r="A2285" t="s">
        <v>3826</v>
      </c>
    </row>
    <row r="2286" spans="1:1">
      <c r="A2286" t="s">
        <v>3827</v>
      </c>
    </row>
    <row r="2287" spans="1:1">
      <c r="A2287" t="s">
        <v>3828</v>
      </c>
    </row>
    <row r="2288" spans="1:1">
      <c r="A2288" t="s">
        <v>3829</v>
      </c>
    </row>
    <row r="2289" spans="1:1">
      <c r="A2289" t="s">
        <v>3830</v>
      </c>
    </row>
    <row r="2290" spans="1:1">
      <c r="A2290" t="s">
        <v>3831</v>
      </c>
    </row>
    <row r="2291" spans="1:1">
      <c r="A2291" t="s">
        <v>3832</v>
      </c>
    </row>
    <row r="2292" spans="1:1">
      <c r="A2292" t="s">
        <v>3833</v>
      </c>
    </row>
    <row r="2293" spans="1:1">
      <c r="A2293" t="s">
        <v>3834</v>
      </c>
    </row>
    <row r="2294" spans="1:1">
      <c r="A2294" t="s">
        <v>3835</v>
      </c>
    </row>
    <row r="2295" spans="1:1">
      <c r="A2295" t="s">
        <v>3836</v>
      </c>
    </row>
    <row r="2296" spans="1:1">
      <c r="A2296" t="s">
        <v>3837</v>
      </c>
    </row>
    <row r="2297" spans="1:1">
      <c r="A2297" t="s">
        <v>3838</v>
      </c>
    </row>
    <row r="2298" spans="1:1">
      <c r="A2298" t="s">
        <v>3839</v>
      </c>
    </row>
    <row r="2299" spans="1:1">
      <c r="A2299" t="s">
        <v>3840</v>
      </c>
    </row>
    <row r="2300" spans="1:1">
      <c r="A2300" t="s">
        <v>3841</v>
      </c>
    </row>
    <row r="2301" spans="1:1">
      <c r="A2301" t="s">
        <v>3842</v>
      </c>
    </row>
    <row r="2302" spans="1:1">
      <c r="A2302" t="s">
        <v>3843</v>
      </c>
    </row>
    <row r="2303" spans="1:1">
      <c r="A2303" t="s">
        <v>3844</v>
      </c>
    </row>
    <row r="2304" spans="1:1">
      <c r="A2304" t="s">
        <v>3845</v>
      </c>
    </row>
    <row r="2305" spans="1:1">
      <c r="A2305" t="s">
        <v>3846</v>
      </c>
    </row>
    <row r="2306" spans="1:1">
      <c r="A2306" t="s">
        <v>3847</v>
      </c>
    </row>
    <row r="2307" spans="1:1">
      <c r="A2307" t="s">
        <v>3848</v>
      </c>
    </row>
    <row r="2308" spans="1:1">
      <c r="A2308" t="s">
        <v>3849</v>
      </c>
    </row>
    <row r="2309" spans="1:1">
      <c r="A2309" t="s">
        <v>3850</v>
      </c>
    </row>
    <row r="2310" spans="1:1">
      <c r="A2310" t="s">
        <v>3851</v>
      </c>
    </row>
    <row r="2311" spans="1:1">
      <c r="A2311" t="s">
        <v>3852</v>
      </c>
    </row>
    <row r="2312" spans="1:1">
      <c r="A2312" t="s">
        <v>3853</v>
      </c>
    </row>
    <row r="2313" spans="1:1">
      <c r="A2313" t="s">
        <v>3854</v>
      </c>
    </row>
    <row r="2314" spans="1:1">
      <c r="A2314" t="s">
        <v>3855</v>
      </c>
    </row>
    <row r="2315" spans="1:1">
      <c r="A2315" t="s">
        <v>3856</v>
      </c>
    </row>
    <row r="2316" spans="1:1">
      <c r="A2316" t="s">
        <v>3857</v>
      </c>
    </row>
    <row r="2317" spans="1:1">
      <c r="A2317" t="s">
        <v>3858</v>
      </c>
    </row>
    <row r="2318" spans="1:1">
      <c r="A2318" t="s">
        <v>3859</v>
      </c>
    </row>
    <row r="2319" spans="1:1">
      <c r="A2319" t="s">
        <v>3860</v>
      </c>
    </row>
    <row r="2320" spans="1:1">
      <c r="A2320" t="s">
        <v>3861</v>
      </c>
    </row>
    <row r="2321" spans="1:1">
      <c r="A2321" t="s">
        <v>3862</v>
      </c>
    </row>
    <row r="2322" spans="1:1">
      <c r="A2322" t="s">
        <v>3863</v>
      </c>
    </row>
    <row r="2323" spans="1:1">
      <c r="A2323" t="s">
        <v>3864</v>
      </c>
    </row>
    <row r="2324" spans="1:1">
      <c r="A2324" t="s">
        <v>3865</v>
      </c>
    </row>
    <row r="2325" spans="1:1">
      <c r="A2325" t="s">
        <v>3866</v>
      </c>
    </row>
    <row r="2326" spans="1:1">
      <c r="A2326" t="s">
        <v>3867</v>
      </c>
    </row>
    <row r="2327" spans="1:1">
      <c r="A2327" t="s">
        <v>3868</v>
      </c>
    </row>
    <row r="2328" spans="1:1">
      <c r="A2328" t="s">
        <v>3869</v>
      </c>
    </row>
    <row r="2329" spans="1:1">
      <c r="A2329" t="s">
        <v>3870</v>
      </c>
    </row>
    <row r="2330" spans="1:1">
      <c r="A2330" t="s">
        <v>3871</v>
      </c>
    </row>
    <row r="2331" spans="1:1">
      <c r="A2331" t="s">
        <v>3872</v>
      </c>
    </row>
    <row r="2332" spans="1:1">
      <c r="A2332" t="s">
        <v>3873</v>
      </c>
    </row>
    <row r="2333" spans="1:1">
      <c r="A2333" t="s">
        <v>3874</v>
      </c>
    </row>
    <row r="2334" spans="1:1">
      <c r="A2334" t="s">
        <v>3875</v>
      </c>
    </row>
    <row r="2335" spans="1:1">
      <c r="A2335" t="s">
        <v>3876</v>
      </c>
    </row>
    <row r="2336" spans="1:1">
      <c r="A2336" t="s">
        <v>3877</v>
      </c>
    </row>
    <row r="2337" spans="1:1">
      <c r="A2337" t="s">
        <v>3878</v>
      </c>
    </row>
    <row r="2338" spans="1:1">
      <c r="A2338" t="s">
        <v>3879</v>
      </c>
    </row>
    <row r="2339" spans="1:1">
      <c r="A2339" t="s">
        <v>3880</v>
      </c>
    </row>
    <row r="2340" spans="1:1">
      <c r="A2340" t="s">
        <v>3881</v>
      </c>
    </row>
    <row r="2341" spans="1:1">
      <c r="A2341" t="s">
        <v>3882</v>
      </c>
    </row>
    <row r="2342" spans="1:1">
      <c r="A2342" t="s">
        <v>3883</v>
      </c>
    </row>
    <row r="2343" spans="1:1">
      <c r="A2343" t="s">
        <v>3884</v>
      </c>
    </row>
    <row r="2344" spans="1:1">
      <c r="A2344" t="s">
        <v>3885</v>
      </c>
    </row>
    <row r="2345" spans="1:1">
      <c r="A2345" t="s">
        <v>3886</v>
      </c>
    </row>
    <row r="2346" spans="1:1">
      <c r="A2346" t="s">
        <v>3887</v>
      </c>
    </row>
    <row r="2347" spans="1:1">
      <c r="A2347" t="s">
        <v>3888</v>
      </c>
    </row>
    <row r="2348" spans="1:1">
      <c r="A2348" t="s">
        <v>3889</v>
      </c>
    </row>
    <row r="2349" spans="1:1">
      <c r="A2349" t="s">
        <v>3890</v>
      </c>
    </row>
    <row r="2350" spans="1:1">
      <c r="A2350" t="s">
        <v>3891</v>
      </c>
    </row>
    <row r="2351" spans="1:1">
      <c r="A2351" t="s">
        <v>3892</v>
      </c>
    </row>
    <row r="2352" spans="1:1">
      <c r="A2352" t="s">
        <v>3893</v>
      </c>
    </row>
    <row r="2353" spans="1:1">
      <c r="A2353" t="s">
        <v>3894</v>
      </c>
    </row>
    <row r="2354" spans="1:1">
      <c r="A2354" t="s">
        <v>3895</v>
      </c>
    </row>
    <row r="2355" spans="1:1">
      <c r="A2355" t="s">
        <v>3896</v>
      </c>
    </row>
    <row r="2356" spans="1:1">
      <c r="A2356" t="s">
        <v>3897</v>
      </c>
    </row>
    <row r="2357" spans="1:1">
      <c r="A2357" t="s">
        <v>3898</v>
      </c>
    </row>
    <row r="2358" spans="1:1">
      <c r="A2358" t="s">
        <v>3899</v>
      </c>
    </row>
    <row r="2359" spans="1:1">
      <c r="A2359" t="s">
        <v>3900</v>
      </c>
    </row>
    <row r="2360" spans="1:1">
      <c r="A2360" t="s">
        <v>3901</v>
      </c>
    </row>
    <row r="2361" spans="1:1">
      <c r="A2361" t="s">
        <v>3902</v>
      </c>
    </row>
    <row r="2362" spans="1:1">
      <c r="A2362" t="s">
        <v>3903</v>
      </c>
    </row>
    <row r="2363" spans="1:1">
      <c r="A2363" t="s">
        <v>3904</v>
      </c>
    </row>
    <row r="2364" spans="1:1">
      <c r="A2364" t="s">
        <v>3905</v>
      </c>
    </row>
    <row r="2365" spans="1:1">
      <c r="A2365" t="s">
        <v>3906</v>
      </c>
    </row>
    <row r="2366" spans="1:1">
      <c r="A2366" t="s">
        <v>3907</v>
      </c>
    </row>
    <row r="2367" spans="1:1">
      <c r="A2367" t="s">
        <v>3908</v>
      </c>
    </row>
    <row r="2368" spans="1:1">
      <c r="A2368" t="s">
        <v>3909</v>
      </c>
    </row>
    <row r="2369" spans="1:1">
      <c r="A2369" t="s">
        <v>3910</v>
      </c>
    </row>
    <row r="2370" spans="1:1">
      <c r="A2370" t="s">
        <v>3911</v>
      </c>
    </row>
    <row r="2371" spans="1:1">
      <c r="A2371" t="s">
        <v>3912</v>
      </c>
    </row>
    <row r="2372" spans="1:1">
      <c r="A2372" t="s">
        <v>3913</v>
      </c>
    </row>
    <row r="2373" spans="1:1">
      <c r="A2373" t="s">
        <v>3914</v>
      </c>
    </row>
    <row r="2374" spans="1:1">
      <c r="A2374" t="s">
        <v>3915</v>
      </c>
    </row>
    <row r="2375" spans="1:1">
      <c r="A2375" t="s">
        <v>3916</v>
      </c>
    </row>
    <row r="2376" spans="1:1">
      <c r="A2376" t="s">
        <v>3917</v>
      </c>
    </row>
    <row r="2377" spans="1:1">
      <c r="A2377" t="s">
        <v>3918</v>
      </c>
    </row>
    <row r="2378" spans="1:1">
      <c r="A2378" t="s">
        <v>3919</v>
      </c>
    </row>
    <row r="2379" spans="1:1">
      <c r="A2379" t="s">
        <v>3920</v>
      </c>
    </row>
    <row r="2380" spans="1:1">
      <c r="A2380" t="s">
        <v>3921</v>
      </c>
    </row>
    <row r="2381" spans="1:1">
      <c r="A2381" t="s">
        <v>3922</v>
      </c>
    </row>
    <row r="2382" spans="1:1">
      <c r="A2382" t="s">
        <v>3923</v>
      </c>
    </row>
    <row r="2383" spans="1:1">
      <c r="A2383" t="s">
        <v>3924</v>
      </c>
    </row>
    <row r="2384" spans="1:1">
      <c r="A2384" t="s">
        <v>3925</v>
      </c>
    </row>
    <row r="2385" spans="1:1">
      <c r="A2385" t="s">
        <v>3926</v>
      </c>
    </row>
    <row r="2386" spans="1:1">
      <c r="A2386" t="s">
        <v>3927</v>
      </c>
    </row>
    <row r="2387" spans="1:1">
      <c r="A2387" t="s">
        <v>3928</v>
      </c>
    </row>
    <row r="2388" spans="1:1">
      <c r="A2388" t="s">
        <v>3929</v>
      </c>
    </row>
    <row r="2389" spans="1:1">
      <c r="A2389" t="s">
        <v>3930</v>
      </c>
    </row>
    <row r="2390" spans="1:1">
      <c r="A2390" t="s">
        <v>3931</v>
      </c>
    </row>
    <row r="2391" spans="1:1">
      <c r="A2391" t="s">
        <v>3932</v>
      </c>
    </row>
    <row r="2392" spans="1:1">
      <c r="A2392" t="s">
        <v>3933</v>
      </c>
    </row>
    <row r="2393" spans="1:1">
      <c r="A2393" t="s">
        <v>3934</v>
      </c>
    </row>
    <row r="2394" spans="1:1">
      <c r="A2394" t="s">
        <v>3935</v>
      </c>
    </row>
    <row r="2395" spans="1:1">
      <c r="A2395" t="s">
        <v>3936</v>
      </c>
    </row>
    <row r="2396" spans="1:1">
      <c r="A2396" t="s">
        <v>3937</v>
      </c>
    </row>
    <row r="2397" spans="1:1">
      <c r="A2397" t="s">
        <v>3938</v>
      </c>
    </row>
    <row r="2398" spans="1:1">
      <c r="A2398" t="s">
        <v>3939</v>
      </c>
    </row>
    <row r="2399" spans="1:1">
      <c r="A2399" t="s">
        <v>3940</v>
      </c>
    </row>
    <row r="2400" spans="1:1">
      <c r="A2400" t="s">
        <v>3941</v>
      </c>
    </row>
    <row r="2401" spans="1:1">
      <c r="A2401" t="s">
        <v>3942</v>
      </c>
    </row>
    <row r="2402" spans="1:1">
      <c r="A2402" t="s">
        <v>3943</v>
      </c>
    </row>
    <row r="2403" spans="1:1">
      <c r="A2403" t="s">
        <v>3944</v>
      </c>
    </row>
    <row r="2404" spans="1:1">
      <c r="A2404" t="s">
        <v>3945</v>
      </c>
    </row>
    <row r="2405" spans="1:1">
      <c r="A2405" t="s">
        <v>3946</v>
      </c>
    </row>
    <row r="2406" spans="1:1">
      <c r="A2406" t="s">
        <v>3947</v>
      </c>
    </row>
    <row r="2407" spans="1:1">
      <c r="A2407" t="s">
        <v>3948</v>
      </c>
    </row>
    <row r="2408" spans="1:1">
      <c r="A2408" t="s">
        <v>3949</v>
      </c>
    </row>
    <row r="2409" spans="1:1">
      <c r="A2409" t="s">
        <v>3950</v>
      </c>
    </row>
    <row r="2410" spans="1:1">
      <c r="A2410" t="s">
        <v>3951</v>
      </c>
    </row>
    <row r="2411" spans="1:1">
      <c r="A2411" t="s">
        <v>3952</v>
      </c>
    </row>
    <row r="2412" spans="1:1">
      <c r="A2412" t="s">
        <v>3953</v>
      </c>
    </row>
    <row r="2413" spans="1:1">
      <c r="A2413" t="s">
        <v>3954</v>
      </c>
    </row>
    <row r="2414" spans="1:1">
      <c r="A2414" t="s">
        <v>3955</v>
      </c>
    </row>
    <row r="2415" spans="1:1">
      <c r="A2415" t="s">
        <v>3956</v>
      </c>
    </row>
    <row r="2416" spans="1:1">
      <c r="A2416" t="s">
        <v>3957</v>
      </c>
    </row>
    <row r="2417" spans="1:1">
      <c r="A2417" t="s">
        <v>3958</v>
      </c>
    </row>
    <row r="2418" spans="1:1">
      <c r="A2418" t="s">
        <v>3959</v>
      </c>
    </row>
    <row r="2419" spans="1:1">
      <c r="A2419" t="s">
        <v>3960</v>
      </c>
    </row>
    <row r="2420" spans="1:1">
      <c r="A2420" t="s">
        <v>3961</v>
      </c>
    </row>
    <row r="2421" spans="1:1">
      <c r="A2421" t="s">
        <v>3962</v>
      </c>
    </row>
    <row r="2422" spans="1:1">
      <c r="A2422" t="s">
        <v>3963</v>
      </c>
    </row>
    <row r="2423" spans="1:1">
      <c r="A2423" t="s">
        <v>3964</v>
      </c>
    </row>
    <row r="2424" spans="1:1">
      <c r="A2424" t="s">
        <v>3965</v>
      </c>
    </row>
    <row r="2425" spans="1:1">
      <c r="A2425" t="s">
        <v>3966</v>
      </c>
    </row>
    <row r="2426" spans="1:1">
      <c r="A2426" t="s">
        <v>3967</v>
      </c>
    </row>
    <row r="2427" spans="1:1">
      <c r="A2427" t="s">
        <v>3968</v>
      </c>
    </row>
    <row r="2428" spans="1:1">
      <c r="A2428" t="s">
        <v>3969</v>
      </c>
    </row>
    <row r="2429" spans="1:1">
      <c r="A2429" t="s">
        <v>3970</v>
      </c>
    </row>
    <row r="2430" spans="1:1">
      <c r="A2430" t="s">
        <v>3971</v>
      </c>
    </row>
    <row r="2431" spans="1:1">
      <c r="A2431" t="s">
        <v>3972</v>
      </c>
    </row>
    <row r="2432" spans="1:1">
      <c r="A2432" t="s">
        <v>3973</v>
      </c>
    </row>
    <row r="2433" spans="1:1">
      <c r="A2433" t="s">
        <v>3974</v>
      </c>
    </row>
    <row r="2434" spans="1:1">
      <c r="A2434" t="s">
        <v>3975</v>
      </c>
    </row>
    <row r="2435" spans="1:1">
      <c r="A2435" t="s">
        <v>3976</v>
      </c>
    </row>
    <row r="2436" spans="1:1">
      <c r="A2436" t="s">
        <v>3977</v>
      </c>
    </row>
    <row r="2437" spans="1:1">
      <c r="A2437" t="s">
        <v>3978</v>
      </c>
    </row>
    <row r="2438" spans="1:1">
      <c r="A2438" t="s">
        <v>3979</v>
      </c>
    </row>
    <row r="2439" spans="1:1">
      <c r="A2439" t="s">
        <v>3980</v>
      </c>
    </row>
    <row r="2440" spans="1:1">
      <c r="A2440" t="s">
        <v>3981</v>
      </c>
    </row>
    <row r="2441" spans="1:1">
      <c r="A2441" t="s">
        <v>3982</v>
      </c>
    </row>
    <row r="2442" spans="1:1">
      <c r="A2442" t="s">
        <v>3983</v>
      </c>
    </row>
    <row r="2443" spans="1:1">
      <c r="A2443" t="s">
        <v>3984</v>
      </c>
    </row>
    <row r="2444" spans="1:1">
      <c r="A2444" t="s">
        <v>3985</v>
      </c>
    </row>
    <row r="2445" spans="1:1">
      <c r="A2445" t="s">
        <v>3986</v>
      </c>
    </row>
    <row r="2446" spans="1:1">
      <c r="A2446" t="s">
        <v>3987</v>
      </c>
    </row>
    <row r="2447" spans="1:1">
      <c r="A2447" t="s">
        <v>3988</v>
      </c>
    </row>
    <row r="2448" spans="1:1">
      <c r="A2448" t="s">
        <v>3989</v>
      </c>
    </row>
    <row r="2449" spans="1:1">
      <c r="A2449" t="s">
        <v>3990</v>
      </c>
    </row>
    <row r="2450" spans="1:1">
      <c r="A2450" t="s">
        <v>3991</v>
      </c>
    </row>
    <row r="2451" spans="1:1">
      <c r="A2451" t="s">
        <v>3992</v>
      </c>
    </row>
    <row r="2452" spans="1:1">
      <c r="A2452" t="s">
        <v>3993</v>
      </c>
    </row>
    <row r="2453" spans="1:1">
      <c r="A2453" t="s">
        <v>3994</v>
      </c>
    </row>
    <row r="2454" spans="1:1">
      <c r="A2454" t="s">
        <v>3995</v>
      </c>
    </row>
    <row r="2455" spans="1:1">
      <c r="A2455" t="s">
        <v>3996</v>
      </c>
    </row>
    <row r="2456" spans="1:1">
      <c r="A2456" t="s">
        <v>3997</v>
      </c>
    </row>
    <row r="2457" spans="1:1">
      <c r="A2457" t="s">
        <v>3998</v>
      </c>
    </row>
    <row r="2458" spans="1:1">
      <c r="A2458" t="s">
        <v>3999</v>
      </c>
    </row>
    <row r="2459" spans="1:1">
      <c r="A2459" t="s">
        <v>4000</v>
      </c>
    </row>
    <row r="2460" spans="1:1">
      <c r="A2460" t="s">
        <v>4001</v>
      </c>
    </row>
    <row r="2461" spans="1:1">
      <c r="A2461" t="s">
        <v>4002</v>
      </c>
    </row>
    <row r="2462" spans="1:1">
      <c r="A2462" t="s">
        <v>4003</v>
      </c>
    </row>
    <row r="2463" spans="1:1">
      <c r="A2463" t="s">
        <v>4004</v>
      </c>
    </row>
    <row r="2464" spans="1:1">
      <c r="A2464" t="s">
        <v>4005</v>
      </c>
    </row>
    <row r="2465" spans="1:1">
      <c r="A2465" t="s">
        <v>4006</v>
      </c>
    </row>
    <row r="2466" spans="1:1">
      <c r="A2466" t="s">
        <v>4007</v>
      </c>
    </row>
    <row r="2467" spans="1:1">
      <c r="A2467" t="s">
        <v>4008</v>
      </c>
    </row>
    <row r="2468" spans="1:1">
      <c r="A2468" t="s">
        <v>4009</v>
      </c>
    </row>
    <row r="2469" spans="1:1">
      <c r="A2469" t="s">
        <v>4010</v>
      </c>
    </row>
    <row r="2470" spans="1:1">
      <c r="A2470" t="s">
        <v>4011</v>
      </c>
    </row>
    <row r="2471" spans="1:1">
      <c r="A2471" t="s">
        <v>4012</v>
      </c>
    </row>
    <row r="2472" spans="1:1">
      <c r="A2472" t="s">
        <v>4013</v>
      </c>
    </row>
    <row r="2473" spans="1:1">
      <c r="A2473" t="s">
        <v>4014</v>
      </c>
    </row>
    <row r="2474" spans="1:1">
      <c r="A2474" t="s">
        <v>4015</v>
      </c>
    </row>
    <row r="2475" spans="1:1">
      <c r="A2475" t="s">
        <v>4016</v>
      </c>
    </row>
    <row r="2476" spans="1:1">
      <c r="A2476" t="s">
        <v>4017</v>
      </c>
    </row>
    <row r="2477" spans="1:1">
      <c r="A2477" t="s">
        <v>4018</v>
      </c>
    </row>
    <row r="2478" spans="1:1">
      <c r="A2478" t="s">
        <v>4019</v>
      </c>
    </row>
    <row r="2479" spans="1:1">
      <c r="A2479" t="s">
        <v>4020</v>
      </c>
    </row>
    <row r="2480" spans="1:1">
      <c r="A2480" t="s">
        <v>4021</v>
      </c>
    </row>
    <row r="2481" spans="1:1">
      <c r="A2481" t="s">
        <v>4022</v>
      </c>
    </row>
    <row r="2482" spans="1:1">
      <c r="A2482" t="s">
        <v>4023</v>
      </c>
    </row>
    <row r="2483" spans="1:1">
      <c r="A2483" t="s">
        <v>4024</v>
      </c>
    </row>
    <row r="2484" spans="1:1">
      <c r="A2484" t="s">
        <v>4025</v>
      </c>
    </row>
    <row r="2485" spans="1:1">
      <c r="A2485" t="s">
        <v>4026</v>
      </c>
    </row>
    <row r="2486" spans="1:1">
      <c r="A2486" t="s">
        <v>4027</v>
      </c>
    </row>
    <row r="2487" spans="1:1">
      <c r="A2487" t="s">
        <v>4028</v>
      </c>
    </row>
    <row r="2488" spans="1:1">
      <c r="A2488" t="s">
        <v>4029</v>
      </c>
    </row>
    <row r="2489" spans="1:1">
      <c r="A2489" t="s">
        <v>4030</v>
      </c>
    </row>
    <row r="2490" spans="1:1">
      <c r="A2490" t="s">
        <v>4031</v>
      </c>
    </row>
    <row r="2491" spans="1:1">
      <c r="A2491" t="s">
        <v>4032</v>
      </c>
    </row>
    <row r="2492" spans="1:1">
      <c r="A2492" t="s">
        <v>4033</v>
      </c>
    </row>
    <row r="2493" spans="1:1">
      <c r="A2493" t="s">
        <v>4034</v>
      </c>
    </row>
    <row r="2494" spans="1:1">
      <c r="A2494" t="s">
        <v>4035</v>
      </c>
    </row>
    <row r="2495" spans="1:1">
      <c r="A2495" t="s">
        <v>4036</v>
      </c>
    </row>
    <row r="2496" spans="1:1">
      <c r="A2496" t="s">
        <v>4037</v>
      </c>
    </row>
    <row r="2497" spans="1:1">
      <c r="A2497" t="s">
        <v>4038</v>
      </c>
    </row>
    <row r="2498" spans="1:1">
      <c r="A2498" t="s">
        <v>4039</v>
      </c>
    </row>
    <row r="2499" spans="1:1">
      <c r="A2499" t="s">
        <v>4040</v>
      </c>
    </row>
    <row r="2500" spans="1:1">
      <c r="A2500" t="s">
        <v>4041</v>
      </c>
    </row>
    <row r="2501" spans="1:1">
      <c r="A2501" t="s">
        <v>4042</v>
      </c>
    </row>
    <row r="2502" spans="1:1">
      <c r="A2502" t="s">
        <v>4043</v>
      </c>
    </row>
    <row r="2503" spans="1:1">
      <c r="A2503" t="s">
        <v>4044</v>
      </c>
    </row>
    <row r="2504" spans="1:1">
      <c r="A2504" t="s">
        <v>4045</v>
      </c>
    </row>
    <row r="2505" spans="1:1">
      <c r="A2505" t="s">
        <v>4046</v>
      </c>
    </row>
    <row r="2506" spans="1:1">
      <c r="A2506" t="s">
        <v>4047</v>
      </c>
    </row>
    <row r="2507" spans="1:1">
      <c r="A2507" t="s">
        <v>4048</v>
      </c>
    </row>
    <row r="2508" spans="1:1">
      <c r="A2508" t="s">
        <v>4049</v>
      </c>
    </row>
    <row r="2509" spans="1:1">
      <c r="A2509" t="s">
        <v>4050</v>
      </c>
    </row>
    <row r="2510" spans="1:1">
      <c r="A2510" t="s">
        <v>4051</v>
      </c>
    </row>
    <row r="2511" spans="1:1">
      <c r="A2511" t="s">
        <v>4052</v>
      </c>
    </row>
    <row r="2512" spans="1:1">
      <c r="A2512" t="s">
        <v>4053</v>
      </c>
    </row>
    <row r="2513" spans="1:1">
      <c r="A2513" t="s">
        <v>4054</v>
      </c>
    </row>
    <row r="2514" spans="1:1">
      <c r="A2514" t="s">
        <v>4055</v>
      </c>
    </row>
    <row r="2515" spans="1:1">
      <c r="A2515" t="s">
        <v>4056</v>
      </c>
    </row>
    <row r="2516" spans="1:1">
      <c r="A2516" t="s">
        <v>4057</v>
      </c>
    </row>
    <row r="2517" spans="1:1">
      <c r="A2517" t="s">
        <v>4058</v>
      </c>
    </row>
    <row r="2518" spans="1:1">
      <c r="A2518" t="s">
        <v>4059</v>
      </c>
    </row>
    <row r="2519" spans="1:1">
      <c r="A2519" t="s">
        <v>4060</v>
      </c>
    </row>
    <row r="2520" spans="1:1">
      <c r="A2520" t="s">
        <v>4061</v>
      </c>
    </row>
    <row r="2521" spans="1:1">
      <c r="A2521" t="s">
        <v>4062</v>
      </c>
    </row>
    <row r="2522" spans="1:1">
      <c r="A2522" t="s">
        <v>4063</v>
      </c>
    </row>
    <row r="2523" spans="1:1">
      <c r="A2523" t="s">
        <v>4064</v>
      </c>
    </row>
    <row r="2524" spans="1:1">
      <c r="A2524" t="s">
        <v>4065</v>
      </c>
    </row>
    <row r="2525" spans="1:1">
      <c r="A2525" t="s">
        <v>4066</v>
      </c>
    </row>
    <row r="2526" spans="1:1">
      <c r="A2526" t="s">
        <v>4067</v>
      </c>
    </row>
    <row r="2527" spans="1:1">
      <c r="A2527" t="s">
        <v>4068</v>
      </c>
    </row>
    <row r="2528" spans="1:1">
      <c r="A2528" t="s">
        <v>4069</v>
      </c>
    </row>
    <row r="2529" spans="1:1">
      <c r="A2529" t="s">
        <v>4070</v>
      </c>
    </row>
    <row r="2530" spans="1:1">
      <c r="A2530" t="s">
        <v>4071</v>
      </c>
    </row>
    <row r="2531" spans="1:1">
      <c r="A2531" t="s">
        <v>4072</v>
      </c>
    </row>
    <row r="2532" spans="1:1">
      <c r="A2532" t="s">
        <v>4073</v>
      </c>
    </row>
    <row r="2533" spans="1:1">
      <c r="A2533" t="s">
        <v>4074</v>
      </c>
    </row>
    <row r="2534" spans="1:1">
      <c r="A2534" t="s">
        <v>4075</v>
      </c>
    </row>
    <row r="2535" spans="1:1">
      <c r="A2535" t="s">
        <v>4076</v>
      </c>
    </row>
    <row r="2536" spans="1:1">
      <c r="A2536" t="s">
        <v>4077</v>
      </c>
    </row>
    <row r="2537" spans="1:1">
      <c r="A2537" t="s">
        <v>4078</v>
      </c>
    </row>
    <row r="2538" spans="1:1">
      <c r="A2538" t="s">
        <v>4079</v>
      </c>
    </row>
    <row r="2539" spans="1:1">
      <c r="A2539" t="s">
        <v>4080</v>
      </c>
    </row>
    <row r="2540" spans="1:1">
      <c r="A2540" t="s">
        <v>4081</v>
      </c>
    </row>
    <row r="2541" spans="1:1">
      <c r="A2541" t="s">
        <v>4082</v>
      </c>
    </row>
    <row r="2542" spans="1:1">
      <c r="A2542" t="s">
        <v>4083</v>
      </c>
    </row>
    <row r="2543" spans="1:1">
      <c r="A2543" t="s">
        <v>4084</v>
      </c>
    </row>
    <row r="2544" spans="1:1">
      <c r="A2544" t="s">
        <v>4085</v>
      </c>
    </row>
    <row r="2545" spans="1:1">
      <c r="A2545" t="s">
        <v>4086</v>
      </c>
    </row>
    <row r="2546" spans="1:1">
      <c r="A2546" t="s">
        <v>4087</v>
      </c>
    </row>
    <row r="2547" spans="1:1">
      <c r="A2547" t="s">
        <v>4088</v>
      </c>
    </row>
    <row r="2548" spans="1:1">
      <c r="A2548" t="s">
        <v>4089</v>
      </c>
    </row>
    <row r="2549" spans="1:1">
      <c r="A2549" t="s">
        <v>4090</v>
      </c>
    </row>
    <row r="2550" spans="1:1">
      <c r="A2550" t="s">
        <v>4091</v>
      </c>
    </row>
    <row r="2551" spans="1:1">
      <c r="A2551" t="s">
        <v>4092</v>
      </c>
    </row>
    <row r="2552" spans="1:1">
      <c r="A2552" t="s">
        <v>4093</v>
      </c>
    </row>
    <row r="2553" spans="1:1">
      <c r="A2553" t="s">
        <v>4094</v>
      </c>
    </row>
    <row r="2554" spans="1:1">
      <c r="A2554" t="s">
        <v>4095</v>
      </c>
    </row>
    <row r="2555" spans="1:1">
      <c r="A2555" t="s">
        <v>4096</v>
      </c>
    </row>
    <row r="2556" spans="1:1">
      <c r="A2556" t="s">
        <v>4097</v>
      </c>
    </row>
    <row r="2557" spans="1:1">
      <c r="A2557" t="s">
        <v>4098</v>
      </c>
    </row>
    <row r="2558" spans="1:1">
      <c r="A2558" t="s">
        <v>4099</v>
      </c>
    </row>
    <row r="2559" spans="1:1">
      <c r="A2559" t="s">
        <v>4100</v>
      </c>
    </row>
    <row r="2560" spans="1:1">
      <c r="A2560" t="s">
        <v>4101</v>
      </c>
    </row>
    <row r="2561" spans="1:1">
      <c r="A2561" t="s">
        <v>4102</v>
      </c>
    </row>
    <row r="2562" spans="1:1">
      <c r="A2562" t="s">
        <v>4103</v>
      </c>
    </row>
    <row r="2563" spans="1:1">
      <c r="A2563" t="s">
        <v>4104</v>
      </c>
    </row>
    <row r="2564" spans="1:1">
      <c r="A2564" t="s">
        <v>4105</v>
      </c>
    </row>
    <row r="2565" spans="1:1">
      <c r="A2565" t="s">
        <v>4106</v>
      </c>
    </row>
    <row r="2566" spans="1:1">
      <c r="A2566" t="s">
        <v>4107</v>
      </c>
    </row>
    <row r="2567" spans="1:1">
      <c r="A2567" t="s">
        <v>4108</v>
      </c>
    </row>
    <row r="2568" spans="1:1">
      <c r="A2568" t="s">
        <v>4109</v>
      </c>
    </row>
    <row r="2569" spans="1:1">
      <c r="A2569" t="s">
        <v>4110</v>
      </c>
    </row>
    <row r="2570" spans="1:1">
      <c r="A2570" t="s">
        <v>4111</v>
      </c>
    </row>
    <row r="2571" spans="1:1">
      <c r="A2571" t="s">
        <v>4112</v>
      </c>
    </row>
    <row r="2572" spans="1:1">
      <c r="A2572" t="s">
        <v>4113</v>
      </c>
    </row>
    <row r="2573" spans="1:1">
      <c r="A2573" t="s">
        <v>4114</v>
      </c>
    </row>
    <row r="2574" spans="1:1">
      <c r="A2574" t="s">
        <v>4115</v>
      </c>
    </row>
    <row r="2575" spans="1:1">
      <c r="A2575" t="s">
        <v>4116</v>
      </c>
    </row>
    <row r="2576" spans="1:1">
      <c r="A2576" t="s">
        <v>4117</v>
      </c>
    </row>
    <row r="2577" spans="1:1">
      <c r="A2577" t="s">
        <v>4118</v>
      </c>
    </row>
    <row r="2578" spans="1:1">
      <c r="A2578" t="s">
        <v>4119</v>
      </c>
    </row>
    <row r="2579" spans="1:1">
      <c r="A2579" t="s">
        <v>4120</v>
      </c>
    </row>
    <row r="2580" spans="1:1">
      <c r="A2580" t="s">
        <v>4121</v>
      </c>
    </row>
    <row r="2581" spans="1:1">
      <c r="A2581" t="s">
        <v>4122</v>
      </c>
    </row>
    <row r="2582" spans="1:1">
      <c r="A2582" t="s">
        <v>4123</v>
      </c>
    </row>
    <row r="2583" spans="1:1">
      <c r="A2583" t="s">
        <v>4124</v>
      </c>
    </row>
    <row r="2584" spans="1:1">
      <c r="A2584" t="s">
        <v>4125</v>
      </c>
    </row>
    <row r="2585" spans="1:1">
      <c r="A2585" t="s">
        <v>4126</v>
      </c>
    </row>
    <row r="2586" spans="1:1">
      <c r="A2586" t="s">
        <v>4127</v>
      </c>
    </row>
    <row r="2587" spans="1:1">
      <c r="A2587" t="s">
        <v>4128</v>
      </c>
    </row>
    <row r="2588" spans="1:1">
      <c r="A2588" t="s">
        <v>4129</v>
      </c>
    </row>
    <row r="2589" spans="1:1">
      <c r="A2589" t="s">
        <v>4130</v>
      </c>
    </row>
    <row r="2590" spans="1:1">
      <c r="A2590" t="s">
        <v>4131</v>
      </c>
    </row>
    <row r="2591" spans="1:1">
      <c r="A2591" t="s">
        <v>4132</v>
      </c>
    </row>
    <row r="2592" spans="1:1">
      <c r="A2592" t="s">
        <v>4133</v>
      </c>
    </row>
    <row r="2593" spans="1:1">
      <c r="A2593" t="s">
        <v>4134</v>
      </c>
    </row>
    <row r="2594" spans="1:1">
      <c r="A2594" t="s">
        <v>4135</v>
      </c>
    </row>
    <row r="2595" spans="1:1">
      <c r="A2595" t="s">
        <v>4136</v>
      </c>
    </row>
    <row r="2596" spans="1:1">
      <c r="A2596" t="s">
        <v>4137</v>
      </c>
    </row>
    <row r="2597" spans="1:1">
      <c r="A2597" t="s">
        <v>4138</v>
      </c>
    </row>
    <row r="2598" spans="1:1">
      <c r="A2598" t="s">
        <v>4139</v>
      </c>
    </row>
    <row r="2599" spans="1:1">
      <c r="A2599" t="s">
        <v>4140</v>
      </c>
    </row>
    <row r="2600" spans="1:1">
      <c r="A2600" t="s">
        <v>4141</v>
      </c>
    </row>
    <row r="2601" spans="1:1">
      <c r="A2601" t="s">
        <v>4142</v>
      </c>
    </row>
    <row r="2602" spans="1:1">
      <c r="A2602" t="s">
        <v>4143</v>
      </c>
    </row>
    <row r="2603" spans="1:1">
      <c r="A2603" t="s">
        <v>4144</v>
      </c>
    </row>
    <row r="2604" spans="1:1">
      <c r="A2604" t="s">
        <v>4145</v>
      </c>
    </row>
    <row r="2605" spans="1:1">
      <c r="A2605" t="s">
        <v>4146</v>
      </c>
    </row>
    <row r="2606" spans="1:1">
      <c r="A2606" t="s">
        <v>4147</v>
      </c>
    </row>
    <row r="2607" spans="1:1">
      <c r="A2607" t="s">
        <v>4148</v>
      </c>
    </row>
    <row r="2608" spans="1:1">
      <c r="A2608" t="s">
        <v>4149</v>
      </c>
    </row>
    <row r="2609" spans="1:1">
      <c r="A2609" t="s">
        <v>4150</v>
      </c>
    </row>
    <row r="2610" spans="1:1">
      <c r="A2610" t="s">
        <v>4151</v>
      </c>
    </row>
    <row r="2611" spans="1:1">
      <c r="A2611" t="s">
        <v>4152</v>
      </c>
    </row>
    <row r="2612" spans="1:1">
      <c r="A2612" t="s">
        <v>4153</v>
      </c>
    </row>
    <row r="2613" spans="1:1">
      <c r="A2613" t="s">
        <v>4154</v>
      </c>
    </row>
    <row r="2614" spans="1:1">
      <c r="A2614" t="s">
        <v>4155</v>
      </c>
    </row>
    <row r="2615" spans="1:1">
      <c r="A2615" t="s">
        <v>4156</v>
      </c>
    </row>
    <row r="2616" spans="1:1">
      <c r="A2616" t="s">
        <v>4157</v>
      </c>
    </row>
    <row r="2617" spans="1:1">
      <c r="A2617" t="s">
        <v>4158</v>
      </c>
    </row>
    <row r="2618" spans="1:1">
      <c r="A2618" t="s">
        <v>4159</v>
      </c>
    </row>
    <row r="2619" spans="1:1">
      <c r="A2619" t="s">
        <v>4160</v>
      </c>
    </row>
    <row r="2620" spans="1:1">
      <c r="A2620" t="s">
        <v>4161</v>
      </c>
    </row>
    <row r="2621" spans="1:1">
      <c r="A2621" t="s">
        <v>4162</v>
      </c>
    </row>
    <row r="2622" spans="1:1">
      <c r="A2622" t="s">
        <v>4163</v>
      </c>
    </row>
    <row r="2623" spans="1:1">
      <c r="A2623" t="s">
        <v>4164</v>
      </c>
    </row>
    <row r="2624" spans="1:1">
      <c r="A2624" t="s">
        <v>4165</v>
      </c>
    </row>
    <row r="2625" spans="1:1">
      <c r="A2625" t="s">
        <v>4166</v>
      </c>
    </row>
    <row r="2626" spans="1:1">
      <c r="A2626" t="s">
        <v>4167</v>
      </c>
    </row>
    <row r="2627" spans="1:1">
      <c r="A2627" t="s">
        <v>4168</v>
      </c>
    </row>
    <row r="2628" spans="1:1">
      <c r="A2628" t="s">
        <v>4169</v>
      </c>
    </row>
    <row r="2629" spans="1:1">
      <c r="A2629" t="s">
        <v>4170</v>
      </c>
    </row>
    <row r="2630" spans="1:1">
      <c r="A2630" t="s">
        <v>4171</v>
      </c>
    </row>
    <row r="2631" spans="1:1">
      <c r="A2631" t="s">
        <v>4172</v>
      </c>
    </row>
    <row r="2632" spans="1:1">
      <c r="A2632" t="s">
        <v>4173</v>
      </c>
    </row>
    <row r="2633" spans="1:1">
      <c r="A2633" t="s">
        <v>4174</v>
      </c>
    </row>
    <row r="2634" spans="1:1">
      <c r="A2634" t="s">
        <v>4175</v>
      </c>
    </row>
    <row r="2635" spans="1:1">
      <c r="A2635" t="s">
        <v>4176</v>
      </c>
    </row>
    <row r="2636" spans="1:1">
      <c r="A2636" t="s">
        <v>4177</v>
      </c>
    </row>
    <row r="2637" spans="1:1">
      <c r="A2637" t="s">
        <v>4178</v>
      </c>
    </row>
    <row r="2638" spans="1:1">
      <c r="A2638" t="s">
        <v>4179</v>
      </c>
    </row>
    <row r="2639" spans="1:1">
      <c r="A2639" t="s">
        <v>4180</v>
      </c>
    </row>
    <row r="2640" spans="1:1">
      <c r="A2640" t="s">
        <v>4181</v>
      </c>
    </row>
    <row r="2641" spans="1:1">
      <c r="A2641" t="s">
        <v>4182</v>
      </c>
    </row>
    <row r="2642" spans="1:1">
      <c r="A2642" t="s">
        <v>4183</v>
      </c>
    </row>
    <row r="2643" spans="1:1">
      <c r="A2643" t="s">
        <v>4184</v>
      </c>
    </row>
    <row r="2644" spans="1:1">
      <c r="A2644" t="s">
        <v>4185</v>
      </c>
    </row>
    <row r="2645" spans="1:1">
      <c r="A2645" t="s">
        <v>4186</v>
      </c>
    </row>
    <row r="2646" spans="1:1">
      <c r="A2646" t="s">
        <v>4187</v>
      </c>
    </row>
    <row r="2647" spans="1:1">
      <c r="A2647" t="s">
        <v>4188</v>
      </c>
    </row>
    <row r="2648" spans="1:1">
      <c r="A2648" t="s">
        <v>4189</v>
      </c>
    </row>
    <row r="2649" spans="1:1">
      <c r="A2649" t="s">
        <v>4190</v>
      </c>
    </row>
    <row r="2650" spans="1:1">
      <c r="A2650" t="s">
        <v>4191</v>
      </c>
    </row>
    <row r="2651" spans="1:1">
      <c r="A2651" t="s">
        <v>4192</v>
      </c>
    </row>
    <row r="2652" spans="1:1">
      <c r="A2652" t="s">
        <v>4193</v>
      </c>
    </row>
    <row r="2653" spans="1:1">
      <c r="A2653" t="s">
        <v>4194</v>
      </c>
    </row>
    <row r="2654" spans="1:1">
      <c r="A2654" t="s">
        <v>4195</v>
      </c>
    </row>
    <row r="2655" spans="1:1">
      <c r="A2655" t="s">
        <v>4196</v>
      </c>
    </row>
    <row r="2656" spans="1:1">
      <c r="A2656" t="s">
        <v>4197</v>
      </c>
    </row>
    <row r="2657" spans="1:1">
      <c r="A2657" t="s">
        <v>4198</v>
      </c>
    </row>
    <row r="2658" spans="1:1">
      <c r="A2658" t="s">
        <v>4199</v>
      </c>
    </row>
    <row r="2659" spans="1:1">
      <c r="A2659" t="s">
        <v>4200</v>
      </c>
    </row>
    <row r="2660" spans="1:1">
      <c r="A2660" t="s">
        <v>4201</v>
      </c>
    </row>
    <row r="2661" spans="1:1">
      <c r="A2661" t="s">
        <v>4202</v>
      </c>
    </row>
    <row r="2662" spans="1:1">
      <c r="A2662" t="s">
        <v>4203</v>
      </c>
    </row>
    <row r="2663" spans="1:1">
      <c r="A2663" t="s">
        <v>4204</v>
      </c>
    </row>
    <row r="2664" spans="1:1">
      <c r="A2664" t="s">
        <v>4205</v>
      </c>
    </row>
    <row r="2665" spans="1:1">
      <c r="A2665" t="s">
        <v>4206</v>
      </c>
    </row>
    <row r="2666" spans="1:1">
      <c r="A2666" t="s">
        <v>4207</v>
      </c>
    </row>
    <row r="2667" spans="1:1">
      <c r="A2667" t="s">
        <v>4208</v>
      </c>
    </row>
    <row r="2668" spans="1:1">
      <c r="A2668" t="s">
        <v>4209</v>
      </c>
    </row>
    <row r="2669" spans="1:1">
      <c r="A2669" t="s">
        <v>4210</v>
      </c>
    </row>
    <row r="2670" spans="1:1">
      <c r="A2670" t="s">
        <v>4211</v>
      </c>
    </row>
    <row r="2671" spans="1:1">
      <c r="A2671" t="s">
        <v>4212</v>
      </c>
    </row>
    <row r="2672" spans="1:1">
      <c r="A2672" t="s">
        <v>4213</v>
      </c>
    </row>
    <row r="2673" spans="1:1">
      <c r="A2673" t="s">
        <v>4214</v>
      </c>
    </row>
    <row r="2674" spans="1:1">
      <c r="A2674" t="s">
        <v>4215</v>
      </c>
    </row>
    <row r="2675" spans="1:1">
      <c r="A2675" t="s">
        <v>4216</v>
      </c>
    </row>
    <row r="2676" spans="1:1">
      <c r="A2676" t="s">
        <v>4217</v>
      </c>
    </row>
    <row r="2677" spans="1:1">
      <c r="A2677" t="s">
        <v>4218</v>
      </c>
    </row>
    <row r="2678" spans="1:1">
      <c r="A2678" t="s">
        <v>4219</v>
      </c>
    </row>
    <row r="2679" spans="1:1">
      <c r="A2679" t="s">
        <v>4220</v>
      </c>
    </row>
    <row r="2680" spans="1:1">
      <c r="A2680" t="s">
        <v>4221</v>
      </c>
    </row>
    <row r="2681" spans="1:1">
      <c r="A2681" t="s">
        <v>4222</v>
      </c>
    </row>
    <row r="2682" spans="1:1">
      <c r="A2682" t="s">
        <v>4223</v>
      </c>
    </row>
    <row r="2683" spans="1:1">
      <c r="A2683" t="s">
        <v>4224</v>
      </c>
    </row>
    <row r="2684" spans="1:1">
      <c r="A2684" t="s">
        <v>4225</v>
      </c>
    </row>
    <row r="2685" spans="1:1">
      <c r="A2685" t="s">
        <v>4226</v>
      </c>
    </row>
    <row r="2686" spans="1:1">
      <c r="A2686" t="s">
        <v>4227</v>
      </c>
    </row>
    <row r="2687" spans="1:1">
      <c r="A2687" t="s">
        <v>4228</v>
      </c>
    </row>
    <row r="2688" spans="1:1">
      <c r="A2688" t="s">
        <v>4229</v>
      </c>
    </row>
    <row r="2689" spans="1:1">
      <c r="A2689" t="s">
        <v>4230</v>
      </c>
    </row>
    <row r="2690" spans="1:1">
      <c r="A2690" t="s">
        <v>4231</v>
      </c>
    </row>
    <row r="2691" spans="1:1">
      <c r="A2691" t="s">
        <v>4232</v>
      </c>
    </row>
    <row r="2692" spans="1:1">
      <c r="A2692" t="s">
        <v>4233</v>
      </c>
    </row>
    <row r="2693" spans="1:1">
      <c r="A2693" t="s">
        <v>4234</v>
      </c>
    </row>
    <row r="2694" spans="1:1">
      <c r="A2694" t="s">
        <v>4235</v>
      </c>
    </row>
    <row r="2695" spans="1:1">
      <c r="A2695" t="s">
        <v>4236</v>
      </c>
    </row>
    <row r="2696" spans="1:1">
      <c r="A2696" t="s">
        <v>4237</v>
      </c>
    </row>
    <row r="2697" spans="1:1">
      <c r="A2697" t="s">
        <v>4238</v>
      </c>
    </row>
    <row r="2698" spans="1:1">
      <c r="A2698" t="s">
        <v>4239</v>
      </c>
    </row>
    <row r="2699" spans="1:1">
      <c r="A2699" t="s">
        <v>4240</v>
      </c>
    </row>
    <row r="2700" spans="1:1">
      <c r="A2700" t="s">
        <v>4241</v>
      </c>
    </row>
    <row r="2701" spans="1:1">
      <c r="A2701" t="s">
        <v>4242</v>
      </c>
    </row>
    <row r="2702" spans="1:1">
      <c r="A2702" t="s">
        <v>4243</v>
      </c>
    </row>
    <row r="2703" spans="1:1">
      <c r="A2703" t="s">
        <v>4244</v>
      </c>
    </row>
    <row r="2704" spans="1:1">
      <c r="A2704" t="s">
        <v>4245</v>
      </c>
    </row>
    <row r="2705" spans="1:1">
      <c r="A2705" t="s">
        <v>4246</v>
      </c>
    </row>
    <row r="2706" spans="1:1">
      <c r="A2706" t="s">
        <v>4247</v>
      </c>
    </row>
    <row r="2707" spans="1:1">
      <c r="A2707" t="s">
        <v>4248</v>
      </c>
    </row>
    <row r="2708" spans="1:1">
      <c r="A2708" t="s">
        <v>4249</v>
      </c>
    </row>
    <row r="2709" spans="1:1">
      <c r="A2709" t="s">
        <v>4250</v>
      </c>
    </row>
    <row r="2710" spans="1:1">
      <c r="A2710" t="s">
        <v>4251</v>
      </c>
    </row>
    <row r="2711" spans="1:1">
      <c r="A2711" t="s">
        <v>4252</v>
      </c>
    </row>
    <row r="2712" spans="1:1">
      <c r="A2712" t="s">
        <v>4253</v>
      </c>
    </row>
    <row r="2713" spans="1:1">
      <c r="A2713" t="s">
        <v>4254</v>
      </c>
    </row>
    <row r="2714" spans="1:1">
      <c r="A2714" t="s">
        <v>4255</v>
      </c>
    </row>
    <row r="2715" spans="1:1">
      <c r="A2715" t="s">
        <v>4256</v>
      </c>
    </row>
    <row r="2716" spans="1:1">
      <c r="A2716" t="s">
        <v>4257</v>
      </c>
    </row>
    <row r="2717" spans="1:1">
      <c r="A2717" t="s">
        <v>4258</v>
      </c>
    </row>
    <row r="2718" spans="1:1">
      <c r="A2718" t="s">
        <v>4259</v>
      </c>
    </row>
    <row r="2719" spans="1:1">
      <c r="A2719" t="s">
        <v>4260</v>
      </c>
    </row>
    <row r="2720" spans="1:1">
      <c r="A2720" t="s">
        <v>4261</v>
      </c>
    </row>
    <row r="2721" spans="1:1">
      <c r="A2721" t="s">
        <v>4262</v>
      </c>
    </row>
    <row r="2722" spans="1:1">
      <c r="A2722" t="s">
        <v>4263</v>
      </c>
    </row>
    <row r="2723" spans="1:1">
      <c r="A2723" t="s">
        <v>4264</v>
      </c>
    </row>
    <row r="2724" spans="1:1">
      <c r="A2724" t="s">
        <v>4265</v>
      </c>
    </row>
    <row r="2725" spans="1:1">
      <c r="A2725" t="s">
        <v>4266</v>
      </c>
    </row>
    <row r="2726" spans="1:1">
      <c r="A2726" t="s">
        <v>4267</v>
      </c>
    </row>
    <row r="2727" spans="1:1">
      <c r="A2727" t="s">
        <v>4268</v>
      </c>
    </row>
    <row r="2728" spans="1:1">
      <c r="A2728" t="s">
        <v>4269</v>
      </c>
    </row>
    <row r="2729" spans="1:1">
      <c r="A2729" t="s">
        <v>4270</v>
      </c>
    </row>
    <row r="2730" spans="1:1">
      <c r="A2730" t="s">
        <v>4271</v>
      </c>
    </row>
    <row r="2731" spans="1:1">
      <c r="A2731" t="s">
        <v>4272</v>
      </c>
    </row>
    <row r="2732" spans="1:1">
      <c r="A2732" t="s">
        <v>4273</v>
      </c>
    </row>
    <row r="2733" spans="1:1">
      <c r="A2733" t="s">
        <v>4274</v>
      </c>
    </row>
    <row r="2734" spans="1:1">
      <c r="A2734" t="s">
        <v>4275</v>
      </c>
    </row>
    <row r="2735" spans="1:1">
      <c r="A2735" t="s">
        <v>4276</v>
      </c>
    </row>
    <row r="2736" spans="1:1">
      <c r="A2736" t="s">
        <v>4277</v>
      </c>
    </row>
    <row r="2737" spans="1:1">
      <c r="A2737" t="s">
        <v>4278</v>
      </c>
    </row>
    <row r="2738" spans="1:1">
      <c r="A2738" t="s">
        <v>4279</v>
      </c>
    </row>
    <row r="2739" spans="1:1">
      <c r="A2739" t="s">
        <v>4280</v>
      </c>
    </row>
    <row r="2740" spans="1:1">
      <c r="A2740" t="s">
        <v>4281</v>
      </c>
    </row>
    <row r="2741" spans="1:1">
      <c r="A2741" t="s">
        <v>4282</v>
      </c>
    </row>
    <row r="2742" spans="1:1">
      <c r="A2742" t="s">
        <v>4283</v>
      </c>
    </row>
    <row r="2743" spans="1:1">
      <c r="A2743" t="s">
        <v>4284</v>
      </c>
    </row>
    <row r="2744" spans="1:1">
      <c r="A2744" t="s">
        <v>4285</v>
      </c>
    </row>
    <row r="2745" spans="1:1">
      <c r="A2745" t="s">
        <v>4286</v>
      </c>
    </row>
    <row r="2746" spans="1:1">
      <c r="A2746" t="s">
        <v>4287</v>
      </c>
    </row>
    <row r="2747" spans="1:1">
      <c r="A2747" t="s">
        <v>4288</v>
      </c>
    </row>
    <row r="2748" spans="1:1">
      <c r="A2748" t="s">
        <v>4289</v>
      </c>
    </row>
    <row r="2749" spans="1:1">
      <c r="A2749" t="s">
        <v>4290</v>
      </c>
    </row>
    <row r="2750" spans="1:1">
      <c r="A2750" t="s">
        <v>4291</v>
      </c>
    </row>
    <row r="2751" spans="1:1">
      <c r="A2751" t="s">
        <v>4292</v>
      </c>
    </row>
    <row r="2752" spans="1:1">
      <c r="A2752" t="s">
        <v>4293</v>
      </c>
    </row>
    <row r="2753" spans="1:1">
      <c r="A2753" t="s">
        <v>4294</v>
      </c>
    </row>
    <row r="2754" spans="1:1">
      <c r="A2754" t="s">
        <v>4295</v>
      </c>
    </row>
    <row r="2755" spans="1:1">
      <c r="A2755" t="s">
        <v>4296</v>
      </c>
    </row>
    <row r="2756" spans="1:1">
      <c r="A2756" t="s">
        <v>4297</v>
      </c>
    </row>
    <row r="2757" spans="1:1">
      <c r="A2757" t="s">
        <v>4298</v>
      </c>
    </row>
    <row r="2758" spans="1:1">
      <c r="A2758" t="s">
        <v>4299</v>
      </c>
    </row>
    <row r="2759" spans="1:1">
      <c r="A2759" t="s">
        <v>4300</v>
      </c>
    </row>
    <row r="2760" spans="1:1">
      <c r="A2760" t="s">
        <v>4301</v>
      </c>
    </row>
    <row r="2761" spans="1:1">
      <c r="A2761" t="s">
        <v>4302</v>
      </c>
    </row>
    <row r="2762" spans="1:1">
      <c r="A2762" t="s">
        <v>4303</v>
      </c>
    </row>
    <row r="2763" spans="1:1">
      <c r="A2763" t="s">
        <v>4304</v>
      </c>
    </row>
    <row r="2764" spans="1:1">
      <c r="A2764" t="s">
        <v>4305</v>
      </c>
    </row>
    <row r="2765" spans="1:1">
      <c r="A2765" t="s">
        <v>4306</v>
      </c>
    </row>
    <row r="2766" spans="1:1">
      <c r="A2766" t="s">
        <v>4307</v>
      </c>
    </row>
    <row r="2767" spans="1:1">
      <c r="A2767" t="s">
        <v>4308</v>
      </c>
    </row>
    <row r="2768" spans="1:1">
      <c r="A2768" t="s">
        <v>4309</v>
      </c>
    </row>
    <row r="2769" spans="1:1">
      <c r="A2769" t="s">
        <v>4310</v>
      </c>
    </row>
    <row r="2770" spans="1:1">
      <c r="A2770" t="s">
        <v>4311</v>
      </c>
    </row>
    <row r="2771" spans="1:1">
      <c r="A2771" t="s">
        <v>4312</v>
      </c>
    </row>
    <row r="2772" spans="1:1">
      <c r="A2772" t="s">
        <v>4313</v>
      </c>
    </row>
    <row r="2773" spans="1:1">
      <c r="A2773" t="s">
        <v>4314</v>
      </c>
    </row>
    <row r="2774" spans="1:1">
      <c r="A2774" t="s">
        <v>4315</v>
      </c>
    </row>
    <row r="2775" spans="1:1">
      <c r="A2775" t="s">
        <v>4316</v>
      </c>
    </row>
    <row r="2776" spans="1:1">
      <c r="A2776" t="s">
        <v>4317</v>
      </c>
    </row>
    <row r="2777" spans="1:1">
      <c r="A2777" t="s">
        <v>4318</v>
      </c>
    </row>
    <row r="2778" spans="1:1">
      <c r="A2778" t="s">
        <v>4319</v>
      </c>
    </row>
    <row r="2779" spans="1:1">
      <c r="A2779" t="s">
        <v>4320</v>
      </c>
    </row>
    <row r="2780" spans="1:1">
      <c r="A2780" t="s">
        <v>4321</v>
      </c>
    </row>
    <row r="2781" spans="1:1">
      <c r="A2781" t="s">
        <v>4322</v>
      </c>
    </row>
    <row r="2782" spans="1:1">
      <c r="A2782" t="s">
        <v>4323</v>
      </c>
    </row>
    <row r="2783" spans="1:1">
      <c r="A2783" t="s">
        <v>4324</v>
      </c>
    </row>
    <row r="2784" spans="1:1">
      <c r="A2784" t="s">
        <v>4325</v>
      </c>
    </row>
    <row r="2785" spans="1:1">
      <c r="A2785" t="s">
        <v>4326</v>
      </c>
    </row>
    <row r="2786" spans="1:1">
      <c r="A2786" t="s">
        <v>4327</v>
      </c>
    </row>
    <row r="2787" spans="1:1">
      <c r="A2787" t="s">
        <v>4328</v>
      </c>
    </row>
    <row r="2788" spans="1:1">
      <c r="A2788" t="s">
        <v>4329</v>
      </c>
    </row>
    <row r="2789" spans="1:1">
      <c r="A2789" t="s">
        <v>4330</v>
      </c>
    </row>
    <row r="2790" spans="1:1">
      <c r="A2790" t="s">
        <v>4331</v>
      </c>
    </row>
    <row r="2791" spans="1:1">
      <c r="A2791" t="s">
        <v>4332</v>
      </c>
    </row>
    <row r="2792" spans="1:1">
      <c r="A2792" t="s">
        <v>4333</v>
      </c>
    </row>
    <row r="2793" spans="1:1">
      <c r="A2793" t="s">
        <v>4334</v>
      </c>
    </row>
    <row r="2794" spans="1:1">
      <c r="A2794" t="s">
        <v>4335</v>
      </c>
    </row>
    <row r="2795" spans="1:1">
      <c r="A2795" t="s">
        <v>4336</v>
      </c>
    </row>
    <row r="2796" spans="1:1">
      <c r="A2796" t="s">
        <v>4337</v>
      </c>
    </row>
    <row r="2797" spans="1:1">
      <c r="A2797" t="s">
        <v>4338</v>
      </c>
    </row>
    <row r="2798" spans="1:1">
      <c r="A2798" t="s">
        <v>4339</v>
      </c>
    </row>
    <row r="2799" spans="1:1">
      <c r="A2799" t="s">
        <v>4340</v>
      </c>
    </row>
    <row r="2800" spans="1:1">
      <c r="A2800" t="s">
        <v>4341</v>
      </c>
    </row>
    <row r="2801" spans="1:1">
      <c r="A2801" t="s">
        <v>4342</v>
      </c>
    </row>
    <row r="2802" spans="1:1">
      <c r="A2802" t="s">
        <v>4343</v>
      </c>
    </row>
    <row r="2803" spans="1:1">
      <c r="A2803" t="s">
        <v>4344</v>
      </c>
    </row>
    <row r="2804" spans="1:1">
      <c r="A2804" t="s">
        <v>4345</v>
      </c>
    </row>
    <row r="2805" spans="1:1">
      <c r="A2805" t="s">
        <v>4346</v>
      </c>
    </row>
    <row r="2806" spans="1:1">
      <c r="A2806" t="s">
        <v>4347</v>
      </c>
    </row>
    <row r="2807" spans="1:1">
      <c r="A2807" t="s">
        <v>4348</v>
      </c>
    </row>
    <row r="2808" spans="1:1">
      <c r="A2808" t="s">
        <v>4349</v>
      </c>
    </row>
    <row r="2809" spans="1:1">
      <c r="A2809" t="s">
        <v>4350</v>
      </c>
    </row>
    <row r="2810" spans="1:1">
      <c r="A2810" t="s">
        <v>4351</v>
      </c>
    </row>
    <row r="2811" spans="1:1">
      <c r="A2811" t="s">
        <v>4352</v>
      </c>
    </row>
    <row r="2812" spans="1:1">
      <c r="A2812" t="s">
        <v>4353</v>
      </c>
    </row>
    <row r="2813" spans="1:1">
      <c r="A2813" t="s">
        <v>4354</v>
      </c>
    </row>
    <row r="2814" spans="1:1">
      <c r="A2814" t="s">
        <v>4355</v>
      </c>
    </row>
    <row r="2815" spans="1:1">
      <c r="A2815" t="s">
        <v>4356</v>
      </c>
    </row>
    <row r="2816" spans="1:1">
      <c r="A2816" t="s">
        <v>4357</v>
      </c>
    </row>
    <row r="2817" spans="1:1">
      <c r="A2817" t="s">
        <v>4358</v>
      </c>
    </row>
    <row r="2818" spans="1:1">
      <c r="A2818" t="s">
        <v>4359</v>
      </c>
    </row>
    <row r="2819" spans="1:1">
      <c r="A2819" t="s">
        <v>4360</v>
      </c>
    </row>
    <row r="2820" spans="1:1">
      <c r="A2820" t="s">
        <v>4361</v>
      </c>
    </row>
    <row r="2821" spans="1:1">
      <c r="A2821" t="s">
        <v>4362</v>
      </c>
    </row>
    <row r="2822" spans="1:1">
      <c r="A2822" t="s">
        <v>4363</v>
      </c>
    </row>
    <row r="2823" spans="1:1">
      <c r="A2823" t="s">
        <v>4364</v>
      </c>
    </row>
    <row r="2824" spans="1:1">
      <c r="A2824" t="s">
        <v>4365</v>
      </c>
    </row>
    <row r="2825" spans="1:1">
      <c r="A2825" t="s">
        <v>4366</v>
      </c>
    </row>
    <row r="2826" spans="1:1">
      <c r="A2826" t="s">
        <v>4367</v>
      </c>
    </row>
    <row r="2827" spans="1:1">
      <c r="A2827" t="s">
        <v>4368</v>
      </c>
    </row>
    <row r="2828" spans="1:1">
      <c r="A2828" t="s">
        <v>4369</v>
      </c>
    </row>
    <row r="2829" spans="1:1">
      <c r="A2829" t="s">
        <v>4370</v>
      </c>
    </row>
    <row r="2830" spans="1:1">
      <c r="A2830" t="s">
        <v>4371</v>
      </c>
    </row>
    <row r="2831" spans="1:1">
      <c r="A2831" t="s">
        <v>4372</v>
      </c>
    </row>
    <row r="2832" spans="1:1">
      <c r="A2832" t="s">
        <v>4373</v>
      </c>
    </row>
    <row r="2833" spans="1:1">
      <c r="A2833" t="s">
        <v>4374</v>
      </c>
    </row>
    <row r="2834" spans="1:1">
      <c r="A2834" t="s">
        <v>4375</v>
      </c>
    </row>
    <row r="2835" spans="1:1">
      <c r="A2835" t="s">
        <v>4376</v>
      </c>
    </row>
    <row r="2836" spans="1:1">
      <c r="A2836" t="s">
        <v>4377</v>
      </c>
    </row>
    <row r="2837" spans="1:1">
      <c r="A2837" t="s">
        <v>4378</v>
      </c>
    </row>
    <row r="2838" spans="1:1">
      <c r="A2838" t="s">
        <v>4379</v>
      </c>
    </row>
    <row r="2839" spans="1:1">
      <c r="A2839" t="s">
        <v>4380</v>
      </c>
    </row>
    <row r="2840" spans="1:1">
      <c r="A2840" t="s">
        <v>4381</v>
      </c>
    </row>
    <row r="2841" spans="1:1">
      <c r="A2841" t="s">
        <v>4382</v>
      </c>
    </row>
    <row r="2842" spans="1:1">
      <c r="A2842" t="s">
        <v>4383</v>
      </c>
    </row>
    <row r="2843" spans="1:1">
      <c r="A2843" t="s">
        <v>4384</v>
      </c>
    </row>
    <row r="2844" spans="1:1">
      <c r="A2844" t="s">
        <v>4385</v>
      </c>
    </row>
    <row r="2845" spans="1:1">
      <c r="A2845" t="s">
        <v>4386</v>
      </c>
    </row>
    <row r="2846" spans="1:1">
      <c r="A2846" t="s">
        <v>4387</v>
      </c>
    </row>
    <row r="2847" spans="1:1">
      <c r="A2847" t="s">
        <v>4388</v>
      </c>
    </row>
    <row r="2848" spans="1:1">
      <c r="A2848" t="s">
        <v>4389</v>
      </c>
    </row>
    <row r="2849" spans="1:1">
      <c r="A2849" t="s">
        <v>4390</v>
      </c>
    </row>
    <row r="2850" spans="1:1">
      <c r="A2850" t="s">
        <v>4391</v>
      </c>
    </row>
    <row r="2851" spans="1:1">
      <c r="A2851" t="s">
        <v>4392</v>
      </c>
    </row>
    <row r="2852" spans="1:1">
      <c r="A2852" t="s">
        <v>4393</v>
      </c>
    </row>
    <row r="2853" spans="1:1">
      <c r="A2853" t="s">
        <v>4394</v>
      </c>
    </row>
    <row r="2854" spans="1:1">
      <c r="A2854" t="s">
        <v>4395</v>
      </c>
    </row>
    <row r="2855" spans="1:1">
      <c r="A2855" t="s">
        <v>4396</v>
      </c>
    </row>
    <row r="2856" spans="1:1">
      <c r="A2856" t="s">
        <v>4397</v>
      </c>
    </row>
    <row r="2857" spans="1:1">
      <c r="A2857" t="s">
        <v>4398</v>
      </c>
    </row>
    <row r="2858" spans="1:1">
      <c r="A2858" t="s">
        <v>4399</v>
      </c>
    </row>
    <row r="2859" spans="1:1">
      <c r="A2859" t="s">
        <v>4400</v>
      </c>
    </row>
    <row r="2860" spans="1:1">
      <c r="A2860" t="s">
        <v>4401</v>
      </c>
    </row>
    <row r="2861" spans="1:1">
      <c r="A2861" t="s">
        <v>4402</v>
      </c>
    </row>
    <row r="2862" spans="1:1">
      <c r="A2862" t="s">
        <v>4403</v>
      </c>
    </row>
    <row r="2863" spans="1:1">
      <c r="A2863" t="s">
        <v>4404</v>
      </c>
    </row>
    <row r="2864" spans="1:1">
      <c r="A2864" t="s">
        <v>4405</v>
      </c>
    </row>
    <row r="2865" spans="1:1">
      <c r="A2865" t="s">
        <v>4406</v>
      </c>
    </row>
    <row r="2866" spans="1:1">
      <c r="A2866" t="s">
        <v>4407</v>
      </c>
    </row>
    <row r="2867" spans="1:1">
      <c r="A2867" t="s">
        <v>4408</v>
      </c>
    </row>
    <row r="2868" spans="1:1">
      <c r="A2868" t="s">
        <v>4409</v>
      </c>
    </row>
    <row r="2869" spans="1:1">
      <c r="A2869" t="s">
        <v>4410</v>
      </c>
    </row>
    <row r="2870" spans="1:1">
      <c r="A2870" t="s">
        <v>4411</v>
      </c>
    </row>
    <row r="2871" spans="1:1">
      <c r="A2871" t="s">
        <v>4412</v>
      </c>
    </row>
    <row r="2872" spans="1:1">
      <c r="A2872" t="s">
        <v>4413</v>
      </c>
    </row>
    <row r="2873" spans="1:1">
      <c r="A2873" t="s">
        <v>4414</v>
      </c>
    </row>
    <row r="2874" spans="1:1">
      <c r="A2874" t="s">
        <v>4415</v>
      </c>
    </row>
    <row r="2875" spans="1:1">
      <c r="A2875" t="s">
        <v>4416</v>
      </c>
    </row>
    <row r="2876" spans="1:1">
      <c r="A2876" t="s">
        <v>4417</v>
      </c>
    </row>
    <row r="2877" spans="1:1">
      <c r="A2877" t="s">
        <v>4418</v>
      </c>
    </row>
    <row r="2878" spans="1:1">
      <c r="A2878" t="s">
        <v>4419</v>
      </c>
    </row>
    <row r="2879" spans="1:1">
      <c r="A2879" t="s">
        <v>4420</v>
      </c>
    </row>
    <row r="2880" spans="1:1">
      <c r="A2880" t="s">
        <v>4421</v>
      </c>
    </row>
    <row r="2881" spans="1:1">
      <c r="A2881" t="s">
        <v>4422</v>
      </c>
    </row>
    <row r="2882" spans="1:1">
      <c r="A2882" t="s">
        <v>4423</v>
      </c>
    </row>
    <row r="2883" spans="1:1">
      <c r="A2883" t="s">
        <v>4424</v>
      </c>
    </row>
    <row r="2884" spans="1:1">
      <c r="A2884" t="s">
        <v>4425</v>
      </c>
    </row>
    <row r="2885" spans="1:1">
      <c r="A2885" t="s">
        <v>4426</v>
      </c>
    </row>
    <row r="2886" spans="1:1">
      <c r="A2886" t="s">
        <v>4427</v>
      </c>
    </row>
    <row r="2887" spans="1:1">
      <c r="A2887" t="s">
        <v>4428</v>
      </c>
    </row>
    <row r="2888" spans="1:1">
      <c r="A2888" t="s">
        <v>4429</v>
      </c>
    </row>
    <row r="2889" spans="1:1">
      <c r="A2889" t="s">
        <v>4430</v>
      </c>
    </row>
    <row r="2890" spans="1:1">
      <c r="A2890" t="s">
        <v>4431</v>
      </c>
    </row>
    <row r="2891" spans="1:1">
      <c r="A2891" t="s">
        <v>4432</v>
      </c>
    </row>
    <row r="2892" spans="1:1">
      <c r="A2892" t="s">
        <v>4433</v>
      </c>
    </row>
    <row r="2893" spans="1:1">
      <c r="A2893" t="s">
        <v>4434</v>
      </c>
    </row>
    <row r="2894" spans="1:1">
      <c r="A2894" t="s">
        <v>4435</v>
      </c>
    </row>
    <row r="2895" spans="1:1">
      <c r="A2895" t="s">
        <v>4436</v>
      </c>
    </row>
    <row r="2896" spans="1:1">
      <c r="A2896" t="s">
        <v>4437</v>
      </c>
    </row>
    <row r="2897" spans="1:1">
      <c r="A2897" t="s">
        <v>4438</v>
      </c>
    </row>
    <row r="2898" spans="1:1">
      <c r="A2898" t="s">
        <v>4439</v>
      </c>
    </row>
    <row r="2899" spans="1:1">
      <c r="A2899" t="s">
        <v>4440</v>
      </c>
    </row>
    <row r="2900" spans="1:1">
      <c r="A2900" t="s">
        <v>4441</v>
      </c>
    </row>
    <row r="2901" spans="1:1">
      <c r="A2901" t="s">
        <v>4442</v>
      </c>
    </row>
    <row r="2902" spans="1:1">
      <c r="A2902" t="s">
        <v>4443</v>
      </c>
    </row>
    <row r="2903" spans="1:1">
      <c r="A2903" t="s">
        <v>4444</v>
      </c>
    </row>
    <row r="2904" spans="1:1">
      <c r="A2904" t="s">
        <v>4445</v>
      </c>
    </row>
    <row r="2905" spans="1:1">
      <c r="A2905" t="s">
        <v>4446</v>
      </c>
    </row>
    <row r="2906" spans="1:1">
      <c r="A2906" t="s">
        <v>4447</v>
      </c>
    </row>
    <row r="2907" spans="1:1">
      <c r="A2907" t="s">
        <v>4448</v>
      </c>
    </row>
    <row r="2908" spans="1:1">
      <c r="A2908" t="s">
        <v>4449</v>
      </c>
    </row>
    <row r="2909" spans="1:1">
      <c r="A2909" t="s">
        <v>4450</v>
      </c>
    </row>
    <row r="2910" spans="1:1">
      <c r="A2910" t="s">
        <v>4451</v>
      </c>
    </row>
    <row r="2911" spans="1:1">
      <c r="A2911" t="s">
        <v>4452</v>
      </c>
    </row>
    <row r="2912" spans="1:1">
      <c r="A2912" t="s">
        <v>4453</v>
      </c>
    </row>
    <row r="2913" spans="1:1">
      <c r="A2913" t="s">
        <v>4454</v>
      </c>
    </row>
    <row r="2914" spans="1:1">
      <c r="A2914" t="s">
        <v>4455</v>
      </c>
    </row>
    <row r="2915" spans="1:1">
      <c r="A2915" t="s">
        <v>4456</v>
      </c>
    </row>
    <row r="2916" spans="1:1">
      <c r="A2916" t="s">
        <v>4457</v>
      </c>
    </row>
    <row r="2917" spans="1:1">
      <c r="A2917" t="s">
        <v>4458</v>
      </c>
    </row>
    <row r="2918" spans="1:1">
      <c r="A2918" t="s">
        <v>4459</v>
      </c>
    </row>
    <row r="2919" spans="1:1">
      <c r="A2919" t="s">
        <v>4460</v>
      </c>
    </row>
    <row r="2920" spans="1:1">
      <c r="A2920" t="s">
        <v>4461</v>
      </c>
    </row>
    <row r="2921" spans="1:1">
      <c r="A2921" t="s">
        <v>4462</v>
      </c>
    </row>
    <row r="2922" spans="1:1">
      <c r="A2922" t="s">
        <v>4463</v>
      </c>
    </row>
    <row r="2923" spans="1:1">
      <c r="A2923" t="s">
        <v>4464</v>
      </c>
    </row>
    <row r="2924" spans="1:1">
      <c r="A2924" t="s">
        <v>4465</v>
      </c>
    </row>
    <row r="2925" spans="1:1">
      <c r="A2925" t="s">
        <v>4466</v>
      </c>
    </row>
    <row r="2926" spans="1:1">
      <c r="A2926" t="s">
        <v>4467</v>
      </c>
    </row>
    <row r="2927" spans="1:1">
      <c r="A2927" t="s">
        <v>4468</v>
      </c>
    </row>
    <row r="2928" spans="1:1">
      <c r="A2928" t="s">
        <v>4469</v>
      </c>
    </row>
    <row r="2929" spans="1:1">
      <c r="A2929" t="s">
        <v>4470</v>
      </c>
    </row>
    <row r="2930" spans="1:1">
      <c r="A2930" t="s">
        <v>4471</v>
      </c>
    </row>
    <row r="2931" spans="1:1">
      <c r="A2931" t="s">
        <v>4472</v>
      </c>
    </row>
    <row r="2932" spans="1:1">
      <c r="A2932" t="s">
        <v>4473</v>
      </c>
    </row>
    <row r="2933" spans="1:1">
      <c r="A2933" t="s">
        <v>4474</v>
      </c>
    </row>
    <row r="2934" spans="1:1">
      <c r="A2934" t="s">
        <v>4475</v>
      </c>
    </row>
    <row r="2935" spans="1:1">
      <c r="A2935" t="s">
        <v>4476</v>
      </c>
    </row>
    <row r="2936" spans="1:1">
      <c r="A2936" t="s">
        <v>4477</v>
      </c>
    </row>
    <row r="2937" spans="1:1">
      <c r="A2937" t="s">
        <v>4478</v>
      </c>
    </row>
    <row r="2938" spans="1:1">
      <c r="A2938" t="s">
        <v>4479</v>
      </c>
    </row>
    <row r="2939" spans="1:1">
      <c r="A2939" t="s">
        <v>4480</v>
      </c>
    </row>
    <row r="2940" spans="1:1">
      <c r="A2940" t="s">
        <v>4481</v>
      </c>
    </row>
    <row r="2941" spans="1:1">
      <c r="A2941" t="s">
        <v>4482</v>
      </c>
    </row>
    <row r="2942" spans="1:1">
      <c r="A2942" t="s">
        <v>4483</v>
      </c>
    </row>
    <row r="2943" spans="1:1">
      <c r="A2943" t="s">
        <v>4484</v>
      </c>
    </row>
    <row r="2944" spans="1:1">
      <c r="A2944" t="s">
        <v>4485</v>
      </c>
    </row>
    <row r="2945" spans="1:1">
      <c r="A2945" t="s">
        <v>4486</v>
      </c>
    </row>
    <row r="2946" spans="1:1">
      <c r="A2946" t="s">
        <v>4487</v>
      </c>
    </row>
    <row r="2947" spans="1:1">
      <c r="A2947" t="s">
        <v>4488</v>
      </c>
    </row>
    <row r="2948" spans="1:1">
      <c r="A2948" t="s">
        <v>4489</v>
      </c>
    </row>
    <row r="2949" spans="1:1">
      <c r="A2949" t="s">
        <v>4490</v>
      </c>
    </row>
    <row r="2950" spans="1:1">
      <c r="A2950" t="s">
        <v>4491</v>
      </c>
    </row>
    <row r="2951" spans="1:1">
      <c r="A2951" t="s">
        <v>4492</v>
      </c>
    </row>
    <row r="2952" spans="1:1">
      <c r="A2952" t="s">
        <v>4493</v>
      </c>
    </row>
    <row r="2953" spans="1:1">
      <c r="A2953" t="s">
        <v>4494</v>
      </c>
    </row>
    <row r="2954" spans="1:1">
      <c r="A2954" t="s">
        <v>4495</v>
      </c>
    </row>
    <row r="2955" spans="1:1">
      <c r="A2955" t="s">
        <v>4496</v>
      </c>
    </row>
    <row r="2956" spans="1:1">
      <c r="A2956" t="s">
        <v>4497</v>
      </c>
    </row>
    <row r="2957" spans="1:1">
      <c r="A2957" t="s">
        <v>4498</v>
      </c>
    </row>
    <row r="2958" spans="1:1">
      <c r="A2958" t="s">
        <v>4499</v>
      </c>
    </row>
    <row r="2959" spans="1:1">
      <c r="A2959" t="s">
        <v>4500</v>
      </c>
    </row>
    <row r="2960" spans="1:1">
      <c r="A2960" t="s">
        <v>4501</v>
      </c>
    </row>
    <row r="2961" spans="1:1">
      <c r="A2961" t="s">
        <v>4502</v>
      </c>
    </row>
    <row r="2962" spans="1:1">
      <c r="A2962" t="s">
        <v>4503</v>
      </c>
    </row>
    <row r="2963" spans="1:1">
      <c r="A2963" t="s">
        <v>4504</v>
      </c>
    </row>
    <row r="2964" spans="1:1">
      <c r="A2964" t="s">
        <v>4505</v>
      </c>
    </row>
    <row r="2965" spans="1:1">
      <c r="A2965" t="s">
        <v>4506</v>
      </c>
    </row>
    <row r="2966" spans="1:1">
      <c r="A2966" t="s">
        <v>4507</v>
      </c>
    </row>
    <row r="2967" spans="1:1">
      <c r="A2967" t="s">
        <v>4508</v>
      </c>
    </row>
    <row r="2968" spans="1:1">
      <c r="A2968" t="s">
        <v>4509</v>
      </c>
    </row>
    <row r="2969" spans="1:1">
      <c r="A2969" t="s">
        <v>4510</v>
      </c>
    </row>
    <row r="2970" spans="1:1">
      <c r="A2970" t="s">
        <v>4511</v>
      </c>
    </row>
    <row r="2971" spans="1:1">
      <c r="A2971" t="s">
        <v>4512</v>
      </c>
    </row>
    <row r="2972" spans="1:1">
      <c r="A2972" t="s">
        <v>4513</v>
      </c>
    </row>
    <row r="2973" spans="1:1">
      <c r="A2973" t="s">
        <v>4514</v>
      </c>
    </row>
    <row r="2974" spans="1:1">
      <c r="A2974" t="s">
        <v>4515</v>
      </c>
    </row>
    <row r="2975" spans="1:1">
      <c r="A2975" t="s">
        <v>4516</v>
      </c>
    </row>
    <row r="2976" spans="1:1">
      <c r="A2976" t="s">
        <v>4517</v>
      </c>
    </row>
    <row r="2977" spans="1:1">
      <c r="A2977" t="s">
        <v>4518</v>
      </c>
    </row>
    <row r="2978" spans="1:1">
      <c r="A2978" t="s">
        <v>4519</v>
      </c>
    </row>
    <row r="2979" spans="1:1">
      <c r="A2979" t="s">
        <v>4520</v>
      </c>
    </row>
    <row r="2980" spans="1:1">
      <c r="A2980" t="s">
        <v>4521</v>
      </c>
    </row>
    <row r="2981" spans="1:1">
      <c r="A2981" t="s">
        <v>4522</v>
      </c>
    </row>
    <row r="2982" spans="1:1">
      <c r="A2982" t="s">
        <v>4523</v>
      </c>
    </row>
    <row r="2983" spans="1:1">
      <c r="A2983" t="s">
        <v>4524</v>
      </c>
    </row>
    <row r="2984" spans="1:1">
      <c r="A2984" t="s">
        <v>4525</v>
      </c>
    </row>
    <row r="2985" spans="1:1">
      <c r="A2985" t="s">
        <v>4526</v>
      </c>
    </row>
    <row r="2986" spans="1:1">
      <c r="A2986" t="s">
        <v>4527</v>
      </c>
    </row>
    <row r="2987" spans="1:1">
      <c r="A2987" t="s">
        <v>4528</v>
      </c>
    </row>
    <row r="2988" spans="1:1">
      <c r="A2988" t="s">
        <v>4529</v>
      </c>
    </row>
    <row r="2989" spans="1:1">
      <c r="A2989" t="s">
        <v>4530</v>
      </c>
    </row>
    <row r="2990" spans="1:1">
      <c r="A2990" t="s">
        <v>4531</v>
      </c>
    </row>
    <row r="2991" spans="1:1">
      <c r="A2991" t="s">
        <v>4532</v>
      </c>
    </row>
    <row r="2992" spans="1:1">
      <c r="A2992" t="s">
        <v>4533</v>
      </c>
    </row>
    <row r="2993" spans="1:1">
      <c r="A2993" t="s">
        <v>4534</v>
      </c>
    </row>
    <row r="2994" spans="1:1">
      <c r="A2994" t="s">
        <v>4535</v>
      </c>
    </row>
    <row r="2995" spans="1:1">
      <c r="A2995" t="s">
        <v>4536</v>
      </c>
    </row>
    <row r="2996" spans="1:1">
      <c r="A2996" t="s">
        <v>4537</v>
      </c>
    </row>
    <row r="2997" spans="1:1">
      <c r="A2997" t="s">
        <v>4538</v>
      </c>
    </row>
    <row r="2998" spans="1:1">
      <c r="A2998" t="s">
        <v>4539</v>
      </c>
    </row>
    <row r="2999" spans="1:1">
      <c r="A2999" t="s">
        <v>4540</v>
      </c>
    </row>
    <row r="3000" spans="1:1">
      <c r="A3000" t="s">
        <v>4541</v>
      </c>
    </row>
    <row r="3001" spans="1:1">
      <c r="A3001" t="s">
        <v>4542</v>
      </c>
    </row>
    <row r="3002" spans="1:1">
      <c r="A3002" t="s">
        <v>4543</v>
      </c>
    </row>
    <row r="3003" spans="1:1">
      <c r="A3003" t="s">
        <v>4544</v>
      </c>
    </row>
    <row r="3004" spans="1:1">
      <c r="A3004" t="s">
        <v>4545</v>
      </c>
    </row>
    <row r="3005" spans="1:1">
      <c r="A3005" t="s">
        <v>4546</v>
      </c>
    </row>
    <row r="3006" spans="1:1">
      <c r="A3006" t="s">
        <v>4547</v>
      </c>
    </row>
    <row r="3007" spans="1:1">
      <c r="A3007" t="s">
        <v>4548</v>
      </c>
    </row>
    <row r="3008" spans="1:1">
      <c r="A3008" t="s">
        <v>4549</v>
      </c>
    </row>
    <row r="3009" spans="1:1">
      <c r="A3009" t="s">
        <v>4550</v>
      </c>
    </row>
    <row r="3010" spans="1:1">
      <c r="A3010" t="s">
        <v>4551</v>
      </c>
    </row>
    <row r="3011" spans="1:1">
      <c r="A3011" t="s">
        <v>4552</v>
      </c>
    </row>
    <row r="3012" spans="1:1">
      <c r="A3012" t="s">
        <v>4553</v>
      </c>
    </row>
    <row r="3013" spans="1:1">
      <c r="A3013" t="s">
        <v>4554</v>
      </c>
    </row>
    <row r="3014" spans="1:1">
      <c r="A3014" t="s">
        <v>4555</v>
      </c>
    </row>
    <row r="3015" spans="1:1">
      <c r="A3015" t="s">
        <v>4556</v>
      </c>
    </row>
    <row r="3016" spans="1:1">
      <c r="A3016" t="s">
        <v>4557</v>
      </c>
    </row>
    <row r="3017" spans="1:1">
      <c r="A3017" t="s">
        <v>4558</v>
      </c>
    </row>
    <row r="3018" spans="1:1">
      <c r="A3018" t="s">
        <v>4559</v>
      </c>
    </row>
    <row r="3019" spans="1:1">
      <c r="A3019" t="s">
        <v>4560</v>
      </c>
    </row>
    <row r="3020" spans="1:1">
      <c r="A3020" t="s">
        <v>4561</v>
      </c>
    </row>
    <row r="3021" spans="1:1">
      <c r="A3021" t="s">
        <v>4562</v>
      </c>
    </row>
    <row r="3022" spans="1:1">
      <c r="A3022" t="s">
        <v>4563</v>
      </c>
    </row>
    <row r="3023" spans="1:1">
      <c r="A3023" t="s">
        <v>4564</v>
      </c>
    </row>
    <row r="3024" spans="1:1">
      <c r="A3024" t="s">
        <v>4565</v>
      </c>
    </row>
    <row r="3025" spans="1:1">
      <c r="A3025" t="s">
        <v>4566</v>
      </c>
    </row>
    <row r="3026" spans="1:1">
      <c r="A3026" t="s">
        <v>4567</v>
      </c>
    </row>
    <row r="3027" spans="1:1">
      <c r="A3027" t="s">
        <v>4568</v>
      </c>
    </row>
    <row r="3028" spans="1:1">
      <c r="A3028" t="s">
        <v>4569</v>
      </c>
    </row>
    <row r="3029" spans="1:1">
      <c r="A3029" t="s">
        <v>4570</v>
      </c>
    </row>
    <row r="3030" spans="1:1">
      <c r="A3030" t="s">
        <v>4571</v>
      </c>
    </row>
    <row r="3031" spans="1:1">
      <c r="A3031" t="s">
        <v>4572</v>
      </c>
    </row>
    <row r="3032" spans="1:1">
      <c r="A3032" t="s">
        <v>4573</v>
      </c>
    </row>
    <row r="3033" spans="1:1">
      <c r="A3033" t="s">
        <v>4574</v>
      </c>
    </row>
    <row r="3034" spans="1:1">
      <c r="A3034" t="s">
        <v>4575</v>
      </c>
    </row>
    <row r="3035" spans="1:1">
      <c r="A3035" t="s">
        <v>4576</v>
      </c>
    </row>
    <row r="3036" spans="1:1">
      <c r="A3036" t="s">
        <v>4577</v>
      </c>
    </row>
    <row r="3037" spans="1:1">
      <c r="A3037" t="s">
        <v>4578</v>
      </c>
    </row>
    <row r="3038" spans="1:1">
      <c r="A3038" t="s">
        <v>4579</v>
      </c>
    </row>
    <row r="3039" spans="1:1">
      <c r="A3039" t="s">
        <v>4580</v>
      </c>
    </row>
    <row r="3040" spans="1:1">
      <c r="A3040" t="s">
        <v>4581</v>
      </c>
    </row>
    <row r="3041" spans="1:1">
      <c r="A3041" t="s">
        <v>4582</v>
      </c>
    </row>
    <row r="3042" spans="1:1">
      <c r="A3042" t="s">
        <v>4583</v>
      </c>
    </row>
    <row r="3043" spans="1:1">
      <c r="A3043" t="s">
        <v>4584</v>
      </c>
    </row>
    <row r="3044" spans="1:1">
      <c r="A3044" t="s">
        <v>4585</v>
      </c>
    </row>
    <row r="3045" spans="1:1">
      <c r="A3045" t="s">
        <v>4586</v>
      </c>
    </row>
    <row r="3046" spans="1:1">
      <c r="A3046" t="s">
        <v>4587</v>
      </c>
    </row>
    <row r="3047" spans="1:1">
      <c r="A3047" t="s">
        <v>4588</v>
      </c>
    </row>
    <row r="3048" spans="1:1">
      <c r="A3048" t="s">
        <v>4589</v>
      </c>
    </row>
    <row r="3049" spans="1:1">
      <c r="A3049" t="s">
        <v>4590</v>
      </c>
    </row>
    <row r="3050" spans="1:1">
      <c r="A3050" t="s">
        <v>4591</v>
      </c>
    </row>
    <row r="3051" spans="1:1">
      <c r="A3051" t="s">
        <v>4592</v>
      </c>
    </row>
    <row r="3052" spans="1:1">
      <c r="A3052" t="s">
        <v>4593</v>
      </c>
    </row>
    <row r="3053" spans="1:1">
      <c r="A3053" t="s">
        <v>4594</v>
      </c>
    </row>
    <row r="3054" spans="1:1">
      <c r="A3054" t="s">
        <v>4595</v>
      </c>
    </row>
    <row r="3055" spans="1:1">
      <c r="A3055" t="s">
        <v>4596</v>
      </c>
    </row>
    <row r="3056" spans="1:1">
      <c r="A3056" t="s">
        <v>4597</v>
      </c>
    </row>
    <row r="3057" spans="1:1">
      <c r="A3057" t="s">
        <v>4598</v>
      </c>
    </row>
    <row r="3058" spans="1:1">
      <c r="A3058" t="s">
        <v>4599</v>
      </c>
    </row>
    <row r="3059" spans="1:1">
      <c r="A3059" t="s">
        <v>4600</v>
      </c>
    </row>
    <row r="3060" spans="1:1">
      <c r="A3060" t="s">
        <v>4601</v>
      </c>
    </row>
    <row r="3061" spans="1:1">
      <c r="A3061" t="s">
        <v>4602</v>
      </c>
    </row>
    <row r="3062" spans="1:1">
      <c r="A3062" t="s">
        <v>4603</v>
      </c>
    </row>
    <row r="3063" spans="1:1">
      <c r="A3063" t="s">
        <v>4604</v>
      </c>
    </row>
    <row r="3064" spans="1:1">
      <c r="A3064" t="s">
        <v>4605</v>
      </c>
    </row>
    <row r="3065" spans="1:1">
      <c r="A3065" t="s">
        <v>4606</v>
      </c>
    </row>
    <row r="3066" spans="1:1">
      <c r="A3066" t="s">
        <v>4607</v>
      </c>
    </row>
    <row r="3067" spans="1:1">
      <c r="A3067" t="s">
        <v>4608</v>
      </c>
    </row>
    <row r="3068" spans="1:1">
      <c r="A3068" t="s">
        <v>4609</v>
      </c>
    </row>
    <row r="3069" spans="1:1">
      <c r="A3069" t="s">
        <v>4610</v>
      </c>
    </row>
    <row r="3070" spans="1:1">
      <c r="A3070" t="s">
        <v>4611</v>
      </c>
    </row>
    <row r="3071" spans="1:1">
      <c r="A3071" t="s">
        <v>4612</v>
      </c>
    </row>
    <row r="3072" spans="1:1">
      <c r="A3072" t="s">
        <v>4613</v>
      </c>
    </row>
    <row r="3073" spans="1:1">
      <c r="A3073" t="s">
        <v>4614</v>
      </c>
    </row>
    <row r="3074" spans="1:1">
      <c r="A3074" t="s">
        <v>4615</v>
      </c>
    </row>
    <row r="3075" spans="1:1">
      <c r="A3075" t="s">
        <v>4616</v>
      </c>
    </row>
    <row r="3076" spans="1:1">
      <c r="A3076" t="s">
        <v>4617</v>
      </c>
    </row>
    <row r="3077" spans="1:1">
      <c r="A3077" t="s">
        <v>4618</v>
      </c>
    </row>
    <row r="3078" spans="1:1">
      <c r="A3078" t="s">
        <v>4619</v>
      </c>
    </row>
    <row r="3079" spans="1:1">
      <c r="A3079" t="s">
        <v>4620</v>
      </c>
    </row>
    <row r="3080" spans="1:1">
      <c r="A3080" t="s">
        <v>4621</v>
      </c>
    </row>
    <row r="3081" spans="1:1">
      <c r="A3081" t="s">
        <v>4622</v>
      </c>
    </row>
    <row r="3082" spans="1:1">
      <c r="A3082" t="s">
        <v>4623</v>
      </c>
    </row>
    <row r="3083" spans="1:1">
      <c r="A3083" t="s">
        <v>4624</v>
      </c>
    </row>
    <row r="3084" spans="1:1">
      <c r="A3084" t="s">
        <v>4625</v>
      </c>
    </row>
    <row r="3085" spans="1:1">
      <c r="A3085" t="s">
        <v>4626</v>
      </c>
    </row>
    <row r="3086" spans="1:1">
      <c r="A3086" t="s">
        <v>4627</v>
      </c>
    </row>
    <row r="3087" spans="1:1">
      <c r="A3087" t="s">
        <v>4628</v>
      </c>
    </row>
    <row r="3088" spans="1:1">
      <c r="A3088" t="s">
        <v>4629</v>
      </c>
    </row>
    <row r="3089" spans="1:1">
      <c r="A3089" t="s">
        <v>4630</v>
      </c>
    </row>
    <row r="3090" spans="1:1">
      <c r="A3090" t="s">
        <v>4631</v>
      </c>
    </row>
    <row r="3091" spans="1:1">
      <c r="A3091" t="s">
        <v>4632</v>
      </c>
    </row>
    <row r="3092" spans="1:1">
      <c r="A3092" t="s">
        <v>4633</v>
      </c>
    </row>
    <row r="3093" spans="1:1">
      <c r="A3093" t="s">
        <v>4634</v>
      </c>
    </row>
    <row r="3094" spans="1:1">
      <c r="A3094" t="s">
        <v>4635</v>
      </c>
    </row>
    <row r="3095" spans="1:1">
      <c r="A3095" t="s">
        <v>4636</v>
      </c>
    </row>
    <row r="3096" spans="1:1">
      <c r="A3096" t="s">
        <v>4637</v>
      </c>
    </row>
    <row r="3097" spans="1:1">
      <c r="A3097" t="s">
        <v>4638</v>
      </c>
    </row>
    <row r="3098" spans="1:1">
      <c r="A3098" t="s">
        <v>4639</v>
      </c>
    </row>
    <row r="3099" spans="1:1">
      <c r="A3099" t="s">
        <v>4640</v>
      </c>
    </row>
    <row r="3100" spans="1:1">
      <c r="A3100" t="s">
        <v>4641</v>
      </c>
    </row>
    <row r="3101" spans="1:1">
      <c r="A3101" t="s">
        <v>4642</v>
      </c>
    </row>
    <row r="3102" spans="1:1">
      <c r="A3102" t="s">
        <v>4643</v>
      </c>
    </row>
    <row r="3103" spans="1:1">
      <c r="A3103" t="s">
        <v>4644</v>
      </c>
    </row>
    <row r="3104" spans="1:1">
      <c r="A3104" t="s">
        <v>4645</v>
      </c>
    </row>
    <row r="3105" spans="1:1">
      <c r="A3105" t="s">
        <v>4646</v>
      </c>
    </row>
    <row r="3106" spans="1:1">
      <c r="A3106" t="s">
        <v>4647</v>
      </c>
    </row>
    <row r="3107" spans="1:1">
      <c r="A3107" t="s">
        <v>4648</v>
      </c>
    </row>
    <row r="3108" spans="1:1">
      <c r="A3108" t="s">
        <v>4649</v>
      </c>
    </row>
    <row r="3109" spans="1:1">
      <c r="A3109" t="s">
        <v>4650</v>
      </c>
    </row>
    <row r="3110" spans="1:1">
      <c r="A3110" t="s">
        <v>4651</v>
      </c>
    </row>
    <row r="3111" spans="1:1">
      <c r="A3111" t="s">
        <v>4652</v>
      </c>
    </row>
    <row r="3112" spans="1:1">
      <c r="A3112" t="s">
        <v>4653</v>
      </c>
    </row>
    <row r="3113" spans="1:1">
      <c r="A3113" t="s">
        <v>4654</v>
      </c>
    </row>
    <row r="3114" spans="1:1">
      <c r="A3114" t="s">
        <v>4655</v>
      </c>
    </row>
    <row r="3115" spans="1:1">
      <c r="A3115" t="s">
        <v>4656</v>
      </c>
    </row>
    <row r="3116" spans="1:1">
      <c r="A3116" t="s">
        <v>4657</v>
      </c>
    </row>
    <row r="3117" spans="1:1">
      <c r="A3117" t="s">
        <v>4658</v>
      </c>
    </row>
    <row r="3118" spans="1:1">
      <c r="A3118" t="s">
        <v>4659</v>
      </c>
    </row>
    <row r="3119" spans="1:1">
      <c r="A3119" t="s">
        <v>4660</v>
      </c>
    </row>
    <row r="3120" spans="1:1">
      <c r="A3120" t="s">
        <v>4661</v>
      </c>
    </row>
    <row r="3121" spans="1:1">
      <c r="A3121" t="s">
        <v>4662</v>
      </c>
    </row>
    <row r="3122" spans="1:1">
      <c r="A3122" t="s">
        <v>4663</v>
      </c>
    </row>
    <row r="3123" spans="1:1">
      <c r="A3123" t="s">
        <v>4664</v>
      </c>
    </row>
    <row r="3124" spans="1:1">
      <c r="A3124" t="s">
        <v>4665</v>
      </c>
    </row>
    <row r="3125" spans="1:1">
      <c r="A3125" t="s">
        <v>4666</v>
      </c>
    </row>
    <row r="3126" spans="1:1">
      <c r="A3126" t="s">
        <v>4667</v>
      </c>
    </row>
    <row r="3127" spans="1:1">
      <c r="A3127" t="s">
        <v>4668</v>
      </c>
    </row>
    <row r="3128" spans="1:1">
      <c r="A3128" t="s">
        <v>4669</v>
      </c>
    </row>
    <row r="3129" spans="1:1">
      <c r="A3129" t="s">
        <v>4670</v>
      </c>
    </row>
    <row r="3130" spans="1:1">
      <c r="A3130" t="s">
        <v>4671</v>
      </c>
    </row>
    <row r="3131" spans="1:1">
      <c r="A3131" t="s">
        <v>4672</v>
      </c>
    </row>
    <row r="3132" spans="1:1">
      <c r="A3132" t="s">
        <v>4673</v>
      </c>
    </row>
    <row r="3133" spans="1:1">
      <c r="A3133" t="s">
        <v>4674</v>
      </c>
    </row>
    <row r="3134" spans="1:1">
      <c r="A3134" t="s">
        <v>4675</v>
      </c>
    </row>
    <row r="3135" spans="1:1">
      <c r="A3135" t="s">
        <v>4676</v>
      </c>
    </row>
    <row r="3136" spans="1:1">
      <c r="A3136" t="s">
        <v>4677</v>
      </c>
    </row>
    <row r="3137" spans="1:1">
      <c r="A3137" t="s">
        <v>4678</v>
      </c>
    </row>
    <row r="3138" spans="1:1">
      <c r="A3138" t="s">
        <v>4679</v>
      </c>
    </row>
    <row r="3139" spans="1:1">
      <c r="A3139" t="s">
        <v>4680</v>
      </c>
    </row>
    <row r="3140" spans="1:1">
      <c r="A3140" t="s">
        <v>4681</v>
      </c>
    </row>
    <row r="3141" spans="1:1">
      <c r="A3141" t="s">
        <v>4682</v>
      </c>
    </row>
    <row r="3142" spans="1:1">
      <c r="A3142" t="s">
        <v>4683</v>
      </c>
    </row>
    <row r="3143" spans="1:1">
      <c r="A3143" t="s">
        <v>4684</v>
      </c>
    </row>
    <row r="3144" spans="1:1">
      <c r="A3144" t="s">
        <v>4685</v>
      </c>
    </row>
    <row r="3145" spans="1:1">
      <c r="A3145" t="s">
        <v>4686</v>
      </c>
    </row>
    <row r="3146" spans="1:1">
      <c r="A3146" t="s">
        <v>4687</v>
      </c>
    </row>
    <row r="3147" spans="1:1">
      <c r="A3147" t="s">
        <v>4688</v>
      </c>
    </row>
    <row r="3148" spans="1:1">
      <c r="A3148" t="s">
        <v>4689</v>
      </c>
    </row>
    <row r="3149" spans="1:1">
      <c r="A3149" t="s">
        <v>4690</v>
      </c>
    </row>
    <row r="3150" spans="1:1">
      <c r="A3150" t="s">
        <v>4691</v>
      </c>
    </row>
    <row r="3151" spans="1:1">
      <c r="A3151" t="s">
        <v>4692</v>
      </c>
    </row>
    <row r="3152" spans="1:1">
      <c r="A3152" t="s">
        <v>4693</v>
      </c>
    </row>
    <row r="3153" spans="1:1">
      <c r="A3153" t="s">
        <v>4694</v>
      </c>
    </row>
    <row r="3154" spans="1:1">
      <c r="A3154" t="s">
        <v>4695</v>
      </c>
    </row>
    <row r="3155" spans="1:1">
      <c r="A3155" t="s">
        <v>4696</v>
      </c>
    </row>
    <row r="3156" spans="1:1">
      <c r="A3156" t="s">
        <v>4697</v>
      </c>
    </row>
    <row r="3157" spans="1:1">
      <c r="A3157" t="s">
        <v>4698</v>
      </c>
    </row>
    <row r="3158" spans="1:1">
      <c r="A3158" t="s">
        <v>4699</v>
      </c>
    </row>
    <row r="3159" spans="1:1">
      <c r="A3159" t="s">
        <v>4700</v>
      </c>
    </row>
    <row r="3160" spans="1:1">
      <c r="A3160" t="s">
        <v>4701</v>
      </c>
    </row>
    <row r="3161" spans="1:1">
      <c r="A3161" t="s">
        <v>4702</v>
      </c>
    </row>
    <row r="3162" spans="1:1">
      <c r="A3162" t="s">
        <v>4703</v>
      </c>
    </row>
    <row r="3163" spans="1:1">
      <c r="A3163" t="s">
        <v>4704</v>
      </c>
    </row>
    <row r="3164" spans="1:1">
      <c r="A3164" t="s">
        <v>4705</v>
      </c>
    </row>
    <row r="3165" spans="1:1">
      <c r="A3165" t="s">
        <v>4706</v>
      </c>
    </row>
    <row r="3166" spans="1:1">
      <c r="A3166" t="s">
        <v>4707</v>
      </c>
    </row>
    <row r="3167" spans="1:1">
      <c r="A3167" t="s">
        <v>4708</v>
      </c>
    </row>
    <row r="3168" spans="1:1">
      <c r="A3168" t="s">
        <v>4709</v>
      </c>
    </row>
    <row r="3169" spans="1:1">
      <c r="A3169" t="s">
        <v>4710</v>
      </c>
    </row>
    <row r="3170" spans="1:1">
      <c r="A3170" t="s">
        <v>4711</v>
      </c>
    </row>
    <row r="3171" spans="1:1">
      <c r="A3171" t="s">
        <v>4712</v>
      </c>
    </row>
    <row r="3172" spans="1:1">
      <c r="A3172" t="s">
        <v>4713</v>
      </c>
    </row>
    <row r="3173" spans="1:1">
      <c r="A3173" t="s">
        <v>4714</v>
      </c>
    </row>
    <row r="3174" spans="1:1">
      <c r="A3174" t="s">
        <v>4715</v>
      </c>
    </row>
    <row r="3175" spans="1:1">
      <c r="A3175" t="s">
        <v>4716</v>
      </c>
    </row>
    <row r="3176" spans="1:1">
      <c r="A3176" t="s">
        <v>4717</v>
      </c>
    </row>
    <row r="3177" spans="1:1">
      <c r="A3177" t="s">
        <v>4718</v>
      </c>
    </row>
    <row r="3178" spans="1:1">
      <c r="A3178" t="s">
        <v>4719</v>
      </c>
    </row>
    <row r="3179" spans="1:1">
      <c r="A3179" t="s">
        <v>4720</v>
      </c>
    </row>
    <row r="3180" spans="1:1">
      <c r="A3180" t="s">
        <v>4721</v>
      </c>
    </row>
    <row r="3181" spans="1:1">
      <c r="A3181" t="s">
        <v>4722</v>
      </c>
    </row>
    <row r="3182" spans="1:1">
      <c r="A3182" t="s">
        <v>4723</v>
      </c>
    </row>
    <row r="3183" spans="1:1">
      <c r="A3183" t="s">
        <v>4724</v>
      </c>
    </row>
    <row r="3184" spans="1:1">
      <c r="A3184" t="s">
        <v>4725</v>
      </c>
    </row>
    <row r="3185" spans="1:1">
      <c r="A3185" t="s">
        <v>4726</v>
      </c>
    </row>
    <row r="3186" spans="1:1">
      <c r="A3186" t="s">
        <v>4727</v>
      </c>
    </row>
    <row r="3187" spans="1:1">
      <c r="A3187" t="s">
        <v>4728</v>
      </c>
    </row>
    <row r="3188" spans="1:1">
      <c r="A3188" t="s">
        <v>4729</v>
      </c>
    </row>
    <row r="3189" spans="1:1">
      <c r="A3189" t="s">
        <v>4730</v>
      </c>
    </row>
    <row r="3190" spans="1:1">
      <c r="A3190" t="s">
        <v>4731</v>
      </c>
    </row>
    <row r="3191" spans="1:1">
      <c r="A3191" t="s">
        <v>4732</v>
      </c>
    </row>
    <row r="3192" spans="1:1">
      <c r="A3192" t="s">
        <v>4733</v>
      </c>
    </row>
    <row r="3193" spans="1:1">
      <c r="A3193" t="s">
        <v>4734</v>
      </c>
    </row>
    <row r="3194" spans="1:1">
      <c r="A3194" t="s">
        <v>4735</v>
      </c>
    </row>
    <row r="3195" spans="1:1">
      <c r="A3195" t="s">
        <v>4736</v>
      </c>
    </row>
    <row r="3196" spans="1:1">
      <c r="A3196" t="s">
        <v>4737</v>
      </c>
    </row>
    <row r="3197" spans="1:1">
      <c r="A3197" t="s">
        <v>4738</v>
      </c>
    </row>
    <row r="3198" spans="1:1">
      <c r="A3198" t="s">
        <v>4739</v>
      </c>
    </row>
    <row r="3199" spans="1:1">
      <c r="A3199" t="s">
        <v>4740</v>
      </c>
    </row>
    <row r="3200" spans="1:1">
      <c r="A3200" t="s">
        <v>4741</v>
      </c>
    </row>
    <row r="3201" spans="1:1">
      <c r="A3201" t="s">
        <v>4742</v>
      </c>
    </row>
    <row r="3202" spans="1:1">
      <c r="A3202" t="s">
        <v>4743</v>
      </c>
    </row>
    <row r="3203" spans="1:1">
      <c r="A3203" t="s">
        <v>4744</v>
      </c>
    </row>
    <row r="3204" spans="1:1">
      <c r="A3204" t="s">
        <v>4745</v>
      </c>
    </row>
    <row r="3205" spans="1:1">
      <c r="A3205" t="s">
        <v>4746</v>
      </c>
    </row>
    <row r="3206" spans="1:1">
      <c r="A3206" t="s">
        <v>4747</v>
      </c>
    </row>
    <row r="3207" spans="1:1">
      <c r="A3207" t="s">
        <v>4748</v>
      </c>
    </row>
    <row r="3208" spans="1:1">
      <c r="A3208" t="s">
        <v>4749</v>
      </c>
    </row>
    <row r="3209" spans="1:1">
      <c r="A3209" t="s">
        <v>4750</v>
      </c>
    </row>
    <row r="3210" spans="1:1">
      <c r="A3210" t="s">
        <v>4751</v>
      </c>
    </row>
    <row r="3211" spans="1:1">
      <c r="A3211" t="s">
        <v>4752</v>
      </c>
    </row>
    <row r="3212" spans="1:1">
      <c r="A3212" t="s">
        <v>4753</v>
      </c>
    </row>
    <row r="3213" spans="1:1">
      <c r="A3213" t="s">
        <v>4754</v>
      </c>
    </row>
    <row r="3214" spans="1:1">
      <c r="A3214" t="s">
        <v>4755</v>
      </c>
    </row>
    <row r="3215" spans="1:1">
      <c r="A3215" t="s">
        <v>4756</v>
      </c>
    </row>
    <row r="3216" spans="1:1">
      <c r="A3216" t="s">
        <v>4757</v>
      </c>
    </row>
    <row r="3217" spans="1:1">
      <c r="A3217" t="s">
        <v>4758</v>
      </c>
    </row>
    <row r="3218" spans="1:1">
      <c r="A3218" t="s">
        <v>4759</v>
      </c>
    </row>
    <row r="3219" spans="1:1">
      <c r="A3219" t="s">
        <v>4760</v>
      </c>
    </row>
    <row r="3220" spans="1:1">
      <c r="A3220" t="s">
        <v>4761</v>
      </c>
    </row>
    <row r="3221" spans="1:1">
      <c r="A3221" t="s">
        <v>4762</v>
      </c>
    </row>
    <row r="3222" spans="1:1">
      <c r="A3222" t="s">
        <v>4763</v>
      </c>
    </row>
    <row r="3223" spans="1:1">
      <c r="A3223" t="s">
        <v>4764</v>
      </c>
    </row>
    <row r="3224" spans="1:1">
      <c r="A3224" t="s">
        <v>4765</v>
      </c>
    </row>
    <row r="3225" spans="1:1">
      <c r="A3225" t="s">
        <v>4766</v>
      </c>
    </row>
    <row r="3226" spans="1:1">
      <c r="A3226" t="s">
        <v>4767</v>
      </c>
    </row>
    <row r="3227" spans="1:1">
      <c r="A3227" t="s">
        <v>4768</v>
      </c>
    </row>
    <row r="3228" spans="1:1">
      <c r="A3228" t="s">
        <v>4769</v>
      </c>
    </row>
    <row r="3229" spans="1:1">
      <c r="A3229" t="s">
        <v>4770</v>
      </c>
    </row>
    <row r="3230" spans="1:1">
      <c r="A3230" t="s">
        <v>4771</v>
      </c>
    </row>
    <row r="3231" spans="1:1">
      <c r="A3231" t="s">
        <v>4772</v>
      </c>
    </row>
    <row r="3232" spans="1:1">
      <c r="A3232" t="s">
        <v>4773</v>
      </c>
    </row>
    <row r="3233" spans="1:1">
      <c r="A3233" t="s">
        <v>4774</v>
      </c>
    </row>
    <row r="3234" spans="1:1">
      <c r="A3234" t="s">
        <v>4775</v>
      </c>
    </row>
    <row r="3235" spans="1:1">
      <c r="A3235" t="s">
        <v>4776</v>
      </c>
    </row>
    <row r="3236" spans="1:1">
      <c r="A3236" t="s">
        <v>4777</v>
      </c>
    </row>
    <row r="3237" spans="1:1">
      <c r="A3237" t="s">
        <v>4778</v>
      </c>
    </row>
    <row r="3238" spans="1:1">
      <c r="A3238" t="s">
        <v>4779</v>
      </c>
    </row>
    <row r="3239" spans="1:1">
      <c r="A3239" t="s">
        <v>4780</v>
      </c>
    </row>
    <row r="3240" spans="1:1">
      <c r="A3240" t="s">
        <v>4781</v>
      </c>
    </row>
    <row r="3241" spans="1:1">
      <c r="A3241" t="s">
        <v>4782</v>
      </c>
    </row>
    <row r="3242" spans="1:1">
      <c r="A3242" t="s">
        <v>4783</v>
      </c>
    </row>
    <row r="3243" spans="1:1">
      <c r="A3243" t="s">
        <v>4784</v>
      </c>
    </row>
    <row r="3244" spans="1:1">
      <c r="A3244" t="s">
        <v>4785</v>
      </c>
    </row>
    <row r="3245" spans="1:1">
      <c r="A3245" t="s">
        <v>4786</v>
      </c>
    </row>
    <row r="3246" spans="1:1">
      <c r="A3246" t="s">
        <v>4787</v>
      </c>
    </row>
    <row r="3247" spans="1:1">
      <c r="A3247" t="s">
        <v>4788</v>
      </c>
    </row>
    <row r="3248" spans="1:1">
      <c r="A3248" t="s">
        <v>4789</v>
      </c>
    </row>
    <row r="3249" spans="1:1">
      <c r="A3249" t="s">
        <v>4790</v>
      </c>
    </row>
    <row r="3250" spans="1:1">
      <c r="A3250" t="s">
        <v>4791</v>
      </c>
    </row>
    <row r="3251" spans="1:1">
      <c r="A3251" t="s">
        <v>4792</v>
      </c>
    </row>
    <row r="3252" spans="1:1">
      <c r="A3252" t="s">
        <v>4793</v>
      </c>
    </row>
    <row r="3253" spans="1:1">
      <c r="A3253" t="s">
        <v>4794</v>
      </c>
    </row>
    <row r="3254" spans="1:1">
      <c r="A3254" t="s">
        <v>4795</v>
      </c>
    </row>
    <row r="3255" spans="1:1">
      <c r="A3255" t="s">
        <v>4796</v>
      </c>
    </row>
    <row r="3256" spans="1:1">
      <c r="A3256" t="s">
        <v>4797</v>
      </c>
    </row>
    <row r="3257" spans="1:1">
      <c r="A3257" t="s">
        <v>4798</v>
      </c>
    </row>
    <row r="3258" spans="1:1">
      <c r="A3258" t="s">
        <v>4799</v>
      </c>
    </row>
    <row r="3259" spans="1:1">
      <c r="A3259" t="s">
        <v>4800</v>
      </c>
    </row>
    <row r="3260" spans="1:1">
      <c r="A3260" t="s">
        <v>4801</v>
      </c>
    </row>
    <row r="3261" spans="1:1">
      <c r="A3261" t="s">
        <v>4802</v>
      </c>
    </row>
    <row r="3262" spans="1:1">
      <c r="A3262" t="s">
        <v>4803</v>
      </c>
    </row>
    <row r="3263" spans="1:1">
      <c r="A3263" t="s">
        <v>4804</v>
      </c>
    </row>
    <row r="3264" spans="1:1">
      <c r="A3264" t="s">
        <v>4805</v>
      </c>
    </row>
    <row r="3265" spans="1:1">
      <c r="A3265" t="s">
        <v>4806</v>
      </c>
    </row>
    <row r="3266" spans="1:1">
      <c r="A3266" t="s">
        <v>4807</v>
      </c>
    </row>
    <row r="3267" spans="1:1">
      <c r="A3267" t="s">
        <v>4808</v>
      </c>
    </row>
    <row r="3268" spans="1:1">
      <c r="A3268" t="s">
        <v>4809</v>
      </c>
    </row>
    <row r="3269" spans="1:1">
      <c r="A3269" t="s">
        <v>4810</v>
      </c>
    </row>
    <row r="3270" spans="1:1">
      <c r="A3270" t="s">
        <v>4811</v>
      </c>
    </row>
    <row r="3271" spans="1:1">
      <c r="A3271" t="s">
        <v>4812</v>
      </c>
    </row>
    <row r="3272" spans="1:1">
      <c r="A3272" t="s">
        <v>4813</v>
      </c>
    </row>
    <row r="3273" spans="1:1">
      <c r="A3273" t="s">
        <v>4814</v>
      </c>
    </row>
    <row r="3274" spans="1:1">
      <c r="A3274" t="s">
        <v>4815</v>
      </c>
    </row>
    <row r="3275" spans="1:1">
      <c r="A3275" t="s">
        <v>4816</v>
      </c>
    </row>
    <row r="3276" spans="1:1">
      <c r="A3276" t="s">
        <v>4817</v>
      </c>
    </row>
    <row r="3277" spans="1:1">
      <c r="A3277" t="s">
        <v>4818</v>
      </c>
    </row>
    <row r="3278" spans="1:1">
      <c r="A3278" t="s">
        <v>4819</v>
      </c>
    </row>
    <row r="3279" spans="1:1">
      <c r="A3279" t="s">
        <v>4820</v>
      </c>
    </row>
    <row r="3280" spans="1:1">
      <c r="A3280" t="s">
        <v>4821</v>
      </c>
    </row>
    <row r="3281" spans="1:1">
      <c r="A3281" t="s">
        <v>4822</v>
      </c>
    </row>
    <row r="3282" spans="1:1">
      <c r="A3282" t="s">
        <v>4823</v>
      </c>
    </row>
    <row r="3283" spans="1:1">
      <c r="A3283" t="s">
        <v>4824</v>
      </c>
    </row>
    <row r="3284" spans="1:1">
      <c r="A3284" t="s">
        <v>4825</v>
      </c>
    </row>
    <row r="3285" spans="1:1">
      <c r="A3285" t="s">
        <v>4826</v>
      </c>
    </row>
    <row r="3286" spans="1:1">
      <c r="A3286" t="s">
        <v>4827</v>
      </c>
    </row>
    <row r="3287" spans="1:1">
      <c r="A3287" t="s">
        <v>4828</v>
      </c>
    </row>
    <row r="3288" spans="1:1">
      <c r="A3288" t="s">
        <v>4829</v>
      </c>
    </row>
    <row r="3289" spans="1:1">
      <c r="A3289" t="s">
        <v>4830</v>
      </c>
    </row>
    <row r="3290" spans="1:1">
      <c r="A3290" t="s">
        <v>4831</v>
      </c>
    </row>
    <row r="3291" spans="1:1">
      <c r="A3291" t="s">
        <v>4832</v>
      </c>
    </row>
    <row r="3292" spans="1:1">
      <c r="A3292" t="s">
        <v>4833</v>
      </c>
    </row>
    <row r="3293" spans="1:1">
      <c r="A3293" t="s">
        <v>4834</v>
      </c>
    </row>
    <row r="3294" spans="1:1">
      <c r="A3294" t="s">
        <v>4835</v>
      </c>
    </row>
    <row r="3295" spans="1:1">
      <c r="A3295" t="s">
        <v>4836</v>
      </c>
    </row>
    <row r="3296" spans="1:1">
      <c r="A3296" t="s">
        <v>4837</v>
      </c>
    </row>
    <row r="3297" spans="1:1">
      <c r="A3297" t="s">
        <v>4838</v>
      </c>
    </row>
    <row r="3298" spans="1:1">
      <c r="A3298" t="s">
        <v>4839</v>
      </c>
    </row>
    <row r="3299" spans="1:1">
      <c r="A3299" t="s">
        <v>4840</v>
      </c>
    </row>
    <row r="3300" spans="1:1">
      <c r="A3300" t="s">
        <v>4841</v>
      </c>
    </row>
    <row r="3301" spans="1:1">
      <c r="A3301" t="s">
        <v>4842</v>
      </c>
    </row>
    <row r="3302" spans="1:1">
      <c r="A3302" t="s">
        <v>4843</v>
      </c>
    </row>
    <row r="3303" spans="1:1">
      <c r="A3303" t="s">
        <v>4844</v>
      </c>
    </row>
    <row r="3304" spans="1:1">
      <c r="A3304" t="s">
        <v>4845</v>
      </c>
    </row>
    <row r="3305" spans="1:1">
      <c r="A3305" t="s">
        <v>4846</v>
      </c>
    </row>
    <row r="3306" spans="1:1">
      <c r="A3306" t="s">
        <v>4847</v>
      </c>
    </row>
    <row r="3307" spans="1:1">
      <c r="A3307" t="s">
        <v>4848</v>
      </c>
    </row>
    <row r="3308" spans="1:1">
      <c r="A3308" t="s">
        <v>4849</v>
      </c>
    </row>
    <row r="3309" spans="1:1">
      <c r="A3309" t="s">
        <v>4850</v>
      </c>
    </row>
    <row r="3310" spans="1:1">
      <c r="A3310" t="s">
        <v>4851</v>
      </c>
    </row>
    <row r="3311" spans="1:1">
      <c r="A3311" t="s">
        <v>4852</v>
      </c>
    </row>
    <row r="3312" spans="1:1">
      <c r="A3312" t="s">
        <v>4853</v>
      </c>
    </row>
    <row r="3313" spans="1:1">
      <c r="A3313" t="s">
        <v>4854</v>
      </c>
    </row>
    <row r="3314" spans="1:1">
      <c r="A3314" t="s">
        <v>4855</v>
      </c>
    </row>
    <row r="3315" spans="1:1">
      <c r="A3315" t="s">
        <v>4856</v>
      </c>
    </row>
    <row r="3316" spans="1:1">
      <c r="A3316" t="s">
        <v>4857</v>
      </c>
    </row>
    <row r="3317" spans="1:1">
      <c r="A3317" t="s">
        <v>4858</v>
      </c>
    </row>
    <row r="3318" spans="1:1">
      <c r="A3318" t="s">
        <v>4859</v>
      </c>
    </row>
    <row r="3319" spans="1:1">
      <c r="A3319" t="s">
        <v>4860</v>
      </c>
    </row>
    <row r="3320" spans="1:1">
      <c r="A3320" t="s">
        <v>4861</v>
      </c>
    </row>
    <row r="3321" spans="1:1">
      <c r="A3321" t="s">
        <v>4862</v>
      </c>
    </row>
    <row r="3322" spans="1:1">
      <c r="A3322" t="s">
        <v>4863</v>
      </c>
    </row>
    <row r="3323" spans="1:1">
      <c r="A3323" t="s">
        <v>4864</v>
      </c>
    </row>
    <row r="3324" spans="1:1">
      <c r="A3324" t="s">
        <v>4865</v>
      </c>
    </row>
    <row r="3325" spans="1:1">
      <c r="A3325" t="s">
        <v>4866</v>
      </c>
    </row>
    <row r="3326" spans="1:1">
      <c r="A3326" t="s">
        <v>4867</v>
      </c>
    </row>
    <row r="3327" spans="1:1">
      <c r="A3327" t="s">
        <v>4868</v>
      </c>
    </row>
    <row r="3328" spans="1:1">
      <c r="A3328" t="s">
        <v>4869</v>
      </c>
    </row>
    <row r="3329" spans="1:1">
      <c r="A3329" t="s">
        <v>4870</v>
      </c>
    </row>
    <row r="3330" spans="1:1">
      <c r="A3330" t="s">
        <v>4871</v>
      </c>
    </row>
    <row r="3331" spans="1:1">
      <c r="A3331" t="s">
        <v>4872</v>
      </c>
    </row>
    <row r="3332" spans="1:1">
      <c r="A3332" t="s">
        <v>4873</v>
      </c>
    </row>
    <row r="3333" spans="1:1">
      <c r="A3333" t="s">
        <v>4874</v>
      </c>
    </row>
    <row r="3334" spans="1:1">
      <c r="A3334" t="s">
        <v>4875</v>
      </c>
    </row>
    <row r="3335" spans="1:1">
      <c r="A3335" t="s">
        <v>4876</v>
      </c>
    </row>
    <row r="3336" spans="1:1">
      <c r="A3336" t="s">
        <v>4877</v>
      </c>
    </row>
    <row r="3337" spans="1:1">
      <c r="A3337" t="s">
        <v>4878</v>
      </c>
    </row>
    <row r="3338" spans="1:1">
      <c r="A3338" t="s">
        <v>4879</v>
      </c>
    </row>
    <row r="3339" spans="1:1">
      <c r="A3339" t="s">
        <v>4880</v>
      </c>
    </row>
    <row r="3340" spans="1:1">
      <c r="A3340" t="s">
        <v>4881</v>
      </c>
    </row>
    <row r="3341" spans="1:1">
      <c r="A3341" t="s">
        <v>4882</v>
      </c>
    </row>
    <row r="3342" spans="1:1">
      <c r="A3342" t="s">
        <v>4883</v>
      </c>
    </row>
    <row r="3343" spans="1:1">
      <c r="A3343" t="s">
        <v>4884</v>
      </c>
    </row>
    <row r="3344" spans="1:1">
      <c r="A3344" t="s">
        <v>4885</v>
      </c>
    </row>
    <row r="3345" spans="1:1">
      <c r="A3345" t="s">
        <v>4886</v>
      </c>
    </row>
    <row r="3346" spans="1:1">
      <c r="A3346" t="s">
        <v>4887</v>
      </c>
    </row>
    <row r="3347" spans="1:1">
      <c r="A3347" t="s">
        <v>4888</v>
      </c>
    </row>
    <row r="3348" spans="1:1">
      <c r="A3348" t="s">
        <v>4889</v>
      </c>
    </row>
    <row r="3349" spans="1:1">
      <c r="A3349" t="s">
        <v>4890</v>
      </c>
    </row>
    <row r="3350" spans="1:1">
      <c r="A3350" t="s">
        <v>4891</v>
      </c>
    </row>
    <row r="3351" spans="1:1">
      <c r="A3351" t="s">
        <v>4892</v>
      </c>
    </row>
    <row r="3352" spans="1:1">
      <c r="A3352" t="s">
        <v>4893</v>
      </c>
    </row>
    <row r="3353" spans="1:1">
      <c r="A3353" t="s">
        <v>4894</v>
      </c>
    </row>
    <row r="3354" spans="1:1">
      <c r="A3354" t="s">
        <v>4895</v>
      </c>
    </row>
    <row r="3355" spans="1:1">
      <c r="A3355" t="s">
        <v>4896</v>
      </c>
    </row>
    <row r="3356" spans="1:1">
      <c r="A3356" t="s">
        <v>4897</v>
      </c>
    </row>
    <row r="3357" spans="1:1">
      <c r="A3357" t="s">
        <v>4898</v>
      </c>
    </row>
    <row r="3358" spans="1:1">
      <c r="A3358" t="s">
        <v>4899</v>
      </c>
    </row>
    <row r="3359" spans="1:1">
      <c r="A3359" t="s">
        <v>4900</v>
      </c>
    </row>
    <row r="3360" spans="1:1">
      <c r="A3360" t="s">
        <v>4901</v>
      </c>
    </row>
    <row r="3361" spans="1:1">
      <c r="A3361" t="s">
        <v>4902</v>
      </c>
    </row>
    <row r="3362" spans="1:1">
      <c r="A3362" t="s">
        <v>4903</v>
      </c>
    </row>
    <row r="3363" spans="1:1">
      <c r="A3363" t="s">
        <v>4904</v>
      </c>
    </row>
    <row r="3364" spans="1:1">
      <c r="A3364" t="s">
        <v>4905</v>
      </c>
    </row>
    <row r="3365" spans="1:1">
      <c r="A3365" t="s">
        <v>4906</v>
      </c>
    </row>
    <row r="3366" spans="1:1">
      <c r="A3366" t="s">
        <v>4907</v>
      </c>
    </row>
    <row r="3367" spans="1:1">
      <c r="A3367" t="s">
        <v>4908</v>
      </c>
    </row>
    <row r="3368" spans="1:1">
      <c r="A3368" t="s">
        <v>4909</v>
      </c>
    </row>
    <row r="3369" spans="1:1">
      <c r="A3369" t="s">
        <v>4910</v>
      </c>
    </row>
    <row r="3370" spans="1:1">
      <c r="A3370" t="s">
        <v>4911</v>
      </c>
    </row>
    <row r="3371" spans="1:1">
      <c r="A3371" t="s">
        <v>4912</v>
      </c>
    </row>
    <row r="3372" spans="1:1">
      <c r="A3372" t="s">
        <v>4913</v>
      </c>
    </row>
    <row r="3373" spans="1:1">
      <c r="A3373" t="s">
        <v>4914</v>
      </c>
    </row>
    <row r="3374" spans="1:1">
      <c r="A3374" t="s">
        <v>4915</v>
      </c>
    </row>
    <row r="3375" spans="1:1">
      <c r="A3375" t="s">
        <v>4916</v>
      </c>
    </row>
    <row r="3376" spans="1:1">
      <c r="A3376" t="s">
        <v>4917</v>
      </c>
    </row>
    <row r="3377" spans="1:1">
      <c r="A3377" t="s">
        <v>4918</v>
      </c>
    </row>
    <row r="3378" spans="1:1">
      <c r="A3378" t="s">
        <v>4919</v>
      </c>
    </row>
    <row r="3379" spans="1:1">
      <c r="A3379" t="s">
        <v>4920</v>
      </c>
    </row>
    <row r="3380" spans="1:1">
      <c r="A3380" t="s">
        <v>4921</v>
      </c>
    </row>
    <row r="3381" spans="1:1">
      <c r="A3381" t="s">
        <v>4922</v>
      </c>
    </row>
    <row r="3382" spans="1:1">
      <c r="A3382" t="s">
        <v>4923</v>
      </c>
    </row>
    <row r="3383" spans="1:1">
      <c r="A3383" t="s">
        <v>4924</v>
      </c>
    </row>
    <row r="3384" spans="1:1">
      <c r="A3384" t="s">
        <v>4925</v>
      </c>
    </row>
    <row r="3385" spans="1:1">
      <c r="A3385" t="s">
        <v>4926</v>
      </c>
    </row>
    <row r="3386" spans="1:1">
      <c r="A3386" t="s">
        <v>4927</v>
      </c>
    </row>
    <row r="3387" spans="1:1">
      <c r="A3387" t="s">
        <v>4928</v>
      </c>
    </row>
    <row r="3388" spans="1:1">
      <c r="A3388" t="s">
        <v>4929</v>
      </c>
    </row>
    <row r="3389" spans="1:1">
      <c r="A3389" t="s">
        <v>4930</v>
      </c>
    </row>
    <row r="3390" spans="1:1">
      <c r="A3390" t="s">
        <v>4931</v>
      </c>
    </row>
    <row r="3391" spans="1:1">
      <c r="A3391" t="s">
        <v>4932</v>
      </c>
    </row>
    <row r="3392" spans="1:1">
      <c r="A3392" t="s">
        <v>4933</v>
      </c>
    </row>
    <row r="3393" spans="1:1">
      <c r="A3393" t="s">
        <v>4934</v>
      </c>
    </row>
    <row r="3394" spans="1:1">
      <c r="A3394" t="s">
        <v>4935</v>
      </c>
    </row>
    <row r="3395" spans="1:1">
      <c r="A3395" t="s">
        <v>4936</v>
      </c>
    </row>
    <row r="3396" spans="1:1">
      <c r="A3396" t="s">
        <v>4937</v>
      </c>
    </row>
    <row r="3397" spans="1:1">
      <c r="A3397" t="s">
        <v>4938</v>
      </c>
    </row>
    <row r="3398" spans="1:1">
      <c r="A3398" t="s">
        <v>4939</v>
      </c>
    </row>
    <row r="3399" spans="1:1">
      <c r="A3399" t="s">
        <v>4940</v>
      </c>
    </row>
    <row r="3400" spans="1:1">
      <c r="A3400" t="s">
        <v>4941</v>
      </c>
    </row>
    <row r="3401" spans="1:1">
      <c r="A3401" t="s">
        <v>4942</v>
      </c>
    </row>
    <row r="3402" spans="1:1">
      <c r="A3402" t="s">
        <v>4943</v>
      </c>
    </row>
    <row r="3403" spans="1:1">
      <c r="A3403" t="s">
        <v>4944</v>
      </c>
    </row>
    <row r="3404" spans="1:1">
      <c r="A3404" t="s">
        <v>4945</v>
      </c>
    </row>
    <row r="3405" spans="1:1">
      <c r="A3405" t="s">
        <v>4946</v>
      </c>
    </row>
    <row r="3406" spans="1:1">
      <c r="A3406" t="s">
        <v>4947</v>
      </c>
    </row>
    <row r="3407" spans="1:1">
      <c r="A3407" t="s">
        <v>4948</v>
      </c>
    </row>
    <row r="3408" spans="1:1">
      <c r="A3408" t="s">
        <v>4949</v>
      </c>
    </row>
    <row r="3409" spans="1:1">
      <c r="A3409" t="s">
        <v>4950</v>
      </c>
    </row>
    <row r="3410" spans="1:1">
      <c r="A3410" t="s">
        <v>4951</v>
      </c>
    </row>
    <row r="3411" spans="1:1">
      <c r="A3411" t="s">
        <v>4952</v>
      </c>
    </row>
    <row r="3412" spans="1:1">
      <c r="A3412" t="s">
        <v>4953</v>
      </c>
    </row>
    <row r="3413" spans="1:1">
      <c r="A3413" t="s">
        <v>4954</v>
      </c>
    </row>
    <row r="3414" spans="1:1">
      <c r="A3414" t="s">
        <v>4955</v>
      </c>
    </row>
    <row r="3415" spans="1:1">
      <c r="A3415" t="s">
        <v>4956</v>
      </c>
    </row>
    <row r="3416" spans="1:1">
      <c r="A3416" t="s">
        <v>4957</v>
      </c>
    </row>
    <row r="3417" spans="1:1">
      <c r="A3417" t="s">
        <v>4958</v>
      </c>
    </row>
    <row r="3418" spans="1:1">
      <c r="A3418" t="s">
        <v>4959</v>
      </c>
    </row>
    <row r="3419" spans="1:1">
      <c r="A3419" t="s">
        <v>4960</v>
      </c>
    </row>
    <row r="3420" spans="1:1">
      <c r="A3420" t="s">
        <v>4961</v>
      </c>
    </row>
    <row r="3421" spans="1:1">
      <c r="A3421" t="s">
        <v>4962</v>
      </c>
    </row>
    <row r="3422" spans="1:1">
      <c r="A3422" t="s">
        <v>4963</v>
      </c>
    </row>
    <row r="3423" spans="1:1">
      <c r="A3423" t="s">
        <v>4964</v>
      </c>
    </row>
    <row r="3424" spans="1:1">
      <c r="A3424" t="s">
        <v>4965</v>
      </c>
    </row>
    <row r="3425" spans="1:1">
      <c r="A3425" t="s">
        <v>4966</v>
      </c>
    </row>
    <row r="3426" spans="1:1">
      <c r="A3426" t="s">
        <v>4967</v>
      </c>
    </row>
    <row r="3427" spans="1:1">
      <c r="A3427" t="s">
        <v>4968</v>
      </c>
    </row>
    <row r="3428" spans="1:1">
      <c r="A3428" t="s">
        <v>4969</v>
      </c>
    </row>
    <row r="3429" spans="1:1">
      <c r="A3429" t="s">
        <v>4970</v>
      </c>
    </row>
    <row r="3430" spans="1:1">
      <c r="A3430" t="s">
        <v>4971</v>
      </c>
    </row>
    <row r="3431" spans="1:1">
      <c r="A3431" t="s">
        <v>4972</v>
      </c>
    </row>
    <row r="3432" spans="1:1">
      <c r="A3432" t="s">
        <v>4973</v>
      </c>
    </row>
    <row r="3433" spans="1:1">
      <c r="A3433" t="s">
        <v>4974</v>
      </c>
    </row>
    <row r="3434" spans="1:1">
      <c r="A3434" t="s">
        <v>4975</v>
      </c>
    </row>
    <row r="3435" spans="1:1">
      <c r="A3435" t="s">
        <v>4976</v>
      </c>
    </row>
    <row r="3436" spans="1:1">
      <c r="A3436" t="s">
        <v>4977</v>
      </c>
    </row>
    <row r="3437" spans="1:1">
      <c r="A3437" t="s">
        <v>4978</v>
      </c>
    </row>
    <row r="3438" spans="1:1">
      <c r="A3438" t="s">
        <v>4979</v>
      </c>
    </row>
    <row r="3439" spans="1:1">
      <c r="A3439" t="s">
        <v>4980</v>
      </c>
    </row>
    <row r="3440" spans="1:1">
      <c r="A3440" t="s">
        <v>4981</v>
      </c>
    </row>
    <row r="3441" spans="1:1">
      <c r="A3441" t="s">
        <v>4982</v>
      </c>
    </row>
    <row r="3442" spans="1:1">
      <c r="A3442" t="s">
        <v>4983</v>
      </c>
    </row>
    <row r="3443" spans="1:1">
      <c r="A3443" t="s">
        <v>4984</v>
      </c>
    </row>
    <row r="3444" spans="1:1">
      <c r="A3444" t="s">
        <v>4985</v>
      </c>
    </row>
    <row r="3445" spans="1:1">
      <c r="A3445" t="s">
        <v>4986</v>
      </c>
    </row>
    <row r="3446" spans="1:1">
      <c r="A3446" t="s">
        <v>4987</v>
      </c>
    </row>
    <row r="3447" spans="1:1">
      <c r="A3447" t="s">
        <v>4988</v>
      </c>
    </row>
    <row r="3448" spans="1:1">
      <c r="A3448" t="s">
        <v>4989</v>
      </c>
    </row>
    <row r="3449" spans="1:1">
      <c r="A3449" t="s">
        <v>4990</v>
      </c>
    </row>
    <row r="3450" spans="1:1">
      <c r="A3450" t="s">
        <v>4991</v>
      </c>
    </row>
    <row r="3451" spans="1:1">
      <c r="A3451" t="s">
        <v>4992</v>
      </c>
    </row>
    <row r="3452" spans="1:1">
      <c r="A3452" t="s">
        <v>4993</v>
      </c>
    </row>
    <row r="3453" spans="1:1">
      <c r="A3453" t="s">
        <v>4994</v>
      </c>
    </row>
    <row r="3454" spans="1:1">
      <c r="A3454" t="s">
        <v>4995</v>
      </c>
    </row>
    <row r="3455" spans="1:1">
      <c r="A3455" t="s">
        <v>4996</v>
      </c>
    </row>
    <row r="3456" spans="1:1">
      <c r="A3456" t="s">
        <v>4997</v>
      </c>
    </row>
    <row r="3457" spans="1:1">
      <c r="A3457" t="s">
        <v>4998</v>
      </c>
    </row>
    <row r="3458" spans="1:1">
      <c r="A3458" t="s">
        <v>4999</v>
      </c>
    </row>
    <row r="3459" spans="1:1">
      <c r="A3459" t="s">
        <v>5000</v>
      </c>
    </row>
    <row r="3460" spans="1:1">
      <c r="A3460" t="s">
        <v>5001</v>
      </c>
    </row>
    <row r="3461" spans="1:1">
      <c r="A3461" t="s">
        <v>5002</v>
      </c>
    </row>
    <row r="3462" spans="1:1">
      <c r="A3462" t="s">
        <v>5003</v>
      </c>
    </row>
    <row r="3463" spans="1:1">
      <c r="A3463" t="s">
        <v>5004</v>
      </c>
    </row>
    <row r="3464" spans="1:1">
      <c r="A3464" t="s">
        <v>5005</v>
      </c>
    </row>
    <row r="3465" spans="1:1">
      <c r="A3465" t="s">
        <v>5006</v>
      </c>
    </row>
    <row r="3466" spans="1:1">
      <c r="A3466" t="s">
        <v>5007</v>
      </c>
    </row>
    <row r="3467" spans="1:1">
      <c r="A3467" t="s">
        <v>5008</v>
      </c>
    </row>
    <row r="3468" spans="1:1">
      <c r="A3468" t="s">
        <v>5009</v>
      </c>
    </row>
    <row r="3469" spans="1:1">
      <c r="A3469" t="s">
        <v>5010</v>
      </c>
    </row>
    <row r="3470" spans="1:1">
      <c r="A3470" t="s">
        <v>5011</v>
      </c>
    </row>
    <row r="3471" spans="1:1">
      <c r="A3471" t="s">
        <v>5012</v>
      </c>
    </row>
    <row r="3472" spans="1:1">
      <c r="A3472" t="s">
        <v>5013</v>
      </c>
    </row>
    <row r="3473" spans="1:1">
      <c r="A3473" t="s">
        <v>5014</v>
      </c>
    </row>
    <row r="3474" spans="1:1">
      <c r="A3474" t="s">
        <v>5015</v>
      </c>
    </row>
    <row r="3475" spans="1:1">
      <c r="A3475" t="s">
        <v>5016</v>
      </c>
    </row>
    <row r="3476" spans="1:1">
      <c r="A3476" t="s">
        <v>5017</v>
      </c>
    </row>
    <row r="3477" spans="1:1">
      <c r="A3477" t="s">
        <v>5018</v>
      </c>
    </row>
    <row r="3478" spans="1:1">
      <c r="A3478" t="s">
        <v>5019</v>
      </c>
    </row>
    <row r="3479" spans="1:1">
      <c r="A3479" t="s">
        <v>5020</v>
      </c>
    </row>
    <row r="3480" spans="1:1">
      <c r="A3480" t="s">
        <v>5021</v>
      </c>
    </row>
    <row r="3481" spans="1:1">
      <c r="A3481" t="s">
        <v>5022</v>
      </c>
    </row>
    <row r="3482" spans="1:1">
      <c r="A3482" t="s">
        <v>5023</v>
      </c>
    </row>
    <row r="3483" spans="1:1">
      <c r="A3483" t="s">
        <v>5024</v>
      </c>
    </row>
    <row r="3484" spans="1:1">
      <c r="A3484" t="s">
        <v>5025</v>
      </c>
    </row>
    <row r="3485" spans="1:1">
      <c r="A3485" t="s">
        <v>5026</v>
      </c>
    </row>
    <row r="3486" spans="1:1">
      <c r="A3486" t="s">
        <v>5027</v>
      </c>
    </row>
    <row r="3487" spans="1:1">
      <c r="A3487" t="s">
        <v>5028</v>
      </c>
    </row>
    <row r="3488" spans="1:1">
      <c r="A3488" t="s">
        <v>5029</v>
      </c>
    </row>
    <row r="3489" spans="1:1">
      <c r="A3489" t="s">
        <v>5030</v>
      </c>
    </row>
    <row r="3490" spans="1:1">
      <c r="A3490" t="s">
        <v>5031</v>
      </c>
    </row>
    <row r="3491" spans="1:1">
      <c r="A3491" t="s">
        <v>5032</v>
      </c>
    </row>
    <row r="3492" spans="1:1">
      <c r="A3492" t="s">
        <v>5033</v>
      </c>
    </row>
    <row r="3493" spans="1:1">
      <c r="A3493" t="s">
        <v>5034</v>
      </c>
    </row>
    <row r="3494" spans="1:1">
      <c r="A3494" t="s">
        <v>5035</v>
      </c>
    </row>
    <row r="3495" spans="1:1">
      <c r="A3495" t="s">
        <v>5036</v>
      </c>
    </row>
    <row r="3496" spans="1:1">
      <c r="A3496" t="s">
        <v>5037</v>
      </c>
    </row>
    <row r="3497" spans="1:1">
      <c r="A3497" t="s">
        <v>5038</v>
      </c>
    </row>
    <row r="3498" spans="1:1">
      <c r="A3498" t="s">
        <v>5039</v>
      </c>
    </row>
    <row r="3499" spans="1:1">
      <c r="A3499" t="s">
        <v>5040</v>
      </c>
    </row>
    <row r="3500" spans="1:1">
      <c r="A3500" t="s">
        <v>5041</v>
      </c>
    </row>
    <row r="3501" spans="1:1">
      <c r="A3501" t="s">
        <v>5042</v>
      </c>
    </row>
    <row r="3502" spans="1:1">
      <c r="A3502" t="s">
        <v>5043</v>
      </c>
    </row>
    <row r="3503" spans="1:1">
      <c r="A3503" t="s">
        <v>5044</v>
      </c>
    </row>
    <row r="3504" spans="1:1">
      <c r="A3504" t="s">
        <v>5045</v>
      </c>
    </row>
    <row r="3505" spans="1:1">
      <c r="A3505" t="s">
        <v>5046</v>
      </c>
    </row>
    <row r="3506" spans="1:1">
      <c r="A3506" t="s">
        <v>5047</v>
      </c>
    </row>
    <row r="3507" spans="1:1">
      <c r="A3507" t="s">
        <v>5048</v>
      </c>
    </row>
    <row r="3508" spans="1:1">
      <c r="A3508" t="s">
        <v>5049</v>
      </c>
    </row>
    <row r="3509" spans="1:1">
      <c r="A3509" t="s">
        <v>5050</v>
      </c>
    </row>
    <row r="3510" spans="1:1">
      <c r="A3510" t="s">
        <v>5051</v>
      </c>
    </row>
    <row r="3511" spans="1:1">
      <c r="A3511" t="s">
        <v>5052</v>
      </c>
    </row>
    <row r="3512" spans="1:1">
      <c r="A3512" t="s">
        <v>5053</v>
      </c>
    </row>
    <row r="3513" spans="1:1">
      <c r="A3513" t="s">
        <v>5054</v>
      </c>
    </row>
    <row r="3514" spans="1:1">
      <c r="A3514" t="s">
        <v>5055</v>
      </c>
    </row>
    <row r="3515" spans="1:1">
      <c r="A3515" t="s">
        <v>5056</v>
      </c>
    </row>
    <row r="3516" spans="1:1">
      <c r="A3516" t="s">
        <v>5057</v>
      </c>
    </row>
    <row r="3517" spans="1:1">
      <c r="A3517" t="s">
        <v>5058</v>
      </c>
    </row>
    <row r="3518" spans="1:1">
      <c r="A3518" t="s">
        <v>5059</v>
      </c>
    </row>
    <row r="3519" spans="1:1">
      <c r="A3519" t="s">
        <v>5060</v>
      </c>
    </row>
    <row r="3520" spans="1:1">
      <c r="A3520" t="s">
        <v>5061</v>
      </c>
    </row>
    <row r="3521" spans="1:1">
      <c r="A3521" t="s">
        <v>5062</v>
      </c>
    </row>
    <row r="3522" spans="1:1">
      <c r="A3522" t="s">
        <v>5063</v>
      </c>
    </row>
    <row r="3523" spans="1:1">
      <c r="A3523" t="s">
        <v>5064</v>
      </c>
    </row>
    <row r="3524" spans="1:1">
      <c r="A3524" t="s">
        <v>5065</v>
      </c>
    </row>
    <row r="3525" spans="1:1">
      <c r="A3525" t="s">
        <v>5066</v>
      </c>
    </row>
    <row r="3526" spans="1:1">
      <c r="A3526" t="s">
        <v>5067</v>
      </c>
    </row>
    <row r="3527" spans="1:1">
      <c r="A3527" t="s">
        <v>5068</v>
      </c>
    </row>
    <row r="3528" spans="1:1">
      <c r="A3528" t="s">
        <v>5069</v>
      </c>
    </row>
    <row r="3529" spans="1:1">
      <c r="A3529" t="s">
        <v>5070</v>
      </c>
    </row>
    <row r="3530" spans="1:1">
      <c r="A3530" t="s">
        <v>5071</v>
      </c>
    </row>
    <row r="3531" spans="1:1">
      <c r="A3531" t="s">
        <v>5072</v>
      </c>
    </row>
    <row r="3532" spans="1:1">
      <c r="A3532" t="s">
        <v>5073</v>
      </c>
    </row>
    <row r="3533" spans="1:1">
      <c r="A3533" t="s">
        <v>5074</v>
      </c>
    </row>
    <row r="3534" spans="1:1">
      <c r="A3534" t="s">
        <v>5075</v>
      </c>
    </row>
    <row r="3535" spans="1:1">
      <c r="A3535" t="s">
        <v>5076</v>
      </c>
    </row>
    <row r="3536" spans="1:1">
      <c r="A3536" t="s">
        <v>5077</v>
      </c>
    </row>
    <row r="3537" spans="1:1">
      <c r="A3537" t="s">
        <v>5078</v>
      </c>
    </row>
    <row r="3538" spans="1:1">
      <c r="A3538" t="s">
        <v>5079</v>
      </c>
    </row>
    <row r="3539" spans="1:1">
      <c r="A3539" t="s">
        <v>5080</v>
      </c>
    </row>
    <row r="3540" spans="1:1">
      <c r="A3540" t="s">
        <v>5081</v>
      </c>
    </row>
    <row r="3541" spans="1:1">
      <c r="A3541" t="s">
        <v>5082</v>
      </c>
    </row>
    <row r="3542" spans="1:1">
      <c r="A3542" t="s">
        <v>5083</v>
      </c>
    </row>
    <row r="3543" spans="1:1">
      <c r="A3543" t="s">
        <v>5084</v>
      </c>
    </row>
    <row r="3544" spans="1:1">
      <c r="A3544" t="s">
        <v>5085</v>
      </c>
    </row>
    <row r="3545" spans="1:1">
      <c r="A3545" t="s">
        <v>5086</v>
      </c>
    </row>
    <row r="3546" spans="1:1">
      <c r="A3546" t="s">
        <v>5087</v>
      </c>
    </row>
    <row r="3547" spans="1:1">
      <c r="A3547" t="s">
        <v>5088</v>
      </c>
    </row>
    <row r="3548" spans="1:1">
      <c r="A3548" t="s">
        <v>5089</v>
      </c>
    </row>
    <row r="3549" spans="1:1">
      <c r="A3549" t="s">
        <v>5090</v>
      </c>
    </row>
    <row r="3550" spans="1:1">
      <c r="A3550" t="s">
        <v>5091</v>
      </c>
    </row>
    <row r="3551" spans="1:1">
      <c r="A3551" t="s">
        <v>5092</v>
      </c>
    </row>
    <row r="3552" spans="1:1">
      <c r="A3552" t="s">
        <v>5093</v>
      </c>
    </row>
    <row r="3553" spans="1:1">
      <c r="A3553" t="s">
        <v>5094</v>
      </c>
    </row>
    <row r="3554" spans="1:1">
      <c r="A3554" t="s">
        <v>5095</v>
      </c>
    </row>
    <row r="3555" spans="1:1">
      <c r="A3555" t="s">
        <v>5096</v>
      </c>
    </row>
    <row r="3556" spans="1:1">
      <c r="A3556" t="s">
        <v>5097</v>
      </c>
    </row>
    <row r="3557" spans="1:1">
      <c r="A3557" t="s">
        <v>5098</v>
      </c>
    </row>
    <row r="3558" spans="1:1">
      <c r="A3558" t="s">
        <v>5099</v>
      </c>
    </row>
    <row r="3559" spans="1:1">
      <c r="A3559" t="s">
        <v>5100</v>
      </c>
    </row>
    <row r="3560" spans="1:1">
      <c r="A3560" t="s">
        <v>5101</v>
      </c>
    </row>
    <row r="3561" spans="1:1">
      <c r="A3561" t="s">
        <v>5102</v>
      </c>
    </row>
    <row r="3562" spans="1:1">
      <c r="A3562" t="s">
        <v>5103</v>
      </c>
    </row>
    <row r="3563" spans="1:1">
      <c r="A3563" t="s">
        <v>5104</v>
      </c>
    </row>
    <row r="3564" spans="1:1">
      <c r="A3564" t="s">
        <v>5105</v>
      </c>
    </row>
    <row r="3565" spans="1:1">
      <c r="A3565" t="s">
        <v>5106</v>
      </c>
    </row>
    <row r="3566" spans="1:1">
      <c r="A3566" t="s">
        <v>5107</v>
      </c>
    </row>
    <row r="3567" spans="1:1">
      <c r="A3567" t="s">
        <v>5108</v>
      </c>
    </row>
    <row r="3568" spans="1:1">
      <c r="A3568" t="s">
        <v>5109</v>
      </c>
    </row>
    <row r="3569" spans="1:1">
      <c r="A3569" t="s">
        <v>5110</v>
      </c>
    </row>
    <row r="3570" spans="1:1">
      <c r="A3570" t="s">
        <v>5111</v>
      </c>
    </row>
    <row r="3571" spans="1:1">
      <c r="A3571" t="s">
        <v>5112</v>
      </c>
    </row>
    <row r="3572" spans="1:1">
      <c r="A3572" t="s">
        <v>5113</v>
      </c>
    </row>
    <row r="3573" spans="1:1">
      <c r="A3573" t="s">
        <v>5114</v>
      </c>
    </row>
    <row r="3574" spans="1:1">
      <c r="A3574" t="s">
        <v>5115</v>
      </c>
    </row>
    <row r="3575" spans="1:1">
      <c r="A3575" t="s">
        <v>5116</v>
      </c>
    </row>
    <row r="3576" spans="1:1">
      <c r="A3576" t="s">
        <v>5117</v>
      </c>
    </row>
    <row r="3577" spans="1:1">
      <c r="A3577" t="s">
        <v>5118</v>
      </c>
    </row>
    <row r="3578" spans="1:1">
      <c r="A3578" t="s">
        <v>5119</v>
      </c>
    </row>
    <row r="3579" spans="1:1">
      <c r="A3579" t="s">
        <v>5120</v>
      </c>
    </row>
    <row r="3580" spans="1:1">
      <c r="A3580" t="s">
        <v>5121</v>
      </c>
    </row>
    <row r="3581" spans="1:1">
      <c r="A3581" t="s">
        <v>5122</v>
      </c>
    </row>
    <row r="3582" spans="1:1">
      <c r="A3582" t="s">
        <v>5123</v>
      </c>
    </row>
    <row r="3583" spans="1:1">
      <c r="A3583" t="s">
        <v>5124</v>
      </c>
    </row>
    <row r="3584" spans="1:1">
      <c r="A3584" t="s">
        <v>5125</v>
      </c>
    </row>
    <row r="3585" spans="1:1">
      <c r="A3585" t="s">
        <v>5126</v>
      </c>
    </row>
    <row r="3586" spans="1:1">
      <c r="A3586" t="s">
        <v>5127</v>
      </c>
    </row>
    <row r="3587" spans="1:1">
      <c r="A3587" t="s">
        <v>5128</v>
      </c>
    </row>
    <row r="3588" spans="1:1">
      <c r="A3588" t="s">
        <v>5129</v>
      </c>
    </row>
    <row r="3589" spans="1:1">
      <c r="A3589" t="s">
        <v>5130</v>
      </c>
    </row>
    <row r="3590" spans="1:1">
      <c r="A3590" t="s">
        <v>5131</v>
      </c>
    </row>
    <row r="3591" spans="1:1">
      <c r="A3591" t="s">
        <v>5132</v>
      </c>
    </row>
    <row r="3592" spans="1:1">
      <c r="A3592" t="s">
        <v>5133</v>
      </c>
    </row>
    <row r="3593" spans="1:1">
      <c r="A3593" t="s">
        <v>5134</v>
      </c>
    </row>
    <row r="3594" spans="1:1">
      <c r="A3594" t="s">
        <v>5135</v>
      </c>
    </row>
    <row r="3595" spans="1:1">
      <c r="A3595" t="s">
        <v>5136</v>
      </c>
    </row>
    <row r="3596" spans="1:1">
      <c r="A3596" t="s">
        <v>5137</v>
      </c>
    </row>
    <row r="3597" spans="1:1">
      <c r="A3597" t="s">
        <v>5138</v>
      </c>
    </row>
    <row r="3598" spans="1:1">
      <c r="A3598" t="s">
        <v>5139</v>
      </c>
    </row>
    <row r="3599" spans="1:1">
      <c r="A3599" t="s">
        <v>5140</v>
      </c>
    </row>
    <row r="3600" spans="1:1">
      <c r="A3600" t="s">
        <v>5141</v>
      </c>
    </row>
    <row r="3601" spans="1:1">
      <c r="A3601" t="s">
        <v>5142</v>
      </c>
    </row>
    <row r="3602" spans="1:1">
      <c r="A3602" t="s">
        <v>5143</v>
      </c>
    </row>
    <row r="3603" spans="1:1">
      <c r="A3603" t="s">
        <v>5144</v>
      </c>
    </row>
    <row r="3604" spans="1:1">
      <c r="A3604" t="s">
        <v>5145</v>
      </c>
    </row>
    <row r="3605" spans="1:1">
      <c r="A3605" t="s">
        <v>5146</v>
      </c>
    </row>
    <row r="3606" spans="1:1">
      <c r="A3606" t="s">
        <v>5147</v>
      </c>
    </row>
    <row r="3607" spans="1:1">
      <c r="A3607" t="s">
        <v>5148</v>
      </c>
    </row>
    <row r="3608" spans="1:1">
      <c r="A3608" t="s">
        <v>5149</v>
      </c>
    </row>
    <row r="3609" spans="1:1">
      <c r="A3609" t="s">
        <v>5150</v>
      </c>
    </row>
    <row r="3610" spans="1:1">
      <c r="A3610" t="s">
        <v>5151</v>
      </c>
    </row>
    <row r="3611" spans="1:1">
      <c r="A3611" t="s">
        <v>5152</v>
      </c>
    </row>
    <row r="3612" spans="1:1">
      <c r="A3612" t="s">
        <v>5153</v>
      </c>
    </row>
    <row r="3613" spans="1:1">
      <c r="A3613" t="s">
        <v>5154</v>
      </c>
    </row>
    <row r="3614" spans="1:1">
      <c r="A3614" t="s">
        <v>5155</v>
      </c>
    </row>
    <row r="3615" spans="1:1">
      <c r="A3615" t="s">
        <v>5156</v>
      </c>
    </row>
    <row r="3616" spans="1:1">
      <c r="A3616" t="s">
        <v>5157</v>
      </c>
    </row>
    <row r="3617" spans="1:1">
      <c r="A3617" t="s">
        <v>5158</v>
      </c>
    </row>
    <row r="3618" spans="1:1">
      <c r="A3618" t="s">
        <v>5159</v>
      </c>
    </row>
    <row r="3619" spans="1:1">
      <c r="A3619" t="s">
        <v>5160</v>
      </c>
    </row>
    <row r="3620" spans="1:1">
      <c r="A3620" t="s">
        <v>5161</v>
      </c>
    </row>
    <row r="3621" spans="1:1">
      <c r="A3621" t="s">
        <v>5162</v>
      </c>
    </row>
    <row r="3622" spans="1:1">
      <c r="A3622" t="s">
        <v>5163</v>
      </c>
    </row>
    <row r="3623" spans="1:1">
      <c r="A3623" t="s">
        <v>5164</v>
      </c>
    </row>
    <row r="3624" spans="1:1">
      <c r="A3624" t="s">
        <v>5165</v>
      </c>
    </row>
    <row r="3625" spans="1:1">
      <c r="A3625" t="s">
        <v>5166</v>
      </c>
    </row>
    <row r="3626" spans="1:1">
      <c r="A3626" t="s">
        <v>5167</v>
      </c>
    </row>
    <row r="3627" spans="1:1">
      <c r="A3627" t="s">
        <v>5168</v>
      </c>
    </row>
    <row r="3628" spans="1:1">
      <c r="A3628" t="s">
        <v>5169</v>
      </c>
    </row>
    <row r="3629" spans="1:1">
      <c r="A3629" t="s">
        <v>5170</v>
      </c>
    </row>
    <row r="3630" spans="1:1">
      <c r="A3630" t="s">
        <v>5171</v>
      </c>
    </row>
    <row r="3631" spans="1:1">
      <c r="A3631" t="s">
        <v>5172</v>
      </c>
    </row>
    <row r="3632" spans="1:1">
      <c r="A3632" t="s">
        <v>5173</v>
      </c>
    </row>
    <row r="3633" spans="1:1">
      <c r="A3633" t="s">
        <v>5174</v>
      </c>
    </row>
    <row r="3634" spans="1:1">
      <c r="A3634" t="s">
        <v>5175</v>
      </c>
    </row>
    <row r="3635" spans="1:1">
      <c r="A3635" t="s">
        <v>5176</v>
      </c>
    </row>
    <row r="3636" spans="1:1">
      <c r="A3636" t="s">
        <v>5177</v>
      </c>
    </row>
    <row r="3637" spans="1:1">
      <c r="A3637" t="s">
        <v>5178</v>
      </c>
    </row>
    <row r="3638" spans="1:1">
      <c r="A3638" t="s">
        <v>5179</v>
      </c>
    </row>
    <row r="3639" spans="1:1">
      <c r="A3639" t="s">
        <v>5180</v>
      </c>
    </row>
    <row r="3640" spans="1:1">
      <c r="A3640" t="s">
        <v>5181</v>
      </c>
    </row>
    <row r="3641" spans="1:1">
      <c r="A3641" t="s">
        <v>5182</v>
      </c>
    </row>
    <row r="3642" spans="1:1">
      <c r="A3642" t="s">
        <v>5183</v>
      </c>
    </row>
    <row r="3643" spans="1:1">
      <c r="A3643" t="s">
        <v>5184</v>
      </c>
    </row>
    <row r="3644" spans="1:1">
      <c r="A3644" t="s">
        <v>5185</v>
      </c>
    </row>
    <row r="3645" spans="1:1">
      <c r="A3645" t="s">
        <v>5186</v>
      </c>
    </row>
    <row r="3646" spans="1:1">
      <c r="A3646" t="s">
        <v>5187</v>
      </c>
    </row>
    <row r="3647" spans="1:1">
      <c r="A3647" t="s">
        <v>5188</v>
      </c>
    </row>
    <row r="3648" spans="1:1">
      <c r="A3648" t="s">
        <v>5189</v>
      </c>
    </row>
    <row r="3649" spans="1:1">
      <c r="A3649" t="s">
        <v>5190</v>
      </c>
    </row>
    <row r="3650" spans="1:1">
      <c r="A3650" t="s">
        <v>5191</v>
      </c>
    </row>
    <row r="3651" spans="1:1">
      <c r="A3651" t="s">
        <v>5192</v>
      </c>
    </row>
    <row r="3652" spans="1:1">
      <c r="A3652" t="s">
        <v>5193</v>
      </c>
    </row>
    <row r="3653" spans="1:1">
      <c r="A3653" t="s">
        <v>5194</v>
      </c>
    </row>
    <row r="3654" spans="1:1">
      <c r="A3654" t="s">
        <v>5195</v>
      </c>
    </row>
    <row r="3655" spans="1:1">
      <c r="A3655" t="s">
        <v>5196</v>
      </c>
    </row>
    <row r="3656" spans="1:1">
      <c r="A3656" t="s">
        <v>5197</v>
      </c>
    </row>
    <row r="3657" spans="1:1">
      <c r="A3657" t="s">
        <v>5198</v>
      </c>
    </row>
    <row r="3658" spans="1:1">
      <c r="A3658" t="s">
        <v>5199</v>
      </c>
    </row>
    <row r="3659" spans="1:1">
      <c r="A3659" t="s">
        <v>5200</v>
      </c>
    </row>
    <row r="3660" spans="1:1">
      <c r="A3660" t="s">
        <v>5201</v>
      </c>
    </row>
    <row r="3661" spans="1:1">
      <c r="A3661" t="s">
        <v>5202</v>
      </c>
    </row>
    <row r="3662" spans="1:1">
      <c r="A3662" t="s">
        <v>5203</v>
      </c>
    </row>
    <row r="3663" spans="1:1">
      <c r="A3663" t="s">
        <v>5204</v>
      </c>
    </row>
    <row r="3664" spans="1:1">
      <c r="A3664" t="s">
        <v>5205</v>
      </c>
    </row>
    <row r="3665" spans="1:1">
      <c r="A3665" t="s">
        <v>5206</v>
      </c>
    </row>
    <row r="3666" spans="1:1">
      <c r="A3666" t="s">
        <v>5207</v>
      </c>
    </row>
    <row r="3667" spans="1:1">
      <c r="A3667" t="s">
        <v>5208</v>
      </c>
    </row>
    <row r="3668" spans="1:1">
      <c r="A3668" t="s">
        <v>5209</v>
      </c>
    </row>
    <row r="3669" spans="1:1">
      <c r="A3669" t="s">
        <v>5210</v>
      </c>
    </row>
    <row r="3670" spans="1:1">
      <c r="A3670" t="s">
        <v>5211</v>
      </c>
    </row>
    <row r="3671" spans="1:1">
      <c r="A3671" t="s">
        <v>5212</v>
      </c>
    </row>
    <row r="3672" spans="1:1">
      <c r="A3672" t="s">
        <v>5213</v>
      </c>
    </row>
    <row r="3673" spans="1:1">
      <c r="A3673" t="s">
        <v>5214</v>
      </c>
    </row>
    <row r="3674" spans="1:1">
      <c r="A3674" t="s">
        <v>5215</v>
      </c>
    </row>
    <row r="3675" spans="1:1">
      <c r="A3675" t="s">
        <v>5216</v>
      </c>
    </row>
    <row r="3676" spans="1:1">
      <c r="A3676" t="s">
        <v>5217</v>
      </c>
    </row>
    <row r="3677" spans="1:1">
      <c r="A3677" t="s">
        <v>5218</v>
      </c>
    </row>
    <row r="3678" spans="1:1">
      <c r="A3678" t="s">
        <v>5219</v>
      </c>
    </row>
    <row r="3679" spans="1:1">
      <c r="A3679" t="s">
        <v>5220</v>
      </c>
    </row>
    <row r="3680" spans="1:1">
      <c r="A3680" t="s">
        <v>5221</v>
      </c>
    </row>
    <row r="3681" spans="1:1">
      <c r="A3681" t="s">
        <v>5222</v>
      </c>
    </row>
    <row r="3682" spans="1:1">
      <c r="A3682" t="s">
        <v>5223</v>
      </c>
    </row>
    <row r="3683" spans="1:1">
      <c r="A3683" t="s">
        <v>5224</v>
      </c>
    </row>
    <row r="3684" spans="1:1">
      <c r="A3684" t="s">
        <v>5225</v>
      </c>
    </row>
    <row r="3685" spans="1:1">
      <c r="A3685" t="s">
        <v>5226</v>
      </c>
    </row>
    <row r="3686" spans="1:1">
      <c r="A3686" t="s">
        <v>5227</v>
      </c>
    </row>
    <row r="3687" spans="1:1">
      <c r="A3687" t="s">
        <v>5228</v>
      </c>
    </row>
    <row r="3688" spans="1:1">
      <c r="A3688" t="s">
        <v>5229</v>
      </c>
    </row>
    <row r="3689" spans="1:1">
      <c r="A3689" t="s">
        <v>5230</v>
      </c>
    </row>
    <row r="3690" spans="1:1">
      <c r="A3690" t="s">
        <v>5231</v>
      </c>
    </row>
    <row r="3691" spans="1:1">
      <c r="A3691" t="s">
        <v>5232</v>
      </c>
    </row>
    <row r="3692" spans="1:1">
      <c r="A3692" t="s">
        <v>5233</v>
      </c>
    </row>
    <row r="3693" spans="1:1">
      <c r="A3693" t="s">
        <v>5234</v>
      </c>
    </row>
    <row r="3694" spans="1:1">
      <c r="A3694" t="s">
        <v>5235</v>
      </c>
    </row>
    <row r="3695" spans="1:1">
      <c r="A3695" t="s">
        <v>5236</v>
      </c>
    </row>
    <row r="3696" spans="1:1">
      <c r="A3696" t="s">
        <v>5237</v>
      </c>
    </row>
    <row r="3697" spans="1:1">
      <c r="A3697" t="s">
        <v>5238</v>
      </c>
    </row>
    <row r="3698" spans="1:1">
      <c r="A3698" t="s">
        <v>5239</v>
      </c>
    </row>
    <row r="3699" spans="1:1">
      <c r="A3699" t="s">
        <v>5240</v>
      </c>
    </row>
    <row r="3700" spans="1:1">
      <c r="A3700" t="s">
        <v>5241</v>
      </c>
    </row>
    <row r="3701" spans="1:1">
      <c r="A3701" t="s">
        <v>5242</v>
      </c>
    </row>
    <row r="3702" spans="1:1">
      <c r="A3702" t="s">
        <v>5243</v>
      </c>
    </row>
    <row r="3703" spans="1:1">
      <c r="A3703" t="s">
        <v>5244</v>
      </c>
    </row>
    <row r="3704" spans="1:1">
      <c r="A3704" t="s">
        <v>5245</v>
      </c>
    </row>
    <row r="3705" spans="1:1">
      <c r="A3705" t="s">
        <v>5246</v>
      </c>
    </row>
    <row r="3706" spans="1:1">
      <c r="A3706" t="s">
        <v>5247</v>
      </c>
    </row>
    <row r="3707" spans="1:1">
      <c r="A3707" t="s">
        <v>5248</v>
      </c>
    </row>
    <row r="3708" spans="1:1">
      <c r="A3708" t="s">
        <v>5249</v>
      </c>
    </row>
    <row r="3709" spans="1:1">
      <c r="A3709" t="s">
        <v>5250</v>
      </c>
    </row>
    <row r="3710" spans="1:1">
      <c r="A3710" t="s">
        <v>5251</v>
      </c>
    </row>
    <row r="3711" spans="1:1">
      <c r="A3711" t="s">
        <v>5252</v>
      </c>
    </row>
    <row r="3712" spans="1:1">
      <c r="A3712" t="s">
        <v>5253</v>
      </c>
    </row>
    <row r="3713" spans="1:1">
      <c r="A3713" t="s">
        <v>5254</v>
      </c>
    </row>
    <row r="3714" spans="1:1">
      <c r="A3714" t="s">
        <v>5255</v>
      </c>
    </row>
    <row r="3715" spans="1:1">
      <c r="A3715" t="s">
        <v>5256</v>
      </c>
    </row>
    <row r="3716" spans="1:1">
      <c r="A3716" t="s">
        <v>5257</v>
      </c>
    </row>
    <row r="3717" spans="1:1">
      <c r="A3717" t="s">
        <v>5258</v>
      </c>
    </row>
    <row r="3718" spans="1:1">
      <c r="A3718" t="s">
        <v>5259</v>
      </c>
    </row>
    <row r="3719" spans="1:1">
      <c r="A3719" t="s">
        <v>5260</v>
      </c>
    </row>
    <row r="3720" spans="1:1">
      <c r="A3720" t="s">
        <v>5261</v>
      </c>
    </row>
    <row r="3721" spans="1:1">
      <c r="A3721" t="s">
        <v>5262</v>
      </c>
    </row>
    <row r="3722" spans="1:1">
      <c r="A3722" t="s">
        <v>5263</v>
      </c>
    </row>
    <row r="3723" spans="1:1">
      <c r="A3723" t="s">
        <v>5264</v>
      </c>
    </row>
    <row r="3724" spans="1:1">
      <c r="A3724" t="s">
        <v>5265</v>
      </c>
    </row>
    <row r="3725" spans="1:1">
      <c r="A3725" t="s">
        <v>5266</v>
      </c>
    </row>
    <row r="3726" spans="1:1">
      <c r="A3726" t="s">
        <v>5267</v>
      </c>
    </row>
    <row r="3727" spans="1:1">
      <c r="A3727" t="s">
        <v>5268</v>
      </c>
    </row>
    <row r="3728" spans="1:1">
      <c r="A3728" t="s">
        <v>5269</v>
      </c>
    </row>
    <row r="3729" spans="1:1">
      <c r="A3729" t="s">
        <v>5270</v>
      </c>
    </row>
    <row r="3730" spans="1:1">
      <c r="A3730" t="s">
        <v>5271</v>
      </c>
    </row>
    <row r="3731" spans="1:1">
      <c r="A3731" t="s">
        <v>5272</v>
      </c>
    </row>
    <row r="3732" spans="1:1">
      <c r="A3732" t="s">
        <v>5273</v>
      </c>
    </row>
    <row r="3733" spans="1:1">
      <c r="A3733" t="s">
        <v>5274</v>
      </c>
    </row>
    <row r="3734" spans="1:1">
      <c r="A3734" t="s">
        <v>5275</v>
      </c>
    </row>
    <row r="3735" spans="1:1">
      <c r="A3735" t="s">
        <v>5276</v>
      </c>
    </row>
    <row r="3736" spans="1:1">
      <c r="A3736" t="s">
        <v>5277</v>
      </c>
    </row>
    <row r="3737" spans="1:1">
      <c r="A3737" t="s">
        <v>5278</v>
      </c>
    </row>
    <row r="3738" spans="1:1">
      <c r="A3738" t="s">
        <v>5279</v>
      </c>
    </row>
    <row r="3739" spans="1:1">
      <c r="A3739" t="s">
        <v>5280</v>
      </c>
    </row>
    <row r="3740" spans="1:1">
      <c r="A3740" t="s">
        <v>5281</v>
      </c>
    </row>
    <row r="3741" spans="1:1">
      <c r="A3741" t="s">
        <v>5282</v>
      </c>
    </row>
    <row r="3742" spans="1:1">
      <c r="A3742" t="s">
        <v>5283</v>
      </c>
    </row>
    <row r="3743" spans="1:1">
      <c r="A3743" t="s">
        <v>5284</v>
      </c>
    </row>
    <row r="3744" spans="1:1">
      <c r="A3744" t="s">
        <v>5285</v>
      </c>
    </row>
    <row r="3745" spans="1:1">
      <c r="A3745" t="s">
        <v>5286</v>
      </c>
    </row>
    <row r="3746" spans="1:1">
      <c r="A3746" t="s">
        <v>5287</v>
      </c>
    </row>
    <row r="3747" spans="1:1">
      <c r="A3747" t="s">
        <v>5288</v>
      </c>
    </row>
    <row r="3748" spans="1:1">
      <c r="A3748" t="s">
        <v>5289</v>
      </c>
    </row>
    <row r="3749" spans="1:1">
      <c r="A3749" t="s">
        <v>5290</v>
      </c>
    </row>
    <row r="3750" spans="1:1">
      <c r="A3750" t="s">
        <v>5291</v>
      </c>
    </row>
    <row r="3751" spans="1:1">
      <c r="A3751" t="s">
        <v>5292</v>
      </c>
    </row>
    <row r="3752" spans="1:1">
      <c r="A3752" t="s">
        <v>5293</v>
      </c>
    </row>
    <row r="3753" spans="1:1">
      <c r="A3753" t="s">
        <v>5294</v>
      </c>
    </row>
    <row r="3754" spans="1:1">
      <c r="A3754" t="s">
        <v>5295</v>
      </c>
    </row>
    <row r="3755" spans="1:1">
      <c r="A3755" t="s">
        <v>5296</v>
      </c>
    </row>
    <row r="3756" spans="1:1">
      <c r="A3756" t="s">
        <v>5297</v>
      </c>
    </row>
    <row r="3757" spans="1:1">
      <c r="A3757" t="s">
        <v>5298</v>
      </c>
    </row>
    <row r="3758" spans="1:1">
      <c r="A3758" t="s">
        <v>5299</v>
      </c>
    </row>
    <row r="3759" spans="1:1">
      <c r="A3759" t="s">
        <v>5300</v>
      </c>
    </row>
    <row r="3760" spans="1:1">
      <c r="A3760" t="s">
        <v>5301</v>
      </c>
    </row>
    <row r="3761" spans="1:1">
      <c r="A3761" t="s">
        <v>5302</v>
      </c>
    </row>
    <row r="3762" spans="1:1">
      <c r="A3762" t="s">
        <v>5303</v>
      </c>
    </row>
    <row r="3763" spans="1:1">
      <c r="A3763" t="s">
        <v>5304</v>
      </c>
    </row>
    <row r="3764" spans="1:1">
      <c r="A3764" t="s">
        <v>5305</v>
      </c>
    </row>
    <row r="3765" spans="1:1">
      <c r="A3765" t="s">
        <v>5306</v>
      </c>
    </row>
    <row r="3766" spans="1:1">
      <c r="A3766" t="s">
        <v>5307</v>
      </c>
    </row>
    <row r="3767" spans="1:1">
      <c r="A3767" t="s">
        <v>5308</v>
      </c>
    </row>
    <row r="3768" spans="1:1">
      <c r="A3768" t="s">
        <v>5309</v>
      </c>
    </row>
    <row r="3769" spans="1:1">
      <c r="A3769" t="s">
        <v>5310</v>
      </c>
    </row>
    <row r="3770" spans="1:1">
      <c r="A3770" t="s">
        <v>5311</v>
      </c>
    </row>
    <row r="3771" spans="1:1">
      <c r="A3771" t="s">
        <v>5312</v>
      </c>
    </row>
    <row r="3772" spans="1:1">
      <c r="A3772" t="s">
        <v>5313</v>
      </c>
    </row>
    <row r="3773" spans="1:1">
      <c r="A3773" t="s">
        <v>5314</v>
      </c>
    </row>
    <row r="3774" spans="1:1">
      <c r="A3774" t="s">
        <v>5315</v>
      </c>
    </row>
    <row r="3775" spans="1:1">
      <c r="A3775" t="s">
        <v>5316</v>
      </c>
    </row>
    <row r="3776" spans="1:1">
      <c r="A3776" t="s">
        <v>5317</v>
      </c>
    </row>
    <row r="3777" spans="1:1">
      <c r="A3777" t="s">
        <v>5318</v>
      </c>
    </row>
    <row r="3778" spans="1:1">
      <c r="A3778" t="s">
        <v>5319</v>
      </c>
    </row>
    <row r="3779" spans="1:1">
      <c r="A3779" t="s">
        <v>5320</v>
      </c>
    </row>
    <row r="3780" spans="1:1">
      <c r="A3780" t="s">
        <v>5321</v>
      </c>
    </row>
    <row r="3781" spans="1:1">
      <c r="A3781" t="s">
        <v>5322</v>
      </c>
    </row>
    <row r="3782" spans="1:1">
      <c r="A3782" t="s">
        <v>5323</v>
      </c>
    </row>
    <row r="3783" spans="1:1">
      <c r="A3783" t="s">
        <v>5324</v>
      </c>
    </row>
    <row r="3784" spans="1:1">
      <c r="A3784" t="s">
        <v>5325</v>
      </c>
    </row>
    <row r="3785" spans="1:1">
      <c r="A3785" t="s">
        <v>5326</v>
      </c>
    </row>
    <row r="3786" spans="1:1">
      <c r="A3786" t="s">
        <v>5327</v>
      </c>
    </row>
    <row r="3787" spans="1:1">
      <c r="A3787" t="s">
        <v>5328</v>
      </c>
    </row>
    <row r="3788" spans="1:1">
      <c r="A3788" t="s">
        <v>5329</v>
      </c>
    </row>
    <row r="3789" spans="1:1">
      <c r="A3789" t="s">
        <v>5330</v>
      </c>
    </row>
    <row r="3790" spans="1:1">
      <c r="A3790" t="s">
        <v>5331</v>
      </c>
    </row>
    <row r="3791" spans="1:1">
      <c r="A3791" t="s">
        <v>5332</v>
      </c>
    </row>
    <row r="3792" spans="1:1">
      <c r="A3792" t="s">
        <v>5333</v>
      </c>
    </row>
    <row r="3793" spans="1:1">
      <c r="A3793" t="s">
        <v>5334</v>
      </c>
    </row>
    <row r="3794" spans="1:1">
      <c r="A3794" t="s">
        <v>5335</v>
      </c>
    </row>
    <row r="3795" spans="1:1">
      <c r="A3795" t="s">
        <v>5336</v>
      </c>
    </row>
    <row r="3796" spans="1:1">
      <c r="A3796" t="s">
        <v>5337</v>
      </c>
    </row>
    <row r="3797" spans="1:1">
      <c r="A3797" t="s">
        <v>5338</v>
      </c>
    </row>
    <row r="3798" spans="1:1">
      <c r="A3798" t="s">
        <v>5339</v>
      </c>
    </row>
    <row r="3799" spans="1:1">
      <c r="A3799" t="s">
        <v>5340</v>
      </c>
    </row>
    <row r="3800" spans="1:1">
      <c r="A3800" t="s">
        <v>5341</v>
      </c>
    </row>
    <row r="3801" spans="1:1">
      <c r="A3801" t="s">
        <v>5342</v>
      </c>
    </row>
    <row r="3802" spans="1:1">
      <c r="A3802" t="s">
        <v>5343</v>
      </c>
    </row>
    <row r="3803" spans="1:1">
      <c r="A3803" t="s">
        <v>5344</v>
      </c>
    </row>
    <row r="3804" spans="1:1">
      <c r="A3804" t="s">
        <v>5345</v>
      </c>
    </row>
    <row r="3805" spans="1:1">
      <c r="A3805" t="s">
        <v>5346</v>
      </c>
    </row>
    <row r="3806" spans="1:1">
      <c r="A3806" t="s">
        <v>5347</v>
      </c>
    </row>
    <row r="3807" spans="1:1">
      <c r="A3807" t="s">
        <v>5348</v>
      </c>
    </row>
    <row r="3808" spans="1:1">
      <c r="A3808" t="s">
        <v>5349</v>
      </c>
    </row>
    <row r="3809" spans="1:1">
      <c r="A3809" t="s">
        <v>5350</v>
      </c>
    </row>
    <row r="3810" spans="1:1">
      <c r="A3810" t="s">
        <v>5351</v>
      </c>
    </row>
    <row r="3811" spans="1:1">
      <c r="A3811" t="s">
        <v>5352</v>
      </c>
    </row>
    <row r="3812" spans="1:1">
      <c r="A3812" t="s">
        <v>5353</v>
      </c>
    </row>
    <row r="3813" spans="1:1">
      <c r="A3813" t="s">
        <v>5354</v>
      </c>
    </row>
    <row r="3814" spans="1:1">
      <c r="A3814" t="s">
        <v>5355</v>
      </c>
    </row>
    <row r="3815" spans="1:1">
      <c r="A3815" t="s">
        <v>5356</v>
      </c>
    </row>
    <row r="3816" spans="1:1">
      <c r="A3816" t="s">
        <v>5357</v>
      </c>
    </row>
    <row r="3817" spans="1:1">
      <c r="A3817" t="s">
        <v>5358</v>
      </c>
    </row>
    <row r="3818" spans="1:1">
      <c r="A3818" t="s">
        <v>5359</v>
      </c>
    </row>
    <row r="3819" spans="1:1">
      <c r="A3819" t="s">
        <v>5360</v>
      </c>
    </row>
    <row r="3820" spans="1:1">
      <c r="A3820" t="s">
        <v>5361</v>
      </c>
    </row>
    <row r="3821" spans="1:1">
      <c r="A3821" t="s">
        <v>5362</v>
      </c>
    </row>
    <row r="3822" spans="1:1">
      <c r="A3822" t="s">
        <v>5363</v>
      </c>
    </row>
    <row r="3823" spans="1:1">
      <c r="A3823" t="s">
        <v>5364</v>
      </c>
    </row>
    <row r="3824" spans="1:1">
      <c r="A3824" t="s">
        <v>5365</v>
      </c>
    </row>
    <row r="3825" spans="1:1">
      <c r="A3825" t="s">
        <v>5366</v>
      </c>
    </row>
    <row r="3826" spans="1:1">
      <c r="A3826" t="s">
        <v>5367</v>
      </c>
    </row>
    <row r="3827" spans="1:1">
      <c r="A3827" t="s">
        <v>5368</v>
      </c>
    </row>
    <row r="3828" spans="1:1">
      <c r="A3828" t="s">
        <v>5369</v>
      </c>
    </row>
    <row r="3829" spans="1:1">
      <c r="A3829" t="s">
        <v>5370</v>
      </c>
    </row>
    <row r="3830" spans="1:1">
      <c r="A3830" t="s">
        <v>5371</v>
      </c>
    </row>
    <row r="3831" spans="1:1">
      <c r="A3831" t="s">
        <v>5372</v>
      </c>
    </row>
    <row r="3832" spans="1:1">
      <c r="A3832" t="s">
        <v>5373</v>
      </c>
    </row>
    <row r="3833" spans="1:1">
      <c r="A3833" t="s">
        <v>5374</v>
      </c>
    </row>
    <row r="3834" spans="1:1">
      <c r="A3834" t="s">
        <v>5375</v>
      </c>
    </row>
    <row r="3835" spans="1:1">
      <c r="A3835" t="s">
        <v>5376</v>
      </c>
    </row>
    <row r="3836" spans="1:1">
      <c r="A3836" t="s">
        <v>5377</v>
      </c>
    </row>
    <row r="3837" spans="1:1">
      <c r="A3837" t="s">
        <v>5378</v>
      </c>
    </row>
    <row r="3838" spans="1:1">
      <c r="A3838" t="s">
        <v>5379</v>
      </c>
    </row>
    <row r="3839" spans="1:1">
      <c r="A3839" t="s">
        <v>5380</v>
      </c>
    </row>
    <row r="3840" spans="1:1">
      <c r="A3840" t="s">
        <v>5381</v>
      </c>
    </row>
    <row r="3841" spans="1:1">
      <c r="A3841" t="s">
        <v>5382</v>
      </c>
    </row>
    <row r="3842" spans="1:1">
      <c r="A3842" t="s">
        <v>5383</v>
      </c>
    </row>
    <row r="3843" spans="1:1">
      <c r="A3843" t="s">
        <v>5384</v>
      </c>
    </row>
    <row r="3844" spans="1:1">
      <c r="A3844" t="s">
        <v>5385</v>
      </c>
    </row>
    <row r="3845" spans="1:1">
      <c r="A3845" t="s">
        <v>5386</v>
      </c>
    </row>
    <row r="3846" spans="1:1">
      <c r="A3846" t="s">
        <v>5387</v>
      </c>
    </row>
    <row r="3847" spans="1:1">
      <c r="A3847" t="s">
        <v>5388</v>
      </c>
    </row>
    <row r="3848" spans="1:1">
      <c r="A3848" t="s">
        <v>5389</v>
      </c>
    </row>
    <row r="3849" spans="1:1">
      <c r="A3849" t="s">
        <v>5390</v>
      </c>
    </row>
    <row r="3850" spans="1:1">
      <c r="A3850" t="s">
        <v>5391</v>
      </c>
    </row>
    <row r="3851" spans="1:1">
      <c r="A3851" t="s">
        <v>5392</v>
      </c>
    </row>
    <row r="3852" spans="1:1">
      <c r="A3852" t="s">
        <v>5393</v>
      </c>
    </row>
    <row r="3853" spans="1:1">
      <c r="A3853" t="s">
        <v>5394</v>
      </c>
    </row>
    <row r="3854" spans="1:1">
      <c r="A3854" t="s">
        <v>5395</v>
      </c>
    </row>
    <row r="3855" spans="1:1">
      <c r="A3855" t="s">
        <v>5396</v>
      </c>
    </row>
    <row r="3856" spans="1:1">
      <c r="A3856" t="s">
        <v>5397</v>
      </c>
    </row>
    <row r="3857" spans="1:1">
      <c r="A3857" t="s">
        <v>5398</v>
      </c>
    </row>
    <row r="3858" spans="1:1">
      <c r="A3858" t="s">
        <v>5399</v>
      </c>
    </row>
    <row r="3859" spans="1:1">
      <c r="A3859" t="s">
        <v>5400</v>
      </c>
    </row>
    <row r="3860" spans="1:1">
      <c r="A3860" t="s">
        <v>5401</v>
      </c>
    </row>
    <row r="3861" spans="1:1">
      <c r="A3861" t="s">
        <v>5402</v>
      </c>
    </row>
    <row r="3862" spans="1:1">
      <c r="A3862" t="s">
        <v>5403</v>
      </c>
    </row>
    <row r="3863" spans="1:1">
      <c r="A3863" t="s">
        <v>5404</v>
      </c>
    </row>
    <row r="3864" spans="1:1">
      <c r="A3864" t="s">
        <v>5405</v>
      </c>
    </row>
    <row r="3865" spans="1:1">
      <c r="A3865" t="s">
        <v>5406</v>
      </c>
    </row>
    <row r="3866" spans="1:1">
      <c r="A3866" t="s">
        <v>5407</v>
      </c>
    </row>
    <row r="3867" spans="1:1">
      <c r="A3867" t="s">
        <v>5408</v>
      </c>
    </row>
    <row r="3868" spans="1:1">
      <c r="A3868" t="s">
        <v>5409</v>
      </c>
    </row>
    <row r="3869" spans="1:1">
      <c r="A3869" t="s">
        <v>5410</v>
      </c>
    </row>
    <row r="3870" spans="1:1">
      <c r="A3870" t="s">
        <v>5411</v>
      </c>
    </row>
    <row r="3871" spans="1:1">
      <c r="A3871" t="s">
        <v>5412</v>
      </c>
    </row>
    <row r="3872" spans="1:1">
      <c r="A3872" t="s">
        <v>5413</v>
      </c>
    </row>
    <row r="3873" spans="1:1">
      <c r="A3873" t="s">
        <v>5414</v>
      </c>
    </row>
    <row r="3874" spans="1:1">
      <c r="A3874" t="s">
        <v>5415</v>
      </c>
    </row>
    <row r="3875" spans="1:1">
      <c r="A3875" t="s">
        <v>5416</v>
      </c>
    </row>
    <row r="3876" spans="1:1">
      <c r="A3876" t="s">
        <v>5417</v>
      </c>
    </row>
    <row r="3877" spans="1:1">
      <c r="A3877" t="s">
        <v>5418</v>
      </c>
    </row>
    <row r="3878" spans="1:1">
      <c r="A3878" t="s">
        <v>5419</v>
      </c>
    </row>
    <row r="3879" spans="1:1">
      <c r="A3879" t="s">
        <v>5420</v>
      </c>
    </row>
    <row r="3880" spans="1:1">
      <c r="A3880" t="s">
        <v>5421</v>
      </c>
    </row>
    <row r="3881" spans="1:1">
      <c r="A3881" t="s">
        <v>5422</v>
      </c>
    </row>
    <row r="3882" spans="1:1">
      <c r="A3882" t="s">
        <v>5423</v>
      </c>
    </row>
    <row r="3883" spans="1:1">
      <c r="A3883" t="s">
        <v>5424</v>
      </c>
    </row>
    <row r="3884" spans="1:1">
      <c r="A3884" t="s">
        <v>5425</v>
      </c>
    </row>
    <row r="3885" spans="1:1">
      <c r="A3885" t="s">
        <v>5426</v>
      </c>
    </row>
    <row r="3886" spans="1:1">
      <c r="A3886" t="s">
        <v>5427</v>
      </c>
    </row>
    <row r="3887" spans="1:1">
      <c r="A3887" t="s">
        <v>5428</v>
      </c>
    </row>
    <row r="3888" spans="1:1">
      <c r="A3888" t="s">
        <v>5429</v>
      </c>
    </row>
    <row r="3889" spans="1:1">
      <c r="A3889" t="s">
        <v>5430</v>
      </c>
    </row>
    <row r="3890" spans="1:1">
      <c r="A3890" t="s">
        <v>5431</v>
      </c>
    </row>
    <row r="3891" spans="1:1">
      <c r="A3891" t="s">
        <v>5432</v>
      </c>
    </row>
    <row r="3892" spans="1:1">
      <c r="A3892" t="s">
        <v>5433</v>
      </c>
    </row>
    <row r="3893" spans="1:1">
      <c r="A3893" t="s">
        <v>5434</v>
      </c>
    </row>
    <row r="3894" spans="1:1">
      <c r="A3894" t="s">
        <v>5435</v>
      </c>
    </row>
    <row r="3895" spans="1:1">
      <c r="A3895" t="s">
        <v>5436</v>
      </c>
    </row>
    <row r="3896" spans="1:1">
      <c r="A3896" t="s">
        <v>5437</v>
      </c>
    </row>
    <row r="3897" spans="1:1">
      <c r="A3897" t="s">
        <v>5438</v>
      </c>
    </row>
    <row r="3898" spans="1:1">
      <c r="A3898" t="s">
        <v>5439</v>
      </c>
    </row>
    <row r="3899" spans="1:1">
      <c r="A3899" t="s">
        <v>5440</v>
      </c>
    </row>
    <row r="3900" spans="1:1">
      <c r="A3900" t="s">
        <v>5441</v>
      </c>
    </row>
    <row r="3901" spans="1:1">
      <c r="A3901" t="s">
        <v>5442</v>
      </c>
    </row>
    <row r="3902" spans="1:1">
      <c r="A3902" t="s">
        <v>5443</v>
      </c>
    </row>
    <row r="3903" spans="1:1">
      <c r="A3903" t="s">
        <v>5444</v>
      </c>
    </row>
    <row r="3904" spans="1:1">
      <c r="A3904" t="s">
        <v>5445</v>
      </c>
    </row>
    <row r="3905" spans="1:1">
      <c r="A3905" t="s">
        <v>5446</v>
      </c>
    </row>
    <row r="3906" spans="1:1">
      <c r="A3906" t="s">
        <v>5447</v>
      </c>
    </row>
    <row r="3907" spans="1:1">
      <c r="A3907" t="s">
        <v>5448</v>
      </c>
    </row>
    <row r="3908" spans="1:1">
      <c r="A3908" t="s">
        <v>5449</v>
      </c>
    </row>
    <row r="3909" spans="1:1">
      <c r="A3909" t="s">
        <v>5450</v>
      </c>
    </row>
    <row r="3910" spans="1:1">
      <c r="A3910" t="s">
        <v>5451</v>
      </c>
    </row>
    <row r="3911" spans="1:1">
      <c r="A3911" t="s">
        <v>5452</v>
      </c>
    </row>
    <row r="3912" spans="1:1">
      <c r="A3912" t="s">
        <v>5453</v>
      </c>
    </row>
    <row r="3913" spans="1:1">
      <c r="A3913" t="s">
        <v>5454</v>
      </c>
    </row>
    <row r="3914" spans="1:1">
      <c r="A3914" t="s">
        <v>5455</v>
      </c>
    </row>
    <row r="3915" spans="1:1">
      <c r="A3915" t="s">
        <v>5456</v>
      </c>
    </row>
    <row r="3916" spans="1:1">
      <c r="A3916" t="s">
        <v>5457</v>
      </c>
    </row>
    <row r="3917" spans="1:1">
      <c r="A3917" t="s">
        <v>5458</v>
      </c>
    </row>
    <row r="3918" spans="1:1">
      <c r="A3918" t="s">
        <v>5459</v>
      </c>
    </row>
    <row r="3919" spans="1:1">
      <c r="A3919" t="s">
        <v>5460</v>
      </c>
    </row>
    <row r="3920" spans="1:1">
      <c r="A3920" t="s">
        <v>5461</v>
      </c>
    </row>
    <row r="3921" spans="1:1">
      <c r="A3921" t="s">
        <v>5462</v>
      </c>
    </row>
    <row r="3922" spans="1:1">
      <c r="A3922" t="s">
        <v>5463</v>
      </c>
    </row>
    <row r="3923" spans="1:1">
      <c r="A3923" t="s">
        <v>5464</v>
      </c>
    </row>
    <row r="3924" spans="1:1">
      <c r="A3924" t="s">
        <v>5465</v>
      </c>
    </row>
    <row r="3925" spans="1:1">
      <c r="A3925" t="s">
        <v>5466</v>
      </c>
    </row>
    <row r="3926" spans="1:1">
      <c r="A3926" t="s">
        <v>5467</v>
      </c>
    </row>
    <row r="3927" spans="1:1">
      <c r="A3927" t="s">
        <v>5468</v>
      </c>
    </row>
    <row r="3928" spans="1:1">
      <c r="A3928" t="s">
        <v>5469</v>
      </c>
    </row>
    <row r="3929" spans="1:1">
      <c r="A3929" t="s">
        <v>5470</v>
      </c>
    </row>
    <row r="3930" spans="1:1">
      <c r="A3930" t="s">
        <v>5471</v>
      </c>
    </row>
    <row r="3931" spans="1:1">
      <c r="A3931" t="s">
        <v>5472</v>
      </c>
    </row>
    <row r="3932" spans="1:1">
      <c r="A3932" t="s">
        <v>5473</v>
      </c>
    </row>
    <row r="3933" spans="1:1">
      <c r="A3933" t="s">
        <v>5474</v>
      </c>
    </row>
    <row r="3934" spans="1:1">
      <c r="A3934" t="s">
        <v>5475</v>
      </c>
    </row>
    <row r="3935" spans="1:1">
      <c r="A3935" t="s">
        <v>5476</v>
      </c>
    </row>
    <row r="3936" spans="1:1">
      <c r="A3936" t="s">
        <v>5477</v>
      </c>
    </row>
    <row r="3937" spans="1:1">
      <c r="A3937" t="s">
        <v>5478</v>
      </c>
    </row>
    <row r="3938" spans="1:1">
      <c r="A3938" t="s">
        <v>5479</v>
      </c>
    </row>
    <row r="3939" spans="1:1">
      <c r="A3939" t="s">
        <v>5480</v>
      </c>
    </row>
    <row r="3940" spans="1:1">
      <c r="A3940" t="s">
        <v>5481</v>
      </c>
    </row>
    <row r="3941" spans="1:1">
      <c r="A3941" t="s">
        <v>5482</v>
      </c>
    </row>
    <row r="3942" spans="1:1">
      <c r="A3942" t="s">
        <v>5483</v>
      </c>
    </row>
    <row r="3943" spans="1:1">
      <c r="A3943" t="s">
        <v>5484</v>
      </c>
    </row>
    <row r="3944" spans="1:1">
      <c r="A3944" t="s">
        <v>5485</v>
      </c>
    </row>
    <row r="3945" spans="1:1">
      <c r="A3945" t="s">
        <v>5486</v>
      </c>
    </row>
    <row r="3946" spans="1:1">
      <c r="A3946" t="s">
        <v>5487</v>
      </c>
    </row>
    <row r="3947" spans="1:1">
      <c r="A3947" t="s">
        <v>5488</v>
      </c>
    </row>
    <row r="3948" spans="1:1">
      <c r="A3948" t="s">
        <v>5489</v>
      </c>
    </row>
    <row r="3949" spans="1:1">
      <c r="A3949" t="s">
        <v>5490</v>
      </c>
    </row>
    <row r="3950" spans="1:1">
      <c r="A3950" t="s">
        <v>5491</v>
      </c>
    </row>
    <row r="3951" spans="1:1">
      <c r="A3951" t="s">
        <v>5492</v>
      </c>
    </row>
    <row r="3952" spans="1:1">
      <c r="A3952" t="s">
        <v>5493</v>
      </c>
    </row>
    <row r="3953" spans="1:1">
      <c r="A3953" t="s">
        <v>5494</v>
      </c>
    </row>
    <row r="3954" spans="1:1">
      <c r="A3954" t="s">
        <v>5495</v>
      </c>
    </row>
    <row r="3955" spans="1:1">
      <c r="A3955" t="s">
        <v>5496</v>
      </c>
    </row>
    <row r="3956" spans="1:1">
      <c r="A3956" t="s">
        <v>5497</v>
      </c>
    </row>
    <row r="3957" spans="1:1">
      <c r="A3957" t="s">
        <v>5498</v>
      </c>
    </row>
    <row r="3958" spans="1:1">
      <c r="A3958" t="s">
        <v>5499</v>
      </c>
    </row>
    <row r="3959" spans="1:1">
      <c r="A3959" t="s">
        <v>5500</v>
      </c>
    </row>
    <row r="3960" spans="1:1">
      <c r="A3960" t="s">
        <v>5501</v>
      </c>
    </row>
    <row r="3961" spans="1:1">
      <c r="A3961" t="s">
        <v>5502</v>
      </c>
    </row>
    <row r="3962" spans="1:1">
      <c r="A3962" t="s">
        <v>5503</v>
      </c>
    </row>
    <row r="3963" spans="1:1">
      <c r="A3963" t="s">
        <v>5504</v>
      </c>
    </row>
    <row r="3964" spans="1:1">
      <c r="A3964" t="s">
        <v>5505</v>
      </c>
    </row>
    <row r="3965" spans="1:1">
      <c r="A3965" t="s">
        <v>5506</v>
      </c>
    </row>
    <row r="3966" spans="1:1">
      <c r="A3966" t="s">
        <v>5507</v>
      </c>
    </row>
    <row r="3967" spans="1:1">
      <c r="A3967" t="s">
        <v>5508</v>
      </c>
    </row>
    <row r="3968" spans="1:1">
      <c r="A3968" t="s">
        <v>5509</v>
      </c>
    </row>
    <row r="3969" spans="1:1">
      <c r="A3969" t="s">
        <v>5510</v>
      </c>
    </row>
    <row r="3970" spans="1:1">
      <c r="A3970" t="s">
        <v>5511</v>
      </c>
    </row>
    <row r="3971" spans="1:1">
      <c r="A3971" t="s">
        <v>5512</v>
      </c>
    </row>
    <row r="3972" spans="1:1">
      <c r="A3972" t="s">
        <v>5513</v>
      </c>
    </row>
    <row r="3973" spans="1:1">
      <c r="A3973" t="s">
        <v>5514</v>
      </c>
    </row>
    <row r="3974" spans="1:1">
      <c r="A3974" t="s">
        <v>5515</v>
      </c>
    </row>
    <row r="3975" spans="1:1">
      <c r="A3975" t="s">
        <v>5516</v>
      </c>
    </row>
    <row r="3976" spans="1:1">
      <c r="A3976" t="s">
        <v>5517</v>
      </c>
    </row>
    <row r="3977" spans="1:1">
      <c r="A3977" t="s">
        <v>5518</v>
      </c>
    </row>
    <row r="3978" spans="1:1">
      <c r="A3978" t="s">
        <v>5519</v>
      </c>
    </row>
    <row r="3979" spans="1:1">
      <c r="A3979" t="s">
        <v>5520</v>
      </c>
    </row>
    <row r="3980" spans="1:1">
      <c r="A3980" t="s">
        <v>5521</v>
      </c>
    </row>
    <row r="3981" spans="1:1">
      <c r="A3981" t="s">
        <v>5522</v>
      </c>
    </row>
    <row r="3982" spans="1:1">
      <c r="A3982" t="s">
        <v>5523</v>
      </c>
    </row>
    <row r="3983" spans="1:1">
      <c r="A3983" t="s">
        <v>5524</v>
      </c>
    </row>
    <row r="3984" spans="1:1">
      <c r="A3984" t="s">
        <v>5525</v>
      </c>
    </row>
    <row r="3985" spans="1:1">
      <c r="A3985" t="s">
        <v>5526</v>
      </c>
    </row>
    <row r="3986" spans="1:1">
      <c r="A3986" t="s">
        <v>5527</v>
      </c>
    </row>
    <row r="3987" spans="1:1">
      <c r="A3987" t="s">
        <v>5528</v>
      </c>
    </row>
    <row r="3988" spans="1:1">
      <c r="A3988" t="s">
        <v>5529</v>
      </c>
    </row>
    <row r="3989" spans="1:1">
      <c r="A3989" t="s">
        <v>5530</v>
      </c>
    </row>
    <row r="3990" spans="1:1">
      <c r="A3990" t="s">
        <v>5531</v>
      </c>
    </row>
    <row r="3991" spans="1:1">
      <c r="A3991" t="s">
        <v>5532</v>
      </c>
    </row>
    <row r="3992" spans="1:1">
      <c r="A3992" t="s">
        <v>5533</v>
      </c>
    </row>
    <row r="3993" spans="1:1">
      <c r="A3993" t="s">
        <v>5534</v>
      </c>
    </row>
    <row r="3994" spans="1:1">
      <c r="A3994" t="s">
        <v>5535</v>
      </c>
    </row>
    <row r="3995" spans="1:1">
      <c r="A3995" t="s">
        <v>5536</v>
      </c>
    </row>
    <row r="3996" spans="1:1">
      <c r="A3996" t="s">
        <v>5537</v>
      </c>
    </row>
    <row r="3997" spans="1:1">
      <c r="A3997" t="s">
        <v>5538</v>
      </c>
    </row>
    <row r="3998" spans="1:1">
      <c r="A3998" t="s">
        <v>5539</v>
      </c>
    </row>
    <row r="3999" spans="1:1">
      <c r="A3999" t="s">
        <v>5540</v>
      </c>
    </row>
    <row r="4000" spans="1:1">
      <c r="A4000" t="s">
        <v>5541</v>
      </c>
    </row>
    <row r="4001" spans="1:1">
      <c r="A4001" t="s">
        <v>5542</v>
      </c>
    </row>
    <row r="4002" spans="1:1">
      <c r="A4002" t="s">
        <v>5543</v>
      </c>
    </row>
    <row r="4003" spans="1:1">
      <c r="A4003" t="s">
        <v>5544</v>
      </c>
    </row>
    <row r="4004" spans="1:1">
      <c r="A4004" t="s">
        <v>5545</v>
      </c>
    </row>
    <row r="4005" spans="1:1">
      <c r="A4005" t="s">
        <v>5546</v>
      </c>
    </row>
    <row r="4006" spans="1:1">
      <c r="A4006" t="s">
        <v>5547</v>
      </c>
    </row>
    <row r="4007" spans="1:1">
      <c r="A4007" t="s">
        <v>5548</v>
      </c>
    </row>
    <row r="4008" spans="1:1">
      <c r="A4008" t="s">
        <v>5549</v>
      </c>
    </row>
    <row r="4009" spans="1:1">
      <c r="A4009" t="s">
        <v>5550</v>
      </c>
    </row>
    <row r="4010" spans="1:1">
      <c r="A4010" t="s">
        <v>5551</v>
      </c>
    </row>
    <row r="4011" spans="1:1">
      <c r="A4011" t="s">
        <v>5552</v>
      </c>
    </row>
    <row r="4012" spans="1:1">
      <c r="A4012" t="s">
        <v>5553</v>
      </c>
    </row>
    <row r="4013" spans="1:1">
      <c r="A4013" t="s">
        <v>5554</v>
      </c>
    </row>
    <row r="4014" spans="1:1">
      <c r="A4014" t="s">
        <v>5555</v>
      </c>
    </row>
    <row r="4015" spans="1:1">
      <c r="A4015" t="s">
        <v>5556</v>
      </c>
    </row>
    <row r="4016" spans="1:1">
      <c r="A4016" t="s">
        <v>5557</v>
      </c>
    </row>
    <row r="4017" spans="1:1">
      <c r="A4017" t="s">
        <v>5558</v>
      </c>
    </row>
    <row r="4018" spans="1:1">
      <c r="A4018" t="s">
        <v>5559</v>
      </c>
    </row>
    <row r="4019" spans="1:1">
      <c r="A4019" t="s">
        <v>5560</v>
      </c>
    </row>
    <row r="4020" spans="1:1">
      <c r="A4020" t="s">
        <v>5561</v>
      </c>
    </row>
    <row r="4021" spans="1:1">
      <c r="A4021" t="s">
        <v>5562</v>
      </c>
    </row>
    <row r="4022" spans="1:1">
      <c r="A4022" t="s">
        <v>5563</v>
      </c>
    </row>
    <row r="4023" spans="1:1">
      <c r="A4023" t="s">
        <v>5564</v>
      </c>
    </row>
    <row r="4024" spans="1:1">
      <c r="A4024" t="s">
        <v>5565</v>
      </c>
    </row>
    <row r="4025" spans="1:1">
      <c r="A4025" t="s">
        <v>5566</v>
      </c>
    </row>
    <row r="4026" spans="1:1">
      <c r="A4026" t="s">
        <v>5567</v>
      </c>
    </row>
    <row r="4027" spans="1:1">
      <c r="A4027" t="s">
        <v>5568</v>
      </c>
    </row>
    <row r="4028" spans="1:1">
      <c r="A4028" t="s">
        <v>5569</v>
      </c>
    </row>
    <row r="4029" spans="1:1">
      <c r="A4029" t="s">
        <v>5570</v>
      </c>
    </row>
    <row r="4030" spans="1:1">
      <c r="A4030" t="s">
        <v>5571</v>
      </c>
    </row>
    <row r="4031" spans="1:1">
      <c r="A4031" t="s">
        <v>5572</v>
      </c>
    </row>
    <row r="4032" spans="1:1">
      <c r="A4032" t="s">
        <v>5573</v>
      </c>
    </row>
    <row r="4033" spans="1:1">
      <c r="A4033" t="s">
        <v>5574</v>
      </c>
    </row>
    <row r="4034" spans="1:1">
      <c r="A4034" t="s">
        <v>5575</v>
      </c>
    </row>
    <row r="4035" spans="1:1">
      <c r="A4035" t="s">
        <v>5576</v>
      </c>
    </row>
    <row r="4036" spans="1:1">
      <c r="A4036" t="s">
        <v>5577</v>
      </c>
    </row>
    <row r="4037" spans="1:1">
      <c r="A4037" t="s">
        <v>5578</v>
      </c>
    </row>
    <row r="4038" spans="1:1">
      <c r="A4038" t="s">
        <v>5579</v>
      </c>
    </row>
    <row r="4039" spans="1:1">
      <c r="A4039" t="s">
        <v>5580</v>
      </c>
    </row>
    <row r="4040" spans="1:1">
      <c r="A4040" t="s">
        <v>5581</v>
      </c>
    </row>
    <row r="4041" spans="1:1">
      <c r="A4041" t="s">
        <v>5582</v>
      </c>
    </row>
    <row r="4042" spans="1:1">
      <c r="A4042" t="s">
        <v>5583</v>
      </c>
    </row>
    <row r="4043" spans="1:1">
      <c r="A4043" t="s">
        <v>5584</v>
      </c>
    </row>
    <row r="4044" spans="1:1">
      <c r="A4044" t="s">
        <v>5585</v>
      </c>
    </row>
    <row r="4045" spans="1:1">
      <c r="A4045" t="s">
        <v>5586</v>
      </c>
    </row>
    <row r="4046" spans="1:1">
      <c r="A4046" t="s">
        <v>5587</v>
      </c>
    </row>
    <row r="4047" spans="1:1">
      <c r="A4047" t="s">
        <v>5588</v>
      </c>
    </row>
    <row r="4048" spans="1:1">
      <c r="A4048" t="s">
        <v>5589</v>
      </c>
    </row>
    <row r="4049" spans="1:1">
      <c r="A4049" t="s">
        <v>5590</v>
      </c>
    </row>
    <row r="4050" spans="1:1">
      <c r="A4050" t="s">
        <v>5591</v>
      </c>
    </row>
    <row r="4051" spans="1:1">
      <c r="A4051" t="s">
        <v>5592</v>
      </c>
    </row>
    <row r="4052" spans="1:1">
      <c r="A4052" t="s">
        <v>5593</v>
      </c>
    </row>
    <row r="4053" spans="1:1">
      <c r="A4053" t="s">
        <v>5594</v>
      </c>
    </row>
    <row r="4054" spans="1:1">
      <c r="A4054" t="s">
        <v>5595</v>
      </c>
    </row>
    <row r="4055" spans="1:1">
      <c r="A4055" t="s">
        <v>5596</v>
      </c>
    </row>
    <row r="4056" spans="1:1">
      <c r="A4056" t="s">
        <v>5597</v>
      </c>
    </row>
    <row r="4057" spans="1:1">
      <c r="A4057" t="s">
        <v>5598</v>
      </c>
    </row>
    <row r="4058" spans="1:1">
      <c r="A4058" t="s">
        <v>5599</v>
      </c>
    </row>
    <row r="4059" spans="1:1">
      <c r="A4059" t="s">
        <v>5600</v>
      </c>
    </row>
    <row r="4060" spans="1:1">
      <c r="A4060" t="s">
        <v>5601</v>
      </c>
    </row>
    <row r="4061" spans="1:1">
      <c r="A4061" t="s">
        <v>5602</v>
      </c>
    </row>
    <row r="4062" spans="1:1">
      <c r="A4062" t="s">
        <v>5603</v>
      </c>
    </row>
    <row r="4063" spans="1:1">
      <c r="A4063" t="s">
        <v>5604</v>
      </c>
    </row>
    <row r="4064" spans="1:1">
      <c r="A4064" t="s">
        <v>5605</v>
      </c>
    </row>
    <row r="4065" spans="1:1">
      <c r="A4065" t="s">
        <v>5606</v>
      </c>
    </row>
    <row r="4066" spans="1:1">
      <c r="A4066" t="s">
        <v>5607</v>
      </c>
    </row>
    <row r="4067" spans="1:1">
      <c r="A4067" t="s">
        <v>5608</v>
      </c>
    </row>
    <row r="4068" spans="1:1">
      <c r="A4068" t="s">
        <v>5609</v>
      </c>
    </row>
    <row r="4069" spans="1:1">
      <c r="A4069" t="s">
        <v>5610</v>
      </c>
    </row>
    <row r="4070" spans="1:1">
      <c r="A4070" t="s">
        <v>5611</v>
      </c>
    </row>
    <row r="4071" spans="1:1">
      <c r="A4071" t="s">
        <v>5612</v>
      </c>
    </row>
    <row r="4072" spans="1:1">
      <c r="A4072" t="s">
        <v>5613</v>
      </c>
    </row>
    <row r="4073" spans="1:1">
      <c r="A4073" t="s">
        <v>5614</v>
      </c>
    </row>
    <row r="4074" spans="1:1">
      <c r="A4074" t="s">
        <v>5615</v>
      </c>
    </row>
    <row r="4075" spans="1:1">
      <c r="A4075" t="s">
        <v>5616</v>
      </c>
    </row>
    <row r="4076" spans="1:1">
      <c r="A4076" t="s">
        <v>5617</v>
      </c>
    </row>
    <row r="4077" spans="1:1">
      <c r="A4077" t="s">
        <v>5618</v>
      </c>
    </row>
    <row r="4078" spans="1:1">
      <c r="A4078" t="s">
        <v>5619</v>
      </c>
    </row>
    <row r="4079" spans="1:1">
      <c r="A4079" t="s">
        <v>5620</v>
      </c>
    </row>
    <row r="4080" spans="1:1">
      <c r="A4080" t="s">
        <v>5621</v>
      </c>
    </row>
    <row r="4081" spans="1:1">
      <c r="A4081" t="s">
        <v>5622</v>
      </c>
    </row>
    <row r="4082" spans="1:1">
      <c r="A4082" t="s">
        <v>5623</v>
      </c>
    </row>
    <row r="4083" spans="1:1">
      <c r="A4083" t="s">
        <v>5624</v>
      </c>
    </row>
    <row r="4084" spans="1:1">
      <c r="A4084" t="s">
        <v>5625</v>
      </c>
    </row>
    <row r="4085" spans="1:1">
      <c r="A4085" t="s">
        <v>5626</v>
      </c>
    </row>
    <row r="4086" spans="1:1">
      <c r="A4086" t="s">
        <v>5627</v>
      </c>
    </row>
    <row r="4087" spans="1:1">
      <c r="A4087" t="s">
        <v>5628</v>
      </c>
    </row>
    <row r="4088" spans="1:1">
      <c r="A4088" t="s">
        <v>5629</v>
      </c>
    </row>
    <row r="4089" spans="1:1">
      <c r="A4089" t="s">
        <v>5630</v>
      </c>
    </row>
    <row r="4090" spans="1:1">
      <c r="A4090" t="s">
        <v>5631</v>
      </c>
    </row>
    <row r="4091" spans="1:1">
      <c r="A4091" t="s">
        <v>5632</v>
      </c>
    </row>
    <row r="4092" spans="1:1">
      <c r="A4092" t="s">
        <v>5633</v>
      </c>
    </row>
    <row r="4093" spans="1:1">
      <c r="A4093" t="s">
        <v>5634</v>
      </c>
    </row>
    <row r="4094" spans="1:1">
      <c r="A4094" t="s">
        <v>5635</v>
      </c>
    </row>
    <row r="4095" spans="1:1">
      <c r="A4095" t="s">
        <v>5636</v>
      </c>
    </row>
    <row r="4096" spans="1:1">
      <c r="A4096" t="s">
        <v>5637</v>
      </c>
    </row>
    <row r="4097" spans="1:1">
      <c r="A4097" t="s">
        <v>5638</v>
      </c>
    </row>
    <row r="4098" spans="1:1">
      <c r="A4098" t="s">
        <v>5639</v>
      </c>
    </row>
    <row r="4099" spans="1:1">
      <c r="A4099" t="s">
        <v>5640</v>
      </c>
    </row>
    <row r="4100" spans="1:1">
      <c r="A4100" t="s">
        <v>5641</v>
      </c>
    </row>
    <row r="4101" spans="1:1">
      <c r="A4101" t="s">
        <v>5642</v>
      </c>
    </row>
    <row r="4102" spans="1:1">
      <c r="A4102" t="s">
        <v>5643</v>
      </c>
    </row>
    <row r="4103" spans="1:1">
      <c r="A4103" t="s">
        <v>5644</v>
      </c>
    </row>
    <row r="4104" spans="1:1">
      <c r="A4104" t="s">
        <v>5645</v>
      </c>
    </row>
    <row r="4105" spans="1:1">
      <c r="A4105" t="s">
        <v>5646</v>
      </c>
    </row>
    <row r="4106" spans="1:1">
      <c r="A4106" t="s">
        <v>5647</v>
      </c>
    </row>
    <row r="4107" spans="1:1">
      <c r="A4107" t="s">
        <v>5648</v>
      </c>
    </row>
    <row r="4108" spans="1:1">
      <c r="A4108" t="s">
        <v>5649</v>
      </c>
    </row>
    <row r="4109" spans="1:1">
      <c r="A4109" t="s">
        <v>5650</v>
      </c>
    </row>
    <row r="4110" spans="1:1">
      <c r="A4110" t="s">
        <v>5651</v>
      </c>
    </row>
    <row r="4111" spans="1:1">
      <c r="A4111" t="s">
        <v>5652</v>
      </c>
    </row>
    <row r="4112" spans="1:1">
      <c r="A4112" t="s">
        <v>5653</v>
      </c>
    </row>
    <row r="4113" spans="1:1">
      <c r="A4113" t="s">
        <v>5654</v>
      </c>
    </row>
    <row r="4114" spans="1:1">
      <c r="A4114" t="s">
        <v>5655</v>
      </c>
    </row>
    <row r="4115" spans="1:1">
      <c r="A4115" t="s">
        <v>5656</v>
      </c>
    </row>
    <row r="4116" spans="1:1">
      <c r="A4116" t="s">
        <v>5657</v>
      </c>
    </row>
    <row r="4117" spans="1:1">
      <c r="A4117" t="s">
        <v>5658</v>
      </c>
    </row>
    <row r="4118" spans="1:1">
      <c r="A4118" t="s">
        <v>5659</v>
      </c>
    </row>
    <row r="4119" spans="1:1">
      <c r="A4119" t="s">
        <v>5660</v>
      </c>
    </row>
    <row r="4120" spans="1:1">
      <c r="A4120" t="s">
        <v>5661</v>
      </c>
    </row>
    <row r="4121" spans="1:1">
      <c r="A4121" t="s">
        <v>5662</v>
      </c>
    </row>
    <row r="4122" spans="1:1">
      <c r="A4122" t="s">
        <v>5663</v>
      </c>
    </row>
    <row r="4123" spans="1:1">
      <c r="A4123" t="s">
        <v>5664</v>
      </c>
    </row>
    <row r="4124" spans="1:1">
      <c r="A4124" t="s">
        <v>5665</v>
      </c>
    </row>
    <row r="4125" spans="1:1">
      <c r="A4125" t="s">
        <v>5666</v>
      </c>
    </row>
    <row r="4126" spans="1:1">
      <c r="A4126" t="s">
        <v>5667</v>
      </c>
    </row>
    <row r="4127" spans="1:1">
      <c r="A4127" t="s">
        <v>5668</v>
      </c>
    </row>
    <row r="4128" spans="1:1">
      <c r="A4128" t="s">
        <v>5669</v>
      </c>
    </row>
    <row r="4129" spans="1:1">
      <c r="A4129" t="s">
        <v>5670</v>
      </c>
    </row>
    <row r="4130" spans="1:1">
      <c r="A4130" t="s">
        <v>5671</v>
      </c>
    </row>
    <row r="4131" spans="1:1">
      <c r="A4131" t="s">
        <v>5672</v>
      </c>
    </row>
    <row r="4132" spans="1:1">
      <c r="A4132" t="s">
        <v>5673</v>
      </c>
    </row>
    <row r="4133" spans="1:1">
      <c r="A4133" t="s">
        <v>5674</v>
      </c>
    </row>
    <row r="4134" spans="1:1">
      <c r="A4134" t="s">
        <v>5675</v>
      </c>
    </row>
    <row r="4135" spans="1:1">
      <c r="A4135" t="s">
        <v>5676</v>
      </c>
    </row>
    <row r="4136" spans="1:1">
      <c r="A4136" t="s">
        <v>5677</v>
      </c>
    </row>
    <row r="4137" spans="1:1">
      <c r="A4137" t="s">
        <v>5678</v>
      </c>
    </row>
    <row r="4138" spans="1:1">
      <c r="A4138" t="s">
        <v>5679</v>
      </c>
    </row>
    <row r="4139" spans="1:1">
      <c r="A4139" t="s">
        <v>5680</v>
      </c>
    </row>
    <row r="4140" spans="1:1">
      <c r="A4140" t="s">
        <v>5681</v>
      </c>
    </row>
    <row r="4141" spans="1:1">
      <c r="A4141" t="s">
        <v>5682</v>
      </c>
    </row>
    <row r="4142" spans="1:1">
      <c r="A4142" t="s">
        <v>5683</v>
      </c>
    </row>
    <row r="4143" spans="1:1">
      <c r="A4143" t="s">
        <v>5684</v>
      </c>
    </row>
    <row r="4144" spans="1:1">
      <c r="A4144" t="s">
        <v>5685</v>
      </c>
    </row>
    <row r="4145" spans="1:1">
      <c r="A4145" t="s">
        <v>5686</v>
      </c>
    </row>
    <row r="4146" spans="1:1">
      <c r="A4146" t="s">
        <v>5687</v>
      </c>
    </row>
    <row r="4147" spans="1:1">
      <c r="A4147" t="s">
        <v>5688</v>
      </c>
    </row>
    <row r="4148" spans="1:1">
      <c r="A4148" t="s">
        <v>5689</v>
      </c>
    </row>
    <row r="4149" spans="1:1">
      <c r="A4149" t="s">
        <v>5690</v>
      </c>
    </row>
    <row r="4150" spans="1:1">
      <c r="A4150" t="s">
        <v>5691</v>
      </c>
    </row>
    <row r="4151" spans="1:1">
      <c r="A4151" t="s">
        <v>5692</v>
      </c>
    </row>
    <row r="4152" spans="1:1">
      <c r="A4152" t="s">
        <v>5693</v>
      </c>
    </row>
    <row r="4153" spans="1:1">
      <c r="A4153" t="s">
        <v>5694</v>
      </c>
    </row>
    <row r="4154" spans="1:1">
      <c r="A4154" t="s">
        <v>5695</v>
      </c>
    </row>
    <row r="4155" spans="1:1">
      <c r="A4155" t="s">
        <v>5696</v>
      </c>
    </row>
    <row r="4156" spans="1:1">
      <c r="A4156" t="s">
        <v>5697</v>
      </c>
    </row>
    <row r="4157" spans="1:1">
      <c r="A4157" t="s">
        <v>5698</v>
      </c>
    </row>
    <row r="4158" spans="1:1">
      <c r="A4158" t="s">
        <v>5699</v>
      </c>
    </row>
    <row r="4159" spans="1:1">
      <c r="A4159" t="s">
        <v>5700</v>
      </c>
    </row>
    <row r="4160" spans="1:1">
      <c r="A4160" t="s">
        <v>5701</v>
      </c>
    </row>
    <row r="4161" spans="1:1">
      <c r="A4161" t="s">
        <v>5702</v>
      </c>
    </row>
    <row r="4162" spans="1:1">
      <c r="A4162" t="s">
        <v>5703</v>
      </c>
    </row>
    <row r="4163" spans="1:1">
      <c r="A4163" t="s">
        <v>5704</v>
      </c>
    </row>
    <row r="4164" spans="1:1">
      <c r="A4164" t="s">
        <v>5705</v>
      </c>
    </row>
    <row r="4165" spans="1:1">
      <c r="A4165" t="s">
        <v>5706</v>
      </c>
    </row>
    <row r="4166" spans="1:1">
      <c r="A4166" t="s">
        <v>5707</v>
      </c>
    </row>
    <row r="4167" spans="1:1">
      <c r="A4167" t="s">
        <v>5708</v>
      </c>
    </row>
    <row r="4168" spans="1:1">
      <c r="A4168" t="s">
        <v>5709</v>
      </c>
    </row>
    <row r="4169" spans="1:1">
      <c r="A4169" t="s">
        <v>5710</v>
      </c>
    </row>
    <row r="4170" spans="1:1">
      <c r="A4170" t="s">
        <v>5711</v>
      </c>
    </row>
    <row r="4171" spans="1:1">
      <c r="A4171" t="s">
        <v>5712</v>
      </c>
    </row>
    <row r="4172" spans="1:1">
      <c r="A4172" t="s">
        <v>5713</v>
      </c>
    </row>
    <row r="4173" spans="1:1">
      <c r="A4173" t="s">
        <v>5714</v>
      </c>
    </row>
    <row r="4174" spans="1:1">
      <c r="A4174" t="s">
        <v>5715</v>
      </c>
    </row>
    <row r="4175" spans="1:1">
      <c r="A4175" t="s">
        <v>5716</v>
      </c>
    </row>
    <row r="4176" spans="1:1">
      <c r="A4176" t="s">
        <v>5717</v>
      </c>
    </row>
    <row r="4177" spans="1:1">
      <c r="A4177" t="s">
        <v>5718</v>
      </c>
    </row>
    <row r="4178" spans="1:1">
      <c r="A4178" t="s">
        <v>5719</v>
      </c>
    </row>
    <row r="4179" spans="1:1">
      <c r="A4179" t="s">
        <v>5720</v>
      </c>
    </row>
    <row r="4180" spans="1:1">
      <c r="A4180" t="s">
        <v>5721</v>
      </c>
    </row>
    <row r="4181" spans="1:1">
      <c r="A4181" t="s">
        <v>5722</v>
      </c>
    </row>
    <row r="4182" spans="1:1">
      <c r="A4182" t="s">
        <v>5723</v>
      </c>
    </row>
    <row r="4183" spans="1:1">
      <c r="A4183" t="s">
        <v>5724</v>
      </c>
    </row>
    <row r="4184" spans="1:1">
      <c r="A4184" t="s">
        <v>5725</v>
      </c>
    </row>
    <row r="4185" spans="1:1">
      <c r="A4185" t="s">
        <v>5726</v>
      </c>
    </row>
    <row r="4186" spans="1:1">
      <c r="A4186" t="s">
        <v>5727</v>
      </c>
    </row>
    <row r="4187" spans="1:1">
      <c r="A4187" t="s">
        <v>5728</v>
      </c>
    </row>
    <row r="4188" spans="1:1">
      <c r="A4188" t="s">
        <v>5729</v>
      </c>
    </row>
    <row r="4189" spans="1:1">
      <c r="A4189" t="s">
        <v>5730</v>
      </c>
    </row>
    <row r="4190" spans="1:1">
      <c r="A4190" t="s">
        <v>5731</v>
      </c>
    </row>
    <row r="4191" spans="1:1">
      <c r="A4191" t="s">
        <v>5732</v>
      </c>
    </row>
    <row r="4192" spans="1:1">
      <c r="A4192" t="s">
        <v>5733</v>
      </c>
    </row>
    <row r="4193" spans="1:1">
      <c r="A4193" t="s">
        <v>5734</v>
      </c>
    </row>
    <row r="4194" spans="1:1">
      <c r="A4194" t="s">
        <v>5735</v>
      </c>
    </row>
    <row r="4195" spans="1:1">
      <c r="A4195" t="s">
        <v>5736</v>
      </c>
    </row>
    <row r="4196" spans="1:1">
      <c r="A4196" t="s">
        <v>5737</v>
      </c>
    </row>
    <row r="4197" spans="1:1">
      <c r="A4197" t="s">
        <v>5738</v>
      </c>
    </row>
    <row r="4198" spans="1:1">
      <c r="A4198" t="s">
        <v>5739</v>
      </c>
    </row>
    <row r="4199" spans="1:1">
      <c r="A4199" t="s">
        <v>5740</v>
      </c>
    </row>
    <row r="4200" spans="1:1">
      <c r="A4200" t="s">
        <v>5741</v>
      </c>
    </row>
    <row r="4201" spans="1:1">
      <c r="A4201" t="s">
        <v>5742</v>
      </c>
    </row>
    <row r="4202" spans="1:1">
      <c r="A4202" t="s">
        <v>5743</v>
      </c>
    </row>
    <row r="4203" spans="1:1">
      <c r="A4203" t="s">
        <v>5744</v>
      </c>
    </row>
    <row r="4204" spans="1:1">
      <c r="A4204" t="s">
        <v>5745</v>
      </c>
    </row>
    <row r="4205" spans="1:1">
      <c r="A4205" t="s">
        <v>5746</v>
      </c>
    </row>
    <row r="4206" spans="1:1">
      <c r="A4206" t="s">
        <v>5747</v>
      </c>
    </row>
    <row r="4207" spans="1:1">
      <c r="A4207" t="s">
        <v>5748</v>
      </c>
    </row>
    <row r="4208" spans="1:1">
      <c r="A4208" t="s">
        <v>5749</v>
      </c>
    </row>
    <row r="4209" spans="1:1">
      <c r="A4209" t="s">
        <v>5750</v>
      </c>
    </row>
    <row r="4210" spans="1:1">
      <c r="A4210" t="s">
        <v>5751</v>
      </c>
    </row>
    <row r="4211" spans="1:1">
      <c r="A4211" t="s">
        <v>5752</v>
      </c>
    </row>
    <row r="4212" spans="1:1">
      <c r="A4212" t="s">
        <v>5753</v>
      </c>
    </row>
    <row r="4213" spans="1:1">
      <c r="A4213" t="s">
        <v>5754</v>
      </c>
    </row>
    <row r="4214" spans="1:1">
      <c r="A4214" t="s">
        <v>5755</v>
      </c>
    </row>
    <row r="4215" spans="1:1">
      <c r="A4215" t="s">
        <v>5756</v>
      </c>
    </row>
    <row r="4216" spans="1:1">
      <c r="A4216" t="s">
        <v>5757</v>
      </c>
    </row>
    <row r="4217" spans="1:1">
      <c r="A4217" t="s">
        <v>5758</v>
      </c>
    </row>
    <row r="4218" spans="1:1">
      <c r="A4218" t="s">
        <v>5759</v>
      </c>
    </row>
    <row r="4219" spans="1:1">
      <c r="A4219" t="s">
        <v>5760</v>
      </c>
    </row>
    <row r="4220" spans="1:1">
      <c r="A4220" t="s">
        <v>5761</v>
      </c>
    </row>
    <row r="4221" spans="1:1">
      <c r="A4221" t="s">
        <v>5762</v>
      </c>
    </row>
    <row r="4222" spans="1:1">
      <c r="A4222" t="s">
        <v>5763</v>
      </c>
    </row>
    <row r="4223" spans="1:1">
      <c r="A4223" t="s">
        <v>5764</v>
      </c>
    </row>
    <row r="4224" spans="1:1">
      <c r="A4224" t="s">
        <v>5765</v>
      </c>
    </row>
    <row r="4225" spans="1:1">
      <c r="A4225" t="s">
        <v>5766</v>
      </c>
    </row>
    <row r="4226" spans="1:1">
      <c r="A4226" t="s">
        <v>5767</v>
      </c>
    </row>
    <row r="4227" spans="1:1">
      <c r="A4227" t="s">
        <v>5768</v>
      </c>
    </row>
    <row r="4228" spans="1:1">
      <c r="A4228" t="s">
        <v>5769</v>
      </c>
    </row>
    <row r="4229" spans="1:1">
      <c r="A4229" t="s">
        <v>5770</v>
      </c>
    </row>
    <row r="4230" spans="1:1">
      <c r="A4230" t="s">
        <v>5771</v>
      </c>
    </row>
    <row r="4231" spans="1:1">
      <c r="A4231" t="s">
        <v>5772</v>
      </c>
    </row>
    <row r="4232" spans="1:1">
      <c r="A4232" t="s">
        <v>5773</v>
      </c>
    </row>
    <row r="4233" spans="1:1">
      <c r="A4233" t="s">
        <v>5774</v>
      </c>
    </row>
    <row r="4234" spans="1:1">
      <c r="A4234" t="s">
        <v>5775</v>
      </c>
    </row>
    <row r="4235" spans="1:1">
      <c r="A4235" t="s">
        <v>5776</v>
      </c>
    </row>
    <row r="4236" spans="1:1">
      <c r="A4236" t="s">
        <v>5777</v>
      </c>
    </row>
    <row r="4237" spans="1:1">
      <c r="A4237" t="s">
        <v>5778</v>
      </c>
    </row>
    <row r="4238" spans="1:1">
      <c r="A4238" t="s">
        <v>5779</v>
      </c>
    </row>
    <row r="4239" spans="1:1">
      <c r="A4239" t="s">
        <v>5780</v>
      </c>
    </row>
    <row r="4240" spans="1:1">
      <c r="A4240" t="s">
        <v>5781</v>
      </c>
    </row>
    <row r="4241" spans="1:1">
      <c r="A4241" t="s">
        <v>5782</v>
      </c>
    </row>
    <row r="4242" spans="1:1">
      <c r="A4242" t="s">
        <v>5783</v>
      </c>
    </row>
    <row r="4243" spans="1:1">
      <c r="A4243" t="s">
        <v>5784</v>
      </c>
    </row>
    <row r="4244" spans="1:1">
      <c r="A4244" t="s">
        <v>5785</v>
      </c>
    </row>
    <row r="4245" spans="1:1">
      <c r="A4245" t="s">
        <v>5786</v>
      </c>
    </row>
    <row r="4246" spans="1:1">
      <c r="A4246" t="s">
        <v>5787</v>
      </c>
    </row>
    <row r="4247" spans="1:1">
      <c r="A4247" t="s">
        <v>5788</v>
      </c>
    </row>
    <row r="4248" spans="1:1">
      <c r="A4248" t="s">
        <v>5789</v>
      </c>
    </row>
    <row r="4249" spans="1:1">
      <c r="A4249" t="s">
        <v>5790</v>
      </c>
    </row>
    <row r="4250" spans="1:1">
      <c r="A4250" t="s">
        <v>5791</v>
      </c>
    </row>
    <row r="4251" spans="1:1">
      <c r="A4251" t="s">
        <v>5792</v>
      </c>
    </row>
    <row r="4252" spans="1:1">
      <c r="A4252" t="s">
        <v>5793</v>
      </c>
    </row>
    <row r="4253" spans="1:1">
      <c r="A4253" t="s">
        <v>5794</v>
      </c>
    </row>
    <row r="4254" spans="1:1">
      <c r="A4254" t="s">
        <v>5795</v>
      </c>
    </row>
    <row r="4255" spans="1:1">
      <c r="A4255" t="s">
        <v>5796</v>
      </c>
    </row>
    <row r="4256" spans="1:1">
      <c r="A4256" t="s">
        <v>5797</v>
      </c>
    </row>
    <row r="4257" spans="1:1">
      <c r="A4257" t="s">
        <v>5798</v>
      </c>
    </row>
    <row r="4258" spans="1:1">
      <c r="A4258" t="s">
        <v>5799</v>
      </c>
    </row>
    <row r="4259" spans="1:1">
      <c r="A4259" t="s">
        <v>5800</v>
      </c>
    </row>
    <row r="4260" spans="1:1">
      <c r="A4260" t="s">
        <v>5801</v>
      </c>
    </row>
    <row r="4261" spans="1:1">
      <c r="A4261" t="s">
        <v>5802</v>
      </c>
    </row>
    <row r="4262" spans="1:1">
      <c r="A4262" t="s">
        <v>5803</v>
      </c>
    </row>
    <row r="4263" spans="1:1">
      <c r="A4263" t="s">
        <v>5804</v>
      </c>
    </row>
    <row r="4264" spans="1:1">
      <c r="A4264" t="s">
        <v>5805</v>
      </c>
    </row>
    <row r="4265" spans="1:1">
      <c r="A4265" t="s">
        <v>5806</v>
      </c>
    </row>
    <row r="4266" spans="1:1">
      <c r="A4266" t="s">
        <v>5807</v>
      </c>
    </row>
    <row r="4267" spans="1:1">
      <c r="A4267" t="s">
        <v>5808</v>
      </c>
    </row>
    <row r="4268" spans="1:1">
      <c r="A4268" t="s">
        <v>5809</v>
      </c>
    </row>
    <row r="4269" spans="1:1">
      <c r="A4269" t="s">
        <v>5810</v>
      </c>
    </row>
    <row r="4270" spans="1:1">
      <c r="A4270" t="s">
        <v>5811</v>
      </c>
    </row>
    <row r="4271" spans="1:1">
      <c r="A4271" t="s">
        <v>5812</v>
      </c>
    </row>
    <row r="4272" spans="1:1">
      <c r="A4272" t="s">
        <v>5813</v>
      </c>
    </row>
    <row r="4273" spans="1:1">
      <c r="A4273" t="s">
        <v>5814</v>
      </c>
    </row>
    <row r="4274" spans="1:1">
      <c r="A4274" t="s">
        <v>5815</v>
      </c>
    </row>
    <row r="4275" spans="1:1">
      <c r="A4275" t="s">
        <v>5816</v>
      </c>
    </row>
    <row r="4276" spans="1:1">
      <c r="A4276" t="s">
        <v>5817</v>
      </c>
    </row>
    <row r="4277" spans="1:1">
      <c r="A4277" t="s">
        <v>5818</v>
      </c>
    </row>
    <row r="4278" spans="1:1">
      <c r="A4278" t="s">
        <v>5819</v>
      </c>
    </row>
    <row r="4279" spans="1:1">
      <c r="A4279" t="s">
        <v>5820</v>
      </c>
    </row>
    <row r="4280" spans="1:1">
      <c r="A4280" t="s">
        <v>5821</v>
      </c>
    </row>
    <row r="4281" spans="1:1">
      <c r="A4281" t="s">
        <v>5822</v>
      </c>
    </row>
    <row r="4282" spans="1:1">
      <c r="A4282" t="s">
        <v>5823</v>
      </c>
    </row>
    <row r="4283" spans="1:1">
      <c r="A4283" t="s">
        <v>5824</v>
      </c>
    </row>
    <row r="4284" spans="1:1">
      <c r="A4284" t="s">
        <v>5825</v>
      </c>
    </row>
    <row r="4285" spans="1:1">
      <c r="A4285" t="s">
        <v>5826</v>
      </c>
    </row>
    <row r="4286" spans="1:1">
      <c r="A4286" t="s">
        <v>5827</v>
      </c>
    </row>
    <row r="4287" spans="1:1">
      <c r="A4287" t="s">
        <v>5828</v>
      </c>
    </row>
    <row r="4288" spans="1:1">
      <c r="A4288" t="s">
        <v>5829</v>
      </c>
    </row>
    <row r="4289" spans="1:1">
      <c r="A4289" t="s">
        <v>5830</v>
      </c>
    </row>
    <row r="4290" spans="1:1">
      <c r="A4290" t="s">
        <v>5831</v>
      </c>
    </row>
    <row r="4291" spans="1:1">
      <c r="A4291" t="s">
        <v>5832</v>
      </c>
    </row>
    <row r="4292" spans="1:1">
      <c r="A4292" t="s">
        <v>5833</v>
      </c>
    </row>
    <row r="4293" spans="1:1">
      <c r="A4293" t="s">
        <v>5834</v>
      </c>
    </row>
    <row r="4294" spans="1:1">
      <c r="A4294" t="s">
        <v>5835</v>
      </c>
    </row>
    <row r="4295" spans="1:1">
      <c r="A4295" t="s">
        <v>5836</v>
      </c>
    </row>
    <row r="4296" spans="1:1">
      <c r="A4296" t="s">
        <v>5837</v>
      </c>
    </row>
    <row r="4297" spans="1:1">
      <c r="A4297" t="s">
        <v>5838</v>
      </c>
    </row>
    <row r="4298" spans="1:1">
      <c r="A4298" t="s">
        <v>5839</v>
      </c>
    </row>
    <row r="4299" spans="1:1">
      <c r="A4299" t="s">
        <v>5840</v>
      </c>
    </row>
    <row r="4300" spans="1:1">
      <c r="A4300" t="s">
        <v>5841</v>
      </c>
    </row>
    <row r="4301" spans="1:1">
      <c r="A4301" t="s">
        <v>5842</v>
      </c>
    </row>
    <row r="4302" spans="1:1">
      <c r="A4302" t="s">
        <v>5843</v>
      </c>
    </row>
    <row r="4303" spans="1:1">
      <c r="A4303" t="s">
        <v>5844</v>
      </c>
    </row>
    <row r="4304" spans="1:1">
      <c r="A4304" t="s">
        <v>5845</v>
      </c>
    </row>
    <row r="4305" spans="1:1">
      <c r="A4305" t="s">
        <v>5846</v>
      </c>
    </row>
    <row r="4306" spans="1:1">
      <c r="A4306" t="s">
        <v>5847</v>
      </c>
    </row>
    <row r="4307" spans="1:1">
      <c r="A4307" t="s">
        <v>5848</v>
      </c>
    </row>
    <row r="4308" spans="1:1">
      <c r="A4308" t="s">
        <v>5849</v>
      </c>
    </row>
    <row r="4309" spans="1:1">
      <c r="A4309" t="s">
        <v>5850</v>
      </c>
    </row>
    <row r="4310" spans="1:1">
      <c r="A4310" t="s">
        <v>5851</v>
      </c>
    </row>
    <row r="4311" spans="1:1">
      <c r="A4311" t="s">
        <v>5852</v>
      </c>
    </row>
    <row r="4312" spans="1:1">
      <c r="A4312" t="s">
        <v>5853</v>
      </c>
    </row>
    <row r="4313" spans="1:1">
      <c r="A4313" t="s">
        <v>5854</v>
      </c>
    </row>
    <row r="4314" spans="1:1">
      <c r="A4314" t="s">
        <v>5855</v>
      </c>
    </row>
    <row r="4315" spans="1:1">
      <c r="A4315" t="s">
        <v>5856</v>
      </c>
    </row>
    <row r="4316" spans="1:1">
      <c r="A4316" t="s">
        <v>5857</v>
      </c>
    </row>
    <row r="4317" spans="1:1">
      <c r="A4317" t="s">
        <v>5858</v>
      </c>
    </row>
    <row r="4318" spans="1:1">
      <c r="A4318" t="s">
        <v>5859</v>
      </c>
    </row>
    <row r="4319" spans="1:1">
      <c r="A4319" t="s">
        <v>5860</v>
      </c>
    </row>
    <row r="4320" spans="1:1">
      <c r="A4320" t="s">
        <v>5861</v>
      </c>
    </row>
    <row r="4321" spans="1:1">
      <c r="A4321" t="s">
        <v>5862</v>
      </c>
    </row>
    <row r="4322" spans="1:1">
      <c r="A4322" t="s">
        <v>5863</v>
      </c>
    </row>
    <row r="4323" spans="1:1">
      <c r="A4323" t="s">
        <v>5864</v>
      </c>
    </row>
    <row r="4324" spans="1:1">
      <c r="A4324" t="s">
        <v>5865</v>
      </c>
    </row>
    <row r="4325" spans="1:1">
      <c r="A4325" t="s">
        <v>5866</v>
      </c>
    </row>
    <row r="4326" spans="1:1">
      <c r="A4326" t="s">
        <v>5867</v>
      </c>
    </row>
    <row r="4327" spans="1:1">
      <c r="A4327" t="s">
        <v>5868</v>
      </c>
    </row>
    <row r="4328" spans="1:1">
      <c r="A4328" t="s">
        <v>5869</v>
      </c>
    </row>
    <row r="4329" spans="1:1">
      <c r="A4329" t="s">
        <v>5870</v>
      </c>
    </row>
    <row r="4330" spans="1:1">
      <c r="A4330" t="s">
        <v>5871</v>
      </c>
    </row>
    <row r="4331" spans="1:1">
      <c r="A4331" t="s">
        <v>5872</v>
      </c>
    </row>
    <row r="4332" spans="1:1">
      <c r="A4332" t="s">
        <v>5873</v>
      </c>
    </row>
    <row r="4333" spans="1:1">
      <c r="A4333" t="s">
        <v>5874</v>
      </c>
    </row>
    <row r="4334" spans="1:1">
      <c r="A4334" t="s">
        <v>5875</v>
      </c>
    </row>
    <row r="4335" spans="1:1">
      <c r="A4335" t="s">
        <v>5876</v>
      </c>
    </row>
    <row r="4336" spans="1:1">
      <c r="A4336" t="s">
        <v>5877</v>
      </c>
    </row>
    <row r="4337" spans="1:1">
      <c r="A4337" t="s">
        <v>5878</v>
      </c>
    </row>
    <row r="4338" spans="1:1">
      <c r="A4338" t="s">
        <v>5879</v>
      </c>
    </row>
    <row r="4339" spans="1:1">
      <c r="A4339" t="s">
        <v>5880</v>
      </c>
    </row>
    <row r="4340" spans="1:1">
      <c r="A4340" t="s">
        <v>5881</v>
      </c>
    </row>
    <row r="4341" spans="1:1">
      <c r="A4341" t="s">
        <v>5882</v>
      </c>
    </row>
    <row r="4342" spans="1:1">
      <c r="A4342" t="s">
        <v>5883</v>
      </c>
    </row>
    <row r="4343" spans="1:1">
      <c r="A4343" t="s">
        <v>5884</v>
      </c>
    </row>
    <row r="4344" spans="1:1">
      <c r="A4344" t="s">
        <v>5885</v>
      </c>
    </row>
    <row r="4345" spans="1:1">
      <c r="A4345" t="s">
        <v>5886</v>
      </c>
    </row>
    <row r="4346" spans="1:1">
      <c r="A4346" t="s">
        <v>5887</v>
      </c>
    </row>
    <row r="4347" spans="1:1">
      <c r="A4347" t="s">
        <v>5888</v>
      </c>
    </row>
    <row r="4348" spans="1:1">
      <c r="A4348" t="s">
        <v>5889</v>
      </c>
    </row>
    <row r="4349" spans="1:1">
      <c r="A4349" t="s">
        <v>5890</v>
      </c>
    </row>
    <row r="4350" spans="1:1">
      <c r="A4350" t="s">
        <v>5891</v>
      </c>
    </row>
    <row r="4351" spans="1:1">
      <c r="A4351" t="s">
        <v>5892</v>
      </c>
    </row>
    <row r="4352" spans="1:1">
      <c r="A4352" t="s">
        <v>5893</v>
      </c>
    </row>
    <row r="4353" spans="1:1">
      <c r="A4353" t="s">
        <v>5894</v>
      </c>
    </row>
    <row r="4354" spans="1:1">
      <c r="A4354" t="s">
        <v>5895</v>
      </c>
    </row>
    <row r="4355" spans="1:1">
      <c r="A4355" t="s">
        <v>5896</v>
      </c>
    </row>
    <row r="4356" spans="1:1">
      <c r="A4356" t="s">
        <v>5897</v>
      </c>
    </row>
    <row r="4357" spans="1:1">
      <c r="A4357" t="s">
        <v>5898</v>
      </c>
    </row>
    <row r="4358" spans="1:1">
      <c r="A4358" t="s">
        <v>5899</v>
      </c>
    </row>
    <row r="4359" spans="1:1">
      <c r="A4359" t="s">
        <v>5900</v>
      </c>
    </row>
    <row r="4360" spans="1:1">
      <c r="A4360" t="s">
        <v>5901</v>
      </c>
    </row>
    <row r="4361" spans="1:1">
      <c r="A4361" t="s">
        <v>5902</v>
      </c>
    </row>
    <row r="4362" spans="1:1">
      <c r="A4362" t="s">
        <v>5903</v>
      </c>
    </row>
    <row r="4363" spans="1:1">
      <c r="A4363" t="s">
        <v>5904</v>
      </c>
    </row>
    <row r="4364" spans="1:1">
      <c r="A4364" t="s">
        <v>5905</v>
      </c>
    </row>
    <row r="4365" spans="1:1">
      <c r="A4365" t="s">
        <v>5906</v>
      </c>
    </row>
    <row r="4366" spans="1:1">
      <c r="A4366" t="s">
        <v>5907</v>
      </c>
    </row>
    <row r="4367" spans="1:1">
      <c r="A4367" t="s">
        <v>5908</v>
      </c>
    </row>
    <row r="4368" spans="1:1">
      <c r="A4368" t="s">
        <v>5909</v>
      </c>
    </row>
    <row r="4369" spans="1:1">
      <c r="A4369" t="s">
        <v>5910</v>
      </c>
    </row>
    <row r="4370" spans="1:1">
      <c r="A4370" t="s">
        <v>5911</v>
      </c>
    </row>
    <row r="4371" spans="1:1">
      <c r="A4371" t="s">
        <v>5912</v>
      </c>
    </row>
    <row r="4372" spans="1:1">
      <c r="A4372" t="s">
        <v>5913</v>
      </c>
    </row>
    <row r="4373" spans="1:1">
      <c r="A4373" t="s">
        <v>5914</v>
      </c>
    </row>
    <row r="4374" spans="1:1">
      <c r="A4374" t="s">
        <v>5915</v>
      </c>
    </row>
    <row r="4375" spans="1:1">
      <c r="A4375" t="s">
        <v>5916</v>
      </c>
    </row>
    <row r="4376" spans="1:1">
      <c r="A4376" t="s">
        <v>5917</v>
      </c>
    </row>
    <row r="4377" spans="1:1">
      <c r="A4377" t="s">
        <v>5918</v>
      </c>
    </row>
    <row r="4378" spans="1:1">
      <c r="A4378" t="s">
        <v>5919</v>
      </c>
    </row>
    <row r="4379" spans="1:1">
      <c r="A4379" t="s">
        <v>5920</v>
      </c>
    </row>
    <row r="4380" spans="1:1">
      <c r="A4380" t="s">
        <v>5921</v>
      </c>
    </row>
    <row r="4381" spans="1:1">
      <c r="A4381" t="s">
        <v>5922</v>
      </c>
    </row>
    <row r="4382" spans="1:1">
      <c r="A4382" t="s">
        <v>5923</v>
      </c>
    </row>
    <row r="4383" spans="1:1">
      <c r="A4383" t="s">
        <v>5924</v>
      </c>
    </row>
    <row r="4384" spans="1:1">
      <c r="A4384" t="s">
        <v>5925</v>
      </c>
    </row>
    <row r="4385" spans="1:1">
      <c r="A4385" t="s">
        <v>5926</v>
      </c>
    </row>
    <row r="4386" spans="1:1">
      <c r="A4386" t="s">
        <v>5927</v>
      </c>
    </row>
    <row r="4387" spans="1:1">
      <c r="A4387" t="s">
        <v>5928</v>
      </c>
    </row>
    <row r="4388" spans="1:1">
      <c r="A4388" t="s">
        <v>5929</v>
      </c>
    </row>
    <row r="4389" spans="1:1">
      <c r="A4389" t="s">
        <v>5930</v>
      </c>
    </row>
    <row r="4390" spans="1:1">
      <c r="A4390" t="s">
        <v>5931</v>
      </c>
    </row>
    <row r="4391" spans="1:1">
      <c r="A4391" t="s">
        <v>5932</v>
      </c>
    </row>
    <row r="4392" spans="1:1">
      <c r="A4392" t="s">
        <v>5933</v>
      </c>
    </row>
    <row r="4393" spans="1:1">
      <c r="A4393" t="s">
        <v>5934</v>
      </c>
    </row>
    <row r="4394" spans="1:1">
      <c r="A4394" t="s">
        <v>5935</v>
      </c>
    </row>
    <row r="4395" spans="1:1">
      <c r="A4395" t="s">
        <v>5936</v>
      </c>
    </row>
    <row r="4396" spans="1:1">
      <c r="A4396" t="s">
        <v>5937</v>
      </c>
    </row>
    <row r="4397" spans="1:1">
      <c r="A4397" t="s">
        <v>5938</v>
      </c>
    </row>
    <row r="4398" spans="1:1">
      <c r="A4398" t="s">
        <v>5939</v>
      </c>
    </row>
    <row r="4399" spans="1:1">
      <c r="A4399" t="s">
        <v>5940</v>
      </c>
    </row>
    <row r="4400" spans="1:1">
      <c r="A4400" t="s">
        <v>5941</v>
      </c>
    </row>
    <row r="4401" spans="1:1">
      <c r="A4401" t="s">
        <v>5942</v>
      </c>
    </row>
    <row r="4402" spans="1:1">
      <c r="A4402" t="s">
        <v>5943</v>
      </c>
    </row>
    <row r="4403" spans="1:1">
      <c r="A4403" t="s">
        <v>5944</v>
      </c>
    </row>
    <row r="4404" spans="1:1">
      <c r="A4404" t="s">
        <v>5945</v>
      </c>
    </row>
    <row r="4405" spans="1:1">
      <c r="A4405" t="s">
        <v>5946</v>
      </c>
    </row>
    <row r="4406" spans="1:1">
      <c r="A4406" t="s">
        <v>5947</v>
      </c>
    </row>
    <row r="4407" spans="1:1">
      <c r="A4407" t="s">
        <v>5948</v>
      </c>
    </row>
    <row r="4408" spans="1:1">
      <c r="A4408" t="s">
        <v>5949</v>
      </c>
    </row>
    <row r="4409" spans="1:1">
      <c r="A4409" t="s">
        <v>5950</v>
      </c>
    </row>
    <row r="4410" spans="1:1">
      <c r="A4410" t="s">
        <v>5951</v>
      </c>
    </row>
    <row r="4411" spans="1:1">
      <c r="A4411" t="s">
        <v>5952</v>
      </c>
    </row>
    <row r="4412" spans="1:1">
      <c r="A4412" t="s">
        <v>5953</v>
      </c>
    </row>
    <row r="4413" spans="1:1">
      <c r="A4413" t="s">
        <v>5954</v>
      </c>
    </row>
    <row r="4414" spans="1:1">
      <c r="A4414" t="s">
        <v>5955</v>
      </c>
    </row>
    <row r="4415" spans="1:1">
      <c r="A4415" t="s">
        <v>5956</v>
      </c>
    </row>
    <row r="4416" spans="1:1">
      <c r="A4416" t="s">
        <v>5957</v>
      </c>
    </row>
    <row r="4417" spans="1:1">
      <c r="A4417" t="s">
        <v>5958</v>
      </c>
    </row>
    <row r="4418" spans="1:1">
      <c r="A4418" t="s">
        <v>5959</v>
      </c>
    </row>
    <row r="4419" spans="1:1">
      <c r="A4419" t="s">
        <v>5960</v>
      </c>
    </row>
    <row r="4420" spans="1:1">
      <c r="A4420" t="s">
        <v>5961</v>
      </c>
    </row>
    <row r="4421" spans="1:1">
      <c r="A4421" t="s">
        <v>5962</v>
      </c>
    </row>
    <row r="4422" spans="1:1">
      <c r="A4422" t="s">
        <v>5963</v>
      </c>
    </row>
    <row r="4423" spans="1:1">
      <c r="A4423" t="s">
        <v>5964</v>
      </c>
    </row>
    <row r="4424" spans="1:1">
      <c r="A4424" t="s">
        <v>5965</v>
      </c>
    </row>
    <row r="4425" spans="1:1">
      <c r="A4425" t="s">
        <v>5966</v>
      </c>
    </row>
    <row r="4426" spans="1:1">
      <c r="A4426" t="s">
        <v>5967</v>
      </c>
    </row>
    <row r="4427" spans="1:1">
      <c r="A4427" t="s">
        <v>5968</v>
      </c>
    </row>
    <row r="4428" spans="1:1">
      <c r="A4428" t="s">
        <v>5969</v>
      </c>
    </row>
    <row r="4429" spans="1:1">
      <c r="A4429" t="s">
        <v>5970</v>
      </c>
    </row>
    <row r="4430" spans="1:1">
      <c r="A4430" t="s">
        <v>5971</v>
      </c>
    </row>
    <row r="4431" spans="1:1">
      <c r="A4431" t="s">
        <v>5972</v>
      </c>
    </row>
    <row r="4432" spans="1:1">
      <c r="A4432" t="s">
        <v>5973</v>
      </c>
    </row>
    <row r="4433" spans="1:1">
      <c r="A4433" t="s">
        <v>5974</v>
      </c>
    </row>
    <row r="4434" spans="1:1">
      <c r="A4434" t="s">
        <v>5975</v>
      </c>
    </row>
    <row r="4435" spans="1:1">
      <c r="A4435" t="s">
        <v>5976</v>
      </c>
    </row>
    <row r="4436" spans="1:1">
      <c r="A4436" t="s">
        <v>5977</v>
      </c>
    </row>
    <row r="4437" spans="1:1">
      <c r="A4437" t="s">
        <v>5978</v>
      </c>
    </row>
    <row r="4438" spans="1:1">
      <c r="A4438" t="s">
        <v>5979</v>
      </c>
    </row>
    <row r="4439" spans="1:1">
      <c r="A4439" t="s">
        <v>5980</v>
      </c>
    </row>
    <row r="4440" spans="1:1">
      <c r="A4440" t="s">
        <v>5981</v>
      </c>
    </row>
    <row r="4441" spans="1:1">
      <c r="A4441" t="s">
        <v>5982</v>
      </c>
    </row>
    <row r="4442" spans="1:1">
      <c r="A4442" t="s">
        <v>5983</v>
      </c>
    </row>
    <row r="4443" spans="1:1">
      <c r="A4443" t="s">
        <v>5984</v>
      </c>
    </row>
    <row r="4444" spans="1:1">
      <c r="A4444" t="s">
        <v>5985</v>
      </c>
    </row>
    <row r="4445" spans="1:1">
      <c r="A4445" t="s">
        <v>5986</v>
      </c>
    </row>
    <row r="4446" spans="1:1">
      <c r="A4446" t="s">
        <v>5987</v>
      </c>
    </row>
    <row r="4447" spans="1:1">
      <c r="A4447" t="s">
        <v>5988</v>
      </c>
    </row>
    <row r="4448" spans="1:1">
      <c r="A4448" t="s">
        <v>5989</v>
      </c>
    </row>
    <row r="4449" spans="1:1">
      <c r="A4449" t="s">
        <v>5990</v>
      </c>
    </row>
    <row r="4450" spans="1:1">
      <c r="A4450" t="s">
        <v>5991</v>
      </c>
    </row>
    <row r="4451" spans="1:1">
      <c r="A4451" t="s">
        <v>5992</v>
      </c>
    </row>
    <row r="4452" spans="1:1">
      <c r="A4452" t="s">
        <v>5993</v>
      </c>
    </row>
    <row r="4453" spans="1:1">
      <c r="A4453" t="s">
        <v>5994</v>
      </c>
    </row>
    <row r="4454" spans="1:1">
      <c r="A4454" t="s">
        <v>5995</v>
      </c>
    </row>
    <row r="4455" spans="1:1">
      <c r="A4455" t="s">
        <v>5996</v>
      </c>
    </row>
    <row r="4456" spans="1:1">
      <c r="A4456" t="s">
        <v>5997</v>
      </c>
    </row>
    <row r="4457" spans="1:1">
      <c r="A4457" t="s">
        <v>5998</v>
      </c>
    </row>
    <row r="4458" spans="1:1">
      <c r="A4458" t="s">
        <v>5999</v>
      </c>
    </row>
    <row r="4459" spans="1:1">
      <c r="A4459" t="s">
        <v>6000</v>
      </c>
    </row>
    <row r="4460" spans="1:1">
      <c r="A4460" t="s">
        <v>6001</v>
      </c>
    </row>
    <row r="4461" spans="1:1">
      <c r="A4461" t="s">
        <v>6002</v>
      </c>
    </row>
    <row r="4462" spans="1:1">
      <c r="A4462" t="s">
        <v>6003</v>
      </c>
    </row>
    <row r="4463" spans="1:1">
      <c r="A4463" t="s">
        <v>6004</v>
      </c>
    </row>
    <row r="4464" spans="1:1">
      <c r="A4464" t="s">
        <v>6005</v>
      </c>
    </row>
    <row r="4465" spans="1:1">
      <c r="A4465" t="s">
        <v>6006</v>
      </c>
    </row>
    <row r="4466" spans="1:1">
      <c r="A4466" t="s">
        <v>6007</v>
      </c>
    </row>
    <row r="4467" spans="1:1">
      <c r="A4467" t="s">
        <v>6008</v>
      </c>
    </row>
    <row r="4468" spans="1:1">
      <c r="A4468" t="s">
        <v>6009</v>
      </c>
    </row>
    <row r="4469" spans="1:1">
      <c r="A4469" t="s">
        <v>6010</v>
      </c>
    </row>
    <row r="4470" spans="1:1">
      <c r="A4470" t="s">
        <v>6011</v>
      </c>
    </row>
    <row r="4471" spans="1:1">
      <c r="A4471" t="s">
        <v>6012</v>
      </c>
    </row>
    <row r="4472" spans="1:1">
      <c r="A4472" t="s">
        <v>6013</v>
      </c>
    </row>
    <row r="4473" spans="1:1">
      <c r="A4473" t="s">
        <v>6014</v>
      </c>
    </row>
    <row r="4474" spans="1:1">
      <c r="A4474" t="s">
        <v>6015</v>
      </c>
    </row>
    <row r="4475" spans="1:1">
      <c r="A4475" t="s">
        <v>6016</v>
      </c>
    </row>
    <row r="4476" spans="1:1">
      <c r="A4476" t="s">
        <v>6017</v>
      </c>
    </row>
    <row r="4477" spans="1:1">
      <c r="A4477" t="s">
        <v>6018</v>
      </c>
    </row>
    <row r="4478" spans="1:1">
      <c r="A4478" t="s">
        <v>6019</v>
      </c>
    </row>
    <row r="4479" spans="1:1">
      <c r="A4479" t="s">
        <v>6020</v>
      </c>
    </row>
    <row r="4480" spans="1:1">
      <c r="A4480" t="s">
        <v>6021</v>
      </c>
    </row>
    <row r="4481" spans="1:1">
      <c r="A4481" t="s">
        <v>6022</v>
      </c>
    </row>
    <row r="4482" spans="1:1">
      <c r="A4482" t="s">
        <v>6023</v>
      </c>
    </row>
    <row r="4483" spans="1:1">
      <c r="A4483" t="s">
        <v>6024</v>
      </c>
    </row>
    <row r="4484" spans="1:1">
      <c r="A4484" t="s">
        <v>6025</v>
      </c>
    </row>
    <row r="4485" spans="1:1">
      <c r="A4485" t="s">
        <v>6026</v>
      </c>
    </row>
    <row r="4486" spans="1:1">
      <c r="A4486" t="s">
        <v>6027</v>
      </c>
    </row>
    <row r="4487" spans="1:1">
      <c r="A4487" t="s">
        <v>6028</v>
      </c>
    </row>
    <row r="4488" spans="1:1">
      <c r="A4488" t="s">
        <v>6029</v>
      </c>
    </row>
    <row r="4489" spans="1:1">
      <c r="A4489" t="s">
        <v>6030</v>
      </c>
    </row>
    <row r="4490" spans="1:1">
      <c r="A4490" t="s">
        <v>6031</v>
      </c>
    </row>
    <row r="4491" spans="1:1">
      <c r="A4491" t="s">
        <v>6032</v>
      </c>
    </row>
    <row r="4492" spans="1:1">
      <c r="A4492" t="s">
        <v>6033</v>
      </c>
    </row>
    <row r="4493" spans="1:1">
      <c r="A4493" t="s">
        <v>6034</v>
      </c>
    </row>
    <row r="4494" spans="1:1">
      <c r="A4494" t="s">
        <v>6035</v>
      </c>
    </row>
    <row r="4495" spans="1:1">
      <c r="A4495" t="s">
        <v>6036</v>
      </c>
    </row>
    <row r="4496" spans="1:1">
      <c r="A4496" t="s">
        <v>6037</v>
      </c>
    </row>
    <row r="4497" spans="1:1">
      <c r="A4497" t="s">
        <v>6038</v>
      </c>
    </row>
    <row r="4498" spans="1:1">
      <c r="A4498" t="s">
        <v>6039</v>
      </c>
    </row>
    <row r="4499" spans="1:1">
      <c r="A4499" t="s">
        <v>6040</v>
      </c>
    </row>
    <row r="4500" spans="1:1">
      <c r="A4500" t="s">
        <v>6041</v>
      </c>
    </row>
    <row r="4501" spans="1:1">
      <c r="A4501" t="s">
        <v>6042</v>
      </c>
    </row>
    <row r="4502" spans="1:1">
      <c r="A4502" t="s">
        <v>6043</v>
      </c>
    </row>
    <row r="4503" spans="1:1">
      <c r="A4503" t="s">
        <v>6044</v>
      </c>
    </row>
    <row r="4504" spans="1:1">
      <c r="A4504" t="s">
        <v>6045</v>
      </c>
    </row>
    <row r="4505" spans="1:1">
      <c r="A4505" t="s">
        <v>6046</v>
      </c>
    </row>
    <row r="4506" spans="1:1">
      <c r="A4506" t="s">
        <v>6047</v>
      </c>
    </row>
    <row r="4507" spans="1:1">
      <c r="A4507" t="s">
        <v>6048</v>
      </c>
    </row>
    <row r="4508" spans="1:1">
      <c r="A4508" t="s">
        <v>6049</v>
      </c>
    </row>
    <row r="4509" spans="1:1">
      <c r="A4509" t="s">
        <v>6050</v>
      </c>
    </row>
    <row r="4510" spans="1:1">
      <c r="A4510" t="s">
        <v>6051</v>
      </c>
    </row>
    <row r="4511" spans="1:1">
      <c r="A4511" t="s">
        <v>6052</v>
      </c>
    </row>
    <row r="4512" spans="1:1">
      <c r="A4512" t="s">
        <v>6053</v>
      </c>
    </row>
    <row r="4513" spans="1:1">
      <c r="A4513" t="s">
        <v>6054</v>
      </c>
    </row>
    <row r="4514" spans="1:1">
      <c r="A4514" t="s">
        <v>6055</v>
      </c>
    </row>
    <row r="4515" spans="1:1">
      <c r="A4515" t="s">
        <v>6056</v>
      </c>
    </row>
    <row r="4516" spans="1:1">
      <c r="A4516" t="s">
        <v>6057</v>
      </c>
    </row>
    <row r="4517" spans="1:1">
      <c r="A4517" t="s">
        <v>6058</v>
      </c>
    </row>
    <row r="4518" spans="1:1">
      <c r="A4518" t="s">
        <v>6059</v>
      </c>
    </row>
    <row r="4519" spans="1:1">
      <c r="A4519" t="s">
        <v>6060</v>
      </c>
    </row>
    <row r="4520" spans="1:1">
      <c r="A4520" t="s">
        <v>6061</v>
      </c>
    </row>
    <row r="4521" spans="1:1">
      <c r="A4521" t="s">
        <v>6062</v>
      </c>
    </row>
    <row r="4522" spans="1:1">
      <c r="A4522" t="s">
        <v>6063</v>
      </c>
    </row>
    <row r="4523" spans="1:1">
      <c r="A4523" t="s">
        <v>6064</v>
      </c>
    </row>
    <row r="4524" spans="1:1">
      <c r="A4524" t="s">
        <v>6065</v>
      </c>
    </row>
    <row r="4525" spans="1:1">
      <c r="A4525" t="s">
        <v>6066</v>
      </c>
    </row>
    <row r="4526" spans="1:1">
      <c r="A4526" t="s">
        <v>6067</v>
      </c>
    </row>
    <row r="4527" spans="1:1">
      <c r="A4527" t="s">
        <v>6068</v>
      </c>
    </row>
    <row r="4528" spans="1:1">
      <c r="A4528" t="s">
        <v>6069</v>
      </c>
    </row>
    <row r="4529" spans="1:1">
      <c r="A4529" t="s">
        <v>6070</v>
      </c>
    </row>
    <row r="4530" spans="1:1">
      <c r="A4530" t="s">
        <v>6071</v>
      </c>
    </row>
    <row r="4531" spans="1:1">
      <c r="A4531" t="s">
        <v>6072</v>
      </c>
    </row>
    <row r="4532" spans="1:1">
      <c r="A4532" t="s">
        <v>6073</v>
      </c>
    </row>
    <row r="4533" spans="1:1">
      <c r="A4533" t="s">
        <v>6074</v>
      </c>
    </row>
    <row r="4534" spans="1:1">
      <c r="A4534" t="s">
        <v>6075</v>
      </c>
    </row>
    <row r="4535" spans="1:1">
      <c r="A4535" t="s">
        <v>6076</v>
      </c>
    </row>
    <row r="4536" spans="1:1">
      <c r="A4536" t="s">
        <v>6077</v>
      </c>
    </row>
    <row r="4537" spans="1:1">
      <c r="A4537" t="s">
        <v>6078</v>
      </c>
    </row>
    <row r="4538" spans="1:1">
      <c r="A4538" t="s">
        <v>6079</v>
      </c>
    </row>
    <row r="4539" spans="1:1">
      <c r="A4539" t="s">
        <v>6080</v>
      </c>
    </row>
    <row r="4540" spans="1:1">
      <c r="A4540" t="s">
        <v>6081</v>
      </c>
    </row>
    <row r="4541" spans="1:1">
      <c r="A4541" t="s">
        <v>6082</v>
      </c>
    </row>
    <row r="4542" spans="1:1">
      <c r="A4542" t="s">
        <v>6083</v>
      </c>
    </row>
    <row r="4543" spans="1:1">
      <c r="A4543" t="s">
        <v>6084</v>
      </c>
    </row>
    <row r="4544" spans="1:1">
      <c r="A4544" t="s">
        <v>6085</v>
      </c>
    </row>
    <row r="4545" spans="1:1">
      <c r="A4545" t="s">
        <v>6086</v>
      </c>
    </row>
    <row r="4546" spans="1:1">
      <c r="A4546" t="s">
        <v>6087</v>
      </c>
    </row>
    <row r="4547" spans="1:1">
      <c r="A4547" t="s">
        <v>6088</v>
      </c>
    </row>
    <row r="4548" spans="1:1">
      <c r="A4548" t="s">
        <v>6089</v>
      </c>
    </row>
    <row r="4549" spans="1:1">
      <c r="A4549" t="s">
        <v>6090</v>
      </c>
    </row>
    <row r="4550" spans="1:1">
      <c r="A4550" t="s">
        <v>6091</v>
      </c>
    </row>
    <row r="4551" spans="1:1">
      <c r="A4551" t="s">
        <v>6092</v>
      </c>
    </row>
    <row r="4552" spans="1:1">
      <c r="A4552" t="s">
        <v>6093</v>
      </c>
    </row>
    <row r="4553" spans="1:1">
      <c r="A4553" t="s">
        <v>6094</v>
      </c>
    </row>
    <row r="4554" spans="1:1">
      <c r="A4554" t="s">
        <v>6095</v>
      </c>
    </row>
    <row r="4555" spans="1:1">
      <c r="A4555" t="s">
        <v>6096</v>
      </c>
    </row>
    <row r="4556" spans="1:1">
      <c r="A4556" t="s">
        <v>6097</v>
      </c>
    </row>
    <row r="4557" spans="1:1">
      <c r="A4557" t="s">
        <v>6098</v>
      </c>
    </row>
    <row r="4558" spans="1:1">
      <c r="A4558" t="s">
        <v>6099</v>
      </c>
    </row>
    <row r="4559" spans="1:1">
      <c r="A4559" t="s">
        <v>6100</v>
      </c>
    </row>
    <row r="4560" spans="1:1">
      <c r="A4560" t="s">
        <v>6101</v>
      </c>
    </row>
    <row r="4561" spans="1:1">
      <c r="A4561" t="s">
        <v>6102</v>
      </c>
    </row>
    <row r="4562" spans="1:1">
      <c r="A4562" t="s">
        <v>6103</v>
      </c>
    </row>
    <row r="4563" spans="1:1">
      <c r="A4563" t="s">
        <v>6104</v>
      </c>
    </row>
    <row r="4564" spans="1:1">
      <c r="A4564" t="s">
        <v>6105</v>
      </c>
    </row>
    <row r="4565" spans="1:1">
      <c r="A4565" t="s">
        <v>6106</v>
      </c>
    </row>
    <row r="4566" spans="1:1">
      <c r="A4566" t="s">
        <v>6107</v>
      </c>
    </row>
    <row r="4567" spans="1:1">
      <c r="A4567" t="s">
        <v>6108</v>
      </c>
    </row>
    <row r="4568" spans="1:1">
      <c r="A4568" t="s">
        <v>6109</v>
      </c>
    </row>
    <row r="4569" spans="1:1">
      <c r="A4569" t="s">
        <v>6110</v>
      </c>
    </row>
    <row r="4570" spans="1:1">
      <c r="A4570" t="s">
        <v>6111</v>
      </c>
    </row>
    <row r="4571" spans="1:1">
      <c r="A4571" t="s">
        <v>6112</v>
      </c>
    </row>
    <row r="4572" spans="1:1">
      <c r="A4572" t="s">
        <v>6113</v>
      </c>
    </row>
    <row r="4573" spans="1:1">
      <c r="A4573" t="s">
        <v>6114</v>
      </c>
    </row>
    <row r="4574" spans="1:1">
      <c r="A4574" t="s">
        <v>6115</v>
      </c>
    </row>
    <row r="4575" spans="1:1">
      <c r="A4575" t="s">
        <v>6116</v>
      </c>
    </row>
    <row r="4576" spans="1:1">
      <c r="A4576" t="s">
        <v>6117</v>
      </c>
    </row>
    <row r="4577" spans="1:1">
      <c r="A4577" t="s">
        <v>6118</v>
      </c>
    </row>
    <row r="4578" spans="1:1">
      <c r="A4578" t="s">
        <v>6119</v>
      </c>
    </row>
    <row r="4579" spans="1:1">
      <c r="A4579" t="s">
        <v>6120</v>
      </c>
    </row>
    <row r="4580" spans="1:1">
      <c r="A4580" t="s">
        <v>6121</v>
      </c>
    </row>
    <row r="4581" spans="1:1">
      <c r="A4581" t="s">
        <v>6122</v>
      </c>
    </row>
    <row r="4582" spans="1:1">
      <c r="A4582" t="s">
        <v>6123</v>
      </c>
    </row>
    <row r="4583" spans="1:1">
      <c r="A4583" t="s">
        <v>6124</v>
      </c>
    </row>
    <row r="4584" spans="1:1">
      <c r="A4584" t="s">
        <v>6125</v>
      </c>
    </row>
    <row r="4585" spans="1:1">
      <c r="A4585" t="s">
        <v>6126</v>
      </c>
    </row>
    <row r="4586" spans="1:1">
      <c r="A4586" t="s">
        <v>6127</v>
      </c>
    </row>
    <row r="4587" spans="1:1">
      <c r="A4587" t="s">
        <v>6128</v>
      </c>
    </row>
    <row r="4588" spans="1:1">
      <c r="A4588" t="s">
        <v>6129</v>
      </c>
    </row>
    <row r="4589" spans="1:1">
      <c r="A4589" t="s">
        <v>6130</v>
      </c>
    </row>
    <row r="4590" spans="1:1">
      <c r="A4590" t="s">
        <v>6131</v>
      </c>
    </row>
    <row r="4591" spans="1:1">
      <c r="A4591" t="s">
        <v>6132</v>
      </c>
    </row>
    <row r="4592" spans="1:1">
      <c r="A4592" t="s">
        <v>6133</v>
      </c>
    </row>
    <row r="4593" spans="1:1">
      <c r="A4593" t="s">
        <v>6134</v>
      </c>
    </row>
    <row r="4594" spans="1:1">
      <c r="A4594" t="s">
        <v>6135</v>
      </c>
    </row>
    <row r="4595" spans="1:1">
      <c r="A4595" t="s">
        <v>6136</v>
      </c>
    </row>
    <row r="4596" spans="1:1">
      <c r="A4596" t="s">
        <v>6137</v>
      </c>
    </row>
    <row r="4597" spans="1:1">
      <c r="A4597" t="s">
        <v>6138</v>
      </c>
    </row>
    <row r="4598" spans="1:1">
      <c r="A4598" t="s">
        <v>6139</v>
      </c>
    </row>
    <row r="4599" spans="1:1">
      <c r="A4599" t="s">
        <v>6140</v>
      </c>
    </row>
    <row r="4600" spans="1:1">
      <c r="A4600" t="s">
        <v>6141</v>
      </c>
    </row>
    <row r="4601" spans="1:1">
      <c r="A4601" t="s">
        <v>6142</v>
      </c>
    </row>
    <row r="4602" spans="1:1">
      <c r="A4602" t="s">
        <v>6143</v>
      </c>
    </row>
    <row r="4603" spans="1:1">
      <c r="A4603" t="s">
        <v>6144</v>
      </c>
    </row>
    <row r="4604" spans="1:1">
      <c r="A4604" t="s">
        <v>6145</v>
      </c>
    </row>
    <row r="4605" spans="1:1">
      <c r="A4605" t="s">
        <v>6146</v>
      </c>
    </row>
    <row r="4606" spans="1:1">
      <c r="A4606" t="s">
        <v>6147</v>
      </c>
    </row>
    <row r="4607" spans="1:1">
      <c r="A4607" t="s">
        <v>6148</v>
      </c>
    </row>
    <row r="4608" spans="1:1">
      <c r="A4608" t="s">
        <v>6149</v>
      </c>
    </row>
    <row r="4609" spans="1:1">
      <c r="A4609" t="s">
        <v>6150</v>
      </c>
    </row>
    <row r="4610" spans="1:1">
      <c r="A4610" t="s">
        <v>6151</v>
      </c>
    </row>
    <row r="4611" spans="1:1">
      <c r="A4611" t="s">
        <v>6152</v>
      </c>
    </row>
    <row r="4612" spans="1:1">
      <c r="A4612" t="s">
        <v>6153</v>
      </c>
    </row>
    <row r="4613" spans="1:1">
      <c r="A4613" t="s">
        <v>6154</v>
      </c>
    </row>
    <row r="4614" spans="1:1">
      <c r="A4614" t="s">
        <v>6155</v>
      </c>
    </row>
    <row r="4615" spans="1:1">
      <c r="A4615" t="s">
        <v>6156</v>
      </c>
    </row>
    <row r="4616" spans="1:1">
      <c r="A4616" t="s">
        <v>6157</v>
      </c>
    </row>
    <row r="4617" spans="1:1">
      <c r="A4617" t="s">
        <v>6158</v>
      </c>
    </row>
    <row r="4618" spans="1:1">
      <c r="A4618" t="s">
        <v>6159</v>
      </c>
    </row>
    <row r="4619" spans="1:1">
      <c r="A4619" t="s">
        <v>6160</v>
      </c>
    </row>
    <row r="4620" spans="1:1">
      <c r="A4620" t="s">
        <v>6161</v>
      </c>
    </row>
    <row r="4621" spans="1:1">
      <c r="A4621" t="s">
        <v>6162</v>
      </c>
    </row>
    <row r="4622" spans="1:1">
      <c r="A4622" t="s">
        <v>6163</v>
      </c>
    </row>
    <row r="4623" spans="1:1">
      <c r="A4623" t="s">
        <v>6164</v>
      </c>
    </row>
    <row r="4624" spans="1:1">
      <c r="A4624" t="s">
        <v>6165</v>
      </c>
    </row>
    <row r="4625" spans="1:1">
      <c r="A4625" t="s">
        <v>6166</v>
      </c>
    </row>
    <row r="4626" spans="1:1">
      <c r="A4626" t="s">
        <v>6167</v>
      </c>
    </row>
    <row r="4627" spans="1:1">
      <c r="A4627" t="s">
        <v>6168</v>
      </c>
    </row>
    <row r="4628" spans="1:1">
      <c r="A4628" t="s">
        <v>6169</v>
      </c>
    </row>
    <row r="4629" spans="1:1">
      <c r="A4629" t="s">
        <v>6170</v>
      </c>
    </row>
    <row r="4630" spans="1:1">
      <c r="A4630" t="s">
        <v>6171</v>
      </c>
    </row>
    <row r="4631" spans="1:1">
      <c r="A4631" t="s">
        <v>6172</v>
      </c>
    </row>
    <row r="4632" spans="1:1">
      <c r="A4632" t="s">
        <v>6173</v>
      </c>
    </row>
    <row r="4633" spans="1:1">
      <c r="A4633" t="s">
        <v>6174</v>
      </c>
    </row>
    <row r="4634" spans="1:1">
      <c r="A4634" t="s">
        <v>6175</v>
      </c>
    </row>
    <row r="4635" spans="1:1">
      <c r="A4635" t="s">
        <v>6176</v>
      </c>
    </row>
    <row r="4636" spans="1:1">
      <c r="A4636" t="s">
        <v>6177</v>
      </c>
    </row>
    <row r="4637" spans="1:1">
      <c r="A4637" t="s">
        <v>6178</v>
      </c>
    </row>
    <row r="4638" spans="1:1">
      <c r="A4638" t="s">
        <v>6179</v>
      </c>
    </row>
    <row r="4639" spans="1:1">
      <c r="A4639" t="s">
        <v>6180</v>
      </c>
    </row>
    <row r="4640" spans="1:1">
      <c r="A4640" t="s">
        <v>6181</v>
      </c>
    </row>
    <row r="4641" spans="1:1">
      <c r="A4641" t="s">
        <v>6182</v>
      </c>
    </row>
    <row r="4642" spans="1:1">
      <c r="A4642" t="s">
        <v>6183</v>
      </c>
    </row>
    <row r="4643" spans="1:1">
      <c r="A4643" t="s">
        <v>6184</v>
      </c>
    </row>
    <row r="4644" spans="1:1">
      <c r="A4644" t="s">
        <v>6185</v>
      </c>
    </row>
    <row r="4645" spans="1:1">
      <c r="A4645" t="s">
        <v>6186</v>
      </c>
    </row>
    <row r="4646" spans="1:1">
      <c r="A4646" t="s">
        <v>6187</v>
      </c>
    </row>
    <row r="4647" spans="1:1">
      <c r="A4647" t="s">
        <v>6188</v>
      </c>
    </row>
    <row r="4648" spans="1:1">
      <c r="A4648" t="s">
        <v>6189</v>
      </c>
    </row>
    <row r="4649" spans="1:1">
      <c r="A4649" t="s">
        <v>6190</v>
      </c>
    </row>
    <row r="4650" spans="1:1">
      <c r="A4650" t="s">
        <v>6191</v>
      </c>
    </row>
    <row r="4651" spans="1:1">
      <c r="A4651" t="s">
        <v>6192</v>
      </c>
    </row>
    <row r="4652" spans="1:1">
      <c r="A4652" t="s">
        <v>6193</v>
      </c>
    </row>
    <row r="4653" spans="1:1">
      <c r="A4653" t="s">
        <v>6194</v>
      </c>
    </row>
    <row r="4654" spans="1:1">
      <c r="A4654" t="s">
        <v>6195</v>
      </c>
    </row>
    <row r="4655" spans="1:1">
      <c r="A4655" t="s">
        <v>6196</v>
      </c>
    </row>
    <row r="4656" spans="1:1">
      <c r="A4656" t="s">
        <v>6197</v>
      </c>
    </row>
    <row r="4657" spans="1:1">
      <c r="A4657" t="s">
        <v>6198</v>
      </c>
    </row>
    <row r="4658" spans="1:1">
      <c r="A4658" t="s">
        <v>6199</v>
      </c>
    </row>
    <row r="4659" spans="1:1">
      <c r="A4659" t="s">
        <v>6200</v>
      </c>
    </row>
    <row r="4660" spans="1:1">
      <c r="A4660" t="s">
        <v>6201</v>
      </c>
    </row>
    <row r="4661" spans="1:1">
      <c r="A4661" t="s">
        <v>6202</v>
      </c>
    </row>
    <row r="4662" spans="1:1">
      <c r="A4662" t="s">
        <v>6203</v>
      </c>
    </row>
    <row r="4663" spans="1:1">
      <c r="A4663" t="s">
        <v>6204</v>
      </c>
    </row>
    <row r="4664" spans="1:1">
      <c r="A4664" t="s">
        <v>6205</v>
      </c>
    </row>
    <row r="4665" spans="1:1">
      <c r="A4665" t="s">
        <v>6206</v>
      </c>
    </row>
    <row r="4666" spans="1:1">
      <c r="A4666" t="s">
        <v>6207</v>
      </c>
    </row>
    <row r="4667" spans="1:1">
      <c r="A4667" t="s">
        <v>6208</v>
      </c>
    </row>
    <row r="4668" spans="1:1">
      <c r="A4668" t="s">
        <v>6209</v>
      </c>
    </row>
    <row r="4669" spans="1:1">
      <c r="A4669" t="s">
        <v>6210</v>
      </c>
    </row>
    <row r="4670" spans="1:1">
      <c r="A4670" t="s">
        <v>6211</v>
      </c>
    </row>
    <row r="4671" spans="1:1">
      <c r="A4671" t="s">
        <v>6212</v>
      </c>
    </row>
    <row r="4672" spans="1:1">
      <c r="A4672" t="s">
        <v>6213</v>
      </c>
    </row>
    <row r="4673" spans="1:1">
      <c r="A4673" t="s">
        <v>6214</v>
      </c>
    </row>
    <row r="4674" spans="1:1">
      <c r="A4674" t="s">
        <v>6215</v>
      </c>
    </row>
    <row r="4675" spans="1:1">
      <c r="A4675" t="s">
        <v>6216</v>
      </c>
    </row>
    <row r="4676" spans="1:1">
      <c r="A4676" t="s">
        <v>6217</v>
      </c>
    </row>
    <row r="4677" spans="1:1">
      <c r="A4677" t="s">
        <v>6218</v>
      </c>
    </row>
    <row r="4678" spans="1:1">
      <c r="A4678" t="s">
        <v>6219</v>
      </c>
    </row>
    <row r="4679" spans="1:1">
      <c r="A4679" t="s">
        <v>6220</v>
      </c>
    </row>
    <row r="4680" spans="1:1">
      <c r="A4680" t="s">
        <v>6221</v>
      </c>
    </row>
    <row r="4681" spans="1:1">
      <c r="A4681" t="s">
        <v>6222</v>
      </c>
    </row>
    <row r="4682" spans="1:1">
      <c r="A4682" t="s">
        <v>6223</v>
      </c>
    </row>
    <row r="4683" spans="1:1">
      <c r="A4683" t="s">
        <v>6224</v>
      </c>
    </row>
    <row r="4684" spans="1:1">
      <c r="A4684" t="s">
        <v>6225</v>
      </c>
    </row>
    <row r="4685" spans="1:1">
      <c r="A4685" t="s">
        <v>6226</v>
      </c>
    </row>
    <row r="4686" spans="1:1">
      <c r="A4686" t="s">
        <v>6227</v>
      </c>
    </row>
    <row r="4687" spans="1:1">
      <c r="A4687" t="s">
        <v>6228</v>
      </c>
    </row>
    <row r="4688" spans="1:1">
      <c r="A4688" t="s">
        <v>6229</v>
      </c>
    </row>
    <row r="4689" spans="1:1">
      <c r="A4689" t="s">
        <v>6230</v>
      </c>
    </row>
    <row r="4690" spans="1:1">
      <c r="A4690" t="s">
        <v>6231</v>
      </c>
    </row>
    <row r="4691" spans="1:1">
      <c r="A4691" t="s">
        <v>6232</v>
      </c>
    </row>
    <row r="4692" spans="1:1">
      <c r="A4692" t="s">
        <v>6233</v>
      </c>
    </row>
    <row r="4693" spans="1:1">
      <c r="A4693" t="s">
        <v>6234</v>
      </c>
    </row>
    <row r="4694" spans="1:1">
      <c r="A4694" t="s">
        <v>6235</v>
      </c>
    </row>
    <row r="4695" spans="1:1">
      <c r="A4695" t="s">
        <v>6236</v>
      </c>
    </row>
    <row r="4696" spans="1:1">
      <c r="A4696" t="s">
        <v>6237</v>
      </c>
    </row>
    <row r="4697" spans="1:1">
      <c r="A4697" t="s">
        <v>6238</v>
      </c>
    </row>
    <row r="4698" spans="1:1">
      <c r="A4698" t="s">
        <v>6239</v>
      </c>
    </row>
    <row r="4699" spans="1:1">
      <c r="A4699" t="s">
        <v>6240</v>
      </c>
    </row>
    <row r="4700" spans="1:1">
      <c r="A4700" t="s">
        <v>6241</v>
      </c>
    </row>
    <row r="4701" spans="1:1">
      <c r="A4701" t="s">
        <v>6242</v>
      </c>
    </row>
    <row r="4702" spans="1:1">
      <c r="A4702" t="s">
        <v>6243</v>
      </c>
    </row>
    <row r="4703" spans="1:1">
      <c r="A4703" t="s">
        <v>6244</v>
      </c>
    </row>
    <row r="4704" spans="1:1">
      <c r="A4704" t="s">
        <v>6245</v>
      </c>
    </row>
    <row r="4705" spans="1:1">
      <c r="A4705" t="s">
        <v>6246</v>
      </c>
    </row>
    <row r="4706" spans="1:1">
      <c r="A4706" t="s">
        <v>6247</v>
      </c>
    </row>
    <row r="4707" spans="1:1">
      <c r="A4707" t="s">
        <v>6248</v>
      </c>
    </row>
    <row r="4708" spans="1:1">
      <c r="A4708" t="s">
        <v>6249</v>
      </c>
    </row>
    <row r="4709" spans="1:1">
      <c r="A4709" t="s">
        <v>6250</v>
      </c>
    </row>
    <row r="4710" spans="1:1">
      <c r="A4710" t="s">
        <v>6251</v>
      </c>
    </row>
    <row r="4711" spans="1:1">
      <c r="A4711" t="s">
        <v>6252</v>
      </c>
    </row>
    <row r="4712" spans="1:1">
      <c r="A4712" t="s">
        <v>6253</v>
      </c>
    </row>
    <row r="4713" spans="1:1">
      <c r="A4713" t="s">
        <v>6254</v>
      </c>
    </row>
    <row r="4714" spans="1:1">
      <c r="A4714" t="s">
        <v>6255</v>
      </c>
    </row>
    <row r="4715" spans="1:1">
      <c r="A4715" t="s">
        <v>6256</v>
      </c>
    </row>
    <row r="4716" spans="1:1">
      <c r="A4716" t="s">
        <v>6257</v>
      </c>
    </row>
    <row r="4717" spans="1:1">
      <c r="A4717" t="s">
        <v>6258</v>
      </c>
    </row>
    <row r="4718" spans="1:1">
      <c r="A4718" t="s">
        <v>6259</v>
      </c>
    </row>
    <row r="4719" spans="1:1">
      <c r="A4719" t="s">
        <v>6260</v>
      </c>
    </row>
    <row r="4720" spans="1:1">
      <c r="A4720" t="s">
        <v>6261</v>
      </c>
    </row>
    <row r="4721" spans="1:1">
      <c r="A4721" t="s">
        <v>6262</v>
      </c>
    </row>
    <row r="4722" spans="1:1">
      <c r="A4722" t="s">
        <v>6263</v>
      </c>
    </row>
    <row r="4723" spans="1:1">
      <c r="A4723" t="s">
        <v>6264</v>
      </c>
    </row>
    <row r="4724" spans="1:1">
      <c r="A4724" t="s">
        <v>6265</v>
      </c>
    </row>
    <row r="4725" spans="1:1">
      <c r="A4725" t="s">
        <v>6266</v>
      </c>
    </row>
    <row r="4726" spans="1:1">
      <c r="A4726" t="s">
        <v>6267</v>
      </c>
    </row>
    <row r="4727" spans="1:1">
      <c r="A4727" t="s">
        <v>6268</v>
      </c>
    </row>
    <row r="4728" spans="1:1">
      <c r="A4728" t="s">
        <v>6269</v>
      </c>
    </row>
    <row r="4729" spans="1:1">
      <c r="A4729" t="s">
        <v>6270</v>
      </c>
    </row>
    <row r="4730" spans="1:1">
      <c r="A4730" t="s">
        <v>6271</v>
      </c>
    </row>
    <row r="4731" spans="1:1">
      <c r="A4731" t="s">
        <v>6272</v>
      </c>
    </row>
    <row r="4732" spans="1:1">
      <c r="A4732" t="s">
        <v>6273</v>
      </c>
    </row>
    <row r="4733" spans="1:1">
      <c r="A4733" t="s">
        <v>6274</v>
      </c>
    </row>
    <row r="4734" spans="1:1">
      <c r="A4734" t="s">
        <v>6275</v>
      </c>
    </row>
    <row r="4735" spans="1:1">
      <c r="A4735" t="s">
        <v>6276</v>
      </c>
    </row>
    <row r="4736" spans="1:1">
      <c r="A4736" t="s">
        <v>6277</v>
      </c>
    </row>
    <row r="4737" spans="1:1">
      <c r="A4737" t="s">
        <v>6278</v>
      </c>
    </row>
    <row r="4738" spans="1:1">
      <c r="A4738" t="s">
        <v>6279</v>
      </c>
    </row>
    <row r="4739" spans="1:1">
      <c r="A4739" t="s">
        <v>6280</v>
      </c>
    </row>
    <row r="4740" spans="1:1">
      <c r="A4740" t="s">
        <v>6281</v>
      </c>
    </row>
    <row r="4741" spans="1:1">
      <c r="A4741" t="s">
        <v>6282</v>
      </c>
    </row>
    <row r="4742" spans="1:1">
      <c r="A4742" t="s">
        <v>6283</v>
      </c>
    </row>
    <row r="4743" spans="1:1">
      <c r="A4743" t="s">
        <v>6284</v>
      </c>
    </row>
    <row r="4744" spans="1:1">
      <c r="A4744" t="s">
        <v>6285</v>
      </c>
    </row>
    <row r="4745" spans="1:1">
      <c r="A4745" t="s">
        <v>6286</v>
      </c>
    </row>
    <row r="4746" spans="1:1">
      <c r="A4746" t="s">
        <v>6287</v>
      </c>
    </row>
    <row r="4747" spans="1:1">
      <c r="A4747" t="s">
        <v>6288</v>
      </c>
    </row>
    <row r="4748" spans="1:1">
      <c r="A4748" t="s">
        <v>6289</v>
      </c>
    </row>
    <row r="4749" spans="1:1">
      <c r="A4749" t="s">
        <v>6290</v>
      </c>
    </row>
    <row r="4750" spans="1:1">
      <c r="A4750" t="s">
        <v>6291</v>
      </c>
    </row>
    <row r="4751" spans="1:1">
      <c r="A4751" t="s">
        <v>6292</v>
      </c>
    </row>
    <row r="4752" spans="1:1">
      <c r="A4752" t="s">
        <v>6293</v>
      </c>
    </row>
    <row r="4753" spans="1:1">
      <c r="A4753" t="s">
        <v>6294</v>
      </c>
    </row>
    <row r="4754" spans="1:1">
      <c r="A4754" t="s">
        <v>6295</v>
      </c>
    </row>
    <row r="4755" spans="1:1">
      <c r="A4755" t="s">
        <v>6296</v>
      </c>
    </row>
    <row r="4756" spans="1:1">
      <c r="A4756" t="s">
        <v>6297</v>
      </c>
    </row>
    <row r="4757" spans="1:1">
      <c r="A4757" t="s">
        <v>6298</v>
      </c>
    </row>
    <row r="4758" spans="1:1">
      <c r="A4758" t="s">
        <v>6299</v>
      </c>
    </row>
    <row r="4759" spans="1:1">
      <c r="A4759" t="s">
        <v>6300</v>
      </c>
    </row>
    <row r="4760" spans="1:1">
      <c r="A4760" t="s">
        <v>6301</v>
      </c>
    </row>
    <row r="4761" spans="1:1">
      <c r="A4761" t="s">
        <v>6302</v>
      </c>
    </row>
    <row r="4762" spans="1:1">
      <c r="A4762" t="s">
        <v>6303</v>
      </c>
    </row>
    <row r="4763" spans="1:1">
      <c r="A4763" t="s">
        <v>6304</v>
      </c>
    </row>
    <row r="4764" spans="1:1">
      <c r="A4764" t="s">
        <v>6305</v>
      </c>
    </row>
    <row r="4765" spans="1:1">
      <c r="A4765" t="s">
        <v>6306</v>
      </c>
    </row>
    <row r="4766" spans="1:1">
      <c r="A4766" t="s">
        <v>6307</v>
      </c>
    </row>
    <row r="4767" spans="1:1">
      <c r="A4767" t="s">
        <v>6308</v>
      </c>
    </row>
    <row r="4768" spans="1:1">
      <c r="A4768" t="s">
        <v>6309</v>
      </c>
    </row>
    <row r="4769" spans="1:1">
      <c r="A4769" t="s">
        <v>6310</v>
      </c>
    </row>
    <row r="4770" spans="1:1">
      <c r="A4770" t="s">
        <v>6311</v>
      </c>
    </row>
    <row r="4771" spans="1:1">
      <c r="A4771" t="s">
        <v>6312</v>
      </c>
    </row>
    <row r="4772" spans="1:1">
      <c r="A4772" t="s">
        <v>6313</v>
      </c>
    </row>
    <row r="4773" spans="1:1">
      <c r="A4773" t="s">
        <v>6314</v>
      </c>
    </row>
    <row r="4774" spans="1:1">
      <c r="A4774" t="s">
        <v>6315</v>
      </c>
    </row>
    <row r="4775" spans="1:1">
      <c r="A4775" t="s">
        <v>6316</v>
      </c>
    </row>
    <row r="4776" spans="1:1">
      <c r="A4776" t="s">
        <v>6317</v>
      </c>
    </row>
    <row r="4777" spans="1:1">
      <c r="A4777" t="s">
        <v>6318</v>
      </c>
    </row>
    <row r="4778" spans="1:1">
      <c r="A4778" t="s">
        <v>6319</v>
      </c>
    </row>
    <row r="4779" spans="1:1">
      <c r="A4779" t="s">
        <v>6320</v>
      </c>
    </row>
    <row r="4780" spans="1:1">
      <c r="A4780" t="s">
        <v>6321</v>
      </c>
    </row>
    <row r="4781" spans="1:1">
      <c r="A4781" t="s">
        <v>6322</v>
      </c>
    </row>
    <row r="4782" spans="1:1">
      <c r="A4782" t="s">
        <v>6323</v>
      </c>
    </row>
    <row r="4783" spans="1:1">
      <c r="A4783" t="s">
        <v>6324</v>
      </c>
    </row>
    <row r="4784" spans="1:1">
      <c r="A4784" t="s">
        <v>6325</v>
      </c>
    </row>
    <row r="4785" spans="1:1">
      <c r="A4785" t="s">
        <v>6326</v>
      </c>
    </row>
    <row r="4786" spans="1:1">
      <c r="A4786" t="s">
        <v>6327</v>
      </c>
    </row>
    <row r="4787" spans="1:1">
      <c r="A4787" t="s">
        <v>6328</v>
      </c>
    </row>
    <row r="4788" spans="1:1">
      <c r="A4788" t="s">
        <v>6329</v>
      </c>
    </row>
    <row r="4789" spans="1:1">
      <c r="A4789" t="s">
        <v>6330</v>
      </c>
    </row>
    <row r="4790" spans="1:1">
      <c r="A4790" t="s">
        <v>6331</v>
      </c>
    </row>
    <row r="4791" spans="1:1">
      <c r="A4791" t="s">
        <v>6332</v>
      </c>
    </row>
    <row r="4792" spans="1:1">
      <c r="A4792" t="s">
        <v>6333</v>
      </c>
    </row>
    <row r="4793" spans="1:1">
      <c r="A4793" t="s">
        <v>6334</v>
      </c>
    </row>
    <row r="4794" spans="1:1">
      <c r="A4794" t="s">
        <v>6335</v>
      </c>
    </row>
    <row r="4795" spans="1:1">
      <c r="A4795" t="s">
        <v>6336</v>
      </c>
    </row>
    <row r="4796" spans="1:1">
      <c r="A4796" t="s">
        <v>6337</v>
      </c>
    </row>
    <row r="4797" spans="1:1">
      <c r="A4797" t="s">
        <v>6338</v>
      </c>
    </row>
    <row r="4798" spans="1:1">
      <c r="A4798" t="s">
        <v>6339</v>
      </c>
    </row>
    <row r="4799" spans="1:1">
      <c r="A4799" t="s">
        <v>6340</v>
      </c>
    </row>
    <row r="4800" spans="1:1">
      <c r="A4800" t="s">
        <v>6341</v>
      </c>
    </row>
    <row r="4801" spans="1:1">
      <c r="A4801" t="s">
        <v>6342</v>
      </c>
    </row>
    <row r="4802" spans="1:1">
      <c r="A4802" t="s">
        <v>6343</v>
      </c>
    </row>
    <row r="4803" spans="1:1">
      <c r="A4803" t="s">
        <v>6344</v>
      </c>
    </row>
    <row r="4804" spans="1:1">
      <c r="A4804" t="s">
        <v>6345</v>
      </c>
    </row>
    <row r="4805" spans="1:1">
      <c r="A4805" t="s">
        <v>6346</v>
      </c>
    </row>
    <row r="4806" spans="1:1">
      <c r="A4806" t="s">
        <v>6347</v>
      </c>
    </row>
    <row r="4807" spans="1:1">
      <c r="A4807" t="s">
        <v>6348</v>
      </c>
    </row>
    <row r="4808" spans="1:1">
      <c r="A4808" t="s">
        <v>6349</v>
      </c>
    </row>
    <row r="4809" spans="1:1">
      <c r="A4809" t="s">
        <v>6350</v>
      </c>
    </row>
    <row r="4810" spans="1:1">
      <c r="A4810" t="s">
        <v>6351</v>
      </c>
    </row>
    <row r="4811" spans="1:1">
      <c r="A4811" t="s">
        <v>6352</v>
      </c>
    </row>
    <row r="4812" spans="1:1">
      <c r="A4812" t="s">
        <v>6353</v>
      </c>
    </row>
    <row r="4813" spans="1:1">
      <c r="A4813" t="s">
        <v>6354</v>
      </c>
    </row>
    <row r="4814" spans="1:1">
      <c r="A4814" t="s">
        <v>6355</v>
      </c>
    </row>
    <row r="4815" spans="1:1">
      <c r="A4815" t="s">
        <v>6356</v>
      </c>
    </row>
    <row r="4816" spans="1:1">
      <c r="A4816" t="s">
        <v>6357</v>
      </c>
    </row>
    <row r="4817" spans="1:1">
      <c r="A4817" t="s">
        <v>6358</v>
      </c>
    </row>
    <row r="4818" spans="1:1">
      <c r="A4818" t="s">
        <v>6359</v>
      </c>
    </row>
    <row r="4819" spans="1:1">
      <c r="A4819" t="s">
        <v>6360</v>
      </c>
    </row>
    <row r="4820" spans="1:1">
      <c r="A4820" t="s">
        <v>6361</v>
      </c>
    </row>
    <row r="4821" spans="1:1">
      <c r="A4821" t="s">
        <v>6362</v>
      </c>
    </row>
    <row r="4822" spans="1:1">
      <c r="A4822" t="s">
        <v>6363</v>
      </c>
    </row>
    <row r="4823" spans="1:1">
      <c r="A4823" t="s">
        <v>6364</v>
      </c>
    </row>
    <row r="4824" spans="1:1">
      <c r="A4824" t="s">
        <v>6365</v>
      </c>
    </row>
    <row r="4825" spans="1:1">
      <c r="A4825" t="s">
        <v>6366</v>
      </c>
    </row>
    <row r="4826" spans="1:1">
      <c r="A4826" t="s">
        <v>6367</v>
      </c>
    </row>
    <row r="4827" spans="1:1">
      <c r="A4827" t="s">
        <v>6368</v>
      </c>
    </row>
    <row r="4828" spans="1:1">
      <c r="A4828" t="s">
        <v>6369</v>
      </c>
    </row>
    <row r="4829" spans="1:1">
      <c r="A4829" t="s">
        <v>6370</v>
      </c>
    </row>
    <row r="4830" spans="1:1">
      <c r="A4830" t="s">
        <v>6371</v>
      </c>
    </row>
    <row r="4831" spans="1:1">
      <c r="A4831" t="s">
        <v>6372</v>
      </c>
    </row>
    <row r="4832" spans="1:1">
      <c r="A4832" t="s">
        <v>6373</v>
      </c>
    </row>
    <row r="4833" spans="1:1">
      <c r="A4833" t="s">
        <v>6374</v>
      </c>
    </row>
    <row r="4834" spans="1:1">
      <c r="A4834" t="s">
        <v>6375</v>
      </c>
    </row>
    <row r="4835" spans="1:1">
      <c r="A4835" t="s">
        <v>6376</v>
      </c>
    </row>
    <row r="4836" spans="1:1">
      <c r="A4836" t="s">
        <v>6377</v>
      </c>
    </row>
    <row r="4837" spans="1:1">
      <c r="A4837" t="s">
        <v>6378</v>
      </c>
    </row>
    <row r="4838" spans="1:1">
      <c r="A4838" t="s">
        <v>6379</v>
      </c>
    </row>
    <row r="4839" spans="1:1">
      <c r="A4839" t="s">
        <v>6380</v>
      </c>
    </row>
    <row r="4840" spans="1:1">
      <c r="A4840" t="s">
        <v>6381</v>
      </c>
    </row>
    <row r="4841" spans="1:1">
      <c r="A4841" t="s">
        <v>6382</v>
      </c>
    </row>
    <row r="4842" spans="1:1">
      <c r="A4842" t="s">
        <v>6383</v>
      </c>
    </row>
    <row r="4843" spans="1:1">
      <c r="A4843" t="s">
        <v>6384</v>
      </c>
    </row>
    <row r="4844" spans="1:1">
      <c r="A4844" t="s">
        <v>6385</v>
      </c>
    </row>
    <row r="4845" spans="1:1">
      <c r="A4845" t="s">
        <v>6386</v>
      </c>
    </row>
    <row r="4846" spans="1:1">
      <c r="A4846" t="s">
        <v>6387</v>
      </c>
    </row>
    <row r="4847" spans="1:1">
      <c r="A4847" t="s">
        <v>6388</v>
      </c>
    </row>
    <row r="4848" spans="1:1">
      <c r="A4848" t="s">
        <v>6389</v>
      </c>
    </row>
    <row r="4849" spans="1:1">
      <c r="A4849" t="s">
        <v>6390</v>
      </c>
    </row>
    <row r="4850" spans="1:1">
      <c r="A4850" t="s">
        <v>6391</v>
      </c>
    </row>
    <row r="4851" spans="1:1">
      <c r="A4851" t="s">
        <v>6392</v>
      </c>
    </row>
    <row r="4852" spans="1:1">
      <c r="A4852" t="s">
        <v>6393</v>
      </c>
    </row>
    <row r="4853" spans="1:1">
      <c r="A4853" t="s">
        <v>6394</v>
      </c>
    </row>
    <row r="4854" spans="1:1">
      <c r="A4854" t="s">
        <v>6395</v>
      </c>
    </row>
    <row r="4855" spans="1:1">
      <c r="A4855" t="s">
        <v>6396</v>
      </c>
    </row>
    <row r="4856" spans="1:1">
      <c r="A4856" t="s">
        <v>6397</v>
      </c>
    </row>
    <row r="4857" spans="1:1">
      <c r="A4857" t="s">
        <v>6398</v>
      </c>
    </row>
    <row r="4858" spans="1:1">
      <c r="A4858" t="s">
        <v>6399</v>
      </c>
    </row>
    <row r="4859" spans="1:1">
      <c r="A4859" t="s">
        <v>6400</v>
      </c>
    </row>
    <row r="4860" spans="1:1">
      <c r="A4860" t="s">
        <v>6401</v>
      </c>
    </row>
    <row r="4861" spans="1:1">
      <c r="A4861" t="s">
        <v>6402</v>
      </c>
    </row>
    <row r="4862" spans="1:1">
      <c r="A4862" t="s">
        <v>6403</v>
      </c>
    </row>
    <row r="4863" spans="1:1">
      <c r="A4863" t="s">
        <v>6404</v>
      </c>
    </row>
    <row r="4864" spans="1:1">
      <c r="A4864" t="s">
        <v>6405</v>
      </c>
    </row>
    <row r="4865" spans="1:1">
      <c r="A4865" t="s">
        <v>6406</v>
      </c>
    </row>
    <row r="4866" spans="1:1">
      <c r="A4866" t="s">
        <v>6407</v>
      </c>
    </row>
    <row r="4867" spans="1:1">
      <c r="A4867" t="s">
        <v>6408</v>
      </c>
    </row>
    <row r="4868" spans="1:1">
      <c r="A4868" t="s">
        <v>6409</v>
      </c>
    </row>
    <row r="4869" spans="1:1">
      <c r="A4869" t="s">
        <v>6410</v>
      </c>
    </row>
    <row r="4870" spans="1:1">
      <c r="A4870" t="s">
        <v>6411</v>
      </c>
    </row>
    <row r="4871" spans="1:1">
      <c r="A4871" t="s">
        <v>6412</v>
      </c>
    </row>
    <row r="4872" spans="1:1">
      <c r="A4872" t="s">
        <v>6413</v>
      </c>
    </row>
    <row r="4873" spans="1:1">
      <c r="A4873" t="s">
        <v>6414</v>
      </c>
    </row>
    <row r="4874" spans="1:1">
      <c r="A4874" t="s">
        <v>6415</v>
      </c>
    </row>
    <row r="4875" spans="1:1">
      <c r="A4875" t="s">
        <v>6416</v>
      </c>
    </row>
    <row r="4876" spans="1:1">
      <c r="A4876" t="s">
        <v>6417</v>
      </c>
    </row>
    <row r="4877" spans="1:1">
      <c r="A4877" t="s">
        <v>6418</v>
      </c>
    </row>
    <row r="4878" spans="1:1">
      <c r="A4878" t="s">
        <v>6419</v>
      </c>
    </row>
    <row r="4879" spans="1:1">
      <c r="A4879" t="s">
        <v>6420</v>
      </c>
    </row>
    <row r="4880" spans="1:1">
      <c r="A4880" t="s">
        <v>6421</v>
      </c>
    </row>
    <row r="4881" spans="1:1">
      <c r="A4881" t="s">
        <v>6422</v>
      </c>
    </row>
    <row r="4882" spans="1:1">
      <c r="A4882" t="s">
        <v>6423</v>
      </c>
    </row>
    <row r="4883" spans="1:1">
      <c r="A4883" t="s">
        <v>6424</v>
      </c>
    </row>
    <row r="4884" spans="1:1">
      <c r="A4884" t="s">
        <v>6425</v>
      </c>
    </row>
    <row r="4885" spans="1:1">
      <c r="A4885" t="s">
        <v>6426</v>
      </c>
    </row>
    <row r="4886" spans="1:1">
      <c r="A4886" t="s">
        <v>6427</v>
      </c>
    </row>
    <row r="4887" spans="1:1">
      <c r="A4887" t="s">
        <v>6428</v>
      </c>
    </row>
    <row r="4888" spans="1:1">
      <c r="A4888" t="s">
        <v>6429</v>
      </c>
    </row>
    <row r="4889" spans="1:1">
      <c r="A4889" t="s">
        <v>6430</v>
      </c>
    </row>
    <row r="4890" spans="1:1">
      <c r="A4890" t="s">
        <v>6431</v>
      </c>
    </row>
    <row r="4891" spans="1:1">
      <c r="A4891" t="s">
        <v>6432</v>
      </c>
    </row>
    <row r="4892" spans="1:1">
      <c r="A4892" t="s">
        <v>6433</v>
      </c>
    </row>
    <row r="4893" spans="1:1">
      <c r="A4893" t="s">
        <v>6434</v>
      </c>
    </row>
    <row r="4894" spans="1:1">
      <c r="A4894" t="s">
        <v>6435</v>
      </c>
    </row>
    <row r="4895" spans="1:1">
      <c r="A4895" t="s">
        <v>6436</v>
      </c>
    </row>
    <row r="4896" spans="1:1">
      <c r="A4896" t="s">
        <v>6437</v>
      </c>
    </row>
    <row r="4897" spans="1:1">
      <c r="A4897" t="s">
        <v>6438</v>
      </c>
    </row>
    <row r="4898" spans="1:1">
      <c r="A4898" t="s">
        <v>6439</v>
      </c>
    </row>
    <row r="4899" spans="1:1">
      <c r="A4899" t="s">
        <v>6440</v>
      </c>
    </row>
    <row r="4900" spans="1:1">
      <c r="A4900" t="s">
        <v>6441</v>
      </c>
    </row>
    <row r="4901" spans="1:1">
      <c r="A4901" t="s">
        <v>6442</v>
      </c>
    </row>
    <row r="4902" spans="1:1">
      <c r="A4902" t="s">
        <v>6443</v>
      </c>
    </row>
    <row r="4903" spans="1:1">
      <c r="A4903" t="s">
        <v>6444</v>
      </c>
    </row>
    <row r="4904" spans="1:1">
      <c r="A4904" t="s">
        <v>6445</v>
      </c>
    </row>
    <row r="4905" spans="1:1">
      <c r="A4905" t="s">
        <v>6446</v>
      </c>
    </row>
    <row r="4906" spans="1:1">
      <c r="A4906" t="s">
        <v>6447</v>
      </c>
    </row>
    <row r="4907" spans="1:1">
      <c r="A4907" t="s">
        <v>6448</v>
      </c>
    </row>
    <row r="4908" spans="1:1">
      <c r="A4908" t="s">
        <v>6449</v>
      </c>
    </row>
    <row r="4909" spans="1:1">
      <c r="A4909" t="s">
        <v>6450</v>
      </c>
    </row>
    <row r="4910" spans="1:1">
      <c r="A4910" t="s">
        <v>6451</v>
      </c>
    </row>
    <row r="4911" spans="1:1">
      <c r="A4911" t="s">
        <v>6452</v>
      </c>
    </row>
    <row r="4912" spans="1:1">
      <c r="A4912" t="s">
        <v>6453</v>
      </c>
    </row>
    <row r="4913" spans="1:1">
      <c r="A4913" t="s">
        <v>6454</v>
      </c>
    </row>
    <row r="4914" spans="1:1">
      <c r="A4914" t="s">
        <v>6455</v>
      </c>
    </row>
    <row r="4915" spans="1:1">
      <c r="A4915" t="s">
        <v>6456</v>
      </c>
    </row>
    <row r="4916" spans="1:1">
      <c r="A4916" t="s">
        <v>6457</v>
      </c>
    </row>
    <row r="4917" spans="1:1">
      <c r="A4917" t="s">
        <v>6458</v>
      </c>
    </row>
    <row r="4918" spans="1:1">
      <c r="A4918" t="s">
        <v>6459</v>
      </c>
    </row>
    <row r="4919" spans="1:1">
      <c r="A4919" t="s">
        <v>6460</v>
      </c>
    </row>
    <row r="4920" spans="1:1">
      <c r="A4920" t="s">
        <v>6461</v>
      </c>
    </row>
    <row r="4921" spans="1:1">
      <c r="A4921" t="s">
        <v>6462</v>
      </c>
    </row>
    <row r="4922" spans="1:1">
      <c r="A4922" t="s">
        <v>6463</v>
      </c>
    </row>
    <row r="4923" spans="1:1">
      <c r="A4923" t="s">
        <v>6464</v>
      </c>
    </row>
    <row r="4924" spans="1:1">
      <c r="A4924" t="s">
        <v>6465</v>
      </c>
    </row>
    <row r="4925" spans="1:1">
      <c r="A4925" t="s">
        <v>6466</v>
      </c>
    </row>
    <row r="4926" spans="1:1">
      <c r="A4926" t="s">
        <v>6467</v>
      </c>
    </row>
    <row r="4927" spans="1:1">
      <c r="A4927" t="s">
        <v>6468</v>
      </c>
    </row>
    <row r="4928" spans="1:1">
      <c r="A4928" t="s">
        <v>6469</v>
      </c>
    </row>
    <row r="4929" spans="1:1">
      <c r="A4929" t="s">
        <v>6470</v>
      </c>
    </row>
    <row r="4930" spans="1:1">
      <c r="A4930" t="s">
        <v>6471</v>
      </c>
    </row>
    <row r="4931" spans="1:1">
      <c r="A4931" t="s">
        <v>6472</v>
      </c>
    </row>
    <row r="4932" spans="1:1">
      <c r="A4932" t="s">
        <v>6473</v>
      </c>
    </row>
    <row r="4933" spans="1:1">
      <c r="A4933" t="s">
        <v>6474</v>
      </c>
    </row>
    <row r="4934" spans="1:1">
      <c r="A4934" t="s">
        <v>6475</v>
      </c>
    </row>
    <row r="4935" spans="1:1">
      <c r="A4935" t="s">
        <v>6476</v>
      </c>
    </row>
    <row r="4936" spans="1:1">
      <c r="A4936" t="s">
        <v>6477</v>
      </c>
    </row>
    <row r="4937" spans="1:1">
      <c r="A4937" t="s">
        <v>6478</v>
      </c>
    </row>
    <row r="4938" spans="1:1">
      <c r="A4938" t="s">
        <v>6479</v>
      </c>
    </row>
    <row r="4939" spans="1:1">
      <c r="A4939" t="s">
        <v>6480</v>
      </c>
    </row>
    <row r="4940" spans="1:1">
      <c r="A4940" t="s">
        <v>6481</v>
      </c>
    </row>
    <row r="4941" spans="1:1">
      <c r="A4941" t="s">
        <v>6482</v>
      </c>
    </row>
    <row r="4942" spans="1:1">
      <c r="A4942" t="s">
        <v>6483</v>
      </c>
    </row>
    <row r="4943" spans="1:1">
      <c r="A4943" t="s">
        <v>6484</v>
      </c>
    </row>
    <row r="4944" spans="1:1">
      <c r="A4944" t="s">
        <v>6485</v>
      </c>
    </row>
    <row r="4945" spans="1:1">
      <c r="A4945" t="s">
        <v>6486</v>
      </c>
    </row>
    <row r="4946" spans="1:1">
      <c r="A4946" t="s">
        <v>6487</v>
      </c>
    </row>
    <row r="4947" spans="1:1">
      <c r="A4947" t="s">
        <v>6488</v>
      </c>
    </row>
    <row r="4948" spans="1:1">
      <c r="A4948" t="s">
        <v>6489</v>
      </c>
    </row>
    <row r="4949" spans="1:1">
      <c r="A4949" t="s">
        <v>6490</v>
      </c>
    </row>
    <row r="4950" spans="1:1">
      <c r="A4950" t="s">
        <v>6491</v>
      </c>
    </row>
    <row r="4951" spans="1:1">
      <c r="A4951" t="s">
        <v>6492</v>
      </c>
    </row>
    <row r="4952" spans="1:1">
      <c r="A4952" t="s">
        <v>6493</v>
      </c>
    </row>
    <row r="4953" spans="1:1">
      <c r="A4953" t="s">
        <v>6494</v>
      </c>
    </row>
    <row r="4954" spans="1:1">
      <c r="A4954" t="s">
        <v>6495</v>
      </c>
    </row>
    <row r="4955" spans="1:1">
      <c r="A4955" t="s">
        <v>6496</v>
      </c>
    </row>
    <row r="4956" spans="1:1">
      <c r="A4956" t="s">
        <v>6497</v>
      </c>
    </row>
    <row r="4957" spans="1:1">
      <c r="A4957" t="s">
        <v>6498</v>
      </c>
    </row>
    <row r="4958" spans="1:1">
      <c r="A4958" t="s">
        <v>6499</v>
      </c>
    </row>
    <row r="4959" spans="1:1">
      <c r="A4959" t="s">
        <v>6500</v>
      </c>
    </row>
    <row r="4960" spans="1:1">
      <c r="A4960" t="s">
        <v>6501</v>
      </c>
    </row>
    <row r="4961" spans="1:1">
      <c r="A4961" t="s">
        <v>6502</v>
      </c>
    </row>
    <row r="4962" spans="1:1">
      <c r="A4962" t="s">
        <v>6503</v>
      </c>
    </row>
    <row r="4963" spans="1:1">
      <c r="A4963" t="s">
        <v>6504</v>
      </c>
    </row>
    <row r="4964" spans="1:1">
      <c r="A4964" t="s">
        <v>6505</v>
      </c>
    </row>
    <row r="4965" spans="1:1">
      <c r="A4965" t="s">
        <v>6506</v>
      </c>
    </row>
    <row r="4966" spans="1:1">
      <c r="A4966" t="s">
        <v>6507</v>
      </c>
    </row>
    <row r="4967" spans="1:1">
      <c r="A4967" t="s">
        <v>6508</v>
      </c>
    </row>
    <row r="4968" spans="1:1">
      <c r="A4968" t="s">
        <v>6509</v>
      </c>
    </row>
    <row r="4969" spans="1:1">
      <c r="A4969" t="s">
        <v>6510</v>
      </c>
    </row>
    <row r="4970" spans="1:1">
      <c r="A4970" t="s">
        <v>6511</v>
      </c>
    </row>
    <row r="4971" spans="1:1">
      <c r="A4971" t="s">
        <v>6512</v>
      </c>
    </row>
    <row r="4972" spans="1:1">
      <c r="A4972" t="s">
        <v>6513</v>
      </c>
    </row>
    <row r="4973" spans="1:1">
      <c r="A4973" t="s">
        <v>6514</v>
      </c>
    </row>
    <row r="4974" spans="1:1">
      <c r="A4974" t="s">
        <v>6515</v>
      </c>
    </row>
    <row r="4975" spans="1:1">
      <c r="A4975" t="s">
        <v>6516</v>
      </c>
    </row>
    <row r="4976" spans="1:1">
      <c r="A4976" t="s">
        <v>6517</v>
      </c>
    </row>
    <row r="4977" spans="1:1">
      <c r="A4977" t="s">
        <v>6518</v>
      </c>
    </row>
    <row r="4978" spans="1:1">
      <c r="A4978" t="s">
        <v>6519</v>
      </c>
    </row>
    <row r="4979" spans="1:1">
      <c r="A4979" t="s">
        <v>6520</v>
      </c>
    </row>
    <row r="4980" spans="1:1">
      <c r="A4980" t="s">
        <v>6521</v>
      </c>
    </row>
    <row r="4981" spans="1:1">
      <c r="A4981" t="s">
        <v>6522</v>
      </c>
    </row>
    <row r="4982" spans="1:1">
      <c r="A4982" t="s">
        <v>6523</v>
      </c>
    </row>
    <row r="4983" spans="1:1">
      <c r="A4983" t="s">
        <v>6524</v>
      </c>
    </row>
    <row r="4984" spans="1:1">
      <c r="A4984" t="s">
        <v>6525</v>
      </c>
    </row>
    <row r="4985" spans="1:1">
      <c r="A4985" t="s">
        <v>6526</v>
      </c>
    </row>
    <row r="4986" spans="1:1">
      <c r="A4986" t="s">
        <v>6527</v>
      </c>
    </row>
    <row r="4987" spans="1:1">
      <c r="A4987" t="s">
        <v>6528</v>
      </c>
    </row>
    <row r="4988" spans="1:1">
      <c r="A4988" t="s">
        <v>6529</v>
      </c>
    </row>
    <row r="4989" spans="1:1">
      <c r="A4989" t="s">
        <v>6530</v>
      </c>
    </row>
    <row r="4990" spans="1:1">
      <c r="A4990" t="s">
        <v>6531</v>
      </c>
    </row>
    <row r="4991" spans="1:1">
      <c r="A4991" t="s">
        <v>6532</v>
      </c>
    </row>
    <row r="4992" spans="1:1">
      <c r="A4992" t="s">
        <v>6533</v>
      </c>
    </row>
    <row r="4993" spans="1:1">
      <c r="A4993" t="s">
        <v>6534</v>
      </c>
    </row>
    <row r="4994" spans="1:1">
      <c r="A4994" t="s">
        <v>6535</v>
      </c>
    </row>
    <row r="4995" spans="1:1">
      <c r="A4995" t="s">
        <v>6536</v>
      </c>
    </row>
    <row r="4996" spans="1:1">
      <c r="A4996" t="s">
        <v>6537</v>
      </c>
    </row>
    <row r="4997" spans="1:1">
      <c r="A4997" t="s">
        <v>6538</v>
      </c>
    </row>
    <row r="4998" spans="1:1">
      <c r="A4998" t="s">
        <v>6539</v>
      </c>
    </row>
    <row r="4999" spans="1:1">
      <c r="A4999" t="s">
        <v>6540</v>
      </c>
    </row>
    <row r="5000" spans="1:1">
      <c r="A5000" t="s">
        <v>6541</v>
      </c>
    </row>
    <row r="5001" spans="1:1">
      <c r="A5001" t="s">
        <v>6542</v>
      </c>
    </row>
    <row r="5002" spans="1:1">
      <c r="A5002" t="s">
        <v>6543</v>
      </c>
    </row>
    <row r="5003" spans="1:1">
      <c r="A5003" t="s">
        <v>6544</v>
      </c>
    </row>
    <row r="5004" spans="1:1">
      <c r="A5004" t="s">
        <v>6545</v>
      </c>
    </row>
    <row r="5005" spans="1:1">
      <c r="A5005" t="s">
        <v>6546</v>
      </c>
    </row>
    <row r="5006" spans="1:1">
      <c r="A5006" t="s">
        <v>6547</v>
      </c>
    </row>
    <row r="5007" spans="1:1">
      <c r="A5007" t="s">
        <v>6548</v>
      </c>
    </row>
    <row r="5008" spans="1:1">
      <c r="A5008" t="s">
        <v>6549</v>
      </c>
    </row>
    <row r="5009" spans="1:1">
      <c r="A5009" t="s">
        <v>6550</v>
      </c>
    </row>
    <row r="5010" spans="1:1">
      <c r="A5010" t="s">
        <v>6551</v>
      </c>
    </row>
    <row r="5011" spans="1:1">
      <c r="A5011" t="s">
        <v>6552</v>
      </c>
    </row>
    <row r="5012" spans="1:1">
      <c r="A5012" t="s">
        <v>6553</v>
      </c>
    </row>
    <row r="5013" spans="1:1">
      <c r="A5013" t="s">
        <v>6554</v>
      </c>
    </row>
    <row r="5014" spans="1:1">
      <c r="A5014" t="s">
        <v>6555</v>
      </c>
    </row>
    <row r="5015" spans="1:1">
      <c r="A5015" t="s">
        <v>6556</v>
      </c>
    </row>
    <row r="5016" spans="1:1">
      <c r="A5016" t="s">
        <v>6557</v>
      </c>
    </row>
    <row r="5017" spans="1:1">
      <c r="A5017" t="s">
        <v>6558</v>
      </c>
    </row>
    <row r="5018" spans="1:1">
      <c r="A5018" t="s">
        <v>6559</v>
      </c>
    </row>
    <row r="5019" spans="1:1">
      <c r="A5019" t="s">
        <v>6560</v>
      </c>
    </row>
    <row r="5020" spans="1:1">
      <c r="A5020" t="s">
        <v>6561</v>
      </c>
    </row>
    <row r="5021" spans="1:1">
      <c r="A5021" t="s">
        <v>6562</v>
      </c>
    </row>
    <row r="5022" spans="1:1">
      <c r="A5022" t="s">
        <v>6563</v>
      </c>
    </row>
    <row r="5023" spans="1:1">
      <c r="A5023" t="s">
        <v>6564</v>
      </c>
    </row>
    <row r="5024" spans="1:1">
      <c r="A5024" t="s">
        <v>6565</v>
      </c>
    </row>
    <row r="5025" spans="1:1">
      <c r="A5025" t="s">
        <v>6566</v>
      </c>
    </row>
    <row r="5026" spans="1:1">
      <c r="A5026" t="s">
        <v>6567</v>
      </c>
    </row>
    <row r="5027" spans="1:1">
      <c r="A5027" t="s">
        <v>6568</v>
      </c>
    </row>
    <row r="5028" spans="1:1">
      <c r="A5028" t="s">
        <v>6569</v>
      </c>
    </row>
    <row r="5029" spans="1:1">
      <c r="A5029" t="s">
        <v>6570</v>
      </c>
    </row>
    <row r="5030" spans="1:1">
      <c r="A5030" t="s">
        <v>6571</v>
      </c>
    </row>
    <row r="5031" spans="1:1">
      <c r="A5031" t="s">
        <v>6572</v>
      </c>
    </row>
    <row r="5032" spans="1:1">
      <c r="A5032" t="s">
        <v>6573</v>
      </c>
    </row>
    <row r="5033" spans="1:1">
      <c r="A5033" t="s">
        <v>6574</v>
      </c>
    </row>
    <row r="5034" spans="1:1">
      <c r="A5034" t="s">
        <v>6575</v>
      </c>
    </row>
    <row r="5035" spans="1:1">
      <c r="A5035" t="s">
        <v>6576</v>
      </c>
    </row>
    <row r="5036" spans="1:1">
      <c r="A5036" t="s">
        <v>6577</v>
      </c>
    </row>
    <row r="5037" spans="1:1">
      <c r="A5037" t="s">
        <v>6578</v>
      </c>
    </row>
    <row r="5038" spans="1:1">
      <c r="A5038" t="s">
        <v>6579</v>
      </c>
    </row>
    <row r="5039" spans="1:1">
      <c r="A5039" t="s">
        <v>6580</v>
      </c>
    </row>
    <row r="5040" spans="1:1">
      <c r="A5040" t="s">
        <v>6581</v>
      </c>
    </row>
    <row r="5041" spans="1:1">
      <c r="A5041" t="s">
        <v>6582</v>
      </c>
    </row>
    <row r="5042" spans="1:1">
      <c r="A5042" t="s">
        <v>6583</v>
      </c>
    </row>
    <row r="5043" spans="1:1">
      <c r="A5043" t="s">
        <v>6584</v>
      </c>
    </row>
    <row r="5044" spans="1:1">
      <c r="A5044" t="s">
        <v>6585</v>
      </c>
    </row>
    <row r="5045" spans="1:1">
      <c r="A5045" t="s">
        <v>6586</v>
      </c>
    </row>
    <row r="5046" spans="1:1">
      <c r="A5046" t="s">
        <v>6587</v>
      </c>
    </row>
    <row r="5047" spans="1:1">
      <c r="A5047" t="s">
        <v>6588</v>
      </c>
    </row>
    <row r="5048" spans="1:1">
      <c r="A5048" t="s">
        <v>6589</v>
      </c>
    </row>
    <row r="5049" spans="1:1">
      <c r="A5049" t="s">
        <v>6590</v>
      </c>
    </row>
    <row r="5050" spans="1:1">
      <c r="A5050" t="s">
        <v>6591</v>
      </c>
    </row>
    <row r="5051" spans="1:1">
      <c r="A5051" t="s">
        <v>6592</v>
      </c>
    </row>
    <row r="5052" spans="1:1">
      <c r="A5052" t="s">
        <v>6593</v>
      </c>
    </row>
    <row r="5053" spans="1:1">
      <c r="A5053" t="s">
        <v>6594</v>
      </c>
    </row>
    <row r="5054" spans="1:1">
      <c r="A5054" t="s">
        <v>6595</v>
      </c>
    </row>
    <row r="5055" spans="1:1">
      <c r="A5055" t="s">
        <v>6596</v>
      </c>
    </row>
    <row r="5056" spans="1:1">
      <c r="A5056" t="s">
        <v>6597</v>
      </c>
    </row>
    <row r="5057" spans="1:1">
      <c r="A5057" t="s">
        <v>6598</v>
      </c>
    </row>
    <row r="5058" spans="1:1">
      <c r="A5058" t="s">
        <v>6599</v>
      </c>
    </row>
    <row r="5059" spans="1:1">
      <c r="A5059" t="s">
        <v>6600</v>
      </c>
    </row>
    <row r="5060" spans="1:1">
      <c r="A5060" t="s">
        <v>6601</v>
      </c>
    </row>
    <row r="5061" spans="1:1">
      <c r="A5061" t="s">
        <v>6602</v>
      </c>
    </row>
    <row r="5062" spans="1:1">
      <c r="A5062" t="s">
        <v>6603</v>
      </c>
    </row>
    <row r="5063" spans="1:1">
      <c r="A5063" t="s">
        <v>6604</v>
      </c>
    </row>
    <row r="5064" spans="1:1">
      <c r="A5064" t="s">
        <v>6605</v>
      </c>
    </row>
    <row r="5065" spans="1:1">
      <c r="A5065" t="s">
        <v>6606</v>
      </c>
    </row>
    <row r="5066" spans="1:1">
      <c r="A5066" t="s">
        <v>6607</v>
      </c>
    </row>
    <row r="5067" spans="1:1">
      <c r="A5067" t="s">
        <v>6608</v>
      </c>
    </row>
    <row r="5068" spans="1:1">
      <c r="A5068" t="s">
        <v>6609</v>
      </c>
    </row>
    <row r="5069" spans="1:1">
      <c r="A5069" t="s">
        <v>6610</v>
      </c>
    </row>
    <row r="5070" spans="1:1">
      <c r="A5070" t="s">
        <v>6611</v>
      </c>
    </row>
    <row r="5071" spans="1:1">
      <c r="A5071" t="s">
        <v>6612</v>
      </c>
    </row>
    <row r="5072" spans="1:1">
      <c r="A5072" t="s">
        <v>6613</v>
      </c>
    </row>
    <row r="5073" spans="1:1">
      <c r="A5073" t="s">
        <v>6614</v>
      </c>
    </row>
    <row r="5074" spans="1:1">
      <c r="A5074" t="s">
        <v>6615</v>
      </c>
    </row>
    <row r="5075" spans="1:1">
      <c r="A5075" t="s">
        <v>6616</v>
      </c>
    </row>
    <row r="5076" spans="1:1">
      <c r="A5076" t="s">
        <v>6617</v>
      </c>
    </row>
    <row r="5077" spans="1:1">
      <c r="A5077" t="s">
        <v>6618</v>
      </c>
    </row>
    <row r="5078" spans="1:1">
      <c r="A5078" t="s">
        <v>6619</v>
      </c>
    </row>
    <row r="5079" spans="1:1">
      <c r="A5079" t="s">
        <v>6620</v>
      </c>
    </row>
    <row r="5080" spans="1:1">
      <c r="A5080" t="s">
        <v>6621</v>
      </c>
    </row>
    <row r="5081" spans="1:1">
      <c r="A5081" t="s">
        <v>6622</v>
      </c>
    </row>
    <row r="5082" spans="1:1">
      <c r="A5082" t="s">
        <v>6623</v>
      </c>
    </row>
    <row r="5083" spans="1:1">
      <c r="A5083" t="s">
        <v>6624</v>
      </c>
    </row>
    <row r="5084" spans="1:1">
      <c r="A5084" t="s">
        <v>6625</v>
      </c>
    </row>
    <row r="5085" spans="1:1">
      <c r="A5085" t="s">
        <v>6626</v>
      </c>
    </row>
    <row r="5086" spans="1:1">
      <c r="A5086" t="s">
        <v>6627</v>
      </c>
    </row>
    <row r="5087" spans="1:1">
      <c r="A5087" t="s">
        <v>6628</v>
      </c>
    </row>
    <row r="5088" spans="1:1">
      <c r="A5088" t="s">
        <v>6629</v>
      </c>
    </row>
    <row r="5089" spans="1:1">
      <c r="A5089" t="s">
        <v>6630</v>
      </c>
    </row>
    <row r="5090" spans="1:1">
      <c r="A5090" t="s">
        <v>6631</v>
      </c>
    </row>
    <row r="5091" spans="1:1">
      <c r="A5091" t="s">
        <v>6632</v>
      </c>
    </row>
    <row r="5092" spans="1:1">
      <c r="A5092" t="s">
        <v>6633</v>
      </c>
    </row>
    <row r="5093" spans="1:1">
      <c r="A5093" t="s">
        <v>6634</v>
      </c>
    </row>
    <row r="5094" spans="1:1">
      <c r="A5094" t="s">
        <v>6635</v>
      </c>
    </row>
    <row r="5095" spans="1:1">
      <c r="A5095" t="s">
        <v>6636</v>
      </c>
    </row>
    <row r="5096" spans="1:1">
      <c r="A5096" t="s">
        <v>6637</v>
      </c>
    </row>
    <row r="5097" spans="1:1">
      <c r="A5097" t="s">
        <v>6638</v>
      </c>
    </row>
    <row r="5098" spans="1:1">
      <c r="A5098" t="s">
        <v>6639</v>
      </c>
    </row>
    <row r="5099" spans="1:1">
      <c r="A5099" t="s">
        <v>6640</v>
      </c>
    </row>
    <row r="5100" spans="1:1">
      <c r="A5100" t="s">
        <v>6641</v>
      </c>
    </row>
    <row r="5101" spans="1:1">
      <c r="A5101" t="s">
        <v>6642</v>
      </c>
    </row>
    <row r="5102" spans="1:1">
      <c r="A5102" t="s">
        <v>6643</v>
      </c>
    </row>
    <row r="5103" spans="1:1">
      <c r="A5103" t="s">
        <v>6644</v>
      </c>
    </row>
    <row r="5104" spans="1:1">
      <c r="A5104" t="s">
        <v>6645</v>
      </c>
    </row>
    <row r="5105" spans="1:1">
      <c r="A5105" t="s">
        <v>6646</v>
      </c>
    </row>
    <row r="5106" spans="1:1">
      <c r="A5106" t="s">
        <v>6647</v>
      </c>
    </row>
    <row r="5107" spans="1:1">
      <c r="A5107" t="s">
        <v>6648</v>
      </c>
    </row>
    <row r="5108" spans="1:1">
      <c r="A5108" t="s">
        <v>6649</v>
      </c>
    </row>
    <row r="5109" spans="1:1">
      <c r="A5109" t="s">
        <v>6650</v>
      </c>
    </row>
    <row r="5110" spans="1:1">
      <c r="A5110" t="s">
        <v>6651</v>
      </c>
    </row>
    <row r="5111" spans="1:1">
      <c r="A5111" t="s">
        <v>6652</v>
      </c>
    </row>
    <row r="5112" spans="1:1">
      <c r="A5112" t="s">
        <v>6653</v>
      </c>
    </row>
    <row r="5113" spans="1:1">
      <c r="A5113" t="s">
        <v>6654</v>
      </c>
    </row>
    <row r="5114" spans="1:1">
      <c r="A5114" t="s">
        <v>6655</v>
      </c>
    </row>
    <row r="5115" spans="1:1">
      <c r="A5115" t="s">
        <v>6656</v>
      </c>
    </row>
    <row r="5116" spans="1:1">
      <c r="A5116" t="s">
        <v>6657</v>
      </c>
    </row>
    <row r="5117" spans="1:1">
      <c r="A5117" t="s">
        <v>6658</v>
      </c>
    </row>
    <row r="5118" spans="1:1">
      <c r="A5118" t="s">
        <v>6659</v>
      </c>
    </row>
    <row r="5119" spans="1:1">
      <c r="A5119" t="s">
        <v>6660</v>
      </c>
    </row>
    <row r="5120" spans="1:1">
      <c r="A5120" t="s">
        <v>6661</v>
      </c>
    </row>
    <row r="5121" spans="1:1">
      <c r="A5121" t="s">
        <v>6662</v>
      </c>
    </row>
    <row r="5122" spans="1:1">
      <c r="A5122" t="s">
        <v>6663</v>
      </c>
    </row>
    <row r="5123" spans="1:1">
      <c r="A5123" t="s">
        <v>6664</v>
      </c>
    </row>
    <row r="5124" spans="1:1">
      <c r="A5124" t="s">
        <v>6665</v>
      </c>
    </row>
    <row r="5125" spans="1:1">
      <c r="A5125" t="s">
        <v>6666</v>
      </c>
    </row>
    <row r="5126" spans="1:1">
      <c r="A5126" t="s">
        <v>6667</v>
      </c>
    </row>
    <row r="5127" spans="1:1">
      <c r="A5127" t="s">
        <v>6668</v>
      </c>
    </row>
    <row r="5128" spans="1:1">
      <c r="A5128" t="s">
        <v>6669</v>
      </c>
    </row>
    <row r="5129" spans="1:1">
      <c r="A5129" t="s">
        <v>6670</v>
      </c>
    </row>
    <row r="5130" spans="1:1">
      <c r="A5130" t="s">
        <v>6671</v>
      </c>
    </row>
    <row r="5131" spans="1:1">
      <c r="A5131" t="s">
        <v>6672</v>
      </c>
    </row>
    <row r="5132" spans="1:1">
      <c r="A5132" t="s">
        <v>6673</v>
      </c>
    </row>
    <row r="5133" spans="1:1">
      <c r="A5133" t="s">
        <v>6674</v>
      </c>
    </row>
    <row r="5134" spans="1:1">
      <c r="A5134" t="s">
        <v>6675</v>
      </c>
    </row>
    <row r="5135" spans="1:1">
      <c r="A5135" t="s">
        <v>6676</v>
      </c>
    </row>
    <row r="5136" spans="1:1">
      <c r="A5136" t="s">
        <v>6677</v>
      </c>
    </row>
    <row r="5137" spans="1:1">
      <c r="A5137" t="s">
        <v>6678</v>
      </c>
    </row>
    <row r="5138" spans="1:1">
      <c r="A5138" t="s">
        <v>6679</v>
      </c>
    </row>
    <row r="5139" spans="1:1">
      <c r="A5139" t="s">
        <v>6680</v>
      </c>
    </row>
    <row r="5140" spans="1:1">
      <c r="A5140" t="s">
        <v>6681</v>
      </c>
    </row>
    <row r="5141" spans="1:1">
      <c r="A5141" t="s">
        <v>6682</v>
      </c>
    </row>
    <row r="5142" spans="1:1">
      <c r="A5142" t="s">
        <v>6683</v>
      </c>
    </row>
    <row r="5143" spans="1:1">
      <c r="A5143" t="s">
        <v>6684</v>
      </c>
    </row>
    <row r="5144" spans="1:1">
      <c r="A5144" t="s">
        <v>6685</v>
      </c>
    </row>
    <row r="5145" spans="1:1">
      <c r="A5145" t="s">
        <v>6686</v>
      </c>
    </row>
    <row r="5146" spans="1:1">
      <c r="A5146" t="s">
        <v>6687</v>
      </c>
    </row>
    <row r="5147" spans="1:1">
      <c r="A5147" t="s">
        <v>6688</v>
      </c>
    </row>
    <row r="5148" spans="1:1">
      <c r="A5148" t="s">
        <v>6689</v>
      </c>
    </row>
    <row r="5149" spans="1:1">
      <c r="A5149" t="s">
        <v>6690</v>
      </c>
    </row>
    <row r="5150" spans="1:1">
      <c r="A5150" t="s">
        <v>6691</v>
      </c>
    </row>
    <row r="5151" spans="1:1">
      <c r="A5151" t="s">
        <v>6692</v>
      </c>
    </row>
    <row r="5152" spans="1:1">
      <c r="A5152" t="s">
        <v>6693</v>
      </c>
    </row>
    <row r="5153" spans="1:1">
      <c r="A5153" t="s">
        <v>6694</v>
      </c>
    </row>
    <row r="5154" spans="1:1">
      <c r="A5154" t="s">
        <v>6695</v>
      </c>
    </row>
    <row r="5155" spans="1:1">
      <c r="A5155" t="s">
        <v>6696</v>
      </c>
    </row>
    <row r="5156" spans="1:1">
      <c r="A5156" t="s">
        <v>6697</v>
      </c>
    </row>
    <row r="5157" spans="1:1">
      <c r="A5157" t="s">
        <v>6698</v>
      </c>
    </row>
    <row r="5158" spans="1:1">
      <c r="A5158" t="s">
        <v>6699</v>
      </c>
    </row>
    <row r="5159" spans="1:1">
      <c r="A5159" t="s">
        <v>6700</v>
      </c>
    </row>
    <row r="5160" spans="1:1">
      <c r="A5160" t="s">
        <v>6701</v>
      </c>
    </row>
    <row r="5161" spans="1:1">
      <c r="A5161" t="s">
        <v>6702</v>
      </c>
    </row>
    <row r="5162" spans="1:1">
      <c r="A5162" t="s">
        <v>6703</v>
      </c>
    </row>
    <row r="5163" spans="1:1">
      <c r="A5163" t="s">
        <v>6704</v>
      </c>
    </row>
    <row r="5164" spans="1:1">
      <c r="A5164" t="s">
        <v>6705</v>
      </c>
    </row>
    <row r="5165" spans="1:1">
      <c r="A5165" t="s">
        <v>6706</v>
      </c>
    </row>
    <row r="5166" spans="1:1">
      <c r="A5166" t="s">
        <v>6707</v>
      </c>
    </row>
    <row r="5167" spans="1:1">
      <c r="A5167" t="s">
        <v>6708</v>
      </c>
    </row>
    <row r="5168" spans="1:1">
      <c r="A5168" t="s">
        <v>6709</v>
      </c>
    </row>
    <row r="5169" spans="1:1">
      <c r="A5169" t="s">
        <v>6710</v>
      </c>
    </row>
    <row r="5170" spans="1:1">
      <c r="A5170" t="s">
        <v>6711</v>
      </c>
    </row>
    <row r="5171" spans="1:1">
      <c r="A5171" t="s">
        <v>6712</v>
      </c>
    </row>
    <row r="5172" spans="1:1">
      <c r="A5172" t="s">
        <v>6713</v>
      </c>
    </row>
    <row r="5173" spans="1:1">
      <c r="A5173" t="s">
        <v>6714</v>
      </c>
    </row>
    <row r="5174" spans="1:1">
      <c r="A5174" t="s">
        <v>6715</v>
      </c>
    </row>
    <row r="5175" spans="1:1">
      <c r="A5175" t="s">
        <v>6716</v>
      </c>
    </row>
    <row r="5176" spans="1:1">
      <c r="A5176" t="s">
        <v>6717</v>
      </c>
    </row>
    <row r="5177" spans="1:1">
      <c r="A5177" t="s">
        <v>6718</v>
      </c>
    </row>
    <row r="5178" spans="1:1">
      <c r="A5178" t="s">
        <v>6719</v>
      </c>
    </row>
    <row r="5179" spans="1:1">
      <c r="A5179" t="s">
        <v>6720</v>
      </c>
    </row>
    <row r="5180" spans="1:1">
      <c r="A5180" t="s">
        <v>6721</v>
      </c>
    </row>
    <row r="5181" spans="1:1">
      <c r="A5181" t="s">
        <v>6722</v>
      </c>
    </row>
    <row r="5182" spans="1:1">
      <c r="A5182" t="s">
        <v>6723</v>
      </c>
    </row>
    <row r="5183" spans="1:1">
      <c r="A5183" t="s">
        <v>6724</v>
      </c>
    </row>
    <row r="5184" spans="1:1">
      <c r="A5184" t="s">
        <v>6725</v>
      </c>
    </row>
    <row r="5185" spans="1:1">
      <c r="A5185" t="s">
        <v>6726</v>
      </c>
    </row>
    <row r="5186" spans="1:1">
      <c r="A5186" t="s">
        <v>6727</v>
      </c>
    </row>
    <row r="5187" spans="1:1">
      <c r="A5187" t="s">
        <v>6728</v>
      </c>
    </row>
    <row r="5188" spans="1:1">
      <c r="A5188" t="s">
        <v>6729</v>
      </c>
    </row>
    <row r="5189" spans="1:1">
      <c r="A5189" t="s">
        <v>6730</v>
      </c>
    </row>
    <row r="5190" spans="1:1">
      <c r="A5190" t="s">
        <v>6731</v>
      </c>
    </row>
    <row r="5191" spans="1:1">
      <c r="A5191" t="s">
        <v>6732</v>
      </c>
    </row>
    <row r="5192" spans="1:1">
      <c r="A5192" t="s">
        <v>6733</v>
      </c>
    </row>
    <row r="5193" spans="1:1">
      <c r="A5193" t="s">
        <v>6734</v>
      </c>
    </row>
    <row r="5194" spans="1:1">
      <c r="A5194" t="s">
        <v>6735</v>
      </c>
    </row>
    <row r="5195" spans="1:1">
      <c r="A5195" t="s">
        <v>6736</v>
      </c>
    </row>
    <row r="5196" spans="1:1">
      <c r="A5196" t="s">
        <v>6737</v>
      </c>
    </row>
    <row r="5197" spans="1:1">
      <c r="A5197" t="s">
        <v>6738</v>
      </c>
    </row>
    <row r="5198" spans="1:1">
      <c r="A5198" t="s">
        <v>6739</v>
      </c>
    </row>
    <row r="5199" spans="1:1">
      <c r="A5199" t="s">
        <v>6740</v>
      </c>
    </row>
    <row r="5200" spans="1:1">
      <c r="A5200" t="s">
        <v>6741</v>
      </c>
    </row>
    <row r="5201" spans="1:1">
      <c r="A5201" t="s">
        <v>6742</v>
      </c>
    </row>
    <row r="5202" spans="1:1">
      <c r="A5202" t="s">
        <v>6743</v>
      </c>
    </row>
    <row r="5203" spans="1:1">
      <c r="A5203" t="s">
        <v>6744</v>
      </c>
    </row>
    <row r="5204" spans="1:1">
      <c r="A5204" t="s">
        <v>6745</v>
      </c>
    </row>
    <row r="5205" spans="1:1">
      <c r="A5205" t="s">
        <v>6746</v>
      </c>
    </row>
    <row r="5206" spans="1:1">
      <c r="A5206" t="s">
        <v>6747</v>
      </c>
    </row>
    <row r="5207" spans="1:1">
      <c r="A5207" t="s">
        <v>6748</v>
      </c>
    </row>
    <row r="5208" spans="1:1">
      <c r="A5208" t="s">
        <v>6749</v>
      </c>
    </row>
    <row r="5209" spans="1:1">
      <c r="A5209" t="s">
        <v>6750</v>
      </c>
    </row>
    <row r="5210" spans="1:1">
      <c r="A5210" t="s">
        <v>6751</v>
      </c>
    </row>
    <row r="5211" spans="1:1">
      <c r="A5211" t="s">
        <v>6752</v>
      </c>
    </row>
    <row r="5212" spans="1:1">
      <c r="A5212" t="s">
        <v>6753</v>
      </c>
    </row>
    <row r="5213" spans="1:1">
      <c r="A5213" t="s">
        <v>6754</v>
      </c>
    </row>
    <row r="5214" spans="1:1">
      <c r="A5214" t="s">
        <v>6755</v>
      </c>
    </row>
    <row r="5215" spans="1:1">
      <c r="A5215" t="s">
        <v>6756</v>
      </c>
    </row>
    <row r="5216" spans="1:1">
      <c r="A5216" t="s">
        <v>6757</v>
      </c>
    </row>
    <row r="5217" spans="1:1">
      <c r="A5217" t="s">
        <v>6758</v>
      </c>
    </row>
    <row r="5218" spans="1:1">
      <c r="A5218" t="s">
        <v>6759</v>
      </c>
    </row>
    <row r="5219" spans="1:1">
      <c r="A5219" t="s">
        <v>6760</v>
      </c>
    </row>
    <row r="5220" spans="1:1">
      <c r="A5220" t="s">
        <v>6761</v>
      </c>
    </row>
    <row r="5221" spans="1:1">
      <c r="A5221" t="s">
        <v>6762</v>
      </c>
    </row>
    <row r="5222" spans="1:1">
      <c r="A5222" t="s">
        <v>6763</v>
      </c>
    </row>
    <row r="5223" spans="1:1">
      <c r="A5223" t="s">
        <v>6764</v>
      </c>
    </row>
    <row r="5224" spans="1:1">
      <c r="A5224" t="s">
        <v>6765</v>
      </c>
    </row>
    <row r="5225" spans="1:1">
      <c r="A5225" t="s">
        <v>6766</v>
      </c>
    </row>
    <row r="5226" spans="1:1">
      <c r="A5226" t="s">
        <v>6767</v>
      </c>
    </row>
    <row r="5227" spans="1:1">
      <c r="A5227" t="s">
        <v>6768</v>
      </c>
    </row>
    <row r="5228" spans="1:1">
      <c r="A5228" t="s">
        <v>6769</v>
      </c>
    </row>
    <row r="5229" spans="1:1">
      <c r="A5229" t="s">
        <v>6770</v>
      </c>
    </row>
    <row r="5230" spans="1:1">
      <c r="A5230" t="s">
        <v>6771</v>
      </c>
    </row>
    <row r="5231" spans="1:1">
      <c r="A5231" t="s">
        <v>6772</v>
      </c>
    </row>
    <row r="5232" spans="1:1">
      <c r="A5232" t="s">
        <v>6773</v>
      </c>
    </row>
    <row r="5233" spans="1:1">
      <c r="A5233" t="s">
        <v>6774</v>
      </c>
    </row>
    <row r="5234" spans="1:1">
      <c r="A5234" t="s">
        <v>6775</v>
      </c>
    </row>
    <row r="5235" spans="1:1">
      <c r="A5235" t="s">
        <v>6776</v>
      </c>
    </row>
    <row r="5236" spans="1:1">
      <c r="A5236" t="s">
        <v>6777</v>
      </c>
    </row>
    <row r="5237" spans="1:1">
      <c r="A5237" t="s">
        <v>6778</v>
      </c>
    </row>
    <row r="5238" spans="1:1">
      <c r="A5238" t="s">
        <v>6779</v>
      </c>
    </row>
    <row r="5239" spans="1:1">
      <c r="A5239" t="s">
        <v>6780</v>
      </c>
    </row>
    <row r="5240" spans="1:1">
      <c r="A5240" t="s">
        <v>6781</v>
      </c>
    </row>
    <row r="5241" spans="1:1">
      <c r="A5241" t="s">
        <v>6782</v>
      </c>
    </row>
    <row r="5242" spans="1:1">
      <c r="A5242" t="s">
        <v>6783</v>
      </c>
    </row>
    <row r="5243" spans="1:1">
      <c r="A5243" t="s">
        <v>6784</v>
      </c>
    </row>
    <row r="5244" spans="1:1">
      <c r="A5244" t="s">
        <v>6785</v>
      </c>
    </row>
    <row r="5245" spans="1:1">
      <c r="A5245" t="s">
        <v>6786</v>
      </c>
    </row>
    <row r="5246" spans="1:1">
      <c r="A5246" t="s">
        <v>6787</v>
      </c>
    </row>
    <row r="5247" spans="1:1">
      <c r="A5247" t="s">
        <v>6788</v>
      </c>
    </row>
    <row r="5248" spans="1:1">
      <c r="A5248" t="s">
        <v>6789</v>
      </c>
    </row>
    <row r="5249" spans="1:1">
      <c r="A5249" t="s">
        <v>6790</v>
      </c>
    </row>
    <row r="5250" spans="1:1">
      <c r="A5250" t="s">
        <v>6791</v>
      </c>
    </row>
    <row r="5251" spans="1:1">
      <c r="A5251" t="s">
        <v>6792</v>
      </c>
    </row>
    <row r="5252" spans="1:1">
      <c r="A5252" t="s">
        <v>6793</v>
      </c>
    </row>
    <row r="5253" spans="1:1">
      <c r="A5253" t="s">
        <v>6794</v>
      </c>
    </row>
    <row r="5254" spans="1:1">
      <c r="A5254" t="s">
        <v>6795</v>
      </c>
    </row>
    <row r="5255" spans="1:1">
      <c r="A5255" t="s">
        <v>6796</v>
      </c>
    </row>
    <row r="5256" spans="1:1">
      <c r="A5256" t="s">
        <v>6797</v>
      </c>
    </row>
    <row r="5257" spans="1:1">
      <c r="A5257" t="s">
        <v>6798</v>
      </c>
    </row>
    <row r="5258" spans="1:1">
      <c r="A5258" t="s">
        <v>6799</v>
      </c>
    </row>
    <row r="5259" spans="1:1">
      <c r="A5259" t="s">
        <v>6800</v>
      </c>
    </row>
    <row r="5260" spans="1:1">
      <c r="A5260" t="s">
        <v>6801</v>
      </c>
    </row>
    <row r="5261" spans="1:1">
      <c r="A5261" t="s">
        <v>6802</v>
      </c>
    </row>
    <row r="5262" spans="1:1">
      <c r="A5262" t="s">
        <v>6803</v>
      </c>
    </row>
    <row r="5263" spans="1:1">
      <c r="A5263" t="s">
        <v>6804</v>
      </c>
    </row>
    <row r="5264" spans="1:1">
      <c r="A5264" t="s">
        <v>6805</v>
      </c>
    </row>
    <row r="5265" spans="1:1">
      <c r="A5265" t="s">
        <v>6806</v>
      </c>
    </row>
    <row r="5266" spans="1:1">
      <c r="A5266" t="s">
        <v>6807</v>
      </c>
    </row>
    <row r="5267" spans="1:1">
      <c r="A5267" t="s">
        <v>6808</v>
      </c>
    </row>
    <row r="5268" spans="1:1">
      <c r="A5268" t="s">
        <v>6809</v>
      </c>
    </row>
    <row r="5269" spans="1:1">
      <c r="A5269" t="s">
        <v>6810</v>
      </c>
    </row>
    <row r="5270" spans="1:1">
      <c r="A5270" t="s">
        <v>6811</v>
      </c>
    </row>
    <row r="5271" spans="1:1">
      <c r="A5271" t="s">
        <v>6812</v>
      </c>
    </row>
    <row r="5272" spans="1:1">
      <c r="A5272" t="s">
        <v>6813</v>
      </c>
    </row>
    <row r="5273" spans="1:1">
      <c r="A5273" t="s">
        <v>6814</v>
      </c>
    </row>
    <row r="5274" spans="1:1">
      <c r="A5274" t="s">
        <v>6815</v>
      </c>
    </row>
    <row r="5275" spans="1:1">
      <c r="A5275" t="s">
        <v>6816</v>
      </c>
    </row>
    <row r="5276" spans="1:1">
      <c r="A5276" t="s">
        <v>6817</v>
      </c>
    </row>
    <row r="5277" spans="1:1">
      <c r="A5277" t="s">
        <v>6818</v>
      </c>
    </row>
    <row r="5278" spans="1:1">
      <c r="A5278" t="s">
        <v>6819</v>
      </c>
    </row>
    <row r="5279" spans="1:1">
      <c r="A5279" t="s">
        <v>6820</v>
      </c>
    </row>
    <row r="5280" spans="1:1">
      <c r="A5280" t="s">
        <v>6821</v>
      </c>
    </row>
    <row r="5281" spans="1:1">
      <c r="A5281" t="s">
        <v>6822</v>
      </c>
    </row>
    <row r="5282" spans="1:1">
      <c r="A5282" t="s">
        <v>6823</v>
      </c>
    </row>
    <row r="5283" spans="1:1">
      <c r="A5283" t="s">
        <v>6824</v>
      </c>
    </row>
    <row r="5284" spans="1:1">
      <c r="A5284" t="s">
        <v>6825</v>
      </c>
    </row>
    <row r="5285" spans="1:1">
      <c r="A5285" t="s">
        <v>6826</v>
      </c>
    </row>
    <row r="5286" spans="1:1">
      <c r="A5286" t="s">
        <v>6827</v>
      </c>
    </row>
    <row r="5287" spans="1:1">
      <c r="A5287" t="s">
        <v>6828</v>
      </c>
    </row>
    <row r="5288" spans="1:1">
      <c r="A5288" t="s">
        <v>6829</v>
      </c>
    </row>
    <row r="5289" spans="1:1">
      <c r="A5289" t="s">
        <v>6830</v>
      </c>
    </row>
    <row r="5290" spans="1:1">
      <c r="A5290" t="s">
        <v>6831</v>
      </c>
    </row>
    <row r="5291" spans="1:1">
      <c r="A5291" t="s">
        <v>6832</v>
      </c>
    </row>
    <row r="5292" spans="1:1">
      <c r="A5292" t="s">
        <v>6833</v>
      </c>
    </row>
    <row r="5293" spans="1:1">
      <c r="A5293" t="s">
        <v>6834</v>
      </c>
    </row>
    <row r="5294" spans="1:1">
      <c r="A5294" t="s">
        <v>6835</v>
      </c>
    </row>
    <row r="5295" spans="1:1">
      <c r="A5295" t="s">
        <v>6836</v>
      </c>
    </row>
    <row r="5296" spans="1:1">
      <c r="A5296" t="s">
        <v>6837</v>
      </c>
    </row>
    <row r="5297" spans="1:1">
      <c r="A5297" t="s">
        <v>6838</v>
      </c>
    </row>
    <row r="5298" spans="1:1">
      <c r="A5298" t="s">
        <v>6839</v>
      </c>
    </row>
    <row r="5299" spans="1:1">
      <c r="A5299" t="s">
        <v>6840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3:G14"/>
  <sheetViews>
    <sheetView workbookViewId="0">
      <selection activeCell="G11" sqref="G11"/>
    </sheetView>
  </sheetViews>
  <sheetFormatPr baseColWidth="10" defaultColWidth="11" defaultRowHeight="15.75"/>
  <cols>
    <col min="1" max="4" width="17.125" customWidth="1"/>
    <col min="5" max="5" width="25.625" bestFit="1" customWidth="1"/>
  </cols>
  <sheetData>
    <row r="3" spans="1:7">
      <c r="A3" t="s">
        <v>183</v>
      </c>
      <c r="B3" t="s">
        <v>184</v>
      </c>
      <c r="C3" t="s">
        <v>185</v>
      </c>
      <c r="D3" t="s">
        <v>186</v>
      </c>
      <c r="E3" t="s">
        <v>963</v>
      </c>
    </row>
    <row r="4" spans="1:7">
      <c r="A4" s="3">
        <v>-1.7291870860015877</v>
      </c>
      <c r="B4" s="3">
        <v>-5.5096130052868437</v>
      </c>
      <c r="C4" s="3">
        <v>2.6332768977354952</v>
      </c>
      <c r="D4" s="3">
        <v>-2.6132384424299531</v>
      </c>
      <c r="E4" s="158">
        <v>-3.0122563654975893</v>
      </c>
    </row>
    <row r="14" spans="1:7">
      <c r="G14" t="s">
        <v>617</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B1:P48"/>
  <sheetViews>
    <sheetView showGridLines="0" zoomScale="80" zoomScaleNormal="80" workbookViewId="0"/>
  </sheetViews>
  <sheetFormatPr baseColWidth="10" defaultColWidth="13.75" defaultRowHeight="15.75"/>
  <cols>
    <col min="2" max="2" width="19.75" bestFit="1" customWidth="1"/>
    <col min="8" max="8" width="5.5" customWidth="1"/>
  </cols>
  <sheetData>
    <row r="1" spans="2:16">
      <c r="B1" s="627" t="s">
        <v>1348</v>
      </c>
      <c r="C1" s="627"/>
      <c r="D1" s="627"/>
      <c r="E1" s="627"/>
      <c r="F1" s="627"/>
      <c r="G1" s="627"/>
      <c r="I1" s="627" t="s">
        <v>809</v>
      </c>
      <c r="J1" s="627"/>
      <c r="K1" s="627"/>
      <c r="L1" s="627"/>
      <c r="M1" s="627"/>
      <c r="N1" s="627"/>
    </row>
    <row r="2" spans="2:16">
      <c r="B2" s="627"/>
      <c r="C2" s="627"/>
      <c r="D2" s="627"/>
      <c r="E2" s="627"/>
      <c r="F2" s="627"/>
      <c r="G2" s="627"/>
      <c r="I2" s="627"/>
      <c r="J2" s="627"/>
      <c r="K2" s="627"/>
      <c r="L2" s="627"/>
      <c r="M2" s="627"/>
      <c r="N2" s="627"/>
    </row>
    <row r="3" spans="2:16" ht="16.5" thickBot="1">
      <c r="B3" s="677"/>
      <c r="C3" s="677"/>
      <c r="D3" s="677"/>
      <c r="E3" s="677"/>
      <c r="F3" s="677"/>
      <c r="G3" s="677"/>
      <c r="I3" s="677"/>
      <c r="J3" s="677"/>
      <c r="K3" s="677"/>
      <c r="L3" s="677"/>
      <c r="M3" s="677"/>
      <c r="N3" s="677"/>
    </row>
    <row r="4" spans="2:16" ht="15.75" customHeight="1">
      <c r="B4" s="81" t="s">
        <v>55</v>
      </c>
      <c r="C4" s="81" t="s">
        <v>753</v>
      </c>
      <c r="D4" s="81" t="s">
        <v>804</v>
      </c>
      <c r="E4" s="81" t="s">
        <v>803</v>
      </c>
      <c r="F4" s="81" t="s">
        <v>1336</v>
      </c>
      <c r="G4" s="81" t="s">
        <v>805</v>
      </c>
      <c r="I4" s="673" t="s">
        <v>1349</v>
      </c>
      <c r="J4" s="673"/>
      <c r="K4" s="673"/>
      <c r="L4" s="673"/>
      <c r="M4" s="673"/>
      <c r="N4" s="673"/>
      <c r="O4" s="196"/>
      <c r="P4" s="196"/>
    </row>
    <row r="5" spans="2:16">
      <c r="B5" t="s">
        <v>753</v>
      </c>
      <c r="C5">
        <v>1</v>
      </c>
      <c r="I5" s="674"/>
      <c r="J5" s="674"/>
      <c r="K5" s="674"/>
      <c r="L5" s="674"/>
      <c r="M5" s="674"/>
      <c r="N5" s="674"/>
      <c r="O5" s="196"/>
      <c r="P5" s="196"/>
    </row>
    <row r="6" spans="2:16">
      <c r="B6" t="s">
        <v>804</v>
      </c>
      <c r="C6">
        <v>0.66272864359579886</v>
      </c>
      <c r="D6">
        <v>1</v>
      </c>
      <c r="I6" s="674"/>
      <c r="J6" s="674"/>
      <c r="K6" s="674"/>
      <c r="L6" s="674"/>
      <c r="M6" s="674"/>
      <c r="N6" s="674"/>
      <c r="O6" s="196"/>
      <c r="P6" s="196"/>
    </row>
    <row r="7" spans="2:16">
      <c r="B7" t="s">
        <v>803</v>
      </c>
      <c r="C7">
        <v>-0.70416103687232867</v>
      </c>
      <c r="D7">
        <v>-0.21873203646277356</v>
      </c>
      <c r="E7">
        <v>1</v>
      </c>
      <c r="I7" s="674"/>
      <c r="J7" s="674"/>
      <c r="K7" s="674"/>
      <c r="L7" s="674"/>
      <c r="M7" s="674"/>
      <c r="N7" s="674"/>
      <c r="O7" s="196"/>
      <c r="P7" s="196"/>
    </row>
    <row r="8" spans="2:16">
      <c r="B8" t="s">
        <v>807</v>
      </c>
      <c r="C8">
        <v>0.44421772275981053</v>
      </c>
      <c r="D8">
        <v>0.8290557270970601</v>
      </c>
      <c r="E8">
        <v>0.22350200989491537</v>
      </c>
      <c r="F8">
        <v>1</v>
      </c>
      <c r="I8" s="674"/>
      <c r="J8" s="674"/>
      <c r="K8" s="674"/>
      <c r="L8" s="674"/>
      <c r="M8" s="674"/>
      <c r="N8" s="674"/>
      <c r="O8" s="196"/>
      <c r="P8" s="196"/>
    </row>
    <row r="9" spans="2:16" ht="16.5" thickBot="1">
      <c r="B9" s="80" t="s">
        <v>805</v>
      </c>
      <c r="C9" s="80">
        <v>-4.3329068617727826E-2</v>
      </c>
      <c r="D9" s="80">
        <v>0.68334489545827348</v>
      </c>
      <c r="E9" s="80">
        <v>0.30341997999381859</v>
      </c>
      <c r="F9" s="80">
        <v>0.55152920401401861</v>
      </c>
      <c r="G9" s="80">
        <v>1</v>
      </c>
      <c r="I9" s="674"/>
      <c r="J9" s="674"/>
      <c r="K9" s="674"/>
      <c r="L9" s="674"/>
      <c r="M9" s="674"/>
      <c r="N9" s="674"/>
      <c r="O9" s="196"/>
      <c r="P9" s="196"/>
    </row>
    <row r="10" spans="2:16">
      <c r="I10" s="674"/>
      <c r="J10" s="674"/>
      <c r="K10" s="674"/>
      <c r="L10" s="674"/>
      <c r="M10" s="674"/>
      <c r="N10" s="674"/>
      <c r="O10" s="196"/>
      <c r="P10" s="196"/>
    </row>
    <row r="11" spans="2:16">
      <c r="I11" s="674"/>
      <c r="J11" s="674"/>
      <c r="K11" s="674"/>
      <c r="L11" s="674"/>
      <c r="M11" s="674"/>
      <c r="N11" s="674"/>
      <c r="O11" s="196"/>
      <c r="P11" s="196"/>
    </row>
    <row r="12" spans="2:16" ht="16.5" thickBot="1">
      <c r="I12" s="196"/>
      <c r="J12" s="196"/>
      <c r="K12" s="196"/>
      <c r="L12" s="196"/>
      <c r="M12" s="196"/>
      <c r="N12" s="196"/>
      <c r="O12" s="196"/>
      <c r="P12" s="196"/>
    </row>
    <row r="13" spans="2:16">
      <c r="B13" s="81" t="s">
        <v>57</v>
      </c>
      <c r="C13" s="81" t="s">
        <v>753</v>
      </c>
      <c r="D13" s="81" t="s">
        <v>804</v>
      </c>
      <c r="E13" s="81" t="s">
        <v>803</v>
      </c>
      <c r="F13" s="81" t="s">
        <v>807</v>
      </c>
      <c r="G13" s="81" t="s">
        <v>805</v>
      </c>
      <c r="I13" s="196"/>
      <c r="J13" s="196"/>
      <c r="K13" s="196"/>
      <c r="L13" s="196"/>
      <c r="M13" s="196"/>
      <c r="N13" s="196"/>
      <c r="O13" s="196"/>
      <c r="P13" s="196"/>
    </row>
    <row r="14" spans="2:16">
      <c r="B14" t="s">
        <v>753</v>
      </c>
      <c r="C14">
        <v>1</v>
      </c>
    </row>
    <row r="15" spans="2:16">
      <c r="B15" t="s">
        <v>804</v>
      </c>
      <c r="C15">
        <v>0.51136748156762213</v>
      </c>
      <c r="D15">
        <v>1</v>
      </c>
    </row>
    <row r="16" spans="2:16">
      <c r="B16" t="s">
        <v>803</v>
      </c>
      <c r="C16">
        <v>-0.48191093190434175</v>
      </c>
      <c r="D16">
        <v>-0.48106596871452262</v>
      </c>
      <c r="E16">
        <v>1</v>
      </c>
    </row>
    <row r="17" spans="2:14">
      <c r="B17" t="s">
        <v>807</v>
      </c>
      <c r="C17">
        <v>3.2220365235068764E-2</v>
      </c>
      <c r="D17">
        <v>-0.17965508370523028</v>
      </c>
      <c r="E17">
        <v>0.85679034465379844</v>
      </c>
      <c r="F17">
        <v>1</v>
      </c>
    </row>
    <row r="18" spans="2:14" ht="16.5" thickBot="1">
      <c r="B18" s="80" t="s">
        <v>805</v>
      </c>
      <c r="C18" s="80">
        <v>0.77192531307453138</v>
      </c>
      <c r="D18" s="80">
        <v>0.917077375239707</v>
      </c>
      <c r="E18" s="80">
        <v>-0.39541462082354684</v>
      </c>
      <c r="F18" s="80">
        <v>5.4344708337122287E-2</v>
      </c>
      <c r="G18" s="80">
        <v>1</v>
      </c>
    </row>
    <row r="21" spans="2:14" ht="16.5" thickBot="1"/>
    <row r="22" spans="2:14">
      <c r="B22" s="81" t="s">
        <v>56</v>
      </c>
      <c r="C22" s="81" t="s">
        <v>753</v>
      </c>
      <c r="D22" s="81" t="s">
        <v>804</v>
      </c>
      <c r="E22" s="81" t="s">
        <v>803</v>
      </c>
      <c r="F22" s="81" t="s">
        <v>805</v>
      </c>
      <c r="I22" s="675" t="s">
        <v>810</v>
      </c>
      <c r="J22" s="676"/>
      <c r="K22" s="676"/>
      <c r="L22" s="676"/>
      <c r="M22" s="676"/>
      <c r="N22" s="676"/>
    </row>
    <row r="23" spans="2:14">
      <c r="B23" t="s">
        <v>753</v>
      </c>
      <c r="C23">
        <v>1</v>
      </c>
      <c r="I23" s="676"/>
      <c r="J23" s="676"/>
      <c r="K23" s="676"/>
      <c r="L23" s="676"/>
      <c r="M23" s="676"/>
      <c r="N23" s="676"/>
    </row>
    <row r="24" spans="2:14">
      <c r="B24" t="s">
        <v>804</v>
      </c>
      <c r="C24">
        <v>0.93559960853820179</v>
      </c>
      <c r="D24">
        <v>1</v>
      </c>
      <c r="I24" s="676"/>
      <c r="J24" s="676"/>
      <c r="K24" s="676"/>
      <c r="L24" s="676"/>
      <c r="M24" s="676"/>
      <c r="N24" s="676"/>
    </row>
    <row r="25" spans="2:14">
      <c r="B25" t="s">
        <v>803</v>
      </c>
      <c r="C25">
        <v>0.34196954792424417</v>
      </c>
      <c r="D25">
        <v>0.52819110017894799</v>
      </c>
      <c r="E25">
        <v>1</v>
      </c>
      <c r="I25" s="676"/>
      <c r="J25" s="676"/>
      <c r="K25" s="676"/>
      <c r="L25" s="676"/>
      <c r="M25" s="676"/>
      <c r="N25" s="676"/>
    </row>
    <row r="26" spans="2:14" ht="16.5" thickBot="1">
      <c r="B26" s="80" t="s">
        <v>805</v>
      </c>
      <c r="C26" s="80">
        <v>0.99656730370648505</v>
      </c>
      <c r="D26" s="80">
        <v>0.95173303005005594</v>
      </c>
      <c r="E26" s="80">
        <v>0.32771332640886219</v>
      </c>
      <c r="F26" s="80">
        <v>1</v>
      </c>
      <c r="I26" s="676"/>
      <c r="J26" s="676"/>
      <c r="K26" s="676"/>
      <c r="L26" s="676"/>
      <c r="M26" s="676"/>
      <c r="N26" s="676"/>
    </row>
    <row r="27" spans="2:14">
      <c r="I27" s="195"/>
      <c r="J27" s="195"/>
      <c r="K27" s="195"/>
      <c r="L27" s="195"/>
      <c r="M27" s="195"/>
      <c r="N27" s="195"/>
    </row>
    <row r="28" spans="2:14">
      <c r="I28" s="195"/>
      <c r="J28" s="195"/>
      <c r="K28" s="195"/>
      <c r="L28" s="195"/>
      <c r="M28" s="195"/>
      <c r="N28" s="195"/>
    </row>
    <row r="29" spans="2:14">
      <c r="I29" s="195"/>
      <c r="J29" s="195"/>
      <c r="K29" s="195"/>
      <c r="L29" s="195"/>
      <c r="M29" s="195"/>
      <c r="N29" s="195"/>
    </row>
    <row r="30" spans="2:14" ht="16.5" thickBot="1"/>
    <row r="31" spans="2:14">
      <c r="B31" s="81" t="s">
        <v>638</v>
      </c>
      <c r="C31" s="81" t="s">
        <v>753</v>
      </c>
      <c r="D31" s="81" t="s">
        <v>804</v>
      </c>
      <c r="E31" s="81" t="s">
        <v>803</v>
      </c>
      <c r="F31" s="81" t="s">
        <v>805</v>
      </c>
    </row>
    <row r="32" spans="2:14">
      <c r="B32" t="s">
        <v>753</v>
      </c>
      <c r="C32">
        <v>1</v>
      </c>
    </row>
    <row r="33" spans="2:6">
      <c r="B33" t="s">
        <v>804</v>
      </c>
      <c r="C33">
        <v>-7.4922953174295745E-2</v>
      </c>
      <c r="D33">
        <v>1</v>
      </c>
    </row>
    <row r="34" spans="2:6">
      <c r="B34" t="s">
        <v>803</v>
      </c>
      <c r="C34">
        <v>-0.90690180343205395</v>
      </c>
      <c r="D34">
        <v>0.25987019885389406</v>
      </c>
      <c r="E34">
        <v>1</v>
      </c>
    </row>
    <row r="35" spans="2:6" ht="16.5" thickBot="1">
      <c r="B35" s="80" t="s">
        <v>805</v>
      </c>
      <c r="C35" s="80">
        <v>0.30707899052173315</v>
      </c>
      <c r="D35" s="80">
        <v>-0.10037523777248863</v>
      </c>
      <c r="E35" s="80">
        <v>-0.112995845763188</v>
      </c>
      <c r="F35" s="80">
        <v>1</v>
      </c>
    </row>
    <row r="37" spans="2:6" ht="16.5" thickBot="1"/>
    <row r="38" spans="2:6">
      <c r="B38" s="81" t="s">
        <v>644</v>
      </c>
      <c r="C38" s="81" t="s">
        <v>753</v>
      </c>
      <c r="D38" s="81" t="s">
        <v>804</v>
      </c>
      <c r="E38" s="81" t="s">
        <v>803</v>
      </c>
      <c r="F38" s="81" t="s">
        <v>805</v>
      </c>
    </row>
    <row r="39" spans="2:6">
      <c r="B39" t="s">
        <v>753</v>
      </c>
      <c r="C39">
        <v>1</v>
      </c>
    </row>
    <row r="40" spans="2:6">
      <c r="B40" t="s">
        <v>804</v>
      </c>
      <c r="C40">
        <v>-0.19330742526409736</v>
      </c>
      <c r="D40">
        <v>1</v>
      </c>
    </row>
    <row r="41" spans="2:6">
      <c r="B41" t="s">
        <v>803</v>
      </c>
      <c r="C41">
        <v>0.6394179678377595</v>
      </c>
      <c r="D41">
        <v>9.9935777991964334E-2</v>
      </c>
      <c r="E41">
        <v>1</v>
      </c>
    </row>
    <row r="42" spans="2:6" ht="16.5" thickBot="1">
      <c r="B42" s="80" t="s">
        <v>805</v>
      </c>
      <c r="C42" s="80">
        <v>-0.42592359477232106</v>
      </c>
      <c r="D42" s="80">
        <v>0.70186409312221731</v>
      </c>
      <c r="E42" s="80">
        <v>-0.19407620881445814</v>
      </c>
      <c r="F42" s="80">
        <v>1</v>
      </c>
    </row>
    <row r="43" spans="2:6" ht="16.5" thickBot="1"/>
    <row r="44" spans="2:6">
      <c r="B44" s="81" t="s">
        <v>712</v>
      </c>
      <c r="C44" s="81" t="s">
        <v>753</v>
      </c>
      <c r="D44" s="81" t="s">
        <v>804</v>
      </c>
      <c r="E44" s="81" t="s">
        <v>803</v>
      </c>
      <c r="F44" s="81" t="s">
        <v>805</v>
      </c>
    </row>
    <row r="45" spans="2:6">
      <c r="B45" t="s">
        <v>753</v>
      </c>
      <c r="C45">
        <v>1</v>
      </c>
    </row>
    <row r="46" spans="2:6">
      <c r="B46" t="s">
        <v>804</v>
      </c>
      <c r="C46">
        <v>0.97878645854591062</v>
      </c>
      <c r="D46">
        <v>1</v>
      </c>
    </row>
    <row r="47" spans="2:6">
      <c r="B47" t="s">
        <v>803</v>
      </c>
      <c r="C47">
        <v>-0.25701132582116354</v>
      </c>
      <c r="D47">
        <v>-0.43120320252264188</v>
      </c>
      <c r="E47">
        <v>1</v>
      </c>
    </row>
    <row r="48" spans="2:6" ht="16.5" thickBot="1">
      <c r="B48" s="80" t="s">
        <v>805</v>
      </c>
      <c r="C48" s="80">
        <v>-0.41080751165621815</v>
      </c>
      <c r="D48" s="80">
        <v>-0.41129141182452783</v>
      </c>
      <c r="E48" s="80">
        <v>-0.11268352197625829</v>
      </c>
      <c r="F48" s="80">
        <v>1</v>
      </c>
    </row>
  </sheetData>
  <mergeCells count="4">
    <mergeCell ref="I4:N11"/>
    <mergeCell ref="I22:N26"/>
    <mergeCell ref="B1:G3"/>
    <mergeCell ref="I1:N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sheetPr>
  <dimension ref="A1:O40"/>
  <sheetViews>
    <sheetView workbookViewId="0">
      <selection activeCell="H23" sqref="H23"/>
    </sheetView>
  </sheetViews>
  <sheetFormatPr baseColWidth="10" defaultColWidth="9" defaultRowHeight="15.75"/>
  <cols>
    <col min="1" max="1" width="37.875" bestFit="1" customWidth="1"/>
    <col min="3" max="3" width="10.5" customWidth="1"/>
    <col min="4" max="4" width="11.875" customWidth="1"/>
    <col min="8" max="8" width="63.875" customWidth="1"/>
    <col min="15" max="15" width="9.625" bestFit="1" customWidth="1"/>
  </cols>
  <sheetData>
    <row r="1" spans="1:15" ht="46.5">
      <c r="B1" s="627" t="s">
        <v>187</v>
      </c>
      <c r="C1" s="627"/>
      <c r="D1" s="627"/>
      <c r="E1" s="627"/>
      <c r="F1" s="627"/>
      <c r="G1" s="627"/>
      <c r="H1" s="627"/>
      <c r="I1" s="627"/>
      <c r="J1" s="627"/>
    </row>
    <row r="3" spans="1:15">
      <c r="A3" s="171" t="s">
        <v>54</v>
      </c>
      <c r="B3" s="171">
        <v>2018</v>
      </c>
      <c r="C3" s="171">
        <v>2019</v>
      </c>
      <c r="D3" s="171">
        <v>2020</v>
      </c>
      <c r="E3" s="171">
        <v>2021</v>
      </c>
      <c r="F3" s="171">
        <v>2022</v>
      </c>
      <c r="G3" s="197">
        <v>2023</v>
      </c>
      <c r="H3" s="171" t="s">
        <v>737</v>
      </c>
    </row>
    <row r="4" spans="1:15" ht="31.5">
      <c r="A4" s="175" t="s">
        <v>708</v>
      </c>
      <c r="B4" s="3">
        <v>2.98E-2</v>
      </c>
      <c r="F4" s="163"/>
      <c r="H4" s="174" t="s">
        <v>738</v>
      </c>
      <c r="I4" s="163"/>
      <c r="J4" s="163"/>
    </row>
    <row r="5" spans="1:15">
      <c r="A5" s="172" t="s">
        <v>709</v>
      </c>
      <c r="B5" s="76">
        <f>B6/100</f>
        <v>2.1729880594581637E-2</v>
      </c>
      <c r="C5" s="76">
        <f>C6/100</f>
        <v>2.1729880594581637E-2</v>
      </c>
      <c r="D5" s="76">
        <f>D6/100</f>
        <v>2.1729880594581637E-2</v>
      </c>
      <c r="E5" s="76">
        <f>E6/100</f>
        <v>2.1729880594581637E-2</v>
      </c>
      <c r="F5" s="76">
        <f>F6/100</f>
        <v>2.1729880594581637E-2</v>
      </c>
      <c r="H5" s="174"/>
      <c r="I5" s="163"/>
      <c r="J5" s="163"/>
    </row>
    <row r="6" spans="1:15">
      <c r="A6" s="172" t="s">
        <v>713</v>
      </c>
      <c r="B6">
        <f>B7*(1-(B9/B8))+B9</f>
        <v>2.1729880594581639</v>
      </c>
      <c r="C6">
        <f t="shared" ref="C6:E6" si="0">C7*(1-(C9/C8))+C9</f>
        <v>2.1729880594581639</v>
      </c>
      <c r="D6">
        <f t="shared" si="0"/>
        <v>2.1729880594581639</v>
      </c>
      <c r="E6">
        <f t="shared" si="0"/>
        <v>2.1729880594581639</v>
      </c>
      <c r="F6">
        <f>F7*(1-(F9/F8))+F9</f>
        <v>2.1729880594581639</v>
      </c>
    </row>
    <row r="7" spans="1:15">
      <c r="A7" s="176" t="s">
        <v>714</v>
      </c>
      <c r="B7">
        <f>1/19.37</f>
        <v>5.1626226122870413E-2</v>
      </c>
      <c r="C7">
        <f t="shared" ref="C7:F7" si="1">1/19.37</f>
        <v>5.1626226122870413E-2</v>
      </c>
      <c r="D7">
        <f t="shared" si="1"/>
        <v>5.1626226122870413E-2</v>
      </c>
      <c r="E7">
        <f t="shared" si="1"/>
        <v>5.1626226122870413E-2</v>
      </c>
      <c r="F7">
        <f t="shared" si="1"/>
        <v>5.1626226122870413E-2</v>
      </c>
      <c r="H7" s="174" t="s">
        <v>739</v>
      </c>
      <c r="I7" s="163"/>
      <c r="J7" s="163"/>
      <c r="O7" t="s">
        <v>802</v>
      </c>
    </row>
    <row r="8" spans="1:15" ht="31.5">
      <c r="A8" s="176" t="s">
        <v>164</v>
      </c>
      <c r="B8" s="162">
        <v>12.73</v>
      </c>
      <c r="C8" s="162">
        <v>12.73</v>
      </c>
      <c r="D8" s="162">
        <v>12.73</v>
      </c>
      <c r="E8" s="162">
        <v>12.73</v>
      </c>
      <c r="F8" s="162">
        <v>12.73</v>
      </c>
      <c r="H8" s="174" t="s">
        <v>740</v>
      </c>
      <c r="I8" s="163"/>
      <c r="J8" s="163"/>
      <c r="O8">
        <v>1</v>
      </c>
    </row>
    <row r="9" spans="1:15">
      <c r="A9" s="176" t="s">
        <v>715</v>
      </c>
      <c r="B9" s="162">
        <v>2.13</v>
      </c>
      <c r="C9" s="162">
        <v>2.13</v>
      </c>
      <c r="D9" s="162">
        <v>2.13</v>
      </c>
      <c r="E9" s="162">
        <v>2.13</v>
      </c>
      <c r="F9" s="162">
        <v>2.13</v>
      </c>
      <c r="H9" s="174" t="s">
        <v>741</v>
      </c>
      <c r="I9" s="163"/>
      <c r="J9" s="163"/>
    </row>
    <row r="11" spans="1:15">
      <c r="A11" s="172" t="s">
        <v>710</v>
      </c>
      <c r="B11">
        <v>1.1200000000000001</v>
      </c>
    </row>
    <row r="12" spans="1:15">
      <c r="A12" s="172" t="s">
        <v>716</v>
      </c>
      <c r="B12" s="164">
        <f>'Balance General'!I36/'Balance General'!I20</f>
        <v>0.50206363252477781</v>
      </c>
    </row>
    <row r="13" spans="1:15">
      <c r="A13" s="172" t="s">
        <v>706</v>
      </c>
      <c r="B13" s="164">
        <f>'Balance General'!I36/('Balance General'!I20+'Balance General'!I36)</f>
        <v>0.33424924327664651</v>
      </c>
    </row>
    <row r="14" spans="1:15">
      <c r="A14" s="172" t="s">
        <v>720</v>
      </c>
      <c r="B14" s="164">
        <f>'Balance General'!I20/('Balance General'!I20+'Balance General'!I36)</f>
        <v>0.66575075672335349</v>
      </c>
    </row>
    <row r="15" spans="1:15">
      <c r="A15" s="172" t="s">
        <v>717</v>
      </c>
      <c r="B15" s="162">
        <v>0.9</v>
      </c>
    </row>
    <row r="16" spans="1:15">
      <c r="A16" s="172" t="s">
        <v>719</v>
      </c>
      <c r="B16" s="165">
        <f>SUMPRODUCT(B17:B22,$H$17:$H$22)</f>
        <v>0.29916666666666669</v>
      </c>
      <c r="C16" s="165">
        <f>SUMPRODUCT(C17:C22,$H$17:$H$22)</f>
        <v>0.29916666666666669</v>
      </c>
      <c r="D16" s="165">
        <f>SUMPRODUCT(D17:D22,$H$17:$H$22)</f>
        <v>0.29916666666666669</v>
      </c>
      <c r="H16" s="171" t="s">
        <v>742</v>
      </c>
      <c r="J16" s="163"/>
    </row>
    <row r="17" spans="1:10">
      <c r="A17" s="173" t="s">
        <v>55</v>
      </c>
      <c r="B17" s="3">
        <v>0.33</v>
      </c>
      <c r="C17" s="158">
        <v>0.33</v>
      </c>
      <c r="D17" s="158">
        <v>0.33</v>
      </c>
      <c r="H17" s="168">
        <v>0.45500000000000002</v>
      </c>
    </row>
    <row r="18" spans="1:10">
      <c r="A18" s="173" t="s">
        <v>610</v>
      </c>
      <c r="B18" s="3">
        <v>0.25</v>
      </c>
      <c r="C18" s="158">
        <v>0.25</v>
      </c>
      <c r="D18" s="158">
        <v>0.25</v>
      </c>
      <c r="H18" s="3">
        <v>0.214</v>
      </c>
    </row>
    <row r="19" spans="1:10">
      <c r="A19" s="173" t="s">
        <v>57</v>
      </c>
      <c r="B19" s="3">
        <v>0.3</v>
      </c>
      <c r="C19" s="158">
        <v>0.3</v>
      </c>
      <c r="D19" s="158">
        <v>0.3</v>
      </c>
      <c r="H19" s="3">
        <v>0.104</v>
      </c>
    </row>
    <row r="20" spans="1:10">
      <c r="A20" s="173" t="s">
        <v>644</v>
      </c>
      <c r="B20" s="3">
        <v>0.3</v>
      </c>
      <c r="C20" s="158">
        <v>0.3</v>
      </c>
      <c r="D20" s="158">
        <v>0.3</v>
      </c>
      <c r="H20" s="7">
        <f>0.227/3</f>
        <v>7.5666666666666674E-2</v>
      </c>
    </row>
    <row r="21" spans="1:10">
      <c r="A21" s="173" t="s">
        <v>638</v>
      </c>
      <c r="B21" s="3">
        <v>0.25</v>
      </c>
      <c r="C21" s="158">
        <v>0.25</v>
      </c>
      <c r="D21" s="158">
        <v>0.25</v>
      </c>
      <c r="H21" s="7">
        <f t="shared" ref="H21:H22" si="2">0.227/3</f>
        <v>7.5666666666666674E-2</v>
      </c>
    </row>
    <row r="22" spans="1:10">
      <c r="A22" s="173" t="s">
        <v>712</v>
      </c>
      <c r="B22" s="3">
        <v>0.3</v>
      </c>
      <c r="C22" s="158">
        <v>0.3</v>
      </c>
      <c r="D22" s="158">
        <v>0.3</v>
      </c>
      <c r="H22" s="7">
        <f t="shared" si="2"/>
        <v>7.5666666666666674E-2</v>
      </c>
    </row>
    <row r="23" spans="1:10">
      <c r="A23" s="172" t="s">
        <v>711</v>
      </c>
      <c r="B23" s="169">
        <f>SUMPRODUCT(B24:B29,H24:H29)</f>
        <v>2.8411766666666664E-2</v>
      </c>
      <c r="H23" s="171" t="s">
        <v>742</v>
      </c>
    </row>
    <row r="24" spans="1:10">
      <c r="A24" s="173" t="s">
        <v>55</v>
      </c>
      <c r="B24" s="3">
        <v>2.1299999999999999E-2</v>
      </c>
      <c r="H24" s="168">
        <v>0.45500000000000002</v>
      </c>
      <c r="I24" s="3"/>
    </row>
    <row r="25" spans="1:10">
      <c r="A25" s="173" t="s">
        <v>610</v>
      </c>
      <c r="B25" s="3">
        <v>1.6199999999999999E-2</v>
      </c>
      <c r="H25" s="3">
        <v>0.214</v>
      </c>
      <c r="I25" s="3"/>
    </row>
    <row r="26" spans="1:10">
      <c r="A26" s="173" t="s">
        <v>57</v>
      </c>
      <c r="B26" s="3">
        <v>4.5100000000000001E-2</v>
      </c>
      <c r="H26" s="3">
        <v>0.104</v>
      </c>
      <c r="I26" s="3"/>
    </row>
    <row r="27" spans="1:10">
      <c r="A27" s="173" t="s">
        <v>644</v>
      </c>
      <c r="B27" s="3">
        <v>4.5100000000000001E-2</v>
      </c>
      <c r="H27" s="7">
        <f>0.227/3</f>
        <v>7.5666666666666674E-2</v>
      </c>
      <c r="I27" s="3"/>
    </row>
    <row r="28" spans="1:10">
      <c r="A28" s="173" t="s">
        <v>638</v>
      </c>
      <c r="B28" s="3">
        <v>4.5100000000000001E-2</v>
      </c>
      <c r="H28" s="7">
        <f t="shared" ref="H28:H29" si="3">0.227/3</f>
        <v>7.5666666666666674E-2</v>
      </c>
      <c r="I28" s="3"/>
    </row>
    <row r="29" spans="1:10">
      <c r="A29" s="173" t="s">
        <v>712</v>
      </c>
      <c r="B29" s="3">
        <v>4.9399999999999999E-2</v>
      </c>
      <c r="H29" s="7">
        <f t="shared" si="3"/>
        <v>7.5666666666666674E-2</v>
      </c>
      <c r="I29" s="3"/>
    </row>
    <row r="30" spans="1:10">
      <c r="A30" s="172" t="s">
        <v>705</v>
      </c>
      <c r="B30" s="3">
        <f>B4+B11*B5+B23</f>
        <v>8.254923293259811E-2</v>
      </c>
      <c r="I30" s="3"/>
    </row>
    <row r="31" spans="1:10">
      <c r="A31" s="172" t="s">
        <v>722</v>
      </c>
      <c r="B31" s="170">
        <f>SUMPRODUCT(I32:I37,J32:J37)</f>
        <v>2.7653666666666674E-2</v>
      </c>
      <c r="H31" s="171" t="s">
        <v>723</v>
      </c>
      <c r="I31" s="171" t="s">
        <v>728</v>
      </c>
      <c r="J31" s="171" t="s">
        <v>742</v>
      </c>
    </row>
    <row r="32" spans="1:10">
      <c r="A32" s="172" t="s">
        <v>55</v>
      </c>
      <c r="B32" s="3" t="s">
        <v>724</v>
      </c>
      <c r="H32" s="3">
        <v>0.996</v>
      </c>
      <c r="I32" s="76">
        <f>1-H32</f>
        <v>4.0000000000000036E-3</v>
      </c>
      <c r="J32" s="168">
        <v>0.45500000000000002</v>
      </c>
    </row>
    <row r="33" spans="1:10">
      <c r="A33" s="172" t="s">
        <v>610</v>
      </c>
      <c r="B33" s="3" t="s">
        <v>724</v>
      </c>
      <c r="H33" s="3">
        <v>0.996</v>
      </c>
      <c r="I33" s="76">
        <f>1-H33</f>
        <v>4.0000000000000036E-3</v>
      </c>
      <c r="J33" s="3">
        <v>0.214</v>
      </c>
    </row>
    <row r="34" spans="1:10">
      <c r="A34" s="172" t="s">
        <v>57</v>
      </c>
      <c r="B34" s="3" t="s">
        <v>725</v>
      </c>
      <c r="H34" s="3">
        <v>0.95699999999999996</v>
      </c>
      <c r="I34" s="76">
        <f t="shared" ref="I34:I37" si="4">1-H34</f>
        <v>4.3000000000000038E-2</v>
      </c>
      <c r="J34" s="3">
        <v>0.104</v>
      </c>
    </row>
    <row r="35" spans="1:10">
      <c r="A35" s="172" t="s">
        <v>644</v>
      </c>
      <c r="B35" s="3" t="s">
        <v>726</v>
      </c>
      <c r="H35" s="3">
        <v>0.88600000000000001</v>
      </c>
      <c r="I35" s="76">
        <f t="shared" si="4"/>
        <v>0.11399999999999999</v>
      </c>
      <c r="J35" s="7">
        <f>0.227/3</f>
        <v>7.5666666666666674E-2</v>
      </c>
    </row>
    <row r="36" spans="1:10">
      <c r="A36" s="172" t="s">
        <v>638</v>
      </c>
      <c r="B36" s="3" t="s">
        <v>725</v>
      </c>
      <c r="H36" s="3">
        <v>0.95699999999999996</v>
      </c>
      <c r="I36" s="76">
        <f t="shared" si="4"/>
        <v>4.3000000000000038E-2</v>
      </c>
      <c r="J36" s="7">
        <f t="shared" ref="J36:J37" si="5">0.227/3</f>
        <v>7.5666666666666674E-2</v>
      </c>
    </row>
    <row r="37" spans="1:10">
      <c r="A37" s="172" t="s">
        <v>712</v>
      </c>
      <c r="B37" s="3" t="s">
        <v>727</v>
      </c>
      <c r="H37" s="3">
        <v>0.88600000000000001</v>
      </c>
      <c r="I37" s="76">
        <f t="shared" si="4"/>
        <v>0.11399999999999999</v>
      </c>
      <c r="J37" s="7">
        <f t="shared" si="5"/>
        <v>7.5666666666666674E-2</v>
      </c>
    </row>
    <row r="38" spans="1:10">
      <c r="A38" s="172" t="s">
        <v>729</v>
      </c>
      <c r="B38" s="166">
        <v>0.6</v>
      </c>
      <c r="H38" s="3"/>
    </row>
    <row r="39" spans="1:10">
      <c r="A39" s="172" t="s">
        <v>718</v>
      </c>
      <c r="B39" s="167">
        <f>B4-(B31*B38)</f>
        <v>1.3207799999999995E-2</v>
      </c>
    </row>
    <row r="40" spans="1:10">
      <c r="A40" s="172" t="s">
        <v>187</v>
      </c>
      <c r="B40" s="3">
        <f>B39*(1-B16)*B13+B30*B14</f>
        <v>5.8051181214850194E-2</v>
      </c>
    </row>
  </sheetData>
  <mergeCells count="1">
    <mergeCell ref="B1:J1"/>
  </mergeCells>
  <hyperlinks>
    <hyperlink ref="H4" r:id="rId1"/>
    <hyperlink ref="H7" r:id="rId2"/>
    <hyperlink ref="H8" r:id="rId3"/>
    <hyperlink ref="H9" r:id="rId4"/>
  </hyperlinks>
  <pageMargins left="0.7" right="0.7" top="0.75" bottom="0.75" header="0.3" footer="0.3"/>
  <drawing r:id="rId5"/>
  <legacy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A1:Y105"/>
  <sheetViews>
    <sheetView showGridLines="0" zoomScale="96" zoomScaleNormal="96" workbookViewId="0">
      <selection activeCell="C55" activeCellId="2" sqref="C46:H46 C50:H50 C55:H55"/>
    </sheetView>
  </sheetViews>
  <sheetFormatPr baseColWidth="10" defaultColWidth="9" defaultRowHeight="15.75"/>
  <cols>
    <col min="1" max="1" width="11.875" bestFit="1" customWidth="1"/>
    <col min="2" max="2" width="19.75" bestFit="1" customWidth="1"/>
    <col min="3" max="3" width="13.75" bestFit="1" customWidth="1"/>
    <col min="4" max="4" width="11.375" bestFit="1" customWidth="1"/>
    <col min="5" max="5" width="23.875" customWidth="1"/>
    <col min="6" max="6" width="17.75" customWidth="1"/>
    <col min="7" max="7" width="18.875" customWidth="1"/>
    <col min="8" max="8" width="13.75" bestFit="1" customWidth="1"/>
    <col min="9" max="9" width="20.5" bestFit="1" customWidth="1"/>
    <col min="10" max="10" width="13.5" bestFit="1" customWidth="1"/>
    <col min="11" max="11" width="12.375" customWidth="1"/>
    <col min="12" max="13" width="18.875" customWidth="1"/>
    <col min="14" max="14" width="13.75" bestFit="1" customWidth="1"/>
    <col min="15" max="15" width="11.375" bestFit="1" customWidth="1"/>
    <col min="16" max="16" width="23.875" bestFit="1" customWidth="1"/>
    <col min="17" max="18" width="16.75" bestFit="1" customWidth="1"/>
    <col min="19" max="23" width="20.25" bestFit="1" customWidth="1"/>
    <col min="25" max="25" width="12.375" customWidth="1"/>
  </cols>
  <sheetData>
    <row r="1" spans="1:25">
      <c r="C1" s="680" t="s">
        <v>1325</v>
      </c>
      <c r="D1" s="680"/>
      <c r="E1" s="680"/>
      <c r="F1" s="680"/>
      <c r="G1" s="680"/>
      <c r="H1" s="680"/>
      <c r="I1" s="680"/>
      <c r="J1" s="680"/>
      <c r="K1" s="680"/>
      <c r="L1" s="680"/>
      <c r="M1" s="680"/>
      <c r="N1" s="680"/>
      <c r="O1" s="680"/>
      <c r="P1" s="680"/>
      <c r="Q1" s="680"/>
      <c r="R1" s="680"/>
      <c r="S1" s="680"/>
    </row>
    <row r="2" spans="1:25">
      <c r="C2" s="680"/>
      <c r="D2" s="680"/>
      <c r="E2" s="680"/>
      <c r="F2" s="680"/>
      <c r="G2" s="680"/>
      <c r="H2" s="680"/>
      <c r="I2" s="680"/>
      <c r="J2" s="680"/>
      <c r="K2" s="680"/>
      <c r="L2" s="680"/>
      <c r="M2" s="680"/>
      <c r="N2" s="680"/>
      <c r="O2" s="680"/>
      <c r="P2" s="680"/>
      <c r="Q2" s="680"/>
      <c r="R2" s="680"/>
      <c r="S2" s="680"/>
    </row>
    <row r="3" spans="1:25">
      <c r="C3" s="680"/>
      <c r="D3" s="680"/>
      <c r="E3" s="680"/>
      <c r="F3" s="680"/>
      <c r="G3" s="680"/>
      <c r="H3" s="680"/>
      <c r="I3" s="680"/>
      <c r="J3" s="680"/>
      <c r="K3" s="680"/>
      <c r="L3" s="680"/>
      <c r="M3" s="680"/>
      <c r="N3" s="680"/>
      <c r="O3" s="680"/>
      <c r="P3" s="680"/>
      <c r="Q3" s="680"/>
      <c r="R3" s="680"/>
      <c r="S3" s="680"/>
    </row>
    <row r="4" spans="1:25">
      <c r="C4" s="193">
        <v>2013</v>
      </c>
      <c r="D4" s="193" t="s">
        <v>732</v>
      </c>
      <c r="E4" s="193"/>
      <c r="F4" s="193"/>
      <c r="G4" s="193"/>
      <c r="H4" s="193"/>
      <c r="I4" s="193" t="s">
        <v>731</v>
      </c>
      <c r="J4" s="193"/>
      <c r="K4" s="193"/>
      <c r="L4" s="193"/>
      <c r="M4" s="177"/>
      <c r="N4" s="193" t="s">
        <v>730</v>
      </c>
      <c r="O4" s="193"/>
      <c r="P4" s="193"/>
      <c r="Q4" s="193"/>
      <c r="R4" s="193"/>
      <c r="S4" s="193"/>
      <c r="T4" s="193"/>
    </row>
    <row r="5" spans="1:25" ht="47.25">
      <c r="A5" s="177" t="s">
        <v>743</v>
      </c>
      <c r="B5" s="177" t="s">
        <v>721</v>
      </c>
      <c r="C5" s="177" t="s">
        <v>806</v>
      </c>
      <c r="D5" s="177" t="s">
        <v>85</v>
      </c>
      <c r="E5" s="177" t="s">
        <v>704</v>
      </c>
      <c r="F5" s="177" t="s">
        <v>1326</v>
      </c>
      <c r="G5" s="177" t="s">
        <v>744</v>
      </c>
      <c r="H5" s="177" t="s">
        <v>1327</v>
      </c>
      <c r="I5" s="177" t="s">
        <v>85</v>
      </c>
      <c r="J5" s="177" t="s">
        <v>704</v>
      </c>
      <c r="K5" s="177" t="s">
        <v>1328</v>
      </c>
      <c r="L5" s="177" t="s">
        <v>736</v>
      </c>
      <c r="M5" s="177" t="s">
        <v>1329</v>
      </c>
      <c r="N5" s="177" t="s">
        <v>1330</v>
      </c>
      <c r="O5" s="177" t="s">
        <v>85</v>
      </c>
      <c r="P5" s="177" t="s">
        <v>704</v>
      </c>
      <c r="Q5" s="177" t="s">
        <v>1331</v>
      </c>
      <c r="R5" s="177" t="s">
        <v>734</v>
      </c>
      <c r="S5" s="177" t="s">
        <v>735</v>
      </c>
      <c r="T5" s="177" t="s">
        <v>1332</v>
      </c>
      <c r="U5" s="177" t="s">
        <v>961</v>
      </c>
      <c r="V5" s="177" t="s">
        <v>1333</v>
      </c>
      <c r="W5" s="177" t="s">
        <v>85</v>
      </c>
      <c r="X5" s="177" t="s">
        <v>704</v>
      </c>
      <c r="Y5" s="351" t="s">
        <v>1334</v>
      </c>
    </row>
    <row r="6" spans="1:25">
      <c r="A6" s="178" t="s">
        <v>55</v>
      </c>
      <c r="B6" s="178" t="s">
        <v>699</v>
      </c>
      <c r="C6" s="188">
        <v>561934</v>
      </c>
      <c r="D6" s="187">
        <v>-0.09</v>
      </c>
      <c r="E6" s="187">
        <v>-0.22</v>
      </c>
      <c r="F6" s="48">
        <f t="shared" ref="F6:F25" si="0">IF(G6&lt;&gt;0,(L6-G6)/G6,0)</f>
        <v>-0.29482577753090045</v>
      </c>
      <c r="G6" s="188">
        <v>565283</v>
      </c>
      <c r="H6" s="24">
        <f>G6/SUM(G$6:G$10)</f>
        <v>0.5690827656260854</v>
      </c>
      <c r="I6" s="24">
        <v>0</v>
      </c>
      <c r="J6" s="24">
        <v>-0.08</v>
      </c>
      <c r="K6" s="48">
        <f t="shared" ref="K6:K25" si="1">IF(L6&lt;&gt;0,(S6-L6)/L6,0)</f>
        <v>-5.9025695958336573E-2</v>
      </c>
      <c r="L6" s="188">
        <v>398623</v>
      </c>
      <c r="M6" s="24">
        <f>L6/SUM(L$6:L$10)</f>
        <v>0.550045604511604</v>
      </c>
      <c r="N6" s="24">
        <f>R6/SUM($R$6:$R$10)</f>
        <v>0.51959267738599302</v>
      </c>
      <c r="O6" s="24">
        <v>-0.06</v>
      </c>
      <c r="P6" s="24">
        <v>-0.17</v>
      </c>
      <c r="Q6" s="48">
        <f t="shared" ref="Q6:Q14" si="2">IF(S6&lt;&gt;0,(R6-S6)/S6,0)</f>
        <v>-0.21644974326435507</v>
      </c>
      <c r="R6" s="188">
        <v>293905</v>
      </c>
      <c r="S6" s="188">
        <v>375094</v>
      </c>
      <c r="T6" s="24">
        <f>S6/SUM(S$6:S$10)</f>
        <v>0.56399006423364684</v>
      </c>
      <c r="U6" s="188">
        <v>285328</v>
      </c>
      <c r="V6" s="24">
        <f>U6/SUM(U$6:U$10)</f>
        <v>0.5441763774722026</v>
      </c>
      <c r="W6" s="24">
        <v>-0.06</v>
      </c>
      <c r="X6" s="24">
        <v>-0.01</v>
      </c>
      <c r="Y6" s="24">
        <f>+U6/R6-1</f>
        <v>-2.9182899236147697E-2</v>
      </c>
    </row>
    <row r="7" spans="1:25">
      <c r="A7" s="178" t="s">
        <v>55</v>
      </c>
      <c r="B7" s="178" t="s">
        <v>700</v>
      </c>
      <c r="C7" s="188">
        <v>327644</v>
      </c>
      <c r="D7" s="187">
        <v>-0.03</v>
      </c>
      <c r="E7" s="187">
        <v>-0.23</v>
      </c>
      <c r="F7" s="48">
        <f t="shared" si="0"/>
        <v>-0.25268287893704816</v>
      </c>
      <c r="G7" s="188">
        <v>366677</v>
      </c>
      <c r="H7" s="24">
        <f>G7/SUM(G$6:G$10)</f>
        <v>0.36914175952837092</v>
      </c>
      <c r="I7" s="24">
        <v>-0.08</v>
      </c>
      <c r="J7" s="24">
        <v>-0.05</v>
      </c>
      <c r="K7" s="48">
        <f t="shared" si="1"/>
        <v>-0.15006349808775873</v>
      </c>
      <c r="L7" s="188">
        <v>274024</v>
      </c>
      <c r="M7" s="24">
        <f t="shared" ref="M7:M10" si="3">L7/SUM(L$6:L$10)</f>
        <v>0.37811590583254795</v>
      </c>
      <c r="N7" s="24">
        <f>R7/SUM($R$6:$R$10)</f>
        <v>0.36113640180678697</v>
      </c>
      <c r="O7" s="24">
        <v>-0.13</v>
      </c>
      <c r="P7" s="24">
        <v>0</v>
      </c>
      <c r="Q7" s="48">
        <f t="shared" si="2"/>
        <v>-0.1229181247128633</v>
      </c>
      <c r="R7" s="188">
        <v>204275</v>
      </c>
      <c r="S7" s="188">
        <v>232903</v>
      </c>
      <c r="T7" s="24">
        <f>S7/SUM(S$6:S$10)</f>
        <v>0.35019215964587291</v>
      </c>
      <c r="U7" s="188">
        <v>184411</v>
      </c>
      <c r="V7" s="24">
        <f t="shared" ref="V7:V10" si="4">U7/SUM(U$6:U$10)</f>
        <v>0.35170789388362289</v>
      </c>
      <c r="W7" s="24">
        <v>-0.11</v>
      </c>
      <c r="X7" s="24">
        <v>0</v>
      </c>
      <c r="Y7" s="24">
        <f t="shared" ref="Y7:Y25" si="5">+U7/R7-1</f>
        <v>-9.7241463713131804E-2</v>
      </c>
    </row>
    <row r="8" spans="1:25">
      <c r="A8" s="178" t="s">
        <v>55</v>
      </c>
      <c r="B8" s="178" t="s">
        <v>701</v>
      </c>
      <c r="C8" s="188">
        <v>16161</v>
      </c>
      <c r="D8" s="187">
        <v>-0.06</v>
      </c>
      <c r="E8" s="187">
        <v>-0.23</v>
      </c>
      <c r="F8" s="48">
        <f t="shared" si="0"/>
        <v>-0.15012393576894062</v>
      </c>
      <c r="G8" s="188">
        <v>18558</v>
      </c>
      <c r="H8" s="24">
        <f>G8/SUM(G$6:G$10)</f>
        <v>1.8682744686270226E-2</v>
      </c>
      <c r="I8" s="24">
        <v>-0.13</v>
      </c>
      <c r="J8" s="24">
        <v>0.01</v>
      </c>
      <c r="K8" s="48">
        <f t="shared" si="1"/>
        <v>-0.16522952066954097</v>
      </c>
      <c r="L8" s="188">
        <v>15772</v>
      </c>
      <c r="M8" s="24">
        <f t="shared" si="3"/>
        <v>2.1763218064078133E-2</v>
      </c>
      <c r="N8" s="24">
        <f>R8/SUM($R$6:$R$10)</f>
        <v>1.991885369799079E-2</v>
      </c>
      <c r="O8" s="24">
        <v>-0.17</v>
      </c>
      <c r="P8" s="24">
        <v>7.0000000000000007E-2</v>
      </c>
      <c r="Q8" s="48">
        <f t="shared" si="2"/>
        <v>-0.1442351511468935</v>
      </c>
      <c r="R8" s="188">
        <v>11267</v>
      </c>
      <c r="S8" s="188">
        <v>13166</v>
      </c>
      <c r="T8" s="24">
        <f>S8/SUM(S$6:S$10)</f>
        <v>1.9796352876079584E-2</v>
      </c>
      <c r="U8" s="188">
        <v>8041</v>
      </c>
      <c r="V8" s="24">
        <f t="shared" si="4"/>
        <v>1.5335761829382259E-2</v>
      </c>
      <c r="W8" s="24">
        <v>-0.14000000000000001</v>
      </c>
      <c r="X8" s="24">
        <v>-0.01</v>
      </c>
      <c r="Y8" s="24">
        <f t="shared" si="5"/>
        <v>-0.28632288985532972</v>
      </c>
    </row>
    <row r="9" spans="1:25">
      <c r="A9" s="178" t="s">
        <v>55</v>
      </c>
      <c r="B9" s="178" t="s">
        <v>703</v>
      </c>
      <c r="C9" s="188">
        <v>119462</v>
      </c>
      <c r="D9" s="187">
        <v>0</v>
      </c>
      <c r="E9" s="187">
        <v>0</v>
      </c>
      <c r="F9" s="48">
        <f t="shared" si="0"/>
        <v>-0.15220184557878752</v>
      </c>
      <c r="G9" s="188">
        <v>42805</v>
      </c>
      <c r="H9" s="24">
        <f>G9/SUM(G$6:G$10)</f>
        <v>4.3092730159273472E-2</v>
      </c>
      <c r="I9" s="24">
        <v>0</v>
      </c>
      <c r="J9" s="24">
        <v>0</v>
      </c>
      <c r="K9" s="48">
        <f t="shared" si="1"/>
        <v>0.21220721961972996</v>
      </c>
      <c r="L9" s="188">
        <v>36290</v>
      </c>
      <c r="M9" s="24">
        <f t="shared" si="3"/>
        <v>5.0075271591769936E-2</v>
      </c>
      <c r="N9" s="24">
        <f>R9/SUM($R$6:$R$10)</f>
        <v>9.9359138682389131E-2</v>
      </c>
      <c r="O9" s="24">
        <v>0</v>
      </c>
      <c r="P9" s="24">
        <v>0</v>
      </c>
      <c r="Q9" s="48">
        <f t="shared" si="2"/>
        <v>0.27757950489872929</v>
      </c>
      <c r="R9" s="188">
        <v>56202</v>
      </c>
      <c r="S9" s="188">
        <v>43991</v>
      </c>
      <c r="T9" s="24">
        <f>S9/SUM(S$6:S$10)</f>
        <v>6.6144718165852726E-2</v>
      </c>
      <c r="U9" s="188">
        <v>46550</v>
      </c>
      <c r="V9" s="24">
        <f t="shared" si="4"/>
        <v>8.8779966814792208E-2</v>
      </c>
      <c r="W9" s="24">
        <v>0</v>
      </c>
      <c r="X9" s="24">
        <v>0</v>
      </c>
      <c r="Y9" s="24">
        <f t="shared" si="5"/>
        <v>-0.17173766058147399</v>
      </c>
    </row>
    <row r="10" spans="1:25">
      <c r="A10" s="178" t="s">
        <v>55</v>
      </c>
      <c r="B10" s="178" t="s">
        <v>702</v>
      </c>
      <c r="C10" s="188"/>
      <c r="D10" s="187">
        <v>0</v>
      </c>
      <c r="E10" s="187">
        <v>0</v>
      </c>
      <c r="F10" s="48">
        <f t="shared" si="0"/>
        <v>0</v>
      </c>
      <c r="G10" s="188">
        <v>0</v>
      </c>
      <c r="H10" s="24">
        <f>G10/SUM(G$6:G$10)</f>
        <v>0</v>
      </c>
      <c r="I10" s="24">
        <v>0</v>
      </c>
      <c r="J10" s="24">
        <v>0</v>
      </c>
      <c r="K10" s="48">
        <f t="shared" si="1"/>
        <v>0</v>
      </c>
      <c r="L10" s="188">
        <v>0</v>
      </c>
      <c r="M10" s="24">
        <f t="shared" si="3"/>
        <v>0</v>
      </c>
      <c r="N10" s="24">
        <f>R10/SUM($R$6:$R$10)</f>
        <v>-7.0715731598440716E-6</v>
      </c>
      <c r="O10" s="24">
        <v>0</v>
      </c>
      <c r="P10" s="24">
        <v>0</v>
      </c>
      <c r="Q10" s="48">
        <f t="shared" si="2"/>
        <v>-0.95121951219512191</v>
      </c>
      <c r="R10" s="188">
        <v>-4</v>
      </c>
      <c r="S10" s="188">
        <v>-82</v>
      </c>
      <c r="T10" s="24">
        <f>S10/SUM(S$6:S$10)</f>
        <v>-1.2329492145211345E-4</v>
      </c>
      <c r="U10" s="188"/>
      <c r="V10" s="24">
        <f t="shared" si="4"/>
        <v>0</v>
      </c>
      <c r="W10" s="24">
        <v>0</v>
      </c>
      <c r="X10" s="24">
        <v>0</v>
      </c>
      <c r="Y10" s="24">
        <f t="shared" si="5"/>
        <v>-1</v>
      </c>
    </row>
    <row r="11" spans="1:25">
      <c r="A11" s="178" t="s">
        <v>610</v>
      </c>
      <c r="B11" s="178" t="s">
        <v>699</v>
      </c>
      <c r="C11" s="188">
        <v>187524</v>
      </c>
      <c r="D11" s="187">
        <v>-0.09</v>
      </c>
      <c r="E11" s="187">
        <v>0.04</v>
      </c>
      <c r="F11" s="48">
        <f t="shared" si="0"/>
        <v>-6.9280363153187155E-2</v>
      </c>
      <c r="G11" s="188">
        <v>193417</v>
      </c>
      <c r="H11" s="24">
        <f>G11/SUM(G$11:G$15)</f>
        <v>0.61354696679397547</v>
      </c>
      <c r="I11" s="187">
        <v>-0.14000000000000001</v>
      </c>
      <c r="J11" s="24">
        <v>0.02</v>
      </c>
      <c r="K11" s="48">
        <f t="shared" si="1"/>
        <v>-9.0019275957270703E-2</v>
      </c>
      <c r="L11" s="188">
        <v>180017</v>
      </c>
      <c r="M11" s="24">
        <f>L11/SUM(L$11:L$15)</f>
        <v>0.63268863763368677</v>
      </c>
      <c r="N11" s="24">
        <f>R11/SUM($R$11:$R$15)</f>
        <v>0.60823583795911773</v>
      </c>
      <c r="O11" s="187">
        <v>0.03</v>
      </c>
      <c r="P11" s="24">
        <v>0</v>
      </c>
      <c r="Q11" s="48">
        <f t="shared" si="2"/>
        <v>-1.2038190120381901E-2</v>
      </c>
      <c r="R11" s="188">
        <v>161840</v>
      </c>
      <c r="S11" s="188">
        <v>163812</v>
      </c>
      <c r="T11" s="24">
        <f>S11/SUM(S$11:S$15)</f>
        <v>0.63913913718635507</v>
      </c>
      <c r="U11" s="188">
        <v>133619</v>
      </c>
      <c r="V11" s="24">
        <f t="shared" ref="V11:V15" si="6">U11/SUM(U$11:U$15)</f>
        <v>0.60235407613105652</v>
      </c>
      <c r="W11" s="187">
        <v>-0.18</v>
      </c>
      <c r="X11" s="24">
        <v>-0.01</v>
      </c>
      <c r="Y11" s="24">
        <f t="shared" si="5"/>
        <v>-0.17437592684132475</v>
      </c>
    </row>
    <row r="12" spans="1:25">
      <c r="A12" s="178" t="s">
        <v>610</v>
      </c>
      <c r="B12" s="178" t="s">
        <v>700</v>
      </c>
      <c r="C12" s="188">
        <v>102335</v>
      </c>
      <c r="D12" s="187">
        <v>-0.12</v>
      </c>
      <c r="E12" s="187">
        <v>-0.04</v>
      </c>
      <c r="F12" s="48">
        <f t="shared" si="0"/>
        <v>-7.7268216920488367E-2</v>
      </c>
      <c r="G12" s="188">
        <v>92716</v>
      </c>
      <c r="H12" s="24">
        <f>G12/SUM(G$11:G$15)</f>
        <v>0.29410869041123699</v>
      </c>
      <c r="I12" s="187">
        <v>-0.03</v>
      </c>
      <c r="J12" s="24">
        <v>-0.04</v>
      </c>
      <c r="K12" s="48">
        <f t="shared" si="1"/>
        <v>-4.7503272863287822E-2</v>
      </c>
      <c r="L12" s="188">
        <v>85552</v>
      </c>
      <c r="M12" s="24">
        <f t="shared" ref="M12:M15" si="7">L12/SUM(L$11:L$15)</f>
        <v>0.30068148189802724</v>
      </c>
      <c r="N12" s="24">
        <f>R12/SUM($R$11:$R$15)</f>
        <v>0.32929070471021982</v>
      </c>
      <c r="O12" s="187">
        <v>0.09</v>
      </c>
      <c r="P12" s="24">
        <v>0</v>
      </c>
      <c r="Q12" s="48">
        <f t="shared" si="2"/>
        <v>7.5225800117808758E-2</v>
      </c>
      <c r="R12" s="188">
        <v>87618</v>
      </c>
      <c r="S12" s="188">
        <v>81488</v>
      </c>
      <c r="T12" s="24">
        <f>S12/SUM(S$11:S$15)</f>
        <v>0.31793867366885031</v>
      </c>
      <c r="U12" s="188">
        <v>63045</v>
      </c>
      <c r="V12" s="24">
        <f t="shared" si="6"/>
        <v>0.28420668265503002</v>
      </c>
      <c r="W12" s="187">
        <v>-0.15</v>
      </c>
      <c r="X12" s="24">
        <v>-7.0000000000000007E-2</v>
      </c>
      <c r="Y12" s="24">
        <f t="shared" si="5"/>
        <v>-0.28045607067041023</v>
      </c>
    </row>
    <row r="13" spans="1:25">
      <c r="A13" s="178" t="s">
        <v>610</v>
      </c>
      <c r="B13" s="178" t="s">
        <v>701</v>
      </c>
      <c r="C13" s="188">
        <v>2256</v>
      </c>
      <c r="D13" s="187">
        <v>0</v>
      </c>
      <c r="E13" s="187">
        <v>0.03</v>
      </c>
      <c r="F13" s="48">
        <f t="shared" si="0"/>
        <v>0.44072249589490969</v>
      </c>
      <c r="G13" s="188">
        <v>3045</v>
      </c>
      <c r="H13" s="24">
        <f>G13/SUM(G$11:G$15)</f>
        <v>9.659184631586961E-3</v>
      </c>
      <c r="I13" s="187">
        <v>-0.05</v>
      </c>
      <c r="J13" s="24">
        <v>-0.03</v>
      </c>
      <c r="K13" s="48">
        <f t="shared" si="1"/>
        <v>-0.1951219512195122</v>
      </c>
      <c r="L13" s="188">
        <v>4387</v>
      </c>
      <c r="M13" s="24">
        <f t="shared" si="7"/>
        <v>1.5418571875428342E-2</v>
      </c>
      <c r="N13" s="24">
        <f>R13/SUM($R$11:$R$15)</f>
        <v>1.4863894829018232E-2</v>
      </c>
      <c r="O13" s="187">
        <v>0.13</v>
      </c>
      <c r="P13" s="187">
        <v>-0.04</v>
      </c>
      <c r="Q13" s="48">
        <f t="shared" si="2"/>
        <v>0.12007929764939111</v>
      </c>
      <c r="R13" s="188">
        <v>3955</v>
      </c>
      <c r="S13" s="188">
        <v>3531</v>
      </c>
      <c r="T13" s="24">
        <f>S13/SUM(S$11:S$15)</f>
        <v>1.3776770281817083E-2</v>
      </c>
      <c r="U13" s="188">
        <v>3859</v>
      </c>
      <c r="V13" s="24">
        <f t="shared" si="6"/>
        <v>1.7396361144670646E-2</v>
      </c>
      <c r="W13" s="187">
        <v>-0.08</v>
      </c>
      <c r="X13" s="187">
        <v>0.01</v>
      </c>
      <c r="Y13" s="24">
        <f t="shared" si="5"/>
        <v>-2.4273072060682632E-2</v>
      </c>
    </row>
    <row r="14" spans="1:25">
      <c r="A14" s="178" t="s">
        <v>610</v>
      </c>
      <c r="B14" s="178" t="s">
        <v>703</v>
      </c>
      <c r="C14" s="188">
        <v>18000</v>
      </c>
      <c r="D14" s="24">
        <v>0</v>
      </c>
      <c r="E14" s="24">
        <v>0</v>
      </c>
      <c r="F14" s="48">
        <f t="shared" si="0"/>
        <v>-0.44099593339983117</v>
      </c>
      <c r="G14" s="188">
        <v>26066</v>
      </c>
      <c r="H14" s="24">
        <f>G14/SUM(G$11:G$15)</f>
        <v>8.2685158163200573E-2</v>
      </c>
      <c r="I14" s="24">
        <v>0</v>
      </c>
      <c r="J14" s="24">
        <v>0</v>
      </c>
      <c r="K14" s="48">
        <f t="shared" si="1"/>
        <v>-0.48733786287831993</v>
      </c>
      <c r="L14" s="188">
        <v>14571</v>
      </c>
      <c r="M14" s="24">
        <f t="shared" si="7"/>
        <v>5.1211308592857621E-2</v>
      </c>
      <c r="N14" s="24">
        <f>R14/SUM($R$11:$R$15)</f>
        <v>4.8331147282218573E-2</v>
      </c>
      <c r="O14" s="187">
        <v>0</v>
      </c>
      <c r="P14" s="187">
        <v>0</v>
      </c>
      <c r="Q14" s="48">
        <f t="shared" si="2"/>
        <v>0.72155287817938418</v>
      </c>
      <c r="R14" s="188">
        <v>12860</v>
      </c>
      <c r="S14" s="188">
        <v>7470</v>
      </c>
      <c r="T14" s="24">
        <f>S14/SUM(S$11:S$15)</f>
        <v>2.9145418862977515E-2</v>
      </c>
      <c r="U14" s="188">
        <v>21513</v>
      </c>
      <c r="V14" s="24">
        <f t="shared" si="6"/>
        <v>9.6980543484140869E-2</v>
      </c>
      <c r="W14" s="187">
        <v>0</v>
      </c>
      <c r="X14" s="187">
        <v>0</v>
      </c>
      <c r="Y14" s="24">
        <f t="shared" si="5"/>
        <v>0.67286158631415249</v>
      </c>
    </row>
    <row r="15" spans="1:25">
      <c r="A15" s="178" t="s">
        <v>610</v>
      </c>
      <c r="B15" s="178" t="s">
        <v>702</v>
      </c>
      <c r="C15" s="188"/>
      <c r="D15" s="24">
        <v>0</v>
      </c>
      <c r="E15" s="24">
        <v>0</v>
      </c>
      <c r="F15" s="48">
        <f t="shared" si="0"/>
        <v>0</v>
      </c>
      <c r="G15" s="188">
        <v>0</v>
      </c>
      <c r="H15" s="24">
        <f>G15/SUM(G$11:G$15)</f>
        <v>0</v>
      </c>
      <c r="I15" s="24">
        <v>0</v>
      </c>
      <c r="J15" s="24">
        <v>0</v>
      </c>
      <c r="K15" s="48">
        <f t="shared" si="1"/>
        <v>0</v>
      </c>
      <c r="L15" s="188">
        <v>0</v>
      </c>
      <c r="M15" s="24">
        <f t="shared" si="7"/>
        <v>0</v>
      </c>
      <c r="N15" s="24">
        <f>R15/SUM($R$11:$R$15)</f>
        <v>-7.2158478057433634E-4</v>
      </c>
      <c r="O15" s="187">
        <v>0</v>
      </c>
      <c r="P15" s="187">
        <v>0</v>
      </c>
      <c r="Q15" s="48">
        <f>IF(S15&lt;&gt;0,(R15-S15)/S15,0)</f>
        <v>0</v>
      </c>
      <c r="R15" s="188">
        <v>-192</v>
      </c>
      <c r="S15" s="188">
        <v>0</v>
      </c>
      <c r="T15" s="24">
        <f>S15/SUM(S$11:S$15)</f>
        <v>0</v>
      </c>
      <c r="U15" s="188">
        <v>-208</v>
      </c>
      <c r="V15" s="24">
        <f t="shared" si="6"/>
        <v>-9.3766341489802906E-4</v>
      </c>
      <c r="W15" s="187">
        <v>0</v>
      </c>
      <c r="X15" s="187">
        <v>0</v>
      </c>
      <c r="Y15" s="24">
        <f t="shared" si="5"/>
        <v>8.3333333333333259E-2</v>
      </c>
    </row>
    <row r="16" spans="1:25">
      <c r="A16" s="178" t="s">
        <v>57</v>
      </c>
      <c r="B16" s="178" t="s">
        <v>699</v>
      </c>
      <c r="C16" s="188">
        <v>112485</v>
      </c>
      <c r="D16" s="24">
        <v>7.0000000000000007E-2</v>
      </c>
      <c r="E16" s="24">
        <v>0.03</v>
      </c>
      <c r="F16" s="48">
        <f t="shared" si="0"/>
        <v>8.1025538887732097E-3</v>
      </c>
      <c r="G16" s="188">
        <v>110459</v>
      </c>
      <c r="H16" s="24">
        <f>G16/SUM(G$16:G$20)</f>
        <v>0.72430706281187907</v>
      </c>
      <c r="I16" s="24">
        <v>-0.12</v>
      </c>
      <c r="J16" s="24">
        <v>-0.05</v>
      </c>
      <c r="K16" s="48">
        <f t="shared" si="1"/>
        <v>-0.12850009878405805</v>
      </c>
      <c r="L16" s="188">
        <v>111354</v>
      </c>
      <c r="M16" s="24">
        <f>L16/SUM(L$16:L$20)</f>
        <v>0.66706603327123182</v>
      </c>
      <c r="N16" s="24">
        <f>R16/SUM($R$16:$R$20)</f>
        <v>0.77002810689938972</v>
      </c>
      <c r="O16" s="187">
        <v>0.03</v>
      </c>
      <c r="P16" s="187">
        <v>-7.0000000000000007E-2</v>
      </c>
      <c r="Q16" s="48">
        <f t="shared" ref="Q16:Q25" si="8">IF(S16&lt;&gt;0,(R16-S16)/S16,0)</f>
        <v>2.1948580555412437E-2</v>
      </c>
      <c r="R16" s="188">
        <v>99175</v>
      </c>
      <c r="S16" s="188">
        <v>97045</v>
      </c>
      <c r="T16" s="24">
        <f>S16/SUM(S$16:S$20)</f>
        <v>0.73226035252927679</v>
      </c>
      <c r="U16" s="188">
        <v>95851</v>
      </c>
      <c r="V16" s="24">
        <f t="shared" ref="V16:V20" si="9">U16/SUM(U$16:U$20)</f>
        <v>0.76815996153229682</v>
      </c>
      <c r="W16" s="187">
        <v>0.01</v>
      </c>
      <c r="X16" s="187">
        <v>0.02</v>
      </c>
      <c r="Y16" s="24">
        <f t="shared" si="5"/>
        <v>-3.3516511217544731E-2</v>
      </c>
    </row>
    <row r="17" spans="1:25">
      <c r="A17" s="178" t="s">
        <v>57</v>
      </c>
      <c r="B17" s="178" t="s">
        <v>700</v>
      </c>
      <c r="C17" s="188">
        <v>20786</v>
      </c>
      <c r="D17" s="24">
        <v>0.14000000000000001</v>
      </c>
      <c r="E17" s="24">
        <v>-0.01</v>
      </c>
      <c r="F17" s="48">
        <f t="shared" si="0"/>
        <v>0.2249673202614379</v>
      </c>
      <c r="G17" s="188">
        <v>15300</v>
      </c>
      <c r="H17" s="24">
        <f>G17/SUM(G$16:G$20)</f>
        <v>0.10032589522829059</v>
      </c>
      <c r="I17" s="24">
        <v>-0.09</v>
      </c>
      <c r="J17" s="24">
        <v>0</v>
      </c>
      <c r="K17" s="48">
        <f t="shared" si="1"/>
        <v>-0.16785828620211291</v>
      </c>
      <c r="L17" s="188">
        <v>18742</v>
      </c>
      <c r="M17" s="24">
        <f t="shared" ref="M17:M20" si="10">L17/SUM(L$16:L$20)</f>
        <v>0.11227393354140333</v>
      </c>
      <c r="N17" s="24">
        <f>R17/SUM($R$16:$R$20)</f>
        <v>0.11262170598009225</v>
      </c>
      <c r="O17" s="187">
        <v>0.11</v>
      </c>
      <c r="P17" s="187">
        <v>-0.14000000000000001</v>
      </c>
      <c r="Q17" s="48">
        <f t="shared" si="8"/>
        <v>-6.9953834316491409E-2</v>
      </c>
      <c r="R17" s="188">
        <v>14505</v>
      </c>
      <c r="S17" s="188">
        <v>15596</v>
      </c>
      <c r="T17" s="24">
        <f>S17/SUM(S$16:S$20)</f>
        <v>0.11768079198358083</v>
      </c>
      <c r="U17" s="188">
        <v>16474</v>
      </c>
      <c r="V17" s="24">
        <f t="shared" si="9"/>
        <v>0.13202436287866645</v>
      </c>
      <c r="W17" s="187">
        <v>0.06</v>
      </c>
      <c r="X17" s="187">
        <v>0.03</v>
      </c>
      <c r="Y17" s="24">
        <f t="shared" si="5"/>
        <v>0.13574629438124775</v>
      </c>
    </row>
    <row r="18" spans="1:25">
      <c r="A18" s="178" t="s">
        <v>57</v>
      </c>
      <c r="B18" s="178" t="s">
        <v>701</v>
      </c>
      <c r="C18" s="188">
        <v>8422</v>
      </c>
      <c r="D18" s="24">
        <v>0.16</v>
      </c>
      <c r="E18" s="24">
        <v>-0.03</v>
      </c>
      <c r="F18" s="48">
        <f t="shared" si="0"/>
        <v>0.92669549625566927</v>
      </c>
      <c r="G18" s="188">
        <v>9481</v>
      </c>
      <c r="H18" s="24">
        <f>G18/SUM(G$16:G$20)</f>
        <v>6.2169268801269481E-2</v>
      </c>
      <c r="I18" s="24">
        <v>0.09</v>
      </c>
      <c r="J18" s="24">
        <v>0.02</v>
      </c>
      <c r="K18" s="48">
        <f t="shared" si="1"/>
        <v>0.22784255761756173</v>
      </c>
      <c r="L18" s="188">
        <v>18267</v>
      </c>
      <c r="M18" s="24">
        <f t="shared" si="10"/>
        <v>0.10942844648387658</v>
      </c>
      <c r="N18" s="24">
        <f>R18/SUM($R$16:$R$20)</f>
        <v>0.13873317079988198</v>
      </c>
      <c r="O18" s="187">
        <v>0.36</v>
      </c>
      <c r="P18" s="187">
        <v>-0.5</v>
      </c>
      <c r="Q18" s="48">
        <f t="shared" si="8"/>
        <v>-0.2033528021757546</v>
      </c>
      <c r="R18" s="188">
        <v>17868</v>
      </c>
      <c r="S18" s="188">
        <v>22429</v>
      </c>
      <c r="T18" s="24">
        <f>S18/SUM(S$16:S$20)</f>
        <v>0.16923970783532535</v>
      </c>
      <c r="U18" s="188">
        <v>14930</v>
      </c>
      <c r="V18" s="24">
        <f t="shared" si="9"/>
        <v>0.11965058502965219</v>
      </c>
      <c r="W18" s="187">
        <v>0.09</v>
      </c>
      <c r="X18" s="187">
        <v>-0.12</v>
      </c>
      <c r="Y18" s="24">
        <f t="shared" si="5"/>
        <v>-0.16442802775912246</v>
      </c>
    </row>
    <row r="19" spans="1:25">
      <c r="A19" s="178" t="s">
        <v>57</v>
      </c>
      <c r="B19" s="178" t="s">
        <v>703</v>
      </c>
      <c r="C19" s="188">
        <v>13126</v>
      </c>
      <c r="D19" s="24">
        <v>0</v>
      </c>
      <c r="E19" s="24">
        <v>0</v>
      </c>
      <c r="F19" s="48">
        <f t="shared" si="0"/>
        <v>7.5595203614667206E-2</v>
      </c>
      <c r="G19" s="188">
        <v>17263</v>
      </c>
      <c r="H19" s="24">
        <f>G19/SUM(G$16:G$20)</f>
        <v>0.11319777315856082</v>
      </c>
      <c r="I19" s="24">
        <v>0</v>
      </c>
      <c r="J19" s="24">
        <v>0</v>
      </c>
      <c r="K19" s="48">
        <f t="shared" si="1"/>
        <v>-0.12214562688496337</v>
      </c>
      <c r="L19" s="188">
        <v>18568</v>
      </c>
      <c r="M19" s="24">
        <f t="shared" si="10"/>
        <v>0.11123158670348826</v>
      </c>
      <c r="N19" s="24">
        <f>R19/SUM($R$16:$R$20)</f>
        <v>0.1343773778281597</v>
      </c>
      <c r="O19" s="187">
        <v>0</v>
      </c>
      <c r="P19" s="187">
        <v>0</v>
      </c>
      <c r="Q19" s="48">
        <f t="shared" si="8"/>
        <v>6.1779141104294479E-2</v>
      </c>
      <c r="R19" s="188">
        <v>17307</v>
      </c>
      <c r="S19" s="188">
        <v>16300</v>
      </c>
      <c r="T19" s="24">
        <f>S19/SUM(S$16:S$20)</f>
        <v>0.12299287697694072</v>
      </c>
      <c r="U19" s="188">
        <v>11832</v>
      </c>
      <c r="V19" s="24">
        <f t="shared" si="9"/>
        <v>9.4822888283378745E-2</v>
      </c>
      <c r="W19" s="187">
        <v>0</v>
      </c>
      <c r="X19" s="187">
        <v>0</v>
      </c>
      <c r="Y19" s="24">
        <f t="shared" si="5"/>
        <v>-0.31634598717282025</v>
      </c>
    </row>
    <row r="20" spans="1:25">
      <c r="A20" s="178" t="s">
        <v>57</v>
      </c>
      <c r="B20" s="178" t="s">
        <v>702</v>
      </c>
      <c r="C20" s="188"/>
      <c r="D20" s="24">
        <v>0</v>
      </c>
      <c r="E20" s="24">
        <v>0</v>
      </c>
      <c r="F20" s="48">
        <f t="shared" si="0"/>
        <v>0</v>
      </c>
      <c r="G20" s="188">
        <v>0</v>
      </c>
      <c r="H20" s="24">
        <f>G20/SUM(G$16:G$20)</f>
        <v>0</v>
      </c>
      <c r="I20" s="24">
        <v>0</v>
      </c>
      <c r="J20" s="24">
        <v>0</v>
      </c>
      <c r="K20" s="48">
        <f t="shared" si="1"/>
        <v>0</v>
      </c>
      <c r="L20" s="188">
        <v>0</v>
      </c>
      <c r="M20" s="24">
        <f t="shared" si="10"/>
        <v>0</v>
      </c>
      <c r="N20" s="24">
        <f>R20/SUM($R$16:$R$20)</f>
        <v>-0.15576036150752365</v>
      </c>
      <c r="O20" s="187">
        <v>0</v>
      </c>
      <c r="P20" s="187">
        <v>0</v>
      </c>
      <c r="Q20" s="48">
        <f t="shared" si="8"/>
        <v>6.4695892155822096E-2</v>
      </c>
      <c r="R20" s="188">
        <v>-20061</v>
      </c>
      <c r="S20" s="188">
        <v>-18842</v>
      </c>
      <c r="T20" s="24">
        <f>S20/SUM(S$16:S$20)</f>
        <v>-0.14217372932512376</v>
      </c>
      <c r="U20" s="188">
        <v>-14307</v>
      </c>
      <c r="V20" s="24">
        <f t="shared" si="9"/>
        <v>-0.11465779772399423</v>
      </c>
      <c r="W20" s="187">
        <v>0</v>
      </c>
      <c r="X20" s="187">
        <v>0</v>
      </c>
      <c r="Y20" s="24">
        <f t="shared" si="5"/>
        <v>-0.2868251831912666</v>
      </c>
    </row>
    <row r="21" spans="1:25">
      <c r="A21" s="178" t="s">
        <v>733</v>
      </c>
      <c r="B21" s="178" t="s">
        <v>699</v>
      </c>
      <c r="C21" s="188">
        <v>233772</v>
      </c>
      <c r="D21" s="24">
        <v>-0.02</v>
      </c>
      <c r="E21" s="24">
        <v>-0.06</v>
      </c>
      <c r="F21" s="48">
        <f t="shared" si="0"/>
        <v>-8.7043040510265943E-2</v>
      </c>
      <c r="G21" s="188">
        <v>227646</v>
      </c>
      <c r="H21" s="24">
        <f>G21/SUM(G$21:G$25)</f>
        <v>0.8634729176149295</v>
      </c>
      <c r="I21" s="24">
        <v>0.1</v>
      </c>
      <c r="J21" s="24">
        <v>-0.12</v>
      </c>
      <c r="K21" s="48">
        <f t="shared" si="1"/>
        <v>9.8402067064104967E-2</v>
      </c>
      <c r="L21" s="188">
        <v>207831</v>
      </c>
      <c r="M21" s="24">
        <f>L21/SUM(L$21:L$25)</f>
        <v>0.82837168332064526</v>
      </c>
      <c r="N21" s="24">
        <f>R21/SUM($R$21:$R$25)</f>
        <v>0.83165333647782125</v>
      </c>
      <c r="O21" s="187">
        <v>0.09</v>
      </c>
      <c r="P21" s="187">
        <v>0</v>
      </c>
      <c r="Q21" s="48">
        <f t="shared" si="8"/>
        <v>-0.10404236864930218</v>
      </c>
      <c r="R21" s="188">
        <v>204531</v>
      </c>
      <c r="S21" s="188">
        <v>228282</v>
      </c>
      <c r="T21" s="24">
        <f>S21/SUM(S$21:S$25)</f>
        <v>0.87322176532466289</v>
      </c>
      <c r="U21" s="188">
        <v>198015</v>
      </c>
      <c r="V21" s="24">
        <f t="shared" ref="V21:V25" si="11">U21/SUM(U$21:U$25)</f>
        <v>0.83413019027680069</v>
      </c>
      <c r="W21" s="187">
        <v>-0.02</v>
      </c>
      <c r="X21" s="187">
        <v>-0.02</v>
      </c>
      <c r="Y21" s="24">
        <f t="shared" si="5"/>
        <v>-3.1858251316426389E-2</v>
      </c>
    </row>
    <row r="22" spans="1:25">
      <c r="A22" s="178" t="s">
        <v>733</v>
      </c>
      <c r="B22" s="178" t="s">
        <v>700</v>
      </c>
      <c r="C22" s="188">
        <v>25089</v>
      </c>
      <c r="D22" s="24">
        <v>0.13</v>
      </c>
      <c r="E22" s="24">
        <v>0</v>
      </c>
      <c r="F22" s="48">
        <f t="shared" si="0"/>
        <v>4.0511462385169249E-2</v>
      </c>
      <c r="G22" s="188">
        <v>24166</v>
      </c>
      <c r="H22" s="24">
        <f>G22/SUM(G$21:G$25)</f>
        <v>9.1662873615536336E-2</v>
      </c>
      <c r="I22" s="24">
        <v>-0.37</v>
      </c>
      <c r="J22" s="24">
        <v>-0.01</v>
      </c>
      <c r="K22" s="48">
        <f t="shared" si="1"/>
        <v>-0.28948101014118116</v>
      </c>
      <c r="L22" s="188">
        <v>25145</v>
      </c>
      <c r="M22" s="24">
        <f t="shared" ref="M22:M25" si="12">L22/SUM(L$21:L$25)</f>
        <v>0.10022280591970219</v>
      </c>
      <c r="N22" s="24">
        <f>R22/SUM($R$21:$R$25)</f>
        <v>9.339535564564333E-2</v>
      </c>
      <c r="O22" s="187">
        <v>0.45</v>
      </c>
      <c r="P22" s="187">
        <v>0.11</v>
      </c>
      <c r="Q22" s="48">
        <f t="shared" si="8"/>
        <v>0.28562632934064702</v>
      </c>
      <c r="R22" s="188">
        <v>22969</v>
      </c>
      <c r="S22" s="188">
        <v>17866</v>
      </c>
      <c r="T22" s="24">
        <f>S22/SUM(S$21:S$25)</f>
        <v>6.8340824328201211E-2</v>
      </c>
      <c r="U22" s="188">
        <v>22682</v>
      </c>
      <c r="V22" s="24">
        <f t="shared" si="11"/>
        <v>9.5547008943051764E-2</v>
      </c>
      <c r="W22" s="187">
        <v>-0.01</v>
      </c>
      <c r="X22" s="187">
        <v>-0.04</v>
      </c>
      <c r="Y22" s="24">
        <f t="shared" si="5"/>
        <v>-1.2495102094126853E-2</v>
      </c>
    </row>
    <row r="23" spans="1:25">
      <c r="A23" s="178" t="s">
        <v>733</v>
      </c>
      <c r="B23" s="178" t="s">
        <v>701</v>
      </c>
      <c r="C23" s="188">
        <v>2847</v>
      </c>
      <c r="D23" s="24">
        <v>0.13</v>
      </c>
      <c r="E23" s="24">
        <v>0.08</v>
      </c>
      <c r="F23" s="48">
        <f t="shared" si="0"/>
        <v>0.22271604938271605</v>
      </c>
      <c r="G23" s="188">
        <v>4050</v>
      </c>
      <c r="H23" s="24">
        <f>G23/SUM(G$21:G$25)</f>
        <v>1.5361857077833409E-2</v>
      </c>
      <c r="I23" s="24">
        <v>-0.66</v>
      </c>
      <c r="J23" s="24">
        <v>-0.1</v>
      </c>
      <c r="K23" s="48">
        <f t="shared" si="1"/>
        <v>-0.56098546042003228</v>
      </c>
      <c r="L23" s="188">
        <v>4952</v>
      </c>
      <c r="M23" s="24">
        <f t="shared" si="12"/>
        <v>1.9737654997588595E-2</v>
      </c>
      <c r="N23" s="24">
        <f>R23/SUM($R$21:$R$25)</f>
        <v>2.2632180309271225E-2</v>
      </c>
      <c r="O23" s="187">
        <v>1.01</v>
      </c>
      <c r="P23" s="187">
        <v>0.16</v>
      </c>
      <c r="Q23" s="48">
        <f t="shared" si="8"/>
        <v>1.5602575896964122</v>
      </c>
      <c r="R23" s="188">
        <v>5566</v>
      </c>
      <c r="S23" s="188">
        <v>2174</v>
      </c>
      <c r="T23" s="24">
        <f>S23/SUM(S$21:S$25)</f>
        <v>8.3159606005546519E-3</v>
      </c>
      <c r="U23" s="188">
        <v>4118</v>
      </c>
      <c r="V23" s="24">
        <f t="shared" si="11"/>
        <v>1.7346908686512969E-2</v>
      </c>
      <c r="W23" s="187">
        <v>-0.23</v>
      </c>
      <c r="X23" s="187">
        <v>-0.09</v>
      </c>
      <c r="Y23" s="24">
        <f t="shared" si="5"/>
        <v>-0.2601509162773985</v>
      </c>
    </row>
    <row r="24" spans="1:25">
      <c r="A24" s="178" t="s">
        <v>733</v>
      </c>
      <c r="B24" s="178" t="s">
        <v>703</v>
      </c>
      <c r="C24" s="188">
        <v>13354</v>
      </c>
      <c r="D24" s="24">
        <v>0</v>
      </c>
      <c r="E24" s="24">
        <v>0</v>
      </c>
      <c r="F24" s="48">
        <f t="shared" si="0"/>
        <v>0.46010397290981064</v>
      </c>
      <c r="G24" s="188">
        <v>20967</v>
      </c>
      <c r="H24" s="24">
        <f>G24/SUM(G$21:G$25)</f>
        <v>7.9528903049613103E-2</v>
      </c>
      <c r="I24" s="24">
        <v>0</v>
      </c>
      <c r="J24" s="24">
        <v>0</v>
      </c>
      <c r="K24" s="48">
        <f t="shared" si="1"/>
        <v>-0.5079375449140916</v>
      </c>
      <c r="L24" s="188">
        <v>30614</v>
      </c>
      <c r="M24" s="24">
        <f t="shared" si="12"/>
        <v>0.12202111673993886</v>
      </c>
      <c r="N24" s="24">
        <f>R24/SUM($R$21:$R$25)</f>
        <v>6.5257610812701025E-2</v>
      </c>
      <c r="O24" s="187">
        <v>0</v>
      </c>
      <c r="P24" s="187">
        <v>0</v>
      </c>
      <c r="Q24" s="48">
        <f t="shared" si="8"/>
        <v>6.5387679235262883E-2</v>
      </c>
      <c r="R24" s="188">
        <v>16049</v>
      </c>
      <c r="S24" s="188">
        <v>15064</v>
      </c>
      <c r="T24" s="24">
        <f>S24/SUM(S$21:S$25)</f>
        <v>5.7622645118102708E-2</v>
      </c>
      <c r="U24" s="188">
        <v>13935</v>
      </c>
      <c r="V24" s="24">
        <f t="shared" si="11"/>
        <v>5.8700624707760614E-2</v>
      </c>
      <c r="W24" s="187">
        <v>0</v>
      </c>
      <c r="X24" s="187">
        <v>0</v>
      </c>
      <c r="Y24" s="24">
        <f t="shared" si="5"/>
        <v>-0.13172160259206178</v>
      </c>
    </row>
    <row r="25" spans="1:25">
      <c r="A25" s="178" t="s">
        <v>733</v>
      </c>
      <c r="B25" s="178" t="s">
        <v>702</v>
      </c>
      <c r="C25" s="188">
        <v>-15081</v>
      </c>
      <c r="D25" s="24">
        <v>0</v>
      </c>
      <c r="E25" s="24">
        <v>0</v>
      </c>
      <c r="F25" s="48">
        <f t="shared" si="0"/>
        <v>0.33831222988854348</v>
      </c>
      <c r="G25" s="188">
        <v>-13189</v>
      </c>
      <c r="H25" s="24">
        <f>G25/SUM(G$21:G$25)</f>
        <v>-5.0026551357912306E-2</v>
      </c>
      <c r="I25" s="24">
        <v>0</v>
      </c>
      <c r="J25" s="24">
        <v>0</v>
      </c>
      <c r="K25" s="48">
        <f t="shared" si="1"/>
        <v>-0.88890147866976377</v>
      </c>
      <c r="L25" s="188">
        <v>-17651</v>
      </c>
      <c r="M25" s="24">
        <f t="shared" si="12"/>
        <v>-7.0353260977874851E-2</v>
      </c>
      <c r="N25" s="24">
        <f>R25/SUM($R$21:$R$25)</f>
        <v>-1.2938483245436765E-2</v>
      </c>
      <c r="O25" s="187">
        <v>0</v>
      </c>
      <c r="P25" s="187">
        <v>0</v>
      </c>
      <c r="Q25" s="48">
        <f t="shared" si="8"/>
        <v>0.62264150943396224</v>
      </c>
      <c r="R25" s="188">
        <v>-3182</v>
      </c>
      <c r="S25" s="188">
        <v>-1961</v>
      </c>
      <c r="T25" s="24">
        <f>S25/SUM(S$21:S$25)</f>
        <v>-7.5011953715214685E-3</v>
      </c>
      <c r="U25" s="188">
        <v>-1359</v>
      </c>
      <c r="V25" s="24">
        <f t="shared" si="11"/>
        <v>-5.7247326141260622E-3</v>
      </c>
      <c r="W25" s="187">
        <v>0</v>
      </c>
      <c r="X25" s="187">
        <v>0</v>
      </c>
      <c r="Y25" s="24">
        <f t="shared" si="5"/>
        <v>-0.57291011942174741</v>
      </c>
    </row>
    <row r="26" spans="1:25">
      <c r="C26" s="4">
        <f>SUM(C6:C25)-'ER Proyectado'!C3</f>
        <v>0</v>
      </c>
      <c r="G26" s="4">
        <f>SUM(G6:G25)-'ER Proyectado'!D3</f>
        <v>0</v>
      </c>
      <c r="L26" s="4">
        <f>SUM(L6:L25)-'ER Proyectado'!E3</f>
        <v>0</v>
      </c>
      <c r="Q26" s="4"/>
      <c r="R26" s="4">
        <f>SUM(R6:R25)-'ER Proyectado'!G3</f>
        <v>0</v>
      </c>
      <c r="S26" s="4">
        <f>SUM(S6:S25)-'ER Proyectado'!F3</f>
        <v>0</v>
      </c>
      <c r="U26" s="4">
        <f>SUM(U6:U25)-'ER Proyectado'!H3</f>
        <v>0</v>
      </c>
    </row>
    <row r="27" spans="1:25" hidden="1">
      <c r="G27" s="4"/>
      <c r="K27" s="4"/>
      <c r="L27" s="4"/>
      <c r="M27" s="7">
        <f>SUMPRODUCT(N21:N25,O21:O25)</f>
        <v>0.13973521243590734</v>
      </c>
    </row>
    <row r="28" spans="1:25" hidden="1">
      <c r="G28" s="4"/>
      <c r="K28" s="4"/>
      <c r="L28" s="4"/>
    </row>
    <row r="29" spans="1:25" hidden="1">
      <c r="F29" s="653" t="s">
        <v>790</v>
      </c>
      <c r="G29" s="653"/>
      <c r="H29" s="653"/>
      <c r="I29" s="653"/>
      <c r="J29" s="653"/>
      <c r="K29" s="4"/>
      <c r="L29" s="4"/>
    </row>
    <row r="30" spans="1:25" hidden="1">
      <c r="A30" s="177" t="s">
        <v>743</v>
      </c>
      <c r="B30" s="177" t="s">
        <v>748</v>
      </c>
      <c r="C30" s="177" t="s">
        <v>745</v>
      </c>
      <c r="D30" s="177" t="s">
        <v>746</v>
      </c>
      <c r="E30" s="177" t="s">
        <v>747</v>
      </c>
      <c r="F30" s="177">
        <v>2</v>
      </c>
      <c r="G30" s="177">
        <v>5</v>
      </c>
      <c r="H30" s="177">
        <v>6</v>
      </c>
      <c r="I30" s="177">
        <v>7</v>
      </c>
      <c r="J30" s="177">
        <v>8</v>
      </c>
    </row>
    <row r="31" spans="1:25" hidden="1">
      <c r="A31" t="s">
        <v>55</v>
      </c>
      <c r="B31" t="s">
        <v>791</v>
      </c>
      <c r="C31">
        <v>-7.4999999999999997E-2</v>
      </c>
      <c r="D31">
        <v>0.315</v>
      </c>
      <c r="E31">
        <v>-0.33</v>
      </c>
      <c r="F31">
        <f>$C31*POWER($F$30,2)+$D31*$F$30+$E$31</f>
        <v>0</v>
      </c>
      <c r="G31">
        <f>$C31*POWER($G$30,2)+$D31*$G$30+$E$31</f>
        <v>-0.63000000000000012</v>
      </c>
      <c r="H31">
        <f>$C31*POWER($H$30,2)+$D31*$H$30+$E$31</f>
        <v>-1.1399999999999997</v>
      </c>
      <c r="I31">
        <f>$C31*POWER($I$30,2)+$D31*$I$30+$E$31</f>
        <v>-1.7999999999999998</v>
      </c>
      <c r="J31">
        <f>$C31*POWER($J$30,2)+$D31*$J$30+$E$31</f>
        <v>-2.61</v>
      </c>
    </row>
    <row r="32" spans="1:25" hidden="1">
      <c r="A32" t="s">
        <v>55</v>
      </c>
      <c r="B32" t="s">
        <v>792</v>
      </c>
      <c r="D32">
        <v>-0.05</v>
      </c>
      <c r="E32">
        <v>0.02</v>
      </c>
      <c r="F32" s="179">
        <f>$C32*POWER($F$30,2)+$D32*$F$30+$E32</f>
        <v>-0.08</v>
      </c>
      <c r="G32">
        <f>$C32*POWER($G$30,2)+$D32*$G$30+$E32</f>
        <v>-0.23</v>
      </c>
      <c r="H32">
        <f>$C32*POWER($H$30,2)+$D32*$H$30+$E32</f>
        <v>-0.28000000000000003</v>
      </c>
      <c r="I32">
        <f>$C32*POWER($I$30,2)+$D32*$I$30+$E32</f>
        <v>-0.33</v>
      </c>
      <c r="J32">
        <f>$C32*POWER($J$30,2)+$D32*$J$30+$E32</f>
        <v>-0.38</v>
      </c>
    </row>
    <row r="33" spans="1:23" hidden="1">
      <c r="A33" t="s">
        <v>55</v>
      </c>
      <c r="B33" t="s">
        <v>793</v>
      </c>
      <c r="C33">
        <v>1.4999999999999999E-2</v>
      </c>
      <c r="D33">
        <v>-0.115</v>
      </c>
      <c r="E33">
        <v>0.04</v>
      </c>
      <c r="F33">
        <f>$C33*POWER($F$30,2)+$D33*$F$30+$E33</f>
        <v>-0.13</v>
      </c>
      <c r="G33">
        <f>$C33*POWER($G$30,2)+$D33*$G$30+$E33</f>
        <v>-0.16000000000000006</v>
      </c>
      <c r="H33">
        <f>$C33*POWER($H$30,2)+$D33*$H$30+$E33</f>
        <v>-0.11000000000000001</v>
      </c>
      <c r="I33">
        <f>$C33*POWER($I$30,2)+$D33*$I$30+$E33</f>
        <v>-3.0000000000000061E-2</v>
      </c>
      <c r="J33">
        <f>$C33*POWER($J$30,2)+$D33*$J$30+$E33</f>
        <v>7.9999999999999932E-2</v>
      </c>
    </row>
    <row r="34" spans="1:23" hidden="1">
      <c r="A34" t="s">
        <v>55</v>
      </c>
      <c r="B34" t="s">
        <v>794</v>
      </c>
      <c r="C34">
        <v>-0.115</v>
      </c>
      <c r="D34">
        <v>0.48499999999999999</v>
      </c>
      <c r="E34">
        <v>-0.59</v>
      </c>
      <c r="F34" s="179">
        <f>$C34*POWER($F$30,2)+$D34*$F$30+$E34</f>
        <v>-7.999999999999996E-2</v>
      </c>
      <c r="G34">
        <f>$C34*POWER($G$30,2)+$D34*$G$30+$E34</f>
        <v>-1.04</v>
      </c>
      <c r="H34">
        <f>$C34*POWER($H$30,2)+$D34*$H$30+$E34</f>
        <v>-1.8200000000000003</v>
      </c>
      <c r="I34">
        <f>$C34*POWER($I$30,2)+$D34*$I$30+$E34</f>
        <v>-2.8300000000000005</v>
      </c>
      <c r="J34">
        <f>$C34*POWER($J$30,2)+$D34*$J$30+$E34</f>
        <v>-4.07</v>
      </c>
    </row>
    <row r="35" spans="1:23" hidden="1">
      <c r="A35" t="s">
        <v>55</v>
      </c>
      <c r="B35" t="s">
        <v>795</v>
      </c>
      <c r="C35">
        <v>-6.5000000000000002E-2</v>
      </c>
      <c r="D35">
        <v>0.375</v>
      </c>
      <c r="E35">
        <v>-0.54</v>
      </c>
      <c r="F35">
        <f>$C35*POWER($F$30,2)+$D35*$F$30+$E35</f>
        <v>-5.0000000000000044E-2</v>
      </c>
      <c r="G35">
        <f>$C35*POWER($G$30,2)+$D35*$G$30+$E35</f>
        <v>-0.29000000000000004</v>
      </c>
      <c r="H35">
        <f>$C35*POWER($H$30,2)+$D35*$H$30+$E35</f>
        <v>-0.62999999999999989</v>
      </c>
      <c r="I35">
        <f>$C35*POWER($I$30,2)+$D35*$I$30+$E35</f>
        <v>-1.1000000000000001</v>
      </c>
      <c r="J35">
        <f>$C35*POWER($J$30,2)+$D35*$J$30+$E35</f>
        <v>-1.7000000000000002</v>
      </c>
    </row>
    <row r="36" spans="1:23" hidden="1">
      <c r="A36" t="s">
        <v>55</v>
      </c>
      <c r="B36" t="s">
        <v>796</v>
      </c>
      <c r="C36">
        <v>-0.09</v>
      </c>
      <c r="D36">
        <v>0.51</v>
      </c>
      <c r="E36">
        <v>-0.65</v>
      </c>
      <c r="F36">
        <f>$C36*POWER($F$30,2)+$D36*$F$30+$E36</f>
        <v>1.0000000000000009E-2</v>
      </c>
      <c r="G36">
        <f>$C36*POWER($G$30,2)+$D36*$G$30+$E36</f>
        <v>-0.3500000000000002</v>
      </c>
      <c r="H36">
        <f>$C36*POWER($H$30,2)+$D36*$H$30+$E36</f>
        <v>-0.82999999999999974</v>
      </c>
      <c r="I36">
        <f>$C36*POWER($I$30,2)+$D36*$I$30+$E36</f>
        <v>-1.4899999999999998</v>
      </c>
      <c r="J36">
        <f>$C36*POWER($J$30,2)+$D36*$J$30+$E36</f>
        <v>-2.3299999999999996</v>
      </c>
    </row>
    <row r="37" spans="1:23" hidden="1">
      <c r="A37" t="s">
        <v>610</v>
      </c>
      <c r="B37">
        <v>1</v>
      </c>
      <c r="C37">
        <v>0.11</v>
      </c>
      <c r="D37">
        <v>-0.38</v>
      </c>
      <c r="E37">
        <v>0.18</v>
      </c>
      <c r="F37">
        <f>$C37*POWER($F$30,2)+$D37*$F$30+$E$31</f>
        <v>-0.65</v>
      </c>
      <c r="G37">
        <f>$C37*POWER($G$30,2)+$D37*$G$30+$E$31</f>
        <v>0.52</v>
      </c>
      <c r="H37">
        <f>$C37*POWER($H$30,2)+$D37*$H$30+$E$31</f>
        <v>1.3499999999999996</v>
      </c>
      <c r="I37">
        <f>$C37*POWER($I$30,2)+$D37*$I$30+$E$31</f>
        <v>2.3999999999999995</v>
      </c>
      <c r="J37">
        <f>$C37*POWER($J$30,2)+$D37*$J$30+$E$31</f>
        <v>3.67</v>
      </c>
    </row>
    <row r="38" spans="1:23" hidden="1">
      <c r="A38" t="s">
        <v>610</v>
      </c>
      <c r="B38">
        <v>2</v>
      </c>
      <c r="C38">
        <v>1.4999999999999999E-2</v>
      </c>
      <c r="D38">
        <v>4.4999999999999998E-2</v>
      </c>
      <c r="E38">
        <v>-0.18</v>
      </c>
      <c r="F38">
        <f>$C38*POWER($F$30,2)+$D38*$F$30+$E38</f>
        <v>-0.03</v>
      </c>
      <c r="G38">
        <f>$C38*POWER($G$30,2)+$D38*$G$30+$E38</f>
        <v>0.42</v>
      </c>
      <c r="H38">
        <f>$C38*POWER($H$30,2)+$D38*$H$30+$E38</f>
        <v>0.63000000000000012</v>
      </c>
      <c r="I38">
        <f>$C38*POWER($I$30,2)+$D38*$I$30+$E38</f>
        <v>0.87000000000000011</v>
      </c>
      <c r="J38">
        <f>$C38*POWER($J$30,2)+$D38*$J$30+$E38</f>
        <v>1.1399999999999999</v>
      </c>
    </row>
    <row r="39" spans="1:23" hidden="1">
      <c r="A39" t="s">
        <v>610</v>
      </c>
      <c r="B39">
        <v>3</v>
      </c>
      <c r="C39">
        <v>0.115</v>
      </c>
      <c r="D39">
        <v>-0.39500000000000002</v>
      </c>
      <c r="E39">
        <v>0.28000000000000003</v>
      </c>
      <c r="F39">
        <f>$C39*POWER($F$30,2)+$D39*$F$30+$E39</f>
        <v>-4.9999999999999989E-2</v>
      </c>
      <c r="G39">
        <f>$C39*POWER($G$30,2)+$D39*$G$30+$E39</f>
        <v>1.18</v>
      </c>
      <c r="H39">
        <f>$C39*POWER($H$30,2)+$D39*$H$30+$E39</f>
        <v>2.0500000000000007</v>
      </c>
      <c r="I39">
        <f>$C39*POWER($I$30,2)+$D39*$I$30+$E39</f>
        <v>3.1500000000000004</v>
      </c>
      <c r="J39">
        <f>$C39*POWER($J$30,2)+$D39*$J$30+$E39</f>
        <v>4.4800000000000004</v>
      </c>
    </row>
    <row r="40" spans="1:23" hidden="1">
      <c r="A40" t="s">
        <v>610</v>
      </c>
      <c r="B40">
        <v>1</v>
      </c>
      <c r="D40">
        <v>-0.2</v>
      </c>
      <c r="E40">
        <v>0.06</v>
      </c>
      <c r="F40">
        <f>$C40*POWER($F$30,2)+$D40*$F$30+$E40</f>
        <v>-0.34</v>
      </c>
      <c r="G40">
        <f>$C40*POWER($G$30,2)+$D40*$G$30+$E40</f>
        <v>-0.94</v>
      </c>
      <c r="H40">
        <f>$C40*POWER($H$30,2)+$D40*$H$30+$E40</f>
        <v>-1.1400000000000001</v>
      </c>
      <c r="I40">
        <f>$C40*POWER($I$30,2)+$D40*$I$30+$E40</f>
        <v>-1.34</v>
      </c>
      <c r="J40">
        <f>$C40*POWER($J$30,2)+$D40*$J$30+$E40</f>
        <v>-1.54</v>
      </c>
    </row>
    <row r="41" spans="1:23" hidden="1">
      <c r="A41" t="s">
        <v>610</v>
      </c>
      <c r="B41">
        <v>2</v>
      </c>
      <c r="C41">
        <v>-0.25</v>
      </c>
      <c r="D41">
        <v>-0.13500000000000001</v>
      </c>
      <c r="E41">
        <v>0.14000000000000001</v>
      </c>
      <c r="F41">
        <f>$C41*POWER($F$30,2)+$D41*$F$30+$E41</f>
        <v>-1.1299999999999999</v>
      </c>
      <c r="G41">
        <f>$C41*POWER($G$30,2)+$D41*$G$30+$E41</f>
        <v>-6.7850000000000001</v>
      </c>
      <c r="H41">
        <f>$C41*POWER($H$30,2)+$D41*$H$30+$E41</f>
        <v>-9.67</v>
      </c>
      <c r="I41">
        <f>$C41*POWER($I$30,2)+$D41*$I$30+$E41</f>
        <v>-13.055</v>
      </c>
      <c r="J41">
        <f>$C41*POWER($J$30,2)+$D41*$J$30+$E41</f>
        <v>-16.939999999999998</v>
      </c>
    </row>
    <row r="42" spans="1:23" hidden="1">
      <c r="A42" t="s">
        <v>610</v>
      </c>
      <c r="B42">
        <v>3</v>
      </c>
      <c r="C42">
        <v>0.02</v>
      </c>
      <c r="D42">
        <v>-0.06</v>
      </c>
      <c r="E42">
        <v>0.18</v>
      </c>
      <c r="F42">
        <f>$C42*POWER($F$30,2)+$D42*$F$30+$E42</f>
        <v>0.14000000000000001</v>
      </c>
      <c r="G42">
        <f>$C42*POWER($G$30,2)+$D42*$G$30+$E42</f>
        <v>0.38</v>
      </c>
      <c r="H42">
        <f>$C42*POWER($H$30,2)+$D42*$H$30+$E42</f>
        <v>0.54</v>
      </c>
      <c r="I42">
        <f>$C42*POWER($I$30,2)+$D42*$I$30+$E42</f>
        <v>0.74</v>
      </c>
      <c r="J42">
        <f>$C42*POWER($J$30,2)+$D42*$J$30+$E42</f>
        <v>0.98</v>
      </c>
    </row>
    <row r="43" spans="1:23">
      <c r="U43" s="50"/>
      <c r="V43" s="50"/>
      <c r="W43" s="141"/>
    </row>
    <row r="44" spans="1:23">
      <c r="A44" s="681" t="s">
        <v>1335</v>
      </c>
      <c r="B44" s="681"/>
      <c r="C44" s="681"/>
      <c r="D44" s="681"/>
      <c r="E44" s="681"/>
      <c r="F44" s="681"/>
      <c r="G44" s="681"/>
      <c r="H44" s="681"/>
      <c r="V44" s="50"/>
      <c r="W44" s="141"/>
    </row>
    <row r="45" spans="1:23">
      <c r="A45" s="681"/>
      <c r="B45" s="681"/>
      <c r="C45" s="681"/>
      <c r="D45" s="681"/>
      <c r="E45" s="681"/>
      <c r="F45" s="681"/>
      <c r="G45" s="681"/>
      <c r="H45" s="681"/>
    </row>
    <row r="46" spans="1:23">
      <c r="A46" s="9" t="s">
        <v>743</v>
      </c>
      <c r="B46" s="9" t="s">
        <v>54</v>
      </c>
      <c r="C46" s="9">
        <v>2013</v>
      </c>
      <c r="D46" s="9">
        <f>+C46+1</f>
        <v>2014</v>
      </c>
      <c r="E46" s="9">
        <f>+D46+1</f>
        <v>2015</v>
      </c>
      <c r="F46" s="9">
        <f>+E46+1</f>
        <v>2016</v>
      </c>
      <c r="G46" s="9">
        <f>+F46+1</f>
        <v>2017</v>
      </c>
      <c r="H46" s="9">
        <f>+G46+1</f>
        <v>2018</v>
      </c>
    </row>
    <row r="47" spans="1:23">
      <c r="A47" s="10" t="s">
        <v>55</v>
      </c>
      <c r="B47" s="10" t="s">
        <v>753</v>
      </c>
      <c r="C47" s="52">
        <v>5.8999999999999997E-2</v>
      </c>
      <c r="D47" s="52">
        <v>4.3999999999999997E-2</v>
      </c>
      <c r="E47" s="52">
        <v>0.03</v>
      </c>
      <c r="F47" s="52">
        <v>1.2999999999999999E-2</v>
      </c>
      <c r="G47" s="52">
        <v>1.7000000000000001E-2</v>
      </c>
      <c r="H47" s="52">
        <v>2.8000000000000001E-2</v>
      </c>
    </row>
    <row r="48" spans="1:23">
      <c r="A48" s="10" t="s">
        <v>55</v>
      </c>
      <c r="B48" s="10" t="s">
        <v>804</v>
      </c>
      <c r="C48" s="52">
        <v>5.3999999999999999E-2</v>
      </c>
      <c r="D48" s="52">
        <v>0.13600000000000001</v>
      </c>
      <c r="E48" s="52">
        <v>7.0000000000000007E-2</v>
      </c>
      <c r="F48" s="52">
        <v>-1.2999999999999999E-2</v>
      </c>
      <c r="G48" s="52">
        <v>4.0000000000000001E-3</v>
      </c>
      <c r="H48" s="52">
        <v>4.2000000000000003E-2</v>
      </c>
    </row>
    <row r="49" spans="1:9">
      <c r="A49" s="10" t="s">
        <v>55</v>
      </c>
      <c r="B49" s="10" t="s">
        <v>803</v>
      </c>
      <c r="C49" s="52">
        <v>1.9400000000000001E-2</v>
      </c>
      <c r="D49" s="52">
        <v>3.6600000000000001E-2</v>
      </c>
      <c r="E49" s="48">
        <v>6.7699999999999996E-2</v>
      </c>
      <c r="F49" s="52">
        <v>5.7500000000000002E-2</v>
      </c>
      <c r="G49" s="52">
        <v>4.0899999999999999E-2</v>
      </c>
      <c r="H49" s="48">
        <v>3.1800000000000002E-2</v>
      </c>
    </row>
    <row r="50" spans="1:9">
      <c r="A50" s="10" t="s">
        <v>55</v>
      </c>
      <c r="B50" s="10" t="s">
        <v>1336</v>
      </c>
      <c r="C50" s="161">
        <v>8.9700000000000002E-2</v>
      </c>
      <c r="D50" s="161">
        <v>0.2417</v>
      </c>
      <c r="E50" s="161">
        <v>0.316</v>
      </c>
      <c r="F50" s="161">
        <v>-4.7E-2</v>
      </c>
      <c r="G50" s="161">
        <v>-5.5999999999999999E-3</v>
      </c>
      <c r="H50" s="161">
        <v>8.9058310991957157E-2</v>
      </c>
    </row>
    <row r="51" spans="1:9">
      <c r="A51" s="10" t="s">
        <v>55</v>
      </c>
      <c r="B51" s="10" t="s">
        <v>805</v>
      </c>
      <c r="C51" s="234">
        <f>SUM($C$6:$C$10)</f>
        <v>1025201</v>
      </c>
      <c r="D51" s="234">
        <f>SUM($G$6:$G$10)</f>
        <v>993323</v>
      </c>
      <c r="E51" s="234">
        <f>SUM($L$6:$L$10)</f>
        <v>724709</v>
      </c>
      <c r="F51" s="234">
        <f>SUM($S$6:$S$10)</f>
        <v>665072</v>
      </c>
      <c r="G51" s="234">
        <f>SUM($R$6:$R$10)</f>
        <v>565645</v>
      </c>
      <c r="H51" s="234">
        <f>SUM($U$6:$U$10)</f>
        <v>524330</v>
      </c>
    </row>
    <row r="52" spans="1:9">
      <c r="A52" s="10" t="s">
        <v>57</v>
      </c>
      <c r="B52" s="10" t="s">
        <v>753</v>
      </c>
      <c r="C52" s="52">
        <v>2.3E-2</v>
      </c>
      <c r="D52" s="52">
        <v>3.5000000000000003E-2</v>
      </c>
      <c r="E52" s="52">
        <v>3.5999999999999997E-2</v>
      </c>
      <c r="F52" s="52">
        <v>4.2000000000000003E-2</v>
      </c>
      <c r="G52" s="52">
        <v>3.4000000000000002E-2</v>
      </c>
      <c r="H52" s="52">
        <v>2.7E-2</v>
      </c>
    </row>
    <row r="53" spans="1:9">
      <c r="A53" s="10" t="s">
        <v>57</v>
      </c>
      <c r="B53" s="10" t="s">
        <v>804</v>
      </c>
      <c r="C53" s="52">
        <v>-9.5000000000000001E-2</v>
      </c>
      <c r="D53" s="52">
        <v>2.1000000000000001E-2</v>
      </c>
      <c r="E53" s="52">
        <v>9.4E-2</v>
      </c>
      <c r="F53" s="52">
        <v>-3.4000000000000002E-2</v>
      </c>
      <c r="G53" s="52">
        <v>-2.1000000000000001E-2</v>
      </c>
      <c r="H53" s="52">
        <v>6.6000000000000003E-2</v>
      </c>
      <c r="I53" s="141"/>
    </row>
    <row r="54" spans="1:9">
      <c r="A54" s="10" t="s">
        <v>57</v>
      </c>
      <c r="B54" s="10" t="s">
        <v>803</v>
      </c>
      <c r="C54" s="235">
        <v>3.6799999999999999E-2</v>
      </c>
      <c r="D54" s="235">
        <v>5.1299999999999998E-2</v>
      </c>
      <c r="E54" s="235">
        <v>-8.0999999999999996E-3</v>
      </c>
      <c r="F54" s="235">
        <v>7.7000000000000002E-3</v>
      </c>
      <c r="G54" s="235">
        <v>2.5700000000000001E-2</v>
      </c>
      <c r="H54" s="235">
        <v>2.0299999999999999E-2</v>
      </c>
    </row>
    <row r="55" spans="1:9">
      <c r="A55" s="10" t="s">
        <v>57</v>
      </c>
      <c r="B55" s="10" t="s">
        <v>1336</v>
      </c>
      <c r="C55" s="161">
        <v>-1.2699999999999999E-2</v>
      </c>
      <c r="D55" s="187">
        <v>7.3999999999999996E-2</v>
      </c>
      <c r="E55" s="161">
        <v>-1.1999999999999999E-3</v>
      </c>
      <c r="F55" s="161">
        <v>2.98E-2</v>
      </c>
      <c r="G55" s="161">
        <v>2.0400000000000001E-2</v>
      </c>
      <c r="H55" s="161">
        <v>6.8400000000000002E-2</v>
      </c>
    </row>
    <row r="56" spans="1:9">
      <c r="A56" s="10" t="s">
        <v>57</v>
      </c>
      <c r="B56" s="10" t="s">
        <v>805</v>
      </c>
      <c r="C56" s="234">
        <f>SUM($C$16:$C$20)</f>
        <v>154819</v>
      </c>
      <c r="D56" s="234">
        <f>SUM($G$16:$G$20)</f>
        <v>152503</v>
      </c>
      <c r="E56" s="234">
        <f>SUM($L$16:$L$20)</f>
        <v>166931</v>
      </c>
      <c r="F56" s="234">
        <f>SUM($S$16:$S$20)</f>
        <v>132528</v>
      </c>
      <c r="G56" s="234">
        <f>SUM($R$16:$R$20)</f>
        <v>128794</v>
      </c>
      <c r="H56" s="234">
        <f>SUM($U$16:$U$20)</f>
        <v>124780</v>
      </c>
    </row>
    <row r="57" spans="1:9">
      <c r="A57" s="10" t="s">
        <v>638</v>
      </c>
      <c r="B57" s="10" t="s">
        <v>753</v>
      </c>
      <c r="C57" s="52">
        <v>3.1E-2</v>
      </c>
      <c r="D57" s="52">
        <v>4.1000000000000002E-2</v>
      </c>
      <c r="E57" s="52">
        <v>0.04</v>
      </c>
      <c r="F57" s="52">
        <v>0.03</v>
      </c>
      <c r="G57" s="52">
        <v>2.9000000000000001E-2</v>
      </c>
      <c r="H57" s="52">
        <v>3.5000000000000003E-2</v>
      </c>
    </row>
    <row r="58" spans="1:9">
      <c r="A58" s="10" t="s">
        <v>638</v>
      </c>
      <c r="B58" s="10" t="s">
        <v>804</v>
      </c>
      <c r="C58" s="52">
        <v>5.0999999999999997E-2</v>
      </c>
      <c r="D58" s="52">
        <v>5.6000000000000001E-2</v>
      </c>
      <c r="E58" s="52">
        <v>3.9E-2</v>
      </c>
      <c r="F58" s="52">
        <v>4.2999999999999997E-2</v>
      </c>
      <c r="G58" s="52">
        <v>5.2999999999999999E-2</v>
      </c>
      <c r="H58" s="52"/>
    </row>
    <row r="59" spans="1:9">
      <c r="A59" s="10" t="s">
        <v>638</v>
      </c>
      <c r="B59" s="10" t="s">
        <v>803</v>
      </c>
      <c r="C59" s="235">
        <v>4.3900000000000002E-2</v>
      </c>
      <c r="D59" s="235">
        <v>2.9499999999999998E-2</v>
      </c>
      <c r="E59" s="235">
        <v>3.0700000000000002E-2</v>
      </c>
      <c r="F59" s="235">
        <v>4.2299999999999997E-2</v>
      </c>
      <c r="G59" s="235">
        <v>5.6800000000000003E-2</v>
      </c>
      <c r="H59" s="235">
        <v>2.3099999999999999E-2</v>
      </c>
    </row>
    <row r="60" spans="1:9">
      <c r="A60" s="10" t="s">
        <v>58</v>
      </c>
      <c r="B60" s="10" t="s">
        <v>805</v>
      </c>
      <c r="C60" s="234">
        <f>SUM($C$21:$C$25)</f>
        <v>259981</v>
      </c>
      <c r="D60" s="234">
        <f>SUM($G$21:$G$25)</f>
        <v>263640</v>
      </c>
      <c r="E60" s="234">
        <f>SUM($L$21:$L$25)</f>
        <v>250891</v>
      </c>
      <c r="F60" s="234">
        <f>SUM($S$21:$S$25)</f>
        <v>261425</v>
      </c>
      <c r="G60" s="234">
        <f>SUM($R$21:$R$25)</f>
        <v>245933</v>
      </c>
      <c r="H60" s="234">
        <f>SUM($U$21:$U$25)</f>
        <v>237391</v>
      </c>
    </row>
    <row r="61" spans="1:9">
      <c r="A61" s="10" t="s">
        <v>644</v>
      </c>
      <c r="B61" s="10" t="s">
        <v>753</v>
      </c>
      <c r="C61" s="52">
        <v>4.9000000000000002E-2</v>
      </c>
      <c r="D61" s="52">
        <v>4.8000000000000001E-2</v>
      </c>
      <c r="E61" s="52">
        <v>4.8000000000000001E-2</v>
      </c>
      <c r="F61" s="52">
        <v>4.7E-2</v>
      </c>
      <c r="G61" s="52">
        <v>4.9000000000000002E-2</v>
      </c>
      <c r="H61" s="52">
        <v>-4.3999999999999997E-2</v>
      </c>
    </row>
    <row r="62" spans="1:9">
      <c r="A62" s="10" t="s">
        <v>644</v>
      </c>
      <c r="B62" s="10" t="s">
        <v>804</v>
      </c>
      <c r="C62" s="52">
        <v>-0.14610000000000001</v>
      </c>
      <c r="D62" s="52">
        <v>0.2903</v>
      </c>
      <c r="E62" s="52">
        <v>0.21310000000000001</v>
      </c>
      <c r="F62" s="52">
        <v>-5.0900000000000001E-2</v>
      </c>
      <c r="G62" s="52">
        <v>4.9399999999999999E-2</v>
      </c>
      <c r="H62" s="52">
        <v>-7.7700000000000005E-2</v>
      </c>
    </row>
    <row r="63" spans="1:9">
      <c r="A63" s="10" t="s">
        <v>644</v>
      </c>
      <c r="B63" s="10" t="s">
        <v>803</v>
      </c>
      <c r="C63" s="235">
        <v>5.67E-2</v>
      </c>
      <c r="D63" s="235">
        <v>6.4799999999999996E-2</v>
      </c>
      <c r="E63" s="235">
        <v>3.0499999999999999E-2</v>
      </c>
      <c r="F63" s="235">
        <v>3.1300000000000001E-2</v>
      </c>
      <c r="G63" s="235">
        <v>5.6800000000000003E-2</v>
      </c>
      <c r="H63" s="235">
        <v>3.8899999999999997E-2</v>
      </c>
    </row>
    <row r="64" spans="1:9">
      <c r="A64" s="10" t="s">
        <v>58</v>
      </c>
      <c r="B64" s="10" t="s">
        <v>805</v>
      </c>
      <c r="C64" s="234">
        <f>SUM($C$21:$C$25)</f>
        <v>259981</v>
      </c>
      <c r="D64" s="234">
        <f>SUM($G$21:$G$25)</f>
        <v>263640</v>
      </c>
      <c r="E64" s="234">
        <f>SUM($L$21:$L$25)</f>
        <v>250891</v>
      </c>
      <c r="F64" s="234">
        <f>SUM($S$21:$S$25)</f>
        <v>261425</v>
      </c>
      <c r="G64" s="234">
        <f>SUM($R$21:$R$25)</f>
        <v>245933</v>
      </c>
      <c r="H64" s="234">
        <f>SUM($U$21:$U$25)</f>
        <v>237391</v>
      </c>
    </row>
    <row r="65" spans="1:23">
      <c r="A65" s="10" t="s">
        <v>610</v>
      </c>
      <c r="B65" s="10" t="s">
        <v>753</v>
      </c>
      <c r="C65" s="52">
        <v>8.4000000000000005E-2</v>
      </c>
      <c r="D65" s="52">
        <v>6.3E-2</v>
      </c>
      <c r="E65" s="52">
        <v>5.2999999999999999E-2</v>
      </c>
      <c r="F65" s="52">
        <v>4.4999999999999998E-2</v>
      </c>
      <c r="G65" s="52">
        <v>4.9000000000000002E-2</v>
      </c>
      <c r="H65" s="52">
        <v>0.04</v>
      </c>
    </row>
    <row r="66" spans="1:23">
      <c r="A66" s="10" t="s">
        <v>610</v>
      </c>
      <c r="B66" s="10" t="s">
        <v>804</v>
      </c>
      <c r="C66" s="52"/>
      <c r="D66" s="52">
        <v>0.21199999999999999</v>
      </c>
      <c r="E66" s="52">
        <v>0.122</v>
      </c>
      <c r="F66" s="52">
        <v>8.4000000000000005E-2</v>
      </c>
      <c r="G66" s="52">
        <v>0.06</v>
      </c>
      <c r="H66" s="52">
        <v>2.1000000000000001E-2</v>
      </c>
    </row>
    <row r="67" spans="1:23">
      <c r="A67" s="10" t="s">
        <v>610</v>
      </c>
      <c r="B67" s="10" t="s">
        <v>803</v>
      </c>
      <c r="C67" s="236">
        <v>3.6999999999999998E-2</v>
      </c>
      <c r="D67" s="236">
        <v>1.9E-2</v>
      </c>
      <c r="E67" s="236">
        <v>0</v>
      </c>
      <c r="F67" s="236">
        <v>1.4999999999999999E-2</v>
      </c>
      <c r="G67" s="236">
        <v>5.0000000000000001E-3</v>
      </c>
      <c r="H67" s="236">
        <v>2E-3</v>
      </c>
    </row>
    <row r="68" spans="1:23">
      <c r="A68" s="10" t="s">
        <v>610</v>
      </c>
      <c r="B68" s="10" t="s">
        <v>805</v>
      </c>
      <c r="C68" s="234">
        <f>SUM($C$11:$C$15)</f>
        <v>310115</v>
      </c>
      <c r="D68" s="234">
        <f>SUM($G$11:$G$15)</f>
        <v>315244</v>
      </c>
      <c r="E68" s="234">
        <f>SUM($L$11:$L$15)</f>
        <v>284527</v>
      </c>
      <c r="F68" s="234">
        <f>SUM($S$11:$S$15)</f>
        <v>256301</v>
      </c>
      <c r="G68" s="234">
        <f>SUM($R$11:$R$15)</f>
        <v>266081</v>
      </c>
      <c r="H68" s="234">
        <f>SUM($U$11:$U$15)</f>
        <v>221828</v>
      </c>
    </row>
    <row r="69" spans="1:23">
      <c r="A69" s="10" t="s">
        <v>58</v>
      </c>
      <c r="B69" s="10" t="s">
        <v>805</v>
      </c>
      <c r="C69" s="234">
        <f>SUM($C$21:$C$25)</f>
        <v>259981</v>
      </c>
      <c r="D69" s="234">
        <f>SUM($G$21:$G$25)</f>
        <v>263640</v>
      </c>
      <c r="E69" s="234">
        <f>SUM($L$21:$L$25)</f>
        <v>250891</v>
      </c>
      <c r="F69" s="234">
        <f>SUM($S$21:$S$25)</f>
        <v>261425</v>
      </c>
      <c r="G69" s="234">
        <f>SUM($R$21:$R$25)</f>
        <v>245933</v>
      </c>
      <c r="H69" s="234">
        <f>SUM($U$21:$U$25)</f>
        <v>237391</v>
      </c>
    </row>
    <row r="70" spans="1:23">
      <c r="A70" s="10" t="s">
        <v>712</v>
      </c>
      <c r="B70" s="10" t="s">
        <v>753</v>
      </c>
      <c r="C70" s="52">
        <v>2.9000000000000001E-2</v>
      </c>
      <c r="D70" s="52">
        <v>8.9999999999999993E-3</v>
      </c>
      <c r="E70" s="52">
        <v>2.4E-2</v>
      </c>
      <c r="F70" s="52">
        <v>3.2000000000000001E-2</v>
      </c>
      <c r="G70" s="52">
        <v>2.4E-2</v>
      </c>
      <c r="H70" s="52">
        <v>2.1000000000000001E-2</v>
      </c>
    </row>
    <row r="71" spans="1:23">
      <c r="A71" s="10" t="s">
        <v>712</v>
      </c>
      <c r="B71" s="10" t="s">
        <v>804</v>
      </c>
      <c r="C71" s="52">
        <v>8.8999999999999996E-2</v>
      </c>
      <c r="D71" s="52">
        <v>-0.152</v>
      </c>
      <c r="E71" s="52">
        <v>6.6000000000000003E-2</v>
      </c>
      <c r="F71" s="52">
        <v>0.10299999999999999</v>
      </c>
      <c r="G71" s="52">
        <v>2.1999999999999999E-2</v>
      </c>
      <c r="H71" s="52">
        <v>4.7E-2</v>
      </c>
    </row>
    <row r="72" spans="1:23">
      <c r="A72" s="10" t="s">
        <v>712</v>
      </c>
      <c r="B72" s="10" t="s">
        <v>803</v>
      </c>
      <c r="C72" s="48">
        <v>7.9000000000000008E-3</v>
      </c>
      <c r="D72" s="48">
        <v>1.0999999999999999E-2</v>
      </c>
      <c r="E72" s="48">
        <v>-7.0000000000000001E-3</v>
      </c>
      <c r="F72" s="48">
        <v>6.0000000000000001E-3</v>
      </c>
      <c r="G72" s="48">
        <v>0.01</v>
      </c>
      <c r="H72" s="48">
        <v>4.0000000000000001E-3</v>
      </c>
    </row>
    <row r="73" spans="1:23">
      <c r="A73" s="10" t="s">
        <v>58</v>
      </c>
      <c r="B73" s="10" t="s">
        <v>805</v>
      </c>
      <c r="C73" s="234">
        <f>SUM($C$21:$C$25)</f>
        <v>259981</v>
      </c>
      <c r="D73" s="234">
        <f>SUM($G$21:$G$25)</f>
        <v>263640</v>
      </c>
      <c r="E73" s="234">
        <f>SUM($L$21:$L$25)</f>
        <v>250891</v>
      </c>
      <c r="F73" s="234">
        <f>SUM($S$21:$S$25)</f>
        <v>261425</v>
      </c>
      <c r="G73" s="234">
        <f>SUM($R$21:$R$25)</f>
        <v>245933</v>
      </c>
      <c r="H73" s="234">
        <f>SUM($U$21:$U$25)</f>
        <v>237391</v>
      </c>
    </row>
    <row r="77" spans="1:23">
      <c r="C77" s="654" t="s">
        <v>1337</v>
      </c>
      <c r="D77" s="654"/>
      <c r="E77" s="654"/>
      <c r="F77" s="654"/>
      <c r="G77" s="654"/>
      <c r="H77" s="654"/>
      <c r="I77" s="329">
        <f>Suspuestos!F14</f>
        <v>-0.08</v>
      </c>
      <c r="J77" s="329">
        <f>Suspuestos!H14</f>
        <v>1.4376837209999261E-2</v>
      </c>
      <c r="K77" s="330">
        <f>Suspuestos!J14</f>
        <v>1.3785850218561213E-2</v>
      </c>
      <c r="L77" s="329">
        <f>Suspuestos!L14</f>
        <v>1.29E-2</v>
      </c>
      <c r="M77" s="329">
        <f>Suspuestos!N14</f>
        <v>2.5000000000000001E-2</v>
      </c>
    </row>
    <row r="78" spans="1:23">
      <c r="C78" s="654"/>
      <c r="D78" s="654"/>
      <c r="E78" s="654"/>
      <c r="F78" s="654"/>
      <c r="G78" s="654"/>
      <c r="H78" s="654"/>
      <c r="I78" s="331">
        <v>0.9</v>
      </c>
      <c r="J78" s="331">
        <v>0.9</v>
      </c>
      <c r="K78" s="331">
        <v>0.9</v>
      </c>
      <c r="L78" s="331">
        <v>0.9</v>
      </c>
      <c r="M78" s="331">
        <v>0.9</v>
      </c>
    </row>
    <row r="79" spans="1:23">
      <c r="A79" s="9" t="s">
        <v>886</v>
      </c>
      <c r="B79" s="9"/>
      <c r="C79" s="9">
        <v>2013</v>
      </c>
      <c r="D79" s="9">
        <v>2014</v>
      </c>
      <c r="E79" s="9">
        <v>2015</v>
      </c>
      <c r="F79" s="9">
        <v>2016</v>
      </c>
      <c r="G79" s="9">
        <v>2017</v>
      </c>
      <c r="H79" s="9">
        <v>2018</v>
      </c>
      <c r="I79" s="322">
        <v>2019</v>
      </c>
      <c r="J79" s="322">
        <v>2020</v>
      </c>
      <c r="K79" s="322">
        <v>2021</v>
      </c>
      <c r="L79" s="322">
        <v>2022</v>
      </c>
      <c r="M79" s="322">
        <v>2023</v>
      </c>
      <c r="N79" s="9" t="s">
        <v>1338</v>
      </c>
      <c r="O79" s="9" t="s">
        <v>1339</v>
      </c>
      <c r="P79" s="9" t="s">
        <v>1340</v>
      </c>
      <c r="Q79" s="9" t="s">
        <v>1341</v>
      </c>
      <c r="R79" s="9" t="s">
        <v>1342</v>
      </c>
      <c r="S79" s="332" t="s">
        <v>1343</v>
      </c>
      <c r="T79" s="332" t="s">
        <v>1344</v>
      </c>
      <c r="U79" s="332" t="s">
        <v>1345</v>
      </c>
      <c r="V79" s="332" t="s">
        <v>1346</v>
      </c>
      <c r="W79" s="332" t="s">
        <v>1347</v>
      </c>
    </row>
    <row r="80" spans="1:23">
      <c r="A80" s="678" t="s">
        <v>885</v>
      </c>
      <c r="B80" s="679"/>
      <c r="C80" s="234">
        <f>7357+6721+3237+7376</f>
        <v>24691</v>
      </c>
      <c r="D80" s="234">
        <f>7910+7074+3497+8671</f>
        <v>27152</v>
      </c>
      <c r="E80" s="234">
        <f>7385+6636+3395+8447</f>
        <v>25863</v>
      </c>
      <c r="F80" s="234">
        <f>7525+6569+3079+7264</f>
        <v>24437</v>
      </c>
      <c r="G80" s="234">
        <f>7133+6241+2908+6985</f>
        <v>23267</v>
      </c>
      <c r="H80" s="234">
        <f>6649+5855+2604+6265</f>
        <v>21373</v>
      </c>
      <c r="I80" s="234">
        <f>H80*(1+(I77*I78))</f>
        <v>19834.144</v>
      </c>
      <c r="J80" s="234">
        <f>I80*(1+(J77*J78))</f>
        <v>20090.781033538915</v>
      </c>
      <c r="K80" s="234">
        <f>J80*(1+(K77*K78))</f>
        <v>20340.052681830966</v>
      </c>
      <c r="L80" s="234">
        <f>K80*(1+(L77*L78))</f>
        <v>20576.200693467021</v>
      </c>
      <c r="M80" s="234">
        <f>L80*(1+(M77*M78))</f>
        <v>21039.165209070026</v>
      </c>
      <c r="N80" s="48">
        <f t="shared" ref="N80:R82" si="13">D80/C80-1</f>
        <v>9.9671945243205995E-2</v>
      </c>
      <c r="O80" s="48">
        <f t="shared" si="13"/>
        <v>-4.7473482616381846E-2</v>
      </c>
      <c r="P80" s="48">
        <f t="shared" si="13"/>
        <v>-5.513668174612385E-2</v>
      </c>
      <c r="Q80" s="48">
        <f t="shared" si="13"/>
        <v>-4.787821745713472E-2</v>
      </c>
      <c r="R80" s="48">
        <f t="shared" si="13"/>
        <v>-8.1402845231443699E-2</v>
      </c>
      <c r="S80" s="48">
        <f t="shared" ref="S80:W82" si="14">I80/H80-1</f>
        <v>-7.1999999999999953E-2</v>
      </c>
      <c r="T80" s="48">
        <f t="shared" si="14"/>
        <v>1.2939153488999322E-2</v>
      </c>
      <c r="U80" s="48">
        <f t="shared" si="14"/>
        <v>1.2407265196705097E-2</v>
      </c>
      <c r="V80" s="48">
        <f t="shared" si="14"/>
        <v>1.1609999999999898E-2</v>
      </c>
      <c r="W80" s="48">
        <f t="shared" si="14"/>
        <v>2.2499999999999964E-2</v>
      </c>
    </row>
    <row r="81" spans="1:23">
      <c r="A81" s="678" t="s">
        <v>35</v>
      </c>
      <c r="B81" s="679"/>
      <c r="C81" s="234">
        <f>'ER Proyectado'!C3</f>
        <v>1750116</v>
      </c>
      <c r="D81" s="234">
        <f>'ER Proyectado'!D3</f>
        <v>1724710</v>
      </c>
      <c r="E81" s="234">
        <f>'ER Proyectado'!E3</f>
        <v>1427058</v>
      </c>
      <c r="F81" s="234">
        <f>'ER Proyectado'!F3</f>
        <v>1315326</v>
      </c>
      <c r="G81" s="234">
        <f>'ER Proyectado'!G3</f>
        <v>1206453</v>
      </c>
      <c r="H81" s="234">
        <f>'ER Proyectado'!H3</f>
        <v>1108329</v>
      </c>
      <c r="I81" s="234">
        <f>'ER Proyectado'!I3</f>
        <v>1019662.6799999999</v>
      </c>
      <c r="J81" s="234">
        <f>'ER Proyectado'!J3</f>
        <v>1034322.2043594714</v>
      </c>
      <c r="K81" s="234">
        <f>'ER Proyectado'!K3</f>
        <v>1048581.2153465031</v>
      </c>
      <c r="L81" s="234">
        <f>'ER Proyectado'!L3</f>
        <v>1062107.913024473</v>
      </c>
      <c r="M81" s="234">
        <f>'ER Proyectado'!M3</f>
        <v>1088660.6108500848</v>
      </c>
      <c r="N81" s="48">
        <f t="shared" si="13"/>
        <v>-1.4516752032436742E-2</v>
      </c>
      <c r="O81" s="48">
        <f t="shared" si="13"/>
        <v>-0.17258089765815698</v>
      </c>
      <c r="P81" s="48">
        <f t="shared" si="13"/>
        <v>-7.8295346089647389E-2</v>
      </c>
      <c r="Q81" s="48">
        <f t="shared" si="13"/>
        <v>-8.27726358332459E-2</v>
      </c>
      <c r="R81" s="48">
        <f t="shared" si="13"/>
        <v>-8.1332633761945106E-2</v>
      </c>
      <c r="S81" s="48">
        <f t="shared" si="14"/>
        <v>-8.0000000000000071E-2</v>
      </c>
      <c r="T81" s="48">
        <f t="shared" si="14"/>
        <v>1.4376837209999271E-2</v>
      </c>
      <c r="U81" s="48">
        <f t="shared" si="14"/>
        <v>1.3785850218561047E-2</v>
      </c>
      <c r="V81" s="48">
        <f t="shared" si="14"/>
        <v>1.2900000000000134E-2</v>
      </c>
      <c r="W81" s="48">
        <f t="shared" si="14"/>
        <v>2.4999999999999911E-2</v>
      </c>
    </row>
    <row r="82" spans="1:23">
      <c r="A82" s="678" t="s">
        <v>887</v>
      </c>
      <c r="B82" s="679"/>
      <c r="C82" s="234">
        <f>C81/C80</f>
        <v>70.880725770523668</v>
      </c>
      <c r="D82" s="234">
        <f t="shared" ref="D82:H82" si="15">D81/D80</f>
        <v>63.520550972304065</v>
      </c>
      <c r="E82" s="234">
        <f t="shared" si="15"/>
        <v>55.177589606774156</v>
      </c>
      <c r="F82" s="234">
        <f t="shared" si="15"/>
        <v>53.825183123951383</v>
      </c>
      <c r="G82" s="302">
        <f t="shared" si="15"/>
        <v>51.85253792925603</v>
      </c>
      <c r="H82" s="302">
        <f t="shared" si="15"/>
        <v>51.85650119309409</v>
      </c>
      <c r="I82" s="302">
        <f>H82*(1+(I77*(1-I78)))</f>
        <v>51.441649183549337</v>
      </c>
      <c r="J82" s="302">
        <f>I82*(1+(J77*(1-J78)))</f>
        <v>51.515606005161914</v>
      </c>
      <c r="K82" s="302">
        <f>J82*(1+(K77*(1-K78)))</f>
        <v>51.586624647992473</v>
      </c>
      <c r="L82" s="302">
        <f>K82*(1+(L77*(1-L78)))</f>
        <v>51.653171393788384</v>
      </c>
      <c r="M82" s="302">
        <f>L82*(1+(M77*(1-M78)))</f>
        <v>51.78230432227285</v>
      </c>
      <c r="N82" s="48">
        <f t="shared" si="13"/>
        <v>-0.1038388746476463</v>
      </c>
      <c r="O82" s="48">
        <f t="shared" si="13"/>
        <v>-0.13134271094669137</v>
      </c>
      <c r="P82" s="48">
        <f t="shared" si="13"/>
        <v>-2.4510068171893051E-2</v>
      </c>
      <c r="Q82" s="48">
        <f t="shared" si="13"/>
        <v>-3.6649112556712438E-2</v>
      </c>
      <c r="R82" s="48">
        <f t="shared" si="13"/>
        <v>7.643336269214096E-5</v>
      </c>
      <c r="S82" s="48">
        <f t="shared" si="14"/>
        <v>-8.0000000000000071E-3</v>
      </c>
      <c r="T82" s="48">
        <f t="shared" si="14"/>
        <v>1.4376837209999493E-3</v>
      </c>
      <c r="U82" s="48">
        <f t="shared" si="14"/>
        <v>1.3785850218561713E-3</v>
      </c>
      <c r="V82" s="48">
        <f t="shared" si="14"/>
        <v>1.2900000000000134E-3</v>
      </c>
      <c r="W82" s="48">
        <f t="shared" si="14"/>
        <v>2.4999999999999467E-3</v>
      </c>
    </row>
    <row r="83" spans="1:23">
      <c r="H83" s="141"/>
      <c r="I83" s="3"/>
      <c r="J83" s="3"/>
      <c r="K83" s="162"/>
      <c r="L83" s="3"/>
      <c r="M83" s="3"/>
    </row>
    <row r="84" spans="1:23">
      <c r="I84" s="76"/>
      <c r="J84" s="141"/>
      <c r="O84" s="3"/>
    </row>
    <row r="85" spans="1:23" hidden="1">
      <c r="A85" s="627" t="s">
        <v>942</v>
      </c>
      <c r="B85" s="627"/>
      <c r="C85" s="627"/>
      <c r="D85" s="627"/>
      <c r="E85" s="627"/>
      <c r="F85" s="627"/>
      <c r="G85" s="627"/>
      <c r="H85" s="627"/>
    </row>
    <row r="86" spans="1:23" hidden="1">
      <c r="A86" s="627"/>
      <c r="B86" s="627"/>
      <c r="C86" s="627"/>
      <c r="D86" s="627"/>
      <c r="E86" s="627"/>
      <c r="F86" s="627"/>
      <c r="G86" s="627"/>
      <c r="H86" s="627"/>
      <c r="I86" s="76"/>
    </row>
    <row r="87" spans="1:23" hidden="1">
      <c r="A87" s="627"/>
      <c r="B87" s="627"/>
      <c r="C87" s="627"/>
      <c r="D87" s="627"/>
      <c r="E87" s="627"/>
      <c r="F87" s="627"/>
      <c r="G87" s="627"/>
      <c r="H87" s="627"/>
    </row>
    <row r="88" spans="1:23" hidden="1">
      <c r="A88" s="627"/>
      <c r="B88" s="627"/>
      <c r="C88" s="627"/>
      <c r="D88" s="627"/>
      <c r="E88" s="627"/>
      <c r="F88" s="627"/>
      <c r="G88" s="627"/>
      <c r="H88" s="627"/>
    </row>
    <row r="89" spans="1:23" hidden="1">
      <c r="A89" s="653" t="s">
        <v>54</v>
      </c>
      <c r="B89" s="653"/>
      <c r="C89" s="9">
        <v>2013</v>
      </c>
      <c r="D89" s="9">
        <v>2014</v>
      </c>
      <c r="E89" s="9">
        <v>2015</v>
      </c>
      <c r="F89" s="9">
        <v>2016</v>
      </c>
      <c r="G89" s="9">
        <v>2017</v>
      </c>
      <c r="H89" s="9">
        <v>2018</v>
      </c>
    </row>
    <row r="90" spans="1:23" ht="15" hidden="1" customHeight="1">
      <c r="A90" s="678" t="s">
        <v>753</v>
      </c>
      <c r="B90" s="678"/>
      <c r="C90" s="22"/>
      <c r="D90" s="161">
        <v>4.3999999999999997E-2</v>
      </c>
      <c r="E90" s="161">
        <v>3.1E-2</v>
      </c>
      <c r="F90" s="187">
        <v>0.02</v>
      </c>
      <c r="G90" s="22">
        <v>1.8</v>
      </c>
      <c r="H90" s="161">
        <v>2.5999999999999999E-2</v>
      </c>
    </row>
    <row r="91" spans="1:23" hidden="1">
      <c r="A91" s="678" t="s">
        <v>894</v>
      </c>
      <c r="B91" s="678"/>
      <c r="C91" s="22"/>
      <c r="D91" s="161">
        <f t="shared" ref="D91:G91" si="16">D93/C93-1</f>
        <v>0.16787439613526578</v>
      </c>
      <c r="E91" s="161">
        <f t="shared" si="16"/>
        <v>0.36366770079282995</v>
      </c>
      <c r="F91" s="161">
        <f t="shared" si="16"/>
        <v>7.6466127401415562E-2</v>
      </c>
      <c r="G91" s="161">
        <f t="shared" si="16"/>
        <v>1.8785957496771921E-3</v>
      </c>
      <c r="H91" s="161">
        <f>H93/G93-1</f>
        <v>-1.3477088948787075E-2</v>
      </c>
    </row>
    <row r="92" spans="1:23" hidden="1">
      <c r="A92" s="678" t="s">
        <v>895</v>
      </c>
      <c r="B92" s="678"/>
      <c r="C92" s="22"/>
      <c r="D92" s="161">
        <f t="shared" ref="D92:H92" si="17">D94/C94-1</f>
        <v>0.12631024745129937</v>
      </c>
      <c r="E92" s="161">
        <f t="shared" si="17"/>
        <v>9.9311575726670043E-2</v>
      </c>
      <c r="F92" s="161">
        <f t="shared" si="17"/>
        <v>-2.3773628667517088E-2</v>
      </c>
      <c r="G92" s="161">
        <f t="shared" si="17"/>
        <v>6.0624059554921894E-2</v>
      </c>
      <c r="H92" s="161">
        <f t="shared" si="17"/>
        <v>-1.8517827142057075E-2</v>
      </c>
      <c r="I92" s="76"/>
    </row>
    <row r="93" spans="1:23" hidden="1">
      <c r="A93" s="678" t="s">
        <v>889</v>
      </c>
      <c r="B93" s="678"/>
      <c r="C93" s="22">
        <v>4968</v>
      </c>
      <c r="D93" s="22">
        <v>5802</v>
      </c>
      <c r="E93" s="22">
        <v>7912</v>
      </c>
      <c r="F93" s="22">
        <v>8517</v>
      </c>
      <c r="G93" s="22">
        <v>8533</v>
      </c>
      <c r="H93" s="188">
        <v>8418</v>
      </c>
      <c r="I93" s="76"/>
    </row>
    <row r="94" spans="1:23" hidden="1">
      <c r="A94" s="678" t="s">
        <v>890</v>
      </c>
      <c r="B94" s="678"/>
      <c r="C94" s="22">
        <f>11524+9369</f>
        <v>20893</v>
      </c>
      <c r="D94" s="22">
        <f>12481+11051</f>
        <v>23532</v>
      </c>
      <c r="E94" s="22">
        <f>14327+11542</f>
        <v>25869</v>
      </c>
      <c r="F94" s="22">
        <f>13981+11273</f>
        <v>25254</v>
      </c>
      <c r="G94" s="22">
        <f>16188+10597</f>
        <v>26785</v>
      </c>
      <c r="H94" s="188">
        <f>16015+10274</f>
        <v>26289</v>
      </c>
    </row>
    <row r="95" spans="1:23" hidden="1">
      <c r="A95" s="678" t="s">
        <v>896</v>
      </c>
      <c r="B95" s="678"/>
      <c r="C95" s="216">
        <f t="shared" ref="C95:H95" si="18">C94/C93</f>
        <v>4.2055152979066026</v>
      </c>
      <c r="D95" s="216">
        <f t="shared" si="18"/>
        <v>4.0558428128231645</v>
      </c>
      <c r="E95" s="216">
        <f t="shared" si="18"/>
        <v>3.2695904954499495</v>
      </c>
      <c r="F95" s="216">
        <f t="shared" si="18"/>
        <v>2.9651285663966185</v>
      </c>
      <c r="G95" s="216">
        <f t="shared" si="18"/>
        <v>3.1389898042892299</v>
      </c>
      <c r="H95" s="216">
        <f t="shared" si="18"/>
        <v>3.122950819672131</v>
      </c>
    </row>
    <row r="96" spans="1:23" hidden="1">
      <c r="A96" s="678" t="s">
        <v>891</v>
      </c>
      <c r="B96" s="678"/>
      <c r="C96" s="234">
        <f>C80</f>
        <v>24691</v>
      </c>
      <c r="D96" s="234">
        <f t="shared" ref="D96:H98" si="19">D80</f>
        <v>27152</v>
      </c>
      <c r="E96" s="234">
        <f t="shared" si="19"/>
        <v>25863</v>
      </c>
      <c r="F96" s="234">
        <f t="shared" si="19"/>
        <v>24437</v>
      </c>
      <c r="G96" s="234">
        <f t="shared" si="19"/>
        <v>23267</v>
      </c>
      <c r="H96" s="234">
        <f t="shared" si="19"/>
        <v>21373</v>
      </c>
    </row>
    <row r="97" spans="1:8" hidden="1">
      <c r="A97" s="678" t="s">
        <v>892</v>
      </c>
      <c r="B97" s="678"/>
      <c r="C97" s="234">
        <f>C81</f>
        <v>1750116</v>
      </c>
      <c r="D97" s="234">
        <f t="shared" si="19"/>
        <v>1724710</v>
      </c>
      <c r="E97" s="234">
        <f t="shared" si="19"/>
        <v>1427058</v>
      </c>
      <c r="F97" s="234">
        <f t="shared" si="19"/>
        <v>1315326</v>
      </c>
      <c r="G97" s="234">
        <f t="shared" si="19"/>
        <v>1206453</v>
      </c>
      <c r="H97" s="234">
        <f t="shared" si="19"/>
        <v>1108329</v>
      </c>
    </row>
    <row r="98" spans="1:8" hidden="1">
      <c r="A98" s="678" t="s">
        <v>893</v>
      </c>
      <c r="B98" s="678"/>
      <c r="C98" s="234">
        <f>C82</f>
        <v>70.880725770523668</v>
      </c>
      <c r="D98" s="234">
        <f t="shared" si="19"/>
        <v>63.520550972304065</v>
      </c>
      <c r="E98" s="234">
        <f t="shared" si="19"/>
        <v>55.177589606774156</v>
      </c>
      <c r="F98" s="234">
        <f t="shared" si="19"/>
        <v>53.825183123951383</v>
      </c>
      <c r="G98" s="234">
        <f t="shared" si="19"/>
        <v>51.85253792925603</v>
      </c>
      <c r="H98" s="234">
        <f t="shared" si="19"/>
        <v>51.85650119309409</v>
      </c>
    </row>
    <row r="99" spans="1:8" hidden="1">
      <c r="A99" s="678" t="s">
        <v>897</v>
      </c>
      <c r="B99" s="678"/>
      <c r="C99" s="234">
        <v>2551</v>
      </c>
      <c r="D99" s="22">
        <v>2403</v>
      </c>
      <c r="E99" s="22">
        <v>2977</v>
      </c>
      <c r="F99" s="22">
        <f>2595</f>
        <v>2595</v>
      </c>
      <c r="G99" s="22">
        <v>2270</v>
      </c>
      <c r="H99" s="188">
        <v>2261</v>
      </c>
    </row>
    <row r="100" spans="1:8" hidden="1">
      <c r="A100" s="678" t="s">
        <v>898</v>
      </c>
      <c r="B100" s="678"/>
      <c r="C100" s="22">
        <f>3422+5386</f>
        <v>8808</v>
      </c>
      <c r="D100" s="22">
        <f>3453+5137</f>
        <v>8590</v>
      </c>
      <c r="E100" s="22">
        <f>6243+3702</f>
        <v>9945</v>
      </c>
      <c r="F100" s="22">
        <f>5055+3222</f>
        <v>8277</v>
      </c>
      <c r="G100" s="22">
        <f>5256+2292</f>
        <v>7548</v>
      </c>
      <c r="H100" s="188">
        <f>5154+2885</f>
        <v>8039</v>
      </c>
    </row>
    <row r="101" spans="1:8" hidden="1">
      <c r="A101" s="678" t="s">
        <v>899</v>
      </c>
      <c r="B101" s="678"/>
      <c r="C101" s="22">
        <v>448</v>
      </c>
      <c r="D101" s="22">
        <v>543</v>
      </c>
      <c r="E101" s="22">
        <v>540</v>
      </c>
      <c r="F101" s="22">
        <v>551</v>
      </c>
      <c r="G101" s="22">
        <v>580</v>
      </c>
      <c r="H101" s="22">
        <v>593</v>
      </c>
    </row>
    <row r="102" spans="1:8" hidden="1">
      <c r="A102" s="678" t="s">
        <v>900</v>
      </c>
      <c r="B102" s="678"/>
      <c r="C102" s="22">
        <f>540+3058</f>
        <v>3598</v>
      </c>
      <c r="D102" s="22">
        <f>516+3251</f>
        <v>3767</v>
      </c>
      <c r="E102" s="22">
        <f>4729+426</f>
        <v>5155</v>
      </c>
      <c r="F102" s="22">
        <f>4951+425</f>
        <v>5376</v>
      </c>
      <c r="G102" s="22">
        <f>5065+444</f>
        <v>5509</v>
      </c>
      <c r="H102" s="22">
        <f>5119+413</f>
        <v>5532</v>
      </c>
    </row>
    <row r="103" spans="1:8" hidden="1">
      <c r="A103" s="678" t="s">
        <v>901</v>
      </c>
      <c r="B103" s="678"/>
      <c r="C103" s="22">
        <f>C101+C99</f>
        <v>2999</v>
      </c>
      <c r="D103" s="22">
        <f t="shared" ref="D103:H103" si="20">D101+D99</f>
        <v>2946</v>
      </c>
      <c r="E103" s="22">
        <f t="shared" si="20"/>
        <v>3517</v>
      </c>
      <c r="F103" s="22">
        <f t="shared" si="20"/>
        <v>3146</v>
      </c>
      <c r="G103" s="22">
        <f t="shared" si="20"/>
        <v>2850</v>
      </c>
      <c r="H103" s="22">
        <f t="shared" si="20"/>
        <v>2854</v>
      </c>
    </row>
    <row r="104" spans="1:8" hidden="1">
      <c r="A104" s="678" t="s">
        <v>902</v>
      </c>
      <c r="B104" s="678"/>
      <c r="C104" s="22">
        <f>C102+C100</f>
        <v>12406</v>
      </c>
      <c r="D104" s="22">
        <f t="shared" ref="D104:H104" si="21">D102+D100</f>
        <v>12357</v>
      </c>
      <c r="E104" s="22">
        <f t="shared" si="21"/>
        <v>15100</v>
      </c>
      <c r="F104" s="22">
        <f t="shared" si="21"/>
        <v>13653</v>
      </c>
      <c r="G104" s="22">
        <f t="shared" si="21"/>
        <v>13057</v>
      </c>
      <c r="H104" s="22">
        <f t="shared" si="21"/>
        <v>13571</v>
      </c>
    </row>
    <row r="105" spans="1:8" hidden="1"/>
  </sheetData>
  <autoFilter ref="A5:S25"/>
  <mergeCells count="24">
    <mergeCell ref="A89:B89"/>
    <mergeCell ref="A82:B82"/>
    <mergeCell ref="C1:S3"/>
    <mergeCell ref="F29:J29"/>
    <mergeCell ref="A44:H45"/>
    <mergeCell ref="A80:B80"/>
    <mergeCell ref="A81:B81"/>
    <mergeCell ref="A85:H88"/>
    <mergeCell ref="C77:H78"/>
    <mergeCell ref="A104:B104"/>
    <mergeCell ref="A90:B90"/>
    <mergeCell ref="A91:B91"/>
    <mergeCell ref="A92:B92"/>
    <mergeCell ref="A93:B93"/>
    <mergeCell ref="A95:B95"/>
    <mergeCell ref="A96:B96"/>
    <mergeCell ref="A97:B97"/>
    <mergeCell ref="A98:B98"/>
    <mergeCell ref="A100:B100"/>
    <mergeCell ref="A101:B101"/>
    <mergeCell ref="A102:B102"/>
    <mergeCell ref="A103:B103"/>
    <mergeCell ref="A99:B99"/>
    <mergeCell ref="A94:B9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sheetPr>
  <dimension ref="A1:X9899"/>
  <sheetViews>
    <sheetView showGridLines="0" zoomScale="80" zoomScaleNormal="80" workbookViewId="0">
      <selection activeCell="B9899" sqref="B9899"/>
    </sheetView>
  </sheetViews>
  <sheetFormatPr baseColWidth="10" defaultColWidth="11" defaultRowHeight="15.75"/>
  <cols>
    <col min="1" max="1" width="29.375" customWidth="1"/>
    <col min="2" max="2" width="40" customWidth="1"/>
    <col min="3" max="3" width="29.5" customWidth="1"/>
    <col min="6" max="7" width="0" hidden="1" customWidth="1"/>
    <col min="8" max="8" width="19.125" hidden="1" customWidth="1"/>
    <col min="9" max="9" width="72.125" hidden="1" customWidth="1"/>
    <col min="10" max="12" width="0" hidden="1" customWidth="1"/>
    <col min="14" max="14" width="12.625" bestFit="1" customWidth="1"/>
    <col min="20" max="20" width="12.875" bestFit="1" customWidth="1"/>
    <col min="23" max="23" width="25.125" hidden="1" customWidth="1"/>
    <col min="24" max="24" width="19.375" hidden="1" customWidth="1"/>
  </cols>
  <sheetData>
    <row r="1" spans="1:24" ht="44.25" customHeight="1">
      <c r="A1" s="682" t="s">
        <v>173</v>
      </c>
      <c r="B1" s="682"/>
      <c r="H1" s="84" t="s">
        <v>64</v>
      </c>
      <c r="I1" t="s">
        <v>938</v>
      </c>
      <c r="N1" s="683" t="s">
        <v>577</v>
      </c>
      <c r="O1" s="683"/>
      <c r="P1" s="683"/>
      <c r="Q1" s="683"/>
      <c r="R1" s="683"/>
      <c r="S1" s="683"/>
      <c r="W1" s="84" t="s">
        <v>64</v>
      </c>
      <c r="X1" t="s">
        <v>925</v>
      </c>
    </row>
    <row r="2" spans="1:24" ht="31.5">
      <c r="A2" s="36" t="s">
        <v>112</v>
      </c>
      <c r="B2" s="37" t="s">
        <v>113</v>
      </c>
      <c r="C2" s="37" t="s">
        <v>64</v>
      </c>
      <c r="D2" s="194" t="s">
        <v>1324</v>
      </c>
      <c r="N2" s="36" t="s">
        <v>573</v>
      </c>
      <c r="O2" s="36" t="s">
        <v>574</v>
      </c>
      <c r="P2" s="36" t="s">
        <v>575</v>
      </c>
      <c r="Q2" s="36" t="s">
        <v>562</v>
      </c>
      <c r="R2" s="36" t="s">
        <v>561</v>
      </c>
      <c r="S2" s="36" t="s">
        <v>576</v>
      </c>
      <c r="T2" s="36" t="s">
        <v>64</v>
      </c>
    </row>
    <row r="3" spans="1:24">
      <c r="A3" s="69">
        <v>33569</v>
      </c>
      <c r="B3" s="32">
        <v>693.32</v>
      </c>
      <c r="C3">
        <f>YEAR(A3)</f>
        <v>1991</v>
      </c>
      <c r="H3" s="84" t="s">
        <v>697</v>
      </c>
      <c r="I3" t="s">
        <v>572</v>
      </c>
      <c r="N3" s="69">
        <v>43395</v>
      </c>
      <c r="O3">
        <v>592.97</v>
      </c>
      <c r="P3">
        <v>591.5</v>
      </c>
      <c r="Q3">
        <v>593.79999999999995</v>
      </c>
      <c r="R3">
        <v>582</v>
      </c>
      <c r="S3" s="3">
        <v>1E-4</v>
      </c>
      <c r="T3">
        <f>YEAR(N3)</f>
        <v>2018</v>
      </c>
      <c r="W3" s="84" t="s">
        <v>570</v>
      </c>
      <c r="X3" t="s">
        <v>578</v>
      </c>
    </row>
    <row r="4" spans="1:24">
      <c r="A4" s="69">
        <v>33570</v>
      </c>
      <c r="B4" s="33">
        <v>693.99</v>
      </c>
      <c r="C4">
        <f t="shared" ref="C4:C67" si="0">YEAR(A4)</f>
        <v>1991</v>
      </c>
      <c r="H4" s="85">
        <v>40909</v>
      </c>
      <c r="I4">
        <v>1942.7</v>
      </c>
      <c r="N4" s="69">
        <v>43394</v>
      </c>
      <c r="O4">
        <v>592.92999999999995</v>
      </c>
      <c r="P4">
        <v>592.92999999999995</v>
      </c>
      <c r="Q4">
        <v>592.92999999999995</v>
      </c>
      <c r="R4">
        <v>592.92999999999995</v>
      </c>
      <c r="S4" s="3">
        <v>-2.0000000000000001E-4</v>
      </c>
      <c r="T4">
        <f t="shared" ref="T4:T67" si="1">YEAR(N4)</f>
        <v>2018</v>
      </c>
      <c r="W4" s="86">
        <v>40808</v>
      </c>
      <c r="X4">
        <v>505.6</v>
      </c>
    </row>
    <row r="5" spans="1:24">
      <c r="A5" s="69">
        <v>33571</v>
      </c>
      <c r="B5" s="32">
        <v>694.7</v>
      </c>
      <c r="C5">
        <f t="shared" si="0"/>
        <v>1991</v>
      </c>
      <c r="H5" s="85">
        <v>40910</v>
      </c>
      <c r="I5">
        <v>1942.7</v>
      </c>
      <c r="N5" s="69">
        <v>43392</v>
      </c>
      <c r="O5">
        <v>593.08000000000004</v>
      </c>
      <c r="P5">
        <v>591.83000000000004</v>
      </c>
      <c r="Q5">
        <v>595.14</v>
      </c>
      <c r="R5">
        <v>589.91999999999996</v>
      </c>
      <c r="S5" s="3">
        <v>0</v>
      </c>
      <c r="T5">
        <f t="shared" si="1"/>
        <v>2018</v>
      </c>
      <c r="W5" s="86">
        <v>40809</v>
      </c>
      <c r="X5">
        <v>510.95</v>
      </c>
    </row>
    <row r="6" spans="1:24">
      <c r="A6" s="69">
        <v>33572</v>
      </c>
      <c r="B6" s="33">
        <v>694.7</v>
      </c>
      <c r="C6">
        <f t="shared" si="0"/>
        <v>1991</v>
      </c>
      <c r="H6" s="85">
        <v>40911</v>
      </c>
      <c r="I6">
        <v>1942.7</v>
      </c>
      <c r="N6" s="69">
        <v>43391</v>
      </c>
      <c r="O6">
        <v>593.08000000000004</v>
      </c>
      <c r="P6">
        <v>592.41999999999996</v>
      </c>
      <c r="Q6">
        <v>593.33000000000004</v>
      </c>
      <c r="R6">
        <v>589.91999999999996</v>
      </c>
      <c r="S6" s="3">
        <v>-4.1000000000000003E-3</v>
      </c>
      <c r="T6">
        <f t="shared" si="1"/>
        <v>2018</v>
      </c>
      <c r="W6" s="86">
        <v>40812</v>
      </c>
      <c r="X6">
        <v>509.7</v>
      </c>
    </row>
    <row r="7" spans="1:24">
      <c r="A7" s="69">
        <v>33573</v>
      </c>
      <c r="B7" s="32">
        <v>643.41999999999996</v>
      </c>
      <c r="C7">
        <f t="shared" si="0"/>
        <v>1991</v>
      </c>
      <c r="H7" s="85">
        <v>40912</v>
      </c>
      <c r="I7">
        <v>1915.02</v>
      </c>
      <c r="N7" s="69">
        <v>43390</v>
      </c>
      <c r="O7">
        <v>595.51</v>
      </c>
      <c r="P7">
        <v>593.70000000000005</v>
      </c>
      <c r="Q7">
        <v>595.51</v>
      </c>
      <c r="R7">
        <v>590.20000000000005</v>
      </c>
      <c r="S7" s="3">
        <v>3.0000000000000001E-3</v>
      </c>
      <c r="T7">
        <f t="shared" si="1"/>
        <v>2018</v>
      </c>
      <c r="W7" s="86">
        <v>40813</v>
      </c>
      <c r="X7">
        <v>511.6</v>
      </c>
    </row>
    <row r="8" spans="1:24">
      <c r="A8" s="69">
        <v>33574</v>
      </c>
      <c r="B8" s="33">
        <v>643.41999999999996</v>
      </c>
      <c r="C8">
        <f t="shared" si="0"/>
        <v>1991</v>
      </c>
      <c r="H8" s="85">
        <v>40913</v>
      </c>
      <c r="I8">
        <v>1898.24</v>
      </c>
      <c r="N8" s="69">
        <v>43389</v>
      </c>
      <c r="O8">
        <v>593.75</v>
      </c>
      <c r="P8">
        <v>594.25</v>
      </c>
      <c r="Q8">
        <v>594.25</v>
      </c>
      <c r="R8">
        <v>590.25</v>
      </c>
      <c r="S8" s="3">
        <v>-4.0000000000000002E-4</v>
      </c>
      <c r="T8">
        <f t="shared" si="1"/>
        <v>2018</v>
      </c>
      <c r="W8" s="86">
        <v>40814</v>
      </c>
      <c r="X8">
        <v>508.6</v>
      </c>
    </row>
    <row r="9" spans="1:24">
      <c r="A9" s="69">
        <v>33575</v>
      </c>
      <c r="B9" s="32">
        <v>639.22</v>
      </c>
      <c r="C9">
        <f t="shared" si="0"/>
        <v>1991</v>
      </c>
      <c r="H9" s="85">
        <v>40914</v>
      </c>
      <c r="I9">
        <v>1884.44</v>
      </c>
      <c r="N9" s="69">
        <v>43388</v>
      </c>
      <c r="O9">
        <v>594</v>
      </c>
      <c r="P9">
        <v>592.70000000000005</v>
      </c>
      <c r="Q9">
        <v>594</v>
      </c>
      <c r="R9">
        <v>591</v>
      </c>
      <c r="S9" s="3">
        <v>0</v>
      </c>
      <c r="T9">
        <f t="shared" si="1"/>
        <v>2018</v>
      </c>
      <c r="W9" s="86">
        <v>40815</v>
      </c>
      <c r="X9">
        <v>508.7</v>
      </c>
    </row>
    <row r="10" spans="1:24">
      <c r="A10" s="69">
        <v>33576</v>
      </c>
      <c r="B10" s="33">
        <v>635.70000000000005</v>
      </c>
      <c r="C10">
        <f t="shared" si="0"/>
        <v>1991</v>
      </c>
      <c r="H10" s="85">
        <v>40915</v>
      </c>
      <c r="I10">
        <v>1884.47</v>
      </c>
      <c r="N10" s="69">
        <v>43387</v>
      </c>
      <c r="O10">
        <v>593.98</v>
      </c>
      <c r="P10">
        <v>593.98</v>
      </c>
      <c r="Q10">
        <v>593.98</v>
      </c>
      <c r="R10">
        <v>593.98</v>
      </c>
      <c r="S10" s="3">
        <v>0</v>
      </c>
      <c r="T10">
        <f t="shared" si="1"/>
        <v>2018</v>
      </c>
      <c r="W10" s="86">
        <v>40816</v>
      </c>
      <c r="X10">
        <v>508.7</v>
      </c>
    </row>
    <row r="11" spans="1:24">
      <c r="A11" s="69">
        <v>33577</v>
      </c>
      <c r="B11" s="32">
        <v>631.51</v>
      </c>
      <c r="C11">
        <f t="shared" si="0"/>
        <v>1991</v>
      </c>
      <c r="H11" s="85">
        <v>40916</v>
      </c>
      <c r="I11">
        <v>1884.47</v>
      </c>
      <c r="N11" s="69">
        <v>43385</v>
      </c>
      <c r="O11">
        <v>594</v>
      </c>
      <c r="P11">
        <v>594.35</v>
      </c>
      <c r="Q11">
        <v>594.35</v>
      </c>
      <c r="R11">
        <v>590.4</v>
      </c>
      <c r="S11" s="3">
        <v>-2.9999999999999997E-4</v>
      </c>
      <c r="T11">
        <f t="shared" si="1"/>
        <v>2018</v>
      </c>
      <c r="W11" s="86">
        <v>40819</v>
      </c>
      <c r="X11">
        <v>510.6</v>
      </c>
    </row>
    <row r="12" spans="1:24">
      <c r="A12" s="69">
        <v>33578</v>
      </c>
      <c r="B12" s="33">
        <v>627.16</v>
      </c>
      <c r="C12">
        <f t="shared" si="0"/>
        <v>1991</v>
      </c>
      <c r="H12" s="85">
        <v>40917</v>
      </c>
      <c r="I12">
        <v>1884.47</v>
      </c>
      <c r="N12" s="69">
        <v>43384</v>
      </c>
      <c r="O12">
        <v>594.16999999999996</v>
      </c>
      <c r="P12">
        <v>592.02</v>
      </c>
      <c r="Q12">
        <v>594.16999999999996</v>
      </c>
      <c r="R12">
        <v>581.62</v>
      </c>
      <c r="S12" s="3">
        <v>3.5000000000000001E-3</v>
      </c>
      <c r="T12">
        <f t="shared" si="1"/>
        <v>2018</v>
      </c>
      <c r="W12" s="86">
        <v>40820</v>
      </c>
      <c r="X12">
        <v>513.20000000000005</v>
      </c>
    </row>
    <row r="13" spans="1:24">
      <c r="A13" s="69">
        <v>33579</v>
      </c>
      <c r="B13" s="32">
        <v>638.05999999999995</v>
      </c>
      <c r="C13">
        <f t="shared" si="0"/>
        <v>1991</v>
      </c>
      <c r="H13" s="85">
        <v>40918</v>
      </c>
      <c r="I13">
        <v>1884.47</v>
      </c>
      <c r="N13" s="69">
        <v>43383</v>
      </c>
      <c r="O13">
        <v>592.1</v>
      </c>
      <c r="P13">
        <v>590.75</v>
      </c>
      <c r="Q13">
        <v>592.1</v>
      </c>
      <c r="R13">
        <v>586.5</v>
      </c>
      <c r="S13" s="3">
        <v>2.8E-3</v>
      </c>
      <c r="T13">
        <f t="shared" si="1"/>
        <v>2018</v>
      </c>
      <c r="W13" s="86">
        <v>40821</v>
      </c>
      <c r="X13">
        <v>513.20000000000005</v>
      </c>
    </row>
    <row r="14" spans="1:24">
      <c r="A14" s="69">
        <v>33580</v>
      </c>
      <c r="B14" s="33">
        <v>638.05999999999995</v>
      </c>
      <c r="C14">
        <f t="shared" si="0"/>
        <v>1991</v>
      </c>
      <c r="H14" s="85">
        <v>40919</v>
      </c>
      <c r="I14">
        <v>1865.07</v>
      </c>
      <c r="N14" s="69">
        <v>43382</v>
      </c>
      <c r="O14">
        <v>590.41999999999996</v>
      </c>
      <c r="P14">
        <v>587.52</v>
      </c>
      <c r="Q14">
        <v>590.41999999999996</v>
      </c>
      <c r="R14">
        <v>577.16999999999996</v>
      </c>
      <c r="S14" s="3">
        <v>7.3000000000000001E-3</v>
      </c>
      <c r="T14">
        <f t="shared" si="1"/>
        <v>2018</v>
      </c>
      <c r="W14" s="86">
        <v>40822</v>
      </c>
      <c r="X14">
        <v>515.70000000000005</v>
      </c>
    </row>
    <row r="15" spans="1:24">
      <c r="A15" s="69">
        <v>33581</v>
      </c>
      <c r="B15" s="32">
        <v>638.05999999999995</v>
      </c>
      <c r="C15">
        <f t="shared" si="0"/>
        <v>1991</v>
      </c>
      <c r="H15" s="85">
        <v>40920</v>
      </c>
      <c r="I15">
        <v>1854.17</v>
      </c>
      <c r="N15" s="69">
        <v>43381</v>
      </c>
      <c r="O15">
        <v>586.16999999999996</v>
      </c>
      <c r="P15">
        <v>587.08000000000004</v>
      </c>
      <c r="Q15">
        <v>590.02</v>
      </c>
      <c r="R15">
        <v>586.16999999999996</v>
      </c>
      <c r="S15" s="3">
        <v>6.3E-3</v>
      </c>
      <c r="T15">
        <f t="shared" si="1"/>
        <v>2018</v>
      </c>
      <c r="W15" s="86">
        <v>40823</v>
      </c>
      <c r="X15">
        <v>515.6</v>
      </c>
    </row>
    <row r="16" spans="1:24">
      <c r="A16" s="69">
        <v>33582</v>
      </c>
      <c r="B16" s="33">
        <v>622.91999999999996</v>
      </c>
      <c r="C16">
        <f t="shared" si="0"/>
        <v>1991</v>
      </c>
      <c r="H16" s="85">
        <v>40921</v>
      </c>
      <c r="I16">
        <v>1842.47</v>
      </c>
      <c r="N16" s="69">
        <v>43380</v>
      </c>
      <c r="O16">
        <v>582.49</v>
      </c>
      <c r="P16">
        <v>582.49</v>
      </c>
      <c r="Q16">
        <v>582.49</v>
      </c>
      <c r="R16">
        <v>582.49</v>
      </c>
      <c r="S16" s="3">
        <v>-7.1000000000000004E-3</v>
      </c>
      <c r="T16">
        <f t="shared" si="1"/>
        <v>2018</v>
      </c>
      <c r="W16" s="86">
        <v>40826</v>
      </c>
      <c r="X16">
        <v>518.20000000000005</v>
      </c>
    </row>
    <row r="17" spans="1:24">
      <c r="A17" s="69">
        <v>33583</v>
      </c>
      <c r="B17" s="32">
        <v>627.46</v>
      </c>
      <c r="C17">
        <f t="shared" si="0"/>
        <v>1991</v>
      </c>
      <c r="H17" s="85">
        <v>40922</v>
      </c>
      <c r="I17">
        <v>1841.31</v>
      </c>
      <c r="N17" s="69">
        <v>43378</v>
      </c>
      <c r="O17">
        <v>586.66999999999996</v>
      </c>
      <c r="P17">
        <v>581.11</v>
      </c>
      <c r="Q17">
        <v>588.59</v>
      </c>
      <c r="R17">
        <v>581.08000000000004</v>
      </c>
      <c r="S17" s="3">
        <v>1.1000000000000001E-3</v>
      </c>
      <c r="T17">
        <f t="shared" si="1"/>
        <v>2018</v>
      </c>
      <c r="W17" s="86">
        <v>40827</v>
      </c>
      <c r="X17">
        <v>513.95000000000005</v>
      </c>
    </row>
    <row r="18" spans="1:24">
      <c r="A18" s="69">
        <v>33584</v>
      </c>
      <c r="B18" s="33">
        <v>633.09</v>
      </c>
      <c r="C18">
        <f t="shared" si="0"/>
        <v>1991</v>
      </c>
      <c r="H18" s="85">
        <v>40923</v>
      </c>
      <c r="I18">
        <v>1841.31</v>
      </c>
      <c r="N18" s="69">
        <v>43377</v>
      </c>
      <c r="O18">
        <v>586</v>
      </c>
      <c r="P18">
        <v>587</v>
      </c>
      <c r="Q18">
        <v>591.34</v>
      </c>
      <c r="R18">
        <v>584.02</v>
      </c>
      <c r="S18" s="3">
        <v>6.0000000000000001E-3</v>
      </c>
      <c r="T18">
        <f t="shared" si="1"/>
        <v>2018</v>
      </c>
      <c r="W18" s="86">
        <v>40828</v>
      </c>
      <c r="X18">
        <v>512.70000000000005</v>
      </c>
    </row>
    <row r="19" spans="1:24">
      <c r="A19" s="69">
        <v>33585</v>
      </c>
      <c r="B19" s="32">
        <v>632.35</v>
      </c>
      <c r="C19">
        <f t="shared" si="0"/>
        <v>1991</v>
      </c>
      <c r="H19" s="85">
        <v>40924</v>
      </c>
      <c r="I19">
        <v>1841.31</v>
      </c>
      <c r="N19" s="69">
        <v>43376</v>
      </c>
      <c r="O19">
        <v>582.5</v>
      </c>
      <c r="P19">
        <v>582.45000000000005</v>
      </c>
      <c r="Q19">
        <v>583</v>
      </c>
      <c r="R19">
        <v>572.5</v>
      </c>
      <c r="S19" s="3">
        <v>0</v>
      </c>
      <c r="T19">
        <f t="shared" si="1"/>
        <v>2018</v>
      </c>
      <c r="W19" s="86">
        <v>40829</v>
      </c>
      <c r="X19">
        <v>510.6</v>
      </c>
    </row>
    <row r="20" spans="1:24">
      <c r="A20" s="69">
        <v>33586</v>
      </c>
      <c r="B20" s="33">
        <v>630.91</v>
      </c>
      <c r="C20">
        <f t="shared" si="0"/>
        <v>1991</v>
      </c>
      <c r="H20" s="85">
        <v>40925</v>
      </c>
      <c r="I20">
        <v>1841.31</v>
      </c>
      <c r="N20" s="69">
        <v>43375</v>
      </c>
      <c r="O20">
        <v>582.48</v>
      </c>
      <c r="P20">
        <v>581.91999999999996</v>
      </c>
      <c r="Q20">
        <v>582.48</v>
      </c>
      <c r="R20">
        <v>573.52</v>
      </c>
      <c r="S20" s="3">
        <v>5.0000000000000001E-4</v>
      </c>
      <c r="T20">
        <f t="shared" si="1"/>
        <v>2018</v>
      </c>
      <c r="W20" s="86">
        <v>40830</v>
      </c>
      <c r="X20">
        <v>510.6</v>
      </c>
    </row>
    <row r="21" spans="1:24">
      <c r="A21" s="69">
        <v>33587</v>
      </c>
      <c r="B21" s="32">
        <v>630.91</v>
      </c>
      <c r="C21">
        <f t="shared" si="0"/>
        <v>1991</v>
      </c>
      <c r="H21" s="85">
        <v>40926</v>
      </c>
      <c r="I21">
        <v>1836.34</v>
      </c>
      <c r="N21" s="69">
        <v>43374</v>
      </c>
      <c r="O21">
        <v>582.20000000000005</v>
      </c>
      <c r="P21">
        <v>578</v>
      </c>
      <c r="Q21">
        <v>582.20000000000005</v>
      </c>
      <c r="R21">
        <v>578</v>
      </c>
      <c r="S21" s="3">
        <v>5.1000000000000004E-3</v>
      </c>
      <c r="T21">
        <f t="shared" si="1"/>
        <v>2018</v>
      </c>
      <c r="W21" s="86">
        <v>40833</v>
      </c>
      <c r="X21">
        <v>510.5</v>
      </c>
    </row>
    <row r="22" spans="1:24">
      <c r="A22" s="69">
        <v>33588</v>
      </c>
      <c r="B22" s="33">
        <v>630.91</v>
      </c>
      <c r="C22">
        <f t="shared" si="0"/>
        <v>1991</v>
      </c>
      <c r="H22" s="85">
        <v>40927</v>
      </c>
      <c r="I22">
        <v>1827.24</v>
      </c>
      <c r="N22" s="69">
        <v>43373</v>
      </c>
      <c r="O22">
        <v>579.26</v>
      </c>
      <c r="P22">
        <v>579.26</v>
      </c>
      <c r="Q22">
        <v>579.26</v>
      </c>
      <c r="R22">
        <v>579.26</v>
      </c>
      <c r="S22" s="3">
        <v>2.9999999999999997E-4</v>
      </c>
      <c r="T22">
        <f t="shared" si="1"/>
        <v>2018</v>
      </c>
      <c r="W22" s="86">
        <v>40834</v>
      </c>
      <c r="X22">
        <v>510.5</v>
      </c>
    </row>
    <row r="23" spans="1:24">
      <c r="A23" s="69">
        <v>33589</v>
      </c>
      <c r="B23" s="32">
        <v>626.23</v>
      </c>
      <c r="C23">
        <f t="shared" si="0"/>
        <v>1991</v>
      </c>
      <c r="H23" s="85">
        <v>40928</v>
      </c>
      <c r="I23">
        <v>1821.86</v>
      </c>
      <c r="N23" s="69">
        <v>43371</v>
      </c>
      <c r="O23">
        <v>579.1</v>
      </c>
      <c r="P23">
        <v>579.1</v>
      </c>
      <c r="Q23">
        <v>585.09</v>
      </c>
      <c r="R23">
        <v>574.9</v>
      </c>
      <c r="S23" s="3">
        <v>1.6999999999999999E-3</v>
      </c>
      <c r="T23">
        <f t="shared" si="1"/>
        <v>2018</v>
      </c>
      <c r="W23" s="86">
        <v>40835</v>
      </c>
      <c r="X23">
        <v>510.5</v>
      </c>
    </row>
    <row r="24" spans="1:24">
      <c r="A24" s="69">
        <v>33590</v>
      </c>
      <c r="B24" s="33">
        <v>626.52</v>
      </c>
      <c r="C24">
        <f t="shared" si="0"/>
        <v>1991</v>
      </c>
      <c r="H24" s="85">
        <v>40929</v>
      </c>
      <c r="I24">
        <v>1828.75</v>
      </c>
      <c r="N24" s="69">
        <v>43370</v>
      </c>
      <c r="O24">
        <v>578.12</v>
      </c>
      <c r="P24">
        <v>580.27</v>
      </c>
      <c r="Q24">
        <v>584.5</v>
      </c>
      <c r="R24">
        <v>576.08000000000004</v>
      </c>
      <c r="S24" s="3">
        <v>0</v>
      </c>
      <c r="T24">
        <f t="shared" si="1"/>
        <v>2018</v>
      </c>
      <c r="W24" s="86">
        <v>40836</v>
      </c>
      <c r="X24">
        <v>510.6</v>
      </c>
    </row>
    <row r="25" spans="1:24">
      <c r="A25" s="69">
        <v>33591</v>
      </c>
      <c r="B25" s="32">
        <v>633.35</v>
      </c>
      <c r="C25">
        <f t="shared" si="0"/>
        <v>1991</v>
      </c>
      <c r="H25" s="85">
        <v>40930</v>
      </c>
      <c r="I25">
        <v>1828.75</v>
      </c>
      <c r="N25" s="69">
        <v>43369</v>
      </c>
      <c r="O25">
        <v>578.1</v>
      </c>
      <c r="P25">
        <v>580.83000000000004</v>
      </c>
      <c r="Q25">
        <v>582.75</v>
      </c>
      <c r="R25">
        <v>576.08000000000004</v>
      </c>
      <c r="S25" s="3">
        <v>-2.2000000000000001E-3</v>
      </c>
      <c r="T25">
        <f t="shared" si="1"/>
        <v>2018</v>
      </c>
      <c r="W25" s="86">
        <v>40837</v>
      </c>
      <c r="X25">
        <v>510.6</v>
      </c>
    </row>
    <row r="26" spans="1:24">
      <c r="A26" s="69">
        <v>33592</v>
      </c>
      <c r="B26" s="33">
        <v>621.71</v>
      </c>
      <c r="C26">
        <f t="shared" si="0"/>
        <v>1991</v>
      </c>
      <c r="H26" s="85">
        <v>40931</v>
      </c>
      <c r="I26">
        <v>1828.75</v>
      </c>
      <c r="N26" s="69">
        <v>43368</v>
      </c>
      <c r="O26">
        <v>579.38</v>
      </c>
      <c r="P26">
        <v>578.38</v>
      </c>
      <c r="Q26">
        <v>579.38</v>
      </c>
      <c r="R26">
        <v>573.62</v>
      </c>
      <c r="S26" s="3">
        <v>8.9999999999999998E-4</v>
      </c>
      <c r="T26">
        <f t="shared" si="1"/>
        <v>2018</v>
      </c>
      <c r="W26" s="86">
        <v>40840</v>
      </c>
      <c r="X26">
        <v>510.7</v>
      </c>
    </row>
    <row r="27" spans="1:24">
      <c r="A27" s="69">
        <v>33593</v>
      </c>
      <c r="B27" s="32">
        <v>620.62</v>
      </c>
      <c r="C27">
        <f t="shared" si="0"/>
        <v>1991</v>
      </c>
      <c r="H27" s="85">
        <v>40932</v>
      </c>
      <c r="I27">
        <v>1811.55</v>
      </c>
      <c r="N27" s="69">
        <v>43367</v>
      </c>
      <c r="O27">
        <v>578.88</v>
      </c>
      <c r="P27">
        <v>579.16999999999996</v>
      </c>
      <c r="Q27">
        <v>581.79</v>
      </c>
      <c r="R27">
        <v>575.12</v>
      </c>
      <c r="S27" s="3">
        <v>8.0000000000000004E-4</v>
      </c>
      <c r="T27">
        <f t="shared" si="1"/>
        <v>2018</v>
      </c>
      <c r="W27" s="86">
        <v>40841</v>
      </c>
      <c r="X27">
        <v>510.7</v>
      </c>
    </row>
    <row r="28" spans="1:24">
      <c r="A28" s="69">
        <v>33594</v>
      </c>
      <c r="B28" s="33">
        <v>620.62</v>
      </c>
      <c r="C28">
        <f t="shared" si="0"/>
        <v>1991</v>
      </c>
      <c r="H28" s="85">
        <v>40933</v>
      </c>
      <c r="I28">
        <v>1814.58</v>
      </c>
      <c r="N28" s="69">
        <v>43366</v>
      </c>
      <c r="O28">
        <v>578.41999999999996</v>
      </c>
      <c r="P28">
        <v>578.41999999999996</v>
      </c>
      <c r="Q28">
        <v>578.41999999999996</v>
      </c>
      <c r="R28">
        <v>578.41999999999996</v>
      </c>
      <c r="S28" s="3">
        <v>-1E-3</v>
      </c>
      <c r="T28">
        <f t="shared" si="1"/>
        <v>2018</v>
      </c>
      <c r="W28" s="86">
        <v>40842</v>
      </c>
      <c r="X28">
        <v>506.6</v>
      </c>
    </row>
    <row r="29" spans="1:24">
      <c r="A29" s="69">
        <v>33595</v>
      </c>
      <c r="B29" s="32">
        <v>620.62</v>
      </c>
      <c r="C29">
        <f t="shared" si="0"/>
        <v>1991</v>
      </c>
      <c r="H29" s="85">
        <v>40934</v>
      </c>
      <c r="I29">
        <v>1814.69</v>
      </c>
      <c r="N29" s="69">
        <v>43364</v>
      </c>
      <c r="O29">
        <v>579.02</v>
      </c>
      <c r="P29">
        <v>578.58000000000004</v>
      </c>
      <c r="Q29">
        <v>581.64</v>
      </c>
      <c r="R29">
        <v>575.98</v>
      </c>
      <c r="S29" s="3">
        <v>2.8E-3</v>
      </c>
      <c r="T29">
        <f t="shared" si="1"/>
        <v>2018</v>
      </c>
      <c r="W29" s="86">
        <v>40843</v>
      </c>
      <c r="X29">
        <v>506.7</v>
      </c>
    </row>
    <row r="30" spans="1:24">
      <c r="A30" s="69">
        <v>33596</v>
      </c>
      <c r="B30" s="33">
        <v>622.95000000000005</v>
      </c>
      <c r="C30">
        <f t="shared" si="0"/>
        <v>1991</v>
      </c>
      <c r="H30" s="85">
        <v>40935</v>
      </c>
      <c r="I30">
        <v>1801.88</v>
      </c>
      <c r="N30" s="69">
        <v>43363</v>
      </c>
      <c r="O30">
        <v>577.38</v>
      </c>
      <c r="P30">
        <v>579.73</v>
      </c>
      <c r="Q30">
        <v>582.04</v>
      </c>
      <c r="R30">
        <v>576.08000000000004</v>
      </c>
      <c r="S30" s="3">
        <v>-2.5000000000000001E-3</v>
      </c>
      <c r="T30">
        <f t="shared" si="1"/>
        <v>2018</v>
      </c>
      <c r="W30" s="86">
        <v>40844</v>
      </c>
      <c r="X30">
        <v>506.6</v>
      </c>
    </row>
    <row r="31" spans="1:24">
      <c r="A31" s="69">
        <v>33597</v>
      </c>
      <c r="B31" s="32">
        <v>622.95000000000005</v>
      </c>
      <c r="C31">
        <f t="shared" si="0"/>
        <v>1991</v>
      </c>
      <c r="H31" s="85">
        <v>40936</v>
      </c>
      <c r="I31">
        <v>1810.55</v>
      </c>
      <c r="N31" s="69">
        <v>43362</v>
      </c>
      <c r="O31">
        <v>578.83000000000004</v>
      </c>
      <c r="P31">
        <v>578.38</v>
      </c>
      <c r="Q31">
        <v>580.75</v>
      </c>
      <c r="R31">
        <v>575.16999999999996</v>
      </c>
      <c r="S31" s="3">
        <v>4.0000000000000002E-4</v>
      </c>
      <c r="T31">
        <f t="shared" si="1"/>
        <v>2018</v>
      </c>
      <c r="W31" s="86">
        <v>40847</v>
      </c>
      <c r="X31">
        <v>512.70000000000005</v>
      </c>
    </row>
    <row r="32" spans="1:24">
      <c r="A32" s="68">
        <v>33598</v>
      </c>
      <c r="B32" s="33">
        <v>622.95000000000005</v>
      </c>
      <c r="C32">
        <f t="shared" si="0"/>
        <v>1991</v>
      </c>
      <c r="H32" s="85">
        <v>40937</v>
      </c>
      <c r="I32">
        <v>1810.55</v>
      </c>
      <c r="N32" s="69">
        <v>43361</v>
      </c>
      <c r="O32">
        <v>578.6</v>
      </c>
      <c r="P32">
        <v>577.35</v>
      </c>
      <c r="Q32">
        <v>580.87</v>
      </c>
      <c r="R32">
        <v>575.4</v>
      </c>
      <c r="S32" s="3">
        <v>1.1000000000000001E-3</v>
      </c>
      <c r="T32">
        <f t="shared" si="1"/>
        <v>2018</v>
      </c>
      <c r="W32" s="86">
        <v>40848</v>
      </c>
      <c r="X32">
        <v>512.70000000000005</v>
      </c>
    </row>
    <row r="33" spans="1:24">
      <c r="A33" s="68">
        <v>33599</v>
      </c>
      <c r="B33" s="32">
        <v>631.63</v>
      </c>
      <c r="C33">
        <f t="shared" si="0"/>
        <v>1991</v>
      </c>
      <c r="H33" s="85">
        <v>40938</v>
      </c>
      <c r="I33">
        <v>1810.55</v>
      </c>
      <c r="N33" s="69">
        <v>43360</v>
      </c>
      <c r="O33">
        <v>577.98</v>
      </c>
      <c r="P33">
        <v>579.91999999999996</v>
      </c>
      <c r="Q33">
        <v>581.45000000000005</v>
      </c>
      <c r="R33">
        <v>575.52</v>
      </c>
      <c r="S33" s="3">
        <v>-4.0000000000000001E-3</v>
      </c>
      <c r="T33">
        <f t="shared" si="1"/>
        <v>2018</v>
      </c>
      <c r="W33" s="86">
        <v>40849</v>
      </c>
      <c r="X33">
        <v>511.6</v>
      </c>
    </row>
    <row r="34" spans="1:24">
      <c r="A34" s="68">
        <v>33600</v>
      </c>
      <c r="B34" s="33">
        <v>632.37</v>
      </c>
      <c r="C34">
        <f t="shared" si="0"/>
        <v>1991</v>
      </c>
      <c r="H34" s="85">
        <v>40939</v>
      </c>
      <c r="I34">
        <v>1815.08</v>
      </c>
      <c r="N34" s="69">
        <v>43359</v>
      </c>
      <c r="O34">
        <v>580.28</v>
      </c>
      <c r="P34">
        <v>580.28</v>
      </c>
      <c r="Q34">
        <v>580.28</v>
      </c>
      <c r="R34">
        <v>580.28</v>
      </c>
      <c r="S34" s="3">
        <v>4.7999999999999996E-3</v>
      </c>
      <c r="T34">
        <f t="shared" si="1"/>
        <v>2018</v>
      </c>
      <c r="W34" s="86">
        <v>40850</v>
      </c>
      <c r="X34">
        <v>511.6</v>
      </c>
    </row>
    <row r="35" spans="1:24">
      <c r="A35" s="68">
        <v>33601</v>
      </c>
      <c r="B35" s="32">
        <v>632.37</v>
      </c>
      <c r="C35">
        <f t="shared" si="0"/>
        <v>1991</v>
      </c>
      <c r="H35" s="85">
        <v>40940</v>
      </c>
      <c r="I35">
        <v>1805.98</v>
      </c>
      <c r="N35" s="69">
        <v>43357</v>
      </c>
      <c r="O35">
        <v>577.52</v>
      </c>
      <c r="P35">
        <v>580.58000000000004</v>
      </c>
      <c r="Q35">
        <v>580.58000000000004</v>
      </c>
      <c r="R35">
        <v>569.4</v>
      </c>
      <c r="S35" s="3">
        <v>-4.7000000000000002E-3</v>
      </c>
      <c r="T35">
        <f t="shared" si="1"/>
        <v>2018</v>
      </c>
      <c r="W35" s="86">
        <v>40851</v>
      </c>
      <c r="X35">
        <v>513</v>
      </c>
    </row>
    <row r="36" spans="1:24">
      <c r="A36" s="68">
        <v>33602</v>
      </c>
      <c r="B36" s="33">
        <v>632.37</v>
      </c>
      <c r="C36">
        <f t="shared" si="0"/>
        <v>1991</v>
      </c>
      <c r="H36" s="85">
        <v>40941</v>
      </c>
      <c r="I36">
        <v>1797.68</v>
      </c>
      <c r="N36" s="69">
        <v>43356</v>
      </c>
      <c r="O36">
        <v>580.25</v>
      </c>
      <c r="P36">
        <v>578.52</v>
      </c>
      <c r="Q36">
        <v>580.69000000000005</v>
      </c>
      <c r="R36">
        <v>576.75</v>
      </c>
      <c r="S36" s="3">
        <v>2.3999999999999998E-3</v>
      </c>
      <c r="T36">
        <f t="shared" si="1"/>
        <v>2018</v>
      </c>
      <c r="W36" s="86">
        <v>40854</v>
      </c>
      <c r="X36">
        <v>510</v>
      </c>
    </row>
    <row r="37" spans="1:24">
      <c r="A37" s="68">
        <v>33603</v>
      </c>
      <c r="B37" s="32">
        <v>632.37</v>
      </c>
      <c r="C37">
        <f t="shared" si="0"/>
        <v>1991</v>
      </c>
      <c r="H37" s="85">
        <v>40942</v>
      </c>
      <c r="I37">
        <v>1795.55</v>
      </c>
      <c r="N37" s="69">
        <v>43355</v>
      </c>
      <c r="O37">
        <v>578.85</v>
      </c>
      <c r="P37">
        <v>579.77</v>
      </c>
      <c r="Q37">
        <v>582.33000000000004</v>
      </c>
      <c r="R37">
        <v>578.08000000000004</v>
      </c>
      <c r="S37" s="3">
        <v>-1.6000000000000001E-3</v>
      </c>
      <c r="T37">
        <f t="shared" si="1"/>
        <v>2018</v>
      </c>
      <c r="W37" s="86">
        <v>40855</v>
      </c>
      <c r="X37">
        <v>509.1</v>
      </c>
    </row>
    <row r="38" spans="1:24">
      <c r="A38" s="68">
        <v>33604</v>
      </c>
      <c r="B38" s="33">
        <v>632.37</v>
      </c>
      <c r="C38">
        <f t="shared" si="0"/>
        <v>1992</v>
      </c>
      <c r="H38" s="85">
        <v>40943</v>
      </c>
      <c r="I38">
        <v>1784.77</v>
      </c>
      <c r="N38" s="69">
        <v>43354</v>
      </c>
      <c r="O38">
        <v>579.77</v>
      </c>
      <c r="P38">
        <v>583.58000000000004</v>
      </c>
      <c r="Q38">
        <v>583.58000000000004</v>
      </c>
      <c r="R38">
        <v>579.08000000000004</v>
      </c>
      <c r="S38" s="3">
        <v>-4.5999999999999999E-3</v>
      </c>
      <c r="T38">
        <f t="shared" si="1"/>
        <v>2018</v>
      </c>
      <c r="W38" s="86">
        <v>40856</v>
      </c>
      <c r="X38">
        <v>510.7</v>
      </c>
    </row>
    <row r="39" spans="1:24">
      <c r="A39" s="68">
        <v>33605</v>
      </c>
      <c r="B39" s="32">
        <v>638.61</v>
      </c>
      <c r="C39">
        <f t="shared" si="0"/>
        <v>1992</v>
      </c>
      <c r="H39" s="85">
        <v>40944</v>
      </c>
      <c r="I39">
        <v>1784.77</v>
      </c>
      <c r="N39" s="69">
        <v>43353</v>
      </c>
      <c r="O39">
        <v>582.46</v>
      </c>
      <c r="P39">
        <v>584.52</v>
      </c>
      <c r="Q39">
        <v>585.5</v>
      </c>
      <c r="R39">
        <v>582.08000000000004</v>
      </c>
      <c r="S39" s="3">
        <v>-4.1999999999999997E-3</v>
      </c>
      <c r="T39">
        <f t="shared" si="1"/>
        <v>2018</v>
      </c>
      <c r="W39" s="86">
        <v>40857</v>
      </c>
      <c r="X39">
        <v>510.7</v>
      </c>
    </row>
    <row r="40" spans="1:24">
      <c r="A40" s="68">
        <v>33606</v>
      </c>
      <c r="B40" s="33">
        <v>632.58000000000004</v>
      </c>
      <c r="C40">
        <f t="shared" si="0"/>
        <v>1992</v>
      </c>
      <c r="H40" s="85">
        <v>40945</v>
      </c>
      <c r="I40">
        <v>1784.77</v>
      </c>
      <c r="N40" s="69">
        <v>43352</v>
      </c>
      <c r="O40">
        <v>584.91999999999996</v>
      </c>
      <c r="P40">
        <v>584.91999999999996</v>
      </c>
      <c r="Q40">
        <v>584.91999999999996</v>
      </c>
      <c r="R40">
        <v>584.91999999999996</v>
      </c>
      <c r="S40" s="3">
        <v>3.5999999999999999E-3</v>
      </c>
      <c r="T40">
        <f t="shared" si="1"/>
        <v>2018</v>
      </c>
      <c r="W40" s="86">
        <v>40858</v>
      </c>
      <c r="X40">
        <v>508.6</v>
      </c>
    </row>
    <row r="41" spans="1:24">
      <c r="A41" s="68">
        <v>33607</v>
      </c>
      <c r="B41" s="32">
        <v>638.07000000000005</v>
      </c>
      <c r="C41">
        <f t="shared" si="0"/>
        <v>1992</v>
      </c>
      <c r="H41" s="85">
        <v>40946</v>
      </c>
      <c r="I41">
        <v>1787.96</v>
      </c>
      <c r="N41" s="69">
        <v>43350</v>
      </c>
      <c r="O41">
        <v>582.79999999999995</v>
      </c>
      <c r="P41">
        <v>585.54999999999995</v>
      </c>
      <c r="Q41">
        <v>585.54999999999995</v>
      </c>
      <c r="R41">
        <v>580.29999999999995</v>
      </c>
      <c r="S41" s="3">
        <v>-2.7000000000000001E-3</v>
      </c>
      <c r="T41">
        <f t="shared" si="1"/>
        <v>2018</v>
      </c>
      <c r="W41" s="86">
        <v>40861</v>
      </c>
      <c r="X41">
        <v>505.6</v>
      </c>
    </row>
    <row r="42" spans="1:24">
      <c r="A42" s="68">
        <v>33608</v>
      </c>
      <c r="B42" s="33">
        <v>638.07000000000005</v>
      </c>
      <c r="C42">
        <f t="shared" si="0"/>
        <v>1992</v>
      </c>
      <c r="H42" s="85">
        <v>40947</v>
      </c>
      <c r="I42">
        <v>1783.34</v>
      </c>
      <c r="N42" s="69">
        <v>43349</v>
      </c>
      <c r="O42">
        <v>584.38</v>
      </c>
      <c r="P42">
        <v>581.98</v>
      </c>
      <c r="Q42">
        <v>584.38</v>
      </c>
      <c r="R42">
        <v>576.91999999999996</v>
      </c>
      <c r="S42" s="3">
        <v>3.5000000000000001E-3</v>
      </c>
      <c r="T42">
        <f t="shared" si="1"/>
        <v>2018</v>
      </c>
      <c r="W42" s="86">
        <v>40862</v>
      </c>
      <c r="X42">
        <v>503.7</v>
      </c>
    </row>
    <row r="43" spans="1:24">
      <c r="A43" s="68">
        <v>33609</v>
      </c>
      <c r="B43" s="32">
        <v>638.07000000000005</v>
      </c>
      <c r="C43">
        <f t="shared" si="0"/>
        <v>1992</v>
      </c>
      <c r="H43" s="85">
        <v>40948</v>
      </c>
      <c r="I43">
        <v>1778.9</v>
      </c>
      <c r="N43" s="69">
        <v>43348</v>
      </c>
      <c r="O43">
        <v>582.35</v>
      </c>
      <c r="P43">
        <v>579.75</v>
      </c>
      <c r="Q43">
        <v>588.41</v>
      </c>
      <c r="R43">
        <v>574.4</v>
      </c>
      <c r="S43" s="3">
        <v>3.0000000000000001E-3</v>
      </c>
      <c r="T43">
        <f t="shared" si="1"/>
        <v>2018</v>
      </c>
      <c r="W43" s="86">
        <v>40863</v>
      </c>
      <c r="X43">
        <v>504.7</v>
      </c>
    </row>
    <row r="44" spans="1:24">
      <c r="A44" s="68">
        <v>33610</v>
      </c>
      <c r="B44" s="33">
        <v>638.07000000000005</v>
      </c>
      <c r="C44">
        <f t="shared" si="0"/>
        <v>1992</v>
      </c>
      <c r="H44" s="85">
        <v>40949</v>
      </c>
      <c r="I44">
        <v>1774.96</v>
      </c>
      <c r="N44" s="69">
        <v>43347</v>
      </c>
      <c r="O44">
        <v>580.62</v>
      </c>
      <c r="P44">
        <v>577.33000000000004</v>
      </c>
      <c r="Q44">
        <v>585.14</v>
      </c>
      <c r="R44">
        <v>567.71</v>
      </c>
      <c r="S44" s="3">
        <v>6.3E-3</v>
      </c>
      <c r="T44">
        <f t="shared" si="1"/>
        <v>2018</v>
      </c>
      <c r="W44" s="86">
        <v>40864</v>
      </c>
      <c r="X44">
        <v>504.6</v>
      </c>
    </row>
    <row r="45" spans="1:24">
      <c r="A45" s="68">
        <v>33611</v>
      </c>
      <c r="B45" s="32">
        <v>638.16999999999996</v>
      </c>
      <c r="C45">
        <f t="shared" si="0"/>
        <v>1992</v>
      </c>
      <c r="H45" s="85">
        <v>40950</v>
      </c>
      <c r="I45">
        <v>1785.59</v>
      </c>
      <c r="N45" s="69">
        <v>43346</v>
      </c>
      <c r="O45">
        <v>576.98</v>
      </c>
      <c r="P45">
        <v>573.38</v>
      </c>
      <c r="Q45">
        <v>576.98</v>
      </c>
      <c r="R45">
        <v>570.58000000000004</v>
      </c>
      <c r="S45" s="3">
        <v>8.3999999999999995E-3</v>
      </c>
      <c r="T45">
        <f t="shared" si="1"/>
        <v>2018</v>
      </c>
      <c r="W45" s="86">
        <v>40865</v>
      </c>
      <c r="X45">
        <v>502.2</v>
      </c>
    </row>
    <row r="46" spans="1:24">
      <c r="A46" s="68">
        <v>33612</v>
      </c>
      <c r="B46" s="33">
        <v>638.61</v>
      </c>
      <c r="C46">
        <f t="shared" si="0"/>
        <v>1992</v>
      </c>
      <c r="H46" s="85">
        <v>40951</v>
      </c>
      <c r="I46">
        <v>1785.59</v>
      </c>
      <c r="N46" s="69">
        <v>43345</v>
      </c>
      <c r="O46">
        <v>572.16</v>
      </c>
      <c r="P46">
        <v>572.16</v>
      </c>
      <c r="Q46">
        <v>572.16</v>
      </c>
      <c r="R46">
        <v>572.16</v>
      </c>
      <c r="S46" s="3">
        <v>-2.5999999999999999E-3</v>
      </c>
      <c r="T46">
        <f t="shared" si="1"/>
        <v>2018</v>
      </c>
      <c r="W46" s="86">
        <v>40868</v>
      </c>
      <c r="X46">
        <v>500.7</v>
      </c>
    </row>
    <row r="47" spans="1:24">
      <c r="A47" s="68">
        <v>33613</v>
      </c>
      <c r="B47" s="32">
        <v>637.86</v>
      </c>
      <c r="C47">
        <f t="shared" si="0"/>
        <v>1992</v>
      </c>
      <c r="H47" s="85">
        <v>40952</v>
      </c>
      <c r="I47">
        <v>1785.59</v>
      </c>
      <c r="N47" s="69">
        <v>43343</v>
      </c>
      <c r="O47">
        <v>573.66999999999996</v>
      </c>
      <c r="P47">
        <v>572.12</v>
      </c>
      <c r="Q47">
        <v>577.82000000000005</v>
      </c>
      <c r="R47">
        <v>568.38</v>
      </c>
      <c r="S47" s="3">
        <v>3.0999999999999999E-3</v>
      </c>
      <c r="T47">
        <f t="shared" si="1"/>
        <v>2018</v>
      </c>
      <c r="W47" s="86">
        <v>40869</v>
      </c>
      <c r="X47">
        <v>500.7</v>
      </c>
    </row>
    <row r="48" spans="1:24">
      <c r="A48" s="68">
        <v>33614</v>
      </c>
      <c r="B48" s="33">
        <v>645.04</v>
      </c>
      <c r="C48">
        <f t="shared" si="0"/>
        <v>1992</v>
      </c>
      <c r="H48" s="85">
        <v>40953</v>
      </c>
      <c r="I48">
        <v>1778.12</v>
      </c>
      <c r="N48" s="69">
        <v>43342</v>
      </c>
      <c r="O48">
        <v>571.9</v>
      </c>
      <c r="P48">
        <v>570.1</v>
      </c>
      <c r="Q48">
        <v>577.16999999999996</v>
      </c>
      <c r="R48">
        <v>567.15</v>
      </c>
      <c r="S48" s="3">
        <v>3.3E-3</v>
      </c>
      <c r="T48">
        <f t="shared" si="1"/>
        <v>2018</v>
      </c>
      <c r="W48" s="86">
        <v>40870</v>
      </c>
      <c r="X48">
        <v>500.7</v>
      </c>
    </row>
    <row r="49" spans="1:24">
      <c r="A49" s="68">
        <v>33615</v>
      </c>
      <c r="B49" s="32">
        <v>645.04</v>
      </c>
      <c r="C49">
        <f t="shared" si="0"/>
        <v>1992</v>
      </c>
      <c r="H49" s="85">
        <v>40954</v>
      </c>
      <c r="I49">
        <v>1785.24</v>
      </c>
      <c r="N49" s="69">
        <v>43341</v>
      </c>
      <c r="O49">
        <v>570</v>
      </c>
      <c r="P49">
        <v>569</v>
      </c>
      <c r="Q49">
        <v>573.67999999999995</v>
      </c>
      <c r="R49">
        <v>566.9</v>
      </c>
      <c r="S49" s="3">
        <v>1.8E-3</v>
      </c>
      <c r="T49">
        <f t="shared" si="1"/>
        <v>2018</v>
      </c>
      <c r="W49" s="86">
        <v>40871</v>
      </c>
      <c r="X49">
        <v>500.7</v>
      </c>
    </row>
    <row r="50" spans="1:24">
      <c r="A50" s="68">
        <v>33616</v>
      </c>
      <c r="B50" s="33">
        <v>645.04</v>
      </c>
      <c r="C50">
        <f t="shared" si="0"/>
        <v>1992</v>
      </c>
      <c r="H50" s="85">
        <v>40955</v>
      </c>
      <c r="I50">
        <v>1791.29</v>
      </c>
      <c r="N50" s="69">
        <v>43340</v>
      </c>
      <c r="O50">
        <v>569</v>
      </c>
      <c r="P50">
        <v>569</v>
      </c>
      <c r="Q50">
        <v>572.48</v>
      </c>
      <c r="R50">
        <v>566</v>
      </c>
      <c r="S50" s="3">
        <v>0</v>
      </c>
      <c r="T50">
        <f t="shared" si="1"/>
        <v>2018</v>
      </c>
      <c r="W50" s="86">
        <v>40872</v>
      </c>
      <c r="X50">
        <v>498.6</v>
      </c>
    </row>
    <row r="51" spans="1:24">
      <c r="A51" s="68">
        <v>33617</v>
      </c>
      <c r="B51" s="32">
        <v>659.74</v>
      </c>
      <c r="C51">
        <f t="shared" si="0"/>
        <v>1992</v>
      </c>
      <c r="H51" s="85">
        <v>40956</v>
      </c>
      <c r="I51">
        <v>1792.92</v>
      </c>
      <c r="N51" s="69">
        <v>43339</v>
      </c>
      <c r="O51">
        <v>569</v>
      </c>
      <c r="P51">
        <v>568.9</v>
      </c>
      <c r="Q51">
        <v>572.19000000000005</v>
      </c>
      <c r="R51">
        <v>566.25</v>
      </c>
      <c r="S51" s="3">
        <v>4.8999999999999998E-3</v>
      </c>
      <c r="T51">
        <f t="shared" si="1"/>
        <v>2018</v>
      </c>
      <c r="W51" s="86">
        <v>40875</v>
      </c>
      <c r="X51">
        <v>498.65</v>
      </c>
    </row>
    <row r="52" spans="1:24">
      <c r="A52" s="68">
        <v>33618</v>
      </c>
      <c r="B52" s="33">
        <v>657.49</v>
      </c>
      <c r="C52">
        <f t="shared" si="0"/>
        <v>1992</v>
      </c>
      <c r="H52" s="85">
        <v>40957</v>
      </c>
      <c r="I52">
        <v>1779.81</v>
      </c>
      <c r="N52" s="69">
        <v>43338</v>
      </c>
      <c r="O52">
        <v>566.23</v>
      </c>
      <c r="P52">
        <v>566.23</v>
      </c>
      <c r="Q52">
        <v>566.23</v>
      </c>
      <c r="R52">
        <v>566.23</v>
      </c>
      <c r="S52" s="3">
        <v>-4.7000000000000002E-3</v>
      </c>
      <c r="T52">
        <f t="shared" si="1"/>
        <v>2018</v>
      </c>
      <c r="W52" s="86">
        <v>40876</v>
      </c>
      <c r="X52">
        <v>498.5</v>
      </c>
    </row>
    <row r="53" spans="1:24">
      <c r="A53" s="68">
        <v>33619</v>
      </c>
      <c r="B53" s="32">
        <v>653.45000000000005</v>
      </c>
      <c r="C53">
        <f t="shared" si="0"/>
        <v>1992</v>
      </c>
      <c r="H53" s="85">
        <v>40958</v>
      </c>
      <c r="I53">
        <v>1779.81</v>
      </c>
      <c r="N53" s="69">
        <v>43336</v>
      </c>
      <c r="O53">
        <v>568.91999999999996</v>
      </c>
      <c r="P53">
        <v>564.88</v>
      </c>
      <c r="Q53">
        <v>570.65</v>
      </c>
      <c r="R53">
        <v>564.83000000000004</v>
      </c>
      <c r="S53" s="3">
        <v>1E-3</v>
      </c>
      <c r="T53">
        <f t="shared" si="1"/>
        <v>2018</v>
      </c>
      <c r="W53" s="86">
        <v>40877</v>
      </c>
      <c r="X53">
        <v>498.7</v>
      </c>
    </row>
    <row r="54" spans="1:24">
      <c r="A54" s="68">
        <v>33620</v>
      </c>
      <c r="B54" s="33">
        <v>652.91</v>
      </c>
      <c r="C54">
        <f t="shared" si="0"/>
        <v>1992</v>
      </c>
      <c r="H54" s="85">
        <v>40959</v>
      </c>
      <c r="I54">
        <v>1779.81</v>
      </c>
      <c r="N54" s="69">
        <v>43335</v>
      </c>
      <c r="O54">
        <v>568.35</v>
      </c>
      <c r="P54">
        <v>568.29999999999995</v>
      </c>
      <c r="Q54">
        <v>571.03</v>
      </c>
      <c r="R54">
        <v>565.20000000000005</v>
      </c>
      <c r="S54" s="3">
        <v>2.9999999999999997E-4</v>
      </c>
      <c r="T54">
        <f t="shared" si="1"/>
        <v>2018</v>
      </c>
      <c r="W54" s="86">
        <v>40878</v>
      </c>
      <c r="X54">
        <v>500.65</v>
      </c>
    </row>
    <row r="55" spans="1:24">
      <c r="A55" s="68">
        <v>33621</v>
      </c>
      <c r="B55" s="32">
        <v>645.35</v>
      </c>
      <c r="C55">
        <f t="shared" si="0"/>
        <v>1992</v>
      </c>
      <c r="H55" s="85">
        <v>40960</v>
      </c>
      <c r="I55">
        <v>1779.81</v>
      </c>
      <c r="N55" s="69">
        <v>43334</v>
      </c>
      <c r="O55">
        <v>568.16999999999996</v>
      </c>
      <c r="P55">
        <v>567.98</v>
      </c>
      <c r="Q55">
        <v>570.86</v>
      </c>
      <c r="R55">
        <v>564.23</v>
      </c>
      <c r="S55" s="3">
        <v>2.9999999999999997E-4</v>
      </c>
      <c r="T55">
        <f t="shared" si="1"/>
        <v>2018</v>
      </c>
      <c r="W55" s="86">
        <v>40879</v>
      </c>
      <c r="X55">
        <v>500.5</v>
      </c>
    </row>
    <row r="56" spans="1:24">
      <c r="A56" s="68">
        <v>33622</v>
      </c>
      <c r="B56" s="33">
        <v>645.35</v>
      </c>
      <c r="C56">
        <f t="shared" si="0"/>
        <v>1992</v>
      </c>
      <c r="H56" s="85">
        <v>40961</v>
      </c>
      <c r="I56">
        <v>1777.59</v>
      </c>
      <c r="N56" s="69">
        <v>43333</v>
      </c>
      <c r="O56">
        <v>567.98</v>
      </c>
      <c r="P56">
        <v>567.33000000000004</v>
      </c>
      <c r="Q56">
        <v>567.98</v>
      </c>
      <c r="R56">
        <v>564.52</v>
      </c>
      <c r="S56" s="3">
        <v>8.0000000000000004E-4</v>
      </c>
      <c r="T56">
        <f t="shared" si="1"/>
        <v>2018</v>
      </c>
      <c r="W56" s="86">
        <v>40882</v>
      </c>
      <c r="X56">
        <v>500.4</v>
      </c>
    </row>
    <row r="57" spans="1:24">
      <c r="A57" s="68">
        <v>33623</v>
      </c>
      <c r="B57" s="32">
        <v>645.35</v>
      </c>
      <c r="C57">
        <f t="shared" si="0"/>
        <v>1992</v>
      </c>
      <c r="H57" s="85">
        <v>40962</v>
      </c>
      <c r="I57">
        <v>1781.57</v>
      </c>
      <c r="N57" s="69">
        <v>43332</v>
      </c>
      <c r="O57">
        <v>567.54999999999995</v>
      </c>
      <c r="P57">
        <v>565.52</v>
      </c>
      <c r="Q57">
        <v>570.38</v>
      </c>
      <c r="R57">
        <v>564.45000000000005</v>
      </c>
      <c r="S57" s="3">
        <v>5.9999999999999995E-4</v>
      </c>
      <c r="T57">
        <f t="shared" si="1"/>
        <v>2018</v>
      </c>
      <c r="W57" s="86">
        <v>40883</v>
      </c>
      <c r="X57">
        <v>500.3</v>
      </c>
    </row>
    <row r="58" spans="1:24">
      <c r="A58" s="68">
        <v>33624</v>
      </c>
      <c r="B58" s="33">
        <v>645.97</v>
      </c>
      <c r="C58">
        <f t="shared" si="0"/>
        <v>1992</v>
      </c>
      <c r="H58" s="85">
        <v>40963</v>
      </c>
      <c r="I58">
        <v>1776.11</v>
      </c>
      <c r="N58" s="69">
        <v>43331</v>
      </c>
      <c r="O58">
        <v>567.21</v>
      </c>
      <c r="P58">
        <v>567.21</v>
      </c>
      <c r="Q58">
        <v>567.21</v>
      </c>
      <c r="R58">
        <v>567.21</v>
      </c>
      <c r="S58" s="3">
        <v>-1.6999999999999999E-3</v>
      </c>
      <c r="T58">
        <f t="shared" si="1"/>
        <v>2018</v>
      </c>
      <c r="W58" s="86">
        <v>40884</v>
      </c>
      <c r="X58">
        <v>500.7</v>
      </c>
    </row>
    <row r="59" spans="1:24">
      <c r="A59" s="68">
        <v>33625</v>
      </c>
      <c r="B59" s="32">
        <v>647.04</v>
      </c>
      <c r="C59">
        <f t="shared" si="0"/>
        <v>1992</v>
      </c>
      <c r="H59" s="85">
        <v>40964</v>
      </c>
      <c r="I59">
        <v>1772.42</v>
      </c>
      <c r="N59" s="69">
        <v>43329</v>
      </c>
      <c r="O59">
        <v>568.16</v>
      </c>
      <c r="P59">
        <v>569.82000000000005</v>
      </c>
      <c r="Q59">
        <v>571.70000000000005</v>
      </c>
      <c r="R59">
        <v>567.78</v>
      </c>
      <c r="S59" s="3">
        <v>1.1999999999999999E-3</v>
      </c>
      <c r="T59">
        <f t="shared" si="1"/>
        <v>2018</v>
      </c>
      <c r="W59" s="86">
        <v>40885</v>
      </c>
      <c r="X59">
        <v>502.7</v>
      </c>
    </row>
    <row r="60" spans="1:24">
      <c r="A60" s="68">
        <v>33626</v>
      </c>
      <c r="B60" s="33">
        <v>647.01</v>
      </c>
      <c r="C60">
        <f t="shared" si="0"/>
        <v>1992</v>
      </c>
      <c r="H60" s="85">
        <v>40965</v>
      </c>
      <c r="I60">
        <v>1772.42</v>
      </c>
      <c r="N60" s="69">
        <v>43328</v>
      </c>
      <c r="O60">
        <v>567.48</v>
      </c>
      <c r="P60">
        <v>567.41999999999996</v>
      </c>
      <c r="Q60">
        <v>569.15</v>
      </c>
      <c r="R60">
        <v>564.52</v>
      </c>
      <c r="S60" s="3">
        <v>1E-4</v>
      </c>
      <c r="T60">
        <f t="shared" si="1"/>
        <v>2018</v>
      </c>
      <c r="W60" s="86">
        <v>40886</v>
      </c>
      <c r="X60">
        <v>502.6</v>
      </c>
    </row>
    <row r="61" spans="1:24">
      <c r="A61" s="68">
        <v>33627</v>
      </c>
      <c r="B61" s="32">
        <v>647.01</v>
      </c>
      <c r="C61">
        <f t="shared" si="0"/>
        <v>1992</v>
      </c>
      <c r="H61" s="85">
        <v>40966</v>
      </c>
      <c r="I61">
        <v>1772.42</v>
      </c>
      <c r="N61" s="69">
        <v>43327</v>
      </c>
      <c r="O61">
        <v>567.45000000000005</v>
      </c>
      <c r="P61">
        <v>566.02</v>
      </c>
      <c r="Q61">
        <v>567.45000000000005</v>
      </c>
      <c r="R61">
        <v>565.54999999999995</v>
      </c>
      <c r="S61" s="3">
        <v>0</v>
      </c>
      <c r="T61">
        <f t="shared" si="1"/>
        <v>2018</v>
      </c>
      <c r="W61" s="86">
        <v>40889</v>
      </c>
      <c r="X61">
        <v>500.6</v>
      </c>
    </row>
    <row r="62" spans="1:24">
      <c r="A62" s="68">
        <v>33628</v>
      </c>
      <c r="B62" s="33">
        <v>644.83000000000004</v>
      </c>
      <c r="C62">
        <f t="shared" si="0"/>
        <v>1992</v>
      </c>
      <c r="H62" s="85">
        <v>40967</v>
      </c>
      <c r="I62">
        <v>1777.27</v>
      </c>
      <c r="N62" s="69">
        <v>43326</v>
      </c>
      <c r="O62">
        <v>567.45000000000005</v>
      </c>
      <c r="P62">
        <v>567.25</v>
      </c>
      <c r="Q62">
        <v>567.5</v>
      </c>
      <c r="R62">
        <v>565.54999999999995</v>
      </c>
      <c r="S62" s="3">
        <v>2.0000000000000001E-4</v>
      </c>
      <c r="T62">
        <f t="shared" si="1"/>
        <v>2018</v>
      </c>
      <c r="W62" s="86">
        <v>40890</v>
      </c>
      <c r="X62">
        <v>500.7</v>
      </c>
    </row>
    <row r="63" spans="1:24">
      <c r="A63" s="68">
        <v>33629</v>
      </c>
      <c r="B63" s="32">
        <v>644.83000000000004</v>
      </c>
      <c r="C63">
        <f t="shared" si="0"/>
        <v>1992</v>
      </c>
      <c r="H63" s="85">
        <v>40968</v>
      </c>
      <c r="I63">
        <v>1767.83</v>
      </c>
      <c r="N63" s="69">
        <v>43325</v>
      </c>
      <c r="O63">
        <v>567.35</v>
      </c>
      <c r="P63">
        <v>567.35</v>
      </c>
      <c r="Q63">
        <v>567.45000000000005</v>
      </c>
      <c r="R63">
        <v>564.65</v>
      </c>
      <c r="S63" s="3">
        <v>0</v>
      </c>
      <c r="T63">
        <f t="shared" si="1"/>
        <v>2018</v>
      </c>
      <c r="W63" s="86">
        <v>40891</v>
      </c>
      <c r="X63">
        <v>504.1</v>
      </c>
    </row>
    <row r="64" spans="1:24">
      <c r="A64" s="68">
        <v>33630</v>
      </c>
      <c r="B64" s="33">
        <v>644.83000000000004</v>
      </c>
      <c r="C64">
        <f t="shared" si="0"/>
        <v>1992</v>
      </c>
      <c r="H64" s="85">
        <v>40969</v>
      </c>
      <c r="I64">
        <v>1766.85</v>
      </c>
      <c r="N64" s="69">
        <v>43324</v>
      </c>
      <c r="O64">
        <v>567.36</v>
      </c>
      <c r="P64">
        <v>567.36</v>
      </c>
      <c r="Q64">
        <v>567.36</v>
      </c>
      <c r="R64">
        <v>567.36</v>
      </c>
      <c r="S64" s="3">
        <v>0</v>
      </c>
      <c r="T64">
        <f t="shared" si="1"/>
        <v>2018</v>
      </c>
      <c r="W64" s="86">
        <v>40892</v>
      </c>
      <c r="X64">
        <v>504.2</v>
      </c>
    </row>
    <row r="65" spans="1:24">
      <c r="A65" s="68">
        <v>33631</v>
      </c>
      <c r="B65" s="32">
        <v>645.53</v>
      </c>
      <c r="C65">
        <f t="shared" si="0"/>
        <v>1992</v>
      </c>
      <c r="H65" s="85">
        <v>40970</v>
      </c>
      <c r="I65">
        <v>1770.7</v>
      </c>
      <c r="N65" s="69">
        <v>43322</v>
      </c>
      <c r="O65">
        <v>567.35</v>
      </c>
      <c r="P65">
        <v>567.5</v>
      </c>
      <c r="Q65">
        <v>569.28</v>
      </c>
      <c r="R65">
        <v>563.65</v>
      </c>
      <c r="S65" s="3">
        <v>-1E-4</v>
      </c>
      <c r="T65">
        <f t="shared" si="1"/>
        <v>2018</v>
      </c>
      <c r="W65" s="86">
        <v>40893</v>
      </c>
      <c r="X65">
        <v>498.1</v>
      </c>
    </row>
    <row r="66" spans="1:24">
      <c r="A66" s="68">
        <v>33632</v>
      </c>
      <c r="B66" s="33">
        <v>645.20000000000005</v>
      </c>
      <c r="C66">
        <f t="shared" si="0"/>
        <v>1992</v>
      </c>
      <c r="H66" s="85">
        <v>40971</v>
      </c>
      <c r="I66">
        <v>1775.69</v>
      </c>
      <c r="N66" s="69">
        <v>43321</v>
      </c>
      <c r="O66">
        <v>567.41999999999996</v>
      </c>
      <c r="P66">
        <v>567.08000000000004</v>
      </c>
      <c r="Q66">
        <v>569</v>
      </c>
      <c r="R66">
        <v>564.58000000000004</v>
      </c>
      <c r="S66" s="3">
        <v>2.9999999999999997E-4</v>
      </c>
      <c r="T66">
        <f t="shared" si="1"/>
        <v>2018</v>
      </c>
      <c r="W66" s="86">
        <v>40896</v>
      </c>
      <c r="X66">
        <v>498.1</v>
      </c>
    </row>
    <row r="67" spans="1:24">
      <c r="A67" s="68">
        <v>33633</v>
      </c>
      <c r="B67" s="32">
        <v>644.04</v>
      </c>
      <c r="C67">
        <f t="shared" si="0"/>
        <v>1992</v>
      </c>
      <c r="H67" s="85">
        <v>40972</v>
      </c>
      <c r="I67">
        <v>1775.69</v>
      </c>
      <c r="N67" s="69">
        <v>43320</v>
      </c>
      <c r="O67">
        <v>567.25</v>
      </c>
      <c r="P67">
        <v>567.65</v>
      </c>
      <c r="Q67">
        <v>569.42999999999995</v>
      </c>
      <c r="R67">
        <v>563.75</v>
      </c>
      <c r="S67" s="3">
        <v>-4.0000000000000002E-4</v>
      </c>
      <c r="T67">
        <f t="shared" si="1"/>
        <v>2018</v>
      </c>
      <c r="W67" s="86">
        <v>40897</v>
      </c>
      <c r="X67">
        <v>500.2</v>
      </c>
    </row>
    <row r="68" spans="1:24">
      <c r="A68" s="68">
        <v>33634</v>
      </c>
      <c r="B68" s="33">
        <v>644.27</v>
      </c>
      <c r="C68">
        <f t="shared" ref="C68:C131" si="2">YEAR(A68)</f>
        <v>1992</v>
      </c>
      <c r="H68" s="85">
        <v>40973</v>
      </c>
      <c r="I68">
        <v>1775.69</v>
      </c>
      <c r="N68" s="69">
        <v>43319</v>
      </c>
      <c r="O68">
        <v>567.45000000000005</v>
      </c>
      <c r="P68">
        <v>567.25</v>
      </c>
      <c r="Q68">
        <v>569.17999999999995</v>
      </c>
      <c r="R68">
        <v>562.54999999999995</v>
      </c>
      <c r="S68" s="3">
        <v>2.0000000000000001E-4</v>
      </c>
      <c r="T68">
        <f t="shared" ref="T68:T131" si="3">YEAR(N68)</f>
        <v>2018</v>
      </c>
      <c r="W68" s="86">
        <v>40898</v>
      </c>
      <c r="X68">
        <v>502.1</v>
      </c>
    </row>
    <row r="69" spans="1:24">
      <c r="A69" s="68">
        <v>33635</v>
      </c>
      <c r="B69" s="32">
        <v>640.52</v>
      </c>
      <c r="C69">
        <f t="shared" si="2"/>
        <v>1992</v>
      </c>
      <c r="H69" s="85">
        <v>40974</v>
      </c>
      <c r="I69">
        <v>1774.03</v>
      </c>
      <c r="N69" s="69">
        <v>43318</v>
      </c>
      <c r="O69">
        <v>567.33000000000004</v>
      </c>
      <c r="P69">
        <v>567.41999999999996</v>
      </c>
      <c r="Q69">
        <v>569.5</v>
      </c>
      <c r="R69">
        <v>563.62</v>
      </c>
      <c r="S69" s="3">
        <v>2.9999999999999997E-4</v>
      </c>
      <c r="T69">
        <f t="shared" si="3"/>
        <v>2018</v>
      </c>
      <c r="W69" s="86">
        <v>40899</v>
      </c>
      <c r="X69">
        <v>502.2</v>
      </c>
    </row>
    <row r="70" spans="1:24">
      <c r="A70" s="68">
        <v>33636</v>
      </c>
      <c r="B70" s="33">
        <v>640.52</v>
      </c>
      <c r="C70">
        <f t="shared" si="2"/>
        <v>1992</v>
      </c>
      <c r="H70" s="85">
        <v>40975</v>
      </c>
      <c r="I70">
        <v>1779.32</v>
      </c>
      <c r="N70" s="69">
        <v>43317</v>
      </c>
      <c r="O70">
        <v>567.16999999999996</v>
      </c>
      <c r="P70">
        <v>567.16999999999996</v>
      </c>
      <c r="Q70">
        <v>567.16999999999996</v>
      </c>
      <c r="R70">
        <v>567.16999999999996</v>
      </c>
      <c r="S70" s="3">
        <v>-4.0000000000000002E-4</v>
      </c>
      <c r="T70">
        <f t="shared" si="3"/>
        <v>2018</v>
      </c>
      <c r="W70" s="86">
        <v>40900</v>
      </c>
      <c r="X70">
        <v>504.7</v>
      </c>
    </row>
    <row r="71" spans="1:24">
      <c r="A71" s="68">
        <v>33637</v>
      </c>
      <c r="B71" s="32">
        <v>640.52</v>
      </c>
      <c r="C71">
        <f t="shared" si="2"/>
        <v>1992</v>
      </c>
      <c r="H71" s="85">
        <v>40976</v>
      </c>
      <c r="I71">
        <v>1773.88</v>
      </c>
      <c r="N71" s="69">
        <v>43315</v>
      </c>
      <c r="O71">
        <v>567.38</v>
      </c>
      <c r="P71">
        <v>567.52</v>
      </c>
      <c r="Q71">
        <v>569.46</v>
      </c>
      <c r="R71">
        <v>563.58000000000004</v>
      </c>
      <c r="S71" s="3">
        <v>-1E-4</v>
      </c>
      <c r="T71">
        <f t="shared" si="3"/>
        <v>2018</v>
      </c>
      <c r="W71" s="86">
        <v>40903</v>
      </c>
      <c r="X71">
        <v>504.65</v>
      </c>
    </row>
    <row r="72" spans="1:24">
      <c r="A72" s="68">
        <v>33638</v>
      </c>
      <c r="B72" s="33">
        <v>640.52</v>
      </c>
      <c r="C72">
        <f t="shared" si="2"/>
        <v>1992</v>
      </c>
      <c r="H72" s="85">
        <v>40977</v>
      </c>
      <c r="I72">
        <v>1765.06</v>
      </c>
      <c r="N72" s="69">
        <v>43314</v>
      </c>
      <c r="O72">
        <v>567.45000000000005</v>
      </c>
      <c r="P72">
        <v>567.45000000000005</v>
      </c>
      <c r="Q72">
        <v>567.45000000000005</v>
      </c>
      <c r="R72">
        <v>563.5</v>
      </c>
      <c r="S72" s="3">
        <v>0</v>
      </c>
      <c r="T72">
        <f t="shared" si="3"/>
        <v>2018</v>
      </c>
      <c r="W72" s="86">
        <v>40904</v>
      </c>
      <c r="X72">
        <v>502.7</v>
      </c>
    </row>
    <row r="73" spans="1:24">
      <c r="A73" s="68">
        <v>33639</v>
      </c>
      <c r="B73" s="32">
        <v>638.01</v>
      </c>
      <c r="C73">
        <f t="shared" si="2"/>
        <v>1992</v>
      </c>
      <c r="H73" s="85">
        <v>40978</v>
      </c>
      <c r="I73">
        <v>1762.08</v>
      </c>
      <c r="N73" s="69">
        <v>43313</v>
      </c>
      <c r="O73">
        <v>567.45000000000005</v>
      </c>
      <c r="P73">
        <v>567</v>
      </c>
      <c r="Q73">
        <v>569.38</v>
      </c>
      <c r="R73">
        <v>563.5</v>
      </c>
      <c r="S73" s="3">
        <v>5.0000000000000001E-4</v>
      </c>
      <c r="T73">
        <f t="shared" si="3"/>
        <v>2018</v>
      </c>
      <c r="W73" s="86">
        <v>40905</v>
      </c>
      <c r="X73">
        <v>502.7</v>
      </c>
    </row>
    <row r="74" spans="1:24">
      <c r="A74" s="68">
        <v>33640</v>
      </c>
      <c r="B74" s="33">
        <v>637.65</v>
      </c>
      <c r="C74">
        <f t="shared" si="2"/>
        <v>1992</v>
      </c>
      <c r="H74" s="85">
        <v>40979</v>
      </c>
      <c r="I74">
        <v>1762.08</v>
      </c>
      <c r="N74" s="69">
        <v>43312</v>
      </c>
      <c r="O74">
        <v>567.16999999999996</v>
      </c>
      <c r="P74">
        <v>567.08000000000004</v>
      </c>
      <c r="Q74">
        <v>567.16999999999996</v>
      </c>
      <c r="R74">
        <v>563.66999999999996</v>
      </c>
      <c r="S74" s="3">
        <v>0</v>
      </c>
      <c r="T74">
        <f t="shared" si="3"/>
        <v>2018</v>
      </c>
      <c r="W74" s="86">
        <v>40906</v>
      </c>
      <c r="X74">
        <v>502.7</v>
      </c>
    </row>
    <row r="75" spans="1:24">
      <c r="A75" s="68">
        <v>33641</v>
      </c>
      <c r="B75" s="32">
        <v>636.9</v>
      </c>
      <c r="C75">
        <f t="shared" si="2"/>
        <v>1992</v>
      </c>
      <c r="H75" s="85">
        <v>40980</v>
      </c>
      <c r="I75">
        <v>1762.08</v>
      </c>
      <c r="N75" s="69">
        <v>43311</v>
      </c>
      <c r="O75">
        <v>567.15</v>
      </c>
      <c r="P75">
        <v>566.70000000000005</v>
      </c>
      <c r="Q75">
        <v>568.64</v>
      </c>
      <c r="R75">
        <v>563.75</v>
      </c>
      <c r="S75" s="3">
        <v>-1E-4</v>
      </c>
      <c r="T75">
        <f t="shared" si="3"/>
        <v>2018</v>
      </c>
      <c r="W75" s="86">
        <v>40907</v>
      </c>
      <c r="X75">
        <v>505.7</v>
      </c>
    </row>
    <row r="76" spans="1:24">
      <c r="A76" s="68">
        <v>33642</v>
      </c>
      <c r="B76" s="33">
        <v>635.34</v>
      </c>
      <c r="C76">
        <f t="shared" si="2"/>
        <v>1992</v>
      </c>
      <c r="H76" s="85">
        <v>40981</v>
      </c>
      <c r="I76">
        <v>1766.1</v>
      </c>
      <c r="N76" s="69">
        <v>43310</v>
      </c>
      <c r="O76">
        <v>567.22</v>
      </c>
      <c r="P76">
        <v>567.22</v>
      </c>
      <c r="Q76">
        <v>567.22</v>
      </c>
      <c r="R76">
        <v>567.22</v>
      </c>
      <c r="S76" s="3">
        <v>5.0000000000000001E-4</v>
      </c>
      <c r="T76">
        <f t="shared" si="3"/>
        <v>2018</v>
      </c>
      <c r="W76" s="86">
        <v>40910</v>
      </c>
      <c r="X76">
        <v>505.7</v>
      </c>
    </row>
    <row r="77" spans="1:24">
      <c r="A77" s="68">
        <v>33643</v>
      </c>
      <c r="B77" s="32">
        <v>635.34</v>
      </c>
      <c r="C77">
        <f t="shared" si="2"/>
        <v>1992</v>
      </c>
      <c r="H77" s="85">
        <v>40982</v>
      </c>
      <c r="I77">
        <v>1760.77</v>
      </c>
      <c r="N77" s="69">
        <v>43308</v>
      </c>
      <c r="O77">
        <v>566.95000000000005</v>
      </c>
      <c r="P77">
        <v>567.29999999999995</v>
      </c>
      <c r="Q77">
        <v>568.33000000000004</v>
      </c>
      <c r="R77">
        <v>565.62</v>
      </c>
      <c r="S77" s="3">
        <v>-4.0000000000000002E-4</v>
      </c>
      <c r="T77">
        <f t="shared" si="3"/>
        <v>2018</v>
      </c>
      <c r="W77" s="86">
        <v>40911</v>
      </c>
      <c r="X77">
        <v>505.7</v>
      </c>
    </row>
    <row r="78" spans="1:24">
      <c r="A78" s="68">
        <v>33644</v>
      </c>
      <c r="B78" s="33">
        <v>635.34</v>
      </c>
      <c r="C78">
        <f t="shared" si="2"/>
        <v>1992</v>
      </c>
      <c r="H78" s="85">
        <v>40983</v>
      </c>
      <c r="I78">
        <v>1761.04</v>
      </c>
      <c r="N78" s="69">
        <v>43307</v>
      </c>
      <c r="O78">
        <v>567.15</v>
      </c>
      <c r="P78">
        <v>567.85</v>
      </c>
      <c r="Q78">
        <v>568.38</v>
      </c>
      <c r="R78">
        <v>565.65</v>
      </c>
      <c r="S78" s="3">
        <v>-5.9999999999999995E-4</v>
      </c>
      <c r="T78">
        <f t="shared" si="3"/>
        <v>2018</v>
      </c>
      <c r="W78" s="86">
        <v>40912</v>
      </c>
      <c r="X78">
        <v>509.2</v>
      </c>
    </row>
    <row r="79" spans="1:24">
      <c r="A79" s="68">
        <v>33645</v>
      </c>
      <c r="B79" s="32">
        <v>634.74</v>
      </c>
      <c r="C79">
        <f t="shared" si="2"/>
        <v>1992</v>
      </c>
      <c r="H79" s="85">
        <v>40984</v>
      </c>
      <c r="I79">
        <v>1761.02</v>
      </c>
      <c r="N79" s="69">
        <v>43306</v>
      </c>
      <c r="O79">
        <v>567.5</v>
      </c>
      <c r="P79">
        <v>567.5</v>
      </c>
      <c r="Q79">
        <v>567.83000000000004</v>
      </c>
      <c r="R79">
        <v>565.4</v>
      </c>
      <c r="S79" s="3">
        <v>0</v>
      </c>
      <c r="T79">
        <f t="shared" si="3"/>
        <v>2018</v>
      </c>
      <c r="W79" s="86">
        <v>40913</v>
      </c>
      <c r="X79">
        <v>511.7</v>
      </c>
    </row>
    <row r="80" spans="1:24">
      <c r="A80" s="68">
        <v>33646</v>
      </c>
      <c r="B80" s="33">
        <v>634.59</v>
      </c>
      <c r="C80">
        <f t="shared" si="2"/>
        <v>1992</v>
      </c>
      <c r="H80" s="85">
        <v>40985</v>
      </c>
      <c r="I80">
        <v>1758.38</v>
      </c>
      <c r="N80" s="69">
        <v>43305</v>
      </c>
      <c r="O80">
        <v>567.5</v>
      </c>
      <c r="P80">
        <v>567.54999999999995</v>
      </c>
      <c r="Q80">
        <v>568.42999999999995</v>
      </c>
      <c r="R80">
        <v>565.09</v>
      </c>
      <c r="S80" s="3">
        <v>0</v>
      </c>
      <c r="T80">
        <f t="shared" si="3"/>
        <v>2018</v>
      </c>
      <c r="W80" s="86">
        <v>40914</v>
      </c>
      <c r="X80">
        <v>513.1</v>
      </c>
    </row>
    <row r="81" spans="1:24">
      <c r="A81" s="68">
        <v>33647</v>
      </c>
      <c r="B81" s="32">
        <v>634.66999999999996</v>
      </c>
      <c r="C81">
        <f t="shared" si="2"/>
        <v>1992</v>
      </c>
      <c r="H81" s="85">
        <v>40986</v>
      </c>
      <c r="I81">
        <v>1758.38</v>
      </c>
      <c r="N81" s="69">
        <v>43304</v>
      </c>
      <c r="O81">
        <v>567.52</v>
      </c>
      <c r="P81">
        <v>566.48</v>
      </c>
      <c r="Q81">
        <v>567.79999999999995</v>
      </c>
      <c r="R81">
        <v>565.52</v>
      </c>
      <c r="S81" s="3">
        <v>7.1999999999999998E-3</v>
      </c>
      <c r="T81">
        <f t="shared" si="3"/>
        <v>2018</v>
      </c>
      <c r="W81" s="86">
        <v>40917</v>
      </c>
      <c r="X81">
        <v>511.6</v>
      </c>
    </row>
    <row r="82" spans="1:24">
      <c r="A82" s="68">
        <v>33648</v>
      </c>
      <c r="B82" s="33">
        <v>635.6</v>
      </c>
      <c r="C82">
        <f t="shared" si="2"/>
        <v>1992</v>
      </c>
      <c r="H82" s="85">
        <v>40987</v>
      </c>
      <c r="I82">
        <v>1758.38</v>
      </c>
      <c r="N82" s="69">
        <v>43303</v>
      </c>
      <c r="O82">
        <v>563.46</v>
      </c>
      <c r="P82">
        <v>563.46</v>
      </c>
      <c r="Q82">
        <v>563.46</v>
      </c>
      <c r="R82">
        <v>563.46</v>
      </c>
      <c r="S82" s="3">
        <v>-6.3E-3</v>
      </c>
      <c r="T82">
        <f t="shared" si="3"/>
        <v>2018</v>
      </c>
      <c r="W82" s="86">
        <v>40918</v>
      </c>
      <c r="X82">
        <v>509.2</v>
      </c>
    </row>
    <row r="83" spans="1:24">
      <c r="A83" s="68">
        <v>33649</v>
      </c>
      <c r="B83" s="32">
        <v>634.74</v>
      </c>
      <c r="C83">
        <f t="shared" si="2"/>
        <v>1992</v>
      </c>
      <c r="H83" s="85">
        <v>40988</v>
      </c>
      <c r="I83">
        <v>1758.38</v>
      </c>
      <c r="N83" s="69">
        <v>43301</v>
      </c>
      <c r="O83">
        <v>567</v>
      </c>
      <c r="P83">
        <v>567.65</v>
      </c>
      <c r="Q83">
        <v>567.65</v>
      </c>
      <c r="R83">
        <v>563</v>
      </c>
      <c r="S83" s="3">
        <v>-5.9999999999999995E-4</v>
      </c>
      <c r="T83">
        <f t="shared" si="3"/>
        <v>2018</v>
      </c>
      <c r="W83" s="86">
        <v>40919</v>
      </c>
      <c r="X83">
        <v>509.2</v>
      </c>
    </row>
    <row r="84" spans="1:24">
      <c r="A84" s="68">
        <v>33650</v>
      </c>
      <c r="B84" s="33">
        <v>634.74</v>
      </c>
      <c r="C84">
        <f t="shared" si="2"/>
        <v>1992</v>
      </c>
      <c r="H84" s="85">
        <v>40989</v>
      </c>
      <c r="I84">
        <v>1759.78</v>
      </c>
      <c r="N84" s="69">
        <v>43300</v>
      </c>
      <c r="O84">
        <v>567.33000000000004</v>
      </c>
      <c r="P84">
        <v>567.02</v>
      </c>
      <c r="Q84">
        <v>567.33000000000004</v>
      </c>
      <c r="R84">
        <v>564.66999999999996</v>
      </c>
      <c r="S84" s="3">
        <v>2.9999999999999997E-4</v>
      </c>
      <c r="T84">
        <f t="shared" si="3"/>
        <v>2018</v>
      </c>
      <c r="W84" s="86">
        <v>40920</v>
      </c>
      <c r="X84">
        <v>509.1</v>
      </c>
    </row>
    <row r="85" spans="1:24">
      <c r="A85" s="68">
        <v>33651</v>
      </c>
      <c r="B85" s="32">
        <v>634.74</v>
      </c>
      <c r="C85">
        <f t="shared" si="2"/>
        <v>1992</v>
      </c>
      <c r="H85" s="85">
        <v>40990</v>
      </c>
      <c r="I85">
        <v>1758.03</v>
      </c>
      <c r="N85" s="69">
        <v>43299</v>
      </c>
      <c r="O85">
        <v>567.16999999999996</v>
      </c>
      <c r="P85">
        <v>566.73</v>
      </c>
      <c r="Q85">
        <v>567.38</v>
      </c>
      <c r="R85">
        <v>563.83000000000004</v>
      </c>
      <c r="S85" s="3">
        <v>4.0000000000000002E-4</v>
      </c>
      <c r="T85">
        <f t="shared" si="3"/>
        <v>2018</v>
      </c>
      <c r="W85" s="86">
        <v>40921</v>
      </c>
      <c r="X85">
        <v>504.7</v>
      </c>
    </row>
    <row r="86" spans="1:24">
      <c r="A86" s="68">
        <v>33652</v>
      </c>
      <c r="B86" s="33">
        <v>635.66</v>
      </c>
      <c r="C86">
        <f t="shared" si="2"/>
        <v>1992</v>
      </c>
      <c r="H86" s="85">
        <v>40991</v>
      </c>
      <c r="I86">
        <v>1761.87</v>
      </c>
      <c r="N86" s="69">
        <v>43298</v>
      </c>
      <c r="O86">
        <v>566.95000000000005</v>
      </c>
      <c r="P86">
        <v>566.75</v>
      </c>
      <c r="Q86">
        <v>567.6</v>
      </c>
      <c r="R86">
        <v>564.04999999999995</v>
      </c>
      <c r="S86" s="3">
        <v>2.0000000000000001E-4</v>
      </c>
      <c r="T86">
        <f t="shared" si="3"/>
        <v>2018</v>
      </c>
      <c r="W86" s="86">
        <v>40924</v>
      </c>
      <c r="X86">
        <v>504.6</v>
      </c>
    </row>
    <row r="87" spans="1:24">
      <c r="A87" s="68">
        <v>33653</v>
      </c>
      <c r="B87" s="32">
        <v>635.21</v>
      </c>
      <c r="C87">
        <f t="shared" si="2"/>
        <v>1992</v>
      </c>
      <c r="H87" s="85">
        <v>40992</v>
      </c>
      <c r="I87">
        <v>1760.17</v>
      </c>
      <c r="N87" s="69">
        <v>43297</v>
      </c>
      <c r="O87">
        <v>566.85</v>
      </c>
      <c r="P87">
        <v>566.45000000000005</v>
      </c>
      <c r="Q87">
        <v>567</v>
      </c>
      <c r="R87">
        <v>564.15</v>
      </c>
      <c r="S87" s="3">
        <v>-4.0000000000000002E-4</v>
      </c>
      <c r="T87">
        <f t="shared" si="3"/>
        <v>2018</v>
      </c>
      <c r="W87" s="86">
        <v>40925</v>
      </c>
      <c r="X87">
        <v>504.6</v>
      </c>
    </row>
    <row r="88" spans="1:24">
      <c r="A88" s="68">
        <v>33654</v>
      </c>
      <c r="B88" s="33">
        <v>634.92999999999995</v>
      </c>
      <c r="C88">
        <f t="shared" si="2"/>
        <v>1992</v>
      </c>
      <c r="H88" s="85">
        <v>40993</v>
      </c>
      <c r="I88">
        <v>1760.17</v>
      </c>
      <c r="N88" s="69">
        <v>43296</v>
      </c>
      <c r="O88">
        <v>567.05999999999995</v>
      </c>
      <c r="P88">
        <v>567.05999999999995</v>
      </c>
      <c r="Q88">
        <v>567.05999999999995</v>
      </c>
      <c r="R88">
        <v>567.05999999999995</v>
      </c>
      <c r="S88" s="3">
        <v>2.0000000000000001E-4</v>
      </c>
      <c r="T88">
        <f t="shared" si="3"/>
        <v>2018</v>
      </c>
      <c r="W88" s="86">
        <v>40926</v>
      </c>
      <c r="X88">
        <v>504.6</v>
      </c>
    </row>
    <row r="89" spans="1:24">
      <c r="A89" s="68">
        <v>33655</v>
      </c>
      <c r="B89" s="32">
        <v>633.30999999999995</v>
      </c>
      <c r="C89">
        <f t="shared" si="2"/>
        <v>1992</v>
      </c>
      <c r="H89" s="85">
        <v>40994</v>
      </c>
      <c r="I89">
        <v>1760.17</v>
      </c>
      <c r="N89" s="69">
        <v>43294</v>
      </c>
      <c r="O89">
        <v>566.91999999999996</v>
      </c>
      <c r="P89">
        <v>567.58000000000004</v>
      </c>
      <c r="Q89">
        <v>568.4</v>
      </c>
      <c r="R89">
        <v>566.08000000000004</v>
      </c>
      <c r="S89" s="3">
        <v>-5.9999999999999995E-4</v>
      </c>
      <c r="T89">
        <f t="shared" si="3"/>
        <v>2018</v>
      </c>
      <c r="W89" s="86">
        <v>40927</v>
      </c>
      <c r="X89">
        <v>507.1</v>
      </c>
    </row>
    <row r="90" spans="1:24">
      <c r="A90" s="68">
        <v>33656</v>
      </c>
      <c r="B90" s="33">
        <v>633.03</v>
      </c>
      <c r="C90">
        <f t="shared" si="2"/>
        <v>1992</v>
      </c>
      <c r="H90" s="85">
        <v>40995</v>
      </c>
      <c r="I90">
        <v>1759.58</v>
      </c>
      <c r="N90" s="69">
        <v>43293</v>
      </c>
      <c r="O90">
        <v>567.25</v>
      </c>
      <c r="P90">
        <v>567.20000000000005</v>
      </c>
      <c r="Q90">
        <v>569.08000000000004</v>
      </c>
      <c r="R90">
        <v>563.75</v>
      </c>
      <c r="S90" s="3">
        <v>0</v>
      </c>
      <c r="T90">
        <f t="shared" si="3"/>
        <v>2018</v>
      </c>
      <c r="W90" s="86">
        <v>40928</v>
      </c>
      <c r="X90">
        <v>507.2</v>
      </c>
    </row>
    <row r="91" spans="1:24">
      <c r="A91" s="68">
        <v>33657</v>
      </c>
      <c r="B91" s="32">
        <v>633.03</v>
      </c>
      <c r="C91">
        <f t="shared" si="2"/>
        <v>1992</v>
      </c>
      <c r="H91" s="85">
        <v>40996</v>
      </c>
      <c r="I91">
        <v>1762.93</v>
      </c>
      <c r="N91" s="69">
        <v>43292</v>
      </c>
      <c r="O91">
        <v>567.23</v>
      </c>
      <c r="P91">
        <v>567.33000000000004</v>
      </c>
      <c r="Q91">
        <v>568.91</v>
      </c>
      <c r="R91">
        <v>563.77</v>
      </c>
      <c r="S91" s="3">
        <v>1E-3</v>
      </c>
      <c r="T91">
        <f t="shared" si="3"/>
        <v>2018</v>
      </c>
      <c r="W91" s="86">
        <v>40931</v>
      </c>
      <c r="X91">
        <v>508.1</v>
      </c>
    </row>
    <row r="92" spans="1:24">
      <c r="A92" s="68">
        <v>33658</v>
      </c>
      <c r="B92" s="33">
        <v>633.03</v>
      </c>
      <c r="C92">
        <f t="shared" si="2"/>
        <v>1992</v>
      </c>
      <c r="H92" s="85">
        <v>40997</v>
      </c>
      <c r="I92">
        <v>1771.25</v>
      </c>
      <c r="N92" s="69">
        <v>43291</v>
      </c>
      <c r="O92">
        <v>566.66999999999996</v>
      </c>
      <c r="P92">
        <v>569.02</v>
      </c>
      <c r="Q92">
        <v>570.4</v>
      </c>
      <c r="R92">
        <v>565.08000000000004</v>
      </c>
      <c r="S92" s="3">
        <v>-1.4E-3</v>
      </c>
      <c r="T92">
        <f t="shared" si="3"/>
        <v>2018</v>
      </c>
      <c r="W92" s="86">
        <v>40932</v>
      </c>
      <c r="X92">
        <v>508.2</v>
      </c>
    </row>
    <row r="93" spans="1:24">
      <c r="A93" s="68">
        <v>33659</v>
      </c>
      <c r="B93" s="32">
        <v>633.54999999999995</v>
      </c>
      <c r="C93">
        <f t="shared" si="2"/>
        <v>1992</v>
      </c>
      <c r="H93" s="85">
        <v>40998</v>
      </c>
      <c r="I93">
        <v>1784.66</v>
      </c>
      <c r="N93" s="69">
        <v>43290</v>
      </c>
      <c r="O93">
        <v>567.48</v>
      </c>
      <c r="P93">
        <v>566.61</v>
      </c>
      <c r="Q93">
        <v>568.99</v>
      </c>
      <c r="R93">
        <v>562.52</v>
      </c>
      <c r="S93" s="3">
        <v>4.3E-3</v>
      </c>
      <c r="T93">
        <f t="shared" si="3"/>
        <v>2018</v>
      </c>
      <c r="W93" s="86">
        <v>40933</v>
      </c>
      <c r="X93">
        <v>512.70000000000005</v>
      </c>
    </row>
    <row r="94" spans="1:24">
      <c r="A94" s="68">
        <v>33660</v>
      </c>
      <c r="B94" s="33">
        <v>633.74</v>
      </c>
      <c r="C94">
        <f t="shared" si="2"/>
        <v>1992</v>
      </c>
      <c r="H94" s="85">
        <v>40999</v>
      </c>
      <c r="I94">
        <v>1792.07</v>
      </c>
      <c r="N94" s="69">
        <v>43289</v>
      </c>
      <c r="O94">
        <v>565.03</v>
      </c>
      <c r="P94">
        <v>565.03</v>
      </c>
      <c r="Q94">
        <v>565.03</v>
      </c>
      <c r="R94">
        <v>565.03</v>
      </c>
      <c r="S94" s="3">
        <v>-4.1999999999999997E-3</v>
      </c>
      <c r="T94">
        <f t="shared" si="3"/>
        <v>2018</v>
      </c>
      <c r="W94" s="86">
        <v>40934</v>
      </c>
      <c r="X94">
        <v>509.6</v>
      </c>
    </row>
    <row r="95" spans="1:24">
      <c r="A95" s="68">
        <v>33661</v>
      </c>
      <c r="B95" s="32">
        <v>634.05999999999995</v>
      </c>
      <c r="C95">
        <f t="shared" si="2"/>
        <v>1992</v>
      </c>
      <c r="H95" s="85">
        <v>41000</v>
      </c>
      <c r="I95">
        <v>1792.07</v>
      </c>
      <c r="N95" s="69">
        <v>43287</v>
      </c>
      <c r="O95">
        <v>567.4</v>
      </c>
      <c r="P95">
        <v>567.25</v>
      </c>
      <c r="Q95">
        <v>569.13</v>
      </c>
      <c r="R95">
        <v>564.6</v>
      </c>
      <c r="S95" s="3">
        <v>1E-4</v>
      </c>
      <c r="T95">
        <f t="shared" si="3"/>
        <v>2018</v>
      </c>
      <c r="W95" s="86">
        <v>40935</v>
      </c>
      <c r="X95">
        <v>503.1</v>
      </c>
    </row>
    <row r="96" spans="1:24">
      <c r="A96" s="68">
        <v>33662</v>
      </c>
      <c r="B96" s="33">
        <v>633.91</v>
      </c>
      <c r="C96">
        <f t="shared" si="2"/>
        <v>1992</v>
      </c>
      <c r="H96" s="85">
        <v>41001</v>
      </c>
      <c r="I96">
        <v>1792.07</v>
      </c>
      <c r="N96" s="69">
        <v>43286</v>
      </c>
      <c r="O96">
        <v>567.33000000000004</v>
      </c>
      <c r="P96">
        <v>566.83000000000004</v>
      </c>
      <c r="Q96">
        <v>569.36</v>
      </c>
      <c r="R96">
        <v>563.66999999999996</v>
      </c>
      <c r="S96" s="3">
        <v>4.0000000000000002E-4</v>
      </c>
      <c r="T96">
        <f t="shared" si="3"/>
        <v>2018</v>
      </c>
      <c r="W96" s="86">
        <v>40938</v>
      </c>
      <c r="X96">
        <v>506.1</v>
      </c>
    </row>
    <row r="97" spans="1:24">
      <c r="A97" s="68">
        <v>33663</v>
      </c>
      <c r="B97" s="32">
        <v>636.54</v>
      </c>
      <c r="C97">
        <f t="shared" si="2"/>
        <v>1992</v>
      </c>
      <c r="H97" s="85">
        <v>41002</v>
      </c>
      <c r="I97">
        <v>1779.13</v>
      </c>
      <c r="N97" s="69">
        <v>43285</v>
      </c>
      <c r="O97">
        <v>567.08000000000004</v>
      </c>
      <c r="P97">
        <v>567.23</v>
      </c>
      <c r="Q97">
        <v>567.23</v>
      </c>
      <c r="R97">
        <v>564.38</v>
      </c>
      <c r="S97" s="3">
        <v>-1E-4</v>
      </c>
      <c r="T97">
        <f t="shared" si="3"/>
        <v>2018</v>
      </c>
      <c r="W97" s="86">
        <v>40939</v>
      </c>
      <c r="X97">
        <v>506.15</v>
      </c>
    </row>
    <row r="98" spans="1:24">
      <c r="A98" s="68">
        <v>33664</v>
      </c>
      <c r="B98" s="33">
        <v>636.54</v>
      </c>
      <c r="C98">
        <f t="shared" si="2"/>
        <v>1992</v>
      </c>
      <c r="H98" s="85">
        <v>41003</v>
      </c>
      <c r="I98">
        <v>1767.84</v>
      </c>
      <c r="N98" s="69">
        <v>43284</v>
      </c>
      <c r="O98">
        <v>567.15</v>
      </c>
      <c r="P98">
        <v>567.04999999999995</v>
      </c>
      <c r="Q98">
        <v>568.88</v>
      </c>
      <c r="R98">
        <v>563.85</v>
      </c>
      <c r="S98" s="3">
        <v>1E-4</v>
      </c>
      <c r="T98">
        <f t="shared" si="3"/>
        <v>2018</v>
      </c>
      <c r="W98" s="86">
        <v>40940</v>
      </c>
      <c r="X98">
        <v>508.6</v>
      </c>
    </row>
    <row r="99" spans="1:24">
      <c r="A99" s="68">
        <v>33665</v>
      </c>
      <c r="B99" s="32">
        <v>636.54</v>
      </c>
      <c r="C99">
        <f t="shared" si="2"/>
        <v>1992</v>
      </c>
      <c r="H99" s="85">
        <v>41004</v>
      </c>
      <c r="I99">
        <v>1772.58</v>
      </c>
      <c r="N99" s="69">
        <v>43283</v>
      </c>
      <c r="O99">
        <v>567.1</v>
      </c>
      <c r="P99">
        <v>567.20000000000005</v>
      </c>
      <c r="Q99">
        <v>569.08000000000004</v>
      </c>
      <c r="R99">
        <v>565.34</v>
      </c>
      <c r="S99" s="3">
        <v>-1E-4</v>
      </c>
      <c r="T99">
        <f t="shared" si="3"/>
        <v>2018</v>
      </c>
      <c r="W99" s="86">
        <v>40941</v>
      </c>
      <c r="X99">
        <v>513.6</v>
      </c>
    </row>
    <row r="100" spans="1:24">
      <c r="A100" s="68">
        <v>33666</v>
      </c>
      <c r="B100" s="33">
        <v>640.95000000000005</v>
      </c>
      <c r="C100">
        <f t="shared" si="2"/>
        <v>1992</v>
      </c>
      <c r="H100" s="85">
        <v>41005</v>
      </c>
      <c r="I100">
        <v>1772.58</v>
      </c>
      <c r="N100" s="69">
        <v>43282</v>
      </c>
      <c r="O100">
        <v>567.14</v>
      </c>
      <c r="P100">
        <v>567.14</v>
      </c>
      <c r="Q100">
        <v>567.14</v>
      </c>
      <c r="R100">
        <v>567.14</v>
      </c>
      <c r="S100" s="3">
        <v>0</v>
      </c>
      <c r="T100">
        <f t="shared" si="3"/>
        <v>2018</v>
      </c>
      <c r="W100" s="86">
        <v>40942</v>
      </c>
      <c r="X100">
        <v>510.05</v>
      </c>
    </row>
    <row r="101" spans="1:24">
      <c r="A101" s="68">
        <v>33667</v>
      </c>
      <c r="B101" s="32">
        <v>636.04999999999995</v>
      </c>
      <c r="C101">
        <f t="shared" si="2"/>
        <v>1992</v>
      </c>
      <c r="H101" s="85">
        <v>41006</v>
      </c>
      <c r="I101">
        <v>1772.58</v>
      </c>
      <c r="N101" s="69">
        <v>43280</v>
      </c>
      <c r="O101">
        <v>567.15</v>
      </c>
      <c r="P101">
        <v>567.9</v>
      </c>
      <c r="Q101">
        <v>568.28</v>
      </c>
      <c r="R101">
        <v>565.85</v>
      </c>
      <c r="S101" s="3">
        <v>-6.9999999999999999E-4</v>
      </c>
      <c r="T101">
        <f t="shared" si="3"/>
        <v>2018</v>
      </c>
      <c r="W101" s="86">
        <v>40945</v>
      </c>
      <c r="X101">
        <v>508.1</v>
      </c>
    </row>
    <row r="102" spans="1:24">
      <c r="A102" s="68">
        <v>33668</v>
      </c>
      <c r="B102" s="33">
        <v>635.86</v>
      </c>
      <c r="C102">
        <f t="shared" si="2"/>
        <v>1992</v>
      </c>
      <c r="H102" s="85">
        <v>41007</v>
      </c>
      <c r="I102">
        <v>1772.58</v>
      </c>
      <c r="N102" s="69">
        <v>43279</v>
      </c>
      <c r="O102">
        <v>567.52</v>
      </c>
      <c r="P102">
        <v>567.52</v>
      </c>
      <c r="Q102">
        <v>568.9</v>
      </c>
      <c r="R102">
        <v>565.48</v>
      </c>
      <c r="S102" s="3">
        <v>0</v>
      </c>
      <c r="T102">
        <f t="shared" si="3"/>
        <v>2018</v>
      </c>
      <c r="W102" s="86">
        <v>40946</v>
      </c>
      <c r="X102">
        <v>512.45000000000005</v>
      </c>
    </row>
    <row r="103" spans="1:24">
      <c r="A103" s="68">
        <v>33669</v>
      </c>
      <c r="B103" s="32">
        <v>636.73</v>
      </c>
      <c r="C103">
        <f t="shared" si="2"/>
        <v>1992</v>
      </c>
      <c r="H103" s="85">
        <v>41008</v>
      </c>
      <c r="I103">
        <v>1772.58</v>
      </c>
      <c r="N103" s="69">
        <v>43278</v>
      </c>
      <c r="O103">
        <v>567.52</v>
      </c>
      <c r="P103">
        <v>567.77</v>
      </c>
      <c r="Q103">
        <v>567.77</v>
      </c>
      <c r="R103">
        <v>565.16999999999996</v>
      </c>
      <c r="S103" s="3">
        <v>-2.0000000000000001E-4</v>
      </c>
      <c r="T103">
        <f t="shared" si="3"/>
        <v>2018</v>
      </c>
      <c r="W103" s="86">
        <v>40947</v>
      </c>
      <c r="X103">
        <v>511.7</v>
      </c>
    </row>
    <row r="104" spans="1:24">
      <c r="A104" s="68">
        <v>33670</v>
      </c>
      <c r="B104" s="33">
        <v>636.22</v>
      </c>
      <c r="C104">
        <f t="shared" si="2"/>
        <v>1992</v>
      </c>
      <c r="H104" s="85">
        <v>41009</v>
      </c>
      <c r="I104">
        <v>1779.53</v>
      </c>
      <c r="N104" s="69">
        <v>43277</v>
      </c>
      <c r="O104">
        <v>567.65</v>
      </c>
      <c r="P104">
        <v>567.1</v>
      </c>
      <c r="Q104">
        <v>567.65</v>
      </c>
      <c r="R104">
        <v>563.35</v>
      </c>
      <c r="S104" s="3">
        <v>5.0000000000000001E-4</v>
      </c>
      <c r="T104">
        <f t="shared" si="3"/>
        <v>2018</v>
      </c>
      <c r="W104" s="86">
        <v>40948</v>
      </c>
      <c r="X104">
        <v>511.5</v>
      </c>
    </row>
    <row r="105" spans="1:24">
      <c r="A105" s="68">
        <v>33671</v>
      </c>
      <c r="B105" s="32">
        <v>636.22</v>
      </c>
      <c r="C105">
        <f t="shared" si="2"/>
        <v>1992</v>
      </c>
      <c r="H105" s="85">
        <v>41010</v>
      </c>
      <c r="I105">
        <v>1793.3</v>
      </c>
      <c r="N105" s="69">
        <v>43276</v>
      </c>
      <c r="O105">
        <v>567.38</v>
      </c>
      <c r="P105">
        <v>565.62</v>
      </c>
      <c r="Q105">
        <v>567.38</v>
      </c>
      <c r="R105">
        <v>565.41999999999996</v>
      </c>
      <c r="S105" s="3">
        <v>2.0000000000000001E-4</v>
      </c>
      <c r="T105">
        <f t="shared" si="3"/>
        <v>2018</v>
      </c>
      <c r="W105" s="86">
        <v>40949</v>
      </c>
      <c r="X105">
        <v>510.45</v>
      </c>
    </row>
    <row r="106" spans="1:24">
      <c r="A106" s="68">
        <v>33672</v>
      </c>
      <c r="B106" s="33">
        <v>636.22</v>
      </c>
      <c r="C106">
        <f t="shared" si="2"/>
        <v>1992</v>
      </c>
      <c r="H106" s="85">
        <v>41011</v>
      </c>
      <c r="I106">
        <v>1787.66</v>
      </c>
      <c r="N106" s="69">
        <v>43275</v>
      </c>
      <c r="O106">
        <v>567.26</v>
      </c>
      <c r="P106">
        <v>567.26</v>
      </c>
      <c r="Q106">
        <v>567.26</v>
      </c>
      <c r="R106">
        <v>567.26</v>
      </c>
      <c r="S106" s="3">
        <v>1.2999999999999999E-3</v>
      </c>
      <c r="T106">
        <f t="shared" si="3"/>
        <v>2018</v>
      </c>
      <c r="W106" s="86">
        <v>40952</v>
      </c>
      <c r="X106">
        <v>509.7</v>
      </c>
    </row>
    <row r="107" spans="1:24">
      <c r="A107" s="68">
        <v>33673</v>
      </c>
      <c r="B107" s="32">
        <v>635.88</v>
      </c>
      <c r="C107">
        <f t="shared" si="2"/>
        <v>1992</v>
      </c>
      <c r="H107" s="85">
        <v>41012</v>
      </c>
      <c r="I107">
        <v>1778.78</v>
      </c>
      <c r="N107" s="69">
        <v>43273</v>
      </c>
      <c r="O107">
        <v>566.5</v>
      </c>
      <c r="P107">
        <v>568.15</v>
      </c>
      <c r="Q107">
        <v>570.23</v>
      </c>
      <c r="R107">
        <v>564.5</v>
      </c>
      <c r="S107" s="3">
        <v>-1.5E-3</v>
      </c>
      <c r="T107">
        <f t="shared" si="3"/>
        <v>2018</v>
      </c>
      <c r="W107" s="86">
        <v>40953</v>
      </c>
      <c r="X107">
        <v>509.1</v>
      </c>
    </row>
    <row r="108" spans="1:24">
      <c r="A108" s="68">
        <v>33674</v>
      </c>
      <c r="B108" s="33">
        <v>639.78</v>
      </c>
      <c r="C108">
        <f t="shared" si="2"/>
        <v>1992</v>
      </c>
      <c r="H108" s="85">
        <v>41013</v>
      </c>
      <c r="I108">
        <v>1777.12</v>
      </c>
      <c r="N108" s="69">
        <v>43272</v>
      </c>
      <c r="O108">
        <v>567.33000000000004</v>
      </c>
      <c r="P108">
        <v>566.98</v>
      </c>
      <c r="Q108">
        <v>569.11</v>
      </c>
      <c r="R108">
        <v>562.66999999999996</v>
      </c>
      <c r="S108" s="3">
        <v>2.9999999999999997E-4</v>
      </c>
      <c r="T108">
        <f t="shared" si="3"/>
        <v>2018</v>
      </c>
      <c r="W108" s="86">
        <v>40954</v>
      </c>
      <c r="X108">
        <v>509.1</v>
      </c>
    </row>
    <row r="109" spans="1:24">
      <c r="A109" s="68">
        <v>33675</v>
      </c>
      <c r="B109" s="32">
        <v>639.38</v>
      </c>
      <c r="C109">
        <f t="shared" si="2"/>
        <v>1992</v>
      </c>
      <c r="H109" s="85">
        <v>41014</v>
      </c>
      <c r="I109">
        <v>1777.12</v>
      </c>
      <c r="N109" s="69">
        <v>43271</v>
      </c>
      <c r="O109">
        <v>567.15</v>
      </c>
      <c r="P109">
        <v>567.15</v>
      </c>
      <c r="Q109">
        <v>569.28</v>
      </c>
      <c r="R109">
        <v>564.85</v>
      </c>
      <c r="S109" s="3">
        <v>0</v>
      </c>
      <c r="T109">
        <f t="shared" si="3"/>
        <v>2018</v>
      </c>
      <c r="W109" s="86">
        <v>40955</v>
      </c>
      <c r="X109">
        <v>509.1</v>
      </c>
    </row>
    <row r="110" spans="1:24">
      <c r="A110" s="68">
        <v>33676</v>
      </c>
      <c r="B110" s="33">
        <v>641.29</v>
      </c>
      <c r="C110">
        <f t="shared" si="2"/>
        <v>1992</v>
      </c>
      <c r="H110" s="85">
        <v>41015</v>
      </c>
      <c r="I110">
        <v>1777.12</v>
      </c>
      <c r="N110" s="69">
        <v>43270</v>
      </c>
      <c r="O110">
        <v>567.15</v>
      </c>
      <c r="P110">
        <v>567.29999999999995</v>
      </c>
      <c r="Q110">
        <v>568.78</v>
      </c>
      <c r="R110">
        <v>565.85</v>
      </c>
      <c r="S110" s="3">
        <v>-1E-4</v>
      </c>
      <c r="T110">
        <f t="shared" si="3"/>
        <v>2018</v>
      </c>
      <c r="W110" s="86">
        <v>40956</v>
      </c>
      <c r="X110">
        <v>509.95</v>
      </c>
    </row>
    <row r="111" spans="1:24">
      <c r="A111" s="68">
        <v>33677</v>
      </c>
      <c r="B111" s="32">
        <v>642</v>
      </c>
      <c r="C111">
        <f t="shared" si="2"/>
        <v>1992</v>
      </c>
      <c r="H111" s="85">
        <v>41016</v>
      </c>
      <c r="I111">
        <v>1775.67</v>
      </c>
      <c r="N111" s="69">
        <v>43269</v>
      </c>
      <c r="O111">
        <v>567.23</v>
      </c>
      <c r="P111">
        <v>567.27</v>
      </c>
      <c r="Q111">
        <v>569.21</v>
      </c>
      <c r="R111">
        <v>566.33000000000004</v>
      </c>
      <c r="S111" s="3">
        <v>-5.9999999999999995E-4</v>
      </c>
      <c r="T111">
        <f t="shared" si="3"/>
        <v>2018</v>
      </c>
      <c r="W111" s="86">
        <v>40959</v>
      </c>
      <c r="X111">
        <v>509.2</v>
      </c>
    </row>
    <row r="112" spans="1:24">
      <c r="A112" s="68">
        <v>33678</v>
      </c>
      <c r="B112" s="33">
        <v>642</v>
      </c>
      <c r="C112">
        <f t="shared" si="2"/>
        <v>1992</v>
      </c>
      <c r="H112" s="85">
        <v>41017</v>
      </c>
      <c r="I112">
        <v>1769.07</v>
      </c>
      <c r="N112" s="69">
        <v>43268</v>
      </c>
      <c r="O112">
        <v>567.54999999999995</v>
      </c>
      <c r="P112">
        <v>567.54999999999995</v>
      </c>
      <c r="Q112">
        <v>567.54999999999995</v>
      </c>
      <c r="R112">
        <v>567.54999999999995</v>
      </c>
      <c r="S112" s="3">
        <v>5.0000000000000001E-4</v>
      </c>
      <c r="T112">
        <f t="shared" si="3"/>
        <v>2018</v>
      </c>
      <c r="W112" s="86">
        <v>40960</v>
      </c>
      <c r="X112">
        <v>510.2</v>
      </c>
    </row>
    <row r="113" spans="1:24">
      <c r="A113" s="68">
        <v>33679</v>
      </c>
      <c r="B113" s="32">
        <v>642</v>
      </c>
      <c r="C113">
        <f t="shared" si="2"/>
        <v>1992</v>
      </c>
      <c r="H113" s="85">
        <v>41018</v>
      </c>
      <c r="I113">
        <v>1774.21</v>
      </c>
      <c r="N113" s="69">
        <v>43266</v>
      </c>
      <c r="O113">
        <v>567.25</v>
      </c>
      <c r="P113">
        <v>567.25</v>
      </c>
      <c r="Q113">
        <v>569.17999999999995</v>
      </c>
      <c r="R113">
        <v>565.4</v>
      </c>
      <c r="S113" s="3">
        <v>0</v>
      </c>
      <c r="T113">
        <f t="shared" si="3"/>
        <v>2018</v>
      </c>
      <c r="W113" s="86">
        <v>40961</v>
      </c>
      <c r="X113">
        <v>512.6</v>
      </c>
    </row>
    <row r="114" spans="1:24">
      <c r="A114" s="68">
        <v>33680</v>
      </c>
      <c r="B114" s="33">
        <v>644.13</v>
      </c>
      <c r="C114">
        <f t="shared" si="2"/>
        <v>1992</v>
      </c>
      <c r="H114" s="85">
        <v>41019</v>
      </c>
      <c r="I114">
        <v>1776.06</v>
      </c>
      <c r="N114" s="69">
        <v>43265</v>
      </c>
      <c r="O114">
        <v>567.25</v>
      </c>
      <c r="P114">
        <v>568.20000000000005</v>
      </c>
      <c r="Q114">
        <v>568.20000000000005</v>
      </c>
      <c r="R114">
        <v>565.75</v>
      </c>
      <c r="S114" s="3">
        <v>-8.0000000000000004E-4</v>
      </c>
      <c r="T114">
        <f t="shared" si="3"/>
        <v>2018</v>
      </c>
      <c r="W114" s="86">
        <v>40962</v>
      </c>
      <c r="X114">
        <v>512.70000000000005</v>
      </c>
    </row>
    <row r="115" spans="1:24">
      <c r="A115" s="68">
        <v>33681</v>
      </c>
      <c r="B115" s="32">
        <v>643.83000000000004</v>
      </c>
      <c r="C115">
        <f t="shared" si="2"/>
        <v>1992</v>
      </c>
      <c r="H115" s="85">
        <v>41020</v>
      </c>
      <c r="I115">
        <v>1771.13</v>
      </c>
      <c r="N115" s="69">
        <v>43264</v>
      </c>
      <c r="O115">
        <v>567.73</v>
      </c>
      <c r="P115">
        <v>567.73</v>
      </c>
      <c r="Q115">
        <v>568.71</v>
      </c>
      <c r="R115">
        <v>563.27</v>
      </c>
      <c r="S115" s="3">
        <v>0</v>
      </c>
      <c r="T115">
        <f t="shared" si="3"/>
        <v>2018</v>
      </c>
      <c r="W115" s="86">
        <v>40963</v>
      </c>
      <c r="X115">
        <v>512.6</v>
      </c>
    </row>
    <row r="116" spans="1:24">
      <c r="A116" s="68">
        <v>33682</v>
      </c>
      <c r="B116" s="33">
        <v>642.59</v>
      </c>
      <c r="C116">
        <f t="shared" si="2"/>
        <v>1992</v>
      </c>
      <c r="H116" s="85">
        <v>41021</v>
      </c>
      <c r="I116">
        <v>1771.13</v>
      </c>
      <c r="N116" s="69">
        <v>43263</v>
      </c>
      <c r="O116">
        <v>567.73</v>
      </c>
      <c r="P116">
        <v>567.77</v>
      </c>
      <c r="Q116">
        <v>568.70000000000005</v>
      </c>
      <c r="R116">
        <v>564.27</v>
      </c>
      <c r="S116" s="3">
        <v>0</v>
      </c>
      <c r="T116">
        <f t="shared" si="3"/>
        <v>2018</v>
      </c>
      <c r="W116" s="86">
        <v>40966</v>
      </c>
      <c r="X116">
        <v>512.65</v>
      </c>
    </row>
    <row r="117" spans="1:24">
      <c r="A117" s="68">
        <v>33683</v>
      </c>
      <c r="B117" s="32">
        <v>641.53</v>
      </c>
      <c r="C117">
        <f t="shared" si="2"/>
        <v>1992</v>
      </c>
      <c r="H117" s="85">
        <v>41022</v>
      </c>
      <c r="I117">
        <v>1771.13</v>
      </c>
      <c r="N117" s="69">
        <v>43262</v>
      </c>
      <c r="O117">
        <v>567.75</v>
      </c>
      <c r="P117">
        <v>565.75</v>
      </c>
      <c r="Q117">
        <v>567.75</v>
      </c>
      <c r="R117">
        <v>565.5</v>
      </c>
      <c r="S117" s="3">
        <v>4.4999999999999997E-3</v>
      </c>
      <c r="T117">
        <f t="shared" si="3"/>
        <v>2018</v>
      </c>
      <c r="W117" s="86">
        <v>40967</v>
      </c>
      <c r="X117">
        <v>512.70000000000005</v>
      </c>
    </row>
    <row r="118" spans="1:24">
      <c r="A118" s="68">
        <v>33684</v>
      </c>
      <c r="B118" s="33">
        <v>640.37</v>
      </c>
      <c r="C118">
        <f t="shared" si="2"/>
        <v>1992</v>
      </c>
      <c r="H118" s="85">
        <v>41023</v>
      </c>
      <c r="I118">
        <v>1774.44</v>
      </c>
      <c r="N118" s="69">
        <v>43261</v>
      </c>
      <c r="O118">
        <v>565.21</v>
      </c>
      <c r="P118">
        <v>565.21</v>
      </c>
      <c r="Q118">
        <v>565.21</v>
      </c>
      <c r="R118">
        <v>565.21</v>
      </c>
      <c r="S118" s="3">
        <v>-4.3E-3</v>
      </c>
      <c r="T118">
        <f t="shared" si="3"/>
        <v>2018</v>
      </c>
      <c r="W118" s="86">
        <v>40968</v>
      </c>
      <c r="X118">
        <v>512.6</v>
      </c>
    </row>
    <row r="119" spans="1:24">
      <c r="A119" s="68">
        <v>33685</v>
      </c>
      <c r="B119" s="32">
        <v>640.37</v>
      </c>
      <c r="C119">
        <f t="shared" si="2"/>
        <v>1992</v>
      </c>
      <c r="H119" s="85">
        <v>41024</v>
      </c>
      <c r="I119">
        <v>1767.91</v>
      </c>
      <c r="N119" s="69">
        <v>43259</v>
      </c>
      <c r="O119">
        <v>567.65</v>
      </c>
      <c r="P119">
        <v>567.1</v>
      </c>
      <c r="Q119">
        <v>569.54</v>
      </c>
      <c r="R119">
        <v>565.35</v>
      </c>
      <c r="S119" s="3">
        <v>5.0000000000000001E-4</v>
      </c>
      <c r="T119">
        <f t="shared" si="3"/>
        <v>2018</v>
      </c>
      <c r="W119" s="86">
        <v>40969</v>
      </c>
      <c r="X119">
        <v>512.6</v>
      </c>
    </row>
    <row r="120" spans="1:24">
      <c r="A120" s="68">
        <v>33686</v>
      </c>
      <c r="B120" s="33">
        <v>640.37</v>
      </c>
      <c r="C120">
        <f t="shared" si="2"/>
        <v>1992</v>
      </c>
      <c r="H120" s="85">
        <v>41025</v>
      </c>
      <c r="I120">
        <v>1763.85</v>
      </c>
      <c r="N120" s="69">
        <v>43258</v>
      </c>
      <c r="O120">
        <v>567.38</v>
      </c>
      <c r="P120">
        <v>567.38</v>
      </c>
      <c r="Q120">
        <v>569.36</v>
      </c>
      <c r="R120">
        <v>562.62</v>
      </c>
      <c r="S120" s="3">
        <v>2.8E-3</v>
      </c>
      <c r="T120">
        <f t="shared" si="3"/>
        <v>2018</v>
      </c>
      <c r="W120" s="86">
        <v>40970</v>
      </c>
      <c r="X120">
        <v>512.70000000000005</v>
      </c>
    </row>
    <row r="121" spans="1:24">
      <c r="A121" s="68">
        <v>33687</v>
      </c>
      <c r="B121" s="32">
        <v>640.37</v>
      </c>
      <c r="C121">
        <f t="shared" si="2"/>
        <v>1992</v>
      </c>
      <c r="H121" s="85">
        <v>41026</v>
      </c>
      <c r="I121">
        <v>1764.63</v>
      </c>
      <c r="N121" s="69">
        <v>43257</v>
      </c>
      <c r="O121">
        <v>565.82000000000005</v>
      </c>
      <c r="P121">
        <v>568.08000000000004</v>
      </c>
      <c r="Q121">
        <v>568.83000000000004</v>
      </c>
      <c r="R121">
        <v>563.08000000000004</v>
      </c>
      <c r="S121" s="3">
        <v>-2.0999999999999999E-3</v>
      </c>
      <c r="T121">
        <f t="shared" si="3"/>
        <v>2018</v>
      </c>
      <c r="W121" s="86">
        <v>40973</v>
      </c>
      <c r="X121">
        <v>512.6</v>
      </c>
    </row>
    <row r="122" spans="1:24">
      <c r="A122" s="68">
        <v>33688</v>
      </c>
      <c r="B122" s="33">
        <v>642</v>
      </c>
      <c r="C122">
        <f t="shared" si="2"/>
        <v>1992</v>
      </c>
      <c r="H122" s="85">
        <v>41027</v>
      </c>
      <c r="I122">
        <v>1761.2</v>
      </c>
      <c r="N122" s="69">
        <v>43256</v>
      </c>
      <c r="O122">
        <v>567</v>
      </c>
      <c r="P122">
        <v>567.25</v>
      </c>
      <c r="Q122">
        <v>569.63</v>
      </c>
      <c r="R122">
        <v>564</v>
      </c>
      <c r="S122" s="3">
        <v>-2.0000000000000001E-4</v>
      </c>
      <c r="T122">
        <f t="shared" si="3"/>
        <v>2018</v>
      </c>
      <c r="W122" s="86">
        <v>40974</v>
      </c>
      <c r="X122">
        <v>512.6</v>
      </c>
    </row>
    <row r="123" spans="1:24">
      <c r="A123" s="68">
        <v>33689</v>
      </c>
      <c r="B123" s="32">
        <v>641.80999999999995</v>
      </c>
      <c r="C123">
        <f t="shared" si="2"/>
        <v>1992</v>
      </c>
      <c r="H123" s="85">
        <v>41028</v>
      </c>
      <c r="I123">
        <v>1761.2</v>
      </c>
      <c r="N123" s="69">
        <v>43255</v>
      </c>
      <c r="O123">
        <v>567.12</v>
      </c>
      <c r="P123">
        <v>566.02</v>
      </c>
      <c r="Q123">
        <v>569.04999999999995</v>
      </c>
      <c r="R123">
        <v>563.88</v>
      </c>
      <c r="S123" s="3">
        <v>-2.3E-3</v>
      </c>
      <c r="T123">
        <f t="shared" si="3"/>
        <v>2018</v>
      </c>
      <c r="W123" s="86">
        <v>40975</v>
      </c>
      <c r="X123">
        <v>512.6</v>
      </c>
    </row>
    <row r="124" spans="1:24">
      <c r="A124" s="68">
        <v>33690</v>
      </c>
      <c r="B124" s="33">
        <v>641.22</v>
      </c>
      <c r="C124">
        <f t="shared" si="2"/>
        <v>1992</v>
      </c>
      <c r="H124" s="85">
        <v>41029</v>
      </c>
      <c r="I124">
        <v>1761.2</v>
      </c>
      <c r="N124" s="69">
        <v>43254</v>
      </c>
      <c r="O124">
        <v>568.42999999999995</v>
      </c>
      <c r="P124">
        <v>568.42999999999995</v>
      </c>
      <c r="Q124">
        <v>568.42999999999995</v>
      </c>
      <c r="R124">
        <v>568.42999999999995</v>
      </c>
      <c r="S124" s="3">
        <v>1.2999999999999999E-3</v>
      </c>
      <c r="T124">
        <f t="shared" si="3"/>
        <v>2018</v>
      </c>
      <c r="W124" s="86">
        <v>40976</v>
      </c>
      <c r="X124">
        <v>510.1</v>
      </c>
    </row>
    <row r="125" spans="1:24">
      <c r="A125" s="68">
        <v>33691</v>
      </c>
      <c r="B125" s="32">
        <v>647.24</v>
      </c>
      <c r="C125">
        <f t="shared" si="2"/>
        <v>1992</v>
      </c>
      <c r="H125" s="85">
        <v>41030</v>
      </c>
      <c r="I125">
        <v>1764</v>
      </c>
      <c r="N125" s="69">
        <v>43252</v>
      </c>
      <c r="O125">
        <v>567.70000000000005</v>
      </c>
      <c r="P125">
        <v>566.25</v>
      </c>
      <c r="Q125">
        <v>567.70000000000005</v>
      </c>
      <c r="R125">
        <v>562.15</v>
      </c>
      <c r="S125" s="3">
        <v>2.2000000000000001E-3</v>
      </c>
      <c r="T125">
        <f t="shared" si="3"/>
        <v>2018</v>
      </c>
      <c r="W125" s="86">
        <v>40977</v>
      </c>
      <c r="X125">
        <v>510.05</v>
      </c>
    </row>
    <row r="126" spans="1:24">
      <c r="A126" s="68">
        <v>33692</v>
      </c>
      <c r="B126" s="33">
        <v>647.24</v>
      </c>
      <c r="C126">
        <f t="shared" si="2"/>
        <v>1992</v>
      </c>
      <c r="H126" s="85">
        <v>41031</v>
      </c>
      <c r="I126">
        <v>1764</v>
      </c>
      <c r="N126" s="69">
        <v>43251</v>
      </c>
      <c r="O126">
        <v>566.48</v>
      </c>
      <c r="P126">
        <v>565.83000000000004</v>
      </c>
      <c r="Q126">
        <v>568.71</v>
      </c>
      <c r="R126">
        <v>562.77</v>
      </c>
      <c r="S126" s="3">
        <v>3.2000000000000002E-3</v>
      </c>
      <c r="T126">
        <f t="shared" si="3"/>
        <v>2018</v>
      </c>
      <c r="W126" s="86">
        <v>40980</v>
      </c>
      <c r="X126">
        <v>510</v>
      </c>
    </row>
    <row r="127" spans="1:24">
      <c r="A127" s="68">
        <v>33693</v>
      </c>
      <c r="B127" s="32">
        <v>647.24</v>
      </c>
      <c r="C127">
        <f t="shared" si="2"/>
        <v>1992</v>
      </c>
      <c r="H127" s="85">
        <v>41032</v>
      </c>
      <c r="I127">
        <v>1760.12</v>
      </c>
      <c r="N127" s="69">
        <v>43250</v>
      </c>
      <c r="O127">
        <v>564.65</v>
      </c>
      <c r="P127">
        <v>567.48</v>
      </c>
      <c r="Q127">
        <v>569</v>
      </c>
      <c r="R127">
        <v>564.08000000000004</v>
      </c>
      <c r="S127" s="3">
        <v>-3.0000000000000001E-3</v>
      </c>
      <c r="T127">
        <f t="shared" si="3"/>
        <v>2018</v>
      </c>
      <c r="W127" s="86">
        <v>40981</v>
      </c>
      <c r="X127">
        <v>507.1</v>
      </c>
    </row>
    <row r="128" spans="1:24">
      <c r="A128" s="68">
        <v>33694</v>
      </c>
      <c r="B128" s="33">
        <v>641.59</v>
      </c>
      <c r="C128">
        <f t="shared" si="2"/>
        <v>1992</v>
      </c>
      <c r="H128" s="85">
        <v>41033</v>
      </c>
      <c r="I128">
        <v>1754.89</v>
      </c>
      <c r="N128" s="69">
        <v>43249</v>
      </c>
      <c r="O128">
        <v>566.33000000000004</v>
      </c>
      <c r="P128">
        <v>567.30999999999995</v>
      </c>
      <c r="Q128">
        <v>569.74</v>
      </c>
      <c r="R128">
        <v>563.80999999999995</v>
      </c>
      <c r="S128" s="3">
        <v>1E-3</v>
      </c>
      <c r="T128">
        <f t="shared" si="3"/>
        <v>2018</v>
      </c>
      <c r="W128" s="86">
        <v>40982</v>
      </c>
      <c r="X128">
        <v>507.05</v>
      </c>
    </row>
    <row r="129" spans="1:24">
      <c r="A129" s="68">
        <v>33695</v>
      </c>
      <c r="B129" s="32">
        <v>641.98</v>
      </c>
      <c r="C129">
        <f t="shared" si="2"/>
        <v>1992</v>
      </c>
      <c r="H129" s="85">
        <v>41034</v>
      </c>
      <c r="I129">
        <v>1757.24</v>
      </c>
      <c r="N129" s="69">
        <v>43248</v>
      </c>
      <c r="O129">
        <v>565.75</v>
      </c>
      <c r="P129">
        <v>564.66999999999996</v>
      </c>
      <c r="Q129">
        <v>565.75</v>
      </c>
      <c r="R129">
        <v>564.04999999999995</v>
      </c>
      <c r="S129" s="3">
        <v>0</v>
      </c>
      <c r="T129">
        <f t="shared" si="3"/>
        <v>2018</v>
      </c>
      <c r="W129" s="86">
        <v>40983</v>
      </c>
      <c r="X129">
        <v>507.6</v>
      </c>
    </row>
    <row r="130" spans="1:24">
      <c r="A130" s="68">
        <v>33696</v>
      </c>
      <c r="B130" s="33">
        <v>645.14</v>
      </c>
      <c r="C130">
        <f t="shared" si="2"/>
        <v>1992</v>
      </c>
      <c r="H130" s="85">
        <v>41035</v>
      </c>
      <c r="I130">
        <v>1757.24</v>
      </c>
      <c r="N130" s="69">
        <v>43247</v>
      </c>
      <c r="O130">
        <v>565.74</v>
      </c>
      <c r="P130">
        <v>565.74</v>
      </c>
      <c r="Q130">
        <v>565.74</v>
      </c>
      <c r="R130">
        <v>565.74</v>
      </c>
      <c r="S130" s="3">
        <v>1.2999999999999999E-3</v>
      </c>
      <c r="T130">
        <f t="shared" si="3"/>
        <v>2018</v>
      </c>
      <c r="W130" s="86">
        <v>40984</v>
      </c>
      <c r="X130">
        <v>507.6</v>
      </c>
    </row>
    <row r="131" spans="1:24">
      <c r="A131" s="68">
        <v>33697</v>
      </c>
      <c r="B131" s="32">
        <v>644.77</v>
      </c>
      <c r="C131">
        <f t="shared" si="2"/>
        <v>1992</v>
      </c>
      <c r="H131" s="85">
        <v>41036</v>
      </c>
      <c r="I131">
        <v>1757.24</v>
      </c>
      <c r="N131" s="69">
        <v>43245</v>
      </c>
      <c r="O131">
        <v>565</v>
      </c>
      <c r="P131">
        <v>567.1</v>
      </c>
      <c r="Q131">
        <v>568.92999999999995</v>
      </c>
      <c r="R131">
        <v>564</v>
      </c>
      <c r="S131" s="3">
        <v>-1E-3</v>
      </c>
      <c r="T131">
        <f t="shared" si="3"/>
        <v>2018</v>
      </c>
      <c r="W131" s="86">
        <v>40987</v>
      </c>
      <c r="X131">
        <v>506.5</v>
      </c>
    </row>
    <row r="132" spans="1:24">
      <c r="A132" s="68">
        <v>33698</v>
      </c>
      <c r="B132" s="33">
        <v>643.11</v>
      </c>
      <c r="C132">
        <f t="shared" ref="C132:C195" si="4">YEAR(A132)</f>
        <v>1992</v>
      </c>
      <c r="H132" s="85">
        <v>41037</v>
      </c>
      <c r="I132">
        <v>1759.12</v>
      </c>
      <c r="N132" s="69">
        <v>43244</v>
      </c>
      <c r="O132">
        <v>565.54999999999995</v>
      </c>
      <c r="P132">
        <v>562.95000000000005</v>
      </c>
      <c r="Q132">
        <v>566.98</v>
      </c>
      <c r="R132">
        <v>562.45000000000005</v>
      </c>
      <c r="S132" s="3">
        <v>8.0000000000000004E-4</v>
      </c>
      <c r="T132">
        <f t="shared" ref="T132:T195" si="5">YEAR(N132)</f>
        <v>2018</v>
      </c>
      <c r="W132" s="86">
        <v>40988</v>
      </c>
      <c r="X132">
        <v>506.5</v>
      </c>
    </row>
    <row r="133" spans="1:24">
      <c r="A133" s="68">
        <v>33699</v>
      </c>
      <c r="B133" s="32">
        <v>643.11</v>
      </c>
      <c r="C133">
        <f t="shared" si="4"/>
        <v>1992</v>
      </c>
      <c r="H133" s="85">
        <v>41038</v>
      </c>
      <c r="I133">
        <v>1760.6</v>
      </c>
      <c r="N133" s="69">
        <v>43243</v>
      </c>
      <c r="O133">
        <v>565.12</v>
      </c>
      <c r="P133">
        <v>564.29</v>
      </c>
      <c r="Q133">
        <v>568.52</v>
      </c>
      <c r="R133">
        <v>563.84</v>
      </c>
      <c r="S133" s="3">
        <v>1.6999999999999999E-3</v>
      </c>
      <c r="T133">
        <f t="shared" si="5"/>
        <v>2018</v>
      </c>
      <c r="W133" s="86">
        <v>40989</v>
      </c>
      <c r="X133">
        <v>509</v>
      </c>
    </row>
    <row r="134" spans="1:24">
      <c r="A134" s="68">
        <v>33700</v>
      </c>
      <c r="B134" s="33">
        <v>643.11</v>
      </c>
      <c r="C134">
        <f t="shared" si="4"/>
        <v>1992</v>
      </c>
      <c r="H134" s="85">
        <v>41039</v>
      </c>
      <c r="I134">
        <v>1775.96</v>
      </c>
      <c r="N134" s="69">
        <v>43242</v>
      </c>
      <c r="O134">
        <v>564.16</v>
      </c>
      <c r="P134">
        <v>566.30999999999995</v>
      </c>
      <c r="Q134">
        <v>567.4</v>
      </c>
      <c r="R134">
        <v>563.80999999999995</v>
      </c>
      <c r="S134" s="3">
        <v>-1.9E-3</v>
      </c>
      <c r="T134">
        <f t="shared" si="5"/>
        <v>2018</v>
      </c>
      <c r="W134" s="86">
        <v>40990</v>
      </c>
      <c r="X134">
        <v>510.2</v>
      </c>
    </row>
    <row r="135" spans="1:24">
      <c r="A135" s="68">
        <v>33701</v>
      </c>
      <c r="B135" s="32">
        <v>645.73</v>
      </c>
      <c r="C135">
        <f t="shared" si="4"/>
        <v>1992</v>
      </c>
      <c r="H135" s="85">
        <v>41040</v>
      </c>
      <c r="I135">
        <v>1765</v>
      </c>
      <c r="N135" s="69">
        <v>43241</v>
      </c>
      <c r="O135">
        <v>565.25</v>
      </c>
      <c r="P135">
        <v>564.5</v>
      </c>
      <c r="Q135">
        <v>566.19000000000005</v>
      </c>
      <c r="R135">
        <v>562.66999999999996</v>
      </c>
      <c r="S135" s="3">
        <v>0</v>
      </c>
      <c r="T135">
        <f t="shared" si="5"/>
        <v>2018</v>
      </c>
      <c r="W135" s="86">
        <v>40991</v>
      </c>
      <c r="X135">
        <v>505.7</v>
      </c>
    </row>
    <row r="136" spans="1:24">
      <c r="A136" s="68">
        <v>33702</v>
      </c>
      <c r="B136" s="33">
        <v>643.98</v>
      </c>
      <c r="C136">
        <f t="shared" si="4"/>
        <v>1992</v>
      </c>
      <c r="H136" s="85">
        <v>41041</v>
      </c>
      <c r="I136">
        <v>1764.69</v>
      </c>
      <c r="N136" s="69">
        <v>43238</v>
      </c>
      <c r="O136">
        <v>565.25</v>
      </c>
      <c r="P136">
        <v>565.4</v>
      </c>
      <c r="Q136">
        <v>565.63</v>
      </c>
      <c r="R136">
        <v>564.28</v>
      </c>
      <c r="S136" s="3">
        <v>-1E-4</v>
      </c>
      <c r="T136">
        <f t="shared" si="5"/>
        <v>2018</v>
      </c>
      <c r="W136" s="86">
        <v>40994</v>
      </c>
      <c r="X136">
        <v>504.5</v>
      </c>
    </row>
    <row r="137" spans="1:24">
      <c r="A137" s="68">
        <v>33703</v>
      </c>
      <c r="B137" s="32">
        <v>644.61</v>
      </c>
      <c r="C137">
        <f t="shared" si="4"/>
        <v>1992</v>
      </c>
      <c r="H137" s="85">
        <v>41042</v>
      </c>
      <c r="I137">
        <v>1764.69</v>
      </c>
      <c r="N137" s="69">
        <v>43237</v>
      </c>
      <c r="O137">
        <v>565.33000000000004</v>
      </c>
      <c r="P137">
        <v>566.66999999999996</v>
      </c>
      <c r="Q137">
        <v>566.66999999999996</v>
      </c>
      <c r="R137">
        <v>564.89</v>
      </c>
      <c r="S137" s="3">
        <v>-1.1999999999999999E-3</v>
      </c>
      <c r="T137">
        <f t="shared" si="5"/>
        <v>2018</v>
      </c>
      <c r="W137" s="86">
        <v>40995</v>
      </c>
      <c r="X137">
        <v>504.6</v>
      </c>
    </row>
    <row r="138" spans="1:24">
      <c r="A138" s="68">
        <v>33704</v>
      </c>
      <c r="B138" s="33">
        <v>646.5</v>
      </c>
      <c r="C138">
        <f t="shared" si="4"/>
        <v>1992</v>
      </c>
      <c r="H138" s="85">
        <v>41043</v>
      </c>
      <c r="I138">
        <v>1764.69</v>
      </c>
      <c r="N138" s="69">
        <v>43236</v>
      </c>
      <c r="O138">
        <v>566</v>
      </c>
      <c r="P138">
        <v>564.22</v>
      </c>
      <c r="Q138">
        <v>566.34</v>
      </c>
      <c r="R138">
        <v>563.67999999999995</v>
      </c>
      <c r="S138" s="3">
        <v>1.1000000000000001E-3</v>
      </c>
      <c r="T138">
        <f t="shared" si="5"/>
        <v>2018</v>
      </c>
      <c r="W138" s="86">
        <v>40996</v>
      </c>
      <c r="X138">
        <v>506</v>
      </c>
    </row>
    <row r="139" spans="1:24">
      <c r="A139" s="68">
        <v>33705</v>
      </c>
      <c r="B139" s="32">
        <v>647.28</v>
      </c>
      <c r="C139">
        <f t="shared" si="4"/>
        <v>1992</v>
      </c>
      <c r="H139" s="85">
        <v>41044</v>
      </c>
      <c r="I139">
        <v>1771.6</v>
      </c>
      <c r="N139" s="69">
        <v>43235</v>
      </c>
      <c r="O139">
        <v>565.36</v>
      </c>
      <c r="P139">
        <v>566.45000000000005</v>
      </c>
      <c r="Q139">
        <v>568.4</v>
      </c>
      <c r="R139">
        <v>565.14</v>
      </c>
      <c r="S139" s="3">
        <v>-8.0000000000000004E-4</v>
      </c>
      <c r="T139">
        <f t="shared" si="5"/>
        <v>2018</v>
      </c>
      <c r="W139" s="86">
        <v>40997</v>
      </c>
      <c r="X139">
        <v>503.6</v>
      </c>
    </row>
    <row r="140" spans="1:24">
      <c r="A140" s="68">
        <v>33706</v>
      </c>
      <c r="B140" s="33">
        <v>647.28</v>
      </c>
      <c r="C140">
        <f t="shared" si="4"/>
        <v>1992</v>
      </c>
      <c r="H140" s="85">
        <v>41045</v>
      </c>
      <c r="I140">
        <v>1778.37</v>
      </c>
      <c r="N140" s="69">
        <v>43234</v>
      </c>
      <c r="O140">
        <v>565.83000000000004</v>
      </c>
      <c r="P140">
        <v>567.83000000000004</v>
      </c>
      <c r="Q140">
        <v>567.83000000000004</v>
      </c>
      <c r="R140">
        <v>565.08000000000004</v>
      </c>
      <c r="S140" s="3">
        <v>-1E-3</v>
      </c>
      <c r="T140">
        <f t="shared" si="5"/>
        <v>2018</v>
      </c>
      <c r="W140" s="86">
        <v>40998</v>
      </c>
      <c r="X140">
        <v>506.1</v>
      </c>
    </row>
    <row r="141" spans="1:24">
      <c r="A141" s="68">
        <v>33707</v>
      </c>
      <c r="B141" s="32">
        <v>647.28</v>
      </c>
      <c r="C141">
        <f t="shared" si="4"/>
        <v>1992</v>
      </c>
      <c r="H141" s="85">
        <v>41046</v>
      </c>
      <c r="I141">
        <v>1793.61</v>
      </c>
      <c r="N141" s="69">
        <v>43231</v>
      </c>
      <c r="O141">
        <v>566.38</v>
      </c>
      <c r="P141">
        <v>566.38</v>
      </c>
      <c r="Q141">
        <v>566.38</v>
      </c>
      <c r="R141">
        <v>564.62</v>
      </c>
      <c r="S141" s="3">
        <v>0</v>
      </c>
      <c r="T141">
        <f t="shared" si="5"/>
        <v>2018</v>
      </c>
      <c r="W141" s="86">
        <v>41001</v>
      </c>
      <c r="X141">
        <v>506</v>
      </c>
    </row>
    <row r="142" spans="1:24">
      <c r="A142" s="68">
        <v>33708</v>
      </c>
      <c r="B142" s="33">
        <v>649.48</v>
      </c>
      <c r="C142">
        <f t="shared" si="4"/>
        <v>1992</v>
      </c>
      <c r="H142" s="85">
        <v>41047</v>
      </c>
      <c r="I142">
        <v>1804.92</v>
      </c>
      <c r="N142" s="69">
        <v>43230</v>
      </c>
      <c r="O142">
        <v>566.38</v>
      </c>
      <c r="P142">
        <v>566.38</v>
      </c>
      <c r="Q142">
        <v>566.38</v>
      </c>
      <c r="R142">
        <v>564.52</v>
      </c>
      <c r="S142" s="3">
        <v>0</v>
      </c>
      <c r="T142">
        <f t="shared" si="5"/>
        <v>2018</v>
      </c>
      <c r="W142" s="86">
        <v>41002</v>
      </c>
      <c r="X142">
        <v>507.6</v>
      </c>
    </row>
    <row r="143" spans="1:24">
      <c r="A143" s="68">
        <v>33709</v>
      </c>
      <c r="B143" s="32">
        <v>655.66</v>
      </c>
      <c r="C143">
        <f t="shared" si="4"/>
        <v>1992</v>
      </c>
      <c r="H143" s="85">
        <v>41048</v>
      </c>
      <c r="I143">
        <v>1814.46</v>
      </c>
      <c r="N143" s="69">
        <v>43229</v>
      </c>
      <c r="O143">
        <v>566.38</v>
      </c>
      <c r="P143">
        <v>566.38</v>
      </c>
      <c r="Q143">
        <v>568.04999999999995</v>
      </c>
      <c r="R143">
        <v>563.62</v>
      </c>
      <c r="S143" s="3">
        <v>0</v>
      </c>
      <c r="T143">
        <f t="shared" si="5"/>
        <v>2018</v>
      </c>
      <c r="W143" s="86">
        <v>41003</v>
      </c>
      <c r="X143">
        <v>507</v>
      </c>
    </row>
    <row r="144" spans="1:24">
      <c r="A144" s="68">
        <v>33710</v>
      </c>
      <c r="B144" s="33">
        <v>657.97</v>
      </c>
      <c r="C144">
        <f t="shared" si="4"/>
        <v>1992</v>
      </c>
      <c r="H144" s="85">
        <v>41049</v>
      </c>
      <c r="I144">
        <v>1814.46</v>
      </c>
      <c r="N144" s="69">
        <v>43228</v>
      </c>
      <c r="O144">
        <v>566.38</v>
      </c>
      <c r="P144">
        <v>566.66999999999996</v>
      </c>
      <c r="Q144">
        <v>566.66999999999996</v>
      </c>
      <c r="R144">
        <v>563.62</v>
      </c>
      <c r="S144" s="3">
        <v>1E-3</v>
      </c>
      <c r="T144">
        <f t="shared" si="5"/>
        <v>2018</v>
      </c>
      <c r="W144" s="86">
        <v>41004</v>
      </c>
      <c r="X144">
        <v>505.5</v>
      </c>
    </row>
    <row r="145" spans="1:24">
      <c r="A145" s="68">
        <v>33711</v>
      </c>
      <c r="B145" s="32">
        <v>657.97</v>
      </c>
      <c r="C145">
        <f t="shared" si="4"/>
        <v>1992</v>
      </c>
      <c r="H145" s="85">
        <v>41050</v>
      </c>
      <c r="I145">
        <v>1814.46</v>
      </c>
      <c r="N145" s="69">
        <v>43227</v>
      </c>
      <c r="O145">
        <v>565.83000000000004</v>
      </c>
      <c r="P145">
        <v>567.33000000000004</v>
      </c>
      <c r="Q145">
        <v>569.5</v>
      </c>
      <c r="R145">
        <v>564.58000000000004</v>
      </c>
      <c r="S145" s="3">
        <v>-5.0000000000000001E-4</v>
      </c>
      <c r="T145">
        <f t="shared" si="5"/>
        <v>2018</v>
      </c>
      <c r="W145" s="86">
        <v>41005</v>
      </c>
      <c r="X145">
        <v>505.5</v>
      </c>
    </row>
    <row r="146" spans="1:24">
      <c r="A146" s="68">
        <v>33712</v>
      </c>
      <c r="B146" s="33">
        <v>657.97</v>
      </c>
      <c r="C146">
        <f t="shared" si="4"/>
        <v>1992</v>
      </c>
      <c r="H146" s="85">
        <v>41051</v>
      </c>
      <c r="I146">
        <v>1814.46</v>
      </c>
      <c r="N146" s="69">
        <v>43224</v>
      </c>
      <c r="O146">
        <v>566.12</v>
      </c>
      <c r="P146">
        <v>565.88</v>
      </c>
      <c r="Q146">
        <v>566.23</v>
      </c>
      <c r="R146">
        <v>562.27</v>
      </c>
      <c r="S146" s="3">
        <v>2.0000000000000001E-4</v>
      </c>
      <c r="T146">
        <f t="shared" si="5"/>
        <v>2018</v>
      </c>
      <c r="W146" s="86">
        <v>41008</v>
      </c>
      <c r="X146">
        <v>505.6</v>
      </c>
    </row>
    <row r="147" spans="1:24">
      <c r="A147" s="68">
        <v>33713</v>
      </c>
      <c r="B147" s="32">
        <v>657.97</v>
      </c>
      <c r="C147">
        <f t="shared" si="4"/>
        <v>1992</v>
      </c>
      <c r="H147" s="85">
        <v>41052</v>
      </c>
      <c r="I147">
        <v>1824.73</v>
      </c>
      <c r="N147" s="69">
        <v>43223</v>
      </c>
      <c r="O147">
        <v>566</v>
      </c>
      <c r="P147">
        <v>565.9</v>
      </c>
      <c r="Q147">
        <v>568.08000000000004</v>
      </c>
      <c r="R147">
        <v>562</v>
      </c>
      <c r="S147" s="3">
        <v>1E-4</v>
      </c>
      <c r="T147">
        <f t="shared" si="5"/>
        <v>2018</v>
      </c>
      <c r="W147" s="86">
        <v>41009</v>
      </c>
      <c r="X147">
        <v>508.6</v>
      </c>
    </row>
    <row r="148" spans="1:24">
      <c r="A148" s="68">
        <v>33714</v>
      </c>
      <c r="B148" s="33">
        <v>657.97</v>
      </c>
      <c r="C148">
        <f t="shared" si="4"/>
        <v>1992</v>
      </c>
      <c r="H148" s="85">
        <v>41053</v>
      </c>
      <c r="I148">
        <v>1845.17</v>
      </c>
      <c r="N148" s="69">
        <v>43222</v>
      </c>
      <c r="O148">
        <v>565.95000000000005</v>
      </c>
      <c r="P148">
        <v>564.79999999999995</v>
      </c>
      <c r="Q148">
        <v>565.95000000000005</v>
      </c>
      <c r="R148">
        <v>564.04999999999995</v>
      </c>
      <c r="S148" s="3">
        <v>1E-3</v>
      </c>
      <c r="T148">
        <f t="shared" si="5"/>
        <v>2018</v>
      </c>
      <c r="W148" s="86">
        <v>41010</v>
      </c>
      <c r="X148">
        <v>507.6</v>
      </c>
    </row>
    <row r="149" spans="1:24">
      <c r="A149" s="68">
        <v>33715</v>
      </c>
      <c r="B149" s="32">
        <v>655.32000000000005</v>
      </c>
      <c r="C149">
        <f t="shared" si="4"/>
        <v>1992</v>
      </c>
      <c r="H149" s="85">
        <v>41054</v>
      </c>
      <c r="I149">
        <v>1836.45</v>
      </c>
      <c r="N149" s="69">
        <v>43221</v>
      </c>
      <c r="O149">
        <v>565.38</v>
      </c>
      <c r="P149">
        <v>565.38</v>
      </c>
      <c r="Q149">
        <v>565.62</v>
      </c>
      <c r="R149">
        <v>564.62</v>
      </c>
      <c r="S149" s="3">
        <v>0</v>
      </c>
      <c r="T149">
        <f t="shared" si="5"/>
        <v>2018</v>
      </c>
      <c r="W149" s="86">
        <v>41011</v>
      </c>
      <c r="X149">
        <v>507.6</v>
      </c>
    </row>
    <row r="150" spans="1:24">
      <c r="A150" s="68">
        <v>33716</v>
      </c>
      <c r="B150" s="33">
        <v>652.57000000000005</v>
      </c>
      <c r="C150">
        <f t="shared" si="4"/>
        <v>1992</v>
      </c>
      <c r="H150" s="85">
        <v>41055</v>
      </c>
      <c r="I150">
        <v>1840.69</v>
      </c>
      <c r="N150" s="69">
        <v>43220</v>
      </c>
      <c r="O150">
        <v>565.38</v>
      </c>
      <c r="P150">
        <v>565.62</v>
      </c>
      <c r="Q150">
        <v>570.62</v>
      </c>
      <c r="R150">
        <v>564.64</v>
      </c>
      <c r="S150" s="3">
        <v>-2.0000000000000001E-4</v>
      </c>
      <c r="T150">
        <f t="shared" si="5"/>
        <v>2018</v>
      </c>
      <c r="W150" s="86">
        <v>41012</v>
      </c>
      <c r="X150">
        <v>504.6</v>
      </c>
    </row>
    <row r="151" spans="1:24">
      <c r="A151" s="68">
        <v>33717</v>
      </c>
      <c r="B151" s="32">
        <v>651.48</v>
      </c>
      <c r="C151">
        <f t="shared" si="4"/>
        <v>1992</v>
      </c>
      <c r="H151" s="85">
        <v>41056</v>
      </c>
      <c r="I151">
        <v>1840.69</v>
      </c>
      <c r="N151" s="69">
        <v>43217</v>
      </c>
      <c r="O151">
        <v>565.5</v>
      </c>
      <c r="P151">
        <v>565.45000000000005</v>
      </c>
      <c r="Q151">
        <v>566.22</v>
      </c>
      <c r="R151">
        <v>563.69000000000005</v>
      </c>
      <c r="S151" s="3">
        <v>0</v>
      </c>
      <c r="T151">
        <f t="shared" si="5"/>
        <v>2018</v>
      </c>
      <c r="W151" s="86">
        <v>41015</v>
      </c>
      <c r="X151">
        <v>504.6</v>
      </c>
    </row>
    <row r="152" spans="1:24">
      <c r="A152" s="68">
        <v>33718</v>
      </c>
      <c r="B152" s="33">
        <v>650.24</v>
      </c>
      <c r="C152">
        <f t="shared" si="4"/>
        <v>1992</v>
      </c>
      <c r="H152" s="85">
        <v>41057</v>
      </c>
      <c r="I152">
        <v>1840.69</v>
      </c>
      <c r="N152" s="69">
        <v>43216</v>
      </c>
      <c r="O152">
        <v>565.48</v>
      </c>
      <c r="P152">
        <v>565.23</v>
      </c>
      <c r="Q152">
        <v>565.48</v>
      </c>
      <c r="R152">
        <v>562.52</v>
      </c>
      <c r="S152" s="3">
        <v>2.0000000000000001E-4</v>
      </c>
      <c r="T152">
        <f t="shared" si="5"/>
        <v>2018</v>
      </c>
      <c r="W152" s="86">
        <v>41016</v>
      </c>
      <c r="X152">
        <v>504.6</v>
      </c>
    </row>
    <row r="153" spans="1:24">
      <c r="A153" s="68">
        <v>33719</v>
      </c>
      <c r="B153" s="32">
        <v>651.36</v>
      </c>
      <c r="C153">
        <f t="shared" si="4"/>
        <v>1992</v>
      </c>
      <c r="H153" s="85">
        <v>41058</v>
      </c>
      <c r="I153">
        <v>1840.69</v>
      </c>
      <c r="N153" s="69">
        <v>43215</v>
      </c>
      <c r="O153">
        <v>565.35</v>
      </c>
      <c r="P153">
        <v>565.5</v>
      </c>
      <c r="Q153">
        <v>565.5</v>
      </c>
      <c r="R153">
        <v>562.65</v>
      </c>
      <c r="S153" s="3">
        <v>-1E-4</v>
      </c>
      <c r="T153">
        <f t="shared" si="5"/>
        <v>2018</v>
      </c>
      <c r="W153" s="86">
        <v>41017</v>
      </c>
      <c r="X153">
        <v>502</v>
      </c>
    </row>
    <row r="154" spans="1:24">
      <c r="A154" s="68">
        <v>33720</v>
      </c>
      <c r="B154" s="33">
        <v>651.36</v>
      </c>
      <c r="C154">
        <f t="shared" si="4"/>
        <v>1992</v>
      </c>
      <c r="H154" s="85">
        <v>41059</v>
      </c>
      <c r="I154">
        <v>1818.82</v>
      </c>
      <c r="N154" s="69">
        <v>43214</v>
      </c>
      <c r="O154">
        <v>565.41999999999996</v>
      </c>
      <c r="P154">
        <v>565.73</v>
      </c>
      <c r="Q154">
        <v>565.73</v>
      </c>
      <c r="R154">
        <v>561.58000000000004</v>
      </c>
      <c r="S154" s="3">
        <v>-2.9999999999999997E-4</v>
      </c>
      <c r="T154">
        <f t="shared" si="5"/>
        <v>2018</v>
      </c>
      <c r="W154" s="86">
        <v>41018</v>
      </c>
      <c r="X154">
        <v>503.6</v>
      </c>
    </row>
    <row r="155" spans="1:24">
      <c r="A155" s="68">
        <v>33721</v>
      </c>
      <c r="B155" s="32">
        <v>651.36</v>
      </c>
      <c r="C155">
        <f t="shared" si="4"/>
        <v>1992</v>
      </c>
      <c r="H155" s="85">
        <v>41060</v>
      </c>
      <c r="I155">
        <v>1827.83</v>
      </c>
      <c r="N155" s="69">
        <v>43213</v>
      </c>
      <c r="O155">
        <v>565.58000000000004</v>
      </c>
      <c r="P155">
        <v>564.91999999999996</v>
      </c>
      <c r="Q155">
        <v>566.86</v>
      </c>
      <c r="R155">
        <v>563.41999999999996</v>
      </c>
      <c r="S155" s="3">
        <v>5.9999999999999995E-4</v>
      </c>
      <c r="T155">
        <f t="shared" si="5"/>
        <v>2018</v>
      </c>
      <c r="W155" s="86">
        <v>41019</v>
      </c>
      <c r="X155">
        <v>502.45</v>
      </c>
    </row>
    <row r="156" spans="1:24">
      <c r="A156" s="68">
        <v>33722</v>
      </c>
      <c r="B156" s="33">
        <v>650.30999999999995</v>
      </c>
      <c r="C156">
        <f t="shared" si="4"/>
        <v>1992</v>
      </c>
      <c r="H156" s="85">
        <v>41061</v>
      </c>
      <c r="I156">
        <v>1833.8</v>
      </c>
      <c r="N156" s="69">
        <v>43210</v>
      </c>
      <c r="O156">
        <v>565.25</v>
      </c>
      <c r="P156">
        <v>563.35</v>
      </c>
      <c r="Q156">
        <v>565.25</v>
      </c>
      <c r="R156">
        <v>563.29999999999995</v>
      </c>
      <c r="S156" s="3">
        <v>1E-4</v>
      </c>
      <c r="T156">
        <f t="shared" si="5"/>
        <v>2018</v>
      </c>
      <c r="W156" s="86">
        <v>41022</v>
      </c>
      <c r="X156">
        <v>501.7</v>
      </c>
    </row>
    <row r="157" spans="1:24">
      <c r="A157" s="68">
        <v>33723</v>
      </c>
      <c r="B157" s="32">
        <v>651.95000000000005</v>
      </c>
      <c r="C157">
        <f t="shared" si="4"/>
        <v>1992</v>
      </c>
      <c r="H157" s="85">
        <v>41062</v>
      </c>
      <c r="I157">
        <v>1834.71</v>
      </c>
      <c r="N157" s="69">
        <v>43209</v>
      </c>
      <c r="O157">
        <v>565.20000000000005</v>
      </c>
      <c r="P157">
        <v>565</v>
      </c>
      <c r="Q157">
        <v>567.04</v>
      </c>
      <c r="R157">
        <v>562.79999999999995</v>
      </c>
      <c r="S157" s="3">
        <v>2.0000000000000001E-4</v>
      </c>
      <c r="T157">
        <f t="shared" si="5"/>
        <v>2018</v>
      </c>
      <c r="W157" s="86">
        <v>41023</v>
      </c>
      <c r="X157">
        <v>505.6</v>
      </c>
    </row>
    <row r="158" spans="1:24">
      <c r="A158" s="68">
        <v>33724</v>
      </c>
      <c r="B158" s="33">
        <v>653.83000000000004</v>
      </c>
      <c r="C158">
        <f t="shared" si="4"/>
        <v>1992</v>
      </c>
      <c r="H158" s="85">
        <v>41063</v>
      </c>
      <c r="I158">
        <v>1834.71</v>
      </c>
      <c r="N158" s="69">
        <v>43208</v>
      </c>
      <c r="O158">
        <v>565.1</v>
      </c>
      <c r="P158">
        <v>565.15</v>
      </c>
      <c r="Q158">
        <v>565.15</v>
      </c>
      <c r="R158">
        <v>562.9</v>
      </c>
      <c r="S158" s="3">
        <v>0</v>
      </c>
      <c r="T158">
        <f t="shared" si="5"/>
        <v>2018</v>
      </c>
      <c r="W158" s="86">
        <v>41024</v>
      </c>
      <c r="X158">
        <v>505.7</v>
      </c>
    </row>
    <row r="159" spans="1:24">
      <c r="A159" s="68">
        <v>33725</v>
      </c>
      <c r="B159" s="32">
        <v>653.58000000000004</v>
      </c>
      <c r="C159">
        <f t="shared" si="4"/>
        <v>1992</v>
      </c>
      <c r="H159" s="85">
        <v>41064</v>
      </c>
      <c r="I159">
        <v>1834.71</v>
      </c>
      <c r="N159" s="69">
        <v>43207</v>
      </c>
      <c r="O159">
        <v>565.12</v>
      </c>
      <c r="P159">
        <v>564.91999999999996</v>
      </c>
      <c r="Q159">
        <v>566.38</v>
      </c>
      <c r="R159">
        <v>562.88</v>
      </c>
      <c r="S159" s="3">
        <v>-1.1000000000000001E-3</v>
      </c>
      <c r="T159">
        <f t="shared" si="5"/>
        <v>2018</v>
      </c>
      <c r="W159" s="86">
        <v>41025</v>
      </c>
      <c r="X159">
        <v>504.7</v>
      </c>
    </row>
    <row r="160" spans="1:24">
      <c r="A160" s="68">
        <v>33726</v>
      </c>
      <c r="B160" s="33">
        <v>653.58000000000004</v>
      </c>
      <c r="C160">
        <f t="shared" si="4"/>
        <v>1992</v>
      </c>
      <c r="H160" s="85">
        <v>41065</v>
      </c>
      <c r="I160">
        <v>1815.54</v>
      </c>
      <c r="N160" s="69">
        <v>43206</v>
      </c>
      <c r="O160">
        <v>565.75</v>
      </c>
      <c r="P160">
        <v>564.92999999999995</v>
      </c>
      <c r="Q160">
        <v>565.95000000000005</v>
      </c>
      <c r="R160">
        <v>564.25</v>
      </c>
      <c r="S160" s="3">
        <v>4.0000000000000002E-4</v>
      </c>
      <c r="T160">
        <f t="shared" si="5"/>
        <v>2018</v>
      </c>
      <c r="W160" s="86">
        <v>41026</v>
      </c>
      <c r="X160">
        <v>504.6</v>
      </c>
    </row>
    <row r="161" spans="1:24">
      <c r="A161" s="68">
        <v>33727</v>
      </c>
      <c r="B161" s="32">
        <v>653.58000000000004</v>
      </c>
      <c r="C161">
        <f t="shared" si="4"/>
        <v>1992</v>
      </c>
      <c r="H161" s="85">
        <v>41066</v>
      </c>
      <c r="I161">
        <v>1798.85</v>
      </c>
      <c r="N161" s="69">
        <v>43203</v>
      </c>
      <c r="O161">
        <v>565.5</v>
      </c>
      <c r="P161">
        <v>566.20000000000005</v>
      </c>
      <c r="Q161">
        <v>567.13</v>
      </c>
      <c r="R161">
        <v>564.94000000000005</v>
      </c>
      <c r="S161" s="3">
        <v>-2.3999999999999998E-3</v>
      </c>
      <c r="T161">
        <f t="shared" si="5"/>
        <v>2018</v>
      </c>
      <c r="W161" s="86">
        <v>41029</v>
      </c>
      <c r="X161">
        <v>504.5</v>
      </c>
    </row>
    <row r="162" spans="1:24">
      <c r="A162" s="68">
        <v>33728</v>
      </c>
      <c r="B162" s="33">
        <v>653.58000000000004</v>
      </c>
      <c r="C162">
        <f t="shared" si="4"/>
        <v>1992</v>
      </c>
      <c r="H162" s="85">
        <v>41067</v>
      </c>
      <c r="I162">
        <v>1782.89</v>
      </c>
      <c r="N162" s="69">
        <v>43202</v>
      </c>
      <c r="O162">
        <v>566.85</v>
      </c>
      <c r="P162">
        <v>567.4</v>
      </c>
      <c r="Q162">
        <v>567.88</v>
      </c>
      <c r="R162">
        <v>566.15</v>
      </c>
      <c r="S162" s="3">
        <v>-5.0000000000000001E-4</v>
      </c>
      <c r="T162">
        <f t="shared" si="5"/>
        <v>2018</v>
      </c>
      <c r="W162" s="86">
        <v>41030</v>
      </c>
      <c r="X162">
        <v>504.7</v>
      </c>
    </row>
    <row r="163" spans="1:24">
      <c r="A163" s="68">
        <v>33729</v>
      </c>
      <c r="B163" s="32">
        <v>653.1</v>
      </c>
      <c r="C163">
        <f t="shared" si="4"/>
        <v>1992</v>
      </c>
      <c r="H163" s="85">
        <v>41068</v>
      </c>
      <c r="I163">
        <v>1766.91</v>
      </c>
      <c r="N163" s="69">
        <v>43201</v>
      </c>
      <c r="O163">
        <v>567.12</v>
      </c>
      <c r="P163">
        <v>567.12</v>
      </c>
      <c r="Q163">
        <v>567.12</v>
      </c>
      <c r="R163">
        <v>565.27</v>
      </c>
      <c r="S163" s="3">
        <v>0</v>
      </c>
      <c r="T163">
        <f t="shared" si="5"/>
        <v>2018</v>
      </c>
      <c r="W163" s="86">
        <v>41031</v>
      </c>
      <c r="X163">
        <v>504.7</v>
      </c>
    </row>
    <row r="164" spans="1:24">
      <c r="A164" s="68">
        <v>33730</v>
      </c>
      <c r="B164" s="33">
        <v>653.70000000000005</v>
      </c>
      <c r="C164">
        <f t="shared" si="4"/>
        <v>1992</v>
      </c>
      <c r="H164" s="85">
        <v>41069</v>
      </c>
      <c r="I164">
        <v>1776.26</v>
      </c>
      <c r="N164" s="69">
        <v>43200</v>
      </c>
      <c r="O164">
        <v>567.12</v>
      </c>
      <c r="P164">
        <v>568.08000000000004</v>
      </c>
      <c r="Q164">
        <v>568.29999999999995</v>
      </c>
      <c r="R164">
        <v>564.78</v>
      </c>
      <c r="S164" s="3">
        <v>-8.0000000000000004E-4</v>
      </c>
      <c r="T164">
        <f t="shared" si="5"/>
        <v>2018</v>
      </c>
      <c r="W164" s="86">
        <v>41032</v>
      </c>
      <c r="X164">
        <v>507.7</v>
      </c>
    </row>
    <row r="165" spans="1:24">
      <c r="A165" s="68">
        <v>33731</v>
      </c>
      <c r="B165" s="32">
        <v>654.74</v>
      </c>
      <c r="C165">
        <f t="shared" si="4"/>
        <v>1992</v>
      </c>
      <c r="H165" s="85">
        <v>41070</v>
      </c>
      <c r="I165">
        <v>1776.26</v>
      </c>
      <c r="N165" s="69">
        <v>43199</v>
      </c>
      <c r="O165">
        <v>567.6</v>
      </c>
      <c r="P165">
        <v>568.29999999999995</v>
      </c>
      <c r="Q165">
        <v>568.29999999999995</v>
      </c>
      <c r="R165">
        <v>566.32000000000005</v>
      </c>
      <c r="S165" s="3">
        <v>-5.9999999999999995E-4</v>
      </c>
      <c r="T165">
        <f t="shared" si="5"/>
        <v>2018</v>
      </c>
      <c r="W165" s="86">
        <v>41033</v>
      </c>
      <c r="X165">
        <v>507.5</v>
      </c>
    </row>
    <row r="166" spans="1:24">
      <c r="A166" s="68">
        <v>33732</v>
      </c>
      <c r="B166" s="33">
        <v>656.4</v>
      </c>
      <c r="C166">
        <f t="shared" si="4"/>
        <v>1992</v>
      </c>
      <c r="H166" s="85">
        <v>41071</v>
      </c>
      <c r="I166">
        <v>1776.26</v>
      </c>
      <c r="N166" s="69">
        <v>43196</v>
      </c>
      <c r="O166">
        <v>567.95000000000005</v>
      </c>
      <c r="P166">
        <v>566.95000000000005</v>
      </c>
      <c r="Q166">
        <v>569.24</v>
      </c>
      <c r="R166">
        <v>564.54999999999995</v>
      </c>
      <c r="S166" s="3">
        <v>8.9999999999999998E-4</v>
      </c>
      <c r="T166">
        <f t="shared" si="5"/>
        <v>2018</v>
      </c>
      <c r="W166" s="86">
        <v>41036</v>
      </c>
      <c r="X166">
        <v>507.1</v>
      </c>
    </row>
    <row r="167" spans="1:24">
      <c r="A167" s="68">
        <v>33733</v>
      </c>
      <c r="B167" s="32">
        <v>657.91</v>
      </c>
      <c r="C167">
        <f t="shared" si="4"/>
        <v>1992</v>
      </c>
      <c r="H167" s="85">
        <v>41072</v>
      </c>
      <c r="I167">
        <v>1776.26</v>
      </c>
      <c r="N167" s="69">
        <v>43195</v>
      </c>
      <c r="O167">
        <v>567.45000000000005</v>
      </c>
      <c r="P167">
        <v>566.75</v>
      </c>
      <c r="Q167">
        <v>570.67999999999995</v>
      </c>
      <c r="R167">
        <v>564.04999999999995</v>
      </c>
      <c r="S167" s="3">
        <v>5.9999999999999995E-4</v>
      </c>
      <c r="T167">
        <f t="shared" si="5"/>
        <v>2018</v>
      </c>
      <c r="W167" s="86">
        <v>41037</v>
      </c>
      <c r="X167">
        <v>508.6</v>
      </c>
    </row>
    <row r="168" spans="1:24">
      <c r="A168" s="68">
        <v>33734</v>
      </c>
      <c r="B168" s="33">
        <v>657.91</v>
      </c>
      <c r="C168">
        <f t="shared" si="4"/>
        <v>1992</v>
      </c>
      <c r="H168" s="85">
        <v>41073</v>
      </c>
      <c r="I168">
        <v>1776.47</v>
      </c>
      <c r="N168" s="69">
        <v>43194</v>
      </c>
      <c r="O168">
        <v>567.1</v>
      </c>
      <c r="P168">
        <v>566.5</v>
      </c>
      <c r="Q168">
        <v>570.08000000000004</v>
      </c>
      <c r="R168">
        <v>562.9</v>
      </c>
      <c r="S168" s="3">
        <v>5.0000000000000001E-4</v>
      </c>
      <c r="T168">
        <f t="shared" si="5"/>
        <v>2018</v>
      </c>
      <c r="W168" s="86">
        <v>41038</v>
      </c>
      <c r="X168">
        <v>510</v>
      </c>
    </row>
    <row r="169" spans="1:24">
      <c r="A169" s="68">
        <v>33735</v>
      </c>
      <c r="B169" s="32">
        <v>657.91</v>
      </c>
      <c r="C169">
        <f t="shared" si="4"/>
        <v>1992</v>
      </c>
      <c r="H169" s="85">
        <v>41074</v>
      </c>
      <c r="I169">
        <v>1783.45</v>
      </c>
      <c r="N169" s="69">
        <v>43193</v>
      </c>
      <c r="O169">
        <v>566.79999999999995</v>
      </c>
      <c r="P169">
        <v>566.35</v>
      </c>
      <c r="Q169">
        <v>566.79999999999995</v>
      </c>
      <c r="R169">
        <v>564.20000000000005</v>
      </c>
      <c r="S169" s="3">
        <v>-5.0000000000000001E-4</v>
      </c>
      <c r="T169">
        <f t="shared" si="5"/>
        <v>2018</v>
      </c>
      <c r="W169" s="86">
        <v>41039</v>
      </c>
      <c r="X169">
        <v>503.7</v>
      </c>
    </row>
    <row r="170" spans="1:24">
      <c r="A170" s="68">
        <v>33736</v>
      </c>
      <c r="B170" s="33">
        <v>658.52</v>
      </c>
      <c r="C170">
        <f t="shared" si="4"/>
        <v>1992</v>
      </c>
      <c r="H170" s="85">
        <v>41075</v>
      </c>
      <c r="I170">
        <v>1787.63</v>
      </c>
      <c r="N170" s="69">
        <v>43192</v>
      </c>
      <c r="O170">
        <v>567.08000000000004</v>
      </c>
      <c r="P170">
        <v>566.33000000000004</v>
      </c>
      <c r="Q170">
        <v>568.61</v>
      </c>
      <c r="R170">
        <v>565.91999999999996</v>
      </c>
      <c r="S170" s="3">
        <v>0</v>
      </c>
      <c r="T170">
        <f t="shared" si="5"/>
        <v>2018</v>
      </c>
      <c r="W170" s="86">
        <v>41040</v>
      </c>
      <c r="X170">
        <v>503.6</v>
      </c>
    </row>
    <row r="171" spans="1:24">
      <c r="A171" s="68">
        <v>33737</v>
      </c>
      <c r="B171" s="32">
        <v>660.57</v>
      </c>
      <c r="C171">
        <f t="shared" si="4"/>
        <v>1992</v>
      </c>
      <c r="H171" s="85">
        <v>41076</v>
      </c>
      <c r="I171">
        <v>1786.21</v>
      </c>
      <c r="N171" s="69">
        <v>43189</v>
      </c>
      <c r="O171">
        <v>567.08000000000004</v>
      </c>
      <c r="P171">
        <v>566.29999999999995</v>
      </c>
      <c r="Q171">
        <v>571.11</v>
      </c>
      <c r="R171">
        <v>565.76</v>
      </c>
      <c r="S171" s="3">
        <v>0</v>
      </c>
      <c r="T171">
        <f t="shared" si="5"/>
        <v>2018</v>
      </c>
      <c r="W171" s="86">
        <v>41043</v>
      </c>
      <c r="X171">
        <v>503.6</v>
      </c>
    </row>
    <row r="172" spans="1:24">
      <c r="A172" s="68">
        <v>33738</v>
      </c>
      <c r="B172" s="33">
        <v>660.88</v>
      </c>
      <c r="C172">
        <f t="shared" si="4"/>
        <v>1992</v>
      </c>
      <c r="H172" s="85">
        <v>41077</v>
      </c>
      <c r="I172">
        <v>1786.21</v>
      </c>
      <c r="N172" s="69">
        <v>43188</v>
      </c>
      <c r="O172">
        <v>567.08000000000004</v>
      </c>
      <c r="P172">
        <v>567.08000000000004</v>
      </c>
      <c r="Q172">
        <v>571.52</v>
      </c>
      <c r="R172">
        <v>565.76</v>
      </c>
      <c r="S172" s="3">
        <v>0</v>
      </c>
      <c r="T172">
        <f t="shared" si="5"/>
        <v>2018</v>
      </c>
      <c r="W172" s="86">
        <v>41044</v>
      </c>
      <c r="X172">
        <v>503.6</v>
      </c>
    </row>
    <row r="173" spans="1:24">
      <c r="A173" s="68">
        <v>33739</v>
      </c>
      <c r="B173" s="32">
        <v>663.43</v>
      </c>
      <c r="C173">
        <f t="shared" si="4"/>
        <v>1992</v>
      </c>
      <c r="H173" s="85">
        <v>41078</v>
      </c>
      <c r="I173">
        <v>1786.21</v>
      </c>
      <c r="N173" s="69">
        <v>43187</v>
      </c>
      <c r="O173">
        <v>567.08000000000004</v>
      </c>
      <c r="P173">
        <v>567.08000000000004</v>
      </c>
      <c r="Q173">
        <v>570.25</v>
      </c>
      <c r="R173">
        <v>565.91999999999996</v>
      </c>
      <c r="S173" s="3">
        <v>0</v>
      </c>
      <c r="T173">
        <f t="shared" si="5"/>
        <v>2018</v>
      </c>
      <c r="W173" s="86">
        <v>41045</v>
      </c>
      <c r="X173">
        <v>503.6</v>
      </c>
    </row>
    <row r="174" spans="1:24">
      <c r="A174" s="68">
        <v>33740</v>
      </c>
      <c r="B174" s="33">
        <v>663.58</v>
      </c>
      <c r="C174">
        <f t="shared" si="4"/>
        <v>1992</v>
      </c>
      <c r="H174" s="85">
        <v>41079</v>
      </c>
      <c r="I174">
        <v>1786.21</v>
      </c>
      <c r="N174" s="69">
        <v>43186</v>
      </c>
      <c r="O174">
        <v>567.08000000000004</v>
      </c>
      <c r="P174">
        <v>566.02</v>
      </c>
      <c r="Q174">
        <v>571.11</v>
      </c>
      <c r="R174">
        <v>565.91999999999996</v>
      </c>
      <c r="S174" s="3">
        <v>0</v>
      </c>
      <c r="T174">
        <f t="shared" si="5"/>
        <v>2018</v>
      </c>
      <c r="W174" s="86">
        <v>41046</v>
      </c>
      <c r="X174">
        <v>502.6</v>
      </c>
    </row>
    <row r="175" spans="1:24">
      <c r="A175" s="68">
        <v>33741</v>
      </c>
      <c r="B175" s="32">
        <v>663.58</v>
      </c>
      <c r="C175">
        <f t="shared" si="4"/>
        <v>1992</v>
      </c>
      <c r="H175" s="85">
        <v>41080</v>
      </c>
      <c r="I175">
        <v>1773.18</v>
      </c>
      <c r="N175" s="69">
        <v>43185</v>
      </c>
      <c r="O175">
        <v>567.1</v>
      </c>
      <c r="P175">
        <v>567.77</v>
      </c>
      <c r="Q175">
        <v>573.4</v>
      </c>
      <c r="R175">
        <v>566.59</v>
      </c>
      <c r="S175" s="3">
        <v>5.9999999999999995E-4</v>
      </c>
      <c r="T175">
        <f t="shared" si="5"/>
        <v>2018</v>
      </c>
      <c r="W175" s="86">
        <v>41047</v>
      </c>
      <c r="X175">
        <v>502.6</v>
      </c>
    </row>
    <row r="176" spans="1:24">
      <c r="A176" s="68">
        <v>33742</v>
      </c>
      <c r="B176" s="33">
        <v>663.58</v>
      </c>
      <c r="C176">
        <f t="shared" si="4"/>
        <v>1992</v>
      </c>
      <c r="H176" s="85">
        <v>41081</v>
      </c>
      <c r="I176">
        <v>1770.38</v>
      </c>
      <c r="N176" s="69">
        <v>43182</v>
      </c>
      <c r="O176">
        <v>566.77</v>
      </c>
      <c r="P176">
        <v>566.41999999999996</v>
      </c>
      <c r="Q176">
        <v>571.4</v>
      </c>
      <c r="R176">
        <v>566.41999999999996</v>
      </c>
      <c r="S176" s="3">
        <v>-2.0000000000000001E-4</v>
      </c>
      <c r="T176">
        <f t="shared" si="5"/>
        <v>2018</v>
      </c>
      <c r="W176" s="86">
        <v>41050</v>
      </c>
      <c r="X176">
        <v>502.6</v>
      </c>
    </row>
    <row r="177" spans="1:24">
      <c r="A177" s="68">
        <v>33743</v>
      </c>
      <c r="B177" s="32">
        <v>663.75</v>
      </c>
      <c r="C177">
        <f t="shared" si="4"/>
        <v>1992</v>
      </c>
      <c r="H177" s="85">
        <v>41082</v>
      </c>
      <c r="I177">
        <v>1775.99</v>
      </c>
      <c r="N177" s="69">
        <v>43181</v>
      </c>
      <c r="O177">
        <v>566.9</v>
      </c>
      <c r="P177">
        <v>565.85</v>
      </c>
      <c r="Q177">
        <v>571.28</v>
      </c>
      <c r="R177">
        <v>565.79999999999995</v>
      </c>
      <c r="S177" s="3">
        <v>0</v>
      </c>
      <c r="T177">
        <f t="shared" si="5"/>
        <v>2018</v>
      </c>
      <c r="W177" s="86">
        <v>41051</v>
      </c>
      <c r="X177">
        <v>504.2</v>
      </c>
    </row>
    <row r="178" spans="1:24">
      <c r="A178" s="68">
        <v>33744</v>
      </c>
      <c r="B178" s="33">
        <v>664.5</v>
      </c>
      <c r="C178">
        <f t="shared" si="4"/>
        <v>1992</v>
      </c>
      <c r="H178" s="85">
        <v>41083</v>
      </c>
      <c r="I178">
        <v>1787.47</v>
      </c>
      <c r="N178" s="69">
        <v>43180</v>
      </c>
      <c r="O178">
        <v>566.91999999999996</v>
      </c>
      <c r="P178">
        <v>565.73</v>
      </c>
      <c r="Q178">
        <v>571.25</v>
      </c>
      <c r="R178">
        <v>565.32000000000005</v>
      </c>
      <c r="S178" s="3">
        <v>-1E-4</v>
      </c>
      <c r="T178">
        <f t="shared" si="5"/>
        <v>2018</v>
      </c>
      <c r="W178" s="86">
        <v>41052</v>
      </c>
      <c r="X178">
        <v>502.6</v>
      </c>
    </row>
    <row r="179" spans="1:24">
      <c r="A179" s="68">
        <v>33745</v>
      </c>
      <c r="B179" s="32">
        <v>663.1</v>
      </c>
      <c r="C179">
        <f t="shared" si="4"/>
        <v>1992</v>
      </c>
      <c r="H179" s="85">
        <v>41084</v>
      </c>
      <c r="I179">
        <v>1787.47</v>
      </c>
      <c r="N179" s="69">
        <v>43179</v>
      </c>
      <c r="O179">
        <v>566.98</v>
      </c>
      <c r="P179">
        <v>567.48</v>
      </c>
      <c r="Q179">
        <v>567.48</v>
      </c>
      <c r="R179">
        <v>565.66999999999996</v>
      </c>
      <c r="S179" s="3">
        <v>-1.6999999999999999E-3</v>
      </c>
      <c r="T179">
        <f t="shared" si="5"/>
        <v>2018</v>
      </c>
      <c r="W179" s="86">
        <v>41053</v>
      </c>
      <c r="X179">
        <v>505.1</v>
      </c>
    </row>
    <row r="180" spans="1:24">
      <c r="A180" s="68">
        <v>33746</v>
      </c>
      <c r="B180" s="33">
        <v>662.6</v>
      </c>
      <c r="C180">
        <f t="shared" si="4"/>
        <v>1992</v>
      </c>
      <c r="H180" s="85">
        <v>41085</v>
      </c>
      <c r="I180">
        <v>1787.47</v>
      </c>
      <c r="N180" s="69">
        <v>43178</v>
      </c>
      <c r="O180">
        <v>567.92999999999995</v>
      </c>
      <c r="P180">
        <v>567.80999999999995</v>
      </c>
      <c r="Q180">
        <v>571.66</v>
      </c>
      <c r="R180">
        <v>567.13</v>
      </c>
      <c r="S180" s="3">
        <v>-2.0000000000000001E-4</v>
      </c>
      <c r="T180">
        <f t="shared" si="5"/>
        <v>2018</v>
      </c>
      <c r="W180" s="86">
        <v>41054</v>
      </c>
      <c r="X180">
        <v>505.1</v>
      </c>
    </row>
    <row r="181" spans="1:24">
      <c r="A181" s="68">
        <v>33747</v>
      </c>
      <c r="B181" s="32">
        <v>662.11</v>
      </c>
      <c r="C181">
        <f t="shared" si="4"/>
        <v>1992</v>
      </c>
      <c r="H181" s="85">
        <v>41086</v>
      </c>
      <c r="I181">
        <v>1803.37</v>
      </c>
      <c r="N181" s="69">
        <v>43175</v>
      </c>
      <c r="O181">
        <v>568.03</v>
      </c>
      <c r="P181">
        <v>569.78</v>
      </c>
      <c r="Q181">
        <v>571.55999999999995</v>
      </c>
      <c r="R181">
        <v>567.47</v>
      </c>
      <c r="S181" s="3">
        <v>-1.5E-3</v>
      </c>
      <c r="T181">
        <f t="shared" si="5"/>
        <v>2018</v>
      </c>
      <c r="W181" s="86">
        <v>41057</v>
      </c>
      <c r="X181">
        <v>505.1</v>
      </c>
    </row>
    <row r="182" spans="1:24">
      <c r="A182" s="68">
        <v>33748</v>
      </c>
      <c r="B182" s="33">
        <v>662.11</v>
      </c>
      <c r="C182">
        <f t="shared" si="4"/>
        <v>1992</v>
      </c>
      <c r="H182" s="85">
        <v>41087</v>
      </c>
      <c r="I182">
        <v>1805.14</v>
      </c>
      <c r="N182" s="69">
        <v>43174</v>
      </c>
      <c r="O182">
        <v>568.9</v>
      </c>
      <c r="P182">
        <v>568.88</v>
      </c>
      <c r="Q182">
        <v>569.9</v>
      </c>
      <c r="R182">
        <v>568.28</v>
      </c>
      <c r="S182" s="3">
        <v>-8.9999999999999998E-4</v>
      </c>
      <c r="T182">
        <f t="shared" si="5"/>
        <v>2018</v>
      </c>
      <c r="W182" s="86">
        <v>41058</v>
      </c>
      <c r="X182">
        <v>502.5</v>
      </c>
    </row>
    <row r="183" spans="1:24">
      <c r="A183" s="68">
        <v>33749</v>
      </c>
      <c r="B183" s="32">
        <v>662.11</v>
      </c>
      <c r="C183">
        <f t="shared" si="4"/>
        <v>1992</v>
      </c>
      <c r="H183" s="85">
        <v>41088</v>
      </c>
      <c r="I183">
        <v>1796.18</v>
      </c>
      <c r="N183" s="69">
        <v>43173</v>
      </c>
      <c r="O183">
        <v>569.4</v>
      </c>
      <c r="P183">
        <v>568.83000000000004</v>
      </c>
      <c r="Q183">
        <v>569.96</v>
      </c>
      <c r="R183">
        <v>567.84</v>
      </c>
      <c r="S183" s="3">
        <v>-2.5000000000000001E-3</v>
      </c>
      <c r="T183">
        <f t="shared" si="5"/>
        <v>2018</v>
      </c>
      <c r="W183" s="86">
        <v>41059</v>
      </c>
      <c r="X183">
        <v>500.4</v>
      </c>
    </row>
    <row r="184" spans="1:24">
      <c r="A184" s="68">
        <v>33750</v>
      </c>
      <c r="B184" s="33">
        <v>662.15</v>
      </c>
      <c r="C184">
        <f t="shared" si="4"/>
        <v>1992</v>
      </c>
      <c r="H184" s="85">
        <v>41089</v>
      </c>
      <c r="I184">
        <v>1805.6</v>
      </c>
      <c r="N184" s="69">
        <v>43172</v>
      </c>
      <c r="O184">
        <v>570.82000000000005</v>
      </c>
      <c r="P184">
        <v>571.58000000000004</v>
      </c>
      <c r="Q184">
        <v>573.92999999999995</v>
      </c>
      <c r="R184">
        <v>569.61</v>
      </c>
      <c r="S184" s="3">
        <v>1.8E-3</v>
      </c>
      <c r="T184">
        <f t="shared" si="5"/>
        <v>2018</v>
      </c>
      <c r="W184" s="86">
        <v>41060</v>
      </c>
      <c r="X184">
        <v>501.7</v>
      </c>
    </row>
    <row r="185" spans="1:24">
      <c r="A185" s="68">
        <v>33751</v>
      </c>
      <c r="B185" s="32">
        <v>660.46</v>
      </c>
      <c r="C185">
        <f t="shared" si="4"/>
        <v>1992</v>
      </c>
      <c r="H185" s="85">
        <v>41090</v>
      </c>
      <c r="I185">
        <v>1784.6</v>
      </c>
      <c r="N185" s="69">
        <v>43171</v>
      </c>
      <c r="O185">
        <v>569.78</v>
      </c>
      <c r="P185">
        <v>569.78</v>
      </c>
      <c r="Q185">
        <v>569.98</v>
      </c>
      <c r="R185">
        <v>569.03</v>
      </c>
      <c r="S185" s="3">
        <v>0</v>
      </c>
      <c r="T185">
        <f t="shared" si="5"/>
        <v>2018</v>
      </c>
      <c r="W185" s="86">
        <v>41061</v>
      </c>
      <c r="X185">
        <v>501.6</v>
      </c>
    </row>
    <row r="186" spans="1:24">
      <c r="A186" s="68">
        <v>33752</v>
      </c>
      <c r="B186" s="33">
        <v>660.16</v>
      </c>
      <c r="C186">
        <f t="shared" si="4"/>
        <v>1992</v>
      </c>
      <c r="H186" s="85">
        <v>41091</v>
      </c>
      <c r="I186">
        <v>1784.6</v>
      </c>
      <c r="N186" s="69">
        <v>43168</v>
      </c>
      <c r="O186">
        <v>569.78</v>
      </c>
      <c r="P186">
        <v>569.98</v>
      </c>
      <c r="Q186">
        <v>569.98</v>
      </c>
      <c r="R186">
        <v>569.01</v>
      </c>
      <c r="S186" s="3">
        <v>-2.0000000000000001E-4</v>
      </c>
      <c r="T186">
        <f t="shared" si="5"/>
        <v>2018</v>
      </c>
      <c r="W186" s="86">
        <v>41064</v>
      </c>
      <c r="X186">
        <v>501.6</v>
      </c>
    </row>
    <row r="187" spans="1:24">
      <c r="A187" s="68">
        <v>33753</v>
      </c>
      <c r="B187" s="32">
        <v>660.99</v>
      </c>
      <c r="C187">
        <f t="shared" si="4"/>
        <v>1992</v>
      </c>
      <c r="H187" s="85">
        <v>41092</v>
      </c>
      <c r="I187">
        <v>1784.6</v>
      </c>
      <c r="N187" s="69">
        <v>43167</v>
      </c>
      <c r="O187">
        <v>569.88</v>
      </c>
      <c r="P187">
        <v>569.15</v>
      </c>
      <c r="Q187">
        <v>571.46</v>
      </c>
      <c r="R187">
        <v>568.91</v>
      </c>
      <c r="S187" s="3">
        <v>0</v>
      </c>
      <c r="T187">
        <f t="shared" si="5"/>
        <v>2018</v>
      </c>
      <c r="W187" s="86">
        <v>41065</v>
      </c>
      <c r="X187">
        <v>501.5</v>
      </c>
    </row>
    <row r="188" spans="1:24">
      <c r="A188" s="68">
        <v>33754</v>
      </c>
      <c r="B188" s="33">
        <v>664.37</v>
      </c>
      <c r="C188">
        <f t="shared" si="4"/>
        <v>1992</v>
      </c>
      <c r="H188" s="85">
        <v>41093</v>
      </c>
      <c r="I188">
        <v>1784.6</v>
      </c>
      <c r="N188" s="69">
        <v>43166</v>
      </c>
      <c r="O188">
        <v>569.88</v>
      </c>
      <c r="P188">
        <v>569.88</v>
      </c>
      <c r="Q188">
        <v>571.65</v>
      </c>
      <c r="R188">
        <v>568.83000000000004</v>
      </c>
      <c r="S188" s="3">
        <v>0</v>
      </c>
      <c r="T188">
        <f t="shared" si="5"/>
        <v>2018</v>
      </c>
      <c r="W188" s="86">
        <v>41066</v>
      </c>
      <c r="X188">
        <v>504.5</v>
      </c>
    </row>
    <row r="189" spans="1:24">
      <c r="A189" s="68">
        <v>33755</v>
      </c>
      <c r="B189" s="32">
        <v>664.37</v>
      </c>
      <c r="C189">
        <f t="shared" si="4"/>
        <v>1992</v>
      </c>
      <c r="H189" s="85">
        <v>41094</v>
      </c>
      <c r="I189">
        <v>1771.53</v>
      </c>
      <c r="N189" s="69">
        <v>43165</v>
      </c>
      <c r="O189">
        <v>569.88</v>
      </c>
      <c r="P189">
        <v>569.92999999999995</v>
      </c>
      <c r="Q189">
        <v>571.51</v>
      </c>
      <c r="R189">
        <v>568.83000000000004</v>
      </c>
      <c r="S189" s="3">
        <v>0</v>
      </c>
      <c r="T189">
        <f t="shared" si="5"/>
        <v>2018</v>
      </c>
      <c r="W189" s="86">
        <v>41067</v>
      </c>
      <c r="X189">
        <v>503.95</v>
      </c>
    </row>
    <row r="190" spans="1:24">
      <c r="A190" s="68">
        <v>33756</v>
      </c>
      <c r="B190" s="33">
        <v>664.37</v>
      </c>
      <c r="C190">
        <f t="shared" si="4"/>
        <v>1992</v>
      </c>
      <c r="H190" s="85">
        <v>41095</v>
      </c>
      <c r="I190">
        <v>1771.53</v>
      </c>
      <c r="N190" s="69">
        <v>43164</v>
      </c>
      <c r="O190">
        <v>569.9</v>
      </c>
      <c r="P190">
        <v>569.11</v>
      </c>
      <c r="Q190">
        <v>571.67999999999995</v>
      </c>
      <c r="R190">
        <v>568.79999999999995</v>
      </c>
      <c r="S190" s="3">
        <v>1E-4</v>
      </c>
      <c r="T190">
        <f t="shared" si="5"/>
        <v>2018</v>
      </c>
      <c r="W190" s="86">
        <v>41068</v>
      </c>
      <c r="X190">
        <v>503.1</v>
      </c>
    </row>
    <row r="191" spans="1:24">
      <c r="A191" s="68">
        <v>33757</v>
      </c>
      <c r="B191" s="32">
        <v>664.37</v>
      </c>
      <c r="C191">
        <f t="shared" si="4"/>
        <v>1992</v>
      </c>
      <c r="H191" s="85">
        <v>41096</v>
      </c>
      <c r="I191">
        <v>1774.37</v>
      </c>
      <c r="N191" s="69">
        <v>43161</v>
      </c>
      <c r="O191">
        <v>569.86</v>
      </c>
      <c r="P191">
        <v>569.15</v>
      </c>
      <c r="Q191">
        <v>570.11</v>
      </c>
      <c r="R191">
        <v>569.15</v>
      </c>
      <c r="S191" s="3">
        <v>-3.0000000000000001E-3</v>
      </c>
      <c r="T191">
        <f t="shared" si="5"/>
        <v>2018</v>
      </c>
      <c r="W191" s="86">
        <v>41071</v>
      </c>
      <c r="X191">
        <v>503.1</v>
      </c>
    </row>
    <row r="192" spans="1:24">
      <c r="A192" s="68">
        <v>33758</v>
      </c>
      <c r="B192" s="33">
        <v>666.11</v>
      </c>
      <c r="C192">
        <f t="shared" si="4"/>
        <v>1992</v>
      </c>
      <c r="H192" s="85">
        <v>41097</v>
      </c>
      <c r="I192">
        <v>1785.25</v>
      </c>
      <c r="N192" s="69">
        <v>43160</v>
      </c>
      <c r="O192">
        <v>571.6</v>
      </c>
      <c r="P192">
        <v>572.85</v>
      </c>
      <c r="Q192">
        <v>572.85</v>
      </c>
      <c r="R192">
        <v>571.03</v>
      </c>
      <c r="S192" s="3">
        <v>2.5999999999999999E-3</v>
      </c>
      <c r="T192">
        <f t="shared" si="5"/>
        <v>2018</v>
      </c>
      <c r="W192" s="86">
        <v>41072</v>
      </c>
      <c r="X192">
        <v>501.6</v>
      </c>
    </row>
    <row r="193" spans="1:24">
      <c r="A193" s="68">
        <v>33759</v>
      </c>
      <c r="B193" s="32">
        <v>664.3</v>
      </c>
      <c r="C193">
        <f t="shared" si="4"/>
        <v>1992</v>
      </c>
      <c r="H193" s="85">
        <v>41098</v>
      </c>
      <c r="I193">
        <v>1785.25</v>
      </c>
      <c r="N193" s="69">
        <v>43159</v>
      </c>
      <c r="O193">
        <v>570.13</v>
      </c>
      <c r="P193">
        <v>568.96</v>
      </c>
      <c r="Q193">
        <v>570.13</v>
      </c>
      <c r="R193">
        <v>568.96</v>
      </c>
      <c r="S193" s="3">
        <v>2.0000000000000001E-4</v>
      </c>
      <c r="T193">
        <f t="shared" si="5"/>
        <v>2018</v>
      </c>
      <c r="W193" s="86">
        <v>41073</v>
      </c>
      <c r="X193">
        <v>501.6</v>
      </c>
    </row>
    <row r="194" spans="1:24">
      <c r="A194" s="68">
        <v>33760</v>
      </c>
      <c r="B194" s="33">
        <v>666.47</v>
      </c>
      <c r="C194">
        <f t="shared" si="4"/>
        <v>1992</v>
      </c>
      <c r="H194" s="85">
        <v>41099</v>
      </c>
      <c r="I194">
        <v>1785.25</v>
      </c>
      <c r="N194" s="69">
        <v>43158</v>
      </c>
      <c r="O194">
        <v>570</v>
      </c>
      <c r="P194">
        <v>568.96</v>
      </c>
      <c r="Q194">
        <v>571.84</v>
      </c>
      <c r="R194">
        <v>568.38</v>
      </c>
      <c r="S194" s="3">
        <v>-2.7000000000000001E-3</v>
      </c>
      <c r="T194">
        <f t="shared" si="5"/>
        <v>2018</v>
      </c>
      <c r="W194" s="86">
        <v>41074</v>
      </c>
      <c r="X194">
        <v>498</v>
      </c>
    </row>
    <row r="195" spans="1:24">
      <c r="A195" s="68">
        <v>33761</v>
      </c>
      <c r="B195" s="32">
        <v>664.36</v>
      </c>
      <c r="C195">
        <f t="shared" si="4"/>
        <v>1992</v>
      </c>
      <c r="H195" s="85">
        <v>41100</v>
      </c>
      <c r="I195">
        <v>1790.25</v>
      </c>
      <c r="N195" s="69">
        <v>43157</v>
      </c>
      <c r="O195">
        <v>571.54999999999995</v>
      </c>
      <c r="P195">
        <v>571.79999999999995</v>
      </c>
      <c r="Q195">
        <v>572.9</v>
      </c>
      <c r="R195">
        <v>570.99</v>
      </c>
      <c r="S195" s="3">
        <v>-5.0000000000000001E-4</v>
      </c>
      <c r="T195">
        <f t="shared" si="5"/>
        <v>2018</v>
      </c>
      <c r="W195" s="86">
        <v>41075</v>
      </c>
      <c r="X195">
        <v>498</v>
      </c>
    </row>
    <row r="196" spans="1:24">
      <c r="A196" s="68">
        <v>33762</v>
      </c>
      <c r="B196" s="33">
        <v>664.36</v>
      </c>
      <c r="C196">
        <f t="shared" ref="C196:C259" si="6">YEAR(A196)</f>
        <v>1992</v>
      </c>
      <c r="H196" s="85">
        <v>41101</v>
      </c>
      <c r="I196">
        <v>1785.06</v>
      </c>
      <c r="N196" s="69">
        <v>43154</v>
      </c>
      <c r="O196">
        <v>571.82000000000005</v>
      </c>
      <c r="P196">
        <v>571.15</v>
      </c>
      <c r="Q196">
        <v>574.13</v>
      </c>
      <c r="R196">
        <v>571.15</v>
      </c>
      <c r="S196" s="3">
        <v>2.8999999999999998E-3</v>
      </c>
      <c r="T196">
        <f t="shared" ref="T196:T259" si="7">YEAR(N196)</f>
        <v>2018</v>
      </c>
      <c r="W196" s="86">
        <v>41078</v>
      </c>
      <c r="X196">
        <v>498</v>
      </c>
    </row>
    <row r="197" spans="1:24">
      <c r="A197" s="68">
        <v>33763</v>
      </c>
      <c r="B197" s="32">
        <v>664.36</v>
      </c>
      <c r="C197">
        <f t="shared" si="6"/>
        <v>1992</v>
      </c>
      <c r="H197" s="85">
        <v>41102</v>
      </c>
      <c r="I197">
        <v>1787.72</v>
      </c>
      <c r="N197" s="69">
        <v>43153</v>
      </c>
      <c r="O197">
        <v>570.15</v>
      </c>
      <c r="P197">
        <v>568.5</v>
      </c>
      <c r="Q197">
        <v>570.75</v>
      </c>
      <c r="R197">
        <v>568.4</v>
      </c>
      <c r="S197" s="3">
        <v>-5.0000000000000001E-4</v>
      </c>
      <c r="T197">
        <f t="shared" si="7"/>
        <v>2018</v>
      </c>
      <c r="W197" s="86">
        <v>41079</v>
      </c>
      <c r="X197">
        <v>499.4</v>
      </c>
    </row>
    <row r="198" spans="1:24">
      <c r="A198" s="68">
        <v>33764</v>
      </c>
      <c r="B198" s="33">
        <v>665.91</v>
      </c>
      <c r="C198">
        <f t="shared" si="6"/>
        <v>1992</v>
      </c>
      <c r="H198" s="85">
        <v>41103</v>
      </c>
      <c r="I198">
        <v>1790.12</v>
      </c>
      <c r="N198" s="69">
        <v>43152</v>
      </c>
      <c r="O198">
        <v>570.46</v>
      </c>
      <c r="P198">
        <v>567.99</v>
      </c>
      <c r="Q198">
        <v>570.46</v>
      </c>
      <c r="R198">
        <v>567.99</v>
      </c>
      <c r="S198" s="3">
        <v>6.9999999999999999E-4</v>
      </c>
      <c r="T198">
        <f t="shared" si="7"/>
        <v>2018</v>
      </c>
      <c r="W198" s="86">
        <v>41080</v>
      </c>
      <c r="X198">
        <v>499.1</v>
      </c>
    </row>
    <row r="199" spans="1:24">
      <c r="A199" s="68">
        <v>33765</v>
      </c>
      <c r="B199" s="32">
        <v>665.92</v>
      </c>
      <c r="C199">
        <f t="shared" si="6"/>
        <v>1992</v>
      </c>
      <c r="H199" s="85">
        <v>41104</v>
      </c>
      <c r="I199">
        <v>1780.21</v>
      </c>
      <c r="N199" s="69">
        <v>43151</v>
      </c>
      <c r="O199">
        <v>570.08000000000004</v>
      </c>
      <c r="P199">
        <v>568.96</v>
      </c>
      <c r="Q199">
        <v>570.08000000000004</v>
      </c>
      <c r="R199">
        <v>568.36</v>
      </c>
      <c r="S199" s="3">
        <v>-2.7000000000000001E-3</v>
      </c>
      <c r="T199">
        <f t="shared" si="7"/>
        <v>2018</v>
      </c>
      <c r="W199" s="86">
        <v>41081</v>
      </c>
      <c r="X199">
        <v>499.1</v>
      </c>
    </row>
    <row r="200" spans="1:24">
      <c r="A200" s="68">
        <v>33766</v>
      </c>
      <c r="B200" s="33">
        <v>667.96</v>
      </c>
      <c r="C200">
        <f t="shared" si="6"/>
        <v>1992</v>
      </c>
      <c r="H200" s="85">
        <v>41105</v>
      </c>
      <c r="I200">
        <v>1780.21</v>
      </c>
      <c r="N200" s="69">
        <v>43150</v>
      </c>
      <c r="O200">
        <v>571.63</v>
      </c>
      <c r="P200">
        <v>571.83000000000004</v>
      </c>
      <c r="Q200">
        <v>572.04999999999995</v>
      </c>
      <c r="R200">
        <v>571.63</v>
      </c>
      <c r="S200" s="3">
        <v>-2.9999999999999997E-4</v>
      </c>
      <c r="T200">
        <f t="shared" si="7"/>
        <v>2018</v>
      </c>
      <c r="W200" s="86">
        <v>41082</v>
      </c>
      <c r="X200">
        <v>499.1</v>
      </c>
    </row>
    <row r="201" spans="1:24">
      <c r="A201" s="68">
        <v>33767</v>
      </c>
      <c r="B201" s="32">
        <v>667.52</v>
      </c>
      <c r="C201">
        <f t="shared" si="6"/>
        <v>1992</v>
      </c>
      <c r="H201" s="85">
        <v>41106</v>
      </c>
      <c r="I201">
        <v>1780.21</v>
      </c>
      <c r="N201" s="69">
        <v>43147</v>
      </c>
      <c r="O201">
        <v>571.83000000000004</v>
      </c>
      <c r="P201">
        <v>571.5</v>
      </c>
      <c r="Q201">
        <v>572</v>
      </c>
      <c r="R201">
        <v>571.5</v>
      </c>
      <c r="S201" s="3">
        <v>2.5000000000000001E-3</v>
      </c>
      <c r="T201">
        <f t="shared" si="7"/>
        <v>2018</v>
      </c>
      <c r="W201" s="86">
        <v>41085</v>
      </c>
      <c r="X201">
        <v>499.6</v>
      </c>
    </row>
    <row r="202" spans="1:24">
      <c r="A202" s="68">
        <v>33768</v>
      </c>
      <c r="B202" s="33">
        <v>669.55</v>
      </c>
      <c r="C202">
        <f t="shared" si="6"/>
        <v>1992</v>
      </c>
      <c r="H202" s="85">
        <v>41107</v>
      </c>
      <c r="I202">
        <v>1778.42</v>
      </c>
      <c r="N202" s="69">
        <v>43146</v>
      </c>
      <c r="O202">
        <v>570.38</v>
      </c>
      <c r="P202">
        <v>570.66999999999996</v>
      </c>
      <c r="Q202">
        <v>571.11</v>
      </c>
      <c r="R202">
        <v>570.02</v>
      </c>
      <c r="S202" s="3">
        <v>-2.0000000000000001E-4</v>
      </c>
      <c r="T202">
        <f t="shared" si="7"/>
        <v>2018</v>
      </c>
      <c r="W202" s="86">
        <v>41086</v>
      </c>
      <c r="X202">
        <v>499.5</v>
      </c>
    </row>
    <row r="203" spans="1:24">
      <c r="A203" s="68">
        <v>33769</v>
      </c>
      <c r="B203" s="32">
        <v>669.55</v>
      </c>
      <c r="C203">
        <f t="shared" si="6"/>
        <v>1992</v>
      </c>
      <c r="H203" s="85">
        <v>41108</v>
      </c>
      <c r="I203">
        <v>1778.97</v>
      </c>
      <c r="N203" s="69">
        <v>43145</v>
      </c>
      <c r="O203">
        <v>570.52</v>
      </c>
      <c r="P203">
        <v>571.04999999999995</v>
      </c>
      <c r="Q203">
        <v>571.52</v>
      </c>
      <c r="R203">
        <v>569.82000000000005</v>
      </c>
      <c r="S203" s="3">
        <v>-8.9999999999999998E-4</v>
      </c>
      <c r="T203">
        <f t="shared" si="7"/>
        <v>2018</v>
      </c>
      <c r="W203" s="86">
        <v>41087</v>
      </c>
      <c r="X203">
        <v>499.5</v>
      </c>
    </row>
    <row r="204" spans="1:24">
      <c r="A204" s="68">
        <v>33770</v>
      </c>
      <c r="B204" s="33">
        <v>669.55</v>
      </c>
      <c r="C204">
        <f t="shared" si="6"/>
        <v>1992</v>
      </c>
      <c r="H204" s="85">
        <v>41109</v>
      </c>
      <c r="I204">
        <v>1778.28</v>
      </c>
      <c r="N204" s="69">
        <v>43144</v>
      </c>
      <c r="O204">
        <v>571.02</v>
      </c>
      <c r="P204">
        <v>572.29</v>
      </c>
      <c r="Q204">
        <v>572.91999999999996</v>
      </c>
      <c r="R204">
        <v>569.88</v>
      </c>
      <c r="S204" s="3">
        <v>-5.8999999999999999E-3</v>
      </c>
      <c r="T204">
        <f t="shared" si="7"/>
        <v>2018</v>
      </c>
      <c r="W204" s="86">
        <v>41088</v>
      </c>
      <c r="X204">
        <v>499.5</v>
      </c>
    </row>
    <row r="205" spans="1:24">
      <c r="A205" s="68">
        <v>33771</v>
      </c>
      <c r="B205" s="32">
        <v>671.36</v>
      </c>
      <c r="C205">
        <f t="shared" si="6"/>
        <v>1992</v>
      </c>
      <c r="H205" s="85">
        <v>41110</v>
      </c>
      <c r="I205">
        <v>1775.8</v>
      </c>
      <c r="N205" s="69">
        <v>43143</v>
      </c>
      <c r="O205">
        <v>574.41999999999996</v>
      </c>
      <c r="P205">
        <v>576.45000000000005</v>
      </c>
      <c r="Q205">
        <v>577.25</v>
      </c>
      <c r="R205">
        <v>574.1</v>
      </c>
      <c r="S205" s="3">
        <v>-3.5000000000000001E-3</v>
      </c>
      <c r="T205">
        <f t="shared" si="7"/>
        <v>2018</v>
      </c>
      <c r="W205" s="86">
        <v>41089</v>
      </c>
      <c r="X205">
        <v>499.7</v>
      </c>
    </row>
    <row r="206" spans="1:24">
      <c r="A206" s="68">
        <v>33772</v>
      </c>
      <c r="B206" s="33">
        <v>675.76</v>
      </c>
      <c r="C206">
        <f t="shared" si="6"/>
        <v>1992</v>
      </c>
      <c r="H206" s="85">
        <v>41111</v>
      </c>
      <c r="I206">
        <v>1775.8</v>
      </c>
      <c r="N206" s="69">
        <v>43140</v>
      </c>
      <c r="O206">
        <v>576.45000000000005</v>
      </c>
      <c r="P206">
        <v>576.67999999999995</v>
      </c>
      <c r="Q206">
        <v>577.25</v>
      </c>
      <c r="R206">
        <v>573.25</v>
      </c>
      <c r="S206" s="3">
        <v>5.8999999999999999E-3</v>
      </c>
      <c r="T206">
        <f t="shared" si="7"/>
        <v>2018</v>
      </c>
      <c r="W206" s="86">
        <v>41092</v>
      </c>
      <c r="X206">
        <v>499.7</v>
      </c>
    </row>
    <row r="207" spans="1:24">
      <c r="A207" s="68">
        <v>33773</v>
      </c>
      <c r="B207" s="32">
        <v>680.17</v>
      </c>
      <c r="C207">
        <f t="shared" si="6"/>
        <v>1992</v>
      </c>
      <c r="H207" s="85">
        <v>41112</v>
      </c>
      <c r="I207">
        <v>1775.8</v>
      </c>
      <c r="N207" s="69">
        <v>43139</v>
      </c>
      <c r="O207">
        <v>573.08000000000004</v>
      </c>
      <c r="P207">
        <v>570.6</v>
      </c>
      <c r="Q207">
        <v>574.08000000000004</v>
      </c>
      <c r="R207">
        <v>570.6</v>
      </c>
      <c r="S207" s="3">
        <v>1E-4</v>
      </c>
      <c r="T207">
        <f t="shared" si="7"/>
        <v>2018</v>
      </c>
      <c r="W207" s="86">
        <v>41093</v>
      </c>
      <c r="X207">
        <v>499.7</v>
      </c>
    </row>
    <row r="208" spans="1:24">
      <c r="A208" s="68">
        <v>33774</v>
      </c>
      <c r="B208" s="33">
        <v>678.25</v>
      </c>
      <c r="C208">
        <f t="shared" si="6"/>
        <v>1992</v>
      </c>
      <c r="H208" s="85">
        <v>41113</v>
      </c>
      <c r="I208">
        <v>1775.8</v>
      </c>
      <c r="N208" s="69">
        <v>43138</v>
      </c>
      <c r="O208">
        <v>573</v>
      </c>
      <c r="P208">
        <v>568.78</v>
      </c>
      <c r="Q208">
        <v>573</v>
      </c>
      <c r="R208">
        <v>568.78</v>
      </c>
      <c r="S208" s="3">
        <v>-3.0000000000000001E-3</v>
      </c>
      <c r="T208">
        <f t="shared" si="7"/>
        <v>2018</v>
      </c>
      <c r="W208" s="86">
        <v>41094</v>
      </c>
      <c r="X208">
        <v>499.6</v>
      </c>
    </row>
    <row r="209" spans="1:24">
      <c r="A209" s="68">
        <v>33775</v>
      </c>
      <c r="B209" s="32">
        <v>683.37</v>
      </c>
      <c r="C209">
        <f t="shared" si="6"/>
        <v>1992</v>
      </c>
      <c r="H209" s="85">
        <v>41114</v>
      </c>
      <c r="I209">
        <v>1790.39</v>
      </c>
      <c r="N209" s="69">
        <v>43137</v>
      </c>
      <c r="O209">
        <v>574.72</v>
      </c>
      <c r="P209">
        <v>571.35</v>
      </c>
      <c r="Q209">
        <v>575.26</v>
      </c>
      <c r="R209">
        <v>571.35</v>
      </c>
      <c r="S209" s="3">
        <v>5.1999999999999998E-3</v>
      </c>
      <c r="T209">
        <f t="shared" si="7"/>
        <v>2018</v>
      </c>
      <c r="W209" s="86">
        <v>41095</v>
      </c>
      <c r="X209">
        <v>499.6</v>
      </c>
    </row>
    <row r="210" spans="1:24">
      <c r="A210" s="68">
        <v>33776</v>
      </c>
      <c r="B210" s="33">
        <v>683.37</v>
      </c>
      <c r="C210">
        <f t="shared" si="6"/>
        <v>1992</v>
      </c>
      <c r="H210" s="85">
        <v>41115</v>
      </c>
      <c r="I210">
        <v>1797.33</v>
      </c>
      <c r="N210" s="69">
        <v>43136</v>
      </c>
      <c r="O210">
        <v>571.73</v>
      </c>
      <c r="P210">
        <v>569.75</v>
      </c>
      <c r="Q210">
        <v>571.73</v>
      </c>
      <c r="R210">
        <v>568.75</v>
      </c>
      <c r="S210" s="3">
        <v>-2.2000000000000001E-3</v>
      </c>
      <c r="T210">
        <f t="shared" si="7"/>
        <v>2018</v>
      </c>
      <c r="W210" s="86">
        <v>41096</v>
      </c>
      <c r="X210">
        <v>503.5</v>
      </c>
    </row>
    <row r="211" spans="1:24">
      <c r="A211" s="68">
        <v>33777</v>
      </c>
      <c r="B211" s="32">
        <v>683.37</v>
      </c>
      <c r="C211">
        <f t="shared" si="6"/>
        <v>1992</v>
      </c>
      <c r="H211" s="85">
        <v>41116</v>
      </c>
      <c r="I211">
        <v>1799.48</v>
      </c>
      <c r="N211" s="69">
        <v>43133</v>
      </c>
      <c r="O211">
        <v>572.98</v>
      </c>
      <c r="P211">
        <v>572.66</v>
      </c>
      <c r="Q211">
        <v>574.5</v>
      </c>
      <c r="R211">
        <v>570.33000000000004</v>
      </c>
      <c r="S211" s="3">
        <v>2.8999999999999998E-3</v>
      </c>
      <c r="T211">
        <f t="shared" si="7"/>
        <v>2018</v>
      </c>
      <c r="W211" s="86">
        <v>41099</v>
      </c>
      <c r="X211">
        <v>504.6</v>
      </c>
    </row>
    <row r="212" spans="1:24">
      <c r="A212" s="68">
        <v>33778</v>
      </c>
      <c r="B212" s="33">
        <v>683.37</v>
      </c>
      <c r="C212">
        <f t="shared" si="6"/>
        <v>1992</v>
      </c>
      <c r="H212" s="85">
        <v>41117</v>
      </c>
      <c r="I212">
        <v>1789.22</v>
      </c>
      <c r="N212" s="69">
        <v>43132</v>
      </c>
      <c r="O212">
        <v>571.29999999999995</v>
      </c>
      <c r="P212">
        <v>571</v>
      </c>
      <c r="Q212">
        <v>574.5</v>
      </c>
      <c r="R212">
        <v>570.33000000000004</v>
      </c>
      <c r="S212" s="3">
        <v>-1E-4</v>
      </c>
      <c r="T212">
        <f t="shared" si="7"/>
        <v>2018</v>
      </c>
      <c r="W212" s="86">
        <v>41100</v>
      </c>
      <c r="X212">
        <v>504.1</v>
      </c>
    </row>
    <row r="213" spans="1:24">
      <c r="A213" s="68">
        <v>33779</v>
      </c>
      <c r="B213" s="32">
        <v>690.08</v>
      </c>
      <c r="C213">
        <f t="shared" si="6"/>
        <v>1992</v>
      </c>
      <c r="H213" s="85">
        <v>41118</v>
      </c>
      <c r="I213">
        <v>1791.12</v>
      </c>
      <c r="N213" s="69">
        <v>43131</v>
      </c>
      <c r="O213">
        <v>571.38</v>
      </c>
      <c r="P213">
        <v>570.91999999999996</v>
      </c>
      <c r="Q213">
        <v>572.63</v>
      </c>
      <c r="R213">
        <v>570.33000000000004</v>
      </c>
      <c r="S213" s="3">
        <v>1.6000000000000001E-3</v>
      </c>
      <c r="T213">
        <f t="shared" si="7"/>
        <v>2018</v>
      </c>
      <c r="W213" s="86">
        <v>41101</v>
      </c>
      <c r="X213">
        <v>504.05</v>
      </c>
    </row>
    <row r="214" spans="1:24">
      <c r="A214" s="68">
        <v>33780</v>
      </c>
      <c r="B214" s="33">
        <v>699.09</v>
      </c>
      <c r="C214">
        <f t="shared" si="6"/>
        <v>1992</v>
      </c>
      <c r="H214" s="85">
        <v>41119</v>
      </c>
      <c r="I214">
        <v>1791.12</v>
      </c>
      <c r="N214" s="69">
        <v>43130</v>
      </c>
      <c r="O214">
        <v>570.45000000000005</v>
      </c>
      <c r="P214">
        <v>569.85</v>
      </c>
      <c r="Q214">
        <v>570.82000000000005</v>
      </c>
      <c r="R214">
        <v>569.14</v>
      </c>
      <c r="S214" s="3">
        <v>-1E-3</v>
      </c>
      <c r="T214">
        <f t="shared" si="7"/>
        <v>2018</v>
      </c>
      <c r="W214" s="86">
        <v>41102</v>
      </c>
      <c r="X214">
        <v>499.5</v>
      </c>
    </row>
    <row r="215" spans="1:24">
      <c r="A215" s="68">
        <v>33781</v>
      </c>
      <c r="B215" s="32">
        <v>701.83</v>
      </c>
      <c r="C215">
        <f t="shared" si="6"/>
        <v>1992</v>
      </c>
      <c r="H215" s="85">
        <v>41120</v>
      </c>
      <c r="I215">
        <v>1791.12</v>
      </c>
      <c r="N215" s="69">
        <v>43129</v>
      </c>
      <c r="O215">
        <v>571.03</v>
      </c>
      <c r="P215">
        <v>571</v>
      </c>
      <c r="Q215">
        <v>572</v>
      </c>
      <c r="R215">
        <v>570.33000000000004</v>
      </c>
      <c r="S215" s="3">
        <v>1E-4</v>
      </c>
      <c r="T215">
        <f t="shared" si="7"/>
        <v>2018</v>
      </c>
      <c r="W215" s="86">
        <v>41103</v>
      </c>
      <c r="X215">
        <v>499.6</v>
      </c>
    </row>
    <row r="216" spans="1:24">
      <c r="A216" s="68">
        <v>33782</v>
      </c>
      <c r="B216" s="33">
        <v>697.57</v>
      </c>
      <c r="C216">
        <f t="shared" si="6"/>
        <v>1992</v>
      </c>
      <c r="H216" s="85">
        <v>41121</v>
      </c>
      <c r="I216">
        <v>1789.02</v>
      </c>
      <c r="N216" s="69">
        <v>43126</v>
      </c>
      <c r="O216">
        <v>571</v>
      </c>
      <c r="P216">
        <v>570.07000000000005</v>
      </c>
      <c r="Q216">
        <v>572</v>
      </c>
      <c r="R216">
        <v>570.07000000000005</v>
      </c>
      <c r="S216" s="3">
        <v>6.9999999999999999E-4</v>
      </c>
      <c r="T216">
        <f t="shared" si="7"/>
        <v>2018</v>
      </c>
      <c r="W216" s="86">
        <v>41106</v>
      </c>
      <c r="X216">
        <v>499.6</v>
      </c>
    </row>
    <row r="217" spans="1:24">
      <c r="A217" s="68">
        <v>33783</v>
      </c>
      <c r="B217" s="32">
        <v>697.57</v>
      </c>
      <c r="C217">
        <f t="shared" si="6"/>
        <v>1992</v>
      </c>
      <c r="H217" s="85">
        <v>41122</v>
      </c>
      <c r="I217">
        <v>1790.74</v>
      </c>
      <c r="N217" s="69">
        <v>43125</v>
      </c>
      <c r="O217">
        <v>570.6</v>
      </c>
      <c r="P217">
        <v>572</v>
      </c>
      <c r="Q217">
        <v>572</v>
      </c>
      <c r="R217">
        <v>570.07000000000005</v>
      </c>
      <c r="S217" s="3">
        <v>-1.1000000000000001E-3</v>
      </c>
      <c r="T217">
        <f t="shared" si="7"/>
        <v>2018</v>
      </c>
      <c r="W217" s="86">
        <v>41107</v>
      </c>
      <c r="X217">
        <v>499.6</v>
      </c>
    </row>
    <row r="218" spans="1:24">
      <c r="A218" s="68">
        <v>33784</v>
      </c>
      <c r="B218" s="33">
        <v>697.57</v>
      </c>
      <c r="C218">
        <f t="shared" si="6"/>
        <v>1992</v>
      </c>
      <c r="H218" s="85">
        <v>41123</v>
      </c>
      <c r="I218">
        <v>1787.51</v>
      </c>
      <c r="N218" s="69">
        <v>43124</v>
      </c>
      <c r="O218">
        <v>571.22</v>
      </c>
      <c r="P218">
        <v>571.02</v>
      </c>
      <c r="Q218">
        <v>572</v>
      </c>
      <c r="R218">
        <v>570</v>
      </c>
      <c r="S218" s="3">
        <v>8.9999999999999998E-4</v>
      </c>
      <c r="T218">
        <f t="shared" si="7"/>
        <v>2018</v>
      </c>
      <c r="W218" s="86">
        <v>41108</v>
      </c>
      <c r="X218">
        <v>499.6</v>
      </c>
    </row>
    <row r="219" spans="1:24">
      <c r="A219" s="68">
        <v>33785</v>
      </c>
      <c r="B219" s="32">
        <v>697.57</v>
      </c>
      <c r="C219">
        <f t="shared" si="6"/>
        <v>1992</v>
      </c>
      <c r="H219" s="85">
        <v>41124</v>
      </c>
      <c r="I219">
        <v>1790.97</v>
      </c>
      <c r="N219" s="69">
        <v>43123</v>
      </c>
      <c r="O219">
        <v>570.71</v>
      </c>
      <c r="P219">
        <v>571.09</v>
      </c>
      <c r="Q219">
        <v>571.52</v>
      </c>
      <c r="R219">
        <v>570.49</v>
      </c>
      <c r="S219" s="3">
        <v>6.8999999999999999E-3</v>
      </c>
      <c r="T219">
        <f t="shared" si="7"/>
        <v>2018</v>
      </c>
      <c r="W219" s="86">
        <v>41109</v>
      </c>
      <c r="X219">
        <v>499.6</v>
      </c>
    </row>
    <row r="220" spans="1:24">
      <c r="A220" s="68">
        <v>33786</v>
      </c>
      <c r="B220" s="33">
        <v>695.36</v>
      </c>
      <c r="C220">
        <f t="shared" si="6"/>
        <v>1992</v>
      </c>
      <c r="H220" s="85">
        <v>41125</v>
      </c>
      <c r="I220">
        <v>1786.06</v>
      </c>
      <c r="N220" s="69">
        <v>43122</v>
      </c>
      <c r="O220">
        <v>566.79999999999995</v>
      </c>
      <c r="P220">
        <v>567.67999999999995</v>
      </c>
      <c r="Q220">
        <v>567.67999999999995</v>
      </c>
      <c r="R220">
        <v>566.79999999999995</v>
      </c>
      <c r="S220" s="3">
        <v>-7.1000000000000004E-3</v>
      </c>
      <c r="T220">
        <f t="shared" si="7"/>
        <v>2018</v>
      </c>
      <c r="W220" s="86">
        <v>41110</v>
      </c>
      <c r="X220">
        <v>499.6</v>
      </c>
    </row>
    <row r="221" spans="1:24">
      <c r="A221" s="68">
        <v>33787</v>
      </c>
      <c r="B221" s="32">
        <v>694.43</v>
      </c>
      <c r="C221">
        <f t="shared" si="6"/>
        <v>1992</v>
      </c>
      <c r="H221" s="85">
        <v>41126</v>
      </c>
      <c r="I221">
        <v>1786.06</v>
      </c>
      <c r="N221" s="69">
        <v>43119</v>
      </c>
      <c r="O221">
        <v>570.88</v>
      </c>
      <c r="P221">
        <v>570</v>
      </c>
      <c r="Q221">
        <v>570.9</v>
      </c>
      <c r="R221">
        <v>569.71</v>
      </c>
      <c r="S221" s="3">
        <v>7.1999999999999998E-3</v>
      </c>
      <c r="T221">
        <f t="shared" si="7"/>
        <v>2018</v>
      </c>
      <c r="W221" s="86">
        <v>41113</v>
      </c>
      <c r="X221">
        <v>499.6</v>
      </c>
    </row>
    <row r="222" spans="1:24">
      <c r="A222" s="68">
        <v>33788</v>
      </c>
      <c r="B222" s="33">
        <v>693.71</v>
      </c>
      <c r="C222">
        <f t="shared" si="6"/>
        <v>1992</v>
      </c>
      <c r="H222" s="85">
        <v>41127</v>
      </c>
      <c r="I222">
        <v>1786.06</v>
      </c>
      <c r="N222" s="69">
        <v>43118</v>
      </c>
      <c r="O222">
        <v>566.79999999999995</v>
      </c>
      <c r="P222">
        <v>566.79999999999995</v>
      </c>
      <c r="Q222">
        <v>567.65</v>
      </c>
      <c r="R222">
        <v>566.51</v>
      </c>
      <c r="S222" s="3">
        <v>-5.1999999999999998E-3</v>
      </c>
      <c r="T222">
        <f t="shared" si="7"/>
        <v>2018</v>
      </c>
      <c r="W222" s="86">
        <v>41114</v>
      </c>
      <c r="X222">
        <v>499.6</v>
      </c>
    </row>
    <row r="223" spans="1:24">
      <c r="A223" s="68">
        <v>33789</v>
      </c>
      <c r="B223" s="32">
        <v>693.4</v>
      </c>
      <c r="C223">
        <f t="shared" si="6"/>
        <v>1992</v>
      </c>
      <c r="H223" s="85">
        <v>41128</v>
      </c>
      <c r="I223">
        <v>1785.29</v>
      </c>
      <c r="N223" s="69">
        <v>43117</v>
      </c>
      <c r="O223">
        <v>569.77</v>
      </c>
      <c r="P223">
        <v>571.03</v>
      </c>
      <c r="Q223">
        <v>571.25</v>
      </c>
      <c r="R223">
        <v>569.77</v>
      </c>
      <c r="S223" s="3">
        <v>-8.9999999999999998E-4</v>
      </c>
      <c r="T223">
        <f t="shared" si="7"/>
        <v>2018</v>
      </c>
      <c r="W223" s="86">
        <v>41115</v>
      </c>
      <c r="X223">
        <v>499.6</v>
      </c>
    </row>
    <row r="224" spans="1:24">
      <c r="A224" s="68">
        <v>33790</v>
      </c>
      <c r="B224" s="33">
        <v>693.4</v>
      </c>
      <c r="C224">
        <f t="shared" si="6"/>
        <v>1992</v>
      </c>
      <c r="H224" s="85">
        <v>41129</v>
      </c>
      <c r="I224">
        <v>1785.29</v>
      </c>
      <c r="N224" s="69">
        <v>43116</v>
      </c>
      <c r="O224">
        <v>570.28</v>
      </c>
      <c r="P224">
        <v>571</v>
      </c>
      <c r="Q224">
        <v>571</v>
      </c>
      <c r="R224">
        <v>569.6</v>
      </c>
      <c r="S224" s="3">
        <v>-1.2999999999999999E-3</v>
      </c>
      <c r="T224">
        <f t="shared" si="7"/>
        <v>2018</v>
      </c>
      <c r="W224" s="86">
        <v>41116</v>
      </c>
      <c r="X224">
        <v>499.6</v>
      </c>
    </row>
    <row r="225" spans="1:24">
      <c r="A225" s="68">
        <v>33791</v>
      </c>
      <c r="B225" s="32">
        <v>693.4</v>
      </c>
      <c r="C225">
        <f t="shared" si="6"/>
        <v>1992</v>
      </c>
      <c r="H225" s="85">
        <v>41130</v>
      </c>
      <c r="I225">
        <v>1788.03</v>
      </c>
      <c r="N225" s="69">
        <v>43115</v>
      </c>
      <c r="O225">
        <v>571</v>
      </c>
      <c r="P225">
        <v>571.78</v>
      </c>
      <c r="Q225">
        <v>571.78</v>
      </c>
      <c r="R225">
        <v>570</v>
      </c>
      <c r="S225" s="3">
        <v>-1.4E-3</v>
      </c>
      <c r="T225">
        <f t="shared" si="7"/>
        <v>2018</v>
      </c>
      <c r="W225" s="86">
        <v>41117</v>
      </c>
      <c r="X225">
        <v>500.45</v>
      </c>
    </row>
    <row r="226" spans="1:24">
      <c r="A226" s="68">
        <v>33792</v>
      </c>
      <c r="B226" s="33">
        <v>696.12</v>
      </c>
      <c r="C226">
        <f t="shared" si="6"/>
        <v>1992</v>
      </c>
      <c r="H226" s="85">
        <v>41131</v>
      </c>
      <c r="I226">
        <v>1788.08</v>
      </c>
      <c r="N226" s="69">
        <v>43112</v>
      </c>
      <c r="O226">
        <v>571.78</v>
      </c>
      <c r="P226">
        <v>571.85</v>
      </c>
      <c r="Q226">
        <v>572.16999999999996</v>
      </c>
      <c r="R226">
        <v>570</v>
      </c>
      <c r="S226" s="3">
        <v>-1E-4</v>
      </c>
      <c r="T226">
        <f t="shared" si="7"/>
        <v>2018</v>
      </c>
      <c r="W226" s="86">
        <v>41120</v>
      </c>
      <c r="X226">
        <v>500.95</v>
      </c>
    </row>
    <row r="227" spans="1:24">
      <c r="A227" s="68">
        <v>33793</v>
      </c>
      <c r="B227" s="32">
        <v>695.65</v>
      </c>
      <c r="C227">
        <f t="shared" si="6"/>
        <v>1992</v>
      </c>
      <c r="H227" s="85">
        <v>41132</v>
      </c>
      <c r="I227">
        <v>1791.61</v>
      </c>
      <c r="N227" s="69">
        <v>43111</v>
      </c>
      <c r="O227">
        <v>571.85</v>
      </c>
      <c r="P227">
        <v>570</v>
      </c>
      <c r="Q227">
        <v>571.98</v>
      </c>
      <c r="R227">
        <v>570</v>
      </c>
      <c r="S227" s="3">
        <v>-2.0000000000000001E-4</v>
      </c>
      <c r="T227">
        <f t="shared" si="7"/>
        <v>2018</v>
      </c>
      <c r="W227" s="86">
        <v>41121</v>
      </c>
      <c r="X227">
        <v>499.5</v>
      </c>
    </row>
    <row r="228" spans="1:24">
      <c r="A228" s="68">
        <v>33794</v>
      </c>
      <c r="B228" s="33">
        <v>699.01</v>
      </c>
      <c r="C228">
        <f t="shared" si="6"/>
        <v>1992</v>
      </c>
      <c r="H228" s="85">
        <v>41133</v>
      </c>
      <c r="I228">
        <v>1791.61</v>
      </c>
      <c r="N228" s="69">
        <v>43110</v>
      </c>
      <c r="O228">
        <v>571.98</v>
      </c>
      <c r="P228">
        <v>570.83000000000004</v>
      </c>
      <c r="Q228">
        <v>571.99</v>
      </c>
      <c r="R228">
        <v>570</v>
      </c>
      <c r="S228" s="3">
        <v>9.1000000000000004E-3</v>
      </c>
      <c r="T228">
        <f t="shared" si="7"/>
        <v>2018</v>
      </c>
      <c r="W228" s="86">
        <v>41122</v>
      </c>
      <c r="X228">
        <v>499.4</v>
      </c>
    </row>
    <row r="229" spans="1:24">
      <c r="A229" s="68">
        <v>33795</v>
      </c>
      <c r="B229" s="32">
        <v>703.74</v>
      </c>
      <c r="C229">
        <f t="shared" si="6"/>
        <v>1992</v>
      </c>
      <c r="H229" s="85">
        <v>41134</v>
      </c>
      <c r="I229">
        <v>1791.61</v>
      </c>
      <c r="N229" s="69">
        <v>43109</v>
      </c>
      <c r="O229">
        <v>566.79999999999995</v>
      </c>
      <c r="P229">
        <v>567.82000000000005</v>
      </c>
      <c r="Q229">
        <v>567.82000000000005</v>
      </c>
      <c r="R229">
        <v>566.79999999999995</v>
      </c>
      <c r="S229" s="3">
        <v>0</v>
      </c>
      <c r="T229">
        <f t="shared" si="7"/>
        <v>2018</v>
      </c>
      <c r="W229" s="86">
        <v>41123</v>
      </c>
      <c r="X229">
        <v>499</v>
      </c>
    </row>
    <row r="230" spans="1:24">
      <c r="A230" s="68">
        <v>33796</v>
      </c>
      <c r="B230" s="33">
        <v>708.72</v>
      </c>
      <c r="C230">
        <f t="shared" si="6"/>
        <v>1992</v>
      </c>
      <c r="H230" s="85">
        <v>41135</v>
      </c>
      <c r="I230">
        <v>1792.86</v>
      </c>
      <c r="N230" s="69">
        <v>43108</v>
      </c>
      <c r="O230">
        <v>566.79999999999995</v>
      </c>
      <c r="P230">
        <v>568.48</v>
      </c>
      <c r="Q230">
        <v>568.48</v>
      </c>
      <c r="R230">
        <v>566.79999999999995</v>
      </c>
      <c r="S230" s="3">
        <v>-8.5000000000000006E-3</v>
      </c>
      <c r="T230">
        <f t="shared" si="7"/>
        <v>2018</v>
      </c>
      <c r="W230" s="86">
        <v>41124</v>
      </c>
      <c r="X230">
        <v>499</v>
      </c>
    </row>
    <row r="231" spans="1:24">
      <c r="A231" s="68">
        <v>33797</v>
      </c>
      <c r="B231" s="32">
        <v>708.72</v>
      </c>
      <c r="C231">
        <f t="shared" si="6"/>
        <v>1992</v>
      </c>
      <c r="H231" s="85">
        <v>41136</v>
      </c>
      <c r="I231">
        <v>1800.81</v>
      </c>
      <c r="N231" s="69">
        <v>43105</v>
      </c>
      <c r="O231">
        <v>571.67999999999995</v>
      </c>
      <c r="P231">
        <v>571.75</v>
      </c>
      <c r="Q231">
        <v>573.03</v>
      </c>
      <c r="R231">
        <v>570</v>
      </c>
      <c r="S231" s="3">
        <v>8.6E-3</v>
      </c>
      <c r="T231">
        <f t="shared" si="7"/>
        <v>2018</v>
      </c>
      <c r="W231" s="86">
        <v>41127</v>
      </c>
      <c r="X231">
        <v>499</v>
      </c>
    </row>
    <row r="232" spans="1:24">
      <c r="A232" s="68">
        <v>33798</v>
      </c>
      <c r="B232" s="33">
        <v>708.72</v>
      </c>
      <c r="C232">
        <f t="shared" si="6"/>
        <v>1992</v>
      </c>
      <c r="H232" s="85">
        <v>41137</v>
      </c>
      <c r="I232">
        <v>1817.18</v>
      </c>
      <c r="N232" s="69">
        <v>43104</v>
      </c>
      <c r="O232">
        <v>566.79999999999995</v>
      </c>
      <c r="P232">
        <v>567.85</v>
      </c>
      <c r="Q232">
        <v>568.55999999999995</v>
      </c>
      <c r="R232">
        <v>566.79999999999995</v>
      </c>
      <c r="S232" s="3">
        <v>0</v>
      </c>
      <c r="T232">
        <f t="shared" si="7"/>
        <v>2018</v>
      </c>
      <c r="W232" s="86">
        <v>41128</v>
      </c>
      <c r="X232">
        <v>501.6</v>
      </c>
    </row>
    <row r="233" spans="1:24">
      <c r="A233" s="68">
        <v>33799</v>
      </c>
      <c r="B233" s="32">
        <v>720.47</v>
      </c>
      <c r="C233">
        <f t="shared" si="6"/>
        <v>1992</v>
      </c>
      <c r="H233" s="85">
        <v>41138</v>
      </c>
      <c r="I233">
        <v>1825.52</v>
      </c>
      <c r="N233" s="69">
        <v>43103</v>
      </c>
      <c r="O233">
        <v>566.79999999999995</v>
      </c>
      <c r="P233">
        <v>568.20000000000005</v>
      </c>
      <c r="Q233">
        <v>568.20000000000005</v>
      </c>
      <c r="R233">
        <v>566.79999999999995</v>
      </c>
      <c r="S233" s="3">
        <v>0</v>
      </c>
      <c r="T233">
        <f t="shared" si="7"/>
        <v>2018</v>
      </c>
      <c r="W233" s="86">
        <v>41129</v>
      </c>
      <c r="X233">
        <v>501.5</v>
      </c>
    </row>
    <row r="234" spans="1:24">
      <c r="A234" s="68">
        <v>33800</v>
      </c>
      <c r="B234" s="33">
        <v>719.15</v>
      </c>
      <c r="C234">
        <f t="shared" si="6"/>
        <v>1992</v>
      </c>
      <c r="H234" s="85">
        <v>41139</v>
      </c>
      <c r="I234">
        <v>1822.59</v>
      </c>
      <c r="N234" s="69">
        <v>43102</v>
      </c>
      <c r="O234">
        <v>566.79999999999995</v>
      </c>
      <c r="P234">
        <v>568.20000000000005</v>
      </c>
      <c r="Q234">
        <v>571.08000000000004</v>
      </c>
      <c r="R234">
        <v>565.79999999999995</v>
      </c>
      <c r="S234" s="3">
        <v>-8.0999999999999996E-3</v>
      </c>
      <c r="T234">
        <f t="shared" si="7"/>
        <v>2018</v>
      </c>
      <c r="W234" s="86">
        <v>41130</v>
      </c>
      <c r="X234">
        <v>499.5</v>
      </c>
    </row>
    <row r="235" spans="1:24">
      <c r="A235" s="68">
        <v>33801</v>
      </c>
      <c r="B235" s="32">
        <v>717.45</v>
      </c>
      <c r="C235">
        <f t="shared" si="6"/>
        <v>1992</v>
      </c>
      <c r="H235" s="85">
        <v>41140</v>
      </c>
      <c r="I235">
        <v>1822.59</v>
      </c>
      <c r="N235" s="69">
        <v>43101</v>
      </c>
      <c r="O235">
        <v>571.4</v>
      </c>
      <c r="P235">
        <v>571.4</v>
      </c>
      <c r="Q235">
        <v>571.41999999999996</v>
      </c>
      <c r="R235">
        <v>571.4</v>
      </c>
      <c r="S235" s="3">
        <v>0</v>
      </c>
      <c r="T235">
        <f t="shared" si="7"/>
        <v>2018</v>
      </c>
      <c r="W235" s="86">
        <v>41131</v>
      </c>
      <c r="X235">
        <v>499</v>
      </c>
    </row>
    <row r="236" spans="1:24">
      <c r="A236" s="68">
        <v>33802</v>
      </c>
      <c r="B236" s="33">
        <v>717.7</v>
      </c>
      <c r="C236">
        <f t="shared" si="6"/>
        <v>1992</v>
      </c>
      <c r="H236" s="85">
        <v>41141</v>
      </c>
      <c r="I236">
        <v>1822.59</v>
      </c>
      <c r="N236" s="69">
        <v>43098</v>
      </c>
      <c r="O236">
        <v>571.4</v>
      </c>
      <c r="P236">
        <v>571.5</v>
      </c>
      <c r="Q236">
        <v>571.5</v>
      </c>
      <c r="R236">
        <v>567.13</v>
      </c>
      <c r="S236" s="3">
        <v>8.9999999999999993E-3</v>
      </c>
      <c r="T236">
        <f t="shared" si="7"/>
        <v>2017</v>
      </c>
      <c r="U236" s="141">
        <f>(O236-O495)/O495</f>
        <v>3.2936837918941447E-2</v>
      </c>
      <c r="W236" s="86">
        <v>41134</v>
      </c>
      <c r="X236">
        <v>499.6</v>
      </c>
    </row>
    <row r="237" spans="1:24">
      <c r="A237" s="68">
        <v>33803</v>
      </c>
      <c r="B237" s="32">
        <v>715.11</v>
      </c>
      <c r="C237">
        <f t="shared" si="6"/>
        <v>1992</v>
      </c>
      <c r="H237" s="85">
        <v>41142</v>
      </c>
      <c r="I237">
        <v>1822.59</v>
      </c>
      <c r="N237" s="69">
        <v>43097</v>
      </c>
      <c r="O237">
        <v>566.29999999999995</v>
      </c>
      <c r="P237">
        <v>567.54999999999995</v>
      </c>
      <c r="Q237">
        <v>568.82000000000005</v>
      </c>
      <c r="R237">
        <v>565.29999999999995</v>
      </c>
      <c r="S237" s="3">
        <v>-6.8999999999999999E-3</v>
      </c>
      <c r="T237">
        <f t="shared" si="7"/>
        <v>2017</v>
      </c>
      <c r="W237" s="86">
        <v>41135</v>
      </c>
      <c r="X237">
        <v>499.5</v>
      </c>
    </row>
    <row r="238" spans="1:24">
      <c r="A238" s="68">
        <v>33804</v>
      </c>
      <c r="B238" s="33">
        <v>715.11</v>
      </c>
      <c r="C238">
        <f t="shared" si="6"/>
        <v>1992</v>
      </c>
      <c r="H238" s="85">
        <v>41143</v>
      </c>
      <c r="I238">
        <v>1815.8</v>
      </c>
      <c r="N238" s="69">
        <v>43096</v>
      </c>
      <c r="O238">
        <v>570.25</v>
      </c>
      <c r="P238">
        <v>568.67999999999995</v>
      </c>
      <c r="Q238">
        <v>570.26</v>
      </c>
      <c r="R238">
        <v>568</v>
      </c>
      <c r="S238" s="3">
        <v>7.9000000000000008E-3</v>
      </c>
      <c r="T238">
        <f t="shared" si="7"/>
        <v>2017</v>
      </c>
      <c r="W238" s="86">
        <v>41136</v>
      </c>
      <c r="X238">
        <v>499.4</v>
      </c>
    </row>
    <row r="239" spans="1:24">
      <c r="A239" s="68">
        <v>33805</v>
      </c>
      <c r="B239" s="32">
        <v>715.11</v>
      </c>
      <c r="C239">
        <f t="shared" si="6"/>
        <v>1992</v>
      </c>
      <c r="H239" s="85">
        <v>41144</v>
      </c>
      <c r="I239">
        <v>1812.88</v>
      </c>
      <c r="N239" s="69">
        <v>43095</v>
      </c>
      <c r="O239">
        <v>565.79999999999995</v>
      </c>
      <c r="P239">
        <v>565.79999999999995</v>
      </c>
      <c r="Q239">
        <v>567.79999999999995</v>
      </c>
      <c r="R239">
        <v>565.79999999999995</v>
      </c>
      <c r="S239" s="3">
        <v>-7.4000000000000003E-3</v>
      </c>
      <c r="T239">
        <f t="shared" si="7"/>
        <v>2017</v>
      </c>
      <c r="W239" s="86">
        <v>41137</v>
      </c>
      <c r="X239">
        <v>499.5</v>
      </c>
    </row>
    <row r="240" spans="1:24">
      <c r="A240" s="68">
        <v>33806</v>
      </c>
      <c r="B240" s="33">
        <v>715.11</v>
      </c>
      <c r="C240">
        <f t="shared" si="6"/>
        <v>1992</v>
      </c>
      <c r="H240" s="85">
        <v>41145</v>
      </c>
      <c r="I240">
        <v>1808.33</v>
      </c>
      <c r="N240" s="69">
        <v>43094</v>
      </c>
      <c r="O240">
        <v>570</v>
      </c>
      <c r="P240">
        <v>568.70000000000005</v>
      </c>
      <c r="Q240">
        <v>570</v>
      </c>
      <c r="R240">
        <v>568.70000000000005</v>
      </c>
      <c r="S240" s="3">
        <v>0</v>
      </c>
      <c r="T240">
        <f t="shared" si="7"/>
        <v>2017</v>
      </c>
      <c r="W240" s="86">
        <v>41138</v>
      </c>
      <c r="X240">
        <v>499.5</v>
      </c>
    </row>
    <row r="241" spans="1:24">
      <c r="A241" s="68">
        <v>33807</v>
      </c>
      <c r="B241" s="32">
        <v>710.91</v>
      </c>
      <c r="C241">
        <f t="shared" si="6"/>
        <v>1992</v>
      </c>
      <c r="H241" s="85">
        <v>41146</v>
      </c>
      <c r="I241">
        <v>1814.83</v>
      </c>
      <c r="N241" s="69">
        <v>43091</v>
      </c>
      <c r="O241">
        <v>570</v>
      </c>
      <c r="P241">
        <v>568.80999999999995</v>
      </c>
      <c r="Q241">
        <v>570.01</v>
      </c>
      <c r="R241">
        <v>567.36</v>
      </c>
      <c r="S241" s="3">
        <v>7.4000000000000003E-3</v>
      </c>
      <c r="T241">
        <f t="shared" si="7"/>
        <v>2017</v>
      </c>
      <c r="W241" s="86">
        <v>41141</v>
      </c>
      <c r="X241">
        <v>499.6</v>
      </c>
    </row>
    <row r="242" spans="1:24">
      <c r="A242" s="68">
        <v>33808</v>
      </c>
      <c r="B242" s="33">
        <v>707.96</v>
      </c>
      <c r="C242">
        <f t="shared" si="6"/>
        <v>1992</v>
      </c>
      <c r="H242" s="85">
        <v>41147</v>
      </c>
      <c r="I242">
        <v>1814.83</v>
      </c>
      <c r="N242" s="69">
        <v>43090</v>
      </c>
      <c r="O242">
        <v>565.79999999999995</v>
      </c>
      <c r="P242">
        <v>566.77</v>
      </c>
      <c r="Q242">
        <v>567.65</v>
      </c>
      <c r="R242">
        <v>565.16</v>
      </c>
      <c r="S242" s="3">
        <v>-4.1000000000000003E-3</v>
      </c>
      <c r="T242">
        <f t="shared" si="7"/>
        <v>2017</v>
      </c>
      <c r="W242" s="86">
        <v>41142</v>
      </c>
      <c r="X242">
        <v>499.5</v>
      </c>
    </row>
    <row r="243" spans="1:24">
      <c r="A243" s="68">
        <v>33809</v>
      </c>
      <c r="B243" s="32">
        <v>699.73</v>
      </c>
      <c r="C243">
        <f t="shared" si="6"/>
        <v>1992</v>
      </c>
      <c r="H243" s="85">
        <v>41148</v>
      </c>
      <c r="I243">
        <v>1814.83</v>
      </c>
      <c r="N243" s="69">
        <v>43089</v>
      </c>
      <c r="O243">
        <v>568.15</v>
      </c>
      <c r="P243">
        <v>567.91999999999996</v>
      </c>
      <c r="Q243">
        <v>568.97</v>
      </c>
      <c r="R243">
        <v>567.36</v>
      </c>
      <c r="S243" s="3">
        <v>4.5999999999999999E-3</v>
      </c>
      <c r="T243">
        <f t="shared" si="7"/>
        <v>2017</v>
      </c>
      <c r="W243" s="86">
        <v>41143</v>
      </c>
      <c r="X243">
        <v>499.7</v>
      </c>
    </row>
    <row r="244" spans="1:24">
      <c r="A244" s="68">
        <v>33810</v>
      </c>
      <c r="B244" s="33">
        <v>699.68</v>
      </c>
      <c r="C244">
        <f t="shared" si="6"/>
        <v>1992</v>
      </c>
      <c r="H244" s="85">
        <v>41149</v>
      </c>
      <c r="I244">
        <v>1821.44</v>
      </c>
      <c r="N244" s="69">
        <v>43088</v>
      </c>
      <c r="O244">
        <v>565.54999999999995</v>
      </c>
      <c r="P244">
        <v>566.07000000000005</v>
      </c>
      <c r="Q244">
        <v>566.07000000000005</v>
      </c>
      <c r="R244">
        <v>565.26</v>
      </c>
      <c r="S244" s="3">
        <v>-4.0000000000000002E-4</v>
      </c>
      <c r="T244">
        <f t="shared" si="7"/>
        <v>2017</v>
      </c>
      <c r="W244" s="86">
        <v>41144</v>
      </c>
      <c r="X244">
        <v>499.6</v>
      </c>
    </row>
    <row r="245" spans="1:24">
      <c r="A245" s="68">
        <v>33811</v>
      </c>
      <c r="B245" s="32">
        <v>699.68</v>
      </c>
      <c r="C245">
        <f t="shared" si="6"/>
        <v>1992</v>
      </c>
      <c r="H245" s="85">
        <v>41150</v>
      </c>
      <c r="I245">
        <v>1828.99</v>
      </c>
      <c r="N245" s="69">
        <v>43087</v>
      </c>
      <c r="O245">
        <v>565.79999999999995</v>
      </c>
      <c r="P245">
        <v>566.5</v>
      </c>
      <c r="Q245">
        <v>566.5</v>
      </c>
      <c r="R245">
        <v>564.74</v>
      </c>
      <c r="S245" s="3">
        <v>-5.1000000000000004E-3</v>
      </c>
      <c r="T245">
        <f t="shared" si="7"/>
        <v>2017</v>
      </c>
      <c r="W245" s="86">
        <v>41145</v>
      </c>
      <c r="X245">
        <v>499.5</v>
      </c>
    </row>
    <row r="246" spans="1:24">
      <c r="A246" s="68">
        <v>33812</v>
      </c>
      <c r="B246" s="33">
        <v>699.68</v>
      </c>
      <c r="C246">
        <f t="shared" si="6"/>
        <v>1992</v>
      </c>
      <c r="H246" s="85">
        <v>41151</v>
      </c>
      <c r="I246">
        <v>1833.14</v>
      </c>
      <c r="N246" s="69">
        <v>43084</v>
      </c>
      <c r="O246">
        <v>568.70000000000005</v>
      </c>
      <c r="P246">
        <v>567.13</v>
      </c>
      <c r="Q246">
        <v>568.72</v>
      </c>
      <c r="R246">
        <v>567</v>
      </c>
      <c r="S246" s="3">
        <v>2.8E-3</v>
      </c>
      <c r="T246">
        <f t="shared" si="7"/>
        <v>2017</v>
      </c>
      <c r="W246" s="86">
        <v>41148</v>
      </c>
      <c r="X246">
        <v>499</v>
      </c>
    </row>
    <row r="247" spans="1:24">
      <c r="A247" s="68">
        <v>33813</v>
      </c>
      <c r="B247" s="32">
        <v>701.66</v>
      </c>
      <c r="C247">
        <f t="shared" si="6"/>
        <v>1992</v>
      </c>
      <c r="H247" s="85">
        <v>41152</v>
      </c>
      <c r="I247">
        <v>1830.5</v>
      </c>
      <c r="N247" s="69">
        <v>43083</v>
      </c>
      <c r="O247">
        <v>567.13</v>
      </c>
      <c r="P247">
        <v>567</v>
      </c>
      <c r="Q247">
        <v>570.42999999999995</v>
      </c>
      <c r="R247">
        <v>567</v>
      </c>
      <c r="S247" s="3">
        <v>-1.2999999999999999E-3</v>
      </c>
      <c r="T247">
        <f t="shared" si="7"/>
        <v>2017</v>
      </c>
      <c r="W247" s="86">
        <v>41149</v>
      </c>
      <c r="X247">
        <v>499.5</v>
      </c>
    </row>
    <row r="248" spans="1:24">
      <c r="A248" s="68">
        <v>33814</v>
      </c>
      <c r="B248" s="33">
        <v>701.89</v>
      </c>
      <c r="C248">
        <f t="shared" si="6"/>
        <v>1992</v>
      </c>
      <c r="H248" s="85">
        <v>41153</v>
      </c>
      <c r="I248">
        <v>1825.21</v>
      </c>
      <c r="N248" s="69">
        <v>43082</v>
      </c>
      <c r="O248">
        <v>567.88</v>
      </c>
      <c r="P248">
        <v>567</v>
      </c>
      <c r="Q248">
        <v>567.9</v>
      </c>
      <c r="R248">
        <v>567</v>
      </c>
      <c r="S248" s="3">
        <v>2.9999999999999997E-4</v>
      </c>
      <c r="T248">
        <f t="shared" si="7"/>
        <v>2017</v>
      </c>
      <c r="W248" s="86">
        <v>41150</v>
      </c>
      <c r="X248">
        <v>499.5</v>
      </c>
    </row>
    <row r="249" spans="1:24">
      <c r="A249" s="68">
        <v>33815</v>
      </c>
      <c r="B249" s="32">
        <v>702.02</v>
      </c>
      <c r="C249">
        <f t="shared" si="6"/>
        <v>1992</v>
      </c>
      <c r="H249" s="85">
        <v>41154</v>
      </c>
      <c r="I249">
        <v>1825.21</v>
      </c>
      <c r="N249" s="69">
        <v>43081</v>
      </c>
      <c r="O249">
        <v>567.72</v>
      </c>
      <c r="P249">
        <v>567.33000000000004</v>
      </c>
      <c r="Q249">
        <v>568</v>
      </c>
      <c r="R249">
        <v>567</v>
      </c>
      <c r="S249" s="3">
        <v>6.9999999999999999E-4</v>
      </c>
      <c r="T249">
        <f t="shared" si="7"/>
        <v>2017</v>
      </c>
      <c r="W249" s="86">
        <v>41151</v>
      </c>
      <c r="X249">
        <v>499.5</v>
      </c>
    </row>
    <row r="250" spans="1:24">
      <c r="A250" s="68">
        <v>33816</v>
      </c>
      <c r="B250" s="33">
        <v>705.14</v>
      </c>
      <c r="C250">
        <f t="shared" si="6"/>
        <v>1992</v>
      </c>
      <c r="H250" s="85">
        <v>41155</v>
      </c>
      <c r="I250">
        <v>1825.21</v>
      </c>
      <c r="N250" s="69">
        <v>43080</v>
      </c>
      <c r="O250">
        <v>567.33000000000004</v>
      </c>
      <c r="P250">
        <v>568.82000000000005</v>
      </c>
      <c r="Q250">
        <v>568.82000000000005</v>
      </c>
      <c r="R250">
        <v>567.33000000000004</v>
      </c>
      <c r="S250" s="3">
        <v>-2.5999999999999999E-3</v>
      </c>
      <c r="T250">
        <f t="shared" si="7"/>
        <v>2017</v>
      </c>
      <c r="W250" s="86">
        <v>41152</v>
      </c>
      <c r="X250">
        <v>499.5</v>
      </c>
    </row>
    <row r="251" spans="1:24">
      <c r="A251" s="68">
        <v>33817</v>
      </c>
      <c r="B251" s="32">
        <v>702.52</v>
      </c>
      <c r="C251">
        <f t="shared" si="6"/>
        <v>1992</v>
      </c>
      <c r="H251" s="85">
        <v>41156</v>
      </c>
      <c r="I251">
        <v>1825.21</v>
      </c>
      <c r="N251" s="69">
        <v>43077</v>
      </c>
      <c r="O251">
        <v>568.82000000000005</v>
      </c>
      <c r="P251">
        <v>568.52</v>
      </c>
      <c r="Q251">
        <v>568.83000000000004</v>
      </c>
      <c r="R251">
        <v>568</v>
      </c>
      <c r="S251" s="3">
        <v>5.0000000000000001E-4</v>
      </c>
      <c r="T251">
        <f t="shared" si="7"/>
        <v>2017</v>
      </c>
      <c r="W251" s="86">
        <v>41155</v>
      </c>
      <c r="X251">
        <v>499.7</v>
      </c>
    </row>
    <row r="252" spans="1:24">
      <c r="A252" s="68">
        <v>33818</v>
      </c>
      <c r="B252" s="33">
        <v>702.52</v>
      </c>
      <c r="C252">
        <f t="shared" si="6"/>
        <v>1992</v>
      </c>
      <c r="H252" s="85">
        <v>41157</v>
      </c>
      <c r="I252">
        <v>1824.81</v>
      </c>
      <c r="N252" s="69">
        <v>43076</v>
      </c>
      <c r="O252">
        <v>568.52</v>
      </c>
      <c r="P252">
        <v>568.08000000000004</v>
      </c>
      <c r="Q252">
        <v>568.72</v>
      </c>
      <c r="R252">
        <v>567.13</v>
      </c>
      <c r="S252" s="3">
        <v>6.9999999999999999E-4</v>
      </c>
      <c r="T252">
        <f t="shared" si="7"/>
        <v>2017</v>
      </c>
      <c r="W252" s="86">
        <v>41156</v>
      </c>
      <c r="X252">
        <v>499.5</v>
      </c>
    </row>
    <row r="253" spans="1:24">
      <c r="A253" s="68">
        <v>33819</v>
      </c>
      <c r="B253" s="32">
        <v>702.52</v>
      </c>
      <c r="C253">
        <f t="shared" si="6"/>
        <v>1992</v>
      </c>
      <c r="H253" s="85">
        <v>41158</v>
      </c>
      <c r="I253">
        <v>1814.06</v>
      </c>
      <c r="N253" s="69">
        <v>43075</v>
      </c>
      <c r="O253">
        <v>568.13</v>
      </c>
      <c r="P253">
        <v>568.54</v>
      </c>
      <c r="Q253">
        <v>570.5</v>
      </c>
      <c r="R253">
        <v>568.12</v>
      </c>
      <c r="S253" s="3">
        <v>1E-4</v>
      </c>
      <c r="T253">
        <f t="shared" si="7"/>
        <v>2017</v>
      </c>
      <c r="W253" s="86">
        <v>41157</v>
      </c>
      <c r="X253">
        <v>499.5</v>
      </c>
    </row>
    <row r="254" spans="1:24">
      <c r="A254" s="68">
        <v>33820</v>
      </c>
      <c r="B254" s="33">
        <v>701.82</v>
      </c>
      <c r="C254">
        <f t="shared" si="6"/>
        <v>1992</v>
      </c>
      <c r="H254" s="85">
        <v>41159</v>
      </c>
      <c r="I254">
        <v>1804.09</v>
      </c>
      <c r="N254" s="69">
        <v>43074</v>
      </c>
      <c r="O254">
        <v>568.1</v>
      </c>
      <c r="P254">
        <v>567.22</v>
      </c>
      <c r="Q254">
        <v>569.5</v>
      </c>
      <c r="R254">
        <v>567.22</v>
      </c>
      <c r="S254" s="3">
        <v>3.0999999999999999E-3</v>
      </c>
      <c r="T254">
        <f t="shared" si="7"/>
        <v>2017</v>
      </c>
      <c r="W254" s="86">
        <v>41158</v>
      </c>
      <c r="X254">
        <v>499.5</v>
      </c>
    </row>
    <row r="255" spans="1:24">
      <c r="A255" s="68">
        <v>33821</v>
      </c>
      <c r="B255" s="32">
        <v>698.84</v>
      </c>
      <c r="C255">
        <f t="shared" si="6"/>
        <v>1992</v>
      </c>
      <c r="H255" s="85">
        <v>41160</v>
      </c>
      <c r="I255">
        <v>1797.35</v>
      </c>
      <c r="N255" s="69">
        <v>43073</v>
      </c>
      <c r="O255">
        <v>566.33000000000004</v>
      </c>
      <c r="P255">
        <v>566.48</v>
      </c>
      <c r="Q255">
        <v>566.48</v>
      </c>
      <c r="R255">
        <v>565.29999999999995</v>
      </c>
      <c r="S255" s="3">
        <v>-3.5999999999999999E-3</v>
      </c>
      <c r="T255">
        <f t="shared" si="7"/>
        <v>2017</v>
      </c>
      <c r="W255" s="86">
        <v>41159</v>
      </c>
      <c r="X255">
        <v>499.5</v>
      </c>
    </row>
    <row r="256" spans="1:24">
      <c r="A256" s="68">
        <v>33822</v>
      </c>
      <c r="B256" s="33">
        <v>695.32</v>
      </c>
      <c r="C256">
        <f t="shared" si="6"/>
        <v>1992</v>
      </c>
      <c r="H256" s="85">
        <v>41161</v>
      </c>
      <c r="I256">
        <v>1797.35</v>
      </c>
      <c r="N256" s="69">
        <v>43070</v>
      </c>
      <c r="O256">
        <v>568.4</v>
      </c>
      <c r="P256">
        <v>567.74</v>
      </c>
      <c r="Q256">
        <v>569.21</v>
      </c>
      <c r="R256">
        <v>567.11</v>
      </c>
      <c r="S256" s="3">
        <v>2.0000000000000001E-4</v>
      </c>
      <c r="T256">
        <f t="shared" si="7"/>
        <v>2017</v>
      </c>
      <c r="W256" s="86">
        <v>41162</v>
      </c>
      <c r="X256">
        <v>502.7</v>
      </c>
    </row>
    <row r="257" spans="1:24">
      <c r="A257" s="68">
        <v>33823</v>
      </c>
      <c r="B257" s="32">
        <v>694.25</v>
      </c>
      <c r="C257">
        <f t="shared" si="6"/>
        <v>1992</v>
      </c>
      <c r="H257" s="85">
        <v>41162</v>
      </c>
      <c r="I257">
        <v>1797.35</v>
      </c>
      <c r="N257" s="69">
        <v>43069</v>
      </c>
      <c r="O257">
        <v>568.29999999999995</v>
      </c>
      <c r="P257">
        <v>567.79999999999995</v>
      </c>
      <c r="Q257">
        <v>570.73</v>
      </c>
      <c r="R257">
        <v>567.19000000000005</v>
      </c>
      <c r="S257" s="3">
        <v>4.0000000000000002E-4</v>
      </c>
      <c r="T257">
        <f t="shared" si="7"/>
        <v>2017</v>
      </c>
      <c r="W257" s="86">
        <v>41163</v>
      </c>
      <c r="X257">
        <v>499.5</v>
      </c>
    </row>
    <row r="258" spans="1:24">
      <c r="A258" s="68">
        <v>33824</v>
      </c>
      <c r="B258" s="33">
        <v>694.25</v>
      </c>
      <c r="C258">
        <f t="shared" si="6"/>
        <v>1992</v>
      </c>
      <c r="H258" s="85">
        <v>41163</v>
      </c>
      <c r="I258">
        <v>1802.23</v>
      </c>
      <c r="N258" s="69">
        <v>43068</v>
      </c>
      <c r="O258">
        <v>568.07000000000005</v>
      </c>
      <c r="P258">
        <v>569</v>
      </c>
      <c r="Q258">
        <v>569</v>
      </c>
      <c r="R258">
        <v>568.01</v>
      </c>
      <c r="S258" s="3">
        <v>-1E-4</v>
      </c>
      <c r="T258">
        <f t="shared" si="7"/>
        <v>2017</v>
      </c>
      <c r="W258" s="86">
        <v>41164</v>
      </c>
      <c r="X258">
        <v>499.5</v>
      </c>
    </row>
    <row r="259" spans="1:24">
      <c r="A259" s="68">
        <v>33825</v>
      </c>
      <c r="B259" s="32">
        <v>694.25</v>
      </c>
      <c r="C259">
        <f t="shared" si="6"/>
        <v>1992</v>
      </c>
      <c r="H259" s="85">
        <v>41164</v>
      </c>
      <c r="I259">
        <v>1795.4</v>
      </c>
      <c r="N259" s="69">
        <v>43067</v>
      </c>
      <c r="O259">
        <v>568.11</v>
      </c>
      <c r="P259">
        <v>568.6</v>
      </c>
      <c r="Q259">
        <v>568.6</v>
      </c>
      <c r="R259">
        <v>566.70000000000005</v>
      </c>
      <c r="S259" s="3">
        <v>-8.9999999999999998E-4</v>
      </c>
      <c r="T259">
        <f t="shared" si="7"/>
        <v>2017</v>
      </c>
      <c r="W259" s="86">
        <v>41165</v>
      </c>
      <c r="X259">
        <v>499</v>
      </c>
    </row>
    <row r="260" spans="1:24">
      <c r="A260" s="68">
        <v>33826</v>
      </c>
      <c r="B260" s="33">
        <v>694.25</v>
      </c>
      <c r="C260">
        <f t="shared" ref="C260:C323" si="8">YEAR(A260)</f>
        <v>1992</v>
      </c>
      <c r="H260" s="85">
        <v>41165</v>
      </c>
      <c r="I260">
        <v>1802.22</v>
      </c>
      <c r="N260" s="69">
        <v>43066</v>
      </c>
      <c r="O260">
        <v>568.6</v>
      </c>
      <c r="P260">
        <v>567.63</v>
      </c>
      <c r="Q260">
        <v>568.6</v>
      </c>
      <c r="R260">
        <v>566.57000000000005</v>
      </c>
      <c r="S260" s="3">
        <v>1.6999999999999999E-3</v>
      </c>
      <c r="T260">
        <f t="shared" ref="T260:T323" si="9">YEAR(N260)</f>
        <v>2017</v>
      </c>
      <c r="W260" s="86">
        <v>41166</v>
      </c>
      <c r="X260">
        <v>499.5</v>
      </c>
    </row>
    <row r="261" spans="1:24">
      <c r="A261" s="68">
        <v>33827</v>
      </c>
      <c r="B261" s="32">
        <v>692.72</v>
      </c>
      <c r="C261">
        <f t="shared" si="8"/>
        <v>1992</v>
      </c>
      <c r="H261" s="85">
        <v>41166</v>
      </c>
      <c r="I261">
        <v>1799.57</v>
      </c>
      <c r="N261" s="69">
        <v>43063</v>
      </c>
      <c r="O261">
        <v>567.63</v>
      </c>
      <c r="P261">
        <v>566.57000000000005</v>
      </c>
      <c r="Q261">
        <v>570.92999999999995</v>
      </c>
      <c r="R261">
        <v>566.57000000000005</v>
      </c>
      <c r="S261" s="3">
        <v>3.7000000000000002E-3</v>
      </c>
      <c r="T261">
        <f t="shared" si="9"/>
        <v>2017</v>
      </c>
      <c r="W261" s="86">
        <v>41169</v>
      </c>
      <c r="X261">
        <v>499.5</v>
      </c>
    </row>
    <row r="262" spans="1:24">
      <c r="A262" s="68">
        <v>33828</v>
      </c>
      <c r="B262" s="33">
        <v>692.25</v>
      </c>
      <c r="C262">
        <f t="shared" si="8"/>
        <v>1992</v>
      </c>
      <c r="H262" s="85">
        <v>41167</v>
      </c>
      <c r="I262">
        <v>1789.54</v>
      </c>
      <c r="N262" s="69">
        <v>43062</v>
      </c>
      <c r="O262">
        <v>565.54</v>
      </c>
      <c r="P262">
        <v>566.6</v>
      </c>
      <c r="Q262">
        <v>566.6</v>
      </c>
      <c r="R262">
        <v>565.54</v>
      </c>
      <c r="S262" s="3">
        <v>-1E-4</v>
      </c>
      <c r="T262">
        <f t="shared" si="9"/>
        <v>2017</v>
      </c>
      <c r="W262" s="86">
        <v>41170</v>
      </c>
      <c r="X262">
        <v>499.5</v>
      </c>
    </row>
    <row r="263" spans="1:24">
      <c r="A263" s="68">
        <v>33829</v>
      </c>
      <c r="B263" s="32">
        <v>694.28</v>
      </c>
      <c r="C263">
        <f t="shared" si="8"/>
        <v>1992</v>
      </c>
      <c r="H263" s="85">
        <v>41168</v>
      </c>
      <c r="I263">
        <v>1789.54</v>
      </c>
      <c r="N263" s="69">
        <v>43061</v>
      </c>
      <c r="O263">
        <v>565.57000000000005</v>
      </c>
      <c r="P263">
        <v>565.69000000000005</v>
      </c>
      <c r="Q263">
        <v>570.21</v>
      </c>
      <c r="R263">
        <v>564.69000000000005</v>
      </c>
      <c r="S263" s="3">
        <v>5.0000000000000001E-4</v>
      </c>
      <c r="T263">
        <f t="shared" si="9"/>
        <v>2017</v>
      </c>
      <c r="W263" s="86">
        <v>41171</v>
      </c>
      <c r="X263">
        <v>499.5</v>
      </c>
    </row>
    <row r="264" spans="1:24">
      <c r="A264" s="68">
        <v>33830</v>
      </c>
      <c r="B264" s="33">
        <v>692.51</v>
      </c>
      <c r="C264">
        <f t="shared" si="8"/>
        <v>1992</v>
      </c>
      <c r="H264" s="85">
        <v>41169</v>
      </c>
      <c r="I264">
        <v>1789.54</v>
      </c>
      <c r="N264" s="69">
        <v>43060</v>
      </c>
      <c r="O264">
        <v>565.27</v>
      </c>
      <c r="P264">
        <v>567.98</v>
      </c>
      <c r="Q264">
        <v>568.28</v>
      </c>
      <c r="R264">
        <v>565.27</v>
      </c>
      <c r="S264" s="3">
        <v>-5.5999999999999999E-3</v>
      </c>
      <c r="T264">
        <f t="shared" si="9"/>
        <v>2017</v>
      </c>
      <c r="W264" s="86">
        <v>41172</v>
      </c>
      <c r="X264">
        <v>499.5</v>
      </c>
    </row>
    <row r="265" spans="1:24">
      <c r="A265" s="68">
        <v>33831</v>
      </c>
      <c r="B265" s="32">
        <v>693.25</v>
      </c>
      <c r="C265">
        <f t="shared" si="8"/>
        <v>1992</v>
      </c>
      <c r="H265" s="85">
        <v>41170</v>
      </c>
      <c r="I265">
        <v>1799.77</v>
      </c>
      <c r="N265" s="69">
        <v>43059</v>
      </c>
      <c r="O265">
        <v>568.45000000000005</v>
      </c>
      <c r="P265">
        <v>569.75</v>
      </c>
      <c r="Q265">
        <v>569.75</v>
      </c>
      <c r="R265">
        <v>566.73</v>
      </c>
      <c r="S265" s="3">
        <v>-2.3E-3</v>
      </c>
      <c r="T265">
        <f t="shared" si="9"/>
        <v>2017</v>
      </c>
      <c r="W265" s="86">
        <v>41173</v>
      </c>
      <c r="X265">
        <v>499.5</v>
      </c>
    </row>
    <row r="266" spans="1:24">
      <c r="A266" s="68">
        <v>33832</v>
      </c>
      <c r="B266" s="33">
        <v>693.25</v>
      </c>
      <c r="C266">
        <f t="shared" si="8"/>
        <v>1992</v>
      </c>
      <c r="H266" s="85">
        <v>41171</v>
      </c>
      <c r="I266">
        <v>1800.19</v>
      </c>
      <c r="N266" s="69">
        <v>43056</v>
      </c>
      <c r="O266">
        <v>569.75</v>
      </c>
      <c r="P266">
        <v>565.94000000000005</v>
      </c>
      <c r="Q266">
        <v>570.28</v>
      </c>
      <c r="R266">
        <v>565.94000000000005</v>
      </c>
      <c r="S266" s="3">
        <v>-8.9999999999999998E-4</v>
      </c>
      <c r="T266">
        <f t="shared" si="9"/>
        <v>2017</v>
      </c>
      <c r="W266" s="86">
        <v>41176</v>
      </c>
      <c r="X266">
        <v>499.5</v>
      </c>
    </row>
    <row r="267" spans="1:24">
      <c r="A267" s="68">
        <v>33833</v>
      </c>
      <c r="B267" s="32">
        <v>693.25</v>
      </c>
      <c r="C267">
        <f t="shared" si="8"/>
        <v>1992</v>
      </c>
      <c r="H267" s="85">
        <v>41172</v>
      </c>
      <c r="I267">
        <v>1795.66</v>
      </c>
      <c r="N267" s="69">
        <v>43055</v>
      </c>
      <c r="O267">
        <v>570.28</v>
      </c>
      <c r="P267">
        <v>570.95000000000005</v>
      </c>
      <c r="Q267">
        <v>570.95000000000005</v>
      </c>
      <c r="R267">
        <v>565.94000000000005</v>
      </c>
      <c r="S267" s="3">
        <v>2.3999999999999998E-3</v>
      </c>
      <c r="T267">
        <f t="shared" si="9"/>
        <v>2017</v>
      </c>
      <c r="W267" s="86">
        <v>41177</v>
      </c>
      <c r="X267">
        <v>499.5</v>
      </c>
    </row>
    <row r="268" spans="1:24">
      <c r="A268" s="68">
        <v>33834</v>
      </c>
      <c r="B268" s="33">
        <v>693.25</v>
      </c>
      <c r="C268">
        <f t="shared" si="8"/>
        <v>1992</v>
      </c>
      <c r="H268" s="85">
        <v>41173</v>
      </c>
      <c r="I268">
        <v>1798.98</v>
      </c>
      <c r="N268" s="69">
        <v>43054</v>
      </c>
      <c r="O268">
        <v>568.9</v>
      </c>
      <c r="P268">
        <v>570.17999999999995</v>
      </c>
      <c r="Q268">
        <v>570.17999999999995</v>
      </c>
      <c r="R268">
        <v>566.73</v>
      </c>
      <c r="S268" s="3">
        <v>-8.0000000000000004E-4</v>
      </c>
      <c r="T268">
        <f t="shared" si="9"/>
        <v>2017</v>
      </c>
      <c r="W268" s="86">
        <v>41178</v>
      </c>
      <c r="X268">
        <v>499.7</v>
      </c>
    </row>
    <row r="269" spans="1:24">
      <c r="A269" s="68">
        <v>33835</v>
      </c>
      <c r="B269" s="32">
        <v>693.69</v>
      </c>
      <c r="C269">
        <f t="shared" si="8"/>
        <v>1992</v>
      </c>
      <c r="H269" s="85">
        <v>41174</v>
      </c>
      <c r="I269">
        <v>1796.75</v>
      </c>
      <c r="N269" s="69">
        <v>43053</v>
      </c>
      <c r="O269">
        <v>569.38</v>
      </c>
      <c r="P269">
        <v>567.54999999999995</v>
      </c>
      <c r="Q269">
        <v>570.37</v>
      </c>
      <c r="R269">
        <v>566.25</v>
      </c>
      <c r="S269" s="3">
        <v>-4.4000000000000003E-3</v>
      </c>
      <c r="T269">
        <f t="shared" si="9"/>
        <v>2017</v>
      </c>
      <c r="W269" s="86">
        <v>41179</v>
      </c>
      <c r="X269">
        <v>499.5</v>
      </c>
    </row>
    <row r="270" spans="1:24">
      <c r="A270" s="68">
        <v>33836</v>
      </c>
      <c r="B270" s="33">
        <v>692.48</v>
      </c>
      <c r="C270">
        <f t="shared" si="8"/>
        <v>1992</v>
      </c>
      <c r="H270" s="85">
        <v>41175</v>
      </c>
      <c r="I270">
        <v>1796.75</v>
      </c>
      <c r="N270" s="69">
        <v>43052</v>
      </c>
      <c r="O270">
        <v>571.9</v>
      </c>
      <c r="P270">
        <v>571.4</v>
      </c>
      <c r="Q270">
        <v>572.4</v>
      </c>
      <c r="R270">
        <v>569.09</v>
      </c>
      <c r="S270" s="3">
        <v>-8.9999999999999998E-4</v>
      </c>
      <c r="T270">
        <f t="shared" si="9"/>
        <v>2017</v>
      </c>
      <c r="W270" s="86">
        <v>41180</v>
      </c>
      <c r="X270">
        <v>499.5</v>
      </c>
    </row>
    <row r="271" spans="1:24">
      <c r="A271" s="68">
        <v>33837</v>
      </c>
      <c r="B271" s="32">
        <v>692.56</v>
      </c>
      <c r="C271">
        <f t="shared" si="8"/>
        <v>1992</v>
      </c>
      <c r="H271" s="85">
        <v>41176</v>
      </c>
      <c r="I271">
        <v>1796.75</v>
      </c>
      <c r="N271" s="69">
        <v>43049</v>
      </c>
      <c r="O271">
        <v>572.4</v>
      </c>
      <c r="P271">
        <v>572.07000000000005</v>
      </c>
      <c r="Q271">
        <v>574.17999999999995</v>
      </c>
      <c r="R271">
        <v>568.82000000000005</v>
      </c>
      <c r="S271" s="3">
        <v>4.1999999999999997E-3</v>
      </c>
      <c r="T271">
        <f t="shared" si="9"/>
        <v>2017</v>
      </c>
      <c r="W271" s="86">
        <v>41183</v>
      </c>
      <c r="X271">
        <v>499.5</v>
      </c>
    </row>
    <row r="272" spans="1:24">
      <c r="A272" s="68">
        <v>33838</v>
      </c>
      <c r="B272" s="33">
        <v>693.94</v>
      </c>
      <c r="C272">
        <f t="shared" si="8"/>
        <v>1992</v>
      </c>
      <c r="H272" s="85">
        <v>41177</v>
      </c>
      <c r="I272">
        <v>1799.29</v>
      </c>
      <c r="N272" s="69">
        <v>43048</v>
      </c>
      <c r="O272">
        <v>570.03</v>
      </c>
      <c r="P272">
        <v>573.27</v>
      </c>
      <c r="Q272">
        <v>573.45000000000005</v>
      </c>
      <c r="R272">
        <v>570.03</v>
      </c>
      <c r="S272" s="3">
        <v>-3.3E-3</v>
      </c>
      <c r="T272">
        <f t="shared" si="9"/>
        <v>2017</v>
      </c>
      <c r="W272" s="86">
        <v>41184</v>
      </c>
      <c r="X272">
        <v>499.5</v>
      </c>
    </row>
    <row r="273" spans="1:24">
      <c r="A273" s="68">
        <v>33839</v>
      </c>
      <c r="B273" s="32">
        <v>693.94</v>
      </c>
      <c r="C273">
        <f t="shared" si="8"/>
        <v>1992</v>
      </c>
      <c r="H273" s="85">
        <v>41178</v>
      </c>
      <c r="I273">
        <v>1795.69</v>
      </c>
      <c r="N273" s="69">
        <v>43047</v>
      </c>
      <c r="O273">
        <v>571.9</v>
      </c>
      <c r="P273">
        <v>570.75</v>
      </c>
      <c r="Q273">
        <v>571.91</v>
      </c>
      <c r="R273">
        <v>568.82000000000005</v>
      </c>
      <c r="S273" s="3">
        <v>2.8E-3</v>
      </c>
      <c r="T273">
        <f t="shared" si="9"/>
        <v>2017</v>
      </c>
      <c r="W273" s="86">
        <v>41185</v>
      </c>
      <c r="X273">
        <v>499.5</v>
      </c>
    </row>
    <row r="274" spans="1:24">
      <c r="A274" s="68">
        <v>33840</v>
      </c>
      <c r="B274" s="33">
        <v>693.94</v>
      </c>
      <c r="C274">
        <f t="shared" si="8"/>
        <v>1992</v>
      </c>
      <c r="H274" s="85">
        <v>41179</v>
      </c>
      <c r="I274">
        <v>1799.55</v>
      </c>
      <c r="N274" s="69">
        <v>43046</v>
      </c>
      <c r="O274">
        <v>570.30999999999995</v>
      </c>
      <c r="P274">
        <v>571.5</v>
      </c>
      <c r="Q274">
        <v>572.58000000000004</v>
      </c>
      <c r="R274">
        <v>569.97</v>
      </c>
      <c r="S274" s="3">
        <v>-1.8E-3</v>
      </c>
      <c r="T274">
        <f t="shared" si="9"/>
        <v>2017</v>
      </c>
      <c r="W274" s="86">
        <v>41186</v>
      </c>
      <c r="X274">
        <v>499.5</v>
      </c>
    </row>
    <row r="275" spans="1:24">
      <c r="A275" s="68">
        <v>33841</v>
      </c>
      <c r="B275" s="32">
        <v>689.56</v>
      </c>
      <c r="C275">
        <f t="shared" si="8"/>
        <v>1992</v>
      </c>
      <c r="H275" s="85">
        <v>41180</v>
      </c>
      <c r="I275">
        <v>1798.08</v>
      </c>
      <c r="N275" s="69">
        <v>43045</v>
      </c>
      <c r="O275">
        <v>571.35</v>
      </c>
      <c r="P275">
        <v>572.64</v>
      </c>
      <c r="Q275">
        <v>572.64</v>
      </c>
      <c r="R275">
        <v>568.82000000000005</v>
      </c>
      <c r="S275" s="3">
        <v>-2.3E-3</v>
      </c>
      <c r="T275">
        <f t="shared" si="9"/>
        <v>2017</v>
      </c>
      <c r="W275" s="86">
        <v>41187</v>
      </c>
      <c r="X275">
        <v>499.5</v>
      </c>
    </row>
    <row r="276" spans="1:24">
      <c r="A276" s="68">
        <v>33842</v>
      </c>
      <c r="B276" s="33">
        <v>689.21</v>
      </c>
      <c r="C276">
        <f t="shared" si="8"/>
        <v>1992</v>
      </c>
      <c r="H276" s="85">
        <v>41181</v>
      </c>
      <c r="I276">
        <v>1800.52</v>
      </c>
      <c r="N276" s="69">
        <v>43042</v>
      </c>
      <c r="O276">
        <v>572.64</v>
      </c>
      <c r="P276">
        <v>571.27</v>
      </c>
      <c r="Q276">
        <v>574.64</v>
      </c>
      <c r="R276">
        <v>568.82000000000005</v>
      </c>
      <c r="S276" s="3">
        <v>5.8999999999999999E-3</v>
      </c>
      <c r="T276">
        <f t="shared" si="9"/>
        <v>2017</v>
      </c>
      <c r="W276" s="86">
        <v>41190</v>
      </c>
      <c r="X276">
        <v>499.5</v>
      </c>
    </row>
    <row r="277" spans="1:24">
      <c r="A277" s="68">
        <v>33843</v>
      </c>
      <c r="B277" s="32">
        <v>689.45</v>
      </c>
      <c r="C277">
        <f t="shared" si="8"/>
        <v>1992</v>
      </c>
      <c r="H277" s="85">
        <v>41182</v>
      </c>
      <c r="I277">
        <v>1800.52</v>
      </c>
      <c r="N277" s="69">
        <v>43041</v>
      </c>
      <c r="O277">
        <v>569.27</v>
      </c>
      <c r="P277">
        <v>569.65</v>
      </c>
      <c r="Q277">
        <v>570.4</v>
      </c>
      <c r="R277">
        <v>567.02</v>
      </c>
      <c r="S277" s="3">
        <v>-3.3999999999999998E-3</v>
      </c>
      <c r="T277">
        <f t="shared" si="9"/>
        <v>2017</v>
      </c>
      <c r="W277" s="86">
        <v>41191</v>
      </c>
      <c r="X277">
        <v>499</v>
      </c>
    </row>
    <row r="278" spans="1:24">
      <c r="A278" s="68">
        <v>33844</v>
      </c>
      <c r="B278" s="33">
        <v>690.3</v>
      </c>
      <c r="C278">
        <f t="shared" si="8"/>
        <v>1992</v>
      </c>
      <c r="H278" s="85">
        <v>41183</v>
      </c>
      <c r="I278">
        <v>1800.52</v>
      </c>
      <c r="N278" s="69">
        <v>43040</v>
      </c>
      <c r="O278">
        <v>571.22</v>
      </c>
      <c r="P278">
        <v>571.63</v>
      </c>
      <c r="Q278">
        <v>571.65</v>
      </c>
      <c r="R278">
        <v>568.4</v>
      </c>
      <c r="S278" s="3">
        <v>2.5999999999999999E-3</v>
      </c>
      <c r="T278">
        <f t="shared" si="9"/>
        <v>2017</v>
      </c>
      <c r="W278" s="86">
        <v>41192</v>
      </c>
      <c r="X278">
        <v>499</v>
      </c>
    </row>
    <row r="279" spans="1:24">
      <c r="A279" s="68">
        <v>33845</v>
      </c>
      <c r="B279" s="32">
        <v>691.68</v>
      </c>
      <c r="C279">
        <f t="shared" si="8"/>
        <v>1992</v>
      </c>
      <c r="H279" s="85">
        <v>41184</v>
      </c>
      <c r="I279">
        <v>1797.97</v>
      </c>
      <c r="N279" s="69">
        <v>43039</v>
      </c>
      <c r="O279">
        <v>569.75</v>
      </c>
      <c r="P279">
        <v>566.89</v>
      </c>
      <c r="Q279">
        <v>572.28</v>
      </c>
      <c r="R279">
        <v>566.61</v>
      </c>
      <c r="S279" s="3">
        <v>-2.0000000000000001E-4</v>
      </c>
      <c r="T279">
        <f t="shared" si="9"/>
        <v>2017</v>
      </c>
      <c r="W279" s="86">
        <v>41193</v>
      </c>
      <c r="X279">
        <v>499.5</v>
      </c>
    </row>
    <row r="280" spans="1:24">
      <c r="A280" s="68">
        <v>33846</v>
      </c>
      <c r="B280" s="33">
        <v>691.68</v>
      </c>
      <c r="C280">
        <f t="shared" si="8"/>
        <v>1992</v>
      </c>
      <c r="H280" s="85">
        <v>41185</v>
      </c>
      <c r="I280">
        <v>1798.86</v>
      </c>
      <c r="N280" s="69">
        <v>43038</v>
      </c>
      <c r="O280">
        <v>569.84</v>
      </c>
      <c r="P280">
        <v>569.83000000000004</v>
      </c>
      <c r="Q280">
        <v>571.01</v>
      </c>
      <c r="R280">
        <v>566.20000000000005</v>
      </c>
      <c r="S280" s="3">
        <v>-3.5000000000000001E-3</v>
      </c>
      <c r="T280">
        <f t="shared" si="9"/>
        <v>2017</v>
      </c>
      <c r="W280" s="86">
        <v>41194</v>
      </c>
      <c r="X280">
        <v>499.5</v>
      </c>
    </row>
    <row r="281" spans="1:24">
      <c r="A281" s="68">
        <v>33847</v>
      </c>
      <c r="B281" s="32">
        <v>691.68</v>
      </c>
      <c r="C281">
        <f t="shared" si="8"/>
        <v>1992</v>
      </c>
      <c r="H281" s="85">
        <v>41186</v>
      </c>
      <c r="I281">
        <v>1800.43</v>
      </c>
      <c r="N281" s="69">
        <v>43035</v>
      </c>
      <c r="O281">
        <v>571.82000000000005</v>
      </c>
      <c r="P281">
        <v>572.20000000000005</v>
      </c>
      <c r="Q281">
        <v>572.20000000000005</v>
      </c>
      <c r="R281">
        <v>567.92999999999995</v>
      </c>
      <c r="S281" s="3">
        <v>-6.9999999999999999E-4</v>
      </c>
      <c r="T281">
        <f t="shared" si="9"/>
        <v>2017</v>
      </c>
      <c r="W281" s="86">
        <v>41197</v>
      </c>
      <c r="X281">
        <v>499.5</v>
      </c>
    </row>
    <row r="282" spans="1:24">
      <c r="A282" s="68">
        <v>33848</v>
      </c>
      <c r="B282" s="33">
        <v>691.9</v>
      </c>
      <c r="C282">
        <f t="shared" si="8"/>
        <v>1992</v>
      </c>
      <c r="H282" s="85">
        <v>41187</v>
      </c>
      <c r="I282">
        <v>1797.68</v>
      </c>
      <c r="N282" s="69">
        <v>43034</v>
      </c>
      <c r="O282">
        <v>572.20000000000005</v>
      </c>
      <c r="P282">
        <v>571.39</v>
      </c>
      <c r="Q282">
        <v>572.21</v>
      </c>
      <c r="R282">
        <v>567.92999999999995</v>
      </c>
      <c r="S282" s="3">
        <v>4.4999999999999997E-3</v>
      </c>
      <c r="T282">
        <f t="shared" si="9"/>
        <v>2017</v>
      </c>
      <c r="W282" s="86">
        <v>41198</v>
      </c>
      <c r="X282">
        <v>499.5</v>
      </c>
    </row>
    <row r="283" spans="1:24">
      <c r="A283" s="68">
        <v>33849</v>
      </c>
      <c r="B283" s="32">
        <v>692.89</v>
      </c>
      <c r="C283">
        <f t="shared" si="8"/>
        <v>1992</v>
      </c>
      <c r="H283" s="85">
        <v>41188</v>
      </c>
      <c r="I283">
        <v>1795.4</v>
      </c>
      <c r="N283" s="69">
        <v>43033</v>
      </c>
      <c r="O283">
        <v>569.62</v>
      </c>
      <c r="P283">
        <v>569.73</v>
      </c>
      <c r="Q283">
        <v>569.75</v>
      </c>
      <c r="R283">
        <v>566.38</v>
      </c>
      <c r="S283" s="3">
        <v>-4.0000000000000002E-4</v>
      </c>
      <c r="T283">
        <f t="shared" si="9"/>
        <v>2017</v>
      </c>
      <c r="W283" s="86">
        <v>41199</v>
      </c>
      <c r="X283">
        <v>499.5</v>
      </c>
    </row>
    <row r="284" spans="1:24">
      <c r="A284" s="68">
        <v>33850</v>
      </c>
      <c r="B284" s="33">
        <v>693.02</v>
      </c>
      <c r="C284">
        <f t="shared" si="8"/>
        <v>1992</v>
      </c>
      <c r="H284" s="85">
        <v>41189</v>
      </c>
      <c r="I284">
        <v>1795.4</v>
      </c>
      <c r="N284" s="69">
        <v>43032</v>
      </c>
      <c r="O284">
        <v>569.87</v>
      </c>
      <c r="P284">
        <v>573.82000000000005</v>
      </c>
      <c r="Q284">
        <v>573.82000000000005</v>
      </c>
      <c r="R284">
        <v>569.87</v>
      </c>
      <c r="S284" s="3">
        <v>-3.8999999999999998E-3</v>
      </c>
      <c r="T284">
        <f t="shared" si="9"/>
        <v>2017</v>
      </c>
      <c r="W284" s="86">
        <v>41200</v>
      </c>
      <c r="X284">
        <v>499.5</v>
      </c>
    </row>
    <row r="285" spans="1:24">
      <c r="A285" s="68">
        <v>33851</v>
      </c>
      <c r="B285" s="32">
        <v>695.62</v>
      </c>
      <c r="C285">
        <f t="shared" si="8"/>
        <v>1992</v>
      </c>
      <c r="H285" s="85">
        <v>41190</v>
      </c>
      <c r="I285">
        <v>1795.4</v>
      </c>
      <c r="N285" s="69">
        <v>43031</v>
      </c>
      <c r="O285">
        <v>572.12</v>
      </c>
      <c r="P285">
        <v>572.29</v>
      </c>
      <c r="Q285">
        <v>572.29</v>
      </c>
      <c r="R285">
        <v>568.76</v>
      </c>
      <c r="S285" s="3">
        <v>-2.9999999999999997E-4</v>
      </c>
      <c r="T285">
        <f t="shared" si="9"/>
        <v>2017</v>
      </c>
      <c r="W285" s="86">
        <v>41201</v>
      </c>
      <c r="X285">
        <v>499.5</v>
      </c>
    </row>
    <row r="286" spans="1:24">
      <c r="A286" s="68">
        <v>33852</v>
      </c>
      <c r="B286" s="33">
        <v>696.77</v>
      </c>
      <c r="C286">
        <f t="shared" si="8"/>
        <v>1992</v>
      </c>
      <c r="H286" s="85">
        <v>41191</v>
      </c>
      <c r="I286">
        <v>1795.4</v>
      </c>
      <c r="N286" s="69">
        <v>43028</v>
      </c>
      <c r="O286">
        <v>572.29</v>
      </c>
      <c r="P286">
        <v>569.4</v>
      </c>
      <c r="Q286">
        <v>572.29999999999995</v>
      </c>
      <c r="R286">
        <v>569</v>
      </c>
      <c r="S286" s="3">
        <v>6.7999999999999996E-3</v>
      </c>
      <c r="T286">
        <f t="shared" si="9"/>
        <v>2017</v>
      </c>
      <c r="W286" s="86">
        <v>41204</v>
      </c>
      <c r="X286">
        <v>499.5</v>
      </c>
    </row>
    <row r="287" spans="1:24">
      <c r="A287" s="68">
        <v>33853</v>
      </c>
      <c r="B287" s="32">
        <v>696.77</v>
      </c>
      <c r="C287">
        <f t="shared" si="8"/>
        <v>1992</v>
      </c>
      <c r="H287" s="85">
        <v>41192</v>
      </c>
      <c r="I287">
        <v>1798.32</v>
      </c>
      <c r="N287" s="69">
        <v>43027</v>
      </c>
      <c r="O287">
        <v>568.41999999999996</v>
      </c>
      <c r="P287">
        <v>571.11</v>
      </c>
      <c r="Q287">
        <v>571.66</v>
      </c>
      <c r="R287">
        <v>568.41999999999996</v>
      </c>
      <c r="S287" s="3">
        <v>-5.7000000000000002E-3</v>
      </c>
      <c r="T287">
        <f t="shared" si="9"/>
        <v>2017</v>
      </c>
      <c r="W287" s="86">
        <v>41205</v>
      </c>
      <c r="X287">
        <v>499.5</v>
      </c>
    </row>
    <row r="288" spans="1:24">
      <c r="A288" s="68">
        <v>33854</v>
      </c>
      <c r="B288" s="33">
        <v>696.77</v>
      </c>
      <c r="C288">
        <f t="shared" si="8"/>
        <v>1992</v>
      </c>
      <c r="H288" s="85">
        <v>41193</v>
      </c>
      <c r="I288">
        <v>1799.78</v>
      </c>
      <c r="N288" s="69">
        <v>43026</v>
      </c>
      <c r="O288">
        <v>571.67999999999995</v>
      </c>
      <c r="P288">
        <v>573.12</v>
      </c>
      <c r="Q288">
        <v>573.12</v>
      </c>
      <c r="R288">
        <v>568.44000000000005</v>
      </c>
      <c r="S288" s="3">
        <v>-2.5000000000000001E-3</v>
      </c>
      <c r="T288">
        <f t="shared" si="9"/>
        <v>2017</v>
      </c>
      <c r="W288" s="86">
        <v>41206</v>
      </c>
      <c r="X288">
        <v>499.5</v>
      </c>
    </row>
    <row r="289" spans="1:24">
      <c r="A289" s="68">
        <v>33855</v>
      </c>
      <c r="B289" s="32">
        <v>697.69</v>
      </c>
      <c r="C289">
        <f t="shared" si="8"/>
        <v>1992</v>
      </c>
      <c r="H289" s="85">
        <v>41194</v>
      </c>
      <c r="I289">
        <v>1797.68</v>
      </c>
      <c r="N289" s="69">
        <v>43025</v>
      </c>
      <c r="O289">
        <v>573.12</v>
      </c>
      <c r="P289">
        <v>573.13</v>
      </c>
      <c r="Q289">
        <v>573.13</v>
      </c>
      <c r="R289">
        <v>570.29</v>
      </c>
      <c r="S289" s="3">
        <v>0</v>
      </c>
      <c r="T289">
        <f t="shared" si="9"/>
        <v>2017</v>
      </c>
      <c r="W289" s="86">
        <v>41207</v>
      </c>
      <c r="X289">
        <v>499.5</v>
      </c>
    </row>
    <row r="290" spans="1:24">
      <c r="A290" s="68">
        <v>33856</v>
      </c>
      <c r="B290" s="33">
        <v>698.28</v>
      </c>
      <c r="C290">
        <f t="shared" si="8"/>
        <v>1992</v>
      </c>
      <c r="H290" s="85">
        <v>41195</v>
      </c>
      <c r="I290">
        <v>1797.68</v>
      </c>
      <c r="N290" s="69">
        <v>43024</v>
      </c>
      <c r="O290">
        <v>573.12</v>
      </c>
      <c r="P290">
        <v>575.4</v>
      </c>
      <c r="Q290">
        <v>575.4</v>
      </c>
      <c r="R290">
        <v>570.28</v>
      </c>
      <c r="S290" s="3">
        <v>-4.0000000000000001E-3</v>
      </c>
      <c r="T290">
        <f t="shared" si="9"/>
        <v>2017</v>
      </c>
      <c r="W290" s="86">
        <v>41208</v>
      </c>
      <c r="X290">
        <v>499.5</v>
      </c>
    </row>
    <row r="291" spans="1:24">
      <c r="A291" s="68">
        <v>33857</v>
      </c>
      <c r="B291" s="32">
        <v>695.38</v>
      </c>
      <c r="C291">
        <f t="shared" si="8"/>
        <v>1992</v>
      </c>
      <c r="H291" s="85">
        <v>41196</v>
      </c>
      <c r="I291">
        <v>1797.68</v>
      </c>
      <c r="N291" s="69">
        <v>43021</v>
      </c>
      <c r="O291">
        <v>575.4</v>
      </c>
      <c r="P291">
        <v>576.32000000000005</v>
      </c>
      <c r="Q291">
        <v>576.32000000000005</v>
      </c>
      <c r="R291">
        <v>572.57000000000005</v>
      </c>
      <c r="S291" s="3">
        <v>-1.6000000000000001E-3</v>
      </c>
      <c r="T291">
        <f t="shared" si="9"/>
        <v>2017</v>
      </c>
      <c r="W291" s="86">
        <v>41211</v>
      </c>
      <c r="X291">
        <v>499.4</v>
      </c>
    </row>
    <row r="292" spans="1:24">
      <c r="A292" s="68">
        <v>33858</v>
      </c>
      <c r="B292" s="33">
        <v>695.54</v>
      </c>
      <c r="C292">
        <f t="shared" si="8"/>
        <v>1992</v>
      </c>
      <c r="H292" s="85">
        <v>41197</v>
      </c>
      <c r="I292">
        <v>1797.68</v>
      </c>
      <c r="N292" s="69">
        <v>43020</v>
      </c>
      <c r="O292">
        <v>576.32000000000005</v>
      </c>
      <c r="P292">
        <v>576.67999999999995</v>
      </c>
      <c r="Q292">
        <v>576.67999999999995</v>
      </c>
      <c r="R292">
        <v>572.54999999999995</v>
      </c>
      <c r="S292" s="3">
        <v>-5.9999999999999995E-4</v>
      </c>
      <c r="T292">
        <f t="shared" si="9"/>
        <v>2017</v>
      </c>
      <c r="W292" s="86">
        <v>41212</v>
      </c>
      <c r="X292">
        <v>499.4</v>
      </c>
    </row>
    <row r="293" spans="1:24">
      <c r="A293" s="68">
        <v>33859</v>
      </c>
      <c r="B293" s="32">
        <v>696.39</v>
      </c>
      <c r="C293">
        <f t="shared" si="8"/>
        <v>1992</v>
      </c>
      <c r="H293" s="85">
        <v>41198</v>
      </c>
      <c r="I293">
        <v>1797.68</v>
      </c>
      <c r="N293" s="69">
        <v>43019</v>
      </c>
      <c r="O293">
        <v>576.67999999999995</v>
      </c>
      <c r="P293">
        <v>576.35</v>
      </c>
      <c r="Q293">
        <v>576.70000000000005</v>
      </c>
      <c r="R293">
        <v>573.84</v>
      </c>
      <c r="S293" s="3">
        <v>2.5999999999999999E-3</v>
      </c>
      <c r="T293">
        <f t="shared" si="9"/>
        <v>2017</v>
      </c>
      <c r="W293" s="86">
        <v>41213</v>
      </c>
      <c r="X293">
        <v>499.2</v>
      </c>
    </row>
    <row r="294" spans="1:24">
      <c r="A294" s="68">
        <v>33860</v>
      </c>
      <c r="B294" s="33">
        <v>696.39</v>
      </c>
      <c r="C294">
        <f t="shared" si="8"/>
        <v>1992</v>
      </c>
      <c r="H294" s="85">
        <v>41199</v>
      </c>
      <c r="I294">
        <v>1797.81</v>
      </c>
      <c r="N294" s="69">
        <v>43018</v>
      </c>
      <c r="O294">
        <v>575.17999999999995</v>
      </c>
      <c r="P294">
        <v>577.99</v>
      </c>
      <c r="Q294">
        <v>578.09</v>
      </c>
      <c r="R294">
        <v>575.17999999999995</v>
      </c>
      <c r="S294" s="3">
        <v>-1.9E-3</v>
      </c>
      <c r="T294">
        <f t="shared" si="9"/>
        <v>2017</v>
      </c>
      <c r="W294" s="86">
        <v>41214</v>
      </c>
      <c r="X294">
        <v>499.5</v>
      </c>
    </row>
    <row r="295" spans="1:24">
      <c r="A295" s="68">
        <v>33861</v>
      </c>
      <c r="B295" s="32">
        <v>696.39</v>
      </c>
      <c r="C295">
        <f t="shared" si="8"/>
        <v>1992</v>
      </c>
      <c r="H295" s="85">
        <v>41200</v>
      </c>
      <c r="I295">
        <v>1798.53</v>
      </c>
      <c r="N295" s="69">
        <v>43017</v>
      </c>
      <c r="O295">
        <v>576.27</v>
      </c>
      <c r="P295">
        <v>576.72</v>
      </c>
      <c r="Q295">
        <v>576.72</v>
      </c>
      <c r="R295">
        <v>576.27</v>
      </c>
      <c r="S295" s="3">
        <v>-8.0000000000000004E-4</v>
      </c>
      <c r="T295">
        <f t="shared" si="9"/>
        <v>2017</v>
      </c>
      <c r="W295" s="86">
        <v>41215</v>
      </c>
      <c r="X295">
        <v>499.6</v>
      </c>
    </row>
    <row r="296" spans="1:24">
      <c r="A296" s="68">
        <v>33862</v>
      </c>
      <c r="B296" s="33">
        <v>696.29</v>
      </c>
      <c r="C296">
        <f t="shared" si="8"/>
        <v>1992</v>
      </c>
      <c r="H296" s="85">
        <v>41201</v>
      </c>
      <c r="I296">
        <v>1797.66</v>
      </c>
      <c r="N296" s="69">
        <v>43014</v>
      </c>
      <c r="O296">
        <v>576.72</v>
      </c>
      <c r="P296">
        <v>575.6</v>
      </c>
      <c r="Q296">
        <v>576.73</v>
      </c>
      <c r="R296">
        <v>573.14</v>
      </c>
      <c r="S296" s="3">
        <v>1.9E-3</v>
      </c>
      <c r="T296">
        <f t="shared" si="9"/>
        <v>2017</v>
      </c>
      <c r="W296" s="86">
        <v>41218</v>
      </c>
      <c r="X296">
        <v>499.7</v>
      </c>
    </row>
    <row r="297" spans="1:24">
      <c r="A297" s="68">
        <v>33863</v>
      </c>
      <c r="B297" s="32">
        <v>696.84</v>
      </c>
      <c r="C297">
        <f t="shared" si="8"/>
        <v>1992</v>
      </c>
      <c r="H297" s="85">
        <v>41202</v>
      </c>
      <c r="I297">
        <v>1798.42</v>
      </c>
      <c r="N297" s="69">
        <v>43013</v>
      </c>
      <c r="O297">
        <v>575.6</v>
      </c>
      <c r="P297">
        <v>574.55999999999995</v>
      </c>
      <c r="Q297">
        <v>575.62</v>
      </c>
      <c r="R297">
        <v>572.77</v>
      </c>
      <c r="S297" s="3">
        <v>3.8999999999999998E-3</v>
      </c>
      <c r="T297">
        <f t="shared" si="9"/>
        <v>2017</v>
      </c>
      <c r="W297" s="86">
        <v>41219</v>
      </c>
      <c r="X297">
        <v>499.7</v>
      </c>
    </row>
    <row r="298" spans="1:24">
      <c r="A298" s="68">
        <v>33864</v>
      </c>
      <c r="B298" s="33">
        <v>695.7</v>
      </c>
      <c r="C298">
        <f t="shared" si="8"/>
        <v>1992</v>
      </c>
      <c r="H298" s="85">
        <v>41203</v>
      </c>
      <c r="I298">
        <v>1798.42</v>
      </c>
      <c r="N298" s="69">
        <v>43012</v>
      </c>
      <c r="O298">
        <v>573.34</v>
      </c>
      <c r="P298">
        <v>573.32000000000005</v>
      </c>
      <c r="Q298">
        <v>575.86</v>
      </c>
      <c r="R298">
        <v>573.32000000000005</v>
      </c>
      <c r="S298" s="3">
        <v>-6.6E-3</v>
      </c>
      <c r="T298">
        <f t="shared" si="9"/>
        <v>2017</v>
      </c>
      <c r="W298" s="86">
        <v>41220</v>
      </c>
      <c r="X298">
        <v>499.6</v>
      </c>
    </row>
    <row r="299" spans="1:24">
      <c r="A299" s="68">
        <v>33865</v>
      </c>
      <c r="B299" s="32">
        <v>696.66</v>
      </c>
      <c r="C299">
        <f t="shared" si="8"/>
        <v>1992</v>
      </c>
      <c r="H299" s="85">
        <v>41204</v>
      </c>
      <c r="I299">
        <v>1798.42</v>
      </c>
      <c r="N299" s="69">
        <v>43011</v>
      </c>
      <c r="O299">
        <v>577.15</v>
      </c>
      <c r="P299">
        <v>575.14</v>
      </c>
      <c r="Q299">
        <v>579.25</v>
      </c>
      <c r="R299">
        <v>573.4</v>
      </c>
      <c r="S299" s="3">
        <v>6.7000000000000002E-3</v>
      </c>
      <c r="T299">
        <f t="shared" si="9"/>
        <v>2017</v>
      </c>
      <c r="W299" s="86">
        <v>41221</v>
      </c>
      <c r="X299">
        <v>499.6</v>
      </c>
    </row>
    <row r="300" spans="1:24">
      <c r="A300" s="68">
        <v>33866</v>
      </c>
      <c r="B300" s="33">
        <v>696.42</v>
      </c>
      <c r="C300">
        <f t="shared" si="8"/>
        <v>1992</v>
      </c>
      <c r="H300" s="85">
        <v>41205</v>
      </c>
      <c r="I300">
        <v>1802.91</v>
      </c>
      <c r="N300" s="69">
        <v>43010</v>
      </c>
      <c r="O300">
        <v>573.32000000000005</v>
      </c>
      <c r="P300">
        <v>574.6</v>
      </c>
      <c r="Q300">
        <v>574.6</v>
      </c>
      <c r="R300">
        <v>573.32000000000005</v>
      </c>
      <c r="S300" s="3">
        <v>-1.8E-3</v>
      </c>
      <c r="T300">
        <f t="shared" si="9"/>
        <v>2017</v>
      </c>
      <c r="W300" s="86">
        <v>41222</v>
      </c>
      <c r="X300">
        <v>499.6</v>
      </c>
    </row>
    <row r="301" spans="1:24">
      <c r="A301" s="68">
        <v>33867</v>
      </c>
      <c r="B301" s="32">
        <v>696.42</v>
      </c>
      <c r="C301">
        <f t="shared" si="8"/>
        <v>1992</v>
      </c>
      <c r="H301" s="85">
        <v>41206</v>
      </c>
      <c r="I301">
        <v>1816.6</v>
      </c>
      <c r="N301" s="69">
        <v>43007</v>
      </c>
      <c r="O301">
        <v>574.38</v>
      </c>
      <c r="P301">
        <v>575.86</v>
      </c>
      <c r="Q301">
        <v>575.86</v>
      </c>
      <c r="R301">
        <v>574.38</v>
      </c>
      <c r="S301" s="3">
        <v>-2E-3</v>
      </c>
      <c r="T301">
        <f t="shared" si="9"/>
        <v>2017</v>
      </c>
      <c r="W301" s="86">
        <v>41225</v>
      </c>
      <c r="X301">
        <v>499.6</v>
      </c>
    </row>
    <row r="302" spans="1:24">
      <c r="A302" s="68">
        <v>33868</v>
      </c>
      <c r="B302" s="33">
        <v>696.42</v>
      </c>
      <c r="C302">
        <f t="shared" si="8"/>
        <v>1992</v>
      </c>
      <c r="H302" s="85">
        <v>41207</v>
      </c>
      <c r="I302">
        <v>1817.25</v>
      </c>
      <c r="N302" s="69">
        <v>43006</v>
      </c>
      <c r="O302">
        <v>575.52</v>
      </c>
      <c r="P302">
        <v>575.73</v>
      </c>
      <c r="Q302">
        <v>575.73</v>
      </c>
      <c r="R302">
        <v>575.51</v>
      </c>
      <c r="S302" s="3">
        <v>-4.0000000000000002E-4</v>
      </c>
      <c r="T302">
        <f t="shared" si="9"/>
        <v>2017</v>
      </c>
      <c r="W302" s="86">
        <v>41226</v>
      </c>
      <c r="X302">
        <v>499.6</v>
      </c>
    </row>
    <row r="303" spans="1:24">
      <c r="A303" s="68">
        <v>33869</v>
      </c>
      <c r="B303" s="32">
        <v>699.16</v>
      </c>
      <c r="C303">
        <f t="shared" si="8"/>
        <v>1992</v>
      </c>
      <c r="H303" s="85">
        <v>41208</v>
      </c>
      <c r="I303">
        <v>1816.97</v>
      </c>
      <c r="N303" s="69">
        <v>43005</v>
      </c>
      <c r="O303">
        <v>575.73</v>
      </c>
      <c r="P303">
        <v>575.35</v>
      </c>
      <c r="Q303">
        <v>575.74</v>
      </c>
      <c r="R303">
        <v>575.35</v>
      </c>
      <c r="S303" s="3">
        <v>-2.5000000000000001E-3</v>
      </c>
      <c r="T303">
        <f t="shared" si="9"/>
        <v>2017</v>
      </c>
      <c r="W303" s="86">
        <v>41227</v>
      </c>
      <c r="X303">
        <v>499.7</v>
      </c>
    </row>
    <row r="304" spans="1:24">
      <c r="A304" s="68">
        <v>33870</v>
      </c>
      <c r="B304" s="33">
        <v>697.77</v>
      </c>
      <c r="C304">
        <f t="shared" si="8"/>
        <v>1992</v>
      </c>
      <c r="H304" s="85">
        <v>41209</v>
      </c>
      <c r="I304">
        <v>1823.18</v>
      </c>
      <c r="N304" s="69">
        <v>43004</v>
      </c>
      <c r="O304">
        <v>577.15</v>
      </c>
      <c r="P304">
        <v>578.27</v>
      </c>
      <c r="Q304">
        <v>581.02</v>
      </c>
      <c r="R304">
        <v>576.62</v>
      </c>
      <c r="S304" s="3">
        <v>1.6000000000000001E-3</v>
      </c>
      <c r="T304">
        <f t="shared" si="9"/>
        <v>2017</v>
      </c>
      <c r="W304" s="86">
        <v>41228</v>
      </c>
      <c r="X304">
        <v>499.5</v>
      </c>
    </row>
    <row r="305" spans="1:24">
      <c r="A305" s="68">
        <v>33871</v>
      </c>
      <c r="B305" s="32">
        <v>698.4</v>
      </c>
      <c r="C305">
        <f t="shared" si="8"/>
        <v>1992</v>
      </c>
      <c r="H305" s="85">
        <v>41210</v>
      </c>
      <c r="I305">
        <v>1823.18</v>
      </c>
      <c r="N305" s="69">
        <v>43003</v>
      </c>
      <c r="O305">
        <v>576.20000000000005</v>
      </c>
      <c r="P305">
        <v>577.87</v>
      </c>
      <c r="Q305">
        <v>577.87</v>
      </c>
      <c r="R305">
        <v>575.91999999999996</v>
      </c>
      <c r="S305" s="3">
        <v>-2.3E-3</v>
      </c>
      <c r="T305">
        <f t="shared" si="9"/>
        <v>2017</v>
      </c>
      <c r="W305" s="86">
        <v>41229</v>
      </c>
      <c r="X305">
        <v>499.5</v>
      </c>
    </row>
    <row r="306" spans="1:24">
      <c r="A306" s="68">
        <v>33872</v>
      </c>
      <c r="B306" s="33">
        <v>697.01</v>
      </c>
      <c r="C306">
        <f t="shared" si="8"/>
        <v>1992</v>
      </c>
      <c r="H306" s="85">
        <v>41211</v>
      </c>
      <c r="I306">
        <v>1823.18</v>
      </c>
      <c r="N306" s="69">
        <v>43000</v>
      </c>
      <c r="O306">
        <v>577.54999999999995</v>
      </c>
      <c r="P306">
        <v>577.9</v>
      </c>
      <c r="Q306">
        <v>579.38</v>
      </c>
      <c r="R306">
        <v>575.9</v>
      </c>
      <c r="S306" s="3">
        <v>-5.9999999999999995E-4</v>
      </c>
      <c r="T306">
        <f t="shared" si="9"/>
        <v>2017</v>
      </c>
      <c r="W306" s="86">
        <v>41232</v>
      </c>
      <c r="X306">
        <v>499.4</v>
      </c>
    </row>
    <row r="307" spans="1:24">
      <c r="A307" s="68">
        <v>33873</v>
      </c>
      <c r="B307" s="32">
        <v>704.8</v>
      </c>
      <c r="C307">
        <f t="shared" si="8"/>
        <v>1992</v>
      </c>
      <c r="H307" s="85">
        <v>41212</v>
      </c>
      <c r="I307">
        <v>1830.45</v>
      </c>
      <c r="N307" s="69">
        <v>42999</v>
      </c>
      <c r="O307">
        <v>577.9</v>
      </c>
      <c r="P307">
        <v>577.09</v>
      </c>
      <c r="Q307">
        <v>578.41999999999996</v>
      </c>
      <c r="R307">
        <v>576.47</v>
      </c>
      <c r="S307" s="3">
        <v>-8.9999999999999998E-4</v>
      </c>
      <c r="T307">
        <f t="shared" si="9"/>
        <v>2017</v>
      </c>
      <c r="W307" s="86">
        <v>41233</v>
      </c>
      <c r="X307">
        <v>499.5</v>
      </c>
    </row>
    <row r="308" spans="1:24">
      <c r="A308" s="68">
        <v>33874</v>
      </c>
      <c r="B308" s="33">
        <v>704.8</v>
      </c>
      <c r="C308">
        <f t="shared" si="8"/>
        <v>1992</v>
      </c>
      <c r="H308" s="85">
        <v>41213</v>
      </c>
      <c r="I308">
        <v>1829.89</v>
      </c>
      <c r="N308" s="69">
        <v>42998</v>
      </c>
      <c r="O308">
        <v>578.41999999999996</v>
      </c>
      <c r="P308">
        <v>577.92999999999995</v>
      </c>
      <c r="Q308">
        <v>578.5</v>
      </c>
      <c r="R308">
        <v>577.09</v>
      </c>
      <c r="S308" s="3">
        <v>-1E-4</v>
      </c>
      <c r="T308">
        <f t="shared" si="9"/>
        <v>2017</v>
      </c>
      <c r="W308" s="86">
        <v>41234</v>
      </c>
      <c r="X308">
        <v>499.5</v>
      </c>
    </row>
    <row r="309" spans="1:24">
      <c r="A309" s="68">
        <v>33875</v>
      </c>
      <c r="B309" s="32">
        <v>704.8</v>
      </c>
      <c r="C309">
        <f t="shared" si="8"/>
        <v>1992</v>
      </c>
      <c r="H309" s="85">
        <v>41214</v>
      </c>
      <c r="I309">
        <v>1831.25</v>
      </c>
      <c r="N309" s="69">
        <v>42997</v>
      </c>
      <c r="O309">
        <v>578.5</v>
      </c>
      <c r="P309">
        <v>579.20000000000005</v>
      </c>
      <c r="Q309">
        <v>579.20000000000005</v>
      </c>
      <c r="R309">
        <v>578.5</v>
      </c>
      <c r="S309" s="3">
        <v>-1.1999999999999999E-3</v>
      </c>
      <c r="T309">
        <f t="shared" si="9"/>
        <v>2017</v>
      </c>
      <c r="W309" s="86">
        <v>41235</v>
      </c>
      <c r="X309">
        <v>499.5</v>
      </c>
    </row>
    <row r="310" spans="1:24">
      <c r="A310" s="68">
        <v>33876</v>
      </c>
      <c r="B310" s="33">
        <v>701</v>
      </c>
      <c r="C310">
        <f t="shared" si="8"/>
        <v>1992</v>
      </c>
      <c r="H310" s="85">
        <v>41215</v>
      </c>
      <c r="I310">
        <v>1825.5</v>
      </c>
      <c r="N310" s="69">
        <v>42996</v>
      </c>
      <c r="O310">
        <v>579.20000000000005</v>
      </c>
      <c r="P310">
        <v>579.20000000000005</v>
      </c>
      <c r="Q310">
        <v>579.22</v>
      </c>
      <c r="R310">
        <v>577.87</v>
      </c>
      <c r="S310" s="3">
        <v>0</v>
      </c>
      <c r="T310">
        <f t="shared" si="9"/>
        <v>2017</v>
      </c>
      <c r="W310" s="86">
        <v>41236</v>
      </c>
      <c r="X310">
        <v>499.5</v>
      </c>
    </row>
    <row r="311" spans="1:24">
      <c r="A311" s="68">
        <v>33877</v>
      </c>
      <c r="B311" s="32">
        <v>702.81</v>
      </c>
      <c r="C311">
        <f t="shared" si="8"/>
        <v>1992</v>
      </c>
      <c r="H311" s="85">
        <v>41216</v>
      </c>
      <c r="I311">
        <v>1828.8</v>
      </c>
      <c r="N311" s="69">
        <v>42993</v>
      </c>
      <c r="O311">
        <v>579.20000000000005</v>
      </c>
      <c r="P311">
        <v>579.91999999999996</v>
      </c>
      <c r="Q311">
        <v>579.91999999999996</v>
      </c>
      <c r="R311">
        <v>578.65</v>
      </c>
      <c r="S311" s="3">
        <v>-1.1999999999999999E-3</v>
      </c>
      <c r="T311">
        <f t="shared" si="9"/>
        <v>2017</v>
      </c>
      <c r="W311" s="86">
        <v>41239</v>
      </c>
      <c r="X311">
        <v>499.6</v>
      </c>
    </row>
    <row r="312" spans="1:24">
      <c r="A312" s="68">
        <v>33878</v>
      </c>
      <c r="B312" s="33">
        <v>699.7</v>
      </c>
      <c r="C312">
        <f t="shared" si="8"/>
        <v>1992</v>
      </c>
      <c r="H312" s="85">
        <v>41217</v>
      </c>
      <c r="I312">
        <v>1828.8</v>
      </c>
      <c r="N312" s="69">
        <v>42992</v>
      </c>
      <c r="O312">
        <v>579.91999999999996</v>
      </c>
      <c r="P312">
        <v>580.1</v>
      </c>
      <c r="Q312">
        <v>581.62</v>
      </c>
      <c r="R312">
        <v>578.97</v>
      </c>
      <c r="S312" s="3">
        <v>-2.9999999999999997E-4</v>
      </c>
      <c r="T312">
        <f t="shared" si="9"/>
        <v>2017</v>
      </c>
      <c r="W312" s="86">
        <v>41240</v>
      </c>
      <c r="X312">
        <v>500.45</v>
      </c>
    </row>
    <row r="313" spans="1:24">
      <c r="A313" s="68">
        <v>33879</v>
      </c>
      <c r="B313" s="32">
        <v>703.08</v>
      </c>
      <c r="C313">
        <f t="shared" si="8"/>
        <v>1992</v>
      </c>
      <c r="H313" s="85">
        <v>41218</v>
      </c>
      <c r="I313">
        <v>1828.8</v>
      </c>
      <c r="N313" s="69">
        <v>42991</v>
      </c>
      <c r="O313">
        <v>580.1</v>
      </c>
      <c r="P313">
        <v>579.4</v>
      </c>
      <c r="Q313">
        <v>580.12</v>
      </c>
      <c r="R313">
        <v>578.95000000000005</v>
      </c>
      <c r="S313" s="3">
        <v>-8.9999999999999998E-4</v>
      </c>
      <c r="T313">
        <f t="shared" si="9"/>
        <v>2017</v>
      </c>
      <c r="W313" s="86">
        <v>41241</v>
      </c>
      <c r="X313">
        <v>499.7</v>
      </c>
    </row>
    <row r="314" spans="1:24">
      <c r="A314" s="68">
        <v>33880</v>
      </c>
      <c r="B314" s="33">
        <v>710.22</v>
      </c>
      <c r="C314">
        <f t="shared" si="8"/>
        <v>1992</v>
      </c>
      <c r="H314" s="85">
        <v>41219</v>
      </c>
      <c r="I314">
        <v>1828.8</v>
      </c>
      <c r="N314" s="69">
        <v>42990</v>
      </c>
      <c r="O314">
        <v>580.63</v>
      </c>
      <c r="P314">
        <v>579.91999999999996</v>
      </c>
      <c r="Q314">
        <v>581.21</v>
      </c>
      <c r="R314">
        <v>579.91</v>
      </c>
      <c r="S314" s="3">
        <v>2.3E-3</v>
      </c>
      <c r="T314">
        <f t="shared" si="9"/>
        <v>2017</v>
      </c>
      <c r="W314" s="86">
        <v>41242</v>
      </c>
      <c r="X314">
        <v>499.7</v>
      </c>
    </row>
    <row r="315" spans="1:24">
      <c r="A315" s="68">
        <v>33881</v>
      </c>
      <c r="B315" s="32">
        <v>710.22</v>
      </c>
      <c r="C315">
        <f t="shared" si="8"/>
        <v>1992</v>
      </c>
      <c r="H315" s="85">
        <v>41220</v>
      </c>
      <c r="I315">
        <v>1814.99</v>
      </c>
      <c r="N315" s="69">
        <v>42989</v>
      </c>
      <c r="O315">
        <v>579.28</v>
      </c>
      <c r="P315">
        <v>581.15</v>
      </c>
      <c r="Q315">
        <v>581.15</v>
      </c>
      <c r="R315">
        <v>579.28</v>
      </c>
      <c r="S315" s="3">
        <v>-3.2000000000000002E-3</v>
      </c>
      <c r="T315">
        <f t="shared" si="9"/>
        <v>2017</v>
      </c>
      <c r="W315" s="86">
        <v>41243</v>
      </c>
      <c r="X315">
        <v>499.6</v>
      </c>
    </row>
    <row r="316" spans="1:24">
      <c r="A316" s="68">
        <v>33882</v>
      </c>
      <c r="B316" s="33">
        <v>710.22</v>
      </c>
      <c r="C316">
        <f t="shared" si="8"/>
        <v>1992</v>
      </c>
      <c r="H316" s="85">
        <v>41221</v>
      </c>
      <c r="I316">
        <v>1814.83</v>
      </c>
      <c r="N316" s="69">
        <v>42986</v>
      </c>
      <c r="O316">
        <v>581.15</v>
      </c>
      <c r="P316">
        <v>580.5</v>
      </c>
      <c r="Q316">
        <v>581.16999999999996</v>
      </c>
      <c r="R316">
        <v>579.66</v>
      </c>
      <c r="S316" s="3">
        <v>3.5000000000000001E-3</v>
      </c>
      <c r="T316">
        <f t="shared" si="9"/>
        <v>2017</v>
      </c>
      <c r="W316" s="86">
        <v>41246</v>
      </c>
      <c r="X316">
        <v>499.6</v>
      </c>
    </row>
    <row r="317" spans="1:24">
      <c r="A317" s="68">
        <v>33883</v>
      </c>
      <c r="B317" s="32">
        <v>704.52</v>
      </c>
      <c r="C317">
        <f t="shared" si="8"/>
        <v>1992</v>
      </c>
      <c r="H317" s="85">
        <v>41222</v>
      </c>
      <c r="I317">
        <v>1814.21</v>
      </c>
      <c r="N317" s="69">
        <v>42985</v>
      </c>
      <c r="O317">
        <v>579.11</v>
      </c>
      <c r="P317">
        <v>578.66</v>
      </c>
      <c r="Q317">
        <v>579.85</v>
      </c>
      <c r="R317">
        <v>578.66</v>
      </c>
      <c r="S317" s="3">
        <v>-5.0000000000000001E-4</v>
      </c>
      <c r="T317">
        <f t="shared" si="9"/>
        <v>2017</v>
      </c>
      <c r="W317" s="86">
        <v>41247</v>
      </c>
      <c r="X317">
        <v>499.6</v>
      </c>
    </row>
    <row r="318" spans="1:24">
      <c r="A318" s="68">
        <v>33884</v>
      </c>
      <c r="B318" s="33">
        <v>703.66</v>
      </c>
      <c r="C318">
        <f t="shared" si="8"/>
        <v>1992</v>
      </c>
      <c r="H318" s="85">
        <v>41223</v>
      </c>
      <c r="I318">
        <v>1816.99</v>
      </c>
      <c r="N318" s="69">
        <v>42984</v>
      </c>
      <c r="O318">
        <v>579.41999999999996</v>
      </c>
      <c r="P318">
        <v>575.21</v>
      </c>
      <c r="Q318">
        <v>579.41999999999996</v>
      </c>
      <c r="R318">
        <v>575.21</v>
      </c>
      <c r="S318" s="3">
        <v>2.2000000000000001E-3</v>
      </c>
      <c r="T318">
        <f t="shared" si="9"/>
        <v>2017</v>
      </c>
      <c r="W318" s="86">
        <v>41248</v>
      </c>
      <c r="X318">
        <v>499.6</v>
      </c>
    </row>
    <row r="319" spans="1:24">
      <c r="A319" s="68">
        <v>33885</v>
      </c>
      <c r="B319" s="32">
        <v>702.71</v>
      </c>
      <c r="C319">
        <f t="shared" si="8"/>
        <v>1992</v>
      </c>
      <c r="H319" s="85">
        <v>41224</v>
      </c>
      <c r="I319">
        <v>1816.99</v>
      </c>
      <c r="N319" s="69">
        <v>42983</v>
      </c>
      <c r="O319">
        <v>578.16999999999996</v>
      </c>
      <c r="P319">
        <v>576.54</v>
      </c>
      <c r="Q319">
        <v>578.16999999999996</v>
      </c>
      <c r="R319">
        <v>575.16999999999996</v>
      </c>
      <c r="S319" s="3">
        <v>8.0000000000000004E-4</v>
      </c>
      <c r="T319">
        <f t="shared" si="9"/>
        <v>2017</v>
      </c>
      <c r="W319" s="86">
        <v>41249</v>
      </c>
      <c r="X319">
        <v>499.6</v>
      </c>
    </row>
    <row r="320" spans="1:24">
      <c r="A320" s="68">
        <v>33886</v>
      </c>
      <c r="B320" s="33">
        <v>704.06</v>
      </c>
      <c r="C320">
        <f t="shared" si="8"/>
        <v>1992</v>
      </c>
      <c r="H320" s="85">
        <v>41225</v>
      </c>
      <c r="I320">
        <v>1816.99</v>
      </c>
      <c r="N320" s="69">
        <v>42982</v>
      </c>
      <c r="O320">
        <v>577.70000000000005</v>
      </c>
      <c r="P320">
        <v>577.80999999999995</v>
      </c>
      <c r="Q320">
        <v>577.80999999999995</v>
      </c>
      <c r="R320">
        <v>577.67999999999995</v>
      </c>
      <c r="S320" s="3">
        <v>-2.0000000000000001E-4</v>
      </c>
      <c r="T320">
        <f t="shared" si="9"/>
        <v>2017</v>
      </c>
      <c r="W320" s="86">
        <v>41250</v>
      </c>
      <c r="X320">
        <v>499.5</v>
      </c>
    </row>
    <row r="321" spans="1:24">
      <c r="A321" s="68">
        <v>33887</v>
      </c>
      <c r="B321" s="32">
        <v>701.88</v>
      </c>
      <c r="C321">
        <f t="shared" si="8"/>
        <v>1992</v>
      </c>
      <c r="H321" s="85">
        <v>41226</v>
      </c>
      <c r="I321">
        <v>1816.99</v>
      </c>
      <c r="N321" s="69">
        <v>42979</v>
      </c>
      <c r="O321">
        <v>577.80999999999995</v>
      </c>
      <c r="P321">
        <v>576.91</v>
      </c>
      <c r="Q321">
        <v>577.80999999999995</v>
      </c>
      <c r="R321">
        <v>576.9</v>
      </c>
      <c r="S321" s="3">
        <v>1.2999999999999999E-3</v>
      </c>
      <c r="T321">
        <f t="shared" si="9"/>
        <v>2017</v>
      </c>
      <c r="W321" s="86">
        <v>41253</v>
      </c>
      <c r="X321">
        <v>499.9</v>
      </c>
    </row>
    <row r="322" spans="1:24">
      <c r="A322" s="68">
        <v>33888</v>
      </c>
      <c r="B322" s="33">
        <v>701.88</v>
      </c>
      <c r="C322">
        <f t="shared" si="8"/>
        <v>1992</v>
      </c>
      <c r="H322" s="85">
        <v>41227</v>
      </c>
      <c r="I322">
        <v>1819.3</v>
      </c>
      <c r="N322" s="69">
        <v>42978</v>
      </c>
      <c r="O322">
        <v>577.07000000000005</v>
      </c>
      <c r="P322">
        <v>575.39</v>
      </c>
      <c r="Q322">
        <v>577.07000000000005</v>
      </c>
      <c r="R322">
        <v>575.37</v>
      </c>
      <c r="S322" s="3">
        <v>1.4E-3</v>
      </c>
      <c r="T322">
        <f t="shared" si="9"/>
        <v>2017</v>
      </c>
      <c r="W322" s="86">
        <v>41254</v>
      </c>
      <c r="X322">
        <v>499.9</v>
      </c>
    </row>
    <row r="323" spans="1:24">
      <c r="A323" s="68">
        <v>33889</v>
      </c>
      <c r="B323" s="32">
        <v>701.88</v>
      </c>
      <c r="C323">
        <f t="shared" si="8"/>
        <v>1992</v>
      </c>
      <c r="H323" s="85">
        <v>41228</v>
      </c>
      <c r="I323">
        <v>1818.2</v>
      </c>
      <c r="N323" s="69">
        <v>42977</v>
      </c>
      <c r="O323">
        <v>576.25</v>
      </c>
      <c r="P323">
        <v>576.03</v>
      </c>
      <c r="Q323">
        <v>576.49</v>
      </c>
      <c r="R323">
        <v>576.02</v>
      </c>
      <c r="S323" s="3">
        <v>2.9999999999999997E-4</v>
      </c>
      <c r="T323">
        <f t="shared" si="9"/>
        <v>2017</v>
      </c>
      <c r="W323" s="86">
        <v>41255</v>
      </c>
      <c r="X323">
        <v>499.9</v>
      </c>
    </row>
    <row r="324" spans="1:24">
      <c r="A324" s="68">
        <v>33890</v>
      </c>
      <c r="B324" s="33">
        <v>701.88</v>
      </c>
      <c r="C324">
        <f t="shared" ref="C324:C387" si="10">YEAR(A324)</f>
        <v>1992</v>
      </c>
      <c r="H324" s="85">
        <v>41229</v>
      </c>
      <c r="I324">
        <v>1822.61</v>
      </c>
      <c r="N324" s="69">
        <v>42976</v>
      </c>
      <c r="O324">
        <v>576.05999999999995</v>
      </c>
      <c r="P324">
        <v>576.38</v>
      </c>
      <c r="Q324">
        <v>578.92999999999995</v>
      </c>
      <c r="R324">
        <v>575.48</v>
      </c>
      <c r="S324" s="3">
        <v>-5.9999999999999995E-4</v>
      </c>
      <c r="T324">
        <f t="shared" ref="T324:T387" si="11">YEAR(N324)</f>
        <v>2017</v>
      </c>
      <c r="W324" s="86">
        <v>41256</v>
      </c>
      <c r="X324">
        <v>499.5</v>
      </c>
    </row>
    <row r="325" spans="1:24">
      <c r="A325" s="68">
        <v>33891</v>
      </c>
      <c r="B325" s="32">
        <v>702.48</v>
      </c>
      <c r="C325">
        <f t="shared" si="10"/>
        <v>1992</v>
      </c>
      <c r="H325" s="85">
        <v>41230</v>
      </c>
      <c r="I325">
        <v>1823.46</v>
      </c>
      <c r="N325" s="69">
        <v>42975</v>
      </c>
      <c r="O325">
        <v>576.38</v>
      </c>
      <c r="P325">
        <v>577.34</v>
      </c>
      <c r="Q325">
        <v>577.34</v>
      </c>
      <c r="R325">
        <v>576.38</v>
      </c>
      <c r="S325" s="3">
        <v>-6.9999999999999999E-4</v>
      </c>
      <c r="T325">
        <f t="shared" si="11"/>
        <v>2017</v>
      </c>
      <c r="W325" s="86">
        <v>41257</v>
      </c>
      <c r="X325">
        <v>499.5</v>
      </c>
    </row>
    <row r="326" spans="1:24">
      <c r="A326" s="68">
        <v>33892</v>
      </c>
      <c r="B326" s="33">
        <v>705.52</v>
      </c>
      <c r="C326">
        <f t="shared" si="10"/>
        <v>1992</v>
      </c>
      <c r="H326" s="85">
        <v>41231</v>
      </c>
      <c r="I326">
        <v>1823.46</v>
      </c>
      <c r="N326" s="69">
        <v>42972</v>
      </c>
      <c r="O326">
        <v>576.80999999999995</v>
      </c>
      <c r="P326">
        <v>577.95000000000005</v>
      </c>
      <c r="Q326">
        <v>577.95000000000005</v>
      </c>
      <c r="R326">
        <v>576.80999999999995</v>
      </c>
      <c r="S326" s="3">
        <v>-1.5E-3</v>
      </c>
      <c r="T326">
        <f t="shared" si="11"/>
        <v>2017</v>
      </c>
      <c r="W326" s="86">
        <v>41260</v>
      </c>
      <c r="X326">
        <v>500.2</v>
      </c>
    </row>
    <row r="327" spans="1:24">
      <c r="A327" s="68">
        <v>33893</v>
      </c>
      <c r="B327" s="32">
        <v>708.21</v>
      </c>
      <c r="C327">
        <f t="shared" si="10"/>
        <v>1992</v>
      </c>
      <c r="H327" s="85">
        <v>41232</v>
      </c>
      <c r="I327">
        <v>1823.46</v>
      </c>
      <c r="N327" s="69">
        <v>42971</v>
      </c>
      <c r="O327">
        <v>577.65</v>
      </c>
      <c r="P327">
        <v>577.08000000000004</v>
      </c>
      <c r="Q327">
        <v>577.65</v>
      </c>
      <c r="R327">
        <v>576.17999999999995</v>
      </c>
      <c r="S327" s="3">
        <v>2E-3</v>
      </c>
      <c r="T327">
        <f t="shared" si="11"/>
        <v>2017</v>
      </c>
      <c r="W327" s="86">
        <v>41261</v>
      </c>
      <c r="X327">
        <v>500.2</v>
      </c>
    </row>
    <row r="328" spans="1:24">
      <c r="A328" s="68">
        <v>33894</v>
      </c>
      <c r="B328" s="33">
        <v>707.13</v>
      </c>
      <c r="C328">
        <f t="shared" si="10"/>
        <v>1992</v>
      </c>
      <c r="H328" s="85">
        <v>41233</v>
      </c>
      <c r="I328">
        <v>1817.67</v>
      </c>
      <c r="N328" s="69">
        <v>42970</v>
      </c>
      <c r="O328">
        <v>576.52</v>
      </c>
      <c r="P328">
        <v>576.73</v>
      </c>
      <c r="Q328">
        <v>577.41999999999996</v>
      </c>
      <c r="R328">
        <v>576.02</v>
      </c>
      <c r="S328" s="3">
        <v>5.0000000000000001E-4</v>
      </c>
      <c r="T328">
        <f t="shared" si="11"/>
        <v>2017</v>
      </c>
      <c r="W328" s="86">
        <v>41262</v>
      </c>
      <c r="X328">
        <v>499.4</v>
      </c>
    </row>
    <row r="329" spans="1:24">
      <c r="A329" s="68">
        <v>33895</v>
      </c>
      <c r="B329" s="32">
        <v>707.13</v>
      </c>
      <c r="C329">
        <f t="shared" si="10"/>
        <v>1992</v>
      </c>
      <c r="H329" s="85">
        <v>41234</v>
      </c>
      <c r="I329">
        <v>1815.58</v>
      </c>
      <c r="N329" s="69">
        <v>42969</v>
      </c>
      <c r="O329">
        <v>576.22</v>
      </c>
      <c r="P329">
        <v>577.11</v>
      </c>
      <c r="Q329">
        <v>577.11</v>
      </c>
      <c r="R329">
        <v>576.22</v>
      </c>
      <c r="S329" s="3">
        <v>-2.0000000000000001E-4</v>
      </c>
      <c r="T329">
        <f t="shared" si="11"/>
        <v>2017</v>
      </c>
      <c r="W329" s="86">
        <v>41263</v>
      </c>
      <c r="X329">
        <v>499.9</v>
      </c>
    </row>
    <row r="330" spans="1:24">
      <c r="A330" s="68">
        <v>33896</v>
      </c>
      <c r="B330" s="33">
        <v>707.13</v>
      </c>
      <c r="C330">
        <f t="shared" si="10"/>
        <v>1992</v>
      </c>
      <c r="H330" s="85">
        <v>41235</v>
      </c>
      <c r="I330">
        <v>1815.76</v>
      </c>
      <c r="N330" s="69">
        <v>42968</v>
      </c>
      <c r="O330">
        <v>576.36</v>
      </c>
      <c r="P330">
        <v>576.36</v>
      </c>
      <c r="Q330">
        <v>576.88</v>
      </c>
      <c r="R330">
        <v>576.28</v>
      </c>
      <c r="S330" s="3">
        <v>5.0000000000000001E-4</v>
      </c>
      <c r="T330">
        <f t="shared" si="11"/>
        <v>2017</v>
      </c>
      <c r="W330" s="86">
        <v>41264</v>
      </c>
      <c r="X330">
        <v>499.9</v>
      </c>
    </row>
    <row r="331" spans="1:24">
      <c r="A331" s="68">
        <v>33897</v>
      </c>
      <c r="B331" s="32">
        <v>707.35</v>
      </c>
      <c r="C331">
        <f t="shared" si="10"/>
        <v>1992</v>
      </c>
      <c r="H331" s="85">
        <v>41236</v>
      </c>
      <c r="I331">
        <v>1815.76</v>
      </c>
      <c r="N331" s="69">
        <v>42965</v>
      </c>
      <c r="O331">
        <v>576.04999999999995</v>
      </c>
      <c r="P331">
        <v>577.29999999999995</v>
      </c>
      <c r="Q331">
        <v>577.29999999999995</v>
      </c>
      <c r="R331">
        <v>576</v>
      </c>
      <c r="S331" s="3">
        <v>1E-4</v>
      </c>
      <c r="T331">
        <f t="shared" si="11"/>
        <v>2017</v>
      </c>
      <c r="W331" s="86">
        <v>41267</v>
      </c>
      <c r="X331">
        <v>499.9</v>
      </c>
    </row>
    <row r="332" spans="1:24">
      <c r="A332" s="68">
        <v>33898</v>
      </c>
      <c r="B332" s="33">
        <v>706.06</v>
      </c>
      <c r="C332">
        <f t="shared" si="10"/>
        <v>1992</v>
      </c>
      <c r="H332" s="85">
        <v>41237</v>
      </c>
      <c r="I332">
        <v>1820.18</v>
      </c>
      <c r="N332" s="69">
        <v>42964</v>
      </c>
      <c r="O332">
        <v>576</v>
      </c>
      <c r="P332">
        <v>578.07000000000005</v>
      </c>
      <c r="Q332">
        <v>578.07000000000005</v>
      </c>
      <c r="R332">
        <v>576</v>
      </c>
      <c r="S332" s="3">
        <v>-1.1999999999999999E-3</v>
      </c>
      <c r="T332">
        <f t="shared" si="11"/>
        <v>2017</v>
      </c>
      <c r="W332" s="86">
        <v>41268</v>
      </c>
      <c r="X332">
        <v>499.9</v>
      </c>
    </row>
    <row r="333" spans="1:24">
      <c r="A333" s="68">
        <v>33899</v>
      </c>
      <c r="B333" s="32">
        <v>709.22</v>
      </c>
      <c r="C333">
        <f t="shared" si="10"/>
        <v>1992</v>
      </c>
      <c r="H333" s="85">
        <v>41238</v>
      </c>
      <c r="I333">
        <v>1820.18</v>
      </c>
      <c r="N333" s="69">
        <v>42963</v>
      </c>
      <c r="O333">
        <v>576.66999999999996</v>
      </c>
      <c r="P333">
        <v>577.24</v>
      </c>
      <c r="Q333">
        <v>577.6</v>
      </c>
      <c r="R333">
        <v>576.66999999999996</v>
      </c>
      <c r="S333" s="3">
        <v>-2.0999999999999999E-3</v>
      </c>
      <c r="T333">
        <f t="shared" si="11"/>
        <v>2017</v>
      </c>
      <c r="W333" s="86">
        <v>41269</v>
      </c>
      <c r="X333">
        <v>504</v>
      </c>
    </row>
    <row r="334" spans="1:24">
      <c r="A334" s="68">
        <v>33900</v>
      </c>
      <c r="B334" s="33">
        <v>710.19</v>
      </c>
      <c r="C334">
        <f t="shared" si="10"/>
        <v>1992</v>
      </c>
      <c r="H334" s="85">
        <v>41239</v>
      </c>
      <c r="I334">
        <v>1820.18</v>
      </c>
      <c r="N334" s="69">
        <v>42962</v>
      </c>
      <c r="O334">
        <v>577.87</v>
      </c>
      <c r="P334">
        <v>576.88</v>
      </c>
      <c r="Q334">
        <v>577.95000000000005</v>
      </c>
      <c r="R334">
        <v>576.88</v>
      </c>
      <c r="S334" s="3">
        <v>2.3E-3</v>
      </c>
      <c r="T334">
        <f t="shared" si="11"/>
        <v>2017</v>
      </c>
      <c r="W334" s="86">
        <v>41270</v>
      </c>
      <c r="X334">
        <v>507.5</v>
      </c>
    </row>
    <row r="335" spans="1:24">
      <c r="A335" s="68">
        <v>33901</v>
      </c>
      <c r="B335" s="32">
        <v>712.04</v>
      </c>
      <c r="C335">
        <f t="shared" si="10"/>
        <v>1992</v>
      </c>
      <c r="H335" s="85">
        <v>41240</v>
      </c>
      <c r="I335">
        <v>1824.12</v>
      </c>
      <c r="N335" s="69">
        <v>42961</v>
      </c>
      <c r="O335">
        <v>576.57000000000005</v>
      </c>
      <c r="P335">
        <v>573.53</v>
      </c>
      <c r="Q335">
        <v>578</v>
      </c>
      <c r="R335">
        <v>572.09</v>
      </c>
      <c r="S335" s="3">
        <v>-3.3999999999999998E-3</v>
      </c>
      <c r="T335">
        <f t="shared" si="11"/>
        <v>2017</v>
      </c>
      <c r="W335" s="86">
        <v>41271</v>
      </c>
      <c r="X335">
        <v>510.7</v>
      </c>
    </row>
    <row r="336" spans="1:24">
      <c r="A336" s="68">
        <v>33902</v>
      </c>
      <c r="B336" s="33">
        <v>712.04</v>
      </c>
      <c r="C336">
        <f t="shared" si="10"/>
        <v>1992</v>
      </c>
      <c r="H336" s="85">
        <v>41241</v>
      </c>
      <c r="I336">
        <v>1823.54</v>
      </c>
      <c r="N336" s="69">
        <v>42958</v>
      </c>
      <c r="O336">
        <v>578.53</v>
      </c>
      <c r="P336">
        <v>573.69000000000005</v>
      </c>
      <c r="Q336">
        <v>578.69000000000005</v>
      </c>
      <c r="R336">
        <v>573.53</v>
      </c>
      <c r="S336" s="3">
        <v>-2.9999999999999997E-4</v>
      </c>
      <c r="T336">
        <f t="shared" si="11"/>
        <v>2017</v>
      </c>
      <c r="W336" s="86">
        <v>41274</v>
      </c>
      <c r="X336">
        <v>512.6</v>
      </c>
    </row>
    <row r="337" spans="1:24">
      <c r="A337" s="68">
        <v>33903</v>
      </c>
      <c r="B337" s="32">
        <v>712.04</v>
      </c>
      <c r="C337">
        <f t="shared" si="10"/>
        <v>1992</v>
      </c>
      <c r="H337" s="85">
        <v>41242</v>
      </c>
      <c r="I337">
        <v>1825.08</v>
      </c>
      <c r="N337" s="69">
        <v>42957</v>
      </c>
      <c r="O337">
        <v>578.69000000000005</v>
      </c>
      <c r="P337">
        <v>572.22</v>
      </c>
      <c r="Q337">
        <v>578.70000000000005</v>
      </c>
      <c r="R337">
        <v>572.22</v>
      </c>
      <c r="S337" s="3">
        <v>2.5000000000000001E-3</v>
      </c>
      <c r="T337">
        <f t="shared" si="11"/>
        <v>2017</v>
      </c>
      <c r="W337" s="86">
        <v>41275</v>
      </c>
      <c r="X337">
        <v>512.6</v>
      </c>
    </row>
    <row r="338" spans="1:24">
      <c r="A338" s="68">
        <v>33904</v>
      </c>
      <c r="B338" s="33">
        <v>713.55</v>
      </c>
      <c r="C338">
        <f t="shared" si="10"/>
        <v>1992</v>
      </c>
      <c r="H338" s="85">
        <v>41243</v>
      </c>
      <c r="I338">
        <v>1817.93</v>
      </c>
      <c r="N338" s="69">
        <v>42956</v>
      </c>
      <c r="O338">
        <v>577.25</v>
      </c>
      <c r="P338">
        <v>570.41999999999996</v>
      </c>
      <c r="Q338">
        <v>577.25</v>
      </c>
      <c r="R338">
        <v>570.41999999999996</v>
      </c>
      <c r="S338" s="3">
        <v>2.9999999999999997E-4</v>
      </c>
      <c r="T338">
        <f t="shared" si="11"/>
        <v>2017</v>
      </c>
      <c r="W338" s="86">
        <v>41276</v>
      </c>
      <c r="X338">
        <v>501.6</v>
      </c>
    </row>
    <row r="339" spans="1:24">
      <c r="A339" s="68">
        <v>33905</v>
      </c>
      <c r="B339" s="32">
        <v>716.39</v>
      </c>
      <c r="C339">
        <f t="shared" si="10"/>
        <v>1992</v>
      </c>
      <c r="H339" s="85">
        <v>41244</v>
      </c>
      <c r="I339">
        <v>1813.72</v>
      </c>
      <c r="N339" s="69">
        <v>42955</v>
      </c>
      <c r="O339">
        <v>577.08000000000004</v>
      </c>
      <c r="P339">
        <v>571.48</v>
      </c>
      <c r="Q339">
        <v>577.08000000000004</v>
      </c>
      <c r="R339">
        <v>570.36</v>
      </c>
      <c r="S339" s="3">
        <v>1E-3</v>
      </c>
      <c r="T339">
        <f t="shared" si="11"/>
        <v>2017</v>
      </c>
      <c r="W339" s="86">
        <v>41277</v>
      </c>
      <c r="X339">
        <v>501.5</v>
      </c>
    </row>
    <row r="340" spans="1:24">
      <c r="A340" s="68">
        <v>33906</v>
      </c>
      <c r="B340" s="33">
        <v>715.31</v>
      </c>
      <c r="C340">
        <f t="shared" si="10"/>
        <v>1992</v>
      </c>
      <c r="H340" s="85">
        <v>41245</v>
      </c>
      <c r="I340">
        <v>1813.72</v>
      </c>
      <c r="N340" s="69">
        <v>42954</v>
      </c>
      <c r="O340">
        <v>576.48</v>
      </c>
      <c r="P340">
        <v>571.54</v>
      </c>
      <c r="Q340">
        <v>576.78</v>
      </c>
      <c r="R340">
        <v>570.92999999999995</v>
      </c>
      <c r="S340" s="3">
        <v>-1E-4</v>
      </c>
      <c r="T340">
        <f t="shared" si="11"/>
        <v>2017</v>
      </c>
      <c r="W340" s="86">
        <v>41278</v>
      </c>
      <c r="X340">
        <v>501.4</v>
      </c>
    </row>
    <row r="341" spans="1:24">
      <c r="A341" s="68">
        <v>33907</v>
      </c>
      <c r="B341" s="32">
        <v>717.37</v>
      </c>
      <c r="C341">
        <f t="shared" si="10"/>
        <v>1992</v>
      </c>
      <c r="H341" s="85">
        <v>41246</v>
      </c>
      <c r="I341">
        <v>1813.72</v>
      </c>
      <c r="N341" s="69">
        <v>42951</v>
      </c>
      <c r="O341">
        <v>576.54</v>
      </c>
      <c r="P341">
        <v>570.34</v>
      </c>
      <c r="Q341">
        <v>576.78</v>
      </c>
      <c r="R341">
        <v>570.34</v>
      </c>
      <c r="S341" s="3">
        <v>6.9999999999999999E-4</v>
      </c>
      <c r="T341">
        <f t="shared" si="11"/>
        <v>2017</v>
      </c>
      <c r="W341" s="86">
        <v>41281</v>
      </c>
      <c r="X341">
        <v>499.5</v>
      </c>
    </row>
    <row r="342" spans="1:24">
      <c r="A342" s="68">
        <v>33908</v>
      </c>
      <c r="B342" s="33">
        <v>716.88</v>
      </c>
      <c r="C342">
        <f t="shared" si="10"/>
        <v>1992</v>
      </c>
      <c r="H342" s="85">
        <v>41247</v>
      </c>
      <c r="I342">
        <v>1813.73</v>
      </c>
      <c r="N342" s="69">
        <v>42950</v>
      </c>
      <c r="O342">
        <v>576.12</v>
      </c>
      <c r="P342">
        <v>569.77</v>
      </c>
      <c r="Q342">
        <v>576.12</v>
      </c>
      <c r="R342">
        <v>569.77</v>
      </c>
      <c r="S342" s="3">
        <v>1.4E-3</v>
      </c>
      <c r="T342">
        <f t="shared" si="11"/>
        <v>2017</v>
      </c>
      <c r="W342" s="86">
        <v>41282</v>
      </c>
      <c r="X342">
        <v>499.7</v>
      </c>
    </row>
    <row r="343" spans="1:24">
      <c r="A343" s="68">
        <v>33909</v>
      </c>
      <c r="B343" s="32">
        <v>716.88</v>
      </c>
      <c r="C343">
        <f t="shared" si="10"/>
        <v>1992</v>
      </c>
      <c r="H343" s="85">
        <v>41248</v>
      </c>
      <c r="I343">
        <v>1813.57</v>
      </c>
      <c r="N343" s="69">
        <v>42949</v>
      </c>
      <c r="O343">
        <v>575.33000000000004</v>
      </c>
      <c r="P343">
        <v>568.94000000000005</v>
      </c>
      <c r="Q343">
        <v>576.38</v>
      </c>
      <c r="R343">
        <v>568.94000000000005</v>
      </c>
      <c r="S343" s="3">
        <v>2.3999999999999998E-3</v>
      </c>
      <c r="T343">
        <f t="shared" si="11"/>
        <v>2017</v>
      </c>
      <c r="W343" s="86">
        <v>41283</v>
      </c>
      <c r="X343">
        <v>498.5</v>
      </c>
    </row>
    <row r="344" spans="1:24">
      <c r="A344" s="68">
        <v>33910</v>
      </c>
      <c r="B344" s="33">
        <v>716.88</v>
      </c>
      <c r="C344">
        <f t="shared" si="10"/>
        <v>1992</v>
      </c>
      <c r="H344" s="85">
        <v>41249</v>
      </c>
      <c r="I344">
        <v>1811.05</v>
      </c>
      <c r="N344" s="69">
        <v>42948</v>
      </c>
      <c r="O344">
        <v>573.94000000000005</v>
      </c>
      <c r="P344">
        <v>568.86</v>
      </c>
      <c r="Q344">
        <v>576.38</v>
      </c>
      <c r="R344">
        <v>568.39</v>
      </c>
      <c r="S344" s="3">
        <v>1E-4</v>
      </c>
      <c r="T344">
        <f t="shared" si="11"/>
        <v>2017</v>
      </c>
      <c r="W344" s="86">
        <v>41284</v>
      </c>
      <c r="X344">
        <v>498.6</v>
      </c>
    </row>
    <row r="345" spans="1:24">
      <c r="A345" s="68">
        <v>33911</v>
      </c>
      <c r="B345" s="32">
        <v>716.88</v>
      </c>
      <c r="C345">
        <f t="shared" si="10"/>
        <v>1992</v>
      </c>
      <c r="H345" s="85">
        <v>41250</v>
      </c>
      <c r="I345">
        <v>1803.69</v>
      </c>
      <c r="N345" s="69">
        <v>42947</v>
      </c>
      <c r="O345">
        <v>573.86</v>
      </c>
      <c r="P345">
        <v>569.66999999999996</v>
      </c>
      <c r="Q345">
        <v>574.66999999999996</v>
      </c>
      <c r="R345">
        <v>568.86</v>
      </c>
      <c r="S345" s="3">
        <v>-1.4E-3</v>
      </c>
      <c r="T345">
        <f t="shared" si="11"/>
        <v>2017</v>
      </c>
      <c r="W345" s="86">
        <v>41285</v>
      </c>
      <c r="X345">
        <v>498.6</v>
      </c>
    </row>
    <row r="346" spans="1:24">
      <c r="A346" s="68">
        <v>33912</v>
      </c>
      <c r="B346" s="33">
        <v>718.98</v>
      </c>
      <c r="C346">
        <f t="shared" si="10"/>
        <v>1992</v>
      </c>
      <c r="H346" s="85">
        <v>41251</v>
      </c>
      <c r="I346">
        <v>1797.45</v>
      </c>
      <c r="N346" s="69">
        <v>42944</v>
      </c>
      <c r="O346">
        <v>574.66999999999996</v>
      </c>
      <c r="P346">
        <v>568.75</v>
      </c>
      <c r="Q346">
        <v>574.67999999999995</v>
      </c>
      <c r="R346">
        <v>568.75</v>
      </c>
      <c r="S346" s="3">
        <v>1.2999999999999999E-3</v>
      </c>
      <c r="T346">
        <f t="shared" si="11"/>
        <v>2017</v>
      </c>
      <c r="W346" s="86">
        <v>41288</v>
      </c>
      <c r="X346">
        <v>498.6</v>
      </c>
    </row>
    <row r="347" spans="1:24">
      <c r="A347" s="68">
        <v>33913</v>
      </c>
      <c r="B347" s="32">
        <v>719.21</v>
      </c>
      <c r="C347">
        <f t="shared" si="10"/>
        <v>1992</v>
      </c>
      <c r="H347" s="85">
        <v>41252</v>
      </c>
      <c r="I347">
        <v>1797.45</v>
      </c>
      <c r="N347" s="69">
        <v>42943</v>
      </c>
      <c r="O347">
        <v>573.95000000000005</v>
      </c>
      <c r="P347">
        <v>568.75</v>
      </c>
      <c r="Q347">
        <v>573.95000000000005</v>
      </c>
      <c r="R347">
        <v>568.75</v>
      </c>
      <c r="S347" s="3">
        <v>1E-4</v>
      </c>
      <c r="T347">
        <f t="shared" si="11"/>
        <v>2017</v>
      </c>
      <c r="W347" s="86">
        <v>41289</v>
      </c>
      <c r="X347">
        <v>498.6</v>
      </c>
    </row>
    <row r="348" spans="1:24">
      <c r="A348" s="68">
        <v>33914</v>
      </c>
      <c r="B348" s="33">
        <v>720.96</v>
      </c>
      <c r="C348">
        <f t="shared" si="10"/>
        <v>1992</v>
      </c>
      <c r="H348" s="85">
        <v>41253</v>
      </c>
      <c r="I348">
        <v>1797.45</v>
      </c>
      <c r="N348" s="69">
        <v>42942</v>
      </c>
      <c r="O348">
        <v>573.91999999999996</v>
      </c>
      <c r="P348">
        <v>568.87</v>
      </c>
      <c r="Q348">
        <v>573.91999999999996</v>
      </c>
      <c r="R348">
        <v>568.62</v>
      </c>
      <c r="S348" s="3">
        <v>5.9999999999999995E-4</v>
      </c>
      <c r="T348">
        <f t="shared" si="11"/>
        <v>2017</v>
      </c>
      <c r="W348" s="86">
        <v>41290</v>
      </c>
      <c r="X348">
        <v>498.5</v>
      </c>
    </row>
    <row r="349" spans="1:24">
      <c r="A349" s="68">
        <v>33915</v>
      </c>
      <c r="B349" s="32">
        <v>722.57</v>
      </c>
      <c r="C349">
        <f t="shared" si="10"/>
        <v>1992</v>
      </c>
      <c r="H349" s="85">
        <v>41254</v>
      </c>
      <c r="I349">
        <v>1799.4</v>
      </c>
      <c r="N349" s="69">
        <v>42941</v>
      </c>
      <c r="O349">
        <v>573.59</v>
      </c>
      <c r="P349">
        <v>568.88</v>
      </c>
      <c r="Q349">
        <v>574.51</v>
      </c>
      <c r="R349">
        <v>568.05999999999995</v>
      </c>
      <c r="S349" s="3">
        <v>-6.9999999999999999E-4</v>
      </c>
      <c r="T349">
        <f t="shared" si="11"/>
        <v>2017</v>
      </c>
      <c r="W349" s="86">
        <v>41291</v>
      </c>
      <c r="X349">
        <v>498.5</v>
      </c>
    </row>
    <row r="350" spans="1:24">
      <c r="A350" s="68">
        <v>33916</v>
      </c>
      <c r="B350" s="33">
        <v>722.57</v>
      </c>
      <c r="C350">
        <f t="shared" si="10"/>
        <v>1992</v>
      </c>
      <c r="H350" s="85">
        <v>41255</v>
      </c>
      <c r="I350">
        <v>1801.5</v>
      </c>
      <c r="N350" s="69">
        <v>42940</v>
      </c>
      <c r="O350">
        <v>573.99</v>
      </c>
      <c r="P350">
        <v>569.72</v>
      </c>
      <c r="Q350">
        <v>574.73</v>
      </c>
      <c r="R350">
        <v>568.88</v>
      </c>
      <c r="S350" s="3">
        <v>-1.2999999999999999E-3</v>
      </c>
      <c r="T350">
        <f t="shared" si="11"/>
        <v>2017</v>
      </c>
      <c r="W350" s="86">
        <v>41292</v>
      </c>
      <c r="X350">
        <v>498.6</v>
      </c>
    </row>
    <row r="351" spans="1:24">
      <c r="A351" s="68">
        <v>33917</v>
      </c>
      <c r="B351" s="32">
        <v>722.57</v>
      </c>
      <c r="C351">
        <f t="shared" si="10"/>
        <v>1992</v>
      </c>
      <c r="H351" s="85">
        <v>41256</v>
      </c>
      <c r="I351">
        <v>1796.31</v>
      </c>
      <c r="N351" s="69">
        <v>42937</v>
      </c>
      <c r="O351">
        <v>574.72</v>
      </c>
      <c r="P351">
        <v>569.66999999999996</v>
      </c>
      <c r="Q351">
        <v>574.73</v>
      </c>
      <c r="R351">
        <v>569.66999999999996</v>
      </c>
      <c r="S351" s="3">
        <v>5.0000000000000001E-4</v>
      </c>
      <c r="T351">
        <f t="shared" si="11"/>
        <v>2017</v>
      </c>
      <c r="W351" s="86">
        <v>41295</v>
      </c>
      <c r="X351">
        <v>500.2</v>
      </c>
    </row>
    <row r="352" spans="1:24">
      <c r="A352" s="68">
        <v>33918</v>
      </c>
      <c r="B352" s="33">
        <v>720.48</v>
      </c>
      <c r="C352">
        <f t="shared" si="10"/>
        <v>1992</v>
      </c>
      <c r="H352" s="85">
        <v>41257</v>
      </c>
      <c r="I352">
        <v>1795.05</v>
      </c>
      <c r="N352" s="69">
        <v>42936</v>
      </c>
      <c r="O352">
        <v>574.46</v>
      </c>
      <c r="P352">
        <v>569.32000000000005</v>
      </c>
      <c r="Q352">
        <v>575.03</v>
      </c>
      <c r="R352">
        <v>569.13</v>
      </c>
      <c r="S352" s="3">
        <v>1E-4</v>
      </c>
      <c r="T352">
        <f t="shared" si="11"/>
        <v>2017</v>
      </c>
      <c r="W352" s="86">
        <v>41296</v>
      </c>
      <c r="X352">
        <v>498.5</v>
      </c>
    </row>
    <row r="353" spans="1:24">
      <c r="A353" s="68">
        <v>33919</v>
      </c>
      <c r="B353" s="32">
        <v>722.37</v>
      </c>
      <c r="C353">
        <f t="shared" si="10"/>
        <v>1992</v>
      </c>
      <c r="H353" s="85">
        <v>41258</v>
      </c>
      <c r="I353">
        <v>1798.37</v>
      </c>
      <c r="N353" s="69">
        <v>42935</v>
      </c>
      <c r="O353">
        <v>574.41</v>
      </c>
      <c r="P353">
        <v>568.39</v>
      </c>
      <c r="Q353">
        <v>574.41</v>
      </c>
      <c r="R353">
        <v>568.39</v>
      </c>
      <c r="S353" s="3">
        <v>1.8E-3</v>
      </c>
      <c r="T353">
        <f t="shared" si="11"/>
        <v>2017</v>
      </c>
      <c r="W353" s="86">
        <v>41297</v>
      </c>
      <c r="X353">
        <v>501</v>
      </c>
    </row>
    <row r="354" spans="1:24">
      <c r="A354" s="68">
        <v>33920</v>
      </c>
      <c r="B354" s="33">
        <v>723.72</v>
      </c>
      <c r="C354">
        <f t="shared" si="10"/>
        <v>1992</v>
      </c>
      <c r="H354" s="85">
        <v>41259</v>
      </c>
      <c r="I354">
        <v>1798.37</v>
      </c>
      <c r="N354" s="69">
        <v>42934</v>
      </c>
      <c r="O354">
        <v>573.39</v>
      </c>
      <c r="P354">
        <v>568.17999999999995</v>
      </c>
      <c r="Q354">
        <v>573.63</v>
      </c>
      <c r="R354">
        <v>568.17999999999995</v>
      </c>
      <c r="S354" s="3">
        <v>4.0000000000000002E-4</v>
      </c>
      <c r="T354">
        <f t="shared" si="11"/>
        <v>2017</v>
      </c>
      <c r="W354" s="86">
        <v>41298</v>
      </c>
      <c r="X354">
        <v>504.1</v>
      </c>
    </row>
    <row r="355" spans="1:24">
      <c r="A355" s="68">
        <v>33921</v>
      </c>
      <c r="B355" s="32">
        <v>722.72</v>
      </c>
      <c r="C355">
        <f t="shared" si="10"/>
        <v>1992</v>
      </c>
      <c r="H355" s="85">
        <v>41260</v>
      </c>
      <c r="I355">
        <v>1798.37</v>
      </c>
      <c r="N355" s="69">
        <v>42933</v>
      </c>
      <c r="O355">
        <v>573.17999999999995</v>
      </c>
      <c r="P355">
        <v>568.47</v>
      </c>
      <c r="Q355">
        <v>573.58000000000004</v>
      </c>
      <c r="R355">
        <v>568.17999999999995</v>
      </c>
      <c r="S355" s="3">
        <v>-1E-4</v>
      </c>
      <c r="T355">
        <f t="shared" si="11"/>
        <v>2017</v>
      </c>
      <c r="W355" s="86">
        <v>41299</v>
      </c>
      <c r="X355">
        <v>503.4</v>
      </c>
    </row>
    <row r="356" spans="1:24">
      <c r="A356" s="68">
        <v>33922</v>
      </c>
      <c r="B356" s="33">
        <v>724.07</v>
      </c>
      <c r="C356">
        <f t="shared" si="10"/>
        <v>1992</v>
      </c>
      <c r="H356" s="85">
        <v>41261</v>
      </c>
      <c r="I356">
        <v>1796.98</v>
      </c>
      <c r="N356" s="69">
        <v>42930</v>
      </c>
      <c r="O356">
        <v>573.25</v>
      </c>
      <c r="P356">
        <v>569.82000000000005</v>
      </c>
      <c r="Q356">
        <v>575.16</v>
      </c>
      <c r="R356">
        <v>567.91</v>
      </c>
      <c r="S356" s="3">
        <v>-2.7000000000000001E-3</v>
      </c>
      <c r="T356">
        <f t="shared" si="11"/>
        <v>2017</v>
      </c>
      <c r="W356" s="86">
        <v>41302</v>
      </c>
      <c r="X356">
        <v>498.2</v>
      </c>
    </row>
    <row r="357" spans="1:24">
      <c r="A357" s="68">
        <v>33923</v>
      </c>
      <c r="B357" s="32">
        <v>724.07</v>
      </c>
      <c r="C357">
        <f t="shared" si="10"/>
        <v>1992</v>
      </c>
      <c r="H357" s="85">
        <v>41262</v>
      </c>
      <c r="I357">
        <v>1794.14</v>
      </c>
      <c r="N357" s="69">
        <v>42929</v>
      </c>
      <c r="O357">
        <v>574.82000000000005</v>
      </c>
      <c r="P357">
        <v>569.98</v>
      </c>
      <c r="Q357">
        <v>574.98</v>
      </c>
      <c r="R357">
        <v>569.82000000000005</v>
      </c>
      <c r="S357" s="3">
        <v>-2.9999999999999997E-4</v>
      </c>
      <c r="T357">
        <f t="shared" si="11"/>
        <v>2017</v>
      </c>
      <c r="W357" s="86">
        <v>41303</v>
      </c>
      <c r="X357">
        <v>500</v>
      </c>
    </row>
    <row r="358" spans="1:24">
      <c r="A358" s="68">
        <v>33924</v>
      </c>
      <c r="B358" s="33">
        <v>724.07</v>
      </c>
      <c r="C358">
        <f t="shared" si="10"/>
        <v>1992</v>
      </c>
      <c r="H358" s="85">
        <v>41263</v>
      </c>
      <c r="I358">
        <v>1790.46</v>
      </c>
      <c r="N358" s="69">
        <v>42928</v>
      </c>
      <c r="O358">
        <v>574.98</v>
      </c>
      <c r="P358">
        <v>567.99</v>
      </c>
      <c r="Q358">
        <v>574.99</v>
      </c>
      <c r="R358">
        <v>563.52</v>
      </c>
      <c r="S358" s="3">
        <v>1.6999999999999999E-3</v>
      </c>
      <c r="T358">
        <f t="shared" si="11"/>
        <v>2017</v>
      </c>
      <c r="W358" s="86">
        <v>41304</v>
      </c>
      <c r="X358">
        <v>499.2</v>
      </c>
    </row>
    <row r="359" spans="1:24">
      <c r="A359" s="68">
        <v>33925</v>
      </c>
      <c r="B359" s="32">
        <v>724.07</v>
      </c>
      <c r="C359">
        <f t="shared" si="10"/>
        <v>1992</v>
      </c>
      <c r="H359" s="85">
        <v>41264</v>
      </c>
      <c r="I359">
        <v>1788.87</v>
      </c>
      <c r="N359" s="69">
        <v>42927</v>
      </c>
      <c r="O359">
        <v>574.01</v>
      </c>
      <c r="P359">
        <v>569.28</v>
      </c>
      <c r="Q359">
        <v>574.73</v>
      </c>
      <c r="R359">
        <v>563.87</v>
      </c>
      <c r="S359" s="3">
        <v>-5.0000000000000001E-4</v>
      </c>
      <c r="T359">
        <f t="shared" si="11"/>
        <v>2017</v>
      </c>
      <c r="W359" s="86">
        <v>41305</v>
      </c>
      <c r="X359">
        <v>501.5</v>
      </c>
    </row>
    <row r="360" spans="1:24">
      <c r="A360" s="68">
        <v>33926</v>
      </c>
      <c r="B360" s="33">
        <v>730.11</v>
      </c>
      <c r="C360">
        <f t="shared" si="10"/>
        <v>1992</v>
      </c>
      <c r="H360" s="85">
        <v>41265</v>
      </c>
      <c r="I360">
        <v>1779.79</v>
      </c>
      <c r="N360" s="69">
        <v>42926</v>
      </c>
      <c r="O360">
        <v>574.29</v>
      </c>
      <c r="P360">
        <v>569.21</v>
      </c>
      <c r="Q360">
        <v>574.47</v>
      </c>
      <c r="R360">
        <v>563.91999999999996</v>
      </c>
      <c r="S360" s="3">
        <v>5.0000000000000001E-4</v>
      </c>
      <c r="T360">
        <f t="shared" si="11"/>
        <v>2017</v>
      </c>
      <c r="W360" s="86">
        <v>41306</v>
      </c>
      <c r="X360">
        <v>501.7</v>
      </c>
    </row>
    <row r="361" spans="1:24">
      <c r="A361" s="68">
        <v>33927</v>
      </c>
      <c r="B361" s="32">
        <v>724.97</v>
      </c>
      <c r="C361">
        <f t="shared" si="10"/>
        <v>1992</v>
      </c>
      <c r="H361" s="85">
        <v>41266</v>
      </c>
      <c r="I361">
        <v>1779.79</v>
      </c>
      <c r="N361" s="69">
        <v>42923</v>
      </c>
      <c r="O361">
        <v>573.99</v>
      </c>
      <c r="P361">
        <v>569.66999999999996</v>
      </c>
      <c r="Q361">
        <v>575.01</v>
      </c>
      <c r="R361">
        <v>563.91999999999996</v>
      </c>
      <c r="S361" s="3">
        <v>-1.1999999999999999E-3</v>
      </c>
      <c r="T361">
        <f t="shared" si="11"/>
        <v>2017</v>
      </c>
      <c r="W361" s="86">
        <v>41309</v>
      </c>
      <c r="X361">
        <v>500.3</v>
      </c>
    </row>
    <row r="362" spans="1:24">
      <c r="A362" s="68">
        <v>33928</v>
      </c>
      <c r="B362" s="33">
        <v>724.9</v>
      </c>
      <c r="C362">
        <f t="shared" si="10"/>
        <v>1992</v>
      </c>
      <c r="H362" s="85">
        <v>41267</v>
      </c>
      <c r="I362">
        <v>1779.79</v>
      </c>
      <c r="N362" s="69">
        <v>42922</v>
      </c>
      <c r="O362">
        <v>574.66999999999996</v>
      </c>
      <c r="P362">
        <v>568.87</v>
      </c>
      <c r="Q362">
        <v>574.66999999999996</v>
      </c>
      <c r="R362">
        <v>563.57000000000005</v>
      </c>
      <c r="S362" s="3">
        <v>3.2000000000000002E-3</v>
      </c>
      <c r="T362">
        <f t="shared" si="11"/>
        <v>2017</v>
      </c>
      <c r="W362" s="86">
        <v>41310</v>
      </c>
      <c r="X362">
        <v>500.2</v>
      </c>
    </row>
    <row r="363" spans="1:24">
      <c r="A363" s="68">
        <v>33929</v>
      </c>
      <c r="B363" s="32">
        <v>721.98</v>
      </c>
      <c r="C363">
        <f t="shared" si="10"/>
        <v>1992</v>
      </c>
      <c r="H363" s="85">
        <v>41268</v>
      </c>
      <c r="I363">
        <v>1773.44</v>
      </c>
      <c r="N363" s="69">
        <v>42921</v>
      </c>
      <c r="O363">
        <v>572.83000000000004</v>
      </c>
      <c r="P363">
        <v>568.30999999999995</v>
      </c>
      <c r="Q363">
        <v>573.4</v>
      </c>
      <c r="R363">
        <v>563.36</v>
      </c>
      <c r="S363" s="3">
        <v>-8.0000000000000004E-4</v>
      </c>
      <c r="T363">
        <f t="shared" si="11"/>
        <v>2017</v>
      </c>
      <c r="W363" s="86">
        <v>41311</v>
      </c>
      <c r="X363">
        <v>501</v>
      </c>
    </row>
    <row r="364" spans="1:24">
      <c r="A364" s="68">
        <v>33930</v>
      </c>
      <c r="B364" s="33">
        <v>721.98</v>
      </c>
      <c r="C364">
        <f t="shared" si="10"/>
        <v>1992</v>
      </c>
      <c r="H364" s="85">
        <v>41269</v>
      </c>
      <c r="I364">
        <v>1773.44</v>
      </c>
      <c r="N364" s="69">
        <v>42920</v>
      </c>
      <c r="O364">
        <v>573.30999999999995</v>
      </c>
      <c r="P364">
        <v>561.12</v>
      </c>
      <c r="Q364">
        <v>573.30999999999995</v>
      </c>
      <c r="R364">
        <v>561.11</v>
      </c>
      <c r="S364" s="3">
        <v>0.01</v>
      </c>
      <c r="T364">
        <f t="shared" si="11"/>
        <v>2017</v>
      </c>
      <c r="W364" s="86">
        <v>41312</v>
      </c>
      <c r="X364">
        <v>499.2</v>
      </c>
    </row>
    <row r="365" spans="1:24">
      <c r="A365" s="68">
        <v>33931</v>
      </c>
      <c r="B365" s="32">
        <v>721.98</v>
      </c>
      <c r="C365">
        <f t="shared" si="10"/>
        <v>1992</v>
      </c>
      <c r="H365" s="85">
        <v>41270</v>
      </c>
      <c r="I365">
        <v>1771.49</v>
      </c>
      <c r="N365" s="69">
        <v>42919</v>
      </c>
      <c r="O365">
        <v>567.63</v>
      </c>
      <c r="P365">
        <v>562.30999999999995</v>
      </c>
      <c r="Q365">
        <v>572.52</v>
      </c>
      <c r="R365">
        <v>561.12</v>
      </c>
      <c r="S365" s="3">
        <v>-7.7999999999999996E-3</v>
      </c>
      <c r="T365">
        <f t="shared" si="11"/>
        <v>2017</v>
      </c>
      <c r="W365" s="86">
        <v>41313</v>
      </c>
      <c r="X365">
        <v>499</v>
      </c>
    </row>
    <row r="366" spans="1:24">
      <c r="A366" s="68">
        <v>33932</v>
      </c>
      <c r="B366" s="33">
        <v>726.97</v>
      </c>
      <c r="C366">
        <f t="shared" si="10"/>
        <v>1992</v>
      </c>
      <c r="H366" s="85">
        <v>41271</v>
      </c>
      <c r="I366">
        <v>1771.54</v>
      </c>
      <c r="N366" s="69">
        <v>42916</v>
      </c>
      <c r="O366">
        <v>572.08000000000004</v>
      </c>
      <c r="P366">
        <v>562.28</v>
      </c>
      <c r="Q366">
        <v>574.03</v>
      </c>
      <c r="R366">
        <v>561.57000000000005</v>
      </c>
      <c r="S366" s="3">
        <v>4.1000000000000003E-3</v>
      </c>
      <c r="T366">
        <f t="shared" si="11"/>
        <v>2017</v>
      </c>
      <c r="W366" s="86">
        <v>41316</v>
      </c>
      <c r="X366">
        <v>499.5</v>
      </c>
    </row>
    <row r="367" spans="1:24">
      <c r="A367" s="68">
        <v>33933</v>
      </c>
      <c r="B367" s="32">
        <v>720.63</v>
      </c>
      <c r="C367">
        <f t="shared" si="10"/>
        <v>1992</v>
      </c>
      <c r="H367" s="85">
        <v>41272</v>
      </c>
      <c r="I367">
        <v>1768.23</v>
      </c>
      <c r="N367" s="69">
        <v>42915</v>
      </c>
      <c r="O367">
        <v>569.76</v>
      </c>
      <c r="P367">
        <v>564.54</v>
      </c>
      <c r="Q367">
        <v>576.67999999999995</v>
      </c>
      <c r="R367">
        <v>561.57000000000005</v>
      </c>
      <c r="S367" s="3">
        <v>4.0000000000000002E-4</v>
      </c>
      <c r="T367">
        <f t="shared" si="11"/>
        <v>2017</v>
      </c>
      <c r="W367" s="86">
        <v>41317</v>
      </c>
      <c r="X367">
        <v>499.4</v>
      </c>
    </row>
    <row r="368" spans="1:24">
      <c r="A368" s="68">
        <v>33934</v>
      </c>
      <c r="B368" s="33">
        <v>721.47</v>
      </c>
      <c r="C368">
        <f t="shared" si="10"/>
        <v>1992</v>
      </c>
      <c r="H368" s="85">
        <v>41273</v>
      </c>
      <c r="I368">
        <v>1768.23</v>
      </c>
      <c r="N368" s="69">
        <v>42914</v>
      </c>
      <c r="O368">
        <v>569.54</v>
      </c>
      <c r="P368">
        <v>564.58000000000004</v>
      </c>
      <c r="Q368">
        <v>569.58000000000004</v>
      </c>
      <c r="R368">
        <v>561.6</v>
      </c>
      <c r="S368" s="3">
        <v>-3.2000000000000002E-3</v>
      </c>
      <c r="T368">
        <f t="shared" si="11"/>
        <v>2017</v>
      </c>
      <c r="W368" s="86">
        <v>41318</v>
      </c>
      <c r="X368">
        <v>500.6</v>
      </c>
    </row>
    <row r="369" spans="1:24">
      <c r="A369" s="68">
        <v>33935</v>
      </c>
      <c r="B369" s="32">
        <v>722.61</v>
      </c>
      <c r="C369">
        <f t="shared" si="10"/>
        <v>1992</v>
      </c>
      <c r="H369" s="85">
        <v>41274</v>
      </c>
      <c r="I369">
        <v>1768.23</v>
      </c>
      <c r="N369" s="69">
        <v>42913</v>
      </c>
      <c r="O369">
        <v>571.39</v>
      </c>
      <c r="P369">
        <v>564.5</v>
      </c>
      <c r="Q369">
        <v>571.79</v>
      </c>
      <c r="R369">
        <v>561.6</v>
      </c>
      <c r="S369" s="3">
        <v>-8.0000000000000004E-4</v>
      </c>
      <c r="T369">
        <f t="shared" si="11"/>
        <v>2017</v>
      </c>
      <c r="W369" s="86">
        <v>41319</v>
      </c>
      <c r="X369">
        <v>500.5</v>
      </c>
    </row>
    <row r="370" spans="1:24">
      <c r="A370" s="68">
        <v>33936</v>
      </c>
      <c r="B370" s="33">
        <v>725.45</v>
      </c>
      <c r="C370">
        <f t="shared" si="10"/>
        <v>1992</v>
      </c>
      <c r="H370" s="85">
        <v>41275</v>
      </c>
      <c r="I370">
        <v>1768.23</v>
      </c>
      <c r="N370" s="69">
        <v>42912</v>
      </c>
      <c r="O370">
        <v>571.83000000000004</v>
      </c>
      <c r="P370">
        <v>564.6</v>
      </c>
      <c r="Q370">
        <v>572.48</v>
      </c>
      <c r="R370">
        <v>562.1</v>
      </c>
      <c r="S370" s="3">
        <v>3.8999999999999998E-3</v>
      </c>
      <c r="T370">
        <f t="shared" si="11"/>
        <v>2017</v>
      </c>
      <c r="W370" s="86">
        <v>41320</v>
      </c>
      <c r="X370">
        <v>499.5</v>
      </c>
    </row>
    <row r="371" spans="1:24">
      <c r="A371" s="68">
        <v>33937</v>
      </c>
      <c r="B371" s="32">
        <v>725.45</v>
      </c>
      <c r="C371">
        <f t="shared" si="10"/>
        <v>1992</v>
      </c>
      <c r="H371" s="85">
        <v>41276</v>
      </c>
      <c r="I371">
        <v>1768.23</v>
      </c>
      <c r="N371" s="69">
        <v>42909</v>
      </c>
      <c r="O371">
        <v>569.6</v>
      </c>
      <c r="P371">
        <v>569.03</v>
      </c>
      <c r="Q371">
        <v>574.03</v>
      </c>
      <c r="R371">
        <v>562.13</v>
      </c>
      <c r="S371" s="3">
        <v>-6.0000000000000001E-3</v>
      </c>
      <c r="T371">
        <f t="shared" si="11"/>
        <v>2017</v>
      </c>
      <c r="W371" s="86">
        <v>41323</v>
      </c>
      <c r="X371">
        <v>499.5</v>
      </c>
    </row>
    <row r="372" spans="1:24">
      <c r="A372" s="68">
        <v>33938</v>
      </c>
      <c r="B372" s="33">
        <v>725.45</v>
      </c>
      <c r="C372">
        <f t="shared" si="10"/>
        <v>1992</v>
      </c>
      <c r="H372" s="85">
        <v>41277</v>
      </c>
      <c r="I372">
        <v>1759.97</v>
      </c>
      <c r="N372" s="69">
        <v>42908</v>
      </c>
      <c r="O372">
        <v>573.02</v>
      </c>
      <c r="P372">
        <v>564.6</v>
      </c>
      <c r="Q372">
        <v>573.02</v>
      </c>
      <c r="R372">
        <v>562.12</v>
      </c>
      <c r="S372" s="3">
        <v>6.0000000000000001E-3</v>
      </c>
      <c r="T372">
        <f t="shared" si="11"/>
        <v>2017</v>
      </c>
      <c r="W372" s="86">
        <v>41324</v>
      </c>
      <c r="X372">
        <v>499.58</v>
      </c>
    </row>
    <row r="373" spans="1:24">
      <c r="A373" s="68">
        <v>33939</v>
      </c>
      <c r="B373" s="32">
        <v>729.42</v>
      </c>
      <c r="C373">
        <f t="shared" si="10"/>
        <v>1992</v>
      </c>
      <c r="H373" s="85">
        <v>41278</v>
      </c>
      <c r="I373">
        <v>1760.83</v>
      </c>
      <c r="N373" s="69">
        <v>42907</v>
      </c>
      <c r="O373">
        <v>569.6</v>
      </c>
      <c r="P373">
        <v>561.34</v>
      </c>
      <c r="Q373">
        <v>569.62</v>
      </c>
      <c r="R373">
        <v>560.65</v>
      </c>
      <c r="S373" s="3">
        <v>8.0000000000000004E-4</v>
      </c>
      <c r="T373">
        <f t="shared" si="11"/>
        <v>2017</v>
      </c>
      <c r="W373" s="86">
        <v>41325</v>
      </c>
      <c r="X373">
        <v>499.6</v>
      </c>
    </row>
    <row r="374" spans="1:24">
      <c r="A374" s="68">
        <v>33940</v>
      </c>
      <c r="B374" s="33">
        <v>725.75</v>
      </c>
      <c r="C374">
        <f t="shared" si="10"/>
        <v>1992</v>
      </c>
      <c r="H374" s="85">
        <v>41279</v>
      </c>
      <c r="I374">
        <v>1767.54</v>
      </c>
      <c r="N374" s="69">
        <v>42906</v>
      </c>
      <c r="O374">
        <v>569.16999999999996</v>
      </c>
      <c r="P374">
        <v>564.11</v>
      </c>
      <c r="Q374">
        <v>573.03</v>
      </c>
      <c r="R374">
        <v>560.65</v>
      </c>
      <c r="S374" s="3">
        <v>-1.8E-3</v>
      </c>
      <c r="T374">
        <f t="shared" si="11"/>
        <v>2017</v>
      </c>
      <c r="W374" s="86">
        <v>41326</v>
      </c>
      <c r="X374">
        <v>499.5</v>
      </c>
    </row>
    <row r="375" spans="1:24">
      <c r="A375" s="68">
        <v>33941</v>
      </c>
      <c r="B375" s="32">
        <v>729.74</v>
      </c>
      <c r="C375">
        <f t="shared" si="10"/>
        <v>1992</v>
      </c>
      <c r="H375" s="85">
        <v>41280</v>
      </c>
      <c r="I375">
        <v>1767.54</v>
      </c>
      <c r="N375" s="69">
        <v>42905</v>
      </c>
      <c r="O375">
        <v>570.20000000000005</v>
      </c>
      <c r="P375">
        <v>564.66999999999996</v>
      </c>
      <c r="Q375">
        <v>573.07000000000005</v>
      </c>
      <c r="R375">
        <v>561.01</v>
      </c>
      <c r="S375" s="3">
        <v>8.9999999999999998E-4</v>
      </c>
      <c r="T375">
        <f t="shared" si="11"/>
        <v>2017</v>
      </c>
      <c r="W375" s="86">
        <v>41327</v>
      </c>
      <c r="X375">
        <v>499.4</v>
      </c>
    </row>
    <row r="376" spans="1:24">
      <c r="A376" s="68">
        <v>33942</v>
      </c>
      <c r="B376" s="33">
        <v>738.19</v>
      </c>
      <c r="C376">
        <f t="shared" si="10"/>
        <v>1992</v>
      </c>
      <c r="H376" s="85">
        <v>41281</v>
      </c>
      <c r="I376">
        <v>1767.54</v>
      </c>
      <c r="N376" s="69">
        <v>42902</v>
      </c>
      <c r="O376">
        <v>569.66999999999996</v>
      </c>
      <c r="P376">
        <v>564.64</v>
      </c>
      <c r="Q376">
        <v>572.54</v>
      </c>
      <c r="R376">
        <v>563.08000000000004</v>
      </c>
      <c r="S376" s="3">
        <v>-4.1000000000000003E-3</v>
      </c>
      <c r="T376">
        <f t="shared" si="11"/>
        <v>2017</v>
      </c>
      <c r="W376" s="86">
        <v>41330</v>
      </c>
      <c r="X376">
        <v>499.4</v>
      </c>
    </row>
    <row r="377" spans="1:24">
      <c r="A377" s="68">
        <v>33943</v>
      </c>
      <c r="B377" s="32">
        <v>736.29</v>
      </c>
      <c r="C377">
        <f t="shared" si="10"/>
        <v>1992</v>
      </c>
      <c r="H377" s="85">
        <v>41282</v>
      </c>
      <c r="I377">
        <v>1767.54</v>
      </c>
      <c r="N377" s="69">
        <v>42901</v>
      </c>
      <c r="O377">
        <v>571.99</v>
      </c>
      <c r="P377">
        <v>564.70000000000005</v>
      </c>
      <c r="Q377">
        <v>573.12</v>
      </c>
      <c r="R377">
        <v>563.08000000000004</v>
      </c>
      <c r="S377" s="3">
        <v>1.8E-3</v>
      </c>
      <c r="T377">
        <f t="shared" si="11"/>
        <v>2017</v>
      </c>
      <c r="W377" s="86">
        <v>41331</v>
      </c>
      <c r="X377">
        <v>499.3</v>
      </c>
    </row>
    <row r="378" spans="1:24">
      <c r="A378" s="68">
        <v>33944</v>
      </c>
      <c r="B378" s="33">
        <v>736.29</v>
      </c>
      <c r="C378">
        <f t="shared" si="10"/>
        <v>1992</v>
      </c>
      <c r="H378" s="85">
        <v>41283</v>
      </c>
      <c r="I378">
        <v>1771.31</v>
      </c>
      <c r="N378" s="69">
        <v>42900</v>
      </c>
      <c r="O378">
        <v>570.98</v>
      </c>
      <c r="P378">
        <v>563.08000000000004</v>
      </c>
      <c r="Q378">
        <v>572.52</v>
      </c>
      <c r="R378">
        <v>563.04999999999995</v>
      </c>
      <c r="S378" s="3">
        <v>5.1000000000000004E-3</v>
      </c>
      <c r="T378">
        <f t="shared" si="11"/>
        <v>2017</v>
      </c>
      <c r="W378" s="86">
        <v>41332</v>
      </c>
      <c r="X378">
        <v>499.2</v>
      </c>
    </row>
    <row r="379" spans="1:24">
      <c r="A379" s="68">
        <v>33945</v>
      </c>
      <c r="B379" s="32">
        <v>736.29</v>
      </c>
      <c r="C379">
        <f t="shared" si="10"/>
        <v>1992</v>
      </c>
      <c r="H379" s="85">
        <v>41284</v>
      </c>
      <c r="I379">
        <v>1767.96</v>
      </c>
      <c r="N379" s="69">
        <v>42899</v>
      </c>
      <c r="O379">
        <v>568.08000000000004</v>
      </c>
      <c r="P379">
        <v>561.88</v>
      </c>
      <c r="Q379">
        <v>573.67999999999995</v>
      </c>
      <c r="R379">
        <v>561.88</v>
      </c>
      <c r="S379" s="3">
        <v>-7.7000000000000002E-3</v>
      </c>
      <c r="T379">
        <f t="shared" si="11"/>
        <v>2017</v>
      </c>
      <c r="W379" s="86">
        <v>41333</v>
      </c>
      <c r="X379">
        <v>499.1</v>
      </c>
    </row>
    <row r="380" spans="1:24">
      <c r="A380" s="68">
        <v>33946</v>
      </c>
      <c r="B380" s="33">
        <v>732.11</v>
      </c>
      <c r="C380">
        <f t="shared" si="10"/>
        <v>1992</v>
      </c>
      <c r="H380" s="85">
        <v>41285</v>
      </c>
      <c r="I380">
        <v>1761.5</v>
      </c>
      <c r="N380" s="69">
        <v>42898</v>
      </c>
      <c r="O380">
        <v>572.5</v>
      </c>
      <c r="P380">
        <v>563.62</v>
      </c>
      <c r="Q380">
        <v>572.5</v>
      </c>
      <c r="R380">
        <v>561.88</v>
      </c>
      <c r="S380" s="3">
        <v>6.7999999999999996E-3</v>
      </c>
      <c r="T380">
        <f t="shared" si="11"/>
        <v>2017</v>
      </c>
      <c r="W380" s="86">
        <v>41334</v>
      </c>
      <c r="X380">
        <v>499</v>
      </c>
    </row>
    <row r="381" spans="1:24">
      <c r="A381" s="68">
        <v>33947</v>
      </c>
      <c r="B381" s="32">
        <v>732.11</v>
      </c>
      <c r="C381">
        <f t="shared" si="10"/>
        <v>1992</v>
      </c>
      <c r="H381" s="85">
        <v>41286</v>
      </c>
      <c r="I381">
        <v>1762.38</v>
      </c>
      <c r="N381" s="69">
        <v>42895</v>
      </c>
      <c r="O381">
        <v>568.62</v>
      </c>
      <c r="P381">
        <v>562.87</v>
      </c>
      <c r="Q381">
        <v>572.28</v>
      </c>
      <c r="R381">
        <v>562.1</v>
      </c>
      <c r="S381" s="3">
        <v>1.2999999999999999E-3</v>
      </c>
      <c r="T381">
        <f t="shared" si="11"/>
        <v>2017</v>
      </c>
      <c r="W381" s="86">
        <v>41337</v>
      </c>
      <c r="X381">
        <v>499.5</v>
      </c>
    </row>
    <row r="382" spans="1:24">
      <c r="A382" s="68">
        <v>33948</v>
      </c>
      <c r="B382" s="33">
        <v>732.4</v>
      </c>
      <c r="C382">
        <f t="shared" si="10"/>
        <v>1992</v>
      </c>
      <c r="H382" s="85">
        <v>41287</v>
      </c>
      <c r="I382">
        <v>1762.38</v>
      </c>
      <c r="N382" s="69">
        <v>42894</v>
      </c>
      <c r="O382">
        <v>567.87</v>
      </c>
      <c r="P382">
        <v>562.76</v>
      </c>
      <c r="Q382">
        <v>571.53</v>
      </c>
      <c r="R382">
        <v>562.15</v>
      </c>
      <c r="S382" s="3">
        <v>2.0000000000000001E-4</v>
      </c>
      <c r="T382">
        <f t="shared" si="11"/>
        <v>2017</v>
      </c>
      <c r="W382" s="86">
        <v>41338</v>
      </c>
      <c r="X382">
        <v>499.6</v>
      </c>
    </row>
    <row r="383" spans="1:24">
      <c r="A383" s="68">
        <v>33949</v>
      </c>
      <c r="B383" s="32">
        <v>727.21</v>
      </c>
      <c r="C383">
        <f t="shared" si="10"/>
        <v>1992</v>
      </c>
      <c r="H383" s="85">
        <v>41288</v>
      </c>
      <c r="I383">
        <v>1762.38</v>
      </c>
      <c r="N383" s="69">
        <v>42893</v>
      </c>
      <c r="O383">
        <v>567.76</v>
      </c>
      <c r="P383">
        <v>562.78</v>
      </c>
      <c r="Q383">
        <v>570.88</v>
      </c>
      <c r="R383">
        <v>562.15</v>
      </c>
      <c r="S383" s="3">
        <v>0</v>
      </c>
      <c r="T383">
        <f t="shared" si="11"/>
        <v>2017</v>
      </c>
      <c r="W383" s="86">
        <v>41339</v>
      </c>
      <c r="X383">
        <v>499.3</v>
      </c>
    </row>
    <row r="384" spans="1:24">
      <c r="A384" s="68">
        <v>33950</v>
      </c>
      <c r="B384" s="33">
        <v>729.8</v>
      </c>
      <c r="C384">
        <f t="shared" si="10"/>
        <v>1992</v>
      </c>
      <c r="H384" s="85">
        <v>41289</v>
      </c>
      <c r="I384">
        <v>1758.45</v>
      </c>
      <c r="N384" s="69">
        <v>42892</v>
      </c>
      <c r="O384">
        <v>567.78</v>
      </c>
      <c r="P384">
        <v>562.73</v>
      </c>
      <c r="Q384">
        <v>567.85</v>
      </c>
      <c r="R384">
        <v>562.15</v>
      </c>
      <c r="S384" s="3">
        <v>1E-4</v>
      </c>
      <c r="T384">
        <f t="shared" si="11"/>
        <v>2017</v>
      </c>
      <c r="W384" s="86">
        <v>41340</v>
      </c>
      <c r="X384">
        <v>499.3</v>
      </c>
    </row>
    <row r="385" spans="1:24">
      <c r="A385" s="68">
        <v>33951</v>
      </c>
      <c r="B385" s="32">
        <v>729.8</v>
      </c>
      <c r="C385">
        <f t="shared" si="10"/>
        <v>1992</v>
      </c>
      <c r="H385" s="85">
        <v>41290</v>
      </c>
      <c r="I385">
        <v>1769.88</v>
      </c>
      <c r="N385" s="69">
        <v>42891</v>
      </c>
      <c r="O385">
        <v>567.73</v>
      </c>
      <c r="P385">
        <v>564.65</v>
      </c>
      <c r="Q385">
        <v>570.28</v>
      </c>
      <c r="R385">
        <v>562.54999999999995</v>
      </c>
      <c r="S385" s="3">
        <v>0</v>
      </c>
      <c r="T385">
        <f t="shared" si="11"/>
        <v>2017</v>
      </c>
      <c r="W385" s="86">
        <v>41341</v>
      </c>
      <c r="X385">
        <v>499.2</v>
      </c>
    </row>
    <row r="386" spans="1:24">
      <c r="A386" s="68">
        <v>33952</v>
      </c>
      <c r="B386" s="33">
        <v>729.8</v>
      </c>
      <c r="C386">
        <f t="shared" si="10"/>
        <v>1992</v>
      </c>
      <c r="H386" s="85">
        <v>41291</v>
      </c>
      <c r="I386">
        <v>1775.15</v>
      </c>
      <c r="N386" s="69">
        <v>42888</v>
      </c>
      <c r="O386">
        <v>567.75</v>
      </c>
      <c r="P386">
        <v>563.34</v>
      </c>
      <c r="Q386">
        <v>569.88</v>
      </c>
      <c r="R386">
        <v>562.20000000000005</v>
      </c>
      <c r="S386" s="3">
        <v>-3.3E-3</v>
      </c>
      <c r="T386">
        <f t="shared" si="11"/>
        <v>2017</v>
      </c>
      <c r="W386" s="86">
        <v>41344</v>
      </c>
      <c r="X386">
        <v>499.5</v>
      </c>
    </row>
    <row r="387" spans="1:24">
      <c r="A387" s="68">
        <v>33953</v>
      </c>
      <c r="B387" s="32">
        <v>732.69</v>
      </c>
      <c r="C387">
        <f t="shared" si="10"/>
        <v>1992</v>
      </c>
      <c r="H387" s="85">
        <v>41292</v>
      </c>
      <c r="I387">
        <v>1767.78</v>
      </c>
      <c r="N387" s="69">
        <v>42887</v>
      </c>
      <c r="O387">
        <v>569.65</v>
      </c>
      <c r="P387">
        <v>566.78</v>
      </c>
      <c r="Q387">
        <v>572.35</v>
      </c>
      <c r="R387">
        <v>563.34</v>
      </c>
      <c r="S387" s="3">
        <v>-4.7000000000000002E-3</v>
      </c>
      <c r="T387">
        <f t="shared" si="11"/>
        <v>2017</v>
      </c>
      <c r="W387" s="86">
        <v>41345</v>
      </c>
      <c r="X387">
        <v>499.2</v>
      </c>
    </row>
    <row r="388" spans="1:24">
      <c r="A388" s="68">
        <v>33954</v>
      </c>
      <c r="B388" s="33">
        <v>736.2</v>
      </c>
      <c r="C388">
        <f t="shared" ref="C388:C451" si="12">YEAR(A388)</f>
        <v>1992</v>
      </c>
      <c r="H388" s="85">
        <v>41293</v>
      </c>
      <c r="I388">
        <v>1767.74</v>
      </c>
      <c r="N388" s="69">
        <v>42886</v>
      </c>
      <c r="O388">
        <v>572.35</v>
      </c>
      <c r="P388">
        <v>571.32000000000005</v>
      </c>
      <c r="Q388">
        <v>576.32000000000005</v>
      </c>
      <c r="R388">
        <v>566.12</v>
      </c>
      <c r="S388" s="3">
        <v>-1.6999999999999999E-3</v>
      </c>
      <c r="T388">
        <f t="shared" ref="T388:T451" si="13">YEAR(N388)</f>
        <v>2017</v>
      </c>
      <c r="W388" s="86">
        <v>41346</v>
      </c>
      <c r="X388">
        <v>499.4</v>
      </c>
    </row>
    <row r="389" spans="1:24">
      <c r="A389" s="68">
        <v>33955</v>
      </c>
      <c r="B389" s="32">
        <v>734.98</v>
      </c>
      <c r="C389">
        <f t="shared" si="12"/>
        <v>1992</v>
      </c>
      <c r="H389" s="85">
        <v>41294</v>
      </c>
      <c r="I389">
        <v>1767.74</v>
      </c>
      <c r="N389" s="69">
        <v>42885</v>
      </c>
      <c r="O389">
        <v>573.35</v>
      </c>
      <c r="P389">
        <v>581.70000000000005</v>
      </c>
      <c r="Q389">
        <v>587.01</v>
      </c>
      <c r="R389">
        <v>566.85</v>
      </c>
      <c r="S389" s="3">
        <v>-2.2800000000000001E-2</v>
      </c>
      <c r="T389">
        <f t="shared" si="13"/>
        <v>2017</v>
      </c>
      <c r="W389" s="86">
        <v>41347</v>
      </c>
      <c r="X389">
        <v>499.4</v>
      </c>
    </row>
    <row r="390" spans="1:24">
      <c r="A390" s="68">
        <v>33956</v>
      </c>
      <c r="B390" s="33">
        <v>732.54</v>
      </c>
      <c r="C390">
        <f t="shared" si="12"/>
        <v>1992</v>
      </c>
      <c r="H390" s="85">
        <v>41295</v>
      </c>
      <c r="I390">
        <v>1767.74</v>
      </c>
      <c r="N390" s="69">
        <v>42884</v>
      </c>
      <c r="O390">
        <v>586.70000000000005</v>
      </c>
      <c r="P390">
        <v>581.70000000000005</v>
      </c>
      <c r="Q390">
        <v>586.70000000000005</v>
      </c>
      <c r="R390">
        <v>572.4</v>
      </c>
      <c r="S390" s="3">
        <v>0</v>
      </c>
      <c r="T390">
        <f t="shared" si="13"/>
        <v>2017</v>
      </c>
      <c r="W390" s="86">
        <v>41348</v>
      </c>
      <c r="X390">
        <v>499.4</v>
      </c>
    </row>
    <row r="391" spans="1:24">
      <c r="A391" s="68">
        <v>33957</v>
      </c>
      <c r="B391" s="32">
        <v>735.31</v>
      </c>
      <c r="C391">
        <f t="shared" si="12"/>
        <v>1992</v>
      </c>
      <c r="H391" s="85">
        <v>41296</v>
      </c>
      <c r="I391">
        <v>1767.74</v>
      </c>
      <c r="N391" s="69">
        <v>42881</v>
      </c>
      <c r="O391">
        <v>586.70000000000005</v>
      </c>
      <c r="P391">
        <v>585.55999999999995</v>
      </c>
      <c r="Q391">
        <v>590.55999999999995</v>
      </c>
      <c r="R391">
        <v>573.30999999999995</v>
      </c>
      <c r="S391" s="3">
        <v>-6.4999999999999997E-3</v>
      </c>
      <c r="T391">
        <f t="shared" si="13"/>
        <v>2017</v>
      </c>
      <c r="W391" s="86">
        <v>41351</v>
      </c>
      <c r="X391">
        <v>499.4</v>
      </c>
    </row>
    <row r="392" spans="1:24">
      <c r="A392" s="68">
        <v>33958</v>
      </c>
      <c r="B392" s="33">
        <v>735.31</v>
      </c>
      <c r="C392">
        <f t="shared" si="12"/>
        <v>1992</v>
      </c>
      <c r="H392" s="85">
        <v>41297</v>
      </c>
      <c r="I392">
        <v>1776.96</v>
      </c>
      <c r="N392" s="69">
        <v>42880</v>
      </c>
      <c r="O392">
        <v>590.55999999999995</v>
      </c>
      <c r="P392">
        <v>577.98</v>
      </c>
      <c r="Q392">
        <v>590.55999999999995</v>
      </c>
      <c r="R392">
        <v>576.5</v>
      </c>
      <c r="S392" s="3">
        <v>5.9999999999999995E-4</v>
      </c>
      <c r="T392">
        <f t="shared" si="13"/>
        <v>2017</v>
      </c>
      <c r="W392" s="86">
        <v>41352</v>
      </c>
      <c r="X392">
        <v>499.6</v>
      </c>
    </row>
    <row r="393" spans="1:24">
      <c r="A393" s="68">
        <v>33959</v>
      </c>
      <c r="B393" s="32">
        <v>735.31</v>
      </c>
      <c r="C393">
        <f t="shared" si="12"/>
        <v>1992</v>
      </c>
      <c r="H393" s="85">
        <v>41298</v>
      </c>
      <c r="I393">
        <v>1778.69</v>
      </c>
      <c r="N393" s="69">
        <v>42879</v>
      </c>
      <c r="O393">
        <v>590.17999999999995</v>
      </c>
      <c r="P393">
        <v>577.98</v>
      </c>
      <c r="Q393">
        <v>590.17999999999995</v>
      </c>
      <c r="R393">
        <v>576.5</v>
      </c>
      <c r="S393" s="3">
        <v>1.24E-2</v>
      </c>
      <c r="T393">
        <f t="shared" si="13"/>
        <v>2017</v>
      </c>
      <c r="W393" s="86">
        <v>41353</v>
      </c>
      <c r="X393">
        <v>499.5</v>
      </c>
    </row>
    <row r="394" spans="1:24">
      <c r="A394" s="68">
        <v>33960</v>
      </c>
      <c r="B394" s="33">
        <v>736.82</v>
      </c>
      <c r="C394">
        <f t="shared" si="12"/>
        <v>1992</v>
      </c>
      <c r="H394" s="85">
        <v>41299</v>
      </c>
      <c r="I394">
        <v>1779.73</v>
      </c>
      <c r="N394" s="69">
        <v>42878</v>
      </c>
      <c r="O394">
        <v>582.98</v>
      </c>
      <c r="P394">
        <v>568.54</v>
      </c>
      <c r="Q394">
        <v>582.98</v>
      </c>
      <c r="R394">
        <v>568.54</v>
      </c>
      <c r="S394" s="3">
        <v>5.4000000000000003E-3</v>
      </c>
      <c r="T394">
        <f t="shared" si="13"/>
        <v>2017</v>
      </c>
      <c r="W394" s="86">
        <v>41354</v>
      </c>
      <c r="X394">
        <v>499.6</v>
      </c>
    </row>
    <row r="395" spans="1:24">
      <c r="A395" s="68">
        <v>33961</v>
      </c>
      <c r="B395" s="32">
        <v>735</v>
      </c>
      <c r="C395">
        <f t="shared" si="12"/>
        <v>1992</v>
      </c>
      <c r="H395" s="85">
        <v>41300</v>
      </c>
      <c r="I395">
        <v>1779.25</v>
      </c>
      <c r="N395" s="69">
        <v>42877</v>
      </c>
      <c r="O395">
        <v>579.87</v>
      </c>
      <c r="P395">
        <v>570.70000000000005</v>
      </c>
      <c r="Q395">
        <v>580.44000000000005</v>
      </c>
      <c r="R395">
        <v>568.66999999999996</v>
      </c>
      <c r="S395" s="3">
        <v>7.1999999999999998E-3</v>
      </c>
      <c r="T395">
        <f t="shared" si="13"/>
        <v>2017</v>
      </c>
      <c r="W395" s="86">
        <v>41355</v>
      </c>
      <c r="X395">
        <v>499.5</v>
      </c>
    </row>
    <row r="396" spans="1:24">
      <c r="A396" s="68">
        <v>33962</v>
      </c>
      <c r="B396" s="33">
        <v>735.19</v>
      </c>
      <c r="C396">
        <f t="shared" si="12"/>
        <v>1992</v>
      </c>
      <c r="H396" s="85">
        <v>41301</v>
      </c>
      <c r="I396">
        <v>1779.25</v>
      </c>
      <c r="N396" s="69">
        <v>42874</v>
      </c>
      <c r="O396">
        <v>575.70000000000005</v>
      </c>
      <c r="P396">
        <v>565.34</v>
      </c>
      <c r="Q396">
        <v>584.37</v>
      </c>
      <c r="R396">
        <v>563.65</v>
      </c>
      <c r="S396" s="3">
        <v>1.24E-2</v>
      </c>
      <c r="T396">
        <f t="shared" si="13"/>
        <v>2017</v>
      </c>
      <c r="W396" s="86">
        <v>41358</v>
      </c>
      <c r="X396">
        <v>499</v>
      </c>
    </row>
    <row r="397" spans="1:24">
      <c r="A397" s="68">
        <v>33963</v>
      </c>
      <c r="B397" s="32">
        <v>735.19</v>
      </c>
      <c r="C397">
        <f t="shared" si="12"/>
        <v>1992</v>
      </c>
      <c r="H397" s="85">
        <v>41302</v>
      </c>
      <c r="I397">
        <v>1779.25</v>
      </c>
      <c r="N397" s="69">
        <v>42873</v>
      </c>
      <c r="O397">
        <v>568.65</v>
      </c>
      <c r="P397">
        <v>573.13</v>
      </c>
      <c r="Q397">
        <v>578.13</v>
      </c>
      <c r="R397">
        <v>563.65</v>
      </c>
      <c r="S397" s="3">
        <v>-4.5999999999999999E-3</v>
      </c>
      <c r="T397">
        <f t="shared" si="13"/>
        <v>2017</v>
      </c>
      <c r="W397" s="86">
        <v>41359</v>
      </c>
      <c r="X397">
        <v>499.4</v>
      </c>
    </row>
    <row r="398" spans="1:24">
      <c r="A398" s="68">
        <v>33964</v>
      </c>
      <c r="B398" s="33">
        <v>735.19</v>
      </c>
      <c r="C398">
        <f t="shared" si="12"/>
        <v>1992</v>
      </c>
      <c r="H398" s="85">
        <v>41303</v>
      </c>
      <c r="I398">
        <v>1779.84</v>
      </c>
      <c r="N398" s="69">
        <v>42872</v>
      </c>
      <c r="O398">
        <v>571.29999999999995</v>
      </c>
      <c r="P398">
        <v>564.85</v>
      </c>
      <c r="Q398">
        <v>571.30999999999995</v>
      </c>
      <c r="R398">
        <v>560.67999999999995</v>
      </c>
      <c r="S398" s="3">
        <v>-8.0999999999999996E-3</v>
      </c>
      <c r="T398">
        <f t="shared" si="13"/>
        <v>2017</v>
      </c>
      <c r="W398" s="86">
        <v>41360</v>
      </c>
      <c r="X398">
        <v>499.5</v>
      </c>
    </row>
    <row r="399" spans="1:24">
      <c r="A399" s="68">
        <v>33965</v>
      </c>
      <c r="B399" s="32">
        <v>735.19</v>
      </c>
      <c r="C399">
        <f t="shared" si="12"/>
        <v>1992</v>
      </c>
      <c r="H399" s="85">
        <v>41304</v>
      </c>
      <c r="I399">
        <v>1776.09</v>
      </c>
      <c r="N399" s="69">
        <v>42871</v>
      </c>
      <c r="O399">
        <v>575.95000000000005</v>
      </c>
      <c r="P399">
        <v>559.35</v>
      </c>
      <c r="Q399">
        <v>575.95000000000005</v>
      </c>
      <c r="R399">
        <v>558.71</v>
      </c>
      <c r="S399" s="3">
        <v>1.15E-2</v>
      </c>
      <c r="T399">
        <f t="shared" si="13"/>
        <v>2017</v>
      </c>
      <c r="W399" s="86">
        <v>41361</v>
      </c>
      <c r="X399">
        <v>499.6</v>
      </c>
    </row>
    <row r="400" spans="1:24">
      <c r="A400" s="68">
        <v>33966</v>
      </c>
      <c r="B400" s="33">
        <v>735.19</v>
      </c>
      <c r="C400">
        <f t="shared" si="12"/>
        <v>1992</v>
      </c>
      <c r="H400" s="85">
        <v>41305</v>
      </c>
      <c r="I400">
        <v>1773.24</v>
      </c>
      <c r="N400" s="69">
        <v>42870</v>
      </c>
      <c r="O400">
        <v>569.41999999999996</v>
      </c>
      <c r="P400">
        <v>564.13</v>
      </c>
      <c r="Q400">
        <v>569.42999999999995</v>
      </c>
      <c r="R400">
        <v>556.70000000000005</v>
      </c>
      <c r="S400" s="3">
        <v>5.0000000000000001E-4</v>
      </c>
      <c r="T400">
        <f t="shared" si="13"/>
        <v>2017</v>
      </c>
      <c r="W400" s="86">
        <v>41362</v>
      </c>
      <c r="X400">
        <v>499.4</v>
      </c>
    </row>
    <row r="401" spans="1:24">
      <c r="A401" s="68">
        <v>33967</v>
      </c>
      <c r="B401" s="32">
        <v>737.44</v>
      </c>
      <c r="C401">
        <f t="shared" si="12"/>
        <v>1992</v>
      </c>
      <c r="H401" s="85">
        <v>41306</v>
      </c>
      <c r="I401">
        <v>1775.65</v>
      </c>
      <c r="N401" s="69">
        <v>42867</v>
      </c>
      <c r="O401">
        <v>569.13</v>
      </c>
      <c r="P401">
        <v>564.16999999999996</v>
      </c>
      <c r="Q401">
        <v>569.16999999999996</v>
      </c>
      <c r="R401">
        <v>556.70000000000005</v>
      </c>
      <c r="S401" s="3">
        <v>-1E-4</v>
      </c>
      <c r="T401">
        <f t="shared" si="13"/>
        <v>2017</v>
      </c>
      <c r="W401" s="86">
        <v>41365</v>
      </c>
      <c r="X401">
        <v>499.4</v>
      </c>
    </row>
    <row r="402" spans="1:24">
      <c r="A402" s="68">
        <v>33968</v>
      </c>
      <c r="B402" s="33">
        <v>737.98</v>
      </c>
      <c r="C402">
        <f t="shared" si="12"/>
        <v>1992</v>
      </c>
      <c r="H402" s="85">
        <v>41307</v>
      </c>
      <c r="I402">
        <v>1776.2</v>
      </c>
      <c r="N402" s="69">
        <v>42866</v>
      </c>
      <c r="O402">
        <v>569.16999999999996</v>
      </c>
      <c r="P402">
        <v>563.78</v>
      </c>
      <c r="Q402">
        <v>569.17999999999995</v>
      </c>
      <c r="R402">
        <v>556.70000000000005</v>
      </c>
      <c r="S402" s="3">
        <v>1.0999999999999999E-2</v>
      </c>
      <c r="T402">
        <f t="shared" si="13"/>
        <v>2017</v>
      </c>
      <c r="W402" s="86">
        <v>41366</v>
      </c>
      <c r="X402">
        <v>499.5</v>
      </c>
    </row>
    <row r="403" spans="1:24">
      <c r="A403" s="68">
        <v>33969</v>
      </c>
      <c r="B403" s="32">
        <v>737.98</v>
      </c>
      <c r="C403">
        <f t="shared" si="12"/>
        <v>1992</v>
      </c>
      <c r="H403" s="85">
        <v>41308</v>
      </c>
      <c r="I403">
        <v>1776.2</v>
      </c>
      <c r="N403" s="69">
        <v>42865</v>
      </c>
      <c r="O403">
        <v>563</v>
      </c>
      <c r="P403">
        <v>561.84</v>
      </c>
      <c r="Q403">
        <v>569.42999999999995</v>
      </c>
      <c r="R403">
        <v>556.69000000000005</v>
      </c>
      <c r="S403" s="3">
        <v>-6.7999999999999996E-3</v>
      </c>
      <c r="T403">
        <f t="shared" si="13"/>
        <v>2017</v>
      </c>
      <c r="W403" s="86">
        <v>41367</v>
      </c>
      <c r="X403">
        <v>499.4</v>
      </c>
    </row>
    <row r="404" spans="1:24">
      <c r="A404" s="68">
        <v>33970</v>
      </c>
      <c r="B404" s="33">
        <v>737.98</v>
      </c>
      <c r="C404">
        <f t="shared" si="12"/>
        <v>1993</v>
      </c>
      <c r="H404" s="85">
        <v>41309</v>
      </c>
      <c r="I404">
        <v>1776.2</v>
      </c>
      <c r="N404" s="69">
        <v>42864</v>
      </c>
      <c r="O404">
        <v>566.84</v>
      </c>
      <c r="P404">
        <v>556.35</v>
      </c>
      <c r="Q404">
        <v>574.58000000000004</v>
      </c>
      <c r="R404">
        <v>553.67999999999995</v>
      </c>
      <c r="S404" s="3">
        <v>1.46E-2</v>
      </c>
      <c r="T404">
        <f t="shared" si="13"/>
        <v>2017</v>
      </c>
      <c r="W404" s="86">
        <v>41368</v>
      </c>
      <c r="X404">
        <v>501.5</v>
      </c>
    </row>
    <row r="405" spans="1:24">
      <c r="A405" s="68">
        <v>33971</v>
      </c>
      <c r="B405" s="32">
        <v>737.98</v>
      </c>
      <c r="C405">
        <f t="shared" si="12"/>
        <v>1993</v>
      </c>
      <c r="H405" s="85">
        <v>41310</v>
      </c>
      <c r="I405">
        <v>1785.92</v>
      </c>
      <c r="N405" s="69">
        <v>42863</v>
      </c>
      <c r="O405">
        <v>558.67999999999995</v>
      </c>
      <c r="P405">
        <v>559.41999999999996</v>
      </c>
      <c r="Q405">
        <v>565.91999999999996</v>
      </c>
      <c r="R405">
        <v>553.67999999999995</v>
      </c>
      <c r="S405" s="3">
        <v>-1.8599999999999998E-2</v>
      </c>
      <c r="T405">
        <f t="shared" si="13"/>
        <v>2017</v>
      </c>
      <c r="W405" s="86">
        <v>41369</v>
      </c>
      <c r="X405">
        <v>501.1</v>
      </c>
    </row>
    <row r="406" spans="1:24">
      <c r="A406" s="68">
        <v>33972</v>
      </c>
      <c r="B406" s="33">
        <v>737.98</v>
      </c>
      <c r="C406">
        <f t="shared" si="12"/>
        <v>1993</v>
      </c>
      <c r="H406" s="85">
        <v>41311</v>
      </c>
      <c r="I406">
        <v>1789.09</v>
      </c>
      <c r="N406" s="69">
        <v>42860</v>
      </c>
      <c r="O406">
        <v>569.25</v>
      </c>
      <c r="P406">
        <v>558.83000000000004</v>
      </c>
      <c r="Q406">
        <v>569.25</v>
      </c>
      <c r="R406">
        <v>553.65</v>
      </c>
      <c r="S406" s="3">
        <v>9.5999999999999992E-3</v>
      </c>
      <c r="T406">
        <f t="shared" si="13"/>
        <v>2017</v>
      </c>
      <c r="W406" s="86">
        <v>41372</v>
      </c>
      <c r="X406">
        <v>501</v>
      </c>
    </row>
    <row r="407" spans="1:24">
      <c r="A407" s="68">
        <v>33973</v>
      </c>
      <c r="B407" s="32">
        <v>737.98</v>
      </c>
      <c r="C407">
        <f t="shared" si="12"/>
        <v>1993</v>
      </c>
      <c r="H407" s="85">
        <v>41312</v>
      </c>
      <c r="I407">
        <v>1791.24</v>
      </c>
      <c r="N407" s="69">
        <v>42859</v>
      </c>
      <c r="O407">
        <v>563.83000000000004</v>
      </c>
      <c r="P407">
        <v>558.48</v>
      </c>
      <c r="Q407">
        <v>563.84</v>
      </c>
      <c r="R407">
        <v>552.17999999999995</v>
      </c>
      <c r="S407" s="3">
        <v>-1.2999999999999999E-3</v>
      </c>
      <c r="T407">
        <f t="shared" si="13"/>
        <v>2017</v>
      </c>
      <c r="W407" s="86">
        <v>41373</v>
      </c>
      <c r="X407">
        <v>500</v>
      </c>
    </row>
    <row r="408" spans="1:24">
      <c r="A408" s="68">
        <v>33974</v>
      </c>
      <c r="B408" s="33">
        <v>737.55</v>
      </c>
      <c r="C408">
        <f t="shared" si="12"/>
        <v>1993</v>
      </c>
      <c r="H408" s="85">
        <v>41313</v>
      </c>
      <c r="I408">
        <v>1795.21</v>
      </c>
      <c r="N408" s="69">
        <v>42858</v>
      </c>
      <c r="O408">
        <v>564.57000000000005</v>
      </c>
      <c r="P408">
        <v>557.88</v>
      </c>
      <c r="Q408">
        <v>565.12</v>
      </c>
      <c r="R408">
        <v>552.1</v>
      </c>
      <c r="S408" s="3">
        <v>3.0000000000000001E-3</v>
      </c>
      <c r="T408">
        <f t="shared" si="13"/>
        <v>2017</v>
      </c>
      <c r="W408" s="86">
        <v>41374</v>
      </c>
      <c r="X408">
        <v>500</v>
      </c>
    </row>
    <row r="409" spans="1:24">
      <c r="A409" s="68">
        <v>33975</v>
      </c>
      <c r="B409" s="32">
        <v>738.65</v>
      </c>
      <c r="C409">
        <f t="shared" si="12"/>
        <v>1993</v>
      </c>
      <c r="H409" s="85">
        <v>41314</v>
      </c>
      <c r="I409">
        <v>1790.61</v>
      </c>
      <c r="N409" s="69">
        <v>42857</v>
      </c>
      <c r="O409">
        <v>562.88</v>
      </c>
      <c r="P409">
        <v>557.88</v>
      </c>
      <c r="Q409">
        <v>569.04</v>
      </c>
      <c r="R409">
        <v>552.08000000000004</v>
      </c>
      <c r="S409" s="3">
        <v>0</v>
      </c>
      <c r="T409">
        <f t="shared" si="13"/>
        <v>2017</v>
      </c>
      <c r="W409" s="86">
        <v>41375</v>
      </c>
      <c r="X409">
        <v>499.5</v>
      </c>
    </row>
    <row r="410" spans="1:24">
      <c r="A410" s="68">
        <v>33976</v>
      </c>
      <c r="B410" s="33">
        <v>740.08</v>
      </c>
      <c r="C410">
        <f t="shared" si="12"/>
        <v>1993</v>
      </c>
      <c r="H410" s="85">
        <v>41315</v>
      </c>
      <c r="I410">
        <v>1790.61</v>
      </c>
      <c r="N410" s="69">
        <v>42856</v>
      </c>
      <c r="O410">
        <v>562.88</v>
      </c>
      <c r="P410">
        <v>552.08000000000004</v>
      </c>
      <c r="Q410">
        <v>562.9</v>
      </c>
      <c r="R410">
        <v>550.87</v>
      </c>
      <c r="S410" s="3">
        <v>7.7999999999999996E-3</v>
      </c>
      <c r="T410">
        <f t="shared" si="13"/>
        <v>2017</v>
      </c>
      <c r="W410" s="86">
        <v>41376</v>
      </c>
      <c r="X410">
        <v>499.5</v>
      </c>
    </row>
    <row r="411" spans="1:24">
      <c r="A411" s="68">
        <v>33977</v>
      </c>
      <c r="B411" s="32">
        <v>742.61</v>
      </c>
      <c r="C411">
        <f t="shared" si="12"/>
        <v>1993</v>
      </c>
      <c r="H411" s="85">
        <v>41316</v>
      </c>
      <c r="I411">
        <v>1790.61</v>
      </c>
      <c r="N411" s="69">
        <v>42853</v>
      </c>
      <c r="O411">
        <v>558.5</v>
      </c>
      <c r="P411">
        <v>552.80999999999995</v>
      </c>
      <c r="Q411">
        <v>563.54999999999995</v>
      </c>
      <c r="R411">
        <v>551.07000000000005</v>
      </c>
      <c r="S411" s="3">
        <v>4.4000000000000003E-3</v>
      </c>
      <c r="T411">
        <f t="shared" si="13"/>
        <v>2017</v>
      </c>
      <c r="W411" s="86">
        <v>41379</v>
      </c>
      <c r="X411">
        <v>499.4</v>
      </c>
    </row>
    <row r="412" spans="1:24">
      <c r="A412" s="68">
        <v>33978</v>
      </c>
      <c r="B412" s="33">
        <v>746.63</v>
      </c>
      <c r="C412">
        <f t="shared" si="12"/>
        <v>1993</v>
      </c>
      <c r="H412" s="85">
        <v>41317</v>
      </c>
      <c r="I412">
        <v>1784.71</v>
      </c>
      <c r="N412" s="69">
        <v>42852</v>
      </c>
      <c r="O412">
        <v>556.07000000000005</v>
      </c>
      <c r="P412">
        <v>555.75</v>
      </c>
      <c r="Q412">
        <v>561.79</v>
      </c>
      <c r="R412">
        <v>551.07000000000005</v>
      </c>
      <c r="S412" s="3">
        <v>-8.3000000000000001E-3</v>
      </c>
      <c r="T412">
        <f t="shared" si="13"/>
        <v>2017</v>
      </c>
      <c r="W412" s="86">
        <v>41380</v>
      </c>
      <c r="X412">
        <v>499.5</v>
      </c>
    </row>
    <row r="413" spans="1:24">
      <c r="A413" s="68">
        <v>33979</v>
      </c>
      <c r="B413" s="32">
        <v>746.63</v>
      </c>
      <c r="C413">
        <f t="shared" si="12"/>
        <v>1993</v>
      </c>
      <c r="H413" s="85">
        <v>41318</v>
      </c>
      <c r="I413">
        <v>1783.2</v>
      </c>
      <c r="N413" s="69">
        <v>42851</v>
      </c>
      <c r="O413">
        <v>560.75</v>
      </c>
      <c r="P413">
        <v>555.15</v>
      </c>
      <c r="Q413">
        <v>560.75</v>
      </c>
      <c r="R413">
        <v>550.6</v>
      </c>
      <c r="S413" s="3">
        <v>6.7000000000000002E-3</v>
      </c>
      <c r="T413">
        <f t="shared" si="13"/>
        <v>2017</v>
      </c>
      <c r="W413" s="86">
        <v>41381</v>
      </c>
      <c r="X413">
        <v>499.4</v>
      </c>
    </row>
    <row r="414" spans="1:24">
      <c r="A414" s="68">
        <v>33980</v>
      </c>
      <c r="B414" s="33">
        <v>746.63</v>
      </c>
      <c r="C414">
        <f t="shared" si="12"/>
        <v>1993</v>
      </c>
      <c r="H414" s="85">
        <v>41319</v>
      </c>
      <c r="I414">
        <v>1777.72</v>
      </c>
      <c r="N414" s="69">
        <v>42850</v>
      </c>
      <c r="O414">
        <v>557</v>
      </c>
      <c r="P414">
        <v>551.25</v>
      </c>
      <c r="Q414">
        <v>561.20000000000005</v>
      </c>
      <c r="R414">
        <v>550.57000000000005</v>
      </c>
      <c r="S414" s="3">
        <v>1.2999999999999999E-3</v>
      </c>
      <c r="T414">
        <f t="shared" si="13"/>
        <v>2017</v>
      </c>
      <c r="W414" s="86">
        <v>41382</v>
      </c>
      <c r="X414">
        <v>499</v>
      </c>
    </row>
    <row r="415" spans="1:24">
      <c r="A415" s="68">
        <v>33981</v>
      </c>
      <c r="B415" s="32">
        <v>746.63</v>
      </c>
      <c r="C415">
        <f t="shared" si="12"/>
        <v>1993</v>
      </c>
      <c r="H415" s="85">
        <v>41320</v>
      </c>
      <c r="I415">
        <v>1783.19</v>
      </c>
      <c r="N415" s="69">
        <v>42849</v>
      </c>
      <c r="O415">
        <v>556.25</v>
      </c>
      <c r="P415">
        <v>550.54999999999995</v>
      </c>
      <c r="Q415">
        <v>564.69000000000005</v>
      </c>
      <c r="R415">
        <v>549.33000000000004</v>
      </c>
      <c r="S415" s="3">
        <v>1.2999999999999999E-3</v>
      </c>
      <c r="T415">
        <f t="shared" si="13"/>
        <v>2017</v>
      </c>
      <c r="W415" s="86">
        <v>41383</v>
      </c>
      <c r="X415">
        <v>499.5</v>
      </c>
    </row>
    <row r="416" spans="1:24">
      <c r="A416" s="68">
        <v>33982</v>
      </c>
      <c r="B416" s="33">
        <v>749.63</v>
      </c>
      <c r="C416">
        <f t="shared" si="12"/>
        <v>1993</v>
      </c>
      <c r="H416" s="85">
        <v>41321</v>
      </c>
      <c r="I416">
        <v>1785.41</v>
      </c>
      <c r="N416" s="69">
        <v>42846</v>
      </c>
      <c r="O416">
        <v>555.54999999999995</v>
      </c>
      <c r="P416">
        <v>559.69000000000005</v>
      </c>
      <c r="Q416">
        <v>564.69000000000005</v>
      </c>
      <c r="R416">
        <v>550.41999999999996</v>
      </c>
      <c r="S416" s="3">
        <v>-7.6E-3</v>
      </c>
      <c r="T416">
        <f t="shared" si="13"/>
        <v>2017</v>
      </c>
      <c r="W416" s="86">
        <v>41386</v>
      </c>
      <c r="X416">
        <v>499.4</v>
      </c>
    </row>
    <row r="417" spans="1:24">
      <c r="A417" s="68">
        <v>33983</v>
      </c>
      <c r="B417" s="32">
        <v>748.98</v>
      </c>
      <c r="C417">
        <f t="shared" si="12"/>
        <v>1993</v>
      </c>
      <c r="H417" s="85">
        <v>41322</v>
      </c>
      <c r="I417">
        <v>1785.41</v>
      </c>
      <c r="N417" s="69">
        <v>42845</v>
      </c>
      <c r="O417">
        <v>559.78</v>
      </c>
      <c r="P417">
        <v>551.27</v>
      </c>
      <c r="Q417">
        <v>564.69000000000005</v>
      </c>
      <c r="R417">
        <v>550.58000000000004</v>
      </c>
      <c r="S417" s="3">
        <v>-2.2000000000000001E-3</v>
      </c>
      <c r="T417">
        <f t="shared" si="13"/>
        <v>2017</v>
      </c>
      <c r="W417" s="86">
        <v>41387</v>
      </c>
      <c r="X417">
        <v>499.6</v>
      </c>
    </row>
    <row r="418" spans="1:24">
      <c r="A418" s="68">
        <v>33984</v>
      </c>
      <c r="B418" s="33">
        <v>746.71</v>
      </c>
      <c r="C418">
        <f t="shared" si="12"/>
        <v>1993</v>
      </c>
      <c r="H418" s="85">
        <v>41323</v>
      </c>
      <c r="I418">
        <v>1785.41</v>
      </c>
      <c r="N418" s="69">
        <v>42844</v>
      </c>
      <c r="O418">
        <v>561</v>
      </c>
      <c r="P418">
        <v>555.1</v>
      </c>
      <c r="Q418">
        <v>564.76</v>
      </c>
      <c r="R418">
        <v>550.65</v>
      </c>
      <c r="S418" s="3">
        <v>2.0000000000000001E-4</v>
      </c>
      <c r="T418">
        <f t="shared" si="13"/>
        <v>2017</v>
      </c>
      <c r="W418" s="86">
        <v>41388</v>
      </c>
      <c r="X418">
        <v>499.4</v>
      </c>
    </row>
    <row r="419" spans="1:24">
      <c r="A419" s="68">
        <v>33985</v>
      </c>
      <c r="B419" s="32">
        <v>746.39</v>
      </c>
      <c r="C419">
        <f t="shared" si="12"/>
        <v>1993</v>
      </c>
      <c r="H419" s="85">
        <v>41324</v>
      </c>
      <c r="I419">
        <v>1785.41</v>
      </c>
      <c r="N419" s="69">
        <v>42843</v>
      </c>
      <c r="O419">
        <v>560.9</v>
      </c>
      <c r="P419">
        <v>551.9</v>
      </c>
      <c r="Q419">
        <v>560.9</v>
      </c>
      <c r="R419">
        <v>550.59</v>
      </c>
      <c r="S419" s="3">
        <v>4.5999999999999999E-3</v>
      </c>
      <c r="T419">
        <f t="shared" si="13"/>
        <v>2017</v>
      </c>
      <c r="W419" s="86">
        <v>41389</v>
      </c>
      <c r="X419">
        <v>499.4</v>
      </c>
    </row>
    <row r="420" spans="1:24">
      <c r="A420" s="68">
        <v>33986</v>
      </c>
      <c r="B420" s="33">
        <v>746.39</v>
      </c>
      <c r="C420">
        <f t="shared" si="12"/>
        <v>1993</v>
      </c>
      <c r="H420" s="85">
        <v>41325</v>
      </c>
      <c r="I420">
        <v>1794.63</v>
      </c>
      <c r="N420" s="69">
        <v>42842</v>
      </c>
      <c r="O420">
        <v>558.35</v>
      </c>
      <c r="P420">
        <v>555.35</v>
      </c>
      <c r="Q420">
        <v>562.89</v>
      </c>
      <c r="R420">
        <v>551.6</v>
      </c>
      <c r="S420" s="3">
        <v>-3.5999999999999999E-3</v>
      </c>
      <c r="T420">
        <f t="shared" si="13"/>
        <v>2017</v>
      </c>
      <c r="W420" s="86">
        <v>41390</v>
      </c>
      <c r="X420">
        <v>499.5</v>
      </c>
    </row>
    <row r="421" spans="1:24">
      <c r="A421" s="68">
        <v>33987</v>
      </c>
      <c r="B421" s="32">
        <v>746.39</v>
      </c>
      <c r="C421">
        <f t="shared" si="12"/>
        <v>1993</v>
      </c>
      <c r="H421" s="85">
        <v>41326</v>
      </c>
      <c r="I421">
        <v>1791.33</v>
      </c>
      <c r="N421" s="69">
        <v>42839</v>
      </c>
      <c r="O421">
        <v>560.35</v>
      </c>
      <c r="P421">
        <v>551.41</v>
      </c>
      <c r="Q421">
        <v>560.36</v>
      </c>
      <c r="R421">
        <v>551.41</v>
      </c>
      <c r="S421" s="3">
        <v>-2.2000000000000001E-3</v>
      </c>
      <c r="T421">
        <f t="shared" si="13"/>
        <v>2017</v>
      </c>
      <c r="W421" s="86">
        <v>41393</v>
      </c>
      <c r="X421">
        <v>499.6</v>
      </c>
    </row>
    <row r="422" spans="1:24">
      <c r="A422" s="68">
        <v>33988</v>
      </c>
      <c r="B422" s="33">
        <v>747.2</v>
      </c>
      <c r="C422">
        <f t="shared" si="12"/>
        <v>1993</v>
      </c>
      <c r="H422" s="85">
        <v>41327</v>
      </c>
      <c r="I422">
        <v>1798.21</v>
      </c>
      <c r="N422" s="69">
        <v>42838</v>
      </c>
      <c r="O422">
        <v>561.55999999999995</v>
      </c>
      <c r="P422">
        <v>556.54999999999995</v>
      </c>
      <c r="Q422">
        <v>563.30999999999995</v>
      </c>
      <c r="R422">
        <v>551.61</v>
      </c>
      <c r="S422" s="3">
        <v>0</v>
      </c>
      <c r="T422">
        <f t="shared" si="13"/>
        <v>2017</v>
      </c>
      <c r="W422" s="86">
        <v>41394</v>
      </c>
      <c r="X422">
        <v>499.5</v>
      </c>
    </row>
    <row r="423" spans="1:24">
      <c r="A423" s="68">
        <v>33989</v>
      </c>
      <c r="B423" s="32">
        <v>748.07</v>
      </c>
      <c r="C423">
        <f t="shared" si="12"/>
        <v>1993</v>
      </c>
      <c r="H423" s="85">
        <v>41328</v>
      </c>
      <c r="I423">
        <v>1800.7</v>
      </c>
      <c r="N423" s="69">
        <v>42837</v>
      </c>
      <c r="O423">
        <v>561.54999999999995</v>
      </c>
      <c r="P423">
        <v>556.54999999999995</v>
      </c>
      <c r="Q423">
        <v>563.24</v>
      </c>
      <c r="R423">
        <v>551.65</v>
      </c>
      <c r="S423" s="3">
        <v>-2E-3</v>
      </c>
      <c r="T423">
        <f t="shared" si="13"/>
        <v>2017</v>
      </c>
      <c r="W423" s="86">
        <v>41395</v>
      </c>
      <c r="X423">
        <v>500.05</v>
      </c>
    </row>
    <row r="424" spans="1:24">
      <c r="A424" s="68">
        <v>33990</v>
      </c>
      <c r="B424" s="33">
        <v>750.06</v>
      </c>
      <c r="C424">
        <f t="shared" si="12"/>
        <v>1993</v>
      </c>
      <c r="H424" s="85">
        <v>41329</v>
      </c>
      <c r="I424">
        <v>1800.7</v>
      </c>
      <c r="N424" s="69">
        <v>42836</v>
      </c>
      <c r="O424">
        <v>562.66999999999996</v>
      </c>
      <c r="P424">
        <v>556.5</v>
      </c>
      <c r="Q424">
        <v>563.24</v>
      </c>
      <c r="R424">
        <v>551.65</v>
      </c>
      <c r="S424" s="3">
        <v>2.0999999999999999E-3</v>
      </c>
      <c r="T424">
        <f t="shared" si="13"/>
        <v>2017</v>
      </c>
      <c r="W424" s="86">
        <v>41396</v>
      </c>
      <c r="X424">
        <v>500.1</v>
      </c>
    </row>
    <row r="425" spans="1:24">
      <c r="A425" s="68">
        <v>33991</v>
      </c>
      <c r="B425" s="32">
        <v>750</v>
      </c>
      <c r="C425">
        <f t="shared" si="12"/>
        <v>1993</v>
      </c>
      <c r="H425" s="85">
        <v>41330</v>
      </c>
      <c r="I425">
        <v>1800.7</v>
      </c>
      <c r="N425" s="69">
        <v>42835</v>
      </c>
      <c r="O425">
        <v>561.5</v>
      </c>
      <c r="P425">
        <v>552.29999999999995</v>
      </c>
      <c r="Q425">
        <v>565.64</v>
      </c>
      <c r="R425">
        <v>551.65</v>
      </c>
      <c r="S425" s="3">
        <v>7.4999999999999997E-3</v>
      </c>
      <c r="T425">
        <f t="shared" si="13"/>
        <v>2017</v>
      </c>
      <c r="W425" s="86">
        <v>41397</v>
      </c>
      <c r="X425">
        <v>500.15</v>
      </c>
    </row>
    <row r="426" spans="1:24">
      <c r="A426" s="68">
        <v>33992</v>
      </c>
      <c r="B426" s="33">
        <v>748.56</v>
      </c>
      <c r="C426">
        <f t="shared" si="12"/>
        <v>1993</v>
      </c>
      <c r="H426" s="85">
        <v>41331</v>
      </c>
      <c r="I426">
        <v>1806.11</v>
      </c>
      <c r="N426" s="69">
        <v>42832</v>
      </c>
      <c r="O426">
        <v>557.29999999999995</v>
      </c>
      <c r="P426">
        <v>551.52</v>
      </c>
      <c r="Q426">
        <v>561.36</v>
      </c>
      <c r="R426">
        <v>551.52</v>
      </c>
      <c r="S426" s="3">
        <v>-8.8000000000000005E-3</v>
      </c>
      <c r="T426">
        <f t="shared" si="13"/>
        <v>2017</v>
      </c>
      <c r="W426" s="86">
        <v>41400</v>
      </c>
      <c r="X426">
        <v>500</v>
      </c>
    </row>
    <row r="427" spans="1:24">
      <c r="A427" s="68">
        <v>33993</v>
      </c>
      <c r="B427" s="32">
        <v>748.56</v>
      </c>
      <c r="C427">
        <f t="shared" si="12"/>
        <v>1993</v>
      </c>
      <c r="H427" s="85">
        <v>41332</v>
      </c>
      <c r="I427">
        <v>1818.54</v>
      </c>
      <c r="N427" s="69">
        <v>42831</v>
      </c>
      <c r="O427">
        <v>562.22</v>
      </c>
      <c r="P427">
        <v>551.04</v>
      </c>
      <c r="Q427">
        <v>567.52</v>
      </c>
      <c r="R427">
        <v>550.13</v>
      </c>
      <c r="S427" s="3">
        <v>1.2800000000000001E-2</v>
      </c>
      <c r="T427">
        <f t="shared" si="13"/>
        <v>2017</v>
      </c>
      <c r="W427" s="86">
        <v>41401</v>
      </c>
      <c r="X427">
        <v>501.7</v>
      </c>
    </row>
    <row r="428" spans="1:24">
      <c r="A428" s="68">
        <v>33994</v>
      </c>
      <c r="B428" s="33">
        <v>748.56</v>
      </c>
      <c r="C428">
        <f t="shared" si="12"/>
        <v>1993</v>
      </c>
      <c r="H428" s="85">
        <v>41333</v>
      </c>
      <c r="I428">
        <v>1816.42</v>
      </c>
      <c r="N428" s="69">
        <v>42830</v>
      </c>
      <c r="O428">
        <v>555.13</v>
      </c>
      <c r="P428">
        <v>555.04999999999995</v>
      </c>
      <c r="Q428">
        <v>560.46</v>
      </c>
      <c r="R428">
        <v>550.13</v>
      </c>
      <c r="S428" s="3">
        <v>-1.52E-2</v>
      </c>
      <c r="T428">
        <f t="shared" si="13"/>
        <v>2017</v>
      </c>
      <c r="W428" s="86">
        <v>41402</v>
      </c>
      <c r="X428">
        <v>501.2</v>
      </c>
    </row>
    <row r="429" spans="1:24">
      <c r="A429" s="68">
        <v>33995</v>
      </c>
      <c r="B429" s="32">
        <v>747.25</v>
      </c>
      <c r="C429">
        <f t="shared" si="12"/>
        <v>1993</v>
      </c>
      <c r="H429" s="85">
        <v>41334</v>
      </c>
      <c r="I429">
        <v>1814.28</v>
      </c>
      <c r="N429" s="69">
        <v>42829</v>
      </c>
      <c r="O429">
        <v>563.70000000000005</v>
      </c>
      <c r="P429">
        <v>554.45000000000005</v>
      </c>
      <c r="Q429">
        <v>563.70000000000005</v>
      </c>
      <c r="R429">
        <v>550.15</v>
      </c>
      <c r="S429" s="3">
        <v>1.2999999999999999E-3</v>
      </c>
      <c r="T429">
        <f t="shared" si="13"/>
        <v>2017</v>
      </c>
      <c r="W429" s="86">
        <v>41403</v>
      </c>
      <c r="X429">
        <v>500.3</v>
      </c>
    </row>
    <row r="430" spans="1:24">
      <c r="A430" s="68">
        <v>33996</v>
      </c>
      <c r="B430" s="33">
        <v>747.13</v>
      </c>
      <c r="C430">
        <f t="shared" si="12"/>
        <v>1993</v>
      </c>
      <c r="H430" s="85">
        <v>41335</v>
      </c>
      <c r="I430">
        <v>1816.48</v>
      </c>
      <c r="N430" s="69">
        <v>42828</v>
      </c>
      <c r="O430">
        <v>562.96</v>
      </c>
      <c r="P430">
        <v>554.41999999999996</v>
      </c>
      <c r="Q430">
        <v>562.96</v>
      </c>
      <c r="R430">
        <v>550.03</v>
      </c>
      <c r="S430" s="3">
        <v>6.3E-3</v>
      </c>
      <c r="T430">
        <f t="shared" si="13"/>
        <v>2017</v>
      </c>
      <c r="W430" s="86">
        <v>41404</v>
      </c>
      <c r="X430">
        <v>500.5</v>
      </c>
    </row>
    <row r="431" spans="1:24">
      <c r="A431" s="68">
        <v>33997</v>
      </c>
      <c r="B431" s="32">
        <v>746.21</v>
      </c>
      <c r="C431">
        <f t="shared" si="12"/>
        <v>1993</v>
      </c>
      <c r="H431" s="85">
        <v>41336</v>
      </c>
      <c r="I431">
        <v>1816.48</v>
      </c>
      <c r="N431" s="69">
        <v>42825</v>
      </c>
      <c r="O431">
        <v>559.41999999999996</v>
      </c>
      <c r="P431">
        <v>553.88</v>
      </c>
      <c r="Q431">
        <v>564.14</v>
      </c>
      <c r="R431">
        <v>550.04999999999995</v>
      </c>
      <c r="S431" s="3">
        <v>2.0999999999999999E-3</v>
      </c>
      <c r="T431">
        <f t="shared" si="13"/>
        <v>2017</v>
      </c>
      <c r="W431" s="86">
        <v>41407</v>
      </c>
      <c r="X431">
        <v>497.5</v>
      </c>
    </row>
    <row r="432" spans="1:24">
      <c r="A432" s="68">
        <v>33998</v>
      </c>
      <c r="B432" s="33">
        <v>745.14</v>
      </c>
      <c r="C432">
        <f t="shared" si="12"/>
        <v>1993</v>
      </c>
      <c r="H432" s="85">
        <v>41337</v>
      </c>
      <c r="I432">
        <v>1816.48</v>
      </c>
      <c r="N432" s="69">
        <v>42824</v>
      </c>
      <c r="O432">
        <v>558.25</v>
      </c>
      <c r="P432">
        <v>551.14</v>
      </c>
      <c r="Q432">
        <v>564.64</v>
      </c>
      <c r="R432">
        <v>550.1</v>
      </c>
      <c r="S432" s="3">
        <v>1.1000000000000001E-3</v>
      </c>
      <c r="T432">
        <f t="shared" si="13"/>
        <v>2017</v>
      </c>
      <c r="W432" s="86">
        <v>41408</v>
      </c>
      <c r="X432">
        <v>499.3</v>
      </c>
    </row>
    <row r="433" spans="1:24">
      <c r="A433" s="68">
        <v>33999</v>
      </c>
      <c r="B433" s="32">
        <v>746.05</v>
      </c>
      <c r="C433">
        <f t="shared" si="12"/>
        <v>1993</v>
      </c>
      <c r="H433" s="85">
        <v>41338</v>
      </c>
      <c r="I433">
        <v>1813.53</v>
      </c>
      <c r="N433" s="69">
        <v>42823</v>
      </c>
      <c r="O433">
        <v>557.65</v>
      </c>
      <c r="P433">
        <v>552.45000000000005</v>
      </c>
      <c r="Q433">
        <v>564.64</v>
      </c>
      <c r="R433">
        <v>549.38</v>
      </c>
      <c r="S433" s="3">
        <v>4.0000000000000002E-4</v>
      </c>
      <c r="T433">
        <f t="shared" si="13"/>
        <v>2017</v>
      </c>
      <c r="W433" s="86">
        <v>41409</v>
      </c>
      <c r="X433">
        <v>499.5</v>
      </c>
    </row>
    <row r="434" spans="1:24">
      <c r="A434" s="68">
        <v>34000</v>
      </c>
      <c r="B434" s="33">
        <v>746.05</v>
      </c>
      <c r="C434">
        <f t="shared" si="12"/>
        <v>1993</v>
      </c>
      <c r="H434" s="85">
        <v>41339</v>
      </c>
      <c r="I434">
        <v>1809.65</v>
      </c>
      <c r="N434" s="69">
        <v>42822</v>
      </c>
      <c r="O434">
        <v>557.45000000000005</v>
      </c>
      <c r="P434">
        <v>549.33000000000004</v>
      </c>
      <c r="Q434">
        <v>562.64</v>
      </c>
      <c r="R434">
        <v>549.33000000000004</v>
      </c>
      <c r="S434" s="3">
        <v>-1.5E-3</v>
      </c>
      <c r="T434">
        <f t="shared" si="13"/>
        <v>2017</v>
      </c>
      <c r="W434" s="86">
        <v>41410</v>
      </c>
      <c r="X434">
        <v>499.6</v>
      </c>
    </row>
    <row r="435" spans="1:24">
      <c r="A435" s="68">
        <v>34001</v>
      </c>
      <c r="B435" s="32">
        <v>746.05</v>
      </c>
      <c r="C435">
        <f t="shared" si="12"/>
        <v>1993</v>
      </c>
      <c r="H435" s="85">
        <v>41340</v>
      </c>
      <c r="I435">
        <v>1808</v>
      </c>
      <c r="N435" s="69">
        <v>42821</v>
      </c>
      <c r="O435">
        <v>558.26</v>
      </c>
      <c r="P435">
        <v>552.1</v>
      </c>
      <c r="Q435">
        <v>564.33000000000004</v>
      </c>
      <c r="R435">
        <v>546.25</v>
      </c>
      <c r="S435" s="3">
        <v>2.0999999999999999E-3</v>
      </c>
      <c r="T435">
        <f t="shared" si="13"/>
        <v>2017</v>
      </c>
      <c r="W435" s="86">
        <v>41411</v>
      </c>
      <c r="X435">
        <v>499.7</v>
      </c>
    </row>
    <row r="436" spans="1:24">
      <c r="A436" s="68">
        <v>34002</v>
      </c>
      <c r="B436" s="33">
        <v>745.27</v>
      </c>
      <c r="C436">
        <f t="shared" si="12"/>
        <v>1993</v>
      </c>
      <c r="H436" s="85">
        <v>41341</v>
      </c>
      <c r="I436">
        <v>1803.65</v>
      </c>
      <c r="N436" s="69">
        <v>42818</v>
      </c>
      <c r="O436">
        <v>557.1</v>
      </c>
      <c r="P436">
        <v>551.62</v>
      </c>
      <c r="Q436">
        <v>557.11</v>
      </c>
      <c r="R436">
        <v>549.4</v>
      </c>
      <c r="S436" s="3">
        <v>-6.0000000000000001E-3</v>
      </c>
      <c r="T436">
        <f t="shared" si="13"/>
        <v>2017</v>
      </c>
      <c r="W436" s="86">
        <v>41414</v>
      </c>
      <c r="X436">
        <v>499.6</v>
      </c>
    </row>
    <row r="437" spans="1:24">
      <c r="A437" s="68">
        <v>34003</v>
      </c>
      <c r="B437" s="32">
        <v>745.64</v>
      </c>
      <c r="C437">
        <f t="shared" si="12"/>
        <v>1993</v>
      </c>
      <c r="H437" s="85">
        <v>41342</v>
      </c>
      <c r="I437">
        <v>1800.45</v>
      </c>
      <c r="N437" s="69">
        <v>42817</v>
      </c>
      <c r="O437">
        <v>560.45000000000005</v>
      </c>
      <c r="P437">
        <v>551.42999999999995</v>
      </c>
      <c r="Q437">
        <v>560.45000000000005</v>
      </c>
      <c r="R437">
        <v>549.4</v>
      </c>
      <c r="S437" s="3">
        <v>7.1999999999999998E-3</v>
      </c>
      <c r="T437">
        <f t="shared" si="13"/>
        <v>2017</v>
      </c>
      <c r="W437" s="86">
        <v>41415</v>
      </c>
      <c r="X437">
        <v>499.4</v>
      </c>
    </row>
    <row r="438" spans="1:24">
      <c r="A438" s="68">
        <v>34004</v>
      </c>
      <c r="B438" s="33">
        <v>745.73</v>
      </c>
      <c r="C438">
        <f t="shared" si="12"/>
        <v>1993</v>
      </c>
      <c r="H438" s="85">
        <v>41343</v>
      </c>
      <c r="I438">
        <v>1800.45</v>
      </c>
      <c r="N438" s="69">
        <v>42816</v>
      </c>
      <c r="O438">
        <v>556.42999999999995</v>
      </c>
      <c r="P438">
        <v>551.54999999999995</v>
      </c>
      <c r="Q438">
        <v>562.19000000000005</v>
      </c>
      <c r="R438">
        <v>549.5</v>
      </c>
      <c r="S438" s="3">
        <v>-2.0000000000000001E-4</v>
      </c>
      <c r="T438">
        <f t="shared" si="13"/>
        <v>2017</v>
      </c>
      <c r="W438" s="86">
        <v>41416</v>
      </c>
      <c r="X438">
        <v>499.9</v>
      </c>
    </row>
    <row r="439" spans="1:24">
      <c r="A439" s="68">
        <v>34005</v>
      </c>
      <c r="B439" s="32">
        <v>745.79</v>
      </c>
      <c r="C439">
        <f t="shared" si="12"/>
        <v>1993</v>
      </c>
      <c r="H439" s="85">
        <v>41344</v>
      </c>
      <c r="I439">
        <v>1800.45</v>
      </c>
      <c r="N439" s="69">
        <v>42815</v>
      </c>
      <c r="O439">
        <v>556.54999999999995</v>
      </c>
      <c r="P439">
        <v>551.79999999999995</v>
      </c>
      <c r="Q439">
        <v>556.79999999999995</v>
      </c>
      <c r="R439">
        <v>549.45000000000005</v>
      </c>
      <c r="S439" s="3">
        <v>-4.0000000000000002E-4</v>
      </c>
      <c r="T439">
        <f t="shared" si="13"/>
        <v>2017</v>
      </c>
      <c r="W439" s="86">
        <v>41417</v>
      </c>
      <c r="X439">
        <v>499.9</v>
      </c>
    </row>
    <row r="440" spans="1:24">
      <c r="A440" s="68">
        <v>34006</v>
      </c>
      <c r="B440" s="33">
        <v>746.56</v>
      </c>
      <c r="C440">
        <f t="shared" si="12"/>
        <v>1993</v>
      </c>
      <c r="H440" s="85">
        <v>41345</v>
      </c>
      <c r="I440">
        <v>1801.2</v>
      </c>
      <c r="N440" s="69">
        <v>42814</v>
      </c>
      <c r="O440">
        <v>556.79999999999995</v>
      </c>
      <c r="P440">
        <v>552.88</v>
      </c>
      <c r="Q440">
        <v>559.74</v>
      </c>
      <c r="R440">
        <v>550.09</v>
      </c>
      <c r="S440" s="3">
        <v>-1.9E-3</v>
      </c>
      <c r="T440">
        <f t="shared" si="13"/>
        <v>2017</v>
      </c>
      <c r="W440" s="86">
        <v>41418</v>
      </c>
      <c r="X440">
        <v>499.8</v>
      </c>
    </row>
    <row r="441" spans="1:24">
      <c r="A441" s="68">
        <v>34007</v>
      </c>
      <c r="B441" s="32">
        <v>746.56</v>
      </c>
      <c r="C441">
        <f t="shared" si="12"/>
        <v>1993</v>
      </c>
      <c r="H441" s="85">
        <v>41346</v>
      </c>
      <c r="I441">
        <v>1801.64</v>
      </c>
      <c r="N441" s="69">
        <v>42811</v>
      </c>
      <c r="O441">
        <v>557.88</v>
      </c>
      <c r="P441">
        <v>553.54</v>
      </c>
      <c r="Q441">
        <v>558.54</v>
      </c>
      <c r="R441">
        <v>550.4</v>
      </c>
      <c r="S441" s="3">
        <v>-1.1999999999999999E-3</v>
      </c>
      <c r="T441">
        <f t="shared" si="13"/>
        <v>2017</v>
      </c>
      <c r="W441" s="86">
        <v>41421</v>
      </c>
      <c r="X441">
        <v>499.9</v>
      </c>
    </row>
    <row r="442" spans="1:24">
      <c r="A442" s="68">
        <v>34008</v>
      </c>
      <c r="B442" s="33">
        <v>746.56</v>
      </c>
      <c r="C442">
        <f t="shared" si="12"/>
        <v>1993</v>
      </c>
      <c r="H442" s="85">
        <v>41347</v>
      </c>
      <c r="I442">
        <v>1798.56</v>
      </c>
      <c r="N442" s="69">
        <v>42810</v>
      </c>
      <c r="O442">
        <v>558.54</v>
      </c>
      <c r="P442">
        <v>550.1</v>
      </c>
      <c r="Q442">
        <v>560.79</v>
      </c>
      <c r="R442">
        <v>545.6</v>
      </c>
      <c r="S442" s="3">
        <v>-3.7000000000000002E-3</v>
      </c>
      <c r="T442">
        <f t="shared" si="13"/>
        <v>2017</v>
      </c>
      <c r="W442" s="86">
        <v>41422</v>
      </c>
      <c r="X442">
        <v>499.9</v>
      </c>
    </row>
    <row r="443" spans="1:24">
      <c r="A443" s="68">
        <v>34009</v>
      </c>
      <c r="B443" s="32">
        <v>745.45</v>
      </c>
      <c r="C443">
        <f t="shared" si="12"/>
        <v>1993</v>
      </c>
      <c r="H443" s="85">
        <v>41348</v>
      </c>
      <c r="I443">
        <v>1797.28</v>
      </c>
      <c r="N443" s="69">
        <v>42809</v>
      </c>
      <c r="O443">
        <v>560.62</v>
      </c>
      <c r="P443">
        <v>555</v>
      </c>
      <c r="Q443">
        <v>561.65</v>
      </c>
      <c r="R443">
        <v>550.91999999999996</v>
      </c>
      <c r="S443" s="3">
        <v>1.1000000000000001E-3</v>
      </c>
      <c r="T443">
        <f t="shared" si="13"/>
        <v>2017</v>
      </c>
      <c r="W443" s="86">
        <v>41423</v>
      </c>
      <c r="X443">
        <v>499.7</v>
      </c>
    </row>
    <row r="444" spans="1:24">
      <c r="A444" s="68">
        <v>34010</v>
      </c>
      <c r="B444" s="33">
        <v>745.49</v>
      </c>
      <c r="C444">
        <f t="shared" si="12"/>
        <v>1993</v>
      </c>
      <c r="H444" s="85">
        <v>41349</v>
      </c>
      <c r="I444">
        <v>1804.06</v>
      </c>
      <c r="N444" s="69">
        <v>42808</v>
      </c>
      <c r="O444">
        <v>560</v>
      </c>
      <c r="P444">
        <v>555.08000000000004</v>
      </c>
      <c r="Q444">
        <v>563.54999999999995</v>
      </c>
      <c r="R444">
        <v>551.54999999999995</v>
      </c>
      <c r="S444" s="3">
        <v>-1E-4</v>
      </c>
      <c r="T444">
        <f t="shared" si="13"/>
        <v>2017</v>
      </c>
      <c r="W444" s="86">
        <v>41424</v>
      </c>
      <c r="X444">
        <v>500.55</v>
      </c>
    </row>
    <row r="445" spans="1:24">
      <c r="A445" s="68">
        <v>34011</v>
      </c>
      <c r="B445" s="32">
        <v>745.38</v>
      </c>
      <c r="C445">
        <f t="shared" si="12"/>
        <v>1993</v>
      </c>
      <c r="H445" s="85">
        <v>41350</v>
      </c>
      <c r="I445">
        <v>1804.06</v>
      </c>
      <c r="N445" s="69">
        <v>42807</v>
      </c>
      <c r="O445">
        <v>560.08000000000004</v>
      </c>
      <c r="P445">
        <v>555.38</v>
      </c>
      <c r="Q445">
        <v>565.11</v>
      </c>
      <c r="R445">
        <v>550.91999999999996</v>
      </c>
      <c r="S445" s="3">
        <v>-5.0000000000000001E-4</v>
      </c>
      <c r="T445">
        <f t="shared" si="13"/>
        <v>2017</v>
      </c>
      <c r="W445" s="86">
        <v>41425</v>
      </c>
      <c r="X445">
        <v>499</v>
      </c>
    </row>
    <row r="446" spans="1:24">
      <c r="A446" s="68">
        <v>34012</v>
      </c>
      <c r="B446" s="33">
        <v>748.22</v>
      </c>
      <c r="C446">
        <f t="shared" si="12"/>
        <v>1993</v>
      </c>
      <c r="H446" s="85">
        <v>41351</v>
      </c>
      <c r="I446">
        <v>1804.06</v>
      </c>
      <c r="N446" s="69">
        <v>42804</v>
      </c>
      <c r="O446">
        <v>560.38</v>
      </c>
      <c r="P446">
        <v>551.66999999999996</v>
      </c>
      <c r="Q446">
        <v>566.23</v>
      </c>
      <c r="R446">
        <v>550.9</v>
      </c>
      <c r="S446" s="3">
        <v>-7.1999999999999998E-3</v>
      </c>
      <c r="T446">
        <f t="shared" si="13"/>
        <v>2017</v>
      </c>
      <c r="W446" s="86">
        <v>41428</v>
      </c>
      <c r="X446">
        <v>499</v>
      </c>
    </row>
    <row r="447" spans="1:24">
      <c r="A447" s="68">
        <v>34013</v>
      </c>
      <c r="B447" s="32">
        <v>748.88</v>
      </c>
      <c r="C447">
        <f t="shared" si="12"/>
        <v>1993</v>
      </c>
      <c r="H447" s="85">
        <v>41352</v>
      </c>
      <c r="I447">
        <v>1809.58</v>
      </c>
      <c r="N447" s="69">
        <v>42803</v>
      </c>
      <c r="O447">
        <v>564.46</v>
      </c>
      <c r="P447">
        <v>556.44000000000005</v>
      </c>
      <c r="Q447">
        <v>565.01</v>
      </c>
      <c r="R447">
        <v>550.87</v>
      </c>
      <c r="S447" s="3">
        <v>8.3000000000000001E-3</v>
      </c>
      <c r="T447">
        <f t="shared" si="13"/>
        <v>2017</v>
      </c>
      <c r="W447" s="86">
        <v>41429</v>
      </c>
      <c r="X447">
        <v>500.2</v>
      </c>
    </row>
    <row r="448" spans="1:24">
      <c r="A448" s="68">
        <v>34014</v>
      </c>
      <c r="B448" s="33">
        <v>748.88</v>
      </c>
      <c r="C448">
        <f t="shared" si="12"/>
        <v>1993</v>
      </c>
      <c r="H448" s="85">
        <v>41353</v>
      </c>
      <c r="I448">
        <v>1809.83</v>
      </c>
      <c r="N448" s="69">
        <v>42802</v>
      </c>
      <c r="O448">
        <v>559.79999999999995</v>
      </c>
      <c r="P448">
        <v>557.14</v>
      </c>
      <c r="Q448">
        <v>566.79</v>
      </c>
      <c r="R448">
        <v>550.92999999999995</v>
      </c>
      <c r="S448" s="3">
        <v>-7.7999999999999996E-3</v>
      </c>
      <c r="T448">
        <f t="shared" si="13"/>
        <v>2017</v>
      </c>
      <c r="W448" s="86">
        <v>41430</v>
      </c>
      <c r="X448">
        <v>500.2</v>
      </c>
    </row>
    <row r="449" spans="1:24">
      <c r="A449" s="68">
        <v>34015</v>
      </c>
      <c r="B449" s="32">
        <v>748.88</v>
      </c>
      <c r="C449">
        <f t="shared" si="12"/>
        <v>1993</v>
      </c>
      <c r="H449" s="85">
        <v>41354</v>
      </c>
      <c r="I449">
        <v>1812.35</v>
      </c>
      <c r="N449" s="69">
        <v>42801</v>
      </c>
      <c r="O449">
        <v>564.20000000000005</v>
      </c>
      <c r="P449">
        <v>554.58000000000004</v>
      </c>
      <c r="Q449">
        <v>564.20000000000005</v>
      </c>
      <c r="R449">
        <v>550.92999999999995</v>
      </c>
      <c r="S449" s="3">
        <v>1.1999999999999999E-3</v>
      </c>
      <c r="T449">
        <f t="shared" si="13"/>
        <v>2017</v>
      </c>
      <c r="W449" s="86">
        <v>41431</v>
      </c>
      <c r="X449">
        <v>500.1</v>
      </c>
    </row>
    <row r="450" spans="1:24">
      <c r="A450" s="68">
        <v>34016</v>
      </c>
      <c r="B450" s="33">
        <v>748.18</v>
      </c>
      <c r="C450">
        <f t="shared" si="12"/>
        <v>1993</v>
      </c>
      <c r="H450" s="85">
        <v>41355</v>
      </c>
      <c r="I450">
        <v>1822.78</v>
      </c>
      <c r="N450" s="69">
        <v>42800</v>
      </c>
      <c r="O450">
        <v>563.5</v>
      </c>
      <c r="P450">
        <v>554.54999999999995</v>
      </c>
      <c r="Q450">
        <v>563.5</v>
      </c>
      <c r="R450">
        <v>551.15</v>
      </c>
      <c r="S450" s="3">
        <v>7.1000000000000004E-3</v>
      </c>
      <c r="T450">
        <f t="shared" si="13"/>
        <v>2017</v>
      </c>
      <c r="W450" s="86">
        <v>41432</v>
      </c>
      <c r="X450">
        <v>501.45</v>
      </c>
    </row>
    <row r="451" spans="1:24">
      <c r="A451" s="68">
        <v>34017</v>
      </c>
      <c r="B451" s="32">
        <v>749.69</v>
      </c>
      <c r="C451">
        <f t="shared" si="12"/>
        <v>1993</v>
      </c>
      <c r="H451" s="85">
        <v>41356</v>
      </c>
      <c r="I451">
        <v>1825.79</v>
      </c>
      <c r="N451" s="69">
        <v>42797</v>
      </c>
      <c r="O451">
        <v>559.54999999999995</v>
      </c>
      <c r="P451">
        <v>554.62</v>
      </c>
      <c r="Q451">
        <v>565.54</v>
      </c>
      <c r="R451">
        <v>551.29999999999995</v>
      </c>
      <c r="S451" s="3">
        <v>-6.7999999999999996E-3</v>
      </c>
      <c r="T451">
        <f t="shared" si="13"/>
        <v>2017</v>
      </c>
      <c r="W451" s="86">
        <v>41435</v>
      </c>
      <c r="X451">
        <v>501.08</v>
      </c>
    </row>
    <row r="452" spans="1:24">
      <c r="A452" s="68">
        <v>34018</v>
      </c>
      <c r="B452" s="33">
        <v>750.75</v>
      </c>
      <c r="C452">
        <f t="shared" ref="C452:C515" si="14">YEAR(A452)</f>
        <v>1993</v>
      </c>
      <c r="H452" s="85">
        <v>41357</v>
      </c>
      <c r="I452">
        <v>1825.79</v>
      </c>
      <c r="N452" s="69">
        <v>42796</v>
      </c>
      <c r="O452">
        <v>563.36</v>
      </c>
      <c r="P452">
        <v>552.5</v>
      </c>
      <c r="Q452">
        <v>563.36</v>
      </c>
      <c r="R452">
        <v>551.17999999999995</v>
      </c>
      <c r="S452" s="3">
        <v>6.1000000000000004E-3</v>
      </c>
      <c r="T452">
        <f t="shared" ref="T452:T515" si="15">YEAR(N452)</f>
        <v>2017</v>
      </c>
      <c r="W452" s="86">
        <v>41436</v>
      </c>
      <c r="X452">
        <v>501.2</v>
      </c>
    </row>
    <row r="453" spans="1:24">
      <c r="A453" s="68">
        <v>34019</v>
      </c>
      <c r="B453" s="32">
        <v>752.47</v>
      </c>
      <c r="C453">
        <f t="shared" si="14"/>
        <v>1993</v>
      </c>
      <c r="H453" s="85">
        <v>41358</v>
      </c>
      <c r="I453">
        <v>1825.79</v>
      </c>
      <c r="N453" s="69">
        <v>42795</v>
      </c>
      <c r="O453">
        <v>559.92999999999995</v>
      </c>
      <c r="P453">
        <v>555.16999999999996</v>
      </c>
      <c r="Q453">
        <v>565.54</v>
      </c>
      <c r="R453">
        <v>551.15</v>
      </c>
      <c r="S453" s="3">
        <v>-4.0000000000000002E-4</v>
      </c>
      <c r="T453">
        <f t="shared" si="15"/>
        <v>2017</v>
      </c>
      <c r="W453" s="86">
        <v>41437</v>
      </c>
      <c r="X453">
        <v>500.8</v>
      </c>
    </row>
    <row r="454" spans="1:24">
      <c r="A454" s="68">
        <v>34020</v>
      </c>
      <c r="B454" s="33">
        <v>751.96</v>
      </c>
      <c r="C454">
        <f t="shared" si="14"/>
        <v>1993</v>
      </c>
      <c r="H454" s="85">
        <v>41359</v>
      </c>
      <c r="I454">
        <v>1825.79</v>
      </c>
      <c r="N454" s="69">
        <v>42794</v>
      </c>
      <c r="O454">
        <v>560.16999999999996</v>
      </c>
      <c r="P454">
        <v>555.28</v>
      </c>
      <c r="Q454">
        <v>565.54</v>
      </c>
      <c r="R454">
        <v>551.35</v>
      </c>
      <c r="S454" s="3">
        <v>-2.0000000000000001E-4</v>
      </c>
      <c r="T454">
        <f t="shared" si="15"/>
        <v>2017</v>
      </c>
      <c r="W454" s="86">
        <v>41438</v>
      </c>
      <c r="X454">
        <v>500.9</v>
      </c>
    </row>
    <row r="455" spans="1:24">
      <c r="A455" s="68">
        <v>34021</v>
      </c>
      <c r="B455" s="32">
        <v>751.96</v>
      </c>
      <c r="C455">
        <f t="shared" si="14"/>
        <v>1993</v>
      </c>
      <c r="H455" s="85">
        <v>41360</v>
      </c>
      <c r="I455">
        <v>1828.95</v>
      </c>
      <c r="N455" s="69">
        <v>42793</v>
      </c>
      <c r="O455">
        <v>560.28</v>
      </c>
      <c r="P455">
        <v>555.75</v>
      </c>
      <c r="Q455">
        <v>560.75</v>
      </c>
      <c r="R455">
        <v>551.15</v>
      </c>
      <c r="S455" s="3">
        <v>-8.0000000000000004E-4</v>
      </c>
      <c r="T455">
        <f t="shared" si="15"/>
        <v>2017</v>
      </c>
      <c r="W455" s="86">
        <v>41439</v>
      </c>
      <c r="X455">
        <v>500.8</v>
      </c>
    </row>
    <row r="456" spans="1:24">
      <c r="A456" s="68">
        <v>34022</v>
      </c>
      <c r="B456" s="33">
        <v>751.96</v>
      </c>
      <c r="C456">
        <f t="shared" si="14"/>
        <v>1993</v>
      </c>
      <c r="H456" s="85">
        <v>41361</v>
      </c>
      <c r="I456">
        <v>1832.2</v>
      </c>
      <c r="N456" s="69">
        <v>42790</v>
      </c>
      <c r="O456">
        <v>560.75</v>
      </c>
      <c r="P456">
        <v>552.5</v>
      </c>
      <c r="Q456">
        <v>565.54</v>
      </c>
      <c r="R456">
        <v>551.5</v>
      </c>
      <c r="S456" s="3">
        <v>-2.9999999999999997E-4</v>
      </c>
      <c r="T456">
        <f t="shared" si="15"/>
        <v>2017</v>
      </c>
      <c r="W456" s="86">
        <v>41442</v>
      </c>
      <c r="X456">
        <v>499.4</v>
      </c>
    </row>
    <row r="457" spans="1:24">
      <c r="A457" s="68">
        <v>34023</v>
      </c>
      <c r="B457" s="32">
        <v>752.52</v>
      </c>
      <c r="C457">
        <f t="shared" si="14"/>
        <v>1993</v>
      </c>
      <c r="H457" s="85">
        <v>41362</v>
      </c>
      <c r="I457">
        <v>1832.2</v>
      </c>
      <c r="N457" s="69">
        <v>42789</v>
      </c>
      <c r="O457">
        <v>560.91999999999996</v>
      </c>
      <c r="P457">
        <v>555.91999999999996</v>
      </c>
      <c r="Q457">
        <v>565.54</v>
      </c>
      <c r="R457">
        <v>551.02</v>
      </c>
      <c r="S457" s="3">
        <v>-4.3E-3</v>
      </c>
      <c r="T457">
        <f t="shared" si="15"/>
        <v>2017</v>
      </c>
      <c r="W457" s="86">
        <v>41443</v>
      </c>
      <c r="X457">
        <v>499.5</v>
      </c>
    </row>
    <row r="458" spans="1:24">
      <c r="A458" s="68">
        <v>34024</v>
      </c>
      <c r="B458" s="33">
        <v>753.33</v>
      </c>
      <c r="C458">
        <f t="shared" si="14"/>
        <v>1993</v>
      </c>
      <c r="H458" s="85">
        <v>41363</v>
      </c>
      <c r="I458">
        <v>1832.2</v>
      </c>
      <c r="N458" s="69">
        <v>42788</v>
      </c>
      <c r="O458">
        <v>563.36</v>
      </c>
      <c r="P458">
        <v>556.04999999999995</v>
      </c>
      <c r="Q458">
        <v>568.84</v>
      </c>
      <c r="R458">
        <v>551.6</v>
      </c>
      <c r="S458" s="3">
        <v>4.1000000000000003E-3</v>
      </c>
      <c r="T458">
        <f t="shared" si="15"/>
        <v>2017</v>
      </c>
      <c r="W458" s="86">
        <v>41444</v>
      </c>
      <c r="X458">
        <v>499.6</v>
      </c>
    </row>
    <row r="459" spans="1:24">
      <c r="A459" s="68">
        <v>34025</v>
      </c>
      <c r="B459" s="32">
        <v>755.07</v>
      </c>
      <c r="C459">
        <f t="shared" si="14"/>
        <v>1993</v>
      </c>
      <c r="H459" s="85">
        <v>41364</v>
      </c>
      <c r="I459">
        <v>1832.2</v>
      </c>
      <c r="N459" s="69">
        <v>42787</v>
      </c>
      <c r="O459">
        <v>561.04999999999995</v>
      </c>
      <c r="P459">
        <v>555.98</v>
      </c>
      <c r="Q459">
        <v>567.19000000000005</v>
      </c>
      <c r="R459">
        <v>552.5</v>
      </c>
      <c r="S459" s="3">
        <v>1E-4</v>
      </c>
      <c r="T459">
        <f t="shared" si="15"/>
        <v>2017</v>
      </c>
      <c r="W459" s="86">
        <v>41445</v>
      </c>
      <c r="X459">
        <v>500.4</v>
      </c>
    </row>
    <row r="460" spans="1:24">
      <c r="A460" s="68">
        <v>34026</v>
      </c>
      <c r="B460" s="33">
        <v>759.2</v>
      </c>
      <c r="C460">
        <f t="shared" si="14"/>
        <v>1993</v>
      </c>
      <c r="H460" s="85">
        <v>41365</v>
      </c>
      <c r="I460">
        <v>1832.2</v>
      </c>
      <c r="N460" s="69">
        <v>42786</v>
      </c>
      <c r="O460">
        <v>560.98</v>
      </c>
      <c r="P460">
        <v>555.79999999999995</v>
      </c>
      <c r="Q460">
        <v>560.98</v>
      </c>
      <c r="R460">
        <v>551.4</v>
      </c>
      <c r="S460" s="3">
        <v>2.9999999999999997E-4</v>
      </c>
      <c r="T460">
        <f t="shared" si="15"/>
        <v>2017</v>
      </c>
      <c r="W460" s="86">
        <v>41446</v>
      </c>
      <c r="X460">
        <v>500.3</v>
      </c>
    </row>
    <row r="461" spans="1:24">
      <c r="A461" s="68">
        <v>34027</v>
      </c>
      <c r="B461" s="32">
        <v>758.03</v>
      </c>
      <c r="C461">
        <f t="shared" si="14"/>
        <v>1993</v>
      </c>
      <c r="H461" s="85">
        <v>41366</v>
      </c>
      <c r="I461">
        <v>1823.12</v>
      </c>
      <c r="N461" s="69">
        <v>42783</v>
      </c>
      <c r="O461">
        <v>560.79999999999995</v>
      </c>
      <c r="P461">
        <v>552.5</v>
      </c>
      <c r="Q461">
        <v>567.19000000000005</v>
      </c>
      <c r="R461">
        <v>550.22</v>
      </c>
      <c r="S461" s="3">
        <v>2.3999999999999998E-3</v>
      </c>
      <c r="T461">
        <f t="shared" si="15"/>
        <v>2017</v>
      </c>
      <c r="W461" s="86">
        <v>41449</v>
      </c>
      <c r="X461">
        <v>500.2</v>
      </c>
    </row>
    <row r="462" spans="1:24">
      <c r="A462" s="68">
        <v>34028</v>
      </c>
      <c r="B462" s="33">
        <v>758.03</v>
      </c>
      <c r="C462">
        <f t="shared" si="14"/>
        <v>1993</v>
      </c>
      <c r="H462" s="85">
        <v>41367</v>
      </c>
      <c r="I462">
        <v>1817.14</v>
      </c>
      <c r="N462" s="69">
        <v>42782</v>
      </c>
      <c r="O462">
        <v>559.47</v>
      </c>
      <c r="P462">
        <v>552</v>
      </c>
      <c r="Q462">
        <v>559.5</v>
      </c>
      <c r="R462">
        <v>550.48</v>
      </c>
      <c r="S462" s="3">
        <v>8.9999999999999998E-4</v>
      </c>
      <c r="T462">
        <f t="shared" si="15"/>
        <v>2017</v>
      </c>
      <c r="W462" s="86">
        <v>41450</v>
      </c>
      <c r="X462">
        <v>500.5</v>
      </c>
    </row>
    <row r="463" spans="1:24">
      <c r="A463" s="68">
        <v>34029</v>
      </c>
      <c r="B463" s="32">
        <v>758.03</v>
      </c>
      <c r="C463">
        <f t="shared" si="14"/>
        <v>1993</v>
      </c>
      <c r="H463" s="85">
        <v>41368</v>
      </c>
      <c r="I463">
        <v>1819.93</v>
      </c>
      <c r="N463" s="69">
        <v>42781</v>
      </c>
      <c r="O463">
        <v>558.94000000000005</v>
      </c>
      <c r="P463">
        <v>547.08000000000004</v>
      </c>
      <c r="Q463">
        <v>563.78</v>
      </c>
      <c r="R463">
        <v>544.52</v>
      </c>
      <c r="S463" s="3">
        <v>-8.5000000000000006E-3</v>
      </c>
      <c r="T463">
        <f t="shared" si="15"/>
        <v>2017</v>
      </c>
      <c r="W463" s="86">
        <v>41451</v>
      </c>
      <c r="X463">
        <v>499.4</v>
      </c>
    </row>
    <row r="464" spans="1:24">
      <c r="A464" s="68">
        <v>34030</v>
      </c>
      <c r="B464" s="33">
        <v>757.89</v>
      </c>
      <c r="C464">
        <f t="shared" si="14"/>
        <v>1993</v>
      </c>
      <c r="H464" s="85">
        <v>41369</v>
      </c>
      <c r="I464">
        <v>1829.01</v>
      </c>
      <c r="N464" s="69">
        <v>42780</v>
      </c>
      <c r="O464">
        <v>563.73</v>
      </c>
      <c r="P464">
        <v>554.07000000000005</v>
      </c>
      <c r="Q464">
        <v>563.73</v>
      </c>
      <c r="R464">
        <v>544.70000000000005</v>
      </c>
      <c r="S464" s="3">
        <v>5.9999999999999995E-4</v>
      </c>
      <c r="T464">
        <f t="shared" si="15"/>
        <v>2017</v>
      </c>
      <c r="W464" s="86">
        <v>41452</v>
      </c>
      <c r="X464">
        <v>499.7</v>
      </c>
    </row>
    <row r="465" spans="1:24">
      <c r="A465" s="68">
        <v>34031</v>
      </c>
      <c r="B465" s="32">
        <v>760.71</v>
      </c>
      <c r="C465">
        <f t="shared" si="14"/>
        <v>1993</v>
      </c>
      <c r="H465" s="85">
        <v>41370</v>
      </c>
      <c r="I465">
        <v>1826.88</v>
      </c>
      <c r="N465" s="69">
        <v>42779</v>
      </c>
      <c r="O465">
        <v>563.41</v>
      </c>
      <c r="P465">
        <v>553.63</v>
      </c>
      <c r="Q465">
        <v>563.41</v>
      </c>
      <c r="R465">
        <v>544.08000000000004</v>
      </c>
      <c r="S465" s="3">
        <v>8.6E-3</v>
      </c>
      <c r="T465">
        <f t="shared" si="15"/>
        <v>2017</v>
      </c>
      <c r="W465" s="86">
        <v>41453</v>
      </c>
      <c r="X465">
        <v>499.5</v>
      </c>
    </row>
    <row r="466" spans="1:24">
      <c r="A466" s="68">
        <v>34032</v>
      </c>
      <c r="B466" s="33">
        <v>762.68</v>
      </c>
      <c r="C466">
        <f t="shared" si="14"/>
        <v>1993</v>
      </c>
      <c r="H466" s="85">
        <v>41371</v>
      </c>
      <c r="I466">
        <v>1826.88</v>
      </c>
      <c r="N466" s="69">
        <v>42776</v>
      </c>
      <c r="O466">
        <v>558.63</v>
      </c>
      <c r="P466">
        <v>547.26</v>
      </c>
      <c r="Q466">
        <v>565.19000000000005</v>
      </c>
      <c r="R466">
        <v>544.62</v>
      </c>
      <c r="S466" s="3">
        <v>1E-4</v>
      </c>
      <c r="T466">
        <f t="shared" si="15"/>
        <v>2017</v>
      </c>
      <c r="W466" s="86">
        <v>41456</v>
      </c>
      <c r="X466">
        <v>499.8</v>
      </c>
    </row>
    <row r="467" spans="1:24">
      <c r="A467" s="68">
        <v>34033</v>
      </c>
      <c r="B467" s="32">
        <v>762.04</v>
      </c>
      <c r="C467">
        <f t="shared" si="14"/>
        <v>1993</v>
      </c>
      <c r="H467" s="85">
        <v>41372</v>
      </c>
      <c r="I467">
        <v>1826.88</v>
      </c>
      <c r="N467" s="69">
        <v>42775</v>
      </c>
      <c r="O467">
        <v>558.54999999999995</v>
      </c>
      <c r="P467">
        <v>543.16999999999996</v>
      </c>
      <c r="Q467">
        <v>564.54</v>
      </c>
      <c r="R467">
        <v>543.16999999999996</v>
      </c>
      <c r="S467" s="3">
        <v>1.1999999999999999E-3</v>
      </c>
      <c r="T467">
        <f t="shared" si="15"/>
        <v>2017</v>
      </c>
      <c r="W467" s="86">
        <v>41457</v>
      </c>
      <c r="X467">
        <v>499.9</v>
      </c>
    </row>
    <row r="468" spans="1:24">
      <c r="A468" s="68">
        <v>34034</v>
      </c>
      <c r="B468" s="33">
        <v>762.2</v>
      </c>
      <c r="C468">
        <f t="shared" si="14"/>
        <v>1993</v>
      </c>
      <c r="H468" s="85">
        <v>41373</v>
      </c>
      <c r="I468">
        <v>1817.66</v>
      </c>
      <c r="N468" s="69">
        <v>42774</v>
      </c>
      <c r="O468">
        <v>557.87</v>
      </c>
      <c r="P468">
        <v>551.91999999999996</v>
      </c>
      <c r="Q468">
        <v>558.42999999999995</v>
      </c>
      <c r="R468">
        <v>544.79999999999995</v>
      </c>
      <c r="S468" s="3">
        <v>1.6999999999999999E-3</v>
      </c>
      <c r="T468">
        <f t="shared" si="15"/>
        <v>2017</v>
      </c>
      <c r="W468" s="86">
        <v>41458</v>
      </c>
      <c r="X468">
        <v>500.5</v>
      </c>
    </row>
    <row r="469" spans="1:24">
      <c r="A469" s="68">
        <v>34035</v>
      </c>
      <c r="B469" s="32">
        <v>762.2</v>
      </c>
      <c r="C469">
        <f t="shared" si="14"/>
        <v>1993</v>
      </c>
      <c r="H469" s="85">
        <v>41374</v>
      </c>
      <c r="I469">
        <v>1813.11</v>
      </c>
      <c r="N469" s="69">
        <v>42773</v>
      </c>
      <c r="O469">
        <v>556.91999999999996</v>
      </c>
      <c r="P469">
        <v>551.62</v>
      </c>
      <c r="Q469">
        <v>556.92999999999995</v>
      </c>
      <c r="R469">
        <v>545.02</v>
      </c>
      <c r="S469" s="3">
        <v>1.0699999999999999E-2</v>
      </c>
      <c r="T469">
        <f t="shared" si="15"/>
        <v>2017</v>
      </c>
      <c r="W469" s="86">
        <v>41459</v>
      </c>
      <c r="X469">
        <v>500.5</v>
      </c>
    </row>
    <row r="470" spans="1:24">
      <c r="A470" s="68">
        <v>34036</v>
      </c>
      <c r="B470" s="33">
        <v>762.2</v>
      </c>
      <c r="C470">
        <f t="shared" si="14"/>
        <v>1993</v>
      </c>
      <c r="H470" s="85">
        <v>41375</v>
      </c>
      <c r="I470">
        <v>1821.2</v>
      </c>
      <c r="N470" s="69">
        <v>42772</v>
      </c>
      <c r="O470">
        <v>551</v>
      </c>
      <c r="P470">
        <v>550.98</v>
      </c>
      <c r="Q470">
        <v>556.78</v>
      </c>
      <c r="R470">
        <v>544.54</v>
      </c>
      <c r="S470" s="3">
        <v>-8.9999999999999993E-3</v>
      </c>
      <c r="T470">
        <f t="shared" si="15"/>
        <v>2017</v>
      </c>
      <c r="W470" s="86">
        <v>41460</v>
      </c>
      <c r="X470">
        <v>500.45</v>
      </c>
    </row>
    <row r="471" spans="1:24">
      <c r="A471" s="68">
        <v>34037</v>
      </c>
      <c r="B471" s="32">
        <v>763.38</v>
      </c>
      <c r="C471">
        <f t="shared" si="14"/>
        <v>1993</v>
      </c>
      <c r="H471" s="85">
        <v>41376</v>
      </c>
      <c r="I471">
        <v>1823.84</v>
      </c>
      <c r="N471" s="69">
        <v>42769</v>
      </c>
      <c r="O471">
        <v>555.98</v>
      </c>
      <c r="P471">
        <v>546</v>
      </c>
      <c r="Q471">
        <v>555.99</v>
      </c>
      <c r="R471">
        <v>544.66999999999996</v>
      </c>
      <c r="S471" s="3">
        <v>1.5E-3</v>
      </c>
      <c r="T471">
        <f t="shared" si="15"/>
        <v>2017</v>
      </c>
      <c r="W471" s="86">
        <v>41463</v>
      </c>
      <c r="X471">
        <v>500</v>
      </c>
    </row>
    <row r="472" spans="1:24">
      <c r="A472" s="68">
        <v>34038</v>
      </c>
      <c r="B472" s="33">
        <v>763.9</v>
      </c>
      <c r="C472">
        <f t="shared" si="14"/>
        <v>1993</v>
      </c>
      <c r="H472" s="85">
        <v>41377</v>
      </c>
      <c r="I472">
        <v>1827.79</v>
      </c>
      <c r="N472" s="69">
        <v>42768</v>
      </c>
      <c r="O472">
        <v>555.13</v>
      </c>
      <c r="P472">
        <v>550.07000000000005</v>
      </c>
      <c r="Q472">
        <v>555.14</v>
      </c>
      <c r="R472">
        <v>544.66999999999996</v>
      </c>
      <c r="S472" s="3">
        <v>1E-4</v>
      </c>
      <c r="T472">
        <f t="shared" si="15"/>
        <v>2017</v>
      </c>
      <c r="W472" s="86">
        <v>41464</v>
      </c>
      <c r="X472">
        <v>500.45</v>
      </c>
    </row>
    <row r="473" spans="1:24">
      <c r="A473" s="68">
        <v>34039</v>
      </c>
      <c r="B473" s="32">
        <v>764.74</v>
      </c>
      <c r="C473">
        <f t="shared" si="14"/>
        <v>1993</v>
      </c>
      <c r="H473" s="85">
        <v>41378</v>
      </c>
      <c r="I473">
        <v>1827.79</v>
      </c>
      <c r="N473" s="69">
        <v>42767</v>
      </c>
      <c r="O473">
        <v>555.07000000000005</v>
      </c>
      <c r="P473">
        <v>543.80999999999995</v>
      </c>
      <c r="Q473">
        <v>555.08000000000004</v>
      </c>
      <c r="R473">
        <v>543.80999999999995</v>
      </c>
      <c r="S473" s="3">
        <v>2.3999999999999998E-3</v>
      </c>
      <c r="T473">
        <f t="shared" si="15"/>
        <v>2017</v>
      </c>
      <c r="W473" s="86">
        <v>41465</v>
      </c>
      <c r="X473">
        <v>500.1</v>
      </c>
    </row>
    <row r="474" spans="1:24">
      <c r="A474" s="68">
        <v>34040</v>
      </c>
      <c r="B474" s="33">
        <v>765.19</v>
      </c>
      <c r="C474">
        <f t="shared" si="14"/>
        <v>1993</v>
      </c>
      <c r="H474" s="85">
        <v>41379</v>
      </c>
      <c r="I474">
        <v>1827.79</v>
      </c>
      <c r="N474" s="69">
        <v>42766</v>
      </c>
      <c r="O474">
        <v>553.74</v>
      </c>
      <c r="P474">
        <v>553.79999999999995</v>
      </c>
      <c r="Q474">
        <v>560.44000000000005</v>
      </c>
      <c r="R474">
        <v>544.82000000000005</v>
      </c>
      <c r="S474" s="3">
        <v>-6.1000000000000004E-3</v>
      </c>
      <c r="T474">
        <f t="shared" si="15"/>
        <v>2017</v>
      </c>
      <c r="W474" s="86">
        <v>41466</v>
      </c>
      <c r="X474">
        <v>500</v>
      </c>
    </row>
    <row r="475" spans="1:24">
      <c r="A475" s="68">
        <v>34041</v>
      </c>
      <c r="B475" s="32">
        <v>764.79</v>
      </c>
      <c r="C475">
        <f t="shared" si="14"/>
        <v>1993</v>
      </c>
      <c r="H475" s="85">
        <v>41380</v>
      </c>
      <c r="I475">
        <v>1834.86</v>
      </c>
      <c r="N475" s="69">
        <v>42765</v>
      </c>
      <c r="O475">
        <v>557.15</v>
      </c>
      <c r="P475">
        <v>548.22</v>
      </c>
      <c r="Q475">
        <v>557.15</v>
      </c>
      <c r="R475">
        <v>544.41999999999996</v>
      </c>
      <c r="S475" s="3">
        <v>7.1000000000000004E-3</v>
      </c>
      <c r="T475">
        <f t="shared" si="15"/>
        <v>2017</v>
      </c>
      <c r="W475" s="86">
        <v>41467</v>
      </c>
      <c r="X475">
        <v>500.1</v>
      </c>
    </row>
    <row r="476" spans="1:24">
      <c r="A476" s="68">
        <v>34042</v>
      </c>
      <c r="B476" s="33">
        <v>764.79</v>
      </c>
      <c r="C476">
        <f t="shared" si="14"/>
        <v>1993</v>
      </c>
      <c r="H476" s="85">
        <v>41381</v>
      </c>
      <c r="I476">
        <v>1833.98</v>
      </c>
      <c r="N476" s="69">
        <v>42762</v>
      </c>
      <c r="O476">
        <v>553.22</v>
      </c>
      <c r="P476">
        <v>547.85</v>
      </c>
      <c r="Q476">
        <v>559.35</v>
      </c>
      <c r="R476">
        <v>544.97</v>
      </c>
      <c r="S476" s="3">
        <v>8.0000000000000004E-4</v>
      </c>
      <c r="T476">
        <f t="shared" si="15"/>
        <v>2017</v>
      </c>
      <c r="W476" s="86">
        <v>41470</v>
      </c>
      <c r="X476">
        <v>500.1</v>
      </c>
    </row>
    <row r="477" spans="1:24">
      <c r="A477" s="68">
        <v>34043</v>
      </c>
      <c r="B477" s="32">
        <v>764.79</v>
      </c>
      <c r="C477">
        <f t="shared" si="14"/>
        <v>1993</v>
      </c>
      <c r="H477" s="85">
        <v>41382</v>
      </c>
      <c r="I477">
        <v>1846.46</v>
      </c>
      <c r="N477" s="69">
        <v>42761</v>
      </c>
      <c r="O477">
        <v>552.77</v>
      </c>
      <c r="P477">
        <v>547.89</v>
      </c>
      <c r="Q477">
        <v>553.32000000000005</v>
      </c>
      <c r="R477">
        <v>544.67999999999995</v>
      </c>
      <c r="S477" s="3">
        <v>0</v>
      </c>
      <c r="T477">
        <f t="shared" si="15"/>
        <v>2017</v>
      </c>
      <c r="W477" s="86">
        <v>41471</v>
      </c>
      <c r="X477">
        <v>500.2</v>
      </c>
    </row>
    <row r="478" spans="1:24">
      <c r="A478" s="68">
        <v>34044</v>
      </c>
      <c r="B478" s="33">
        <v>764.29</v>
      </c>
      <c r="C478">
        <f t="shared" si="14"/>
        <v>1993</v>
      </c>
      <c r="H478" s="85">
        <v>41383</v>
      </c>
      <c r="I478">
        <v>1847.02</v>
      </c>
      <c r="N478" s="69">
        <v>42760</v>
      </c>
      <c r="O478">
        <v>552.77</v>
      </c>
      <c r="P478">
        <v>545.69000000000005</v>
      </c>
      <c r="Q478">
        <v>553.45000000000005</v>
      </c>
      <c r="R478">
        <v>544.95000000000005</v>
      </c>
      <c r="S478" s="3">
        <v>0</v>
      </c>
      <c r="T478">
        <f t="shared" si="15"/>
        <v>2017</v>
      </c>
      <c r="W478" s="86">
        <v>41472</v>
      </c>
      <c r="X478">
        <v>500.2</v>
      </c>
    </row>
    <row r="479" spans="1:24">
      <c r="A479" s="68">
        <v>34045</v>
      </c>
      <c r="B479" s="32">
        <v>765.06</v>
      </c>
      <c r="C479">
        <f t="shared" si="14"/>
        <v>1993</v>
      </c>
      <c r="H479" s="85">
        <v>41384</v>
      </c>
      <c r="I479">
        <v>1835.57</v>
      </c>
      <c r="N479" s="69">
        <v>42759</v>
      </c>
      <c r="O479">
        <v>552.77</v>
      </c>
      <c r="P479">
        <v>547.95000000000005</v>
      </c>
      <c r="Q479">
        <v>553.34</v>
      </c>
      <c r="R479">
        <v>544.85</v>
      </c>
      <c r="S479" s="3">
        <v>3.2000000000000002E-3</v>
      </c>
      <c r="T479">
        <f t="shared" si="15"/>
        <v>2017</v>
      </c>
      <c r="W479" s="86">
        <v>41473</v>
      </c>
      <c r="X479">
        <v>500.45</v>
      </c>
    </row>
    <row r="480" spans="1:24">
      <c r="A480" s="68">
        <v>34046</v>
      </c>
      <c r="B480" s="33">
        <v>766.12</v>
      </c>
      <c r="C480">
        <f t="shared" si="14"/>
        <v>1993</v>
      </c>
      <c r="H480" s="85">
        <v>41385</v>
      </c>
      <c r="I480">
        <v>1835.57</v>
      </c>
      <c r="N480" s="69">
        <v>42758</v>
      </c>
      <c r="O480">
        <v>551</v>
      </c>
      <c r="P480">
        <v>548</v>
      </c>
      <c r="Q480">
        <v>553.25</v>
      </c>
      <c r="R480">
        <v>541.66</v>
      </c>
      <c r="S480" s="3">
        <v>-3.5999999999999999E-3</v>
      </c>
      <c r="T480">
        <f t="shared" si="15"/>
        <v>2017</v>
      </c>
      <c r="W480" s="86">
        <v>41474</v>
      </c>
      <c r="X480">
        <v>500.45</v>
      </c>
    </row>
    <row r="481" spans="1:24">
      <c r="A481" s="68">
        <v>34047</v>
      </c>
      <c r="B481" s="32">
        <v>766.42</v>
      </c>
      <c r="C481">
        <f t="shared" si="14"/>
        <v>1993</v>
      </c>
      <c r="H481" s="85">
        <v>41386</v>
      </c>
      <c r="I481">
        <v>1835.57</v>
      </c>
      <c r="N481" s="69">
        <v>42755</v>
      </c>
      <c r="O481">
        <v>553</v>
      </c>
      <c r="P481">
        <v>545.78</v>
      </c>
      <c r="Q481">
        <v>553.03</v>
      </c>
      <c r="R481">
        <v>544.85</v>
      </c>
      <c r="S481" s="3">
        <v>1E-4</v>
      </c>
      <c r="T481">
        <f t="shared" si="15"/>
        <v>2017</v>
      </c>
      <c r="W481" s="86">
        <v>41477</v>
      </c>
      <c r="X481">
        <v>500.45</v>
      </c>
    </row>
    <row r="482" spans="1:24">
      <c r="A482" s="68">
        <v>34048</v>
      </c>
      <c r="B482" s="33">
        <v>766.84</v>
      </c>
      <c r="C482">
        <f t="shared" si="14"/>
        <v>1993</v>
      </c>
      <c r="H482" s="85">
        <v>41387</v>
      </c>
      <c r="I482">
        <v>1841.14</v>
      </c>
      <c r="N482" s="69">
        <v>42754</v>
      </c>
      <c r="O482">
        <v>552.92999999999995</v>
      </c>
      <c r="P482">
        <v>544.66999999999996</v>
      </c>
      <c r="Q482">
        <v>553.49</v>
      </c>
      <c r="R482">
        <v>544.65</v>
      </c>
      <c r="S482" s="3">
        <v>5.8999999999999999E-3</v>
      </c>
      <c r="T482">
        <f t="shared" si="15"/>
        <v>2017</v>
      </c>
      <c r="W482" s="86">
        <v>41478</v>
      </c>
      <c r="X482">
        <v>500.45</v>
      </c>
    </row>
    <row r="483" spans="1:24">
      <c r="A483" s="68">
        <v>34049</v>
      </c>
      <c r="B483" s="32">
        <v>766.84</v>
      </c>
      <c r="C483">
        <f t="shared" si="14"/>
        <v>1993</v>
      </c>
      <c r="H483" s="85">
        <v>41388</v>
      </c>
      <c r="I483">
        <v>1838.03</v>
      </c>
      <c r="N483" s="69">
        <v>42753</v>
      </c>
      <c r="O483">
        <v>549.66999999999996</v>
      </c>
      <c r="P483">
        <v>547.53</v>
      </c>
      <c r="Q483">
        <v>553.27</v>
      </c>
      <c r="R483">
        <v>544.66999999999996</v>
      </c>
      <c r="S483" s="3">
        <v>-6.1999999999999998E-3</v>
      </c>
      <c r="T483">
        <f t="shared" si="15"/>
        <v>2017</v>
      </c>
      <c r="W483" s="86">
        <v>41479</v>
      </c>
      <c r="X483">
        <v>500.45</v>
      </c>
    </row>
    <row r="484" spans="1:24">
      <c r="A484" s="68">
        <v>34050</v>
      </c>
      <c r="B484" s="33">
        <v>766.84</v>
      </c>
      <c r="C484">
        <f t="shared" si="14"/>
        <v>1993</v>
      </c>
      <c r="H484" s="85">
        <v>41389</v>
      </c>
      <c r="I484">
        <v>1836.79</v>
      </c>
      <c r="N484" s="69">
        <v>42752</v>
      </c>
      <c r="O484">
        <v>553.08000000000004</v>
      </c>
      <c r="P484">
        <v>548.1</v>
      </c>
      <c r="Q484">
        <v>558.65</v>
      </c>
      <c r="R484">
        <v>544.89</v>
      </c>
      <c r="S484" s="3">
        <v>0</v>
      </c>
      <c r="T484">
        <f t="shared" si="15"/>
        <v>2017</v>
      </c>
      <c r="W484" s="86">
        <v>41480</v>
      </c>
      <c r="X484">
        <v>504.1</v>
      </c>
    </row>
    <row r="485" spans="1:24">
      <c r="A485" s="68">
        <v>34051</v>
      </c>
      <c r="B485" s="32">
        <v>766.84</v>
      </c>
      <c r="C485">
        <f t="shared" si="14"/>
        <v>1993</v>
      </c>
      <c r="H485" s="85">
        <v>41390</v>
      </c>
      <c r="I485">
        <v>1830.84</v>
      </c>
      <c r="N485" s="69">
        <v>42751</v>
      </c>
      <c r="O485">
        <v>553.1</v>
      </c>
      <c r="P485">
        <v>548.6</v>
      </c>
      <c r="Q485">
        <v>553.6</v>
      </c>
      <c r="R485">
        <v>544.51</v>
      </c>
      <c r="S485" s="3">
        <v>-8.9999999999999998E-4</v>
      </c>
      <c r="T485">
        <f t="shared" si="15"/>
        <v>2017</v>
      </c>
      <c r="W485" s="86">
        <v>41481</v>
      </c>
      <c r="X485">
        <v>504.1</v>
      </c>
    </row>
    <row r="486" spans="1:24">
      <c r="A486" s="68">
        <v>34052</v>
      </c>
      <c r="B486" s="33">
        <v>766.63</v>
      </c>
      <c r="C486">
        <f t="shared" si="14"/>
        <v>1993</v>
      </c>
      <c r="H486" s="85">
        <v>41391</v>
      </c>
      <c r="I486">
        <v>1833.7</v>
      </c>
      <c r="N486" s="69">
        <v>42748</v>
      </c>
      <c r="O486">
        <v>553.6</v>
      </c>
      <c r="P486">
        <v>549.1</v>
      </c>
      <c r="Q486">
        <v>554.1</v>
      </c>
      <c r="R486">
        <v>544.85</v>
      </c>
      <c r="S486" s="3">
        <v>-8.9999999999999998E-4</v>
      </c>
      <c r="T486">
        <f t="shared" si="15"/>
        <v>2017</v>
      </c>
      <c r="W486" s="86">
        <v>41484</v>
      </c>
      <c r="X486">
        <v>504.1</v>
      </c>
    </row>
    <row r="487" spans="1:24">
      <c r="A487" s="68">
        <v>34053</v>
      </c>
      <c r="B487" s="32">
        <v>766.91</v>
      </c>
      <c r="C487">
        <f t="shared" si="14"/>
        <v>1993</v>
      </c>
      <c r="H487" s="85">
        <v>41392</v>
      </c>
      <c r="I487">
        <v>1833.7</v>
      </c>
      <c r="N487" s="69">
        <v>42747</v>
      </c>
      <c r="O487">
        <v>554.1</v>
      </c>
      <c r="P487">
        <v>549.32000000000005</v>
      </c>
      <c r="Q487">
        <v>554.32000000000005</v>
      </c>
      <c r="R487">
        <v>544.4</v>
      </c>
      <c r="S487" s="3">
        <v>-4.0000000000000002E-4</v>
      </c>
      <c r="T487">
        <f t="shared" si="15"/>
        <v>2017</v>
      </c>
      <c r="W487" s="86">
        <v>41485</v>
      </c>
      <c r="X487">
        <v>504</v>
      </c>
    </row>
    <row r="488" spans="1:24">
      <c r="A488" s="68">
        <v>34054</v>
      </c>
      <c r="B488" s="33">
        <v>767.99</v>
      </c>
      <c r="C488">
        <f t="shared" si="14"/>
        <v>1993</v>
      </c>
      <c r="H488" s="85">
        <v>41393</v>
      </c>
      <c r="I488">
        <v>1833.7</v>
      </c>
      <c r="N488" s="69">
        <v>42746</v>
      </c>
      <c r="O488">
        <v>554.32000000000005</v>
      </c>
      <c r="P488">
        <v>549.38</v>
      </c>
      <c r="Q488">
        <v>558.65</v>
      </c>
      <c r="R488">
        <v>544.85</v>
      </c>
      <c r="S488" s="3">
        <v>-4.1000000000000003E-3</v>
      </c>
      <c r="T488">
        <f t="shared" si="15"/>
        <v>2017</v>
      </c>
      <c r="W488" s="86">
        <v>41486</v>
      </c>
      <c r="X488">
        <v>503.9</v>
      </c>
    </row>
    <row r="489" spans="1:24">
      <c r="A489" s="68">
        <v>34055</v>
      </c>
      <c r="B489" s="32">
        <v>767.4</v>
      </c>
      <c r="C489">
        <f t="shared" si="14"/>
        <v>1993</v>
      </c>
      <c r="H489" s="85">
        <v>41394</v>
      </c>
      <c r="I489">
        <v>1828.79</v>
      </c>
      <c r="N489" s="69">
        <v>42745</v>
      </c>
      <c r="O489">
        <v>556.58000000000004</v>
      </c>
      <c r="P489">
        <v>547.08000000000004</v>
      </c>
      <c r="Q489">
        <v>556.58000000000004</v>
      </c>
      <c r="R489">
        <v>542.52</v>
      </c>
      <c r="S489" s="3">
        <v>-4.0000000000000002E-4</v>
      </c>
      <c r="T489">
        <f t="shared" si="15"/>
        <v>2017</v>
      </c>
      <c r="W489" s="86">
        <v>41487</v>
      </c>
      <c r="X489">
        <v>503.8</v>
      </c>
    </row>
    <row r="490" spans="1:24">
      <c r="A490" s="68">
        <v>34056</v>
      </c>
      <c r="B490" s="33">
        <v>767.4</v>
      </c>
      <c r="C490">
        <f t="shared" si="14"/>
        <v>1993</v>
      </c>
      <c r="H490" s="85">
        <v>41395</v>
      </c>
      <c r="I490">
        <v>1825.83</v>
      </c>
      <c r="N490" s="69">
        <v>42744</v>
      </c>
      <c r="O490">
        <v>556.78</v>
      </c>
      <c r="P490">
        <v>546</v>
      </c>
      <c r="Q490">
        <v>556.78</v>
      </c>
      <c r="R490">
        <v>544.97</v>
      </c>
      <c r="S490" s="3">
        <v>1.0500000000000001E-2</v>
      </c>
      <c r="T490">
        <f t="shared" si="15"/>
        <v>2017</v>
      </c>
      <c r="W490" s="86">
        <v>41488</v>
      </c>
      <c r="X490">
        <v>503.6</v>
      </c>
    </row>
    <row r="491" spans="1:24">
      <c r="A491" s="68">
        <v>34057</v>
      </c>
      <c r="B491" s="32">
        <v>767.4</v>
      </c>
      <c r="C491">
        <f t="shared" si="14"/>
        <v>1993</v>
      </c>
      <c r="H491" s="85">
        <v>41396</v>
      </c>
      <c r="I491">
        <v>1825.83</v>
      </c>
      <c r="N491" s="69">
        <v>42741</v>
      </c>
      <c r="O491">
        <v>551</v>
      </c>
      <c r="P491">
        <v>548.78</v>
      </c>
      <c r="Q491">
        <v>559.49</v>
      </c>
      <c r="R491">
        <v>545.12</v>
      </c>
      <c r="S491" s="3">
        <v>-5.0000000000000001E-3</v>
      </c>
      <c r="T491">
        <f t="shared" si="15"/>
        <v>2017</v>
      </c>
      <c r="W491" s="86">
        <v>41491</v>
      </c>
      <c r="X491">
        <v>504</v>
      </c>
    </row>
    <row r="492" spans="1:24">
      <c r="A492" s="68">
        <v>34058</v>
      </c>
      <c r="B492" s="33">
        <v>766.79</v>
      </c>
      <c r="C492">
        <f t="shared" si="14"/>
        <v>1993</v>
      </c>
      <c r="H492" s="85">
        <v>41397</v>
      </c>
      <c r="I492">
        <v>1836.34</v>
      </c>
      <c r="N492" s="69">
        <v>42740</v>
      </c>
      <c r="O492">
        <v>553.78</v>
      </c>
      <c r="P492">
        <v>545.85</v>
      </c>
      <c r="Q492">
        <v>559.4</v>
      </c>
      <c r="R492">
        <v>540.39</v>
      </c>
      <c r="S492" s="3">
        <v>1.6000000000000001E-3</v>
      </c>
      <c r="T492">
        <f t="shared" si="15"/>
        <v>2017</v>
      </c>
      <c r="W492" s="86">
        <v>41492</v>
      </c>
      <c r="X492">
        <v>503.8</v>
      </c>
    </row>
    <row r="493" spans="1:24">
      <c r="A493" s="68">
        <v>34059</v>
      </c>
      <c r="B493" s="32">
        <v>766.41</v>
      </c>
      <c r="C493">
        <f t="shared" si="14"/>
        <v>1993</v>
      </c>
      <c r="H493" s="85">
        <v>41398</v>
      </c>
      <c r="I493">
        <v>1835.88</v>
      </c>
      <c r="N493" s="69">
        <v>42739</v>
      </c>
      <c r="O493">
        <v>552.9</v>
      </c>
      <c r="P493">
        <v>548.12</v>
      </c>
      <c r="Q493">
        <v>559.11</v>
      </c>
      <c r="R493">
        <v>544.96</v>
      </c>
      <c r="S493" s="3">
        <v>1E-4</v>
      </c>
      <c r="T493">
        <f t="shared" si="15"/>
        <v>2017</v>
      </c>
      <c r="W493" s="86">
        <v>41493</v>
      </c>
      <c r="X493">
        <v>503.5</v>
      </c>
    </row>
    <row r="494" spans="1:24">
      <c r="A494" s="68">
        <v>34060</v>
      </c>
      <c r="B494" s="33">
        <v>766.44</v>
      </c>
      <c r="C494">
        <f t="shared" si="14"/>
        <v>1993</v>
      </c>
      <c r="H494" s="85">
        <v>41399</v>
      </c>
      <c r="I494">
        <v>1835.88</v>
      </c>
      <c r="N494" s="69">
        <v>42738</v>
      </c>
      <c r="O494">
        <v>552.83000000000004</v>
      </c>
      <c r="P494">
        <v>548.17999999999995</v>
      </c>
      <c r="Q494">
        <v>552.83000000000004</v>
      </c>
      <c r="R494">
        <v>545.26</v>
      </c>
      <c r="S494" s="3">
        <v>-5.9999999999999995E-4</v>
      </c>
      <c r="T494">
        <f t="shared" si="15"/>
        <v>2017</v>
      </c>
      <c r="W494" s="86">
        <v>41494</v>
      </c>
      <c r="X494">
        <v>503.4</v>
      </c>
    </row>
    <row r="495" spans="1:24">
      <c r="A495" s="68">
        <v>34061</v>
      </c>
      <c r="B495" s="32">
        <v>767.98</v>
      </c>
      <c r="C495">
        <f t="shared" si="14"/>
        <v>1993</v>
      </c>
      <c r="H495" s="85">
        <v>41400</v>
      </c>
      <c r="I495">
        <v>1835.88</v>
      </c>
      <c r="N495" s="69">
        <v>42737</v>
      </c>
      <c r="O495">
        <v>553.17999999999995</v>
      </c>
      <c r="P495">
        <v>548.16999999999996</v>
      </c>
      <c r="Q495">
        <v>553.17999999999995</v>
      </c>
      <c r="R495">
        <v>545.27</v>
      </c>
      <c r="S495" s="3">
        <v>0</v>
      </c>
      <c r="T495">
        <f t="shared" si="15"/>
        <v>2017</v>
      </c>
      <c r="W495" s="86">
        <v>41495</v>
      </c>
      <c r="X495">
        <v>504.1</v>
      </c>
    </row>
    <row r="496" spans="1:24">
      <c r="A496" s="68">
        <v>34062</v>
      </c>
      <c r="B496" s="33">
        <v>768.46</v>
      </c>
      <c r="C496">
        <f t="shared" si="14"/>
        <v>1993</v>
      </c>
      <c r="H496" s="85">
        <v>41401</v>
      </c>
      <c r="I496">
        <v>1831.42</v>
      </c>
      <c r="N496" s="69">
        <v>42734</v>
      </c>
      <c r="O496">
        <v>553.16999999999996</v>
      </c>
      <c r="P496">
        <v>548.25</v>
      </c>
      <c r="Q496">
        <v>554.75</v>
      </c>
      <c r="R496">
        <v>540.99</v>
      </c>
      <c r="S496" s="3">
        <v>-2.0000000000000001E-4</v>
      </c>
      <c r="T496">
        <f t="shared" si="15"/>
        <v>2016</v>
      </c>
      <c r="U496" s="141">
        <f>(O496-O756)/O756</f>
        <v>2.7433135215453163E-2</v>
      </c>
      <c r="W496" s="86">
        <v>41498</v>
      </c>
      <c r="X496">
        <v>504</v>
      </c>
    </row>
    <row r="497" spans="1:24">
      <c r="A497" s="68">
        <v>34063</v>
      </c>
      <c r="B497" s="32">
        <v>768.46</v>
      </c>
      <c r="C497">
        <f t="shared" si="14"/>
        <v>1993</v>
      </c>
      <c r="H497" s="85">
        <v>41402</v>
      </c>
      <c r="I497">
        <v>1827.13</v>
      </c>
      <c r="N497" s="69">
        <v>42733</v>
      </c>
      <c r="O497">
        <v>553.26</v>
      </c>
      <c r="P497">
        <v>546</v>
      </c>
      <c r="Q497">
        <v>554.75</v>
      </c>
      <c r="R497">
        <v>545.15</v>
      </c>
      <c r="S497" s="3">
        <v>-1E-4</v>
      </c>
      <c r="T497">
        <f t="shared" si="15"/>
        <v>2016</v>
      </c>
      <c r="W497" s="86">
        <v>41499</v>
      </c>
      <c r="X497">
        <v>498.5</v>
      </c>
    </row>
    <row r="498" spans="1:24">
      <c r="A498" s="68">
        <v>34064</v>
      </c>
      <c r="B498" s="33">
        <v>768.46</v>
      </c>
      <c r="C498">
        <f t="shared" si="14"/>
        <v>1993</v>
      </c>
      <c r="H498" s="85">
        <v>41403</v>
      </c>
      <c r="I498">
        <v>1830.7</v>
      </c>
      <c r="N498" s="69">
        <v>42732</v>
      </c>
      <c r="O498">
        <v>553.29999999999995</v>
      </c>
      <c r="P498">
        <v>547.91999999999996</v>
      </c>
      <c r="Q498">
        <v>554.75</v>
      </c>
      <c r="R498">
        <v>544.67999999999995</v>
      </c>
      <c r="S498" s="3">
        <v>4.1999999999999997E-3</v>
      </c>
      <c r="T498">
        <f t="shared" si="15"/>
        <v>2016</v>
      </c>
      <c r="W498" s="86">
        <v>41500</v>
      </c>
      <c r="X498">
        <v>498.3</v>
      </c>
    </row>
    <row r="499" spans="1:24">
      <c r="A499" s="68">
        <v>34065</v>
      </c>
      <c r="B499" s="32">
        <v>768.31</v>
      </c>
      <c r="C499">
        <f t="shared" si="14"/>
        <v>1993</v>
      </c>
      <c r="H499" s="85">
        <v>41404</v>
      </c>
      <c r="I499">
        <v>1833.07</v>
      </c>
      <c r="N499" s="69">
        <v>42731</v>
      </c>
      <c r="O499">
        <v>551</v>
      </c>
      <c r="P499">
        <v>548.05999999999995</v>
      </c>
      <c r="Q499">
        <v>552.83000000000004</v>
      </c>
      <c r="R499">
        <v>544.67999999999995</v>
      </c>
      <c r="S499" s="3">
        <v>-3.7000000000000002E-3</v>
      </c>
      <c r="T499">
        <f t="shared" si="15"/>
        <v>2016</v>
      </c>
      <c r="W499" s="86">
        <v>41501</v>
      </c>
      <c r="X499">
        <v>504.5</v>
      </c>
    </row>
    <row r="500" spans="1:24">
      <c r="A500" s="68">
        <v>34066</v>
      </c>
      <c r="B500" s="33">
        <v>768.52</v>
      </c>
      <c r="C500">
        <f t="shared" si="14"/>
        <v>1993</v>
      </c>
      <c r="H500" s="85">
        <v>41405</v>
      </c>
      <c r="I500">
        <v>1834.83</v>
      </c>
      <c r="N500" s="69">
        <v>42730</v>
      </c>
      <c r="O500">
        <v>553.05999999999995</v>
      </c>
      <c r="P500">
        <v>549.04999999999995</v>
      </c>
      <c r="Q500">
        <v>554.04999999999995</v>
      </c>
      <c r="R500">
        <v>545.92999999999995</v>
      </c>
      <c r="S500" s="3">
        <v>-1.8E-3</v>
      </c>
      <c r="T500">
        <f t="shared" si="15"/>
        <v>2016</v>
      </c>
      <c r="W500" s="86">
        <v>41502</v>
      </c>
      <c r="X500">
        <v>504.6</v>
      </c>
    </row>
    <row r="501" spans="1:24">
      <c r="A501" s="68">
        <v>34067</v>
      </c>
      <c r="B501" s="32">
        <v>768.6</v>
      </c>
      <c r="C501">
        <f t="shared" si="14"/>
        <v>1993</v>
      </c>
      <c r="H501" s="85">
        <v>41406</v>
      </c>
      <c r="I501">
        <v>1834.83</v>
      </c>
      <c r="N501" s="69">
        <v>42727</v>
      </c>
      <c r="O501">
        <v>554.04999999999995</v>
      </c>
      <c r="P501">
        <v>548.29999999999995</v>
      </c>
      <c r="Q501">
        <v>554.75</v>
      </c>
      <c r="R501">
        <v>543</v>
      </c>
      <c r="S501" s="3">
        <v>1.4E-3</v>
      </c>
      <c r="T501">
        <f t="shared" si="15"/>
        <v>2016</v>
      </c>
      <c r="W501" s="86">
        <v>41505</v>
      </c>
      <c r="X501">
        <v>504.6</v>
      </c>
    </row>
    <row r="502" spans="1:24">
      <c r="A502" s="68">
        <v>34068</v>
      </c>
      <c r="B502" s="33">
        <v>768.6</v>
      </c>
      <c r="C502">
        <f t="shared" si="14"/>
        <v>1993</v>
      </c>
      <c r="H502" s="85">
        <v>41407</v>
      </c>
      <c r="I502">
        <v>1834.83</v>
      </c>
      <c r="N502" s="69">
        <v>42726</v>
      </c>
      <c r="O502">
        <v>553.29999999999995</v>
      </c>
      <c r="P502">
        <v>546</v>
      </c>
      <c r="Q502">
        <v>554.75</v>
      </c>
      <c r="R502">
        <v>544.48</v>
      </c>
      <c r="S502" s="3">
        <v>3.3999999999999998E-3</v>
      </c>
      <c r="T502">
        <f t="shared" si="15"/>
        <v>2016</v>
      </c>
      <c r="W502" s="86">
        <v>41506</v>
      </c>
      <c r="X502">
        <v>504.6</v>
      </c>
    </row>
    <row r="503" spans="1:24">
      <c r="A503" s="68">
        <v>34069</v>
      </c>
      <c r="B503" s="32">
        <v>768.6</v>
      </c>
      <c r="C503">
        <f t="shared" si="14"/>
        <v>1993</v>
      </c>
      <c r="H503" s="85">
        <v>41408</v>
      </c>
      <c r="I503">
        <v>1834.83</v>
      </c>
      <c r="N503" s="69">
        <v>42725</v>
      </c>
      <c r="O503">
        <v>551.4</v>
      </c>
      <c r="P503">
        <v>545.32000000000005</v>
      </c>
      <c r="Q503">
        <v>554.75</v>
      </c>
      <c r="R503">
        <v>545.32000000000005</v>
      </c>
      <c r="S503" s="3">
        <v>1.6999999999999999E-3</v>
      </c>
      <c r="T503">
        <f t="shared" si="15"/>
        <v>2016</v>
      </c>
      <c r="W503" s="86">
        <v>41507</v>
      </c>
      <c r="X503">
        <v>504.5</v>
      </c>
    </row>
    <row r="504" spans="1:24">
      <c r="A504" s="68">
        <v>34070</v>
      </c>
      <c r="B504" s="33">
        <v>768.6</v>
      </c>
      <c r="C504">
        <f t="shared" si="14"/>
        <v>1993</v>
      </c>
      <c r="H504" s="85">
        <v>41409</v>
      </c>
      <c r="I504">
        <v>1838.63</v>
      </c>
      <c r="N504" s="69">
        <v>42724</v>
      </c>
      <c r="O504">
        <v>550.45000000000005</v>
      </c>
      <c r="P504">
        <v>547.55999999999995</v>
      </c>
      <c r="Q504">
        <v>554.75</v>
      </c>
      <c r="R504">
        <v>545.04999999999995</v>
      </c>
      <c r="S504" s="3">
        <v>6.9999999999999999E-4</v>
      </c>
      <c r="T504">
        <f t="shared" si="15"/>
        <v>2016</v>
      </c>
      <c r="W504" s="86">
        <v>41508</v>
      </c>
      <c r="X504">
        <v>504.55</v>
      </c>
    </row>
    <row r="505" spans="1:24">
      <c r="A505" s="68">
        <v>34071</v>
      </c>
      <c r="B505" s="32">
        <v>768.6</v>
      </c>
      <c r="C505">
        <f t="shared" si="14"/>
        <v>1993</v>
      </c>
      <c r="H505" s="85">
        <v>41410</v>
      </c>
      <c r="I505">
        <v>1843.75</v>
      </c>
      <c r="N505" s="69">
        <v>42723</v>
      </c>
      <c r="O505">
        <v>550.05999999999995</v>
      </c>
      <c r="P505">
        <v>545.08000000000004</v>
      </c>
      <c r="Q505">
        <v>554.75</v>
      </c>
      <c r="R505">
        <v>543.35</v>
      </c>
      <c r="S505" s="3">
        <v>0</v>
      </c>
      <c r="T505">
        <f t="shared" si="15"/>
        <v>2016</v>
      </c>
      <c r="W505" s="86">
        <v>41509</v>
      </c>
      <c r="X505">
        <v>500.45</v>
      </c>
    </row>
    <row r="506" spans="1:24">
      <c r="A506" s="68">
        <v>34072</v>
      </c>
      <c r="B506" s="33">
        <v>769.34</v>
      </c>
      <c r="C506">
        <f t="shared" si="14"/>
        <v>1993</v>
      </c>
      <c r="H506" s="85">
        <v>41411</v>
      </c>
      <c r="I506">
        <v>1838.82</v>
      </c>
      <c r="N506" s="69">
        <v>42720</v>
      </c>
      <c r="O506">
        <v>550.08000000000004</v>
      </c>
      <c r="P506">
        <v>545.79</v>
      </c>
      <c r="Q506">
        <v>554.75</v>
      </c>
      <c r="R506">
        <v>545.08000000000004</v>
      </c>
      <c r="S506" s="3">
        <v>1E-4</v>
      </c>
      <c r="T506">
        <f t="shared" si="15"/>
        <v>2016</v>
      </c>
      <c r="W506" s="86">
        <v>41512</v>
      </c>
      <c r="X506">
        <v>504.6</v>
      </c>
    </row>
    <row r="507" spans="1:24">
      <c r="A507" s="68">
        <v>34073</v>
      </c>
      <c r="B507" s="32">
        <v>769.8</v>
      </c>
      <c r="C507">
        <f t="shared" si="14"/>
        <v>1993</v>
      </c>
      <c r="H507" s="85">
        <v>41412</v>
      </c>
      <c r="I507">
        <v>1841.35</v>
      </c>
      <c r="N507" s="69">
        <v>42719</v>
      </c>
      <c r="O507">
        <v>550.02</v>
      </c>
      <c r="P507">
        <v>552.1</v>
      </c>
      <c r="Q507">
        <v>559.51</v>
      </c>
      <c r="R507">
        <v>544.57000000000005</v>
      </c>
      <c r="S507" s="3">
        <v>-1E-4</v>
      </c>
      <c r="T507">
        <f t="shared" si="15"/>
        <v>2016</v>
      </c>
      <c r="W507" s="86">
        <v>41513</v>
      </c>
      <c r="X507">
        <v>504.6</v>
      </c>
    </row>
    <row r="508" spans="1:24">
      <c r="A508" s="68">
        <v>34074</v>
      </c>
      <c r="B508" s="33">
        <v>771.56</v>
      </c>
      <c r="C508">
        <f t="shared" si="14"/>
        <v>1993</v>
      </c>
      <c r="H508" s="85">
        <v>41413</v>
      </c>
      <c r="I508">
        <v>1841.35</v>
      </c>
      <c r="N508" s="69">
        <v>42718</v>
      </c>
      <c r="O508">
        <v>550.05999999999995</v>
      </c>
      <c r="P508">
        <v>545.07000000000005</v>
      </c>
      <c r="Q508">
        <v>554.75</v>
      </c>
      <c r="R508">
        <v>545.05999999999995</v>
      </c>
      <c r="S508" s="3">
        <v>-5.0000000000000001E-3</v>
      </c>
      <c r="T508">
        <f t="shared" si="15"/>
        <v>2016</v>
      </c>
      <c r="W508" s="86">
        <v>41514</v>
      </c>
      <c r="X508">
        <v>504.5</v>
      </c>
    </row>
    <row r="509" spans="1:24">
      <c r="A509" s="68">
        <v>34075</v>
      </c>
      <c r="B509" s="32">
        <v>772.71</v>
      </c>
      <c r="C509">
        <f t="shared" si="14"/>
        <v>1993</v>
      </c>
      <c r="H509" s="85">
        <v>41414</v>
      </c>
      <c r="I509">
        <v>1841.35</v>
      </c>
      <c r="N509" s="69">
        <v>42717</v>
      </c>
      <c r="O509">
        <v>552.83000000000004</v>
      </c>
      <c r="P509">
        <v>546</v>
      </c>
      <c r="Q509">
        <v>552.83000000000004</v>
      </c>
      <c r="R509">
        <v>543</v>
      </c>
      <c r="S509" s="3">
        <v>5.1000000000000004E-3</v>
      </c>
      <c r="T509">
        <f t="shared" si="15"/>
        <v>2016</v>
      </c>
      <c r="W509" s="86">
        <v>41515</v>
      </c>
      <c r="X509">
        <v>507</v>
      </c>
    </row>
    <row r="510" spans="1:24">
      <c r="A510" s="68">
        <v>34076</v>
      </c>
      <c r="B510" s="33">
        <v>773.22</v>
      </c>
      <c r="C510">
        <f t="shared" si="14"/>
        <v>1993</v>
      </c>
      <c r="H510" s="85">
        <v>41415</v>
      </c>
      <c r="I510">
        <v>1842.59</v>
      </c>
      <c r="N510" s="69">
        <v>42716</v>
      </c>
      <c r="O510">
        <v>550</v>
      </c>
      <c r="P510">
        <v>545.03</v>
      </c>
      <c r="Q510">
        <v>554.75</v>
      </c>
      <c r="R510">
        <v>544.67999999999995</v>
      </c>
      <c r="S510" s="3">
        <v>-1E-4</v>
      </c>
      <c r="T510">
        <f t="shared" si="15"/>
        <v>2016</v>
      </c>
      <c r="W510" s="86">
        <v>41516</v>
      </c>
      <c r="X510">
        <v>507.2</v>
      </c>
    </row>
    <row r="511" spans="1:24">
      <c r="A511" s="68">
        <v>34077</v>
      </c>
      <c r="B511" s="32">
        <v>773.22</v>
      </c>
      <c r="C511">
        <f t="shared" si="14"/>
        <v>1993</v>
      </c>
      <c r="H511" s="85">
        <v>41416</v>
      </c>
      <c r="I511">
        <v>1846.76</v>
      </c>
      <c r="N511" s="69">
        <v>42713</v>
      </c>
      <c r="O511">
        <v>550.03</v>
      </c>
      <c r="P511">
        <v>545.09</v>
      </c>
      <c r="Q511">
        <v>554.75</v>
      </c>
      <c r="R511">
        <v>545.03</v>
      </c>
      <c r="S511" s="3">
        <v>-5.1000000000000004E-3</v>
      </c>
      <c r="T511">
        <f t="shared" si="15"/>
        <v>2016</v>
      </c>
      <c r="W511" s="86">
        <v>41519</v>
      </c>
      <c r="X511">
        <v>507.3</v>
      </c>
    </row>
    <row r="512" spans="1:24">
      <c r="A512" s="68">
        <v>34078</v>
      </c>
      <c r="B512" s="33">
        <v>773.22</v>
      </c>
      <c r="C512">
        <f t="shared" si="14"/>
        <v>1993</v>
      </c>
      <c r="H512" s="85">
        <v>41417</v>
      </c>
      <c r="I512">
        <v>1850.55</v>
      </c>
      <c r="N512" s="69">
        <v>42712</v>
      </c>
      <c r="O512">
        <v>552.83000000000004</v>
      </c>
      <c r="P512">
        <v>546</v>
      </c>
      <c r="Q512">
        <v>552.83000000000004</v>
      </c>
      <c r="R512">
        <v>542.35</v>
      </c>
      <c r="S512" s="3">
        <v>4.8999999999999998E-3</v>
      </c>
      <c r="T512">
        <f t="shared" si="15"/>
        <v>2016</v>
      </c>
      <c r="W512" s="86">
        <v>41520</v>
      </c>
      <c r="X512">
        <v>511</v>
      </c>
    </row>
    <row r="513" spans="1:24">
      <c r="A513" s="68">
        <v>34079</v>
      </c>
      <c r="B513" s="32">
        <v>773.7</v>
      </c>
      <c r="C513">
        <f t="shared" si="14"/>
        <v>1993</v>
      </c>
      <c r="H513" s="85">
        <v>41418</v>
      </c>
      <c r="I513">
        <v>1864.02</v>
      </c>
      <c r="N513" s="69">
        <v>42711</v>
      </c>
      <c r="O513">
        <v>550.11</v>
      </c>
      <c r="P513">
        <v>546</v>
      </c>
      <c r="Q513">
        <v>554.75</v>
      </c>
      <c r="R513">
        <v>545.11</v>
      </c>
      <c r="S513" s="3">
        <v>-2.0000000000000001E-4</v>
      </c>
      <c r="T513">
        <f t="shared" si="15"/>
        <v>2016</v>
      </c>
      <c r="W513" s="86">
        <v>41521</v>
      </c>
      <c r="X513">
        <v>504.25</v>
      </c>
    </row>
    <row r="514" spans="1:24">
      <c r="A514" s="68">
        <v>34080</v>
      </c>
      <c r="B514" s="33">
        <v>773.97</v>
      </c>
      <c r="C514">
        <f t="shared" si="14"/>
        <v>1993</v>
      </c>
      <c r="H514" s="85">
        <v>41419</v>
      </c>
      <c r="I514">
        <v>1874.1</v>
      </c>
      <c r="N514" s="69">
        <v>42710</v>
      </c>
      <c r="O514">
        <v>550.20000000000005</v>
      </c>
      <c r="P514">
        <v>546.96</v>
      </c>
      <c r="Q514">
        <v>551.96</v>
      </c>
      <c r="R514">
        <v>543.48</v>
      </c>
      <c r="S514" s="3">
        <v>-4.7999999999999996E-3</v>
      </c>
      <c r="T514">
        <f t="shared" si="15"/>
        <v>2016</v>
      </c>
      <c r="W514" s="86">
        <v>41522</v>
      </c>
      <c r="X514">
        <v>508.5</v>
      </c>
    </row>
    <row r="515" spans="1:24">
      <c r="A515" s="68">
        <v>34081</v>
      </c>
      <c r="B515" s="32">
        <v>774.34</v>
      </c>
      <c r="C515">
        <f t="shared" si="14"/>
        <v>1993</v>
      </c>
      <c r="H515" s="85">
        <v>41420</v>
      </c>
      <c r="I515">
        <v>1874.1</v>
      </c>
      <c r="N515" s="69">
        <v>42709</v>
      </c>
      <c r="O515">
        <v>552.83000000000004</v>
      </c>
      <c r="P515">
        <v>545.15</v>
      </c>
      <c r="Q515">
        <v>553.80999999999995</v>
      </c>
      <c r="R515">
        <v>544.85</v>
      </c>
      <c r="S515" s="3">
        <v>4.8999999999999998E-3</v>
      </c>
      <c r="T515">
        <f t="shared" si="15"/>
        <v>2016</v>
      </c>
      <c r="W515" s="86">
        <v>41523</v>
      </c>
      <c r="X515">
        <v>507</v>
      </c>
    </row>
    <row r="516" spans="1:24">
      <c r="A516" s="68">
        <v>34082</v>
      </c>
      <c r="B516" s="33">
        <v>775.05</v>
      </c>
      <c r="C516">
        <f t="shared" ref="C516:C579" si="16">YEAR(A516)</f>
        <v>1993</v>
      </c>
      <c r="H516" s="85">
        <v>41421</v>
      </c>
      <c r="I516">
        <v>1874.1</v>
      </c>
      <c r="N516" s="69">
        <v>42706</v>
      </c>
      <c r="O516">
        <v>550.15</v>
      </c>
      <c r="P516">
        <v>545.5</v>
      </c>
      <c r="Q516">
        <v>553.75</v>
      </c>
      <c r="R516">
        <v>543.33000000000004</v>
      </c>
      <c r="S516" s="3">
        <v>-2.0000000000000001E-4</v>
      </c>
      <c r="T516">
        <f t="shared" ref="T516:T579" si="17">YEAR(N516)</f>
        <v>2016</v>
      </c>
      <c r="W516" s="86">
        <v>41526</v>
      </c>
      <c r="X516">
        <v>512.70000000000005</v>
      </c>
    </row>
    <row r="517" spans="1:24">
      <c r="A517" s="68">
        <v>34083</v>
      </c>
      <c r="B517" s="32">
        <v>775.32</v>
      </c>
      <c r="C517">
        <f t="shared" si="16"/>
        <v>1993</v>
      </c>
      <c r="H517" s="85">
        <v>41422</v>
      </c>
      <c r="I517">
        <v>1874.1</v>
      </c>
      <c r="N517" s="69">
        <v>42705</v>
      </c>
      <c r="O517">
        <v>550.25</v>
      </c>
      <c r="P517">
        <v>546.22</v>
      </c>
      <c r="Q517">
        <v>551.22</v>
      </c>
      <c r="R517">
        <v>544.79999999999995</v>
      </c>
      <c r="S517" s="3">
        <v>-3.7000000000000002E-3</v>
      </c>
      <c r="T517">
        <f t="shared" si="17"/>
        <v>2016</v>
      </c>
      <c r="W517" s="86">
        <v>41527</v>
      </c>
      <c r="X517">
        <v>507.1</v>
      </c>
    </row>
    <row r="518" spans="1:24">
      <c r="A518" s="68">
        <v>34084</v>
      </c>
      <c r="B518" s="33">
        <v>775.32</v>
      </c>
      <c r="C518">
        <f t="shared" si="16"/>
        <v>1993</v>
      </c>
      <c r="H518" s="85">
        <v>41423</v>
      </c>
      <c r="I518">
        <v>1897.1</v>
      </c>
      <c r="N518" s="69">
        <v>42704</v>
      </c>
      <c r="O518">
        <v>552.29999999999995</v>
      </c>
      <c r="P518">
        <v>545.48</v>
      </c>
      <c r="Q518">
        <v>553.4</v>
      </c>
      <c r="R518">
        <v>542.80999999999995</v>
      </c>
      <c r="S518" s="3">
        <v>-8.0000000000000004E-4</v>
      </c>
      <c r="T518">
        <f t="shared" si="17"/>
        <v>2016</v>
      </c>
      <c r="W518" s="86">
        <v>41528</v>
      </c>
      <c r="X518">
        <v>507</v>
      </c>
    </row>
    <row r="519" spans="1:24">
      <c r="A519" s="68">
        <v>34085</v>
      </c>
      <c r="B519" s="32">
        <v>775.32</v>
      </c>
      <c r="C519">
        <f t="shared" si="16"/>
        <v>1993</v>
      </c>
      <c r="H519" s="85">
        <v>41424</v>
      </c>
      <c r="I519">
        <v>1894.13</v>
      </c>
      <c r="N519" s="69">
        <v>42703</v>
      </c>
      <c r="O519">
        <v>552.75</v>
      </c>
      <c r="P519">
        <v>545.09</v>
      </c>
      <c r="Q519">
        <v>552.79999999999995</v>
      </c>
      <c r="R519">
        <v>542.85</v>
      </c>
      <c r="S519" s="3">
        <v>1.8E-3</v>
      </c>
      <c r="T519">
        <f t="shared" si="17"/>
        <v>2016</v>
      </c>
      <c r="W519" s="86">
        <v>41529</v>
      </c>
      <c r="X519">
        <v>504.6</v>
      </c>
    </row>
    <row r="520" spans="1:24">
      <c r="A520" s="68">
        <v>34086</v>
      </c>
      <c r="B520" s="33">
        <v>775.2</v>
      </c>
      <c r="C520">
        <f t="shared" si="16"/>
        <v>1993</v>
      </c>
      <c r="H520" s="85">
        <v>41425</v>
      </c>
      <c r="I520">
        <v>1891.48</v>
      </c>
      <c r="N520" s="69">
        <v>42702</v>
      </c>
      <c r="O520">
        <v>551.78</v>
      </c>
      <c r="P520">
        <v>547.04999999999995</v>
      </c>
      <c r="Q520">
        <v>554.9</v>
      </c>
      <c r="R520">
        <v>543.12</v>
      </c>
      <c r="S520" s="3">
        <v>-5.0000000000000001E-4</v>
      </c>
      <c r="T520">
        <f t="shared" si="17"/>
        <v>2016</v>
      </c>
      <c r="W520" s="86">
        <v>41530</v>
      </c>
      <c r="X520">
        <v>501.12</v>
      </c>
    </row>
    <row r="521" spans="1:24">
      <c r="A521" s="68">
        <v>34087</v>
      </c>
      <c r="B521" s="32">
        <v>774.52</v>
      </c>
      <c r="C521">
        <f t="shared" si="16"/>
        <v>1993</v>
      </c>
      <c r="H521" s="85">
        <v>41426</v>
      </c>
      <c r="I521">
        <v>1907.76</v>
      </c>
      <c r="N521" s="69">
        <v>42699</v>
      </c>
      <c r="O521">
        <v>552.04999999999995</v>
      </c>
      <c r="P521">
        <v>549.05999999999995</v>
      </c>
      <c r="Q521">
        <v>554.15</v>
      </c>
      <c r="R521">
        <v>545.82000000000005</v>
      </c>
      <c r="S521" s="3">
        <v>1.1000000000000001E-3</v>
      </c>
      <c r="T521">
        <f t="shared" si="17"/>
        <v>2016</v>
      </c>
      <c r="W521" s="86">
        <v>41533</v>
      </c>
      <c r="X521">
        <v>504.6</v>
      </c>
    </row>
    <row r="522" spans="1:24">
      <c r="A522" s="68">
        <v>34088</v>
      </c>
      <c r="B522" s="33">
        <v>773.78</v>
      </c>
      <c r="C522">
        <f t="shared" si="16"/>
        <v>1993</v>
      </c>
      <c r="H522" s="85">
        <v>41427</v>
      </c>
      <c r="I522">
        <v>1907.76</v>
      </c>
      <c r="N522" s="69">
        <v>42698</v>
      </c>
      <c r="O522">
        <v>551.45000000000005</v>
      </c>
      <c r="P522">
        <v>546.48</v>
      </c>
      <c r="Q522">
        <v>557.9</v>
      </c>
      <c r="R522">
        <v>545.86</v>
      </c>
      <c r="S522" s="3">
        <v>-1E-4</v>
      </c>
      <c r="T522">
        <f t="shared" si="17"/>
        <v>2016</v>
      </c>
      <c r="W522" s="86">
        <v>41534</v>
      </c>
      <c r="X522">
        <v>504.5</v>
      </c>
    </row>
    <row r="523" spans="1:24">
      <c r="A523" s="68">
        <v>34089</v>
      </c>
      <c r="B523" s="32">
        <v>774.94</v>
      </c>
      <c r="C523">
        <f t="shared" si="16"/>
        <v>1993</v>
      </c>
      <c r="H523" s="85">
        <v>41428</v>
      </c>
      <c r="I523">
        <v>1907.76</v>
      </c>
      <c r="N523" s="69">
        <v>42697</v>
      </c>
      <c r="O523">
        <v>551.5</v>
      </c>
      <c r="P523">
        <v>547.48</v>
      </c>
      <c r="Q523">
        <v>556.88</v>
      </c>
      <c r="R523">
        <v>545.17999999999995</v>
      </c>
      <c r="S523" s="3">
        <v>-5.1999999999999998E-3</v>
      </c>
      <c r="T523">
        <f t="shared" si="17"/>
        <v>2016</v>
      </c>
      <c r="W523" s="86">
        <v>41535</v>
      </c>
      <c r="X523">
        <v>501.3</v>
      </c>
    </row>
    <row r="524" spans="1:24">
      <c r="A524" s="68">
        <v>34090</v>
      </c>
      <c r="B524" s="33">
        <v>773.82</v>
      </c>
      <c r="C524">
        <f t="shared" si="16"/>
        <v>1993</v>
      </c>
      <c r="H524" s="85">
        <v>41429</v>
      </c>
      <c r="I524">
        <v>1907.76</v>
      </c>
      <c r="N524" s="69">
        <v>42696</v>
      </c>
      <c r="O524">
        <v>554.39</v>
      </c>
      <c r="P524">
        <v>548.03</v>
      </c>
      <c r="Q524">
        <v>554.39</v>
      </c>
      <c r="R524">
        <v>545.78</v>
      </c>
      <c r="S524" s="3">
        <v>2.5000000000000001E-3</v>
      </c>
      <c r="T524">
        <f t="shared" si="17"/>
        <v>2016</v>
      </c>
      <c r="W524" s="86">
        <v>41536</v>
      </c>
      <c r="X524">
        <v>505.1</v>
      </c>
    </row>
    <row r="525" spans="1:24">
      <c r="A525" s="68">
        <v>34091</v>
      </c>
      <c r="B525" s="32">
        <v>773.82</v>
      </c>
      <c r="C525">
        <f t="shared" si="16"/>
        <v>1993</v>
      </c>
      <c r="H525" s="85">
        <v>41430</v>
      </c>
      <c r="I525">
        <v>1894.4</v>
      </c>
      <c r="N525" s="69">
        <v>42695</v>
      </c>
      <c r="O525">
        <v>553.03</v>
      </c>
      <c r="P525">
        <v>546.33000000000004</v>
      </c>
      <c r="Q525">
        <v>556.61</v>
      </c>
      <c r="R525">
        <v>545.82000000000005</v>
      </c>
      <c r="S525" s="3">
        <v>3.0999999999999999E-3</v>
      </c>
      <c r="T525">
        <f t="shared" si="17"/>
        <v>2016</v>
      </c>
      <c r="W525" s="86">
        <v>41537</v>
      </c>
      <c r="X525">
        <v>499.82</v>
      </c>
    </row>
    <row r="526" spans="1:24">
      <c r="A526" s="68">
        <v>34092</v>
      </c>
      <c r="B526" s="33">
        <v>773.82</v>
      </c>
      <c r="C526">
        <f t="shared" si="16"/>
        <v>1993</v>
      </c>
      <c r="H526" s="85">
        <v>41431</v>
      </c>
      <c r="I526">
        <v>1899.08</v>
      </c>
      <c r="N526" s="69">
        <v>42692</v>
      </c>
      <c r="O526">
        <v>551.33000000000004</v>
      </c>
      <c r="P526">
        <v>549.08000000000004</v>
      </c>
      <c r="Q526">
        <v>557.77</v>
      </c>
      <c r="R526">
        <v>545.78</v>
      </c>
      <c r="S526" s="3">
        <v>-8.5000000000000006E-3</v>
      </c>
      <c r="T526">
        <f t="shared" si="17"/>
        <v>2016</v>
      </c>
      <c r="W526" s="86">
        <v>41540</v>
      </c>
      <c r="X526">
        <v>504.4</v>
      </c>
    </row>
    <row r="527" spans="1:24">
      <c r="A527" s="68">
        <v>34093</v>
      </c>
      <c r="B527" s="32">
        <v>775.53</v>
      </c>
      <c r="C527">
        <f t="shared" si="16"/>
        <v>1993</v>
      </c>
      <c r="H527" s="85">
        <v>41432</v>
      </c>
      <c r="I527">
        <v>1907.88</v>
      </c>
      <c r="N527" s="69">
        <v>42691</v>
      </c>
      <c r="O527">
        <v>556.04999999999995</v>
      </c>
      <c r="P527">
        <v>546.09</v>
      </c>
      <c r="Q527">
        <v>556.04999999999995</v>
      </c>
      <c r="R527">
        <v>545.82000000000005</v>
      </c>
      <c r="S527" s="3">
        <v>3.8E-3</v>
      </c>
      <c r="T527">
        <f t="shared" si="17"/>
        <v>2016</v>
      </c>
      <c r="W527" s="86">
        <v>41541</v>
      </c>
      <c r="X527">
        <v>504.3</v>
      </c>
    </row>
    <row r="528" spans="1:24">
      <c r="A528" s="68">
        <v>34094</v>
      </c>
      <c r="B528" s="33">
        <v>776.99</v>
      </c>
      <c r="C528">
        <f t="shared" si="16"/>
        <v>1993</v>
      </c>
      <c r="H528" s="85">
        <v>41433</v>
      </c>
      <c r="I528">
        <v>1898.8</v>
      </c>
      <c r="N528" s="69">
        <v>42690</v>
      </c>
      <c r="O528">
        <v>553.97</v>
      </c>
      <c r="P528">
        <v>548.74</v>
      </c>
      <c r="Q528">
        <v>554.54</v>
      </c>
      <c r="R528">
        <v>545.16999999999996</v>
      </c>
      <c r="S528" s="3">
        <v>4.4999999999999997E-3</v>
      </c>
      <c r="T528">
        <f t="shared" si="17"/>
        <v>2016</v>
      </c>
      <c r="W528" s="86">
        <v>41542</v>
      </c>
      <c r="X528">
        <v>506.6</v>
      </c>
    </row>
    <row r="529" spans="1:24">
      <c r="A529" s="68">
        <v>34095</v>
      </c>
      <c r="B529" s="32">
        <v>777.88</v>
      </c>
      <c r="C529">
        <f t="shared" si="16"/>
        <v>1993</v>
      </c>
      <c r="H529" s="85">
        <v>41434</v>
      </c>
      <c r="I529">
        <v>1898.8</v>
      </c>
      <c r="N529" s="69">
        <v>42689</v>
      </c>
      <c r="O529">
        <v>551.47</v>
      </c>
      <c r="P529">
        <v>549.41999999999996</v>
      </c>
      <c r="Q529">
        <v>554.41999999999996</v>
      </c>
      <c r="R529">
        <v>545.84</v>
      </c>
      <c r="S529" s="3">
        <v>-4.3E-3</v>
      </c>
      <c r="T529">
        <f t="shared" si="17"/>
        <v>2016</v>
      </c>
      <c r="W529" s="86">
        <v>41543</v>
      </c>
      <c r="X529">
        <v>504.55</v>
      </c>
    </row>
    <row r="530" spans="1:24">
      <c r="A530" s="68">
        <v>34096</v>
      </c>
      <c r="B530" s="33">
        <v>778.17</v>
      </c>
      <c r="C530">
        <f t="shared" si="16"/>
        <v>1993</v>
      </c>
      <c r="H530" s="85">
        <v>41435</v>
      </c>
      <c r="I530">
        <v>1898.8</v>
      </c>
      <c r="N530" s="69">
        <v>42688</v>
      </c>
      <c r="O530">
        <v>553.87</v>
      </c>
      <c r="P530">
        <v>549.33000000000004</v>
      </c>
      <c r="Q530">
        <v>556.23</v>
      </c>
      <c r="R530">
        <v>546.5</v>
      </c>
      <c r="S530" s="3">
        <v>-8.0000000000000004E-4</v>
      </c>
      <c r="T530">
        <f t="shared" si="17"/>
        <v>2016</v>
      </c>
      <c r="W530" s="86">
        <v>41544</v>
      </c>
      <c r="X530">
        <v>504.6</v>
      </c>
    </row>
    <row r="531" spans="1:24">
      <c r="A531" s="68">
        <v>34097</v>
      </c>
      <c r="B531" s="32">
        <v>777.17</v>
      </c>
      <c r="C531">
        <f t="shared" si="16"/>
        <v>1993</v>
      </c>
      <c r="H531" s="85">
        <v>41436</v>
      </c>
      <c r="I531">
        <v>1898.8</v>
      </c>
      <c r="N531" s="69">
        <v>42685</v>
      </c>
      <c r="O531">
        <v>554.33000000000004</v>
      </c>
      <c r="P531">
        <v>549</v>
      </c>
      <c r="Q531">
        <v>555.94000000000005</v>
      </c>
      <c r="R531">
        <v>546.83000000000004</v>
      </c>
      <c r="S531" s="3">
        <v>1E-3</v>
      </c>
      <c r="T531">
        <f t="shared" si="17"/>
        <v>2016</v>
      </c>
      <c r="W531" s="86">
        <v>41547</v>
      </c>
      <c r="X531">
        <v>504.55</v>
      </c>
    </row>
    <row r="532" spans="1:24">
      <c r="A532" s="68">
        <v>34098</v>
      </c>
      <c r="B532" s="33">
        <v>777.17</v>
      </c>
      <c r="C532">
        <f t="shared" si="16"/>
        <v>1993</v>
      </c>
      <c r="H532" s="85">
        <v>41437</v>
      </c>
      <c r="I532">
        <v>1907.12</v>
      </c>
      <c r="N532" s="69">
        <v>42684</v>
      </c>
      <c r="O532">
        <v>553.78</v>
      </c>
      <c r="P532">
        <v>548.65</v>
      </c>
      <c r="Q532">
        <v>554.46</v>
      </c>
      <c r="R532">
        <v>546.17999999999995</v>
      </c>
      <c r="S532" s="3">
        <v>5.9999999999999995E-4</v>
      </c>
      <c r="T532">
        <f t="shared" si="17"/>
        <v>2016</v>
      </c>
      <c r="W532" s="86">
        <v>41548</v>
      </c>
      <c r="X532">
        <v>504.55</v>
      </c>
    </row>
    <row r="533" spans="1:24">
      <c r="A533" s="68">
        <v>34099</v>
      </c>
      <c r="B533" s="32">
        <v>777.17</v>
      </c>
      <c r="C533">
        <f t="shared" si="16"/>
        <v>1993</v>
      </c>
      <c r="H533" s="85">
        <v>41438</v>
      </c>
      <c r="I533">
        <v>1897.53</v>
      </c>
      <c r="N533" s="69">
        <v>42683</v>
      </c>
      <c r="O533">
        <v>553.46</v>
      </c>
      <c r="P533">
        <v>548.67999999999995</v>
      </c>
      <c r="Q533">
        <v>554.02</v>
      </c>
      <c r="R533">
        <v>546.84</v>
      </c>
      <c r="S533" s="3">
        <v>-4.0000000000000002E-4</v>
      </c>
      <c r="T533">
        <f t="shared" si="17"/>
        <v>2016</v>
      </c>
      <c r="W533" s="86">
        <v>41549</v>
      </c>
      <c r="X533">
        <v>506.1</v>
      </c>
    </row>
    <row r="534" spans="1:24">
      <c r="A534" s="68">
        <v>34100</v>
      </c>
      <c r="B534" s="33">
        <v>777.75</v>
      </c>
      <c r="C534">
        <f t="shared" si="16"/>
        <v>1993</v>
      </c>
      <c r="H534" s="85">
        <v>41439</v>
      </c>
      <c r="I534">
        <v>1895.01</v>
      </c>
      <c r="N534" s="69">
        <v>42682</v>
      </c>
      <c r="O534">
        <v>553.67999999999995</v>
      </c>
      <c r="P534">
        <v>548.39</v>
      </c>
      <c r="Q534">
        <v>559.15</v>
      </c>
      <c r="R534">
        <v>547.36</v>
      </c>
      <c r="S534" s="3">
        <v>-5.3E-3</v>
      </c>
      <c r="T534">
        <f t="shared" si="17"/>
        <v>2016</v>
      </c>
      <c r="W534" s="86">
        <v>41550</v>
      </c>
      <c r="X534">
        <v>501.5</v>
      </c>
    </row>
    <row r="535" spans="1:24">
      <c r="A535" s="68">
        <v>34101</v>
      </c>
      <c r="B535" s="32">
        <v>779.41</v>
      </c>
      <c r="C535">
        <f t="shared" si="16"/>
        <v>1993</v>
      </c>
      <c r="H535" s="85">
        <v>41440</v>
      </c>
      <c r="I535">
        <v>1882.38</v>
      </c>
      <c r="N535" s="69">
        <v>42681</v>
      </c>
      <c r="O535">
        <v>556.61</v>
      </c>
      <c r="P535">
        <v>547.9</v>
      </c>
      <c r="Q535">
        <v>556.9</v>
      </c>
      <c r="R535">
        <v>547.33000000000004</v>
      </c>
      <c r="S535" s="3">
        <v>6.7999999999999996E-3</v>
      </c>
      <c r="T535">
        <f t="shared" si="17"/>
        <v>2016</v>
      </c>
      <c r="W535" s="86">
        <v>41551</v>
      </c>
      <c r="X535">
        <v>505</v>
      </c>
    </row>
    <row r="536" spans="1:24">
      <c r="A536" s="68">
        <v>34102</v>
      </c>
      <c r="B536" s="33">
        <v>780.49</v>
      </c>
      <c r="C536">
        <f t="shared" si="16"/>
        <v>1993</v>
      </c>
      <c r="H536" s="85">
        <v>41441</v>
      </c>
      <c r="I536">
        <v>1882.38</v>
      </c>
      <c r="N536" s="69">
        <v>42678</v>
      </c>
      <c r="O536">
        <v>552.85</v>
      </c>
      <c r="P536">
        <v>548.6</v>
      </c>
      <c r="Q536">
        <v>558.15</v>
      </c>
      <c r="R536">
        <v>546.87</v>
      </c>
      <c r="S536" s="3">
        <v>-5.5999999999999999E-3</v>
      </c>
      <c r="T536">
        <f t="shared" si="17"/>
        <v>2016</v>
      </c>
      <c r="W536" s="86">
        <v>41554</v>
      </c>
      <c r="X536">
        <v>499</v>
      </c>
    </row>
    <row r="537" spans="1:24">
      <c r="A537" s="68">
        <v>34103</v>
      </c>
      <c r="B537" s="32">
        <v>780.8</v>
      </c>
      <c r="C537">
        <f t="shared" si="16"/>
        <v>1993</v>
      </c>
      <c r="H537" s="85">
        <v>41442</v>
      </c>
      <c r="I537">
        <v>1882.38</v>
      </c>
      <c r="N537" s="69">
        <v>42677</v>
      </c>
      <c r="O537">
        <v>555.96</v>
      </c>
      <c r="P537">
        <v>548.84</v>
      </c>
      <c r="Q537">
        <v>555.96</v>
      </c>
      <c r="R537">
        <v>546.85</v>
      </c>
      <c r="S537" s="3">
        <v>6.3E-3</v>
      </c>
      <c r="T537">
        <f t="shared" si="17"/>
        <v>2016</v>
      </c>
      <c r="W537" s="86">
        <v>41555</v>
      </c>
      <c r="X537">
        <v>502.95</v>
      </c>
    </row>
    <row r="538" spans="1:24">
      <c r="A538" s="68">
        <v>34104</v>
      </c>
      <c r="B538" s="33">
        <v>780.79</v>
      </c>
      <c r="C538">
        <f t="shared" si="16"/>
        <v>1993</v>
      </c>
      <c r="H538" s="85">
        <v>41443</v>
      </c>
      <c r="I538">
        <v>1883.57</v>
      </c>
      <c r="N538" s="69">
        <v>42676</v>
      </c>
      <c r="O538">
        <v>552.47</v>
      </c>
      <c r="P538">
        <v>548.58000000000004</v>
      </c>
      <c r="Q538">
        <v>557.79999999999995</v>
      </c>
      <c r="R538">
        <v>546.15</v>
      </c>
      <c r="S538" s="3">
        <v>-5.4000000000000003E-3</v>
      </c>
      <c r="T538">
        <f t="shared" si="17"/>
        <v>2016</v>
      </c>
      <c r="W538" s="86">
        <v>41556</v>
      </c>
      <c r="X538">
        <v>507.1</v>
      </c>
    </row>
    <row r="539" spans="1:24">
      <c r="A539" s="68">
        <v>34105</v>
      </c>
      <c r="B539" s="32">
        <v>780.79</v>
      </c>
      <c r="C539">
        <f t="shared" si="16"/>
        <v>1993</v>
      </c>
      <c r="H539" s="85">
        <v>41444</v>
      </c>
      <c r="I539">
        <v>1902.47</v>
      </c>
      <c r="N539" s="69">
        <v>42675</v>
      </c>
      <c r="O539">
        <v>555.49</v>
      </c>
      <c r="P539">
        <v>547.27</v>
      </c>
      <c r="Q539">
        <v>555.49</v>
      </c>
      <c r="R539">
        <v>546.6</v>
      </c>
      <c r="S539" s="3">
        <v>5.7999999999999996E-3</v>
      </c>
      <c r="T539">
        <f t="shared" si="17"/>
        <v>2016</v>
      </c>
      <c r="W539" s="86">
        <v>41557</v>
      </c>
      <c r="X539">
        <v>507</v>
      </c>
    </row>
    <row r="540" spans="1:24">
      <c r="A540" s="68">
        <v>34106</v>
      </c>
      <c r="B540" s="33">
        <v>780.79</v>
      </c>
      <c r="C540">
        <f t="shared" si="16"/>
        <v>1993</v>
      </c>
      <c r="H540" s="85">
        <v>41445</v>
      </c>
      <c r="I540">
        <v>1900.87</v>
      </c>
      <c r="N540" s="69">
        <v>42674</v>
      </c>
      <c r="O540">
        <v>552.27</v>
      </c>
      <c r="P540">
        <v>547.54999999999995</v>
      </c>
      <c r="Q540">
        <v>557.9</v>
      </c>
      <c r="R540">
        <v>542.67999999999995</v>
      </c>
      <c r="S540" s="3">
        <v>-5.0000000000000001E-4</v>
      </c>
      <c r="T540">
        <f t="shared" si="17"/>
        <v>2016</v>
      </c>
      <c r="W540" s="86">
        <v>41558</v>
      </c>
      <c r="X540">
        <v>507.1</v>
      </c>
    </row>
    <row r="541" spans="1:24">
      <c r="A541" s="68">
        <v>34107</v>
      </c>
      <c r="B541" s="32">
        <v>781.42</v>
      </c>
      <c r="C541">
        <f t="shared" si="16"/>
        <v>1993</v>
      </c>
      <c r="H541" s="85">
        <v>41446</v>
      </c>
      <c r="I541">
        <v>1937.26</v>
      </c>
      <c r="N541" s="69">
        <v>42671</v>
      </c>
      <c r="O541">
        <v>552.54999999999995</v>
      </c>
      <c r="P541">
        <v>547.4</v>
      </c>
      <c r="Q541">
        <v>558</v>
      </c>
      <c r="R541">
        <v>544.83000000000004</v>
      </c>
      <c r="S541" s="3">
        <v>2.9999999999999997E-4</v>
      </c>
      <c r="T541">
        <f t="shared" si="17"/>
        <v>2016</v>
      </c>
      <c r="W541" s="86">
        <v>41561</v>
      </c>
      <c r="X541">
        <v>500.76</v>
      </c>
    </row>
    <row r="542" spans="1:24">
      <c r="A542" s="68">
        <v>34108</v>
      </c>
      <c r="B542" s="33">
        <v>781.8</v>
      </c>
      <c r="C542">
        <f t="shared" si="16"/>
        <v>1993</v>
      </c>
      <c r="H542" s="85">
        <v>41447</v>
      </c>
      <c r="I542">
        <v>1941.06</v>
      </c>
      <c r="N542" s="69">
        <v>42670</v>
      </c>
      <c r="O542">
        <v>552.4</v>
      </c>
      <c r="P542">
        <v>547.38</v>
      </c>
      <c r="Q542">
        <v>553.5</v>
      </c>
      <c r="R542">
        <v>547.38</v>
      </c>
      <c r="S542" s="3">
        <v>-5.7999999999999996E-3</v>
      </c>
      <c r="T542">
        <f t="shared" si="17"/>
        <v>2016</v>
      </c>
      <c r="W542" s="86">
        <v>41562</v>
      </c>
      <c r="X542">
        <v>499.35</v>
      </c>
    </row>
    <row r="543" spans="1:24">
      <c r="A543" s="68">
        <v>34109</v>
      </c>
      <c r="B543" s="32">
        <v>781.84</v>
      </c>
      <c r="C543">
        <f t="shared" si="16"/>
        <v>1993</v>
      </c>
      <c r="H543" s="85">
        <v>41448</v>
      </c>
      <c r="I543">
        <v>1941.06</v>
      </c>
      <c r="N543" s="69">
        <v>42669</v>
      </c>
      <c r="O543">
        <v>555.65</v>
      </c>
      <c r="P543">
        <v>547.83000000000004</v>
      </c>
      <c r="Q543">
        <v>556</v>
      </c>
      <c r="R543">
        <v>547.38</v>
      </c>
      <c r="S543" s="3">
        <v>5.1000000000000004E-3</v>
      </c>
      <c r="T543">
        <f t="shared" si="17"/>
        <v>2016</v>
      </c>
      <c r="W543" s="86">
        <v>41563</v>
      </c>
      <c r="X543">
        <v>499</v>
      </c>
    </row>
    <row r="544" spans="1:24">
      <c r="A544" s="68">
        <v>34110</v>
      </c>
      <c r="B544" s="33">
        <v>781.94</v>
      </c>
      <c r="C544">
        <f t="shared" si="16"/>
        <v>1993</v>
      </c>
      <c r="H544" s="85">
        <v>41449</v>
      </c>
      <c r="I544">
        <v>1941.06</v>
      </c>
      <c r="N544" s="69">
        <v>42668</v>
      </c>
      <c r="O544">
        <v>552.83000000000004</v>
      </c>
      <c r="P544">
        <v>547.23</v>
      </c>
      <c r="Q544">
        <v>558.1</v>
      </c>
      <c r="R544">
        <v>547.20000000000005</v>
      </c>
      <c r="S544" s="3">
        <v>1.1000000000000001E-3</v>
      </c>
      <c r="T544">
        <f t="shared" si="17"/>
        <v>2016</v>
      </c>
      <c r="W544" s="86">
        <v>41564</v>
      </c>
      <c r="X544">
        <v>499</v>
      </c>
    </row>
    <row r="545" spans="1:24">
      <c r="A545" s="68">
        <v>34111</v>
      </c>
      <c r="B545" s="32">
        <v>782</v>
      </c>
      <c r="C545">
        <f t="shared" si="16"/>
        <v>1993</v>
      </c>
      <c r="H545" s="85">
        <v>41450</v>
      </c>
      <c r="I545">
        <v>1942.97</v>
      </c>
      <c r="N545" s="69">
        <v>42667</v>
      </c>
      <c r="O545">
        <v>552.23</v>
      </c>
      <c r="P545">
        <v>547.25</v>
      </c>
      <c r="Q545">
        <v>557.45000000000005</v>
      </c>
      <c r="R545">
        <v>547.23</v>
      </c>
      <c r="S545" s="3">
        <v>0</v>
      </c>
      <c r="T545">
        <f t="shared" si="17"/>
        <v>2016</v>
      </c>
      <c r="W545" s="86">
        <v>41565</v>
      </c>
      <c r="X545">
        <v>498.9</v>
      </c>
    </row>
    <row r="546" spans="1:24">
      <c r="A546" s="68">
        <v>34112</v>
      </c>
      <c r="B546" s="33">
        <v>782</v>
      </c>
      <c r="C546">
        <f t="shared" si="16"/>
        <v>1993</v>
      </c>
      <c r="H546" s="85">
        <v>41451</v>
      </c>
      <c r="I546">
        <v>1928.27</v>
      </c>
      <c r="N546" s="69">
        <v>42664</v>
      </c>
      <c r="O546">
        <v>552.25</v>
      </c>
      <c r="P546">
        <v>548.25</v>
      </c>
      <c r="Q546">
        <v>557.45000000000005</v>
      </c>
      <c r="R546">
        <v>547.25</v>
      </c>
      <c r="S546" s="3">
        <v>0</v>
      </c>
      <c r="T546">
        <f t="shared" si="17"/>
        <v>2016</v>
      </c>
      <c r="W546" s="86">
        <v>41568</v>
      </c>
      <c r="X546">
        <v>498.5</v>
      </c>
    </row>
    <row r="547" spans="1:24">
      <c r="A547" s="68">
        <v>34113</v>
      </c>
      <c r="B547" s="32">
        <v>782</v>
      </c>
      <c r="C547">
        <f t="shared" si="16"/>
        <v>1993</v>
      </c>
      <c r="H547" s="85">
        <v>41452</v>
      </c>
      <c r="I547">
        <v>1921.86</v>
      </c>
      <c r="N547" s="69">
        <v>42663</v>
      </c>
      <c r="O547">
        <v>552.26</v>
      </c>
      <c r="P547">
        <v>547.32000000000005</v>
      </c>
      <c r="Q547">
        <v>557.45000000000005</v>
      </c>
      <c r="R547">
        <v>547.26</v>
      </c>
      <c r="S547" s="3">
        <v>-2.7000000000000001E-3</v>
      </c>
      <c r="T547">
        <f t="shared" si="17"/>
        <v>2016</v>
      </c>
      <c r="W547" s="86">
        <v>41569</v>
      </c>
      <c r="X547">
        <v>505</v>
      </c>
    </row>
    <row r="548" spans="1:24">
      <c r="A548" s="68">
        <v>34114</v>
      </c>
      <c r="B548" s="33">
        <v>782</v>
      </c>
      <c r="C548">
        <f t="shared" si="16"/>
        <v>1993</v>
      </c>
      <c r="H548" s="85">
        <v>41453</v>
      </c>
      <c r="I548">
        <v>1922.63</v>
      </c>
      <c r="N548" s="69">
        <v>42662</v>
      </c>
      <c r="O548">
        <v>553.75</v>
      </c>
      <c r="P548">
        <v>547.26</v>
      </c>
      <c r="Q548">
        <v>554.29999999999995</v>
      </c>
      <c r="R548">
        <v>547.26</v>
      </c>
      <c r="S548" s="3">
        <v>2.7000000000000001E-3</v>
      </c>
      <c r="T548">
        <f t="shared" si="17"/>
        <v>2016</v>
      </c>
      <c r="W548" s="86">
        <v>41570</v>
      </c>
      <c r="X548">
        <v>505</v>
      </c>
    </row>
    <row r="549" spans="1:24">
      <c r="A549" s="68">
        <v>34115</v>
      </c>
      <c r="B549" s="32">
        <v>783.15</v>
      </c>
      <c r="C549">
        <f t="shared" si="16"/>
        <v>1993</v>
      </c>
      <c r="H549" s="85">
        <v>41454</v>
      </c>
      <c r="I549">
        <v>1929</v>
      </c>
      <c r="N549" s="69">
        <v>42661</v>
      </c>
      <c r="O549">
        <v>552.26</v>
      </c>
      <c r="P549">
        <v>547.26</v>
      </c>
      <c r="Q549">
        <v>557.04999999999995</v>
      </c>
      <c r="R549">
        <v>547.25</v>
      </c>
      <c r="S549" s="3">
        <v>0</v>
      </c>
      <c r="T549">
        <f t="shared" si="17"/>
        <v>2016</v>
      </c>
      <c r="W549" s="86">
        <v>41571</v>
      </c>
      <c r="X549">
        <v>505</v>
      </c>
    </row>
    <row r="550" spans="1:24">
      <c r="A550" s="68">
        <v>34116</v>
      </c>
      <c r="B550" s="33">
        <v>782.85</v>
      </c>
      <c r="C550">
        <f t="shared" si="16"/>
        <v>1993</v>
      </c>
      <c r="H550" s="85">
        <v>41455</v>
      </c>
      <c r="I550">
        <v>1929</v>
      </c>
      <c r="N550" s="69">
        <v>42660</v>
      </c>
      <c r="O550">
        <v>552.26</v>
      </c>
      <c r="P550">
        <v>547.24</v>
      </c>
      <c r="Q550">
        <v>555.54</v>
      </c>
      <c r="R550">
        <v>547.20000000000005</v>
      </c>
      <c r="S550" s="3">
        <v>0</v>
      </c>
      <c r="T550">
        <f t="shared" si="17"/>
        <v>2016</v>
      </c>
      <c r="W550" s="86">
        <v>41572</v>
      </c>
      <c r="X550">
        <v>504.8</v>
      </c>
    </row>
    <row r="551" spans="1:24">
      <c r="A551" s="68">
        <v>34117</v>
      </c>
      <c r="B551" s="32">
        <v>780.78</v>
      </c>
      <c r="C551">
        <f t="shared" si="16"/>
        <v>1993</v>
      </c>
      <c r="H551" s="85">
        <v>41456</v>
      </c>
      <c r="I551">
        <v>1929</v>
      </c>
      <c r="N551" s="69">
        <v>42657</v>
      </c>
      <c r="O551">
        <v>552.24</v>
      </c>
      <c r="P551">
        <v>549.6</v>
      </c>
      <c r="Q551">
        <v>557.04999999999995</v>
      </c>
      <c r="R551">
        <v>547.19000000000005</v>
      </c>
      <c r="S551" s="3">
        <v>-4.7000000000000002E-3</v>
      </c>
      <c r="T551">
        <f t="shared" si="17"/>
        <v>2016</v>
      </c>
      <c r="W551" s="86">
        <v>41575</v>
      </c>
      <c r="X551">
        <v>504.7</v>
      </c>
    </row>
    <row r="552" spans="1:24">
      <c r="A552" s="68">
        <v>34118</v>
      </c>
      <c r="B552" s="33">
        <v>779.56</v>
      </c>
      <c r="C552">
        <f t="shared" si="16"/>
        <v>1993</v>
      </c>
      <c r="H552" s="85">
        <v>41457</v>
      </c>
      <c r="I552">
        <v>1929</v>
      </c>
      <c r="N552" s="69">
        <v>42656</v>
      </c>
      <c r="O552">
        <v>554.86</v>
      </c>
      <c r="P552">
        <v>550.20000000000005</v>
      </c>
      <c r="Q552">
        <v>554.86</v>
      </c>
      <c r="R552">
        <v>547.16</v>
      </c>
      <c r="S552" s="3">
        <v>-2.0000000000000001E-4</v>
      </c>
      <c r="T552">
        <f t="shared" si="17"/>
        <v>2016</v>
      </c>
      <c r="W552" s="86">
        <v>41576</v>
      </c>
      <c r="X552">
        <v>504.5</v>
      </c>
    </row>
    <row r="553" spans="1:24">
      <c r="A553" s="68">
        <v>34119</v>
      </c>
      <c r="B553" s="32">
        <v>779.56</v>
      </c>
      <c r="C553">
        <f t="shared" si="16"/>
        <v>1993</v>
      </c>
      <c r="H553" s="85">
        <v>41458</v>
      </c>
      <c r="I553">
        <v>1919.42</v>
      </c>
      <c r="N553" s="69">
        <v>42655</v>
      </c>
      <c r="O553">
        <v>554.95000000000005</v>
      </c>
      <c r="P553">
        <v>548.75</v>
      </c>
      <c r="Q553">
        <v>554.95000000000005</v>
      </c>
      <c r="R553">
        <v>547.15</v>
      </c>
      <c r="S553" s="3">
        <v>4.8999999999999998E-3</v>
      </c>
      <c r="T553">
        <f t="shared" si="17"/>
        <v>2016</v>
      </c>
      <c r="W553" s="86">
        <v>41577</v>
      </c>
      <c r="X553">
        <v>504.5</v>
      </c>
    </row>
    <row r="554" spans="1:24">
      <c r="A554" s="68">
        <v>34120</v>
      </c>
      <c r="B554" s="33">
        <v>779.56</v>
      </c>
      <c r="C554">
        <f t="shared" si="16"/>
        <v>1993</v>
      </c>
      <c r="H554" s="85">
        <v>41459</v>
      </c>
      <c r="I554">
        <v>1915.45</v>
      </c>
      <c r="N554" s="69">
        <v>42654</v>
      </c>
      <c r="O554">
        <v>552.22</v>
      </c>
      <c r="P554">
        <v>548.87</v>
      </c>
      <c r="Q554">
        <v>557</v>
      </c>
      <c r="R554">
        <v>546.1</v>
      </c>
      <c r="S554" s="3">
        <v>0</v>
      </c>
      <c r="T554">
        <f t="shared" si="17"/>
        <v>2016</v>
      </c>
      <c r="W554" s="86">
        <v>41578</v>
      </c>
      <c r="X554">
        <v>505.1</v>
      </c>
    </row>
    <row r="555" spans="1:24">
      <c r="A555" s="68">
        <v>34121</v>
      </c>
      <c r="B555" s="32">
        <v>779</v>
      </c>
      <c r="C555">
        <f t="shared" si="16"/>
        <v>1993</v>
      </c>
      <c r="H555" s="85">
        <v>41460</v>
      </c>
      <c r="I555">
        <v>1915.45</v>
      </c>
      <c r="N555" s="69">
        <v>42653</v>
      </c>
      <c r="O555">
        <v>552.21</v>
      </c>
      <c r="P555">
        <v>547.23</v>
      </c>
      <c r="Q555">
        <v>552.5</v>
      </c>
      <c r="R555">
        <v>544.54</v>
      </c>
      <c r="S555" s="3">
        <v>0</v>
      </c>
      <c r="T555">
        <f t="shared" si="17"/>
        <v>2016</v>
      </c>
      <c r="W555" s="86">
        <v>41579</v>
      </c>
      <c r="X555">
        <v>505</v>
      </c>
    </row>
    <row r="556" spans="1:24">
      <c r="A556" s="68">
        <v>34122</v>
      </c>
      <c r="B556" s="33">
        <v>779.01</v>
      </c>
      <c r="C556">
        <f t="shared" si="16"/>
        <v>1993</v>
      </c>
      <c r="H556" s="85">
        <v>41461</v>
      </c>
      <c r="I556">
        <v>1927.4</v>
      </c>
      <c r="N556" s="69">
        <v>42650</v>
      </c>
      <c r="O556">
        <v>552.23</v>
      </c>
      <c r="P556">
        <v>549.02</v>
      </c>
      <c r="Q556">
        <v>557.1</v>
      </c>
      <c r="R556">
        <v>546.22</v>
      </c>
      <c r="S556" s="3">
        <v>0</v>
      </c>
      <c r="T556">
        <f t="shared" si="17"/>
        <v>2016</v>
      </c>
      <c r="W556" s="86">
        <v>41582</v>
      </c>
      <c r="X556">
        <v>505</v>
      </c>
    </row>
    <row r="557" spans="1:24">
      <c r="A557" s="68">
        <v>34123</v>
      </c>
      <c r="B557" s="32">
        <v>777.82</v>
      </c>
      <c r="C557">
        <f t="shared" si="16"/>
        <v>1993</v>
      </c>
      <c r="H557" s="85">
        <v>41462</v>
      </c>
      <c r="I557">
        <v>1927.4</v>
      </c>
      <c r="N557" s="69">
        <v>42649</v>
      </c>
      <c r="O557">
        <v>552.23</v>
      </c>
      <c r="P557">
        <v>547.70000000000005</v>
      </c>
      <c r="Q557">
        <v>557.70000000000005</v>
      </c>
      <c r="R557">
        <v>546.35</v>
      </c>
      <c r="S557" s="3">
        <v>5.9999999999999995E-4</v>
      </c>
      <c r="T557">
        <f t="shared" si="17"/>
        <v>2016</v>
      </c>
      <c r="W557" s="86">
        <v>41583</v>
      </c>
      <c r="X557">
        <v>504.8</v>
      </c>
    </row>
    <row r="558" spans="1:24">
      <c r="A558" s="68">
        <v>34124</v>
      </c>
      <c r="B558" s="33">
        <v>778.12</v>
      </c>
      <c r="C558">
        <f t="shared" si="16"/>
        <v>1993</v>
      </c>
      <c r="H558" s="85">
        <v>41463</v>
      </c>
      <c r="I558">
        <v>1927.4</v>
      </c>
      <c r="N558" s="69">
        <v>42648</v>
      </c>
      <c r="O558">
        <v>551.91</v>
      </c>
      <c r="P558">
        <v>546.33000000000004</v>
      </c>
      <c r="Q558">
        <v>552</v>
      </c>
      <c r="R558">
        <v>546.33000000000004</v>
      </c>
      <c r="S558" s="3">
        <v>-4.7999999999999996E-3</v>
      </c>
      <c r="T558">
        <f t="shared" si="17"/>
        <v>2016</v>
      </c>
      <c r="W558" s="86">
        <v>41584</v>
      </c>
      <c r="X558">
        <v>504.7</v>
      </c>
    </row>
    <row r="559" spans="1:24">
      <c r="A559" s="68">
        <v>34125</v>
      </c>
      <c r="B559" s="32">
        <v>780.6</v>
      </c>
      <c r="C559">
        <f t="shared" si="16"/>
        <v>1993</v>
      </c>
      <c r="H559" s="85">
        <v>41464</v>
      </c>
      <c r="I559">
        <v>1926.84</v>
      </c>
      <c r="N559" s="69">
        <v>42647</v>
      </c>
      <c r="O559">
        <v>554.57000000000005</v>
      </c>
      <c r="P559">
        <v>546.35</v>
      </c>
      <c r="Q559">
        <v>554.57000000000005</v>
      </c>
      <c r="R559">
        <v>545.75</v>
      </c>
      <c r="S559" s="3">
        <v>5.7999999999999996E-3</v>
      </c>
      <c r="T559">
        <f t="shared" si="17"/>
        <v>2016</v>
      </c>
      <c r="W559" s="86">
        <v>41585</v>
      </c>
      <c r="X559">
        <v>504.55</v>
      </c>
    </row>
    <row r="560" spans="1:24">
      <c r="A560" s="68">
        <v>34126</v>
      </c>
      <c r="B560" s="33">
        <v>780.6</v>
      </c>
      <c r="C560">
        <f t="shared" si="16"/>
        <v>1993</v>
      </c>
      <c r="H560" s="85">
        <v>41465</v>
      </c>
      <c r="I560">
        <v>1920.12</v>
      </c>
      <c r="N560" s="69">
        <v>42646</v>
      </c>
      <c r="O560">
        <v>551.35</v>
      </c>
      <c r="P560">
        <v>546.33000000000004</v>
      </c>
      <c r="Q560">
        <v>552.5</v>
      </c>
      <c r="R560">
        <v>546.33000000000004</v>
      </c>
      <c r="S560" s="3">
        <v>0</v>
      </c>
      <c r="T560">
        <f t="shared" si="17"/>
        <v>2016</v>
      </c>
      <c r="W560" s="86">
        <v>41586</v>
      </c>
      <c r="X560">
        <v>504.5</v>
      </c>
    </row>
    <row r="561" spans="1:24">
      <c r="A561" s="68">
        <v>34127</v>
      </c>
      <c r="B561" s="32">
        <v>780.6</v>
      </c>
      <c r="C561">
        <f t="shared" si="16"/>
        <v>1993</v>
      </c>
      <c r="H561" s="85">
        <v>41466</v>
      </c>
      <c r="I561">
        <v>1920.24</v>
      </c>
      <c r="N561" s="69">
        <v>42643</v>
      </c>
      <c r="O561">
        <v>551.33000000000004</v>
      </c>
      <c r="P561">
        <v>548.58000000000004</v>
      </c>
      <c r="Q561">
        <v>556.04999999999995</v>
      </c>
      <c r="R561">
        <v>545.92999999999995</v>
      </c>
      <c r="S561" s="3">
        <v>-6.3E-3</v>
      </c>
      <c r="T561">
        <f t="shared" si="17"/>
        <v>2016</v>
      </c>
      <c r="W561" s="86">
        <v>41589</v>
      </c>
      <c r="X561">
        <v>504.5</v>
      </c>
    </row>
    <row r="562" spans="1:24">
      <c r="A562" s="68">
        <v>34128</v>
      </c>
      <c r="B562" s="33">
        <v>782.29</v>
      </c>
      <c r="C562">
        <f t="shared" si="16"/>
        <v>1993</v>
      </c>
      <c r="H562" s="85">
        <v>41467</v>
      </c>
      <c r="I562">
        <v>1910.79</v>
      </c>
      <c r="N562" s="69">
        <v>42642</v>
      </c>
      <c r="O562">
        <v>554.84</v>
      </c>
      <c r="P562">
        <v>547.5</v>
      </c>
      <c r="Q562">
        <v>554.84</v>
      </c>
      <c r="R562">
        <v>545.91999999999996</v>
      </c>
      <c r="S562" s="3">
        <v>7.1000000000000004E-3</v>
      </c>
      <c r="T562">
        <f t="shared" si="17"/>
        <v>2016</v>
      </c>
      <c r="W562" s="86">
        <v>41590</v>
      </c>
      <c r="X562">
        <v>500</v>
      </c>
    </row>
    <row r="563" spans="1:24">
      <c r="A563" s="68">
        <v>34129</v>
      </c>
      <c r="B563" s="32">
        <v>784.62</v>
      </c>
      <c r="C563">
        <f t="shared" si="16"/>
        <v>1993</v>
      </c>
      <c r="H563" s="85">
        <v>41468</v>
      </c>
      <c r="I563">
        <v>1905.25</v>
      </c>
      <c r="N563" s="69">
        <v>42641</v>
      </c>
      <c r="O563">
        <v>550.91999999999996</v>
      </c>
      <c r="P563">
        <v>545.97</v>
      </c>
      <c r="Q563">
        <v>557.15</v>
      </c>
      <c r="R563">
        <v>545.79999999999995</v>
      </c>
      <c r="S563" s="3">
        <v>-1E-4</v>
      </c>
      <c r="T563">
        <f t="shared" si="17"/>
        <v>2016</v>
      </c>
      <c r="W563" s="86">
        <v>41591</v>
      </c>
      <c r="X563">
        <v>504.5</v>
      </c>
    </row>
    <row r="564" spans="1:24">
      <c r="A564" s="68">
        <v>34130</v>
      </c>
      <c r="B564" s="33">
        <v>784.95</v>
      </c>
      <c r="C564">
        <f t="shared" si="16"/>
        <v>1993</v>
      </c>
      <c r="H564" s="85">
        <v>41469</v>
      </c>
      <c r="I564">
        <v>1905.25</v>
      </c>
      <c r="N564" s="69">
        <v>42640</v>
      </c>
      <c r="O564">
        <v>550.97</v>
      </c>
      <c r="P564">
        <v>545.91999999999996</v>
      </c>
      <c r="Q564">
        <v>556.5</v>
      </c>
      <c r="R564">
        <v>545.91999999999996</v>
      </c>
      <c r="S564" s="3">
        <v>1E-4</v>
      </c>
      <c r="T564">
        <f t="shared" si="17"/>
        <v>2016</v>
      </c>
      <c r="W564" s="86">
        <v>41592</v>
      </c>
      <c r="X564">
        <v>504.5</v>
      </c>
    </row>
    <row r="565" spans="1:24">
      <c r="A565" s="68">
        <v>34131</v>
      </c>
      <c r="B565" s="32">
        <v>785.79</v>
      </c>
      <c r="C565">
        <f t="shared" si="16"/>
        <v>1993</v>
      </c>
      <c r="H565" s="85">
        <v>41470</v>
      </c>
      <c r="I565">
        <v>1905.25</v>
      </c>
      <c r="N565" s="69">
        <v>42639</v>
      </c>
      <c r="O565">
        <v>550.91999999999996</v>
      </c>
      <c r="P565">
        <v>545.91999999999996</v>
      </c>
      <c r="Q565">
        <v>556.25</v>
      </c>
      <c r="R565">
        <v>545.84</v>
      </c>
      <c r="S565" s="3">
        <v>0</v>
      </c>
      <c r="T565">
        <f t="shared" si="17"/>
        <v>2016</v>
      </c>
      <c r="W565" s="86">
        <v>41593</v>
      </c>
      <c r="X565">
        <v>497.9</v>
      </c>
    </row>
    <row r="566" spans="1:24">
      <c r="A566" s="68">
        <v>34132</v>
      </c>
      <c r="B566" s="33">
        <v>784.8</v>
      </c>
      <c r="C566">
        <f t="shared" si="16"/>
        <v>1993</v>
      </c>
      <c r="H566" s="85">
        <v>41471</v>
      </c>
      <c r="I566">
        <v>1893.16</v>
      </c>
      <c r="N566" s="69">
        <v>42636</v>
      </c>
      <c r="O566">
        <v>550.91999999999996</v>
      </c>
      <c r="P566">
        <v>545.35</v>
      </c>
      <c r="Q566">
        <v>556.6</v>
      </c>
      <c r="R566">
        <v>545.35</v>
      </c>
      <c r="S566" s="3">
        <v>-5.4999999999999997E-3</v>
      </c>
      <c r="T566">
        <f t="shared" si="17"/>
        <v>2016</v>
      </c>
      <c r="W566" s="86">
        <v>41596</v>
      </c>
      <c r="X566">
        <v>497.7</v>
      </c>
    </row>
    <row r="567" spans="1:24">
      <c r="A567" s="68">
        <v>34133</v>
      </c>
      <c r="B567" s="32">
        <v>784.8</v>
      </c>
      <c r="C567">
        <f t="shared" si="16"/>
        <v>1993</v>
      </c>
      <c r="H567" s="85">
        <v>41472</v>
      </c>
      <c r="I567">
        <v>1878.42</v>
      </c>
      <c r="N567" s="69">
        <v>42635</v>
      </c>
      <c r="O567">
        <v>553.99</v>
      </c>
      <c r="P567">
        <v>545.17999999999995</v>
      </c>
      <c r="Q567">
        <v>553.99</v>
      </c>
      <c r="R567">
        <v>544.70000000000005</v>
      </c>
      <c r="S567" s="3">
        <v>2.9999999999999997E-4</v>
      </c>
      <c r="T567">
        <f t="shared" si="17"/>
        <v>2016</v>
      </c>
      <c r="W567" s="86">
        <v>41597</v>
      </c>
      <c r="X567">
        <v>498.9</v>
      </c>
    </row>
    <row r="568" spans="1:24">
      <c r="A568" s="68">
        <v>34134</v>
      </c>
      <c r="B568" s="33">
        <v>784.8</v>
      </c>
      <c r="C568">
        <f t="shared" si="16"/>
        <v>1993</v>
      </c>
      <c r="H568" s="85">
        <v>41473</v>
      </c>
      <c r="I568">
        <v>1873.25</v>
      </c>
      <c r="N568" s="69">
        <v>42634</v>
      </c>
      <c r="O568">
        <v>553.83000000000004</v>
      </c>
      <c r="P568">
        <v>547.5</v>
      </c>
      <c r="Q568">
        <v>553.83000000000004</v>
      </c>
      <c r="R568">
        <v>545.1</v>
      </c>
      <c r="S568" s="3">
        <v>6.7999999999999996E-3</v>
      </c>
      <c r="T568">
        <f t="shared" si="17"/>
        <v>2016</v>
      </c>
      <c r="W568" s="86">
        <v>41598</v>
      </c>
      <c r="X568">
        <v>498.8</v>
      </c>
    </row>
    <row r="569" spans="1:24">
      <c r="A569" s="68">
        <v>34135</v>
      </c>
      <c r="B569" s="32">
        <v>784.8</v>
      </c>
      <c r="C569">
        <f t="shared" si="16"/>
        <v>1993</v>
      </c>
      <c r="H569" s="85">
        <v>41474</v>
      </c>
      <c r="I569">
        <v>1883.29</v>
      </c>
      <c r="N569" s="69">
        <v>42633</v>
      </c>
      <c r="O569">
        <v>550.1</v>
      </c>
      <c r="P569">
        <v>545.25</v>
      </c>
      <c r="Q569">
        <v>554.4</v>
      </c>
      <c r="R569">
        <v>545.1</v>
      </c>
      <c r="S569" s="3">
        <v>-2.9999999999999997E-4</v>
      </c>
      <c r="T569">
        <f t="shared" si="17"/>
        <v>2016</v>
      </c>
      <c r="W569" s="86">
        <v>41599</v>
      </c>
      <c r="X569">
        <v>498.6</v>
      </c>
    </row>
    <row r="570" spans="1:24">
      <c r="A570" s="68">
        <v>34136</v>
      </c>
      <c r="B570" s="33">
        <v>785.9</v>
      </c>
      <c r="C570">
        <f t="shared" si="16"/>
        <v>1993</v>
      </c>
      <c r="H570" s="85">
        <v>41475</v>
      </c>
      <c r="I570">
        <v>1884.01</v>
      </c>
      <c r="N570" s="69">
        <v>42632</v>
      </c>
      <c r="O570">
        <v>550.25</v>
      </c>
      <c r="P570">
        <v>545.49</v>
      </c>
      <c r="Q570">
        <v>554.25</v>
      </c>
      <c r="R570">
        <v>545.25</v>
      </c>
      <c r="S570" s="3">
        <v>-4.0000000000000002E-4</v>
      </c>
      <c r="T570">
        <f t="shared" si="17"/>
        <v>2016</v>
      </c>
      <c r="W570" s="86">
        <v>41600</v>
      </c>
      <c r="X570">
        <v>498.5</v>
      </c>
    </row>
    <row r="571" spans="1:24">
      <c r="A571" s="68">
        <v>34137</v>
      </c>
      <c r="B571" s="32">
        <v>786.64</v>
      </c>
      <c r="C571">
        <f t="shared" si="16"/>
        <v>1993</v>
      </c>
      <c r="H571" s="85">
        <v>41476</v>
      </c>
      <c r="I571">
        <v>1884.01</v>
      </c>
      <c r="N571" s="69">
        <v>42629</v>
      </c>
      <c r="O571">
        <v>550.49</v>
      </c>
      <c r="P571">
        <v>545.49</v>
      </c>
      <c r="Q571">
        <v>554.5</v>
      </c>
      <c r="R571">
        <v>545.48</v>
      </c>
      <c r="S571" s="3">
        <v>0</v>
      </c>
      <c r="T571">
        <f t="shared" si="17"/>
        <v>2016</v>
      </c>
      <c r="W571" s="86">
        <v>41603</v>
      </c>
      <c r="X571">
        <v>498.4</v>
      </c>
    </row>
    <row r="572" spans="1:24">
      <c r="A572" s="68">
        <v>34138</v>
      </c>
      <c r="B572" s="33">
        <v>787.49</v>
      </c>
      <c r="C572">
        <f t="shared" si="16"/>
        <v>1993</v>
      </c>
      <c r="H572" s="85">
        <v>41477</v>
      </c>
      <c r="I572">
        <v>1884.01</v>
      </c>
      <c r="N572" s="69">
        <v>42628</v>
      </c>
      <c r="O572">
        <v>550.49</v>
      </c>
      <c r="P572">
        <v>546.16</v>
      </c>
      <c r="Q572">
        <v>554.5</v>
      </c>
      <c r="R572">
        <v>545.49</v>
      </c>
      <c r="S572" s="3">
        <v>-4.3E-3</v>
      </c>
      <c r="T572">
        <f t="shared" si="17"/>
        <v>2016</v>
      </c>
      <c r="W572" s="86">
        <v>41604</v>
      </c>
      <c r="X572">
        <v>498.3</v>
      </c>
    </row>
    <row r="573" spans="1:24">
      <c r="A573" s="68">
        <v>34139</v>
      </c>
      <c r="B573" s="32">
        <v>786.77</v>
      </c>
      <c r="C573">
        <f t="shared" si="16"/>
        <v>1993</v>
      </c>
      <c r="H573" s="85">
        <v>41478</v>
      </c>
      <c r="I573">
        <v>1880.87</v>
      </c>
      <c r="N573" s="69">
        <v>42627</v>
      </c>
      <c r="O573">
        <v>552.86</v>
      </c>
      <c r="P573">
        <v>546.5</v>
      </c>
      <c r="Q573">
        <v>554.11</v>
      </c>
      <c r="R573">
        <v>545.83000000000004</v>
      </c>
      <c r="S573" s="3">
        <v>2.5000000000000001E-3</v>
      </c>
      <c r="T573">
        <f t="shared" si="17"/>
        <v>2016</v>
      </c>
      <c r="W573" s="86">
        <v>41605</v>
      </c>
      <c r="X573">
        <v>498.8</v>
      </c>
    </row>
    <row r="574" spans="1:24">
      <c r="A574" s="68">
        <v>34140</v>
      </c>
      <c r="B574" s="33">
        <v>786.77</v>
      </c>
      <c r="C574">
        <f t="shared" si="16"/>
        <v>1993</v>
      </c>
      <c r="H574" s="85">
        <v>41479</v>
      </c>
      <c r="I574">
        <v>1886.06</v>
      </c>
      <c r="N574" s="69">
        <v>42626</v>
      </c>
      <c r="O574">
        <v>551.5</v>
      </c>
      <c r="P574">
        <v>546.37</v>
      </c>
      <c r="Q574">
        <v>554.95000000000005</v>
      </c>
      <c r="R574">
        <v>545.86</v>
      </c>
      <c r="S574" s="3">
        <v>2.0000000000000001E-4</v>
      </c>
      <c r="T574">
        <f t="shared" si="17"/>
        <v>2016</v>
      </c>
      <c r="W574" s="86">
        <v>41606</v>
      </c>
      <c r="X574">
        <v>488.95</v>
      </c>
    </row>
    <row r="575" spans="1:24">
      <c r="A575" s="68">
        <v>34141</v>
      </c>
      <c r="B575" s="32">
        <v>786.77</v>
      </c>
      <c r="C575">
        <f t="shared" si="16"/>
        <v>1993</v>
      </c>
      <c r="H575" s="85">
        <v>41480</v>
      </c>
      <c r="I575">
        <v>1891.02</v>
      </c>
      <c r="N575" s="69">
        <v>42625</v>
      </c>
      <c r="O575">
        <v>551.37</v>
      </c>
      <c r="P575">
        <v>546.35</v>
      </c>
      <c r="Q575">
        <v>556.15</v>
      </c>
      <c r="R575">
        <v>545.84</v>
      </c>
      <c r="S575" s="3">
        <v>0</v>
      </c>
      <c r="T575">
        <f t="shared" si="17"/>
        <v>2016</v>
      </c>
      <c r="W575" s="86">
        <v>41607</v>
      </c>
      <c r="X575">
        <v>498.4</v>
      </c>
    </row>
    <row r="576" spans="1:24">
      <c r="A576" s="68">
        <v>34142</v>
      </c>
      <c r="B576" s="33">
        <v>786.77</v>
      </c>
      <c r="C576">
        <f t="shared" si="16"/>
        <v>1993</v>
      </c>
      <c r="H576" s="85">
        <v>41481</v>
      </c>
      <c r="I576">
        <v>1887.4</v>
      </c>
      <c r="N576" s="69">
        <v>42622</v>
      </c>
      <c r="O576">
        <v>551.35</v>
      </c>
      <c r="P576">
        <v>546.20000000000005</v>
      </c>
      <c r="Q576">
        <v>556.1</v>
      </c>
      <c r="R576">
        <v>545.79999999999995</v>
      </c>
      <c r="S576" s="3">
        <v>-4.7000000000000002E-3</v>
      </c>
      <c r="T576">
        <f t="shared" si="17"/>
        <v>2016</v>
      </c>
      <c r="W576" s="86">
        <v>41610</v>
      </c>
      <c r="X576">
        <v>498.3</v>
      </c>
    </row>
    <row r="577" spans="1:24">
      <c r="A577" s="68">
        <v>34143</v>
      </c>
      <c r="B577" s="32">
        <v>787.06</v>
      </c>
      <c r="C577">
        <f t="shared" si="16"/>
        <v>1993</v>
      </c>
      <c r="H577" s="85">
        <v>41482</v>
      </c>
      <c r="I577">
        <v>1886.26</v>
      </c>
      <c r="N577" s="69">
        <v>42621</v>
      </c>
      <c r="O577">
        <v>553.97</v>
      </c>
      <c r="P577">
        <v>545.92999999999995</v>
      </c>
      <c r="Q577">
        <v>553.97</v>
      </c>
      <c r="R577">
        <v>545.34</v>
      </c>
      <c r="S577" s="3">
        <v>5.4999999999999997E-3</v>
      </c>
      <c r="T577">
        <f t="shared" si="17"/>
        <v>2016</v>
      </c>
      <c r="W577" s="86">
        <v>41611</v>
      </c>
      <c r="X577">
        <v>498.25</v>
      </c>
    </row>
    <row r="578" spans="1:24">
      <c r="A578" s="68">
        <v>34144</v>
      </c>
      <c r="B578" s="33">
        <v>786.42</v>
      </c>
      <c r="C578">
        <f t="shared" si="16"/>
        <v>1993</v>
      </c>
      <c r="H578" s="85">
        <v>41483</v>
      </c>
      <c r="I578">
        <v>1886.26</v>
      </c>
      <c r="N578" s="69">
        <v>42620</v>
      </c>
      <c r="O578">
        <v>550.92999999999995</v>
      </c>
      <c r="P578">
        <v>546</v>
      </c>
      <c r="Q578">
        <v>556.1</v>
      </c>
      <c r="R578">
        <v>545.83000000000004</v>
      </c>
      <c r="S578" s="3">
        <v>-4.5999999999999999E-3</v>
      </c>
      <c r="T578">
        <f t="shared" si="17"/>
        <v>2016</v>
      </c>
      <c r="W578" s="86">
        <v>41612</v>
      </c>
      <c r="X578">
        <v>498</v>
      </c>
    </row>
    <row r="579" spans="1:24">
      <c r="A579" s="68">
        <v>34145</v>
      </c>
      <c r="B579" s="32">
        <v>786.72</v>
      </c>
      <c r="C579">
        <f t="shared" si="16"/>
        <v>1993</v>
      </c>
      <c r="H579" s="85">
        <v>41484</v>
      </c>
      <c r="I579">
        <v>1886.26</v>
      </c>
      <c r="N579" s="69">
        <v>42619</v>
      </c>
      <c r="O579">
        <v>553.5</v>
      </c>
      <c r="P579">
        <v>545.99</v>
      </c>
      <c r="Q579">
        <v>553.5</v>
      </c>
      <c r="R579">
        <v>545</v>
      </c>
      <c r="S579" s="3">
        <v>4.5999999999999999E-3</v>
      </c>
      <c r="T579">
        <f t="shared" si="17"/>
        <v>2016</v>
      </c>
      <c r="W579" s="86">
        <v>41613</v>
      </c>
      <c r="X579">
        <v>497.8</v>
      </c>
    </row>
    <row r="580" spans="1:24">
      <c r="A580" s="68">
        <v>34146</v>
      </c>
      <c r="B580" s="33">
        <v>786.96</v>
      </c>
      <c r="C580">
        <f t="shared" ref="C580:C643" si="18">YEAR(A580)</f>
        <v>1993</v>
      </c>
      <c r="H580" s="85">
        <v>41485</v>
      </c>
      <c r="I580">
        <v>1888.95</v>
      </c>
      <c r="N580" s="69">
        <v>42618</v>
      </c>
      <c r="O580">
        <v>550.99</v>
      </c>
      <c r="P580">
        <v>545.99</v>
      </c>
      <c r="Q580">
        <v>553.47</v>
      </c>
      <c r="R580">
        <v>545.85</v>
      </c>
      <c r="S580" s="3">
        <v>0</v>
      </c>
      <c r="T580">
        <f t="shared" ref="T580:T643" si="19">YEAR(N580)</f>
        <v>2016</v>
      </c>
      <c r="W580" s="86">
        <v>41614</v>
      </c>
      <c r="X580">
        <v>497.6</v>
      </c>
    </row>
    <row r="581" spans="1:24">
      <c r="A581" s="68">
        <v>34147</v>
      </c>
      <c r="B581" s="32">
        <v>786.96</v>
      </c>
      <c r="C581">
        <f t="shared" si="18"/>
        <v>1993</v>
      </c>
      <c r="H581" s="85">
        <v>41486</v>
      </c>
      <c r="I581">
        <v>1890.33</v>
      </c>
      <c r="N581" s="69">
        <v>42615</v>
      </c>
      <c r="O581">
        <v>550.99</v>
      </c>
      <c r="P581">
        <v>546</v>
      </c>
      <c r="Q581">
        <v>552.25</v>
      </c>
      <c r="R581">
        <v>544.99</v>
      </c>
      <c r="S581" s="3">
        <v>-2.3E-3</v>
      </c>
      <c r="T581">
        <f t="shared" si="19"/>
        <v>2016</v>
      </c>
      <c r="W581" s="86">
        <v>41617</v>
      </c>
      <c r="X581">
        <v>497.55</v>
      </c>
    </row>
    <row r="582" spans="1:24">
      <c r="A582" s="68">
        <v>34148</v>
      </c>
      <c r="B582" s="33">
        <v>786.96</v>
      </c>
      <c r="C582">
        <f t="shared" si="18"/>
        <v>1993</v>
      </c>
      <c r="H582" s="85">
        <v>41487</v>
      </c>
      <c r="I582">
        <v>1896.15</v>
      </c>
      <c r="N582" s="69">
        <v>42614</v>
      </c>
      <c r="O582">
        <v>552.25</v>
      </c>
      <c r="P582">
        <v>545.98</v>
      </c>
      <c r="Q582">
        <v>552.5</v>
      </c>
      <c r="R582">
        <v>545.45000000000005</v>
      </c>
      <c r="S582" s="3">
        <v>2.3E-3</v>
      </c>
      <c r="T582">
        <f t="shared" si="19"/>
        <v>2016</v>
      </c>
      <c r="W582" s="86">
        <v>41618</v>
      </c>
      <c r="X582">
        <v>497.5</v>
      </c>
    </row>
    <row r="583" spans="1:24">
      <c r="A583" s="68">
        <v>34149</v>
      </c>
      <c r="B583" s="32">
        <v>786.8</v>
      </c>
      <c r="C583">
        <f t="shared" si="18"/>
        <v>1993</v>
      </c>
      <c r="H583" s="85">
        <v>41488</v>
      </c>
      <c r="I583">
        <v>1896.65</v>
      </c>
      <c r="N583" s="69">
        <v>42613</v>
      </c>
      <c r="O583">
        <v>550.98</v>
      </c>
      <c r="P583">
        <v>546.5</v>
      </c>
      <c r="Q583">
        <v>552.5</v>
      </c>
      <c r="R583">
        <v>545.83000000000004</v>
      </c>
      <c r="S583" s="3">
        <v>0</v>
      </c>
      <c r="T583">
        <f t="shared" si="19"/>
        <v>2016</v>
      </c>
      <c r="W583" s="86">
        <v>41619</v>
      </c>
      <c r="X583">
        <v>497.3</v>
      </c>
    </row>
    <row r="584" spans="1:24">
      <c r="A584" s="68">
        <v>34150</v>
      </c>
      <c r="B584" s="33">
        <v>787.12</v>
      </c>
      <c r="C584">
        <f t="shared" si="18"/>
        <v>1993</v>
      </c>
      <c r="H584" s="85">
        <v>41489</v>
      </c>
      <c r="I584">
        <v>1891.67</v>
      </c>
      <c r="N584" s="69">
        <v>42612</v>
      </c>
      <c r="O584">
        <v>551</v>
      </c>
      <c r="P584">
        <v>546.11</v>
      </c>
      <c r="Q584">
        <v>556.04999999999995</v>
      </c>
      <c r="R584">
        <v>545</v>
      </c>
      <c r="S584" s="3">
        <v>-2.0000000000000001E-4</v>
      </c>
      <c r="T584">
        <f t="shared" si="19"/>
        <v>2016</v>
      </c>
      <c r="W584" s="86">
        <v>41620</v>
      </c>
      <c r="X584">
        <v>497.2</v>
      </c>
    </row>
    <row r="585" spans="1:24">
      <c r="A585" s="68">
        <v>34151</v>
      </c>
      <c r="B585" s="32">
        <v>786.1</v>
      </c>
      <c r="C585">
        <f t="shared" si="18"/>
        <v>1993</v>
      </c>
      <c r="H585" s="85">
        <v>41490</v>
      </c>
      <c r="I585">
        <v>1891.67</v>
      </c>
      <c r="N585" s="69">
        <v>42611</v>
      </c>
      <c r="O585">
        <v>551.11</v>
      </c>
      <c r="P585">
        <v>546.02</v>
      </c>
      <c r="Q585">
        <v>555.35</v>
      </c>
      <c r="R585">
        <v>544.65</v>
      </c>
      <c r="S585" s="3">
        <v>2.0000000000000001E-4</v>
      </c>
      <c r="T585">
        <f t="shared" si="19"/>
        <v>2016</v>
      </c>
      <c r="W585" s="86">
        <v>41621</v>
      </c>
      <c r="X585">
        <v>497</v>
      </c>
    </row>
    <row r="586" spans="1:24">
      <c r="A586" s="68">
        <v>34152</v>
      </c>
      <c r="B586" s="33">
        <v>787.51</v>
      </c>
      <c r="C586">
        <f t="shared" si="18"/>
        <v>1993</v>
      </c>
      <c r="H586" s="85">
        <v>41491</v>
      </c>
      <c r="I586">
        <v>1891.67</v>
      </c>
      <c r="N586" s="69">
        <v>42608</v>
      </c>
      <c r="O586">
        <v>551.02</v>
      </c>
      <c r="P586">
        <v>545.85</v>
      </c>
      <c r="Q586">
        <v>555.35</v>
      </c>
      <c r="R586">
        <v>545</v>
      </c>
      <c r="S586" s="3">
        <v>1.8E-3</v>
      </c>
      <c r="T586">
        <f t="shared" si="19"/>
        <v>2016</v>
      </c>
      <c r="W586" s="86">
        <v>41624</v>
      </c>
      <c r="X586">
        <v>496.88</v>
      </c>
    </row>
    <row r="587" spans="1:24">
      <c r="A587" s="68">
        <v>34153</v>
      </c>
      <c r="B587" s="32">
        <v>788.65</v>
      </c>
      <c r="C587">
        <f t="shared" si="18"/>
        <v>1993</v>
      </c>
      <c r="H587" s="85">
        <v>41492</v>
      </c>
      <c r="I587">
        <v>1883.24</v>
      </c>
      <c r="N587" s="69">
        <v>42607</v>
      </c>
      <c r="O587">
        <v>550.02</v>
      </c>
      <c r="P587">
        <v>545.02</v>
      </c>
      <c r="Q587">
        <v>555.79999999999995</v>
      </c>
      <c r="R587">
        <v>544.85</v>
      </c>
      <c r="S587" s="3">
        <v>0</v>
      </c>
      <c r="T587">
        <f t="shared" si="19"/>
        <v>2016</v>
      </c>
      <c r="W587" s="86">
        <v>41625</v>
      </c>
      <c r="X587">
        <v>496.8</v>
      </c>
    </row>
    <row r="588" spans="1:24">
      <c r="A588" s="68">
        <v>34154</v>
      </c>
      <c r="B588" s="33">
        <v>788.65</v>
      </c>
      <c r="C588">
        <f t="shared" si="18"/>
        <v>1993</v>
      </c>
      <c r="H588" s="85">
        <v>41493</v>
      </c>
      <c r="I588">
        <v>1882.01</v>
      </c>
      <c r="N588" s="69">
        <v>42606</v>
      </c>
      <c r="O588">
        <v>550.02</v>
      </c>
      <c r="P588">
        <v>545.01</v>
      </c>
      <c r="Q588">
        <v>555.79999999999995</v>
      </c>
      <c r="R588">
        <v>544.58000000000004</v>
      </c>
      <c r="S588" s="3">
        <v>-2.8E-3</v>
      </c>
      <c r="T588">
        <f t="shared" si="19"/>
        <v>2016</v>
      </c>
      <c r="W588" s="86">
        <v>41626</v>
      </c>
      <c r="X588">
        <v>496.55</v>
      </c>
    </row>
    <row r="589" spans="1:24">
      <c r="A589" s="68">
        <v>34155</v>
      </c>
      <c r="B589" s="32">
        <v>788.65</v>
      </c>
      <c r="C589">
        <f t="shared" si="18"/>
        <v>1993</v>
      </c>
      <c r="H589" s="85">
        <v>41494</v>
      </c>
      <c r="I589">
        <v>1882.01</v>
      </c>
      <c r="N589" s="69">
        <v>42605</v>
      </c>
      <c r="O589">
        <v>551.57000000000005</v>
      </c>
      <c r="P589">
        <v>545.11</v>
      </c>
      <c r="Q589">
        <v>552.66</v>
      </c>
      <c r="R589">
        <v>544.12</v>
      </c>
      <c r="S589" s="3">
        <v>2.7000000000000001E-3</v>
      </c>
      <c r="T589">
        <f t="shared" si="19"/>
        <v>2016</v>
      </c>
      <c r="W589" s="86">
        <v>41627</v>
      </c>
      <c r="X589">
        <v>496.4</v>
      </c>
    </row>
    <row r="590" spans="1:24">
      <c r="A590" s="68">
        <v>34156</v>
      </c>
      <c r="B590" s="33">
        <v>788.65</v>
      </c>
      <c r="C590">
        <f t="shared" si="18"/>
        <v>1993</v>
      </c>
      <c r="H590" s="85">
        <v>41495</v>
      </c>
      <c r="I590">
        <v>1877.23</v>
      </c>
      <c r="N590" s="69">
        <v>42604</v>
      </c>
      <c r="O590">
        <v>550.11</v>
      </c>
      <c r="P590">
        <v>544.66</v>
      </c>
      <c r="Q590">
        <v>555.1</v>
      </c>
      <c r="R590">
        <v>544.66</v>
      </c>
      <c r="S590" s="3">
        <v>8.0000000000000004E-4</v>
      </c>
      <c r="T590">
        <f t="shared" si="19"/>
        <v>2016</v>
      </c>
      <c r="W590" s="86">
        <v>41628</v>
      </c>
      <c r="X590">
        <v>496.2</v>
      </c>
    </row>
    <row r="591" spans="1:24">
      <c r="A591" s="68">
        <v>34157</v>
      </c>
      <c r="B591" s="32">
        <v>789.47</v>
      </c>
      <c r="C591">
        <f t="shared" si="18"/>
        <v>1993</v>
      </c>
      <c r="H591" s="85">
        <v>41496</v>
      </c>
      <c r="I591">
        <v>1873.92</v>
      </c>
      <c r="N591" s="69">
        <v>42601</v>
      </c>
      <c r="O591">
        <v>549.66</v>
      </c>
      <c r="P591">
        <v>543.97</v>
      </c>
      <c r="Q591">
        <v>555.15</v>
      </c>
      <c r="R591">
        <v>543.97</v>
      </c>
      <c r="S591" s="3">
        <v>1.2999999999999999E-3</v>
      </c>
      <c r="T591">
        <f t="shared" si="19"/>
        <v>2016</v>
      </c>
      <c r="W591" s="86">
        <v>41631</v>
      </c>
      <c r="X591">
        <v>496</v>
      </c>
    </row>
    <row r="592" spans="1:24">
      <c r="A592" s="68">
        <v>34158</v>
      </c>
      <c r="B592" s="33">
        <v>790.58</v>
      </c>
      <c r="C592">
        <f t="shared" si="18"/>
        <v>1993</v>
      </c>
      <c r="H592" s="85">
        <v>41497</v>
      </c>
      <c r="I592">
        <v>1873.92</v>
      </c>
      <c r="N592" s="69">
        <v>42600</v>
      </c>
      <c r="O592">
        <v>548.97</v>
      </c>
      <c r="P592">
        <v>546.52</v>
      </c>
      <c r="Q592">
        <v>554.95000000000005</v>
      </c>
      <c r="R592">
        <v>543.92999999999995</v>
      </c>
      <c r="S592" s="3">
        <v>-5.4000000000000003E-3</v>
      </c>
      <c r="T592">
        <f t="shared" si="19"/>
        <v>2016</v>
      </c>
      <c r="W592" s="86">
        <v>41632</v>
      </c>
      <c r="X592">
        <v>495.9</v>
      </c>
    </row>
    <row r="593" spans="1:24">
      <c r="A593" s="68">
        <v>34159</v>
      </c>
      <c r="B593" s="32">
        <v>791.73</v>
      </c>
      <c r="C593">
        <f t="shared" si="18"/>
        <v>1993</v>
      </c>
      <c r="H593" s="85">
        <v>41498</v>
      </c>
      <c r="I593">
        <v>1873.92</v>
      </c>
      <c r="N593" s="69">
        <v>42599</v>
      </c>
      <c r="O593">
        <v>551.96</v>
      </c>
      <c r="P593">
        <v>545.5</v>
      </c>
      <c r="Q593">
        <v>552.21</v>
      </c>
      <c r="R593">
        <v>543.38</v>
      </c>
      <c r="S593" s="3">
        <v>6.3E-3</v>
      </c>
      <c r="T593">
        <f t="shared" si="19"/>
        <v>2016</v>
      </c>
      <c r="W593" s="86">
        <v>41633</v>
      </c>
      <c r="X593">
        <v>495.9</v>
      </c>
    </row>
    <row r="594" spans="1:24">
      <c r="A594" s="68">
        <v>34160</v>
      </c>
      <c r="B594" s="33">
        <v>793.18</v>
      </c>
      <c r="C594">
        <f t="shared" si="18"/>
        <v>1993</v>
      </c>
      <c r="H594" s="85">
        <v>41499</v>
      </c>
      <c r="I594">
        <v>1868.9</v>
      </c>
      <c r="N594" s="69">
        <v>42598</v>
      </c>
      <c r="O594">
        <v>548.5</v>
      </c>
      <c r="P594">
        <v>545.78</v>
      </c>
      <c r="Q594">
        <v>550.78</v>
      </c>
      <c r="R594">
        <v>543.38</v>
      </c>
      <c r="S594" s="3">
        <v>-4.7999999999999996E-3</v>
      </c>
      <c r="T594">
        <f t="shared" si="19"/>
        <v>2016</v>
      </c>
      <c r="W594" s="86">
        <v>41634</v>
      </c>
      <c r="X594">
        <v>500.9</v>
      </c>
    </row>
    <row r="595" spans="1:24">
      <c r="A595" s="68">
        <v>34161</v>
      </c>
      <c r="B595" s="32">
        <v>793.18</v>
      </c>
      <c r="C595">
        <f t="shared" si="18"/>
        <v>1993</v>
      </c>
      <c r="H595" s="85">
        <v>41500</v>
      </c>
      <c r="I595">
        <v>1882.36</v>
      </c>
      <c r="N595" s="69">
        <v>42597</v>
      </c>
      <c r="O595">
        <v>551.14</v>
      </c>
      <c r="P595">
        <v>543.64</v>
      </c>
      <c r="Q595">
        <v>552.24</v>
      </c>
      <c r="R595">
        <v>543.5</v>
      </c>
      <c r="S595" s="3">
        <v>1.1999999999999999E-3</v>
      </c>
      <c r="T595">
        <f t="shared" si="19"/>
        <v>2016</v>
      </c>
      <c r="W595" s="86">
        <v>41635</v>
      </c>
      <c r="X595">
        <v>500.75</v>
      </c>
    </row>
    <row r="596" spans="1:24">
      <c r="A596" s="68">
        <v>34162</v>
      </c>
      <c r="B596" s="33">
        <v>793.18</v>
      </c>
      <c r="C596">
        <f t="shared" si="18"/>
        <v>1993</v>
      </c>
      <c r="H596" s="85">
        <v>41501</v>
      </c>
      <c r="I596">
        <v>1883.15</v>
      </c>
      <c r="N596" s="69">
        <v>42594</v>
      </c>
      <c r="O596">
        <v>550.5</v>
      </c>
      <c r="P596">
        <v>547.79999999999995</v>
      </c>
      <c r="Q596">
        <v>552.79999999999995</v>
      </c>
      <c r="R596">
        <v>543.61</v>
      </c>
      <c r="S596" s="3">
        <v>-2E-3</v>
      </c>
      <c r="T596">
        <f t="shared" si="19"/>
        <v>2016</v>
      </c>
      <c r="W596" s="86">
        <v>41638</v>
      </c>
      <c r="X596">
        <v>500.7</v>
      </c>
    </row>
    <row r="597" spans="1:24">
      <c r="A597" s="68">
        <v>34163</v>
      </c>
      <c r="B597" s="32">
        <v>794.67</v>
      </c>
      <c r="C597">
        <f t="shared" si="18"/>
        <v>1993</v>
      </c>
      <c r="H597" s="85">
        <v>41502</v>
      </c>
      <c r="I597">
        <v>1901.03</v>
      </c>
      <c r="N597" s="69">
        <v>42593</v>
      </c>
      <c r="O597">
        <v>551.61</v>
      </c>
      <c r="P597">
        <v>544</v>
      </c>
      <c r="Q597">
        <v>552.20000000000005</v>
      </c>
      <c r="R597">
        <v>543.32000000000005</v>
      </c>
      <c r="S597" s="3">
        <v>5.4999999999999997E-3</v>
      </c>
      <c r="T597">
        <f t="shared" si="19"/>
        <v>2016</v>
      </c>
      <c r="W597" s="86">
        <v>41639</v>
      </c>
      <c r="X597">
        <v>500.65</v>
      </c>
    </row>
    <row r="598" spans="1:24">
      <c r="A598" s="68">
        <v>34164</v>
      </c>
      <c r="B598" s="33">
        <v>795.66</v>
      </c>
      <c r="C598">
        <f t="shared" si="18"/>
        <v>1993</v>
      </c>
      <c r="H598" s="85">
        <v>41503</v>
      </c>
      <c r="I598">
        <v>1907.06</v>
      </c>
      <c r="N598" s="69">
        <v>42592</v>
      </c>
      <c r="O598">
        <v>548.59</v>
      </c>
      <c r="P598">
        <v>543.22</v>
      </c>
      <c r="Q598">
        <v>554.5</v>
      </c>
      <c r="R598">
        <v>541.47</v>
      </c>
      <c r="S598" s="3">
        <v>6.9999999999999999E-4</v>
      </c>
      <c r="T598">
        <f t="shared" si="19"/>
        <v>2016</v>
      </c>
      <c r="W598" s="86">
        <v>41640</v>
      </c>
      <c r="X598">
        <v>500.65</v>
      </c>
    </row>
    <row r="599" spans="1:24">
      <c r="A599" s="68">
        <v>34165</v>
      </c>
      <c r="B599" s="32">
        <v>797</v>
      </c>
      <c r="C599">
        <f t="shared" si="18"/>
        <v>1993</v>
      </c>
      <c r="H599" s="85">
        <v>41504</v>
      </c>
      <c r="I599">
        <v>1907.06</v>
      </c>
      <c r="N599" s="69">
        <v>42591</v>
      </c>
      <c r="O599">
        <v>548.22</v>
      </c>
      <c r="P599">
        <v>543.30999999999995</v>
      </c>
      <c r="Q599">
        <v>554.5</v>
      </c>
      <c r="R599">
        <v>543.22</v>
      </c>
      <c r="S599" s="3">
        <v>-5.1999999999999998E-3</v>
      </c>
      <c r="T599">
        <f t="shared" si="19"/>
        <v>2016</v>
      </c>
      <c r="W599" s="86">
        <v>41641</v>
      </c>
      <c r="X599">
        <v>500.5</v>
      </c>
    </row>
    <row r="600" spans="1:24">
      <c r="A600" s="68">
        <v>34166</v>
      </c>
      <c r="B600" s="33">
        <v>797.06</v>
      </c>
      <c r="C600">
        <f t="shared" si="18"/>
        <v>1993</v>
      </c>
      <c r="H600" s="85">
        <v>41505</v>
      </c>
      <c r="I600">
        <v>1907.06</v>
      </c>
      <c r="N600" s="69">
        <v>42590</v>
      </c>
      <c r="O600">
        <v>551.05999999999995</v>
      </c>
      <c r="P600">
        <v>543.26</v>
      </c>
      <c r="Q600">
        <v>551.05999999999995</v>
      </c>
      <c r="R600">
        <v>543.26</v>
      </c>
      <c r="S600" s="3">
        <v>5.1000000000000004E-3</v>
      </c>
      <c r="T600">
        <f t="shared" si="19"/>
        <v>2016</v>
      </c>
      <c r="W600" s="86">
        <v>41642</v>
      </c>
      <c r="X600">
        <v>500.3</v>
      </c>
    </row>
    <row r="601" spans="1:24">
      <c r="A601" s="68">
        <v>34167</v>
      </c>
      <c r="B601" s="32">
        <v>797.31</v>
      </c>
      <c r="C601">
        <f t="shared" si="18"/>
        <v>1993</v>
      </c>
      <c r="H601" s="85">
        <v>41506</v>
      </c>
      <c r="I601">
        <v>1907.06</v>
      </c>
      <c r="N601" s="69">
        <v>42587</v>
      </c>
      <c r="O601">
        <v>548.26</v>
      </c>
      <c r="P601">
        <v>543.5</v>
      </c>
      <c r="Q601">
        <v>548.5</v>
      </c>
      <c r="R601">
        <v>542.79999999999995</v>
      </c>
      <c r="S601" s="3">
        <v>1E-4</v>
      </c>
      <c r="T601">
        <f t="shared" si="19"/>
        <v>2016</v>
      </c>
      <c r="W601" s="86">
        <v>41645</v>
      </c>
      <c r="X601">
        <v>500.8</v>
      </c>
    </row>
    <row r="602" spans="1:24">
      <c r="A602" s="68">
        <v>34168</v>
      </c>
      <c r="B602" s="33">
        <v>797.31</v>
      </c>
      <c r="C602">
        <f t="shared" si="18"/>
        <v>1993</v>
      </c>
      <c r="H602" s="85">
        <v>41507</v>
      </c>
      <c r="I602">
        <v>1922.73</v>
      </c>
      <c r="N602" s="69">
        <v>42586</v>
      </c>
      <c r="O602">
        <v>548.19000000000005</v>
      </c>
      <c r="P602">
        <v>546.66</v>
      </c>
      <c r="Q602">
        <v>551.66</v>
      </c>
      <c r="R602">
        <v>543.15</v>
      </c>
      <c r="S602" s="3">
        <v>0</v>
      </c>
      <c r="T602">
        <f t="shared" si="19"/>
        <v>2016</v>
      </c>
      <c r="W602" s="86">
        <v>41646</v>
      </c>
      <c r="X602">
        <v>500.6</v>
      </c>
    </row>
    <row r="603" spans="1:24">
      <c r="A603" s="68">
        <v>34169</v>
      </c>
      <c r="B603" s="32">
        <v>797.31</v>
      </c>
      <c r="C603">
        <f t="shared" si="18"/>
        <v>1993</v>
      </c>
      <c r="H603" s="85">
        <v>41508</v>
      </c>
      <c r="I603">
        <v>1929.75</v>
      </c>
      <c r="N603" s="69">
        <v>42585</v>
      </c>
      <c r="O603">
        <v>548.16999999999996</v>
      </c>
      <c r="P603">
        <v>544.25</v>
      </c>
      <c r="Q603">
        <v>553.20000000000005</v>
      </c>
      <c r="R603">
        <v>542.96</v>
      </c>
      <c r="S603" s="3">
        <v>0</v>
      </c>
      <c r="T603">
        <f t="shared" si="19"/>
        <v>2016</v>
      </c>
      <c r="W603" s="86">
        <v>41647</v>
      </c>
      <c r="X603">
        <v>500.5</v>
      </c>
    </row>
    <row r="604" spans="1:24">
      <c r="A604" s="68">
        <v>34170</v>
      </c>
      <c r="B604" s="33">
        <v>797.41</v>
      </c>
      <c r="C604">
        <f t="shared" si="18"/>
        <v>1993</v>
      </c>
      <c r="H604" s="85">
        <v>41509</v>
      </c>
      <c r="I604">
        <v>1921.99</v>
      </c>
      <c r="N604" s="69">
        <v>42584</v>
      </c>
      <c r="O604">
        <v>548.17999999999995</v>
      </c>
      <c r="P604">
        <v>544.5</v>
      </c>
      <c r="Q604">
        <v>550.4</v>
      </c>
      <c r="R604">
        <v>542.64</v>
      </c>
      <c r="S604" s="3">
        <v>-2.0000000000000001E-4</v>
      </c>
      <c r="T604">
        <f t="shared" si="19"/>
        <v>2016</v>
      </c>
      <c r="W604" s="86">
        <v>41648</v>
      </c>
      <c r="X604">
        <v>500.4</v>
      </c>
    </row>
    <row r="605" spans="1:24">
      <c r="A605" s="68">
        <v>34171</v>
      </c>
      <c r="B605" s="32">
        <v>797.41</v>
      </c>
      <c r="C605">
        <f t="shared" si="18"/>
        <v>1993</v>
      </c>
      <c r="H605" s="85">
        <v>41510</v>
      </c>
      <c r="I605">
        <v>1911.16</v>
      </c>
      <c r="N605" s="69">
        <v>42583</v>
      </c>
      <c r="O605">
        <v>548.28</v>
      </c>
      <c r="P605">
        <v>542.80999999999995</v>
      </c>
      <c r="Q605">
        <v>552.15</v>
      </c>
      <c r="R605">
        <v>542.80999999999995</v>
      </c>
      <c r="S605" s="3">
        <v>8.9999999999999998E-4</v>
      </c>
      <c r="T605">
        <f t="shared" si="19"/>
        <v>2016</v>
      </c>
      <c r="W605" s="86">
        <v>41649</v>
      </c>
      <c r="X605">
        <v>500.3</v>
      </c>
    </row>
    <row r="606" spans="1:24">
      <c r="A606" s="68">
        <v>34172</v>
      </c>
      <c r="B606" s="33">
        <v>797.63</v>
      </c>
      <c r="C606">
        <f t="shared" si="18"/>
        <v>1993</v>
      </c>
      <c r="H606" s="85">
        <v>41511</v>
      </c>
      <c r="I606">
        <v>1911.16</v>
      </c>
      <c r="N606" s="69">
        <v>42580</v>
      </c>
      <c r="O606">
        <v>547.80999999999995</v>
      </c>
      <c r="P606">
        <v>542</v>
      </c>
      <c r="Q606">
        <v>553.65</v>
      </c>
      <c r="R606">
        <v>541.28</v>
      </c>
      <c r="S606" s="3">
        <v>2.7000000000000001E-3</v>
      </c>
      <c r="T606">
        <f t="shared" si="19"/>
        <v>2016</v>
      </c>
      <c r="W606" s="86">
        <v>41652</v>
      </c>
      <c r="X606">
        <v>500</v>
      </c>
    </row>
    <row r="607" spans="1:24">
      <c r="A607" s="68">
        <v>34173</v>
      </c>
      <c r="B607" s="32">
        <v>798.17</v>
      </c>
      <c r="C607">
        <f t="shared" si="18"/>
        <v>1993</v>
      </c>
      <c r="H607" s="85">
        <v>41512</v>
      </c>
      <c r="I607">
        <v>1911.16</v>
      </c>
      <c r="N607" s="69">
        <v>42579</v>
      </c>
      <c r="O607">
        <v>546.30999999999995</v>
      </c>
      <c r="P607">
        <v>539.98</v>
      </c>
      <c r="Q607">
        <v>552.65</v>
      </c>
      <c r="R607">
        <v>539.98</v>
      </c>
      <c r="S607" s="3">
        <v>-2.0000000000000001E-4</v>
      </c>
      <c r="T607">
        <f t="shared" si="19"/>
        <v>2016</v>
      </c>
      <c r="W607" s="86">
        <v>41653</v>
      </c>
      <c r="X607">
        <v>499.8</v>
      </c>
    </row>
    <row r="608" spans="1:24">
      <c r="A608" s="68">
        <v>34174</v>
      </c>
      <c r="B608" s="33">
        <v>798.83</v>
      </c>
      <c r="C608">
        <f t="shared" si="18"/>
        <v>1993</v>
      </c>
      <c r="H608" s="85">
        <v>41513</v>
      </c>
      <c r="I608">
        <v>1922.96</v>
      </c>
      <c r="N608" s="69">
        <v>42578</v>
      </c>
      <c r="O608">
        <v>546.41999999999996</v>
      </c>
      <c r="P608">
        <v>541.36</v>
      </c>
      <c r="Q608">
        <v>550</v>
      </c>
      <c r="R608">
        <v>540.45000000000005</v>
      </c>
      <c r="S608" s="3">
        <v>-3.8E-3</v>
      </c>
      <c r="T608">
        <f t="shared" si="19"/>
        <v>2016</v>
      </c>
      <c r="W608" s="86">
        <v>41654</v>
      </c>
      <c r="X608">
        <v>499.6</v>
      </c>
    </row>
    <row r="609" spans="1:24">
      <c r="A609" s="68">
        <v>34175</v>
      </c>
      <c r="B609" s="32">
        <v>798.83</v>
      </c>
      <c r="C609">
        <f t="shared" si="18"/>
        <v>1993</v>
      </c>
      <c r="H609" s="85">
        <v>41514</v>
      </c>
      <c r="I609">
        <v>1938.26</v>
      </c>
      <c r="N609" s="69">
        <v>42577</v>
      </c>
      <c r="O609">
        <v>548.5</v>
      </c>
      <c r="P609">
        <v>540.96</v>
      </c>
      <c r="Q609">
        <v>548.70000000000005</v>
      </c>
      <c r="R609">
        <v>540.77</v>
      </c>
      <c r="S609" s="3">
        <v>4.4000000000000003E-3</v>
      </c>
      <c r="T609">
        <f t="shared" si="19"/>
        <v>2016</v>
      </c>
      <c r="W609" s="86">
        <v>41655</v>
      </c>
      <c r="X609">
        <v>499.5</v>
      </c>
    </row>
    <row r="610" spans="1:24">
      <c r="A610" s="68">
        <v>34176</v>
      </c>
      <c r="B610" s="33">
        <v>798.83</v>
      </c>
      <c r="C610">
        <f t="shared" si="18"/>
        <v>1993</v>
      </c>
      <c r="H610" s="85">
        <v>41515</v>
      </c>
      <c r="I610">
        <v>1939.85</v>
      </c>
      <c r="N610" s="69">
        <v>42576</v>
      </c>
      <c r="O610">
        <v>546.12</v>
      </c>
      <c r="P610">
        <v>541.41999999999996</v>
      </c>
      <c r="Q610">
        <v>550.6</v>
      </c>
      <c r="R610">
        <v>540.76</v>
      </c>
      <c r="S610" s="3">
        <v>-5.0000000000000001E-4</v>
      </c>
      <c r="T610">
        <f t="shared" si="19"/>
        <v>2016</v>
      </c>
      <c r="W610" s="86">
        <v>41656</v>
      </c>
      <c r="X610">
        <v>499</v>
      </c>
    </row>
    <row r="611" spans="1:24">
      <c r="A611" s="68">
        <v>34177</v>
      </c>
      <c r="B611" s="32">
        <v>799.17</v>
      </c>
      <c r="C611">
        <f t="shared" si="18"/>
        <v>1993</v>
      </c>
      <c r="H611" s="85">
        <v>41516</v>
      </c>
      <c r="I611">
        <v>1943.04</v>
      </c>
      <c r="N611" s="69">
        <v>42573</v>
      </c>
      <c r="O611">
        <v>546.41999999999996</v>
      </c>
      <c r="P611">
        <v>541.39</v>
      </c>
      <c r="Q611">
        <v>551.35</v>
      </c>
      <c r="R611">
        <v>540.65</v>
      </c>
      <c r="S611" s="3">
        <v>-5.7999999999999996E-3</v>
      </c>
      <c r="T611">
        <f t="shared" si="19"/>
        <v>2016</v>
      </c>
      <c r="W611" s="86">
        <v>41659</v>
      </c>
      <c r="X611">
        <v>500.2</v>
      </c>
    </row>
    <row r="612" spans="1:24">
      <c r="A612" s="68">
        <v>34178</v>
      </c>
      <c r="B612" s="33">
        <v>799.96</v>
      </c>
      <c r="C612">
        <f t="shared" si="18"/>
        <v>1993</v>
      </c>
      <c r="H612" s="85">
        <v>41517</v>
      </c>
      <c r="I612">
        <v>1935.43</v>
      </c>
      <c r="N612" s="69">
        <v>42572</v>
      </c>
      <c r="O612">
        <v>549.63</v>
      </c>
      <c r="P612">
        <v>541.38</v>
      </c>
      <c r="Q612">
        <v>549.63</v>
      </c>
      <c r="R612">
        <v>541.33000000000004</v>
      </c>
      <c r="S612" s="3">
        <v>1E-4</v>
      </c>
      <c r="T612">
        <f t="shared" si="19"/>
        <v>2016</v>
      </c>
      <c r="W612" s="86">
        <v>41660</v>
      </c>
      <c r="X612">
        <v>499.9</v>
      </c>
    </row>
    <row r="613" spans="1:24">
      <c r="A613" s="68">
        <v>34179</v>
      </c>
      <c r="B613" s="32">
        <v>800.42</v>
      </c>
      <c r="C613">
        <f t="shared" si="18"/>
        <v>1993</v>
      </c>
      <c r="H613" s="85">
        <v>41518</v>
      </c>
      <c r="I613">
        <v>1935.43</v>
      </c>
      <c r="N613" s="69">
        <v>42571</v>
      </c>
      <c r="O613">
        <v>549.58000000000004</v>
      </c>
      <c r="P613">
        <v>541.48</v>
      </c>
      <c r="Q613">
        <v>549.58000000000004</v>
      </c>
      <c r="R613">
        <v>541.33000000000004</v>
      </c>
      <c r="S613" s="3">
        <v>5.7000000000000002E-3</v>
      </c>
      <c r="T613">
        <f t="shared" si="19"/>
        <v>2016</v>
      </c>
      <c r="W613" s="86">
        <v>41661</v>
      </c>
      <c r="X613">
        <v>501.02</v>
      </c>
    </row>
    <row r="614" spans="1:24">
      <c r="A614" s="68">
        <v>34180</v>
      </c>
      <c r="B614" s="33">
        <v>801.04</v>
      </c>
      <c r="C614">
        <f t="shared" si="18"/>
        <v>1993</v>
      </c>
      <c r="H614" s="85">
        <v>41519</v>
      </c>
      <c r="I614">
        <v>1935.43</v>
      </c>
      <c r="N614" s="69">
        <v>42570</v>
      </c>
      <c r="O614">
        <v>546.48</v>
      </c>
      <c r="P614">
        <v>540.16</v>
      </c>
      <c r="Q614">
        <v>550</v>
      </c>
      <c r="R614">
        <v>540.16</v>
      </c>
      <c r="S614" s="3">
        <v>1E-4</v>
      </c>
      <c r="T614">
        <f t="shared" si="19"/>
        <v>2016</v>
      </c>
      <c r="W614" s="86">
        <v>41662</v>
      </c>
      <c r="X614">
        <v>500.7</v>
      </c>
    </row>
    <row r="615" spans="1:24">
      <c r="A615" s="68">
        <v>34181</v>
      </c>
      <c r="B615" s="32">
        <v>801.35</v>
      </c>
      <c r="C615">
        <f t="shared" si="18"/>
        <v>1993</v>
      </c>
      <c r="H615" s="85">
        <v>41520</v>
      </c>
      <c r="I615">
        <v>1935.43</v>
      </c>
      <c r="N615" s="69">
        <v>42569</v>
      </c>
      <c r="O615">
        <v>546.4</v>
      </c>
      <c r="P615">
        <v>541.51</v>
      </c>
      <c r="Q615">
        <v>550.48</v>
      </c>
      <c r="R615">
        <v>540.84</v>
      </c>
      <c r="S615" s="3">
        <v>-3.5999999999999999E-3</v>
      </c>
      <c r="T615">
        <f t="shared" si="19"/>
        <v>2016</v>
      </c>
      <c r="W615" s="86">
        <v>41663</v>
      </c>
      <c r="X615">
        <v>500.5</v>
      </c>
    </row>
    <row r="616" spans="1:24">
      <c r="A616" s="68">
        <v>34182</v>
      </c>
      <c r="B616" s="33">
        <v>801.35</v>
      </c>
      <c r="C616">
        <f t="shared" si="18"/>
        <v>1993</v>
      </c>
      <c r="H616" s="85">
        <v>41521</v>
      </c>
      <c r="I616">
        <v>1946.28</v>
      </c>
      <c r="N616" s="69">
        <v>42566</v>
      </c>
      <c r="O616">
        <v>548.38</v>
      </c>
      <c r="P616">
        <v>542.87</v>
      </c>
      <c r="Q616">
        <v>548.38</v>
      </c>
      <c r="R616">
        <v>541.5</v>
      </c>
      <c r="S616" s="3">
        <v>-1E-4</v>
      </c>
      <c r="T616">
        <f t="shared" si="19"/>
        <v>2016</v>
      </c>
      <c r="W616" s="86">
        <v>41666</v>
      </c>
      <c r="X616">
        <v>503.4</v>
      </c>
    </row>
    <row r="617" spans="1:24">
      <c r="A617" s="68">
        <v>34183</v>
      </c>
      <c r="B617" s="32">
        <v>801.35</v>
      </c>
      <c r="C617">
        <f t="shared" si="18"/>
        <v>1993</v>
      </c>
      <c r="H617" s="85">
        <v>41522</v>
      </c>
      <c r="I617">
        <v>1938.99</v>
      </c>
      <c r="N617" s="69">
        <v>42565</v>
      </c>
      <c r="O617">
        <v>548.42999999999995</v>
      </c>
      <c r="P617">
        <v>542.54999999999995</v>
      </c>
      <c r="Q617">
        <v>549.47</v>
      </c>
      <c r="R617">
        <v>541.67999999999995</v>
      </c>
      <c r="S617" s="3">
        <v>1.6000000000000001E-3</v>
      </c>
      <c r="T617">
        <f t="shared" si="19"/>
        <v>2016</v>
      </c>
      <c r="W617" s="86">
        <v>41667</v>
      </c>
      <c r="X617">
        <v>503.1</v>
      </c>
    </row>
    <row r="618" spans="1:24">
      <c r="A618" s="68">
        <v>34184</v>
      </c>
      <c r="B618" s="33">
        <v>801.15</v>
      </c>
      <c r="C618">
        <f t="shared" si="18"/>
        <v>1993</v>
      </c>
      <c r="H618" s="85">
        <v>41523</v>
      </c>
      <c r="I618">
        <v>1952.11</v>
      </c>
      <c r="N618" s="69">
        <v>42564</v>
      </c>
      <c r="O618">
        <v>547.54999999999995</v>
      </c>
      <c r="P618">
        <v>542.6</v>
      </c>
      <c r="Q618">
        <v>550.85</v>
      </c>
      <c r="R618">
        <v>540.92999999999995</v>
      </c>
      <c r="S618" s="3">
        <v>-1E-4</v>
      </c>
      <c r="T618">
        <f t="shared" si="19"/>
        <v>2016</v>
      </c>
      <c r="W618" s="86">
        <v>41668</v>
      </c>
      <c r="X618">
        <v>504</v>
      </c>
    </row>
    <row r="619" spans="1:24">
      <c r="A619" s="68">
        <v>34185</v>
      </c>
      <c r="B619" s="32">
        <v>801.86</v>
      </c>
      <c r="C619">
        <f t="shared" si="18"/>
        <v>1993</v>
      </c>
      <c r="H619" s="85">
        <v>41524</v>
      </c>
      <c r="I619">
        <v>1947.99</v>
      </c>
      <c r="N619" s="69">
        <v>42563</v>
      </c>
      <c r="O619">
        <v>547.6</v>
      </c>
      <c r="P619">
        <v>542.49</v>
      </c>
      <c r="Q619">
        <v>551.65</v>
      </c>
      <c r="R619">
        <v>541.86</v>
      </c>
      <c r="S619" s="3">
        <v>-3.5999999999999999E-3</v>
      </c>
      <c r="T619">
        <f t="shared" si="19"/>
        <v>2016</v>
      </c>
      <c r="W619" s="86">
        <v>41669</v>
      </c>
      <c r="X619">
        <v>510.5</v>
      </c>
    </row>
    <row r="620" spans="1:24">
      <c r="A620" s="68">
        <v>34186</v>
      </c>
      <c r="B620" s="33">
        <v>801.82</v>
      </c>
      <c r="C620">
        <f t="shared" si="18"/>
        <v>1993</v>
      </c>
      <c r="H620" s="85">
        <v>41525</v>
      </c>
      <c r="I620">
        <v>1947.99</v>
      </c>
      <c r="N620" s="69">
        <v>42562</v>
      </c>
      <c r="O620">
        <v>549.6</v>
      </c>
      <c r="P620">
        <v>542.16999999999996</v>
      </c>
      <c r="Q620">
        <v>549.75</v>
      </c>
      <c r="R620">
        <v>542.16999999999996</v>
      </c>
      <c r="S620" s="3">
        <v>-1E-4</v>
      </c>
      <c r="T620">
        <f t="shared" si="19"/>
        <v>2016</v>
      </c>
      <c r="W620" s="86">
        <v>41670</v>
      </c>
      <c r="X620">
        <v>510.3</v>
      </c>
    </row>
    <row r="621" spans="1:24">
      <c r="A621" s="68">
        <v>34187</v>
      </c>
      <c r="B621" s="32">
        <v>801.86</v>
      </c>
      <c r="C621">
        <f t="shared" si="18"/>
        <v>1993</v>
      </c>
      <c r="H621" s="85">
        <v>41526</v>
      </c>
      <c r="I621">
        <v>1947.99</v>
      </c>
      <c r="N621" s="69">
        <v>42559</v>
      </c>
      <c r="O621">
        <v>549.66</v>
      </c>
      <c r="P621">
        <v>542.1</v>
      </c>
      <c r="Q621">
        <v>549.72</v>
      </c>
      <c r="R621">
        <v>541.63</v>
      </c>
      <c r="S621" s="3">
        <v>2.0000000000000001E-4</v>
      </c>
      <c r="T621">
        <f t="shared" si="19"/>
        <v>2016</v>
      </c>
      <c r="W621" s="86">
        <v>41673</v>
      </c>
      <c r="X621">
        <v>510.2</v>
      </c>
    </row>
    <row r="622" spans="1:24">
      <c r="A622" s="68">
        <v>34188</v>
      </c>
      <c r="B622" s="33">
        <v>801.78</v>
      </c>
      <c r="C622">
        <f t="shared" si="18"/>
        <v>1993</v>
      </c>
      <c r="H622" s="85">
        <v>41527</v>
      </c>
      <c r="I622">
        <v>1946.06</v>
      </c>
      <c r="N622" s="69">
        <v>42558</v>
      </c>
      <c r="O622">
        <v>549.54</v>
      </c>
      <c r="P622">
        <v>545.13</v>
      </c>
      <c r="Q622">
        <v>549.54</v>
      </c>
      <c r="R622">
        <v>540.29999999999995</v>
      </c>
      <c r="S622" s="3">
        <v>-2.0999999999999999E-3</v>
      </c>
      <c r="T622">
        <f t="shared" si="19"/>
        <v>2016</v>
      </c>
      <c r="W622" s="86">
        <v>41674</v>
      </c>
      <c r="X622">
        <v>510.05</v>
      </c>
    </row>
    <row r="623" spans="1:24">
      <c r="A623" s="68">
        <v>34189</v>
      </c>
      <c r="B623" s="32">
        <v>801.78</v>
      </c>
      <c r="C623">
        <f t="shared" si="18"/>
        <v>1993</v>
      </c>
      <c r="H623" s="85">
        <v>41528</v>
      </c>
      <c r="I623">
        <v>1935.55</v>
      </c>
      <c r="N623" s="69">
        <v>42557</v>
      </c>
      <c r="O623">
        <v>550.72</v>
      </c>
      <c r="P623">
        <v>545.70000000000005</v>
      </c>
      <c r="Q623">
        <v>550.72</v>
      </c>
      <c r="R623">
        <v>540.82000000000005</v>
      </c>
      <c r="S623" s="3">
        <v>7.6E-3</v>
      </c>
      <c r="T623">
        <f t="shared" si="19"/>
        <v>2016</v>
      </c>
      <c r="W623" s="86">
        <v>41675</v>
      </c>
      <c r="X623">
        <v>510</v>
      </c>
    </row>
    <row r="624" spans="1:24">
      <c r="A624" s="68">
        <v>34190</v>
      </c>
      <c r="B624" s="33">
        <v>801.78</v>
      </c>
      <c r="C624">
        <f t="shared" si="18"/>
        <v>1993</v>
      </c>
      <c r="H624" s="85">
        <v>41529</v>
      </c>
      <c r="I624">
        <v>1923.64</v>
      </c>
      <c r="N624" s="69">
        <v>42556</v>
      </c>
      <c r="O624">
        <v>546.58000000000004</v>
      </c>
      <c r="P624">
        <v>540.4</v>
      </c>
      <c r="Q624">
        <v>546.75</v>
      </c>
      <c r="R624">
        <v>540.4</v>
      </c>
      <c r="S624" s="3">
        <v>0</v>
      </c>
      <c r="T624">
        <f t="shared" si="19"/>
        <v>2016</v>
      </c>
      <c r="W624" s="86">
        <v>41676</v>
      </c>
      <c r="X624">
        <v>509.9</v>
      </c>
    </row>
    <row r="625" spans="1:24">
      <c r="A625" s="68">
        <v>34191</v>
      </c>
      <c r="B625" s="32">
        <v>802.3</v>
      </c>
      <c r="C625">
        <f t="shared" si="18"/>
        <v>1993</v>
      </c>
      <c r="H625" s="85">
        <v>41530</v>
      </c>
      <c r="I625">
        <v>1919.25</v>
      </c>
      <c r="N625" s="69">
        <v>42555</v>
      </c>
      <c r="O625">
        <v>546.59</v>
      </c>
      <c r="P625">
        <v>541.59</v>
      </c>
      <c r="Q625">
        <v>546.75</v>
      </c>
      <c r="R625">
        <v>541.12</v>
      </c>
      <c r="S625" s="3">
        <v>0</v>
      </c>
      <c r="T625">
        <f t="shared" si="19"/>
        <v>2016</v>
      </c>
      <c r="W625" s="86">
        <v>41677</v>
      </c>
      <c r="X625">
        <v>509.6</v>
      </c>
    </row>
    <row r="626" spans="1:24">
      <c r="A626" s="68">
        <v>34192</v>
      </c>
      <c r="B626" s="33">
        <v>803.22</v>
      </c>
      <c r="C626">
        <f t="shared" si="18"/>
        <v>1993</v>
      </c>
      <c r="H626" s="85">
        <v>41531</v>
      </c>
      <c r="I626">
        <v>1919.54</v>
      </c>
      <c r="N626" s="69">
        <v>42552</v>
      </c>
      <c r="O626">
        <v>546.59</v>
      </c>
      <c r="P626">
        <v>541.66999999999996</v>
      </c>
      <c r="Q626">
        <v>551.05999999999995</v>
      </c>
      <c r="R626">
        <v>541.35</v>
      </c>
      <c r="S626" s="3">
        <v>-1E-4</v>
      </c>
      <c r="T626">
        <f t="shared" si="19"/>
        <v>2016</v>
      </c>
      <c r="W626" s="86">
        <v>41680</v>
      </c>
      <c r="X626">
        <v>509.5</v>
      </c>
    </row>
    <row r="627" spans="1:24">
      <c r="A627" s="68">
        <v>34193</v>
      </c>
      <c r="B627" s="32">
        <v>804.48</v>
      </c>
      <c r="C627">
        <f t="shared" si="18"/>
        <v>1993</v>
      </c>
      <c r="H627" s="85">
        <v>41532</v>
      </c>
      <c r="I627">
        <v>1919.54</v>
      </c>
      <c r="N627" s="69">
        <v>42551</v>
      </c>
      <c r="O627">
        <v>546.66999999999996</v>
      </c>
      <c r="P627">
        <v>542</v>
      </c>
      <c r="Q627">
        <v>552.15</v>
      </c>
      <c r="R627">
        <v>541.36</v>
      </c>
      <c r="S627" s="3">
        <v>1E-4</v>
      </c>
      <c r="T627">
        <f t="shared" si="19"/>
        <v>2016</v>
      </c>
      <c r="W627" s="86">
        <v>41681</v>
      </c>
      <c r="X627">
        <v>509.4</v>
      </c>
    </row>
    <row r="628" spans="1:24">
      <c r="A628" s="68">
        <v>34194</v>
      </c>
      <c r="B628" s="33">
        <v>804.93</v>
      </c>
      <c r="C628">
        <f t="shared" si="18"/>
        <v>1993</v>
      </c>
      <c r="H628" s="85">
        <v>41533</v>
      </c>
      <c r="I628">
        <v>1919.54</v>
      </c>
      <c r="N628" s="69">
        <v>42550</v>
      </c>
      <c r="O628">
        <v>546.63</v>
      </c>
      <c r="P628">
        <v>540.47</v>
      </c>
      <c r="Q628">
        <v>552.15</v>
      </c>
      <c r="R628">
        <v>539.87</v>
      </c>
      <c r="S628" s="3">
        <v>2.0999999999999999E-3</v>
      </c>
      <c r="T628">
        <f t="shared" si="19"/>
        <v>2016</v>
      </c>
      <c r="W628" s="86">
        <v>41682</v>
      </c>
      <c r="X628">
        <v>509.2</v>
      </c>
    </row>
    <row r="629" spans="1:24">
      <c r="A629" s="68">
        <v>34195</v>
      </c>
      <c r="B629" s="32">
        <v>804.51</v>
      </c>
      <c r="C629">
        <f t="shared" si="18"/>
        <v>1993</v>
      </c>
      <c r="H629" s="85">
        <v>41534</v>
      </c>
      <c r="I629">
        <v>1917.03</v>
      </c>
      <c r="N629" s="69">
        <v>42549</v>
      </c>
      <c r="O629">
        <v>545.47</v>
      </c>
      <c r="P629">
        <v>539.66999999999996</v>
      </c>
      <c r="Q629">
        <v>552.70000000000005</v>
      </c>
      <c r="R629">
        <v>539.66999999999996</v>
      </c>
      <c r="S629" s="3">
        <v>2.9999999999999997E-4</v>
      </c>
      <c r="T629">
        <f t="shared" si="19"/>
        <v>2016</v>
      </c>
      <c r="W629" s="86">
        <v>41683</v>
      </c>
      <c r="X629">
        <v>508.95</v>
      </c>
    </row>
    <row r="630" spans="1:24">
      <c r="A630" s="68">
        <v>34196</v>
      </c>
      <c r="B630" s="33">
        <v>804.51</v>
      </c>
      <c r="C630">
        <f t="shared" si="18"/>
        <v>1993</v>
      </c>
      <c r="H630" s="85">
        <v>41535</v>
      </c>
      <c r="I630">
        <v>1914.12</v>
      </c>
      <c r="N630" s="69">
        <v>42548</v>
      </c>
      <c r="O630">
        <v>545.33000000000004</v>
      </c>
      <c r="P630">
        <v>540.49</v>
      </c>
      <c r="Q630">
        <v>549.70000000000005</v>
      </c>
      <c r="R630">
        <v>539.36</v>
      </c>
      <c r="S630" s="3">
        <v>-2.9999999999999997E-4</v>
      </c>
      <c r="T630">
        <f t="shared" si="19"/>
        <v>2016</v>
      </c>
      <c r="W630" s="86">
        <v>41684</v>
      </c>
      <c r="X630">
        <v>508.9</v>
      </c>
    </row>
    <row r="631" spans="1:24">
      <c r="A631" s="68">
        <v>34197</v>
      </c>
      <c r="B631" s="32">
        <v>804.51</v>
      </c>
      <c r="C631">
        <f t="shared" si="18"/>
        <v>1993</v>
      </c>
      <c r="H631" s="85">
        <v>41536</v>
      </c>
      <c r="I631">
        <v>1911.3</v>
      </c>
      <c r="N631" s="69">
        <v>42545</v>
      </c>
      <c r="O631">
        <v>545.49</v>
      </c>
      <c r="P631">
        <v>540.13</v>
      </c>
      <c r="Q631">
        <v>550.25</v>
      </c>
      <c r="R631">
        <v>540</v>
      </c>
      <c r="S631" s="3">
        <v>6.9999999999999999E-4</v>
      </c>
      <c r="T631">
        <f t="shared" si="19"/>
        <v>2016</v>
      </c>
      <c r="W631" s="86">
        <v>41687</v>
      </c>
      <c r="X631">
        <v>508.7</v>
      </c>
    </row>
    <row r="632" spans="1:24">
      <c r="A632" s="68">
        <v>34198</v>
      </c>
      <c r="B632" s="33">
        <v>804.51</v>
      </c>
      <c r="C632">
        <f t="shared" si="18"/>
        <v>1993</v>
      </c>
      <c r="H632" s="85">
        <v>41537</v>
      </c>
      <c r="I632">
        <v>1887.3</v>
      </c>
      <c r="N632" s="69">
        <v>42544</v>
      </c>
      <c r="O632">
        <v>545.13</v>
      </c>
      <c r="P632">
        <v>540</v>
      </c>
      <c r="Q632">
        <v>550.79999999999995</v>
      </c>
      <c r="R632">
        <v>539.33000000000004</v>
      </c>
      <c r="S632" s="3">
        <v>5.0000000000000001E-4</v>
      </c>
      <c r="T632">
        <f t="shared" si="19"/>
        <v>2016</v>
      </c>
      <c r="W632" s="86">
        <v>41688</v>
      </c>
      <c r="X632">
        <v>508.45</v>
      </c>
    </row>
    <row r="633" spans="1:24">
      <c r="A633" s="68">
        <v>34199</v>
      </c>
      <c r="B633" s="32">
        <v>804.76</v>
      </c>
      <c r="C633">
        <f t="shared" si="18"/>
        <v>1993</v>
      </c>
      <c r="H633" s="85">
        <v>41538</v>
      </c>
      <c r="I633">
        <v>1889.12</v>
      </c>
      <c r="N633" s="69">
        <v>42543</v>
      </c>
      <c r="O633">
        <v>544.86</v>
      </c>
      <c r="P633">
        <v>539.79999999999995</v>
      </c>
      <c r="Q633">
        <v>550.9</v>
      </c>
      <c r="R633">
        <v>536.94000000000005</v>
      </c>
      <c r="S633" s="3">
        <v>1E-4</v>
      </c>
      <c r="T633">
        <f t="shared" si="19"/>
        <v>2016</v>
      </c>
      <c r="W633" s="86">
        <v>41689</v>
      </c>
      <c r="X633">
        <v>508.3</v>
      </c>
    </row>
    <row r="634" spans="1:24">
      <c r="A634" s="68">
        <v>34200</v>
      </c>
      <c r="B634" s="33">
        <v>805.62</v>
      </c>
      <c r="C634">
        <f t="shared" si="18"/>
        <v>1993</v>
      </c>
      <c r="H634" s="85">
        <v>41539</v>
      </c>
      <c r="I634">
        <v>1889.12</v>
      </c>
      <c r="N634" s="69">
        <v>42542</v>
      </c>
      <c r="O634">
        <v>544.79999999999995</v>
      </c>
      <c r="P634">
        <v>536.6</v>
      </c>
      <c r="Q634">
        <v>550.79999999999995</v>
      </c>
      <c r="R634">
        <v>534.62</v>
      </c>
      <c r="S634" s="3">
        <v>4.8999999999999998E-3</v>
      </c>
      <c r="T634">
        <f t="shared" si="19"/>
        <v>2016</v>
      </c>
      <c r="W634" s="86">
        <v>41690</v>
      </c>
      <c r="X634">
        <v>508</v>
      </c>
    </row>
    <row r="635" spans="1:24">
      <c r="A635" s="68">
        <v>34201</v>
      </c>
      <c r="B635" s="32">
        <v>806.15</v>
      </c>
      <c r="C635">
        <f t="shared" si="18"/>
        <v>1993</v>
      </c>
      <c r="H635" s="85">
        <v>41540</v>
      </c>
      <c r="I635">
        <v>1889.12</v>
      </c>
      <c r="N635" s="69">
        <v>42541</v>
      </c>
      <c r="O635">
        <v>542.14</v>
      </c>
      <c r="P635">
        <v>536.14</v>
      </c>
      <c r="Q635">
        <v>550.70000000000005</v>
      </c>
      <c r="R635">
        <v>536</v>
      </c>
      <c r="S635" s="3">
        <v>1.8E-3</v>
      </c>
      <c r="T635">
        <f t="shared" si="19"/>
        <v>2016</v>
      </c>
      <c r="W635" s="86">
        <v>41691</v>
      </c>
      <c r="X635">
        <v>507.7</v>
      </c>
    </row>
    <row r="636" spans="1:24">
      <c r="A636" s="68">
        <v>34202</v>
      </c>
      <c r="B636" s="33">
        <v>806.72</v>
      </c>
      <c r="C636">
        <f t="shared" si="18"/>
        <v>1993</v>
      </c>
      <c r="H636" s="85">
        <v>41541</v>
      </c>
      <c r="I636">
        <v>1892.89</v>
      </c>
      <c r="N636" s="69">
        <v>42538</v>
      </c>
      <c r="O636">
        <v>541.14</v>
      </c>
      <c r="P636">
        <v>536.17999999999995</v>
      </c>
      <c r="Q636">
        <v>548.96</v>
      </c>
      <c r="R636">
        <v>535.98</v>
      </c>
      <c r="S636" s="3">
        <v>-4.3E-3</v>
      </c>
      <c r="T636">
        <f t="shared" si="19"/>
        <v>2016</v>
      </c>
      <c r="W636" s="86">
        <v>41694</v>
      </c>
      <c r="X636">
        <v>507.5</v>
      </c>
    </row>
    <row r="637" spans="1:24">
      <c r="A637" s="68">
        <v>34203</v>
      </c>
      <c r="B637" s="32">
        <v>806.72</v>
      </c>
      <c r="C637">
        <f t="shared" si="18"/>
        <v>1993</v>
      </c>
      <c r="H637" s="85">
        <v>41542</v>
      </c>
      <c r="I637">
        <v>1888.14</v>
      </c>
      <c r="N637" s="69">
        <v>42537</v>
      </c>
      <c r="O637">
        <v>543.45000000000005</v>
      </c>
      <c r="P637">
        <v>536.17999999999995</v>
      </c>
      <c r="Q637">
        <v>543.45000000000005</v>
      </c>
      <c r="R637">
        <v>536.17999999999995</v>
      </c>
      <c r="S637" s="3">
        <v>5.3E-3</v>
      </c>
      <c r="T637">
        <f t="shared" si="19"/>
        <v>2016</v>
      </c>
      <c r="W637" s="86">
        <v>41695</v>
      </c>
      <c r="X637">
        <v>507.5</v>
      </c>
    </row>
    <row r="638" spans="1:24">
      <c r="A638" s="68">
        <v>34204</v>
      </c>
      <c r="B638" s="33">
        <v>806.72</v>
      </c>
      <c r="C638">
        <f t="shared" si="18"/>
        <v>1993</v>
      </c>
      <c r="H638" s="85">
        <v>41543</v>
      </c>
      <c r="I638">
        <v>1893.42</v>
      </c>
      <c r="N638" s="69">
        <v>42536</v>
      </c>
      <c r="O638">
        <v>540.61</v>
      </c>
      <c r="P638">
        <v>538.59</v>
      </c>
      <c r="Q638">
        <v>545.61</v>
      </c>
      <c r="R638">
        <v>535.61</v>
      </c>
      <c r="S638" s="3">
        <v>-5.0000000000000001E-3</v>
      </c>
      <c r="T638">
        <f t="shared" si="19"/>
        <v>2016</v>
      </c>
      <c r="W638" s="86">
        <v>41696</v>
      </c>
      <c r="X638">
        <v>507.5</v>
      </c>
    </row>
    <row r="639" spans="1:24">
      <c r="A639" s="68">
        <v>34205</v>
      </c>
      <c r="B639" s="32">
        <v>807.04</v>
      </c>
      <c r="C639">
        <f t="shared" si="18"/>
        <v>1993</v>
      </c>
      <c r="H639" s="85">
        <v>41544</v>
      </c>
      <c r="I639">
        <v>1899.1</v>
      </c>
      <c r="N639" s="69">
        <v>42535</v>
      </c>
      <c r="O639">
        <v>543.33000000000004</v>
      </c>
      <c r="P639">
        <v>536.48</v>
      </c>
      <c r="Q639">
        <v>543.33000000000004</v>
      </c>
      <c r="R639">
        <v>536.29999999999995</v>
      </c>
      <c r="S639" s="3">
        <v>3.8E-3</v>
      </c>
      <c r="T639">
        <f t="shared" si="19"/>
        <v>2016</v>
      </c>
      <c r="W639" s="86">
        <v>41697</v>
      </c>
      <c r="X639">
        <v>507.5</v>
      </c>
    </row>
    <row r="640" spans="1:24">
      <c r="A640" s="68">
        <v>34206</v>
      </c>
      <c r="B640" s="33">
        <v>807.57</v>
      </c>
      <c r="C640">
        <f t="shared" si="18"/>
        <v>1993</v>
      </c>
      <c r="H640" s="85">
        <v>41545</v>
      </c>
      <c r="I640">
        <v>1914.65</v>
      </c>
      <c r="N640" s="69">
        <v>42534</v>
      </c>
      <c r="O640">
        <v>541.26</v>
      </c>
      <c r="P640">
        <v>537.5</v>
      </c>
      <c r="Q640">
        <v>542.82000000000005</v>
      </c>
      <c r="R640">
        <v>535.94000000000005</v>
      </c>
      <c r="S640" s="3">
        <v>-2.9999999999999997E-4</v>
      </c>
      <c r="T640">
        <f t="shared" si="19"/>
        <v>2016</v>
      </c>
      <c r="W640" s="86">
        <v>41698</v>
      </c>
      <c r="X640">
        <v>507.5</v>
      </c>
    </row>
    <row r="641" spans="1:24">
      <c r="A641" s="68">
        <v>34207</v>
      </c>
      <c r="B641" s="32">
        <v>807.77</v>
      </c>
      <c r="C641">
        <f t="shared" si="18"/>
        <v>1993</v>
      </c>
      <c r="H641" s="85">
        <v>41546</v>
      </c>
      <c r="I641">
        <v>1914.65</v>
      </c>
      <c r="N641" s="69">
        <v>42531</v>
      </c>
      <c r="O641">
        <v>541.41999999999996</v>
      </c>
      <c r="P641">
        <v>539.1</v>
      </c>
      <c r="Q641">
        <v>544.54</v>
      </c>
      <c r="R641">
        <v>535.88</v>
      </c>
      <c r="S641" s="3">
        <v>-8.3000000000000001E-3</v>
      </c>
      <c r="T641">
        <f t="shared" si="19"/>
        <v>2016</v>
      </c>
      <c r="W641" s="86">
        <v>41701</v>
      </c>
      <c r="X641">
        <v>543.5</v>
      </c>
    </row>
    <row r="642" spans="1:24">
      <c r="A642" s="68">
        <v>34208</v>
      </c>
      <c r="B642" s="33">
        <v>807.55</v>
      </c>
      <c r="C642">
        <f t="shared" si="18"/>
        <v>1993</v>
      </c>
      <c r="H642" s="85">
        <v>41547</v>
      </c>
      <c r="I642">
        <v>1914.65</v>
      </c>
      <c r="N642" s="69">
        <v>42530</v>
      </c>
      <c r="O642">
        <v>545.95000000000005</v>
      </c>
      <c r="P642">
        <v>535.87</v>
      </c>
      <c r="Q642">
        <v>540.79999999999995</v>
      </c>
      <c r="R642">
        <v>530</v>
      </c>
      <c r="S642" s="3">
        <v>9.4000000000000004E-3</v>
      </c>
      <c r="T642">
        <f t="shared" si="19"/>
        <v>2016</v>
      </c>
      <c r="W642" s="86">
        <v>41702</v>
      </c>
      <c r="X642">
        <v>545</v>
      </c>
    </row>
    <row r="643" spans="1:24">
      <c r="A643" s="68">
        <v>34209</v>
      </c>
      <c r="B643" s="32">
        <v>807.53</v>
      </c>
      <c r="C643">
        <f t="shared" si="18"/>
        <v>1993</v>
      </c>
      <c r="H643" s="85">
        <v>41548</v>
      </c>
      <c r="I643">
        <v>1908.29</v>
      </c>
      <c r="N643" s="69">
        <v>42529</v>
      </c>
      <c r="O643">
        <v>540.87</v>
      </c>
      <c r="P643">
        <v>535</v>
      </c>
      <c r="Q643">
        <v>541.53</v>
      </c>
      <c r="R643">
        <v>530</v>
      </c>
      <c r="S643" s="3">
        <v>6.7000000000000002E-3</v>
      </c>
      <c r="T643">
        <f t="shared" si="19"/>
        <v>2016</v>
      </c>
      <c r="W643" s="86">
        <v>41703</v>
      </c>
      <c r="X643">
        <v>545</v>
      </c>
    </row>
    <row r="644" spans="1:24">
      <c r="A644" s="68">
        <v>34210</v>
      </c>
      <c r="B644" s="33">
        <v>807.53</v>
      </c>
      <c r="C644">
        <f t="shared" ref="C644:C707" si="20">YEAR(A644)</f>
        <v>1993</v>
      </c>
      <c r="H644" s="85">
        <v>41549</v>
      </c>
      <c r="I644">
        <v>1893.77</v>
      </c>
      <c r="N644" s="69">
        <v>42528</v>
      </c>
      <c r="O644">
        <v>537.27</v>
      </c>
      <c r="P644">
        <v>534.33000000000004</v>
      </c>
      <c r="Q644">
        <v>540.27</v>
      </c>
      <c r="R644">
        <v>532.27</v>
      </c>
      <c r="S644" s="3">
        <v>-3.8E-3</v>
      </c>
      <c r="T644">
        <f t="shared" ref="T644:T707" si="21">YEAR(N644)</f>
        <v>2016</v>
      </c>
      <c r="W644" s="86">
        <v>41704</v>
      </c>
      <c r="X644">
        <v>545</v>
      </c>
    </row>
    <row r="645" spans="1:24">
      <c r="A645" s="68">
        <v>34211</v>
      </c>
      <c r="B645" s="32">
        <v>807.53</v>
      </c>
      <c r="C645">
        <f t="shared" si="20"/>
        <v>1993</v>
      </c>
      <c r="H645" s="85">
        <v>41550</v>
      </c>
      <c r="I645">
        <v>1884.97</v>
      </c>
      <c r="N645" s="69">
        <v>42527</v>
      </c>
      <c r="O645">
        <v>539.33000000000004</v>
      </c>
      <c r="P645">
        <v>532.51</v>
      </c>
      <c r="Q645">
        <v>545.41</v>
      </c>
      <c r="R645">
        <v>532.51</v>
      </c>
      <c r="S645" s="3">
        <v>3.3999999999999998E-3</v>
      </c>
      <c r="T645">
        <f t="shared" si="21"/>
        <v>2016</v>
      </c>
      <c r="W645" s="86">
        <v>41705</v>
      </c>
      <c r="X645">
        <v>554</v>
      </c>
    </row>
    <row r="646" spans="1:24">
      <c r="A646" s="68">
        <v>34212</v>
      </c>
      <c r="B646" s="33">
        <v>806.86</v>
      </c>
      <c r="C646">
        <f t="shared" si="20"/>
        <v>1993</v>
      </c>
      <c r="H646" s="85">
        <v>41551</v>
      </c>
      <c r="I646">
        <v>1889.95</v>
      </c>
      <c r="N646" s="69">
        <v>42524</v>
      </c>
      <c r="O646">
        <v>537.5</v>
      </c>
      <c r="P646">
        <v>532.12</v>
      </c>
      <c r="Q646">
        <v>545.41</v>
      </c>
      <c r="R646">
        <v>531.66999999999996</v>
      </c>
      <c r="S646" s="3">
        <v>6.9999999999999999E-4</v>
      </c>
      <c r="T646">
        <f t="shared" si="21"/>
        <v>2016</v>
      </c>
      <c r="W646" s="86">
        <v>41708</v>
      </c>
      <c r="X646">
        <v>559.5</v>
      </c>
    </row>
    <row r="647" spans="1:24">
      <c r="A647" s="68">
        <v>34213</v>
      </c>
      <c r="B647" s="32">
        <v>806.83</v>
      </c>
      <c r="C647">
        <f t="shared" si="20"/>
        <v>1993</v>
      </c>
      <c r="H647" s="85">
        <v>41552</v>
      </c>
      <c r="I647">
        <v>1886.78</v>
      </c>
      <c r="N647" s="69">
        <v>42523</v>
      </c>
      <c r="O647">
        <v>537.12</v>
      </c>
      <c r="P647">
        <v>531.97</v>
      </c>
      <c r="Q647">
        <v>543.26</v>
      </c>
      <c r="R647">
        <v>530</v>
      </c>
      <c r="S647" s="3">
        <v>-5.8999999999999999E-3</v>
      </c>
      <c r="T647">
        <f t="shared" si="21"/>
        <v>2016</v>
      </c>
      <c r="W647" s="86">
        <v>41709</v>
      </c>
      <c r="X647">
        <v>558.5</v>
      </c>
    </row>
    <row r="648" spans="1:24">
      <c r="A648" s="68">
        <v>34214</v>
      </c>
      <c r="B648" s="33">
        <v>808.04</v>
      </c>
      <c r="C648">
        <f t="shared" si="20"/>
        <v>1993</v>
      </c>
      <c r="H648" s="85">
        <v>41553</v>
      </c>
      <c r="I648">
        <v>1886.78</v>
      </c>
      <c r="N648" s="69">
        <v>42522</v>
      </c>
      <c r="O648">
        <v>540.30999999999995</v>
      </c>
      <c r="P648">
        <v>532.25</v>
      </c>
      <c r="Q648">
        <v>540.30999999999995</v>
      </c>
      <c r="R648">
        <v>529.87</v>
      </c>
      <c r="S648" s="3">
        <v>-1.6000000000000001E-3</v>
      </c>
      <c r="T648">
        <f t="shared" si="21"/>
        <v>2016</v>
      </c>
      <c r="W648" s="86">
        <v>41710</v>
      </c>
      <c r="X648">
        <v>558.29999999999995</v>
      </c>
    </row>
    <row r="649" spans="1:24">
      <c r="A649" s="68">
        <v>34215</v>
      </c>
      <c r="B649" s="32">
        <v>807.96</v>
      </c>
      <c r="C649">
        <f t="shared" si="20"/>
        <v>1993</v>
      </c>
      <c r="H649" s="85">
        <v>41554</v>
      </c>
      <c r="I649">
        <v>1886.78</v>
      </c>
      <c r="N649" s="69">
        <v>42521</v>
      </c>
      <c r="O649">
        <v>541.20000000000005</v>
      </c>
      <c r="P649">
        <v>531.85</v>
      </c>
      <c r="Q649">
        <v>541.20000000000005</v>
      </c>
      <c r="R649">
        <v>529.98</v>
      </c>
      <c r="S649" s="3">
        <v>8.0999999999999996E-3</v>
      </c>
      <c r="T649">
        <f t="shared" si="21"/>
        <v>2016</v>
      </c>
      <c r="W649" s="86">
        <v>41711</v>
      </c>
      <c r="X649">
        <v>558.1</v>
      </c>
    </row>
    <row r="650" spans="1:24">
      <c r="A650" s="68">
        <v>34216</v>
      </c>
      <c r="B650" s="33">
        <v>807.68</v>
      </c>
      <c r="C650">
        <f t="shared" si="20"/>
        <v>1993</v>
      </c>
      <c r="H650" s="85">
        <v>41555</v>
      </c>
      <c r="I650">
        <v>1885.19</v>
      </c>
      <c r="N650" s="69">
        <v>42520</v>
      </c>
      <c r="O650">
        <v>536.85</v>
      </c>
      <c r="P650">
        <v>530.75</v>
      </c>
      <c r="Q650">
        <v>536.85</v>
      </c>
      <c r="R650">
        <v>530.13</v>
      </c>
      <c r="S650" s="3">
        <v>0</v>
      </c>
      <c r="T650">
        <f t="shared" si="21"/>
        <v>2016</v>
      </c>
      <c r="W650" s="86">
        <v>41712</v>
      </c>
      <c r="X650">
        <v>558</v>
      </c>
    </row>
    <row r="651" spans="1:24">
      <c r="A651" s="68">
        <v>34217</v>
      </c>
      <c r="B651" s="32">
        <v>807.68</v>
      </c>
      <c r="C651">
        <f t="shared" si="20"/>
        <v>1993</v>
      </c>
      <c r="H651" s="85">
        <v>41556</v>
      </c>
      <c r="I651">
        <v>1889.17</v>
      </c>
      <c r="N651" s="69">
        <v>42517</v>
      </c>
      <c r="O651">
        <v>536.85</v>
      </c>
      <c r="P651">
        <v>532.04</v>
      </c>
      <c r="Q651">
        <v>541.05999999999995</v>
      </c>
      <c r="R651">
        <v>531</v>
      </c>
      <c r="S651" s="3">
        <v>-4.0000000000000002E-4</v>
      </c>
      <c r="T651">
        <f t="shared" si="21"/>
        <v>2016</v>
      </c>
      <c r="W651" s="86">
        <v>41715</v>
      </c>
      <c r="X651">
        <v>538.5</v>
      </c>
    </row>
    <row r="652" spans="1:24">
      <c r="A652" s="68">
        <v>34218</v>
      </c>
      <c r="B652" s="33">
        <v>807.68</v>
      </c>
      <c r="C652">
        <f t="shared" si="20"/>
        <v>1993</v>
      </c>
      <c r="H652" s="85">
        <v>41557</v>
      </c>
      <c r="I652">
        <v>1894.06</v>
      </c>
      <c r="N652" s="69">
        <v>42516</v>
      </c>
      <c r="O652">
        <v>537.04</v>
      </c>
      <c r="P652">
        <v>529.78</v>
      </c>
      <c r="Q652">
        <v>542.26</v>
      </c>
      <c r="R652">
        <v>529.78</v>
      </c>
      <c r="S652" s="3">
        <v>4.1999999999999997E-3</v>
      </c>
      <c r="T652">
        <f t="shared" si="21"/>
        <v>2016</v>
      </c>
      <c r="W652" s="86">
        <v>41716</v>
      </c>
      <c r="X652">
        <v>537.5</v>
      </c>
    </row>
    <row r="653" spans="1:24">
      <c r="A653" s="68">
        <v>34219</v>
      </c>
      <c r="B653" s="32">
        <v>807.62</v>
      </c>
      <c r="C653">
        <f t="shared" si="20"/>
        <v>1993</v>
      </c>
      <c r="H653" s="85">
        <v>41558</v>
      </c>
      <c r="I653">
        <v>1885.84</v>
      </c>
      <c r="N653" s="69">
        <v>42515</v>
      </c>
      <c r="O653">
        <v>534.78</v>
      </c>
      <c r="P653">
        <v>531.32000000000005</v>
      </c>
      <c r="Q653">
        <v>537.16999999999996</v>
      </c>
      <c r="R653">
        <v>529.25</v>
      </c>
      <c r="S653" s="3">
        <v>-9.7999999999999997E-3</v>
      </c>
      <c r="T653">
        <f t="shared" si="21"/>
        <v>2016</v>
      </c>
      <c r="W653" s="86">
        <v>41717</v>
      </c>
      <c r="X653">
        <v>537.5</v>
      </c>
    </row>
    <row r="654" spans="1:24">
      <c r="A654" s="68">
        <v>34220</v>
      </c>
      <c r="B654" s="33">
        <v>808.24</v>
      </c>
      <c r="C654">
        <f t="shared" si="20"/>
        <v>1993</v>
      </c>
      <c r="H654" s="85">
        <v>41559</v>
      </c>
      <c r="I654">
        <v>1883.65</v>
      </c>
      <c r="N654" s="69">
        <v>42514</v>
      </c>
      <c r="O654">
        <v>540.05999999999995</v>
      </c>
      <c r="P654">
        <v>531.1</v>
      </c>
      <c r="Q654">
        <v>540.05999999999995</v>
      </c>
      <c r="R654">
        <v>529.76</v>
      </c>
      <c r="S654" s="3">
        <v>5.0000000000000001E-4</v>
      </c>
      <c r="T654">
        <f t="shared" si="21"/>
        <v>2016</v>
      </c>
      <c r="W654" s="86">
        <v>41718</v>
      </c>
      <c r="X654">
        <v>537.35</v>
      </c>
    </row>
    <row r="655" spans="1:24">
      <c r="A655" s="68">
        <v>34221</v>
      </c>
      <c r="B655" s="32">
        <v>809.33</v>
      </c>
      <c r="C655">
        <f t="shared" si="20"/>
        <v>1993</v>
      </c>
      <c r="H655" s="85">
        <v>41560</v>
      </c>
      <c r="I655">
        <v>1883.65</v>
      </c>
      <c r="N655" s="69">
        <v>42513</v>
      </c>
      <c r="O655">
        <v>539.80999999999995</v>
      </c>
      <c r="P655">
        <v>531.09</v>
      </c>
      <c r="Q655">
        <v>539.80999999999995</v>
      </c>
      <c r="R655">
        <v>529.59</v>
      </c>
      <c r="S655" s="3">
        <v>1E-3</v>
      </c>
      <c r="T655">
        <f t="shared" si="21"/>
        <v>2016</v>
      </c>
      <c r="W655" s="86">
        <v>41719</v>
      </c>
      <c r="X655">
        <v>537.25</v>
      </c>
    </row>
    <row r="656" spans="1:24">
      <c r="A656" s="68">
        <v>34222</v>
      </c>
      <c r="B656" s="33">
        <v>810.25</v>
      </c>
      <c r="C656">
        <f t="shared" si="20"/>
        <v>1993</v>
      </c>
      <c r="H656" s="85">
        <v>41561</v>
      </c>
      <c r="I656">
        <v>1883.65</v>
      </c>
      <c r="N656" s="69">
        <v>42510</v>
      </c>
      <c r="O656">
        <v>539.28</v>
      </c>
      <c r="P656">
        <v>530.85</v>
      </c>
      <c r="Q656">
        <v>539.28</v>
      </c>
      <c r="R656">
        <v>529.70000000000005</v>
      </c>
      <c r="S656" s="3">
        <v>6.4000000000000003E-3</v>
      </c>
      <c r="T656">
        <f t="shared" si="21"/>
        <v>2016</v>
      </c>
      <c r="W656" s="86">
        <v>41722</v>
      </c>
      <c r="X656">
        <v>536.5</v>
      </c>
    </row>
    <row r="657" spans="1:24">
      <c r="A657" s="68">
        <v>34223</v>
      </c>
      <c r="B657" s="32">
        <v>810.03</v>
      </c>
      <c r="C657">
        <f t="shared" si="20"/>
        <v>1993</v>
      </c>
      <c r="H657" s="85">
        <v>41562</v>
      </c>
      <c r="I657">
        <v>1883.65</v>
      </c>
      <c r="N657" s="69">
        <v>42509</v>
      </c>
      <c r="O657">
        <v>535.85</v>
      </c>
      <c r="P657">
        <v>530.82000000000005</v>
      </c>
      <c r="Q657">
        <v>536.07000000000005</v>
      </c>
      <c r="R657">
        <v>529.61</v>
      </c>
      <c r="S657" s="3">
        <v>1E-4</v>
      </c>
      <c r="T657">
        <f t="shared" si="21"/>
        <v>2016</v>
      </c>
      <c r="W657" s="86">
        <v>41723</v>
      </c>
      <c r="X657">
        <v>535.9</v>
      </c>
    </row>
    <row r="658" spans="1:24">
      <c r="A658" s="68">
        <v>34224</v>
      </c>
      <c r="B658" s="33">
        <v>810.03</v>
      </c>
      <c r="C658">
        <f t="shared" si="20"/>
        <v>1993</v>
      </c>
      <c r="H658" s="85">
        <v>41563</v>
      </c>
      <c r="I658">
        <v>1883.7</v>
      </c>
      <c r="N658" s="69">
        <v>42508</v>
      </c>
      <c r="O658">
        <v>535.82000000000005</v>
      </c>
      <c r="P658">
        <v>530.76</v>
      </c>
      <c r="Q658">
        <v>535.83000000000004</v>
      </c>
      <c r="R658">
        <v>529.44000000000005</v>
      </c>
      <c r="S658" s="3">
        <v>1E-4</v>
      </c>
      <c r="T658">
        <f t="shared" si="21"/>
        <v>2016</v>
      </c>
      <c r="W658" s="86">
        <v>41724</v>
      </c>
      <c r="X658">
        <v>535.70000000000005</v>
      </c>
    </row>
    <row r="659" spans="1:24">
      <c r="A659" s="68">
        <v>34225</v>
      </c>
      <c r="B659" s="32">
        <v>810.03</v>
      </c>
      <c r="C659">
        <f t="shared" si="20"/>
        <v>1993</v>
      </c>
      <c r="H659" s="85">
        <v>41564</v>
      </c>
      <c r="I659">
        <v>1880.91</v>
      </c>
      <c r="N659" s="69">
        <v>42507</v>
      </c>
      <c r="O659">
        <v>535.74</v>
      </c>
      <c r="P659">
        <v>530.80999999999995</v>
      </c>
      <c r="Q659">
        <v>536.29999999999995</v>
      </c>
      <c r="R659">
        <v>530</v>
      </c>
      <c r="S659" s="3">
        <v>-1E-4</v>
      </c>
      <c r="T659">
        <f t="shared" si="21"/>
        <v>2016</v>
      </c>
      <c r="W659" s="86">
        <v>41725</v>
      </c>
      <c r="X659">
        <v>535.54999999999995</v>
      </c>
    </row>
    <row r="660" spans="1:24">
      <c r="A660" s="68">
        <v>34226</v>
      </c>
      <c r="B660" s="33">
        <v>810.09</v>
      </c>
      <c r="C660">
        <f t="shared" si="20"/>
        <v>1993</v>
      </c>
      <c r="H660" s="85">
        <v>41565</v>
      </c>
      <c r="I660">
        <v>1879.48</v>
      </c>
      <c r="N660" s="69">
        <v>42506</v>
      </c>
      <c r="O660">
        <v>535.80999999999995</v>
      </c>
      <c r="P660">
        <v>530.80999999999995</v>
      </c>
      <c r="Q660">
        <v>537.6</v>
      </c>
      <c r="R660">
        <v>530.24</v>
      </c>
      <c r="S660" s="3">
        <v>0</v>
      </c>
      <c r="T660">
        <f t="shared" si="21"/>
        <v>2016</v>
      </c>
      <c r="W660" s="86">
        <v>41726</v>
      </c>
      <c r="X660">
        <v>545.5</v>
      </c>
    </row>
    <row r="661" spans="1:24">
      <c r="A661" s="68">
        <v>34227</v>
      </c>
      <c r="B661" s="32">
        <v>810.81</v>
      </c>
      <c r="C661">
        <f t="shared" si="20"/>
        <v>1993</v>
      </c>
      <c r="H661" s="85">
        <v>41566</v>
      </c>
      <c r="I661">
        <v>1879.88</v>
      </c>
      <c r="N661" s="69">
        <v>42503</v>
      </c>
      <c r="O661">
        <v>535.80999999999995</v>
      </c>
      <c r="P661">
        <v>531.25</v>
      </c>
      <c r="Q661">
        <v>536.25</v>
      </c>
      <c r="R661">
        <v>530</v>
      </c>
      <c r="S661" s="3">
        <v>-4.0000000000000002E-4</v>
      </c>
      <c r="T661">
        <f t="shared" si="21"/>
        <v>2016</v>
      </c>
      <c r="W661" s="86">
        <v>41729</v>
      </c>
      <c r="X661">
        <v>545.79999999999995</v>
      </c>
    </row>
    <row r="662" spans="1:24">
      <c r="A662" s="68">
        <v>34228</v>
      </c>
      <c r="B662" s="33">
        <v>811.75</v>
      </c>
      <c r="C662">
        <f t="shared" si="20"/>
        <v>1993</v>
      </c>
      <c r="H662" s="85">
        <v>41567</v>
      </c>
      <c r="I662">
        <v>1879.88</v>
      </c>
      <c r="N662" s="69">
        <v>42502</v>
      </c>
      <c r="O662">
        <v>536.02</v>
      </c>
      <c r="P662">
        <v>531.13</v>
      </c>
      <c r="Q662">
        <v>536.25</v>
      </c>
      <c r="R662">
        <v>529.21</v>
      </c>
      <c r="S662" s="3">
        <v>2.0000000000000001E-4</v>
      </c>
      <c r="T662">
        <f t="shared" si="21"/>
        <v>2016</v>
      </c>
      <c r="W662" s="86">
        <v>41730</v>
      </c>
      <c r="X662">
        <v>545.6</v>
      </c>
    </row>
    <row r="663" spans="1:24">
      <c r="A663" s="68">
        <v>34229</v>
      </c>
      <c r="B663" s="32">
        <v>811.93</v>
      </c>
      <c r="C663">
        <f t="shared" si="20"/>
        <v>1993</v>
      </c>
      <c r="H663" s="85">
        <v>41568</v>
      </c>
      <c r="I663">
        <v>1879.88</v>
      </c>
      <c r="N663" s="69">
        <v>42501</v>
      </c>
      <c r="O663">
        <v>535.89</v>
      </c>
      <c r="P663">
        <v>530.15</v>
      </c>
      <c r="Q663">
        <v>536.47</v>
      </c>
      <c r="R663">
        <v>530</v>
      </c>
      <c r="S663" s="3">
        <v>-1.8E-3</v>
      </c>
      <c r="T663">
        <f t="shared" si="21"/>
        <v>2016</v>
      </c>
      <c r="W663" s="86">
        <v>41731</v>
      </c>
      <c r="X663">
        <v>545.5</v>
      </c>
    </row>
    <row r="664" spans="1:24">
      <c r="A664" s="68">
        <v>34230</v>
      </c>
      <c r="B664" s="33">
        <v>811.18</v>
      </c>
      <c r="C664">
        <f t="shared" si="20"/>
        <v>1993</v>
      </c>
      <c r="H664" s="85">
        <v>41569</v>
      </c>
      <c r="I664">
        <v>1885.52</v>
      </c>
      <c r="N664" s="69">
        <v>42500</v>
      </c>
      <c r="O664">
        <v>536.85</v>
      </c>
      <c r="P664">
        <v>531.14</v>
      </c>
      <c r="Q664">
        <v>537.38</v>
      </c>
      <c r="R664">
        <v>530</v>
      </c>
      <c r="S664" s="3">
        <v>1.2999999999999999E-3</v>
      </c>
      <c r="T664">
        <f t="shared" si="21"/>
        <v>2016</v>
      </c>
      <c r="W664" s="86">
        <v>41732</v>
      </c>
      <c r="X664">
        <v>545.4</v>
      </c>
    </row>
    <row r="665" spans="1:24">
      <c r="A665" s="68">
        <v>34231</v>
      </c>
      <c r="B665" s="32">
        <v>811.18</v>
      </c>
      <c r="C665">
        <f t="shared" si="20"/>
        <v>1993</v>
      </c>
      <c r="H665" s="85">
        <v>41570</v>
      </c>
      <c r="I665">
        <v>1879.46</v>
      </c>
      <c r="N665" s="69">
        <v>42499</v>
      </c>
      <c r="O665">
        <v>536.14</v>
      </c>
      <c r="P665">
        <v>531.16999999999996</v>
      </c>
      <c r="Q665">
        <v>536.16999999999996</v>
      </c>
      <c r="R665">
        <v>530</v>
      </c>
      <c r="S665" s="3">
        <v>4.0000000000000002E-4</v>
      </c>
      <c r="T665">
        <f t="shared" si="21"/>
        <v>2016</v>
      </c>
      <c r="W665" s="86">
        <v>41733</v>
      </c>
      <c r="X665">
        <v>545</v>
      </c>
    </row>
    <row r="666" spans="1:24">
      <c r="A666" s="68">
        <v>34232</v>
      </c>
      <c r="B666" s="33">
        <v>811.18</v>
      </c>
      <c r="C666">
        <f t="shared" si="20"/>
        <v>1993</v>
      </c>
      <c r="H666" s="85">
        <v>41571</v>
      </c>
      <c r="I666">
        <v>1883.14</v>
      </c>
      <c r="N666" s="69">
        <v>42496</v>
      </c>
      <c r="O666">
        <v>535.92999999999995</v>
      </c>
      <c r="P666">
        <v>531.17999999999995</v>
      </c>
      <c r="Q666">
        <v>536.47</v>
      </c>
      <c r="R666">
        <v>530</v>
      </c>
      <c r="S666" s="3">
        <v>0</v>
      </c>
      <c r="T666">
        <f t="shared" si="21"/>
        <v>2016</v>
      </c>
      <c r="W666" s="86">
        <v>41736</v>
      </c>
      <c r="X666">
        <v>551.95000000000005</v>
      </c>
    </row>
    <row r="667" spans="1:24">
      <c r="A667" s="68">
        <v>34233</v>
      </c>
      <c r="B667" s="32">
        <v>810.88</v>
      </c>
      <c r="C667">
        <f t="shared" si="20"/>
        <v>1993</v>
      </c>
      <c r="H667" s="85">
        <v>41572</v>
      </c>
      <c r="I667">
        <v>1882.11</v>
      </c>
      <c r="N667" s="69">
        <v>42495</v>
      </c>
      <c r="O667">
        <v>535.94000000000005</v>
      </c>
      <c r="P667">
        <v>531.17999999999995</v>
      </c>
      <c r="Q667">
        <v>536.49</v>
      </c>
      <c r="R667">
        <v>530</v>
      </c>
      <c r="S667" s="3">
        <v>-4.0000000000000002E-4</v>
      </c>
      <c r="T667">
        <f t="shared" si="21"/>
        <v>2016</v>
      </c>
      <c r="W667" s="86">
        <v>41737</v>
      </c>
      <c r="X667">
        <v>551.79999999999995</v>
      </c>
    </row>
    <row r="668" spans="1:24">
      <c r="A668" s="68">
        <v>34234</v>
      </c>
      <c r="B668" s="33">
        <v>809.75</v>
      </c>
      <c r="C668">
        <f t="shared" si="20"/>
        <v>1993</v>
      </c>
      <c r="H668" s="85">
        <v>41573</v>
      </c>
      <c r="I668">
        <v>1882.34</v>
      </c>
      <c r="N668" s="69">
        <v>42494</v>
      </c>
      <c r="O668">
        <v>536.17999999999995</v>
      </c>
      <c r="P668">
        <v>531.4</v>
      </c>
      <c r="Q668">
        <v>536.4</v>
      </c>
      <c r="R668">
        <v>530</v>
      </c>
      <c r="S668" s="3">
        <v>-4.0000000000000002E-4</v>
      </c>
      <c r="T668">
        <f t="shared" si="21"/>
        <v>2016</v>
      </c>
      <c r="W668" s="86">
        <v>41738</v>
      </c>
      <c r="X668">
        <v>550</v>
      </c>
    </row>
    <row r="669" spans="1:24">
      <c r="A669" s="68">
        <v>34235</v>
      </c>
      <c r="B669" s="32">
        <v>810.04</v>
      </c>
      <c r="C669">
        <f t="shared" si="20"/>
        <v>1993</v>
      </c>
      <c r="H669" s="85">
        <v>41574</v>
      </c>
      <c r="I669">
        <v>1882.34</v>
      </c>
      <c r="N669" s="69">
        <v>42493</v>
      </c>
      <c r="O669">
        <v>536.4</v>
      </c>
      <c r="P669">
        <v>531.48</v>
      </c>
      <c r="Q669">
        <v>536.48</v>
      </c>
      <c r="R669">
        <v>530</v>
      </c>
      <c r="S669" s="3">
        <v>-1E-4</v>
      </c>
      <c r="T669">
        <f t="shared" si="21"/>
        <v>2016</v>
      </c>
      <c r="W669" s="86">
        <v>41739</v>
      </c>
      <c r="X669">
        <v>549.9</v>
      </c>
    </row>
    <row r="670" spans="1:24">
      <c r="A670" s="68">
        <v>34236</v>
      </c>
      <c r="B670" s="33">
        <v>810.55</v>
      </c>
      <c r="C670">
        <f t="shared" si="20"/>
        <v>1993</v>
      </c>
      <c r="H670" s="85">
        <v>41575</v>
      </c>
      <c r="I670">
        <v>1882.34</v>
      </c>
      <c r="N670" s="69">
        <v>42492</v>
      </c>
      <c r="O670">
        <v>536.48</v>
      </c>
      <c r="P670">
        <v>531</v>
      </c>
      <c r="Q670">
        <v>541.05999999999995</v>
      </c>
      <c r="R670">
        <v>530</v>
      </c>
      <c r="S670" s="3">
        <v>-6.1000000000000004E-3</v>
      </c>
      <c r="T670">
        <f t="shared" si="21"/>
        <v>2016</v>
      </c>
      <c r="W670" s="86">
        <v>41740</v>
      </c>
      <c r="X670">
        <v>549.6</v>
      </c>
    </row>
    <row r="671" spans="1:24">
      <c r="A671" s="68">
        <v>34237</v>
      </c>
      <c r="B671" s="32">
        <v>809.93</v>
      </c>
      <c r="C671">
        <f t="shared" si="20"/>
        <v>1993</v>
      </c>
      <c r="H671" s="85">
        <v>41576</v>
      </c>
      <c r="I671">
        <v>1884.43</v>
      </c>
      <c r="N671" s="69">
        <v>42489</v>
      </c>
      <c r="O671">
        <v>539.75</v>
      </c>
      <c r="P671">
        <v>530.83000000000004</v>
      </c>
      <c r="Q671">
        <v>539.75</v>
      </c>
      <c r="R671">
        <v>530</v>
      </c>
      <c r="S671" s="3">
        <v>7.3000000000000001E-3</v>
      </c>
      <c r="T671">
        <f t="shared" si="21"/>
        <v>2016</v>
      </c>
      <c r="W671" s="86">
        <v>41743</v>
      </c>
      <c r="X671">
        <v>549.5</v>
      </c>
    </row>
    <row r="672" spans="1:24">
      <c r="A672" s="68">
        <v>34238</v>
      </c>
      <c r="B672" s="33">
        <v>809.93</v>
      </c>
      <c r="C672">
        <f t="shared" si="20"/>
        <v>1993</v>
      </c>
      <c r="H672" s="85">
        <v>41577</v>
      </c>
      <c r="I672">
        <v>1883.42</v>
      </c>
      <c r="N672" s="69">
        <v>42488</v>
      </c>
      <c r="O672">
        <v>535.83000000000004</v>
      </c>
      <c r="P672">
        <v>530.01</v>
      </c>
      <c r="Q672">
        <v>541.76</v>
      </c>
      <c r="R672">
        <v>530</v>
      </c>
      <c r="S672" s="3">
        <v>1.5E-3</v>
      </c>
      <c r="T672">
        <f t="shared" si="21"/>
        <v>2016</v>
      </c>
      <c r="W672" s="86">
        <v>41744</v>
      </c>
      <c r="X672">
        <v>549.5</v>
      </c>
    </row>
    <row r="673" spans="1:24">
      <c r="A673" s="68">
        <v>34239</v>
      </c>
      <c r="B673" s="32">
        <v>809.93</v>
      </c>
      <c r="C673">
        <f t="shared" si="20"/>
        <v>1993</v>
      </c>
      <c r="H673" s="85">
        <v>41578</v>
      </c>
      <c r="I673">
        <v>1884.06</v>
      </c>
      <c r="N673" s="69">
        <v>42487</v>
      </c>
      <c r="O673">
        <v>535.01</v>
      </c>
      <c r="P673">
        <v>529.33000000000004</v>
      </c>
      <c r="Q673">
        <v>540.51</v>
      </c>
      <c r="R673">
        <v>528.92999999999995</v>
      </c>
      <c r="S673" s="3">
        <v>-7.1999999999999998E-3</v>
      </c>
      <c r="T673">
        <f t="shared" si="21"/>
        <v>2016</v>
      </c>
      <c r="W673" s="86">
        <v>41745</v>
      </c>
      <c r="X673">
        <v>549.5</v>
      </c>
    </row>
    <row r="674" spans="1:24">
      <c r="A674" s="68">
        <v>34240</v>
      </c>
      <c r="B674" s="33">
        <v>809.55</v>
      </c>
      <c r="C674">
        <f t="shared" si="20"/>
        <v>1993</v>
      </c>
      <c r="H674" s="85">
        <v>41579</v>
      </c>
      <c r="I674">
        <v>1889.16</v>
      </c>
      <c r="N674" s="69">
        <v>42486</v>
      </c>
      <c r="O674">
        <v>538.9</v>
      </c>
      <c r="P674">
        <v>529.23</v>
      </c>
      <c r="Q674">
        <v>538.9</v>
      </c>
      <c r="R674">
        <v>529.23</v>
      </c>
      <c r="S674" s="3">
        <v>8.6999999999999994E-3</v>
      </c>
      <c r="T674">
        <f t="shared" si="21"/>
        <v>2016</v>
      </c>
      <c r="W674" s="86">
        <v>41746</v>
      </c>
      <c r="X674">
        <v>549.5</v>
      </c>
    </row>
    <row r="675" spans="1:24">
      <c r="A675" s="68">
        <v>34241</v>
      </c>
      <c r="B675" s="32">
        <v>809.69</v>
      </c>
      <c r="C675">
        <f t="shared" si="20"/>
        <v>1993</v>
      </c>
      <c r="H675" s="85">
        <v>41580</v>
      </c>
      <c r="I675">
        <v>1901.22</v>
      </c>
      <c r="N675" s="69">
        <v>42485</v>
      </c>
      <c r="O675">
        <v>534.23</v>
      </c>
      <c r="P675">
        <v>529.26</v>
      </c>
      <c r="Q675">
        <v>540.96</v>
      </c>
      <c r="R675">
        <v>528.70000000000005</v>
      </c>
      <c r="S675" s="3">
        <v>-1.4E-3</v>
      </c>
      <c r="T675">
        <f t="shared" si="21"/>
        <v>2016</v>
      </c>
      <c r="W675" s="86">
        <v>41747</v>
      </c>
      <c r="X675">
        <v>549.29999999999995</v>
      </c>
    </row>
    <row r="676" spans="1:24">
      <c r="A676" s="68">
        <v>34242</v>
      </c>
      <c r="B676" s="33">
        <v>810.84</v>
      </c>
      <c r="C676">
        <f t="shared" si="20"/>
        <v>1993</v>
      </c>
      <c r="H676" s="85">
        <v>41581</v>
      </c>
      <c r="I676">
        <v>1901.22</v>
      </c>
      <c r="N676" s="69">
        <v>42482</v>
      </c>
      <c r="O676">
        <v>534.98</v>
      </c>
      <c r="P676">
        <v>529.32000000000005</v>
      </c>
      <c r="Q676">
        <v>540.61</v>
      </c>
      <c r="R676">
        <v>529.09</v>
      </c>
      <c r="S676" s="3">
        <v>1.1999999999999999E-3</v>
      </c>
      <c r="T676">
        <f t="shared" si="21"/>
        <v>2016</v>
      </c>
      <c r="W676" s="86">
        <v>41750</v>
      </c>
      <c r="X676">
        <v>549.25</v>
      </c>
    </row>
    <row r="677" spans="1:24">
      <c r="A677" s="68">
        <v>34243</v>
      </c>
      <c r="B677" s="32">
        <v>811.31</v>
      </c>
      <c r="C677">
        <f t="shared" si="20"/>
        <v>1993</v>
      </c>
      <c r="H677" s="85">
        <v>41582</v>
      </c>
      <c r="I677">
        <v>1901.22</v>
      </c>
      <c r="N677" s="69">
        <v>42481</v>
      </c>
      <c r="O677">
        <v>534.32000000000005</v>
      </c>
      <c r="P677">
        <v>529.33000000000004</v>
      </c>
      <c r="Q677">
        <v>540.30999999999995</v>
      </c>
      <c r="R677">
        <v>528.78</v>
      </c>
      <c r="S677" s="3">
        <v>0</v>
      </c>
      <c r="T677">
        <f t="shared" si="21"/>
        <v>2016</v>
      </c>
      <c r="W677" s="86">
        <v>41751</v>
      </c>
      <c r="X677">
        <v>548.5</v>
      </c>
    </row>
    <row r="678" spans="1:24">
      <c r="A678" s="68">
        <v>34244</v>
      </c>
      <c r="B678" s="33">
        <v>812.29</v>
      </c>
      <c r="C678">
        <f t="shared" si="20"/>
        <v>1993</v>
      </c>
      <c r="H678" s="85">
        <v>41583</v>
      </c>
      <c r="I678">
        <v>1901.22</v>
      </c>
      <c r="N678" s="69">
        <v>42480</v>
      </c>
      <c r="O678">
        <v>534.33000000000004</v>
      </c>
      <c r="P678">
        <v>529.08000000000004</v>
      </c>
      <c r="Q678">
        <v>540.36</v>
      </c>
      <c r="R678">
        <v>528.54999999999995</v>
      </c>
      <c r="S678" s="3">
        <v>5.0000000000000001E-4</v>
      </c>
      <c r="T678">
        <f t="shared" si="21"/>
        <v>2016</v>
      </c>
      <c r="W678" s="86">
        <v>41752</v>
      </c>
      <c r="X678">
        <v>548.5</v>
      </c>
    </row>
    <row r="679" spans="1:24">
      <c r="A679" s="68">
        <v>34245</v>
      </c>
      <c r="B679" s="32">
        <v>812.29</v>
      </c>
      <c r="C679">
        <f t="shared" si="20"/>
        <v>1993</v>
      </c>
      <c r="H679" s="85">
        <v>41584</v>
      </c>
      <c r="I679">
        <v>1916.22</v>
      </c>
      <c r="N679" s="69">
        <v>42479</v>
      </c>
      <c r="O679">
        <v>534.08000000000004</v>
      </c>
      <c r="P679">
        <v>529.15</v>
      </c>
      <c r="Q679">
        <v>539.86</v>
      </c>
      <c r="R679">
        <v>529.08000000000004</v>
      </c>
      <c r="S679" s="3">
        <v>-6.1000000000000004E-3</v>
      </c>
      <c r="T679">
        <f t="shared" si="21"/>
        <v>2016</v>
      </c>
      <c r="W679" s="86">
        <v>41753</v>
      </c>
      <c r="X679">
        <v>548.5</v>
      </c>
    </row>
    <row r="680" spans="1:24">
      <c r="A680" s="68">
        <v>34246</v>
      </c>
      <c r="B680" s="33">
        <v>812.29</v>
      </c>
      <c r="C680">
        <f t="shared" si="20"/>
        <v>1993</v>
      </c>
      <c r="H680" s="85">
        <v>41585</v>
      </c>
      <c r="I680">
        <v>1916.8</v>
      </c>
      <c r="N680" s="69">
        <v>42478</v>
      </c>
      <c r="O680">
        <v>537.37</v>
      </c>
      <c r="P680">
        <v>529.42999999999995</v>
      </c>
      <c r="Q680">
        <v>537.37</v>
      </c>
      <c r="R680">
        <v>529.09</v>
      </c>
      <c r="S680" s="3">
        <v>5.4999999999999997E-3</v>
      </c>
      <c r="T680">
        <f t="shared" si="21"/>
        <v>2016</v>
      </c>
      <c r="W680" s="86">
        <v>41754</v>
      </c>
      <c r="X680">
        <v>548.5</v>
      </c>
    </row>
    <row r="681" spans="1:24">
      <c r="A681" s="68">
        <v>34247</v>
      </c>
      <c r="B681" s="32">
        <v>812.27</v>
      </c>
      <c r="C681">
        <f t="shared" si="20"/>
        <v>1993</v>
      </c>
      <c r="H681" s="85">
        <v>41586</v>
      </c>
      <c r="I681">
        <v>1924.87</v>
      </c>
      <c r="N681" s="69">
        <v>42475</v>
      </c>
      <c r="O681">
        <v>534.42999999999995</v>
      </c>
      <c r="P681">
        <v>529.62</v>
      </c>
      <c r="Q681">
        <v>539.80999999999995</v>
      </c>
      <c r="R681">
        <v>529.08000000000004</v>
      </c>
      <c r="S681" s="3">
        <v>-4.0000000000000002E-4</v>
      </c>
      <c r="T681">
        <f t="shared" si="21"/>
        <v>2016</v>
      </c>
      <c r="W681" s="86">
        <v>41757</v>
      </c>
      <c r="X681">
        <v>548.1</v>
      </c>
    </row>
    <row r="682" spans="1:24">
      <c r="A682" s="68">
        <v>34248</v>
      </c>
      <c r="B682" s="33">
        <v>812.75</v>
      </c>
      <c r="C682">
        <f t="shared" si="20"/>
        <v>1993</v>
      </c>
      <c r="H682" s="85">
        <v>41587</v>
      </c>
      <c r="I682">
        <v>1932.77</v>
      </c>
      <c r="N682" s="69">
        <v>42474</v>
      </c>
      <c r="O682">
        <v>534.62</v>
      </c>
      <c r="P682">
        <v>530.08000000000004</v>
      </c>
      <c r="Q682">
        <v>540.91</v>
      </c>
      <c r="R682">
        <v>529.09</v>
      </c>
      <c r="S682" s="3">
        <v>-5.4000000000000003E-3</v>
      </c>
      <c r="T682">
        <f t="shared" si="21"/>
        <v>2016</v>
      </c>
      <c r="W682" s="86">
        <v>41758</v>
      </c>
      <c r="X682">
        <v>548.04999999999995</v>
      </c>
    </row>
    <row r="683" spans="1:24">
      <c r="A683" s="68">
        <v>34249</v>
      </c>
      <c r="B683" s="32">
        <v>812.54</v>
      </c>
      <c r="C683">
        <f t="shared" si="20"/>
        <v>1993</v>
      </c>
      <c r="H683" s="85">
        <v>41588</v>
      </c>
      <c r="I683">
        <v>1932.77</v>
      </c>
      <c r="N683" s="69">
        <v>42473</v>
      </c>
      <c r="O683">
        <v>537.51</v>
      </c>
      <c r="P683">
        <v>530.20000000000005</v>
      </c>
      <c r="Q683">
        <v>538.04999999999995</v>
      </c>
      <c r="R683">
        <v>530</v>
      </c>
      <c r="S683" s="3">
        <v>4.3E-3</v>
      </c>
      <c r="T683">
        <f t="shared" si="21"/>
        <v>2016</v>
      </c>
      <c r="W683" s="86">
        <v>41759</v>
      </c>
      <c r="X683">
        <v>548</v>
      </c>
    </row>
    <row r="684" spans="1:24">
      <c r="A684" s="68">
        <v>34250</v>
      </c>
      <c r="B684" s="33">
        <v>811.91</v>
      </c>
      <c r="C684">
        <f t="shared" si="20"/>
        <v>1993</v>
      </c>
      <c r="H684" s="85">
        <v>41589</v>
      </c>
      <c r="I684">
        <v>1932.77</v>
      </c>
      <c r="N684" s="69">
        <v>42472</v>
      </c>
      <c r="O684">
        <v>535.20000000000005</v>
      </c>
      <c r="P684">
        <v>530.17999999999995</v>
      </c>
      <c r="Q684">
        <v>540.96</v>
      </c>
      <c r="R684">
        <v>530</v>
      </c>
      <c r="S684" s="3">
        <v>0</v>
      </c>
      <c r="T684">
        <f t="shared" si="21"/>
        <v>2016</v>
      </c>
      <c r="W684" s="86">
        <v>41760</v>
      </c>
      <c r="X684">
        <v>552.15</v>
      </c>
    </row>
    <row r="685" spans="1:24">
      <c r="A685" s="68">
        <v>34251</v>
      </c>
      <c r="B685" s="32">
        <v>811.28</v>
      </c>
      <c r="C685">
        <f t="shared" si="20"/>
        <v>1993</v>
      </c>
      <c r="H685" s="85">
        <v>41590</v>
      </c>
      <c r="I685">
        <v>1932.77</v>
      </c>
      <c r="N685" s="69">
        <v>42471</v>
      </c>
      <c r="O685">
        <v>535.17999999999995</v>
      </c>
      <c r="P685">
        <v>530.27</v>
      </c>
      <c r="Q685">
        <v>535.27</v>
      </c>
      <c r="R685">
        <v>530</v>
      </c>
      <c r="S685" s="3">
        <v>-2.0000000000000001E-4</v>
      </c>
      <c r="T685">
        <f t="shared" si="21"/>
        <v>2016</v>
      </c>
      <c r="W685" s="86">
        <v>41761</v>
      </c>
      <c r="X685">
        <v>552</v>
      </c>
    </row>
    <row r="686" spans="1:24">
      <c r="A686" s="68">
        <v>34252</v>
      </c>
      <c r="B686" s="33">
        <v>811.28</v>
      </c>
      <c r="C686">
        <f t="shared" si="20"/>
        <v>1993</v>
      </c>
      <c r="H686" s="85">
        <v>41591</v>
      </c>
      <c r="I686">
        <v>1928.96</v>
      </c>
      <c r="N686" s="69">
        <v>42468</v>
      </c>
      <c r="O686">
        <v>535.27</v>
      </c>
      <c r="P686">
        <v>530.25</v>
      </c>
      <c r="Q686">
        <v>535.27</v>
      </c>
      <c r="R686">
        <v>530</v>
      </c>
      <c r="S686" s="3">
        <v>0</v>
      </c>
      <c r="T686">
        <f t="shared" si="21"/>
        <v>2016</v>
      </c>
      <c r="W686" s="86">
        <v>41764</v>
      </c>
      <c r="X686">
        <v>552.29999999999995</v>
      </c>
    </row>
    <row r="687" spans="1:24">
      <c r="A687" s="68">
        <v>34253</v>
      </c>
      <c r="B687" s="32">
        <v>811.28</v>
      </c>
      <c r="C687">
        <f t="shared" si="20"/>
        <v>1993</v>
      </c>
      <c r="H687" s="85">
        <v>41592</v>
      </c>
      <c r="I687">
        <v>1932.03</v>
      </c>
      <c r="N687" s="69">
        <v>42467</v>
      </c>
      <c r="O687">
        <v>535.25</v>
      </c>
      <c r="P687">
        <v>530.29999999999995</v>
      </c>
      <c r="Q687">
        <v>535.29999999999995</v>
      </c>
      <c r="R687">
        <v>530</v>
      </c>
      <c r="S687" s="3">
        <v>-1E-4</v>
      </c>
      <c r="T687">
        <f t="shared" si="21"/>
        <v>2016</v>
      </c>
      <c r="W687" s="86">
        <v>41765</v>
      </c>
      <c r="X687">
        <v>553.70000000000005</v>
      </c>
    </row>
    <row r="688" spans="1:24">
      <c r="A688" s="68">
        <v>34254</v>
      </c>
      <c r="B688" s="33">
        <v>811.19</v>
      </c>
      <c r="C688">
        <f t="shared" si="20"/>
        <v>1993</v>
      </c>
      <c r="H688" s="85">
        <v>41593</v>
      </c>
      <c r="I688">
        <v>1929.24</v>
      </c>
      <c r="N688" s="69">
        <v>42466</v>
      </c>
      <c r="O688">
        <v>535.29999999999995</v>
      </c>
      <c r="P688">
        <v>529.95000000000005</v>
      </c>
      <c r="Q688">
        <v>535.29999999999995</v>
      </c>
      <c r="R688">
        <v>529.95000000000005</v>
      </c>
      <c r="S688" s="3">
        <v>6.9999999999999999E-4</v>
      </c>
      <c r="T688">
        <f t="shared" si="21"/>
        <v>2016</v>
      </c>
      <c r="W688" s="86">
        <v>41766</v>
      </c>
      <c r="X688">
        <v>554.35</v>
      </c>
    </row>
    <row r="689" spans="1:24">
      <c r="A689" s="68">
        <v>34255</v>
      </c>
      <c r="B689" s="32">
        <v>811.47</v>
      </c>
      <c r="C689">
        <f t="shared" si="20"/>
        <v>1993</v>
      </c>
      <c r="H689" s="85">
        <v>41594</v>
      </c>
      <c r="I689">
        <v>1919.89</v>
      </c>
      <c r="N689" s="69">
        <v>42465</v>
      </c>
      <c r="O689">
        <v>534.95000000000005</v>
      </c>
      <c r="P689">
        <v>529.6</v>
      </c>
      <c r="Q689">
        <v>540.91</v>
      </c>
      <c r="R689">
        <v>529.6</v>
      </c>
      <c r="S689" s="3">
        <v>6.9999999999999999E-4</v>
      </c>
      <c r="T689">
        <f t="shared" si="21"/>
        <v>2016</v>
      </c>
      <c r="W689" s="86">
        <v>41767</v>
      </c>
      <c r="X689">
        <v>554.20000000000005</v>
      </c>
    </row>
    <row r="690" spans="1:24">
      <c r="A690" s="68">
        <v>34256</v>
      </c>
      <c r="B690" s="33">
        <v>811.46</v>
      </c>
      <c r="C690">
        <f t="shared" si="20"/>
        <v>1993</v>
      </c>
      <c r="H690" s="85">
        <v>41595</v>
      </c>
      <c r="I690">
        <v>1919.89</v>
      </c>
      <c r="N690" s="69">
        <v>42464</v>
      </c>
      <c r="O690">
        <v>534.6</v>
      </c>
      <c r="P690">
        <v>529.6</v>
      </c>
      <c r="Q690">
        <v>541.51</v>
      </c>
      <c r="R690">
        <v>529.58000000000004</v>
      </c>
      <c r="S690" s="3">
        <v>0</v>
      </c>
      <c r="T690">
        <f t="shared" si="21"/>
        <v>2016</v>
      </c>
      <c r="W690" s="86">
        <v>41768</v>
      </c>
      <c r="X690">
        <v>554.1</v>
      </c>
    </row>
    <row r="691" spans="1:24">
      <c r="A691" s="68">
        <v>34257</v>
      </c>
      <c r="B691" s="32">
        <v>812.41</v>
      </c>
      <c r="C691">
        <f t="shared" si="20"/>
        <v>1993</v>
      </c>
      <c r="H691" s="85">
        <v>41596</v>
      </c>
      <c r="I691">
        <v>1919.89</v>
      </c>
      <c r="N691" s="69">
        <v>42461</v>
      </c>
      <c r="O691">
        <v>534.6</v>
      </c>
      <c r="P691">
        <v>529.58000000000004</v>
      </c>
      <c r="Q691">
        <v>540.96</v>
      </c>
      <c r="R691">
        <v>529.58000000000004</v>
      </c>
      <c r="S691" s="3">
        <v>0</v>
      </c>
      <c r="T691">
        <f t="shared" si="21"/>
        <v>2016</v>
      </c>
      <c r="W691" s="86">
        <v>41771</v>
      </c>
      <c r="X691">
        <v>554.1</v>
      </c>
    </row>
    <row r="692" spans="1:24">
      <c r="A692" s="68">
        <v>34258</v>
      </c>
      <c r="B692" s="33">
        <v>813.28</v>
      </c>
      <c r="C692">
        <f t="shared" si="20"/>
        <v>1993</v>
      </c>
      <c r="H692" s="85">
        <v>41597</v>
      </c>
      <c r="I692">
        <v>1915.37</v>
      </c>
      <c r="N692" s="69">
        <v>42460</v>
      </c>
      <c r="O692">
        <v>534.58000000000004</v>
      </c>
      <c r="P692">
        <v>528.76</v>
      </c>
      <c r="Q692">
        <v>541.11</v>
      </c>
      <c r="R692">
        <v>528.76</v>
      </c>
      <c r="S692" s="3">
        <v>-5.1999999999999998E-3</v>
      </c>
      <c r="T692">
        <f t="shared" si="21"/>
        <v>2016</v>
      </c>
      <c r="W692" s="86">
        <v>41772</v>
      </c>
      <c r="X692">
        <v>554.1</v>
      </c>
    </row>
    <row r="693" spans="1:24">
      <c r="A693" s="68">
        <v>34259</v>
      </c>
      <c r="B693" s="32">
        <v>813.28</v>
      </c>
      <c r="C693">
        <f t="shared" si="20"/>
        <v>1993</v>
      </c>
      <c r="H693" s="85">
        <v>41598</v>
      </c>
      <c r="I693">
        <v>1919.2</v>
      </c>
      <c r="N693" s="69">
        <v>42459</v>
      </c>
      <c r="O693">
        <v>537.4</v>
      </c>
      <c r="P693">
        <v>528.70000000000005</v>
      </c>
      <c r="Q693">
        <v>537.55999999999995</v>
      </c>
      <c r="R693">
        <v>528.70000000000005</v>
      </c>
      <c r="S693" s="3">
        <v>1E-4</v>
      </c>
      <c r="T693">
        <f t="shared" si="21"/>
        <v>2016</v>
      </c>
      <c r="W693" s="86">
        <v>41773</v>
      </c>
      <c r="X693">
        <v>553.1</v>
      </c>
    </row>
    <row r="694" spans="1:24">
      <c r="A694" s="68">
        <v>34260</v>
      </c>
      <c r="B694" s="33">
        <v>813.28</v>
      </c>
      <c r="C694">
        <f t="shared" si="20"/>
        <v>1993</v>
      </c>
      <c r="H694" s="85">
        <v>41599</v>
      </c>
      <c r="I694">
        <v>1923.19</v>
      </c>
      <c r="N694" s="69">
        <v>42458</v>
      </c>
      <c r="O694">
        <v>537.33000000000004</v>
      </c>
      <c r="P694">
        <v>528.67999999999995</v>
      </c>
      <c r="Q694">
        <v>537.33000000000004</v>
      </c>
      <c r="R694">
        <v>528.66999999999996</v>
      </c>
      <c r="S694" s="3">
        <v>6.7999999999999996E-3</v>
      </c>
      <c r="T694">
        <f t="shared" si="21"/>
        <v>2016</v>
      </c>
      <c r="W694" s="86">
        <v>41774</v>
      </c>
      <c r="X694">
        <v>552.79999999999995</v>
      </c>
    </row>
    <row r="695" spans="1:24">
      <c r="A695" s="68">
        <v>34261</v>
      </c>
      <c r="B695" s="32">
        <v>813.28</v>
      </c>
      <c r="C695">
        <f t="shared" si="20"/>
        <v>1993</v>
      </c>
      <c r="H695" s="85">
        <v>41600</v>
      </c>
      <c r="I695">
        <v>1932.42</v>
      </c>
      <c r="N695" s="69">
        <v>42457</v>
      </c>
      <c r="O695">
        <v>533.67999999999995</v>
      </c>
      <c r="P695">
        <v>528.70000000000005</v>
      </c>
      <c r="Q695">
        <v>539.07000000000005</v>
      </c>
      <c r="R695">
        <v>528.67999999999995</v>
      </c>
      <c r="S695" s="3">
        <v>0</v>
      </c>
      <c r="T695">
        <f t="shared" si="21"/>
        <v>2016</v>
      </c>
      <c r="W695" s="86">
        <v>41775</v>
      </c>
      <c r="X695">
        <v>551.79999999999995</v>
      </c>
    </row>
    <row r="696" spans="1:24">
      <c r="A696" s="68">
        <v>34262</v>
      </c>
      <c r="B696" s="33">
        <v>813.79</v>
      </c>
      <c r="C696">
        <f t="shared" si="20"/>
        <v>1993</v>
      </c>
      <c r="H696" s="85">
        <v>41601</v>
      </c>
      <c r="I696">
        <v>1929.13</v>
      </c>
      <c r="N696" s="69">
        <v>42454</v>
      </c>
      <c r="O696">
        <v>533.70000000000005</v>
      </c>
      <c r="P696">
        <v>528.70000000000005</v>
      </c>
      <c r="Q696">
        <v>533.70000000000005</v>
      </c>
      <c r="R696">
        <v>528.67999999999995</v>
      </c>
      <c r="S696" s="3">
        <v>0</v>
      </c>
      <c r="T696">
        <f t="shared" si="21"/>
        <v>2016</v>
      </c>
      <c r="W696" s="86">
        <v>41778</v>
      </c>
      <c r="X696">
        <v>551.9</v>
      </c>
    </row>
    <row r="697" spans="1:24">
      <c r="A697" s="68">
        <v>34263</v>
      </c>
      <c r="B697" s="32">
        <v>816.41</v>
      </c>
      <c r="C697">
        <f t="shared" si="20"/>
        <v>1993</v>
      </c>
      <c r="H697" s="85">
        <v>41602</v>
      </c>
      <c r="I697">
        <v>1929.13</v>
      </c>
      <c r="N697" s="69">
        <v>42453</v>
      </c>
      <c r="O697">
        <v>533.70000000000005</v>
      </c>
      <c r="P697">
        <v>528.86</v>
      </c>
      <c r="Q697">
        <v>536.72</v>
      </c>
      <c r="R697">
        <v>528.33000000000004</v>
      </c>
      <c r="S697" s="3">
        <v>-2.9999999999999997E-4</v>
      </c>
      <c r="T697">
        <f t="shared" si="21"/>
        <v>2016</v>
      </c>
      <c r="W697" s="86">
        <v>41779</v>
      </c>
      <c r="X697">
        <v>552.1</v>
      </c>
    </row>
    <row r="698" spans="1:24">
      <c r="A698" s="68">
        <v>34264</v>
      </c>
      <c r="B698" s="33">
        <v>819.26</v>
      </c>
      <c r="C698">
        <f t="shared" si="20"/>
        <v>1993</v>
      </c>
      <c r="H698" s="85">
        <v>41603</v>
      </c>
      <c r="I698">
        <v>1929.13</v>
      </c>
      <c r="N698" s="69">
        <v>42452</v>
      </c>
      <c r="O698">
        <v>533.86</v>
      </c>
      <c r="P698">
        <v>528.95000000000005</v>
      </c>
      <c r="Q698">
        <v>536.72</v>
      </c>
      <c r="R698">
        <v>528.33000000000004</v>
      </c>
      <c r="S698" s="3">
        <v>-2.0000000000000001E-4</v>
      </c>
      <c r="T698">
        <f t="shared" si="21"/>
        <v>2016</v>
      </c>
      <c r="W698" s="86">
        <v>41780</v>
      </c>
      <c r="X698">
        <v>552.9</v>
      </c>
    </row>
    <row r="699" spans="1:24">
      <c r="A699" s="68">
        <v>34265</v>
      </c>
      <c r="B699" s="32">
        <v>819.41</v>
      </c>
      <c r="C699">
        <f t="shared" si="20"/>
        <v>1993</v>
      </c>
      <c r="H699" s="85">
        <v>41604</v>
      </c>
      <c r="I699">
        <v>1926.99</v>
      </c>
      <c r="N699" s="69">
        <v>42451</v>
      </c>
      <c r="O699">
        <v>533.95000000000005</v>
      </c>
      <c r="P699">
        <v>528.88</v>
      </c>
      <c r="Q699">
        <v>535</v>
      </c>
      <c r="R699">
        <v>528.87</v>
      </c>
      <c r="S699" s="3">
        <v>1E-4</v>
      </c>
      <c r="T699">
        <f t="shared" si="21"/>
        <v>2016</v>
      </c>
      <c r="W699" s="86">
        <v>41781</v>
      </c>
      <c r="X699">
        <v>552.5</v>
      </c>
    </row>
    <row r="700" spans="1:24">
      <c r="A700" s="68">
        <v>34266</v>
      </c>
      <c r="B700" s="33">
        <v>819.41</v>
      </c>
      <c r="C700">
        <f t="shared" si="20"/>
        <v>1993</v>
      </c>
      <c r="H700" s="85">
        <v>41605</v>
      </c>
      <c r="I700">
        <v>1926.74</v>
      </c>
      <c r="N700" s="69">
        <v>42450</v>
      </c>
      <c r="O700">
        <v>533.88</v>
      </c>
      <c r="P700">
        <v>528.96</v>
      </c>
      <c r="Q700">
        <v>535</v>
      </c>
      <c r="R700">
        <v>528.41999999999996</v>
      </c>
      <c r="S700" s="3">
        <v>-1E-4</v>
      </c>
      <c r="T700">
        <f t="shared" si="21"/>
        <v>2016</v>
      </c>
      <c r="W700" s="86">
        <v>41782</v>
      </c>
      <c r="X700">
        <v>552.5</v>
      </c>
    </row>
    <row r="701" spans="1:24">
      <c r="A701" s="68">
        <v>34267</v>
      </c>
      <c r="B701" s="32">
        <v>819.41</v>
      </c>
      <c r="C701">
        <f t="shared" si="20"/>
        <v>1993</v>
      </c>
      <c r="H701" s="85">
        <v>41606</v>
      </c>
      <c r="I701">
        <v>1928.25</v>
      </c>
      <c r="N701" s="69">
        <v>42447</v>
      </c>
      <c r="O701">
        <v>533.96</v>
      </c>
      <c r="P701">
        <v>528.94000000000005</v>
      </c>
      <c r="Q701">
        <v>538.91999999999996</v>
      </c>
      <c r="R701">
        <v>528.94000000000005</v>
      </c>
      <c r="S701" s="3">
        <v>0</v>
      </c>
      <c r="T701">
        <f t="shared" si="21"/>
        <v>2016</v>
      </c>
      <c r="W701" s="86">
        <v>41785</v>
      </c>
      <c r="X701">
        <v>552.5</v>
      </c>
    </row>
    <row r="702" spans="1:24">
      <c r="A702" s="68">
        <v>34268</v>
      </c>
      <c r="B702" s="33">
        <v>819.44</v>
      </c>
      <c r="C702">
        <f t="shared" si="20"/>
        <v>1993</v>
      </c>
      <c r="H702" s="85">
        <v>41607</v>
      </c>
      <c r="I702">
        <v>1928.25</v>
      </c>
      <c r="N702" s="69">
        <v>42446</v>
      </c>
      <c r="O702">
        <v>533.94000000000005</v>
      </c>
      <c r="P702">
        <v>528.92999999999995</v>
      </c>
      <c r="Q702">
        <v>539.07000000000005</v>
      </c>
      <c r="R702">
        <v>528.91999999999996</v>
      </c>
      <c r="S702" s="3">
        <v>0</v>
      </c>
      <c r="T702">
        <f t="shared" si="21"/>
        <v>2016</v>
      </c>
      <c r="W702" s="86">
        <v>41786</v>
      </c>
      <c r="X702">
        <v>552.70000000000005</v>
      </c>
    </row>
    <row r="703" spans="1:24">
      <c r="A703" s="68">
        <v>34269</v>
      </c>
      <c r="B703" s="32">
        <v>819.55</v>
      </c>
      <c r="C703">
        <f t="shared" si="20"/>
        <v>1993</v>
      </c>
      <c r="H703" s="85">
        <v>41608</v>
      </c>
      <c r="I703">
        <v>1931.88</v>
      </c>
      <c r="N703" s="69">
        <v>42445</v>
      </c>
      <c r="O703">
        <v>533.92999999999995</v>
      </c>
      <c r="P703">
        <v>528.99</v>
      </c>
      <c r="Q703">
        <v>535</v>
      </c>
      <c r="R703">
        <v>528.91999999999996</v>
      </c>
      <c r="S703" s="3">
        <v>-1E-4</v>
      </c>
      <c r="T703">
        <f t="shared" si="21"/>
        <v>2016</v>
      </c>
      <c r="W703" s="86">
        <v>41787</v>
      </c>
      <c r="X703">
        <v>552.5</v>
      </c>
    </row>
    <row r="704" spans="1:24">
      <c r="A704" s="68">
        <v>34270</v>
      </c>
      <c r="B704" s="33">
        <v>818.98</v>
      </c>
      <c r="C704">
        <f t="shared" si="20"/>
        <v>1993</v>
      </c>
      <c r="H704" s="85">
        <v>41609</v>
      </c>
      <c r="I704">
        <v>1931.88</v>
      </c>
      <c r="N704" s="69">
        <v>42444</v>
      </c>
      <c r="O704">
        <v>533.99</v>
      </c>
      <c r="P704">
        <v>529.08000000000004</v>
      </c>
      <c r="Q704">
        <v>535</v>
      </c>
      <c r="R704">
        <v>528.99</v>
      </c>
      <c r="S704" s="3">
        <v>-2.0000000000000001E-4</v>
      </c>
      <c r="T704">
        <f t="shared" si="21"/>
        <v>2016</v>
      </c>
      <c r="W704" s="86">
        <v>41788</v>
      </c>
      <c r="X704">
        <v>552.5</v>
      </c>
    </row>
    <row r="705" spans="1:24">
      <c r="A705" s="68">
        <v>34271</v>
      </c>
      <c r="B705" s="32">
        <v>818.06</v>
      </c>
      <c r="C705">
        <f t="shared" si="20"/>
        <v>1993</v>
      </c>
      <c r="H705" s="85">
        <v>41610</v>
      </c>
      <c r="I705">
        <v>1931.88</v>
      </c>
      <c r="N705" s="69">
        <v>42443</v>
      </c>
      <c r="O705">
        <v>534.08000000000004</v>
      </c>
      <c r="P705">
        <v>529.07000000000005</v>
      </c>
      <c r="Q705">
        <v>539.32000000000005</v>
      </c>
      <c r="R705">
        <v>529.07000000000005</v>
      </c>
      <c r="S705" s="3">
        <v>0</v>
      </c>
      <c r="T705">
        <f t="shared" si="21"/>
        <v>2016</v>
      </c>
      <c r="W705" s="86">
        <v>41789</v>
      </c>
      <c r="X705">
        <v>553.29999999999995</v>
      </c>
    </row>
    <row r="706" spans="1:24">
      <c r="A706" s="68">
        <v>34272</v>
      </c>
      <c r="B706" s="33">
        <v>817.03</v>
      </c>
      <c r="C706">
        <f t="shared" si="20"/>
        <v>1993</v>
      </c>
      <c r="H706" s="85">
        <v>41611</v>
      </c>
      <c r="I706">
        <v>1934.16</v>
      </c>
      <c r="N706" s="69">
        <v>42440</v>
      </c>
      <c r="O706">
        <v>534.07000000000005</v>
      </c>
      <c r="P706">
        <v>529.42999999999995</v>
      </c>
      <c r="Q706">
        <v>539.32000000000005</v>
      </c>
      <c r="R706">
        <v>529.07000000000005</v>
      </c>
      <c r="S706" s="3">
        <v>-6.9999999999999999E-4</v>
      </c>
      <c r="T706">
        <f t="shared" si="21"/>
        <v>2016</v>
      </c>
      <c r="W706" s="86">
        <v>41792</v>
      </c>
      <c r="X706">
        <v>552.95000000000005</v>
      </c>
    </row>
    <row r="707" spans="1:24">
      <c r="A707" s="68">
        <v>34273</v>
      </c>
      <c r="B707" s="32">
        <v>817.03</v>
      </c>
      <c r="C707">
        <f t="shared" si="20"/>
        <v>1993</v>
      </c>
      <c r="H707" s="85">
        <v>41612</v>
      </c>
      <c r="I707">
        <v>1941.01</v>
      </c>
      <c r="N707" s="69">
        <v>42439</v>
      </c>
      <c r="O707">
        <v>534.42999999999995</v>
      </c>
      <c r="P707">
        <v>529.4</v>
      </c>
      <c r="Q707">
        <v>539.32000000000005</v>
      </c>
      <c r="R707">
        <v>528.9</v>
      </c>
      <c r="S707" s="3">
        <v>1E-4</v>
      </c>
      <c r="T707">
        <f t="shared" si="21"/>
        <v>2016</v>
      </c>
      <c r="W707" s="86">
        <v>41793</v>
      </c>
      <c r="X707">
        <v>554.1</v>
      </c>
    </row>
    <row r="708" spans="1:24">
      <c r="A708" s="68">
        <v>34274</v>
      </c>
      <c r="B708" s="33">
        <v>817.03</v>
      </c>
      <c r="C708">
        <f t="shared" ref="C708:C771" si="22">YEAR(A708)</f>
        <v>1993</v>
      </c>
      <c r="H708" s="85">
        <v>41613</v>
      </c>
      <c r="I708">
        <v>1948.48</v>
      </c>
      <c r="N708" s="69">
        <v>42438</v>
      </c>
      <c r="O708">
        <v>534.4</v>
      </c>
      <c r="P708">
        <v>529.52</v>
      </c>
      <c r="Q708">
        <v>534.52</v>
      </c>
      <c r="R708">
        <v>528.87</v>
      </c>
      <c r="S708" s="3">
        <v>-2.0000000000000001E-4</v>
      </c>
      <c r="T708">
        <f t="shared" ref="T708:T771" si="23">YEAR(N708)</f>
        <v>2016</v>
      </c>
      <c r="W708" s="86">
        <v>41794</v>
      </c>
      <c r="X708">
        <v>554.29999999999995</v>
      </c>
    </row>
    <row r="709" spans="1:24">
      <c r="A709" s="68">
        <v>34275</v>
      </c>
      <c r="B709" s="32">
        <v>817.03</v>
      </c>
      <c r="C709">
        <f t="shared" si="22"/>
        <v>1993</v>
      </c>
      <c r="H709" s="85">
        <v>41614</v>
      </c>
      <c r="I709">
        <v>1940.26</v>
      </c>
      <c r="N709" s="69">
        <v>42437</v>
      </c>
      <c r="O709">
        <v>534.52</v>
      </c>
      <c r="P709">
        <v>529.42999999999995</v>
      </c>
      <c r="Q709">
        <v>538.84</v>
      </c>
      <c r="R709">
        <v>529.42999999999995</v>
      </c>
      <c r="S709" s="3">
        <v>-4.7000000000000002E-3</v>
      </c>
      <c r="T709">
        <f t="shared" si="23"/>
        <v>2016</v>
      </c>
      <c r="W709" s="86">
        <v>41795</v>
      </c>
      <c r="X709">
        <v>554.45000000000005</v>
      </c>
    </row>
    <row r="710" spans="1:24">
      <c r="A710" s="68">
        <v>34276</v>
      </c>
      <c r="B710" s="33">
        <v>816.7</v>
      </c>
      <c r="C710">
        <f t="shared" si="22"/>
        <v>1993</v>
      </c>
      <c r="H710" s="85">
        <v>41615</v>
      </c>
      <c r="I710">
        <v>1936.33</v>
      </c>
      <c r="N710" s="69">
        <v>42436</v>
      </c>
      <c r="O710">
        <v>537.04</v>
      </c>
      <c r="P710">
        <v>529.33000000000004</v>
      </c>
      <c r="Q710">
        <v>537.1</v>
      </c>
      <c r="R710">
        <v>529.33000000000004</v>
      </c>
      <c r="S710" s="3">
        <v>5.1000000000000004E-3</v>
      </c>
      <c r="T710">
        <f t="shared" si="23"/>
        <v>2016</v>
      </c>
      <c r="W710" s="86">
        <v>41796</v>
      </c>
      <c r="X710">
        <v>554.29999999999995</v>
      </c>
    </row>
    <row r="711" spans="1:24">
      <c r="A711" s="68">
        <v>34277</v>
      </c>
      <c r="B711" s="32">
        <v>817.01</v>
      </c>
      <c r="C711">
        <f t="shared" si="22"/>
        <v>1993</v>
      </c>
      <c r="H711" s="85">
        <v>41616</v>
      </c>
      <c r="I711">
        <v>1936.33</v>
      </c>
      <c r="N711" s="69">
        <v>42433</v>
      </c>
      <c r="O711">
        <v>534.33000000000004</v>
      </c>
      <c r="P711">
        <v>529.58000000000004</v>
      </c>
      <c r="Q711">
        <v>539.76</v>
      </c>
      <c r="R711">
        <v>529.32000000000005</v>
      </c>
      <c r="S711" s="3">
        <v>-5.0000000000000001E-4</v>
      </c>
      <c r="T711">
        <f t="shared" si="23"/>
        <v>2016</v>
      </c>
      <c r="W711" s="86">
        <v>41799</v>
      </c>
      <c r="X711">
        <v>554.20000000000005</v>
      </c>
    </row>
    <row r="712" spans="1:24">
      <c r="A712" s="68">
        <v>34278</v>
      </c>
      <c r="B712" s="33">
        <v>816.79</v>
      </c>
      <c r="C712">
        <f t="shared" si="22"/>
        <v>1993</v>
      </c>
      <c r="H712" s="85">
        <v>41617</v>
      </c>
      <c r="I712">
        <v>1936.33</v>
      </c>
      <c r="N712" s="69">
        <v>42432</v>
      </c>
      <c r="O712">
        <v>534.58000000000004</v>
      </c>
      <c r="P712">
        <v>529.58000000000004</v>
      </c>
      <c r="Q712">
        <v>540.01</v>
      </c>
      <c r="R712">
        <v>529.47</v>
      </c>
      <c r="S712" s="3">
        <v>0</v>
      </c>
      <c r="T712">
        <f t="shared" si="23"/>
        <v>2016</v>
      </c>
      <c r="W712" s="86">
        <v>41800</v>
      </c>
      <c r="X712">
        <v>554.5</v>
      </c>
    </row>
    <row r="713" spans="1:24">
      <c r="A713" s="68">
        <v>34279</v>
      </c>
      <c r="B713" s="32">
        <v>815.7</v>
      </c>
      <c r="C713">
        <f t="shared" si="22"/>
        <v>1993</v>
      </c>
      <c r="H713" s="85">
        <v>41618</v>
      </c>
      <c r="I713">
        <v>1932.71</v>
      </c>
      <c r="N713" s="69">
        <v>42431</v>
      </c>
      <c r="O713">
        <v>534.58000000000004</v>
      </c>
      <c r="P713">
        <v>529.67999999999995</v>
      </c>
      <c r="Q713">
        <v>535</v>
      </c>
      <c r="R713">
        <v>529.58000000000004</v>
      </c>
      <c r="S713" s="3">
        <v>-2.0000000000000001E-4</v>
      </c>
      <c r="T713">
        <f t="shared" si="23"/>
        <v>2016</v>
      </c>
      <c r="W713" s="86">
        <v>41801</v>
      </c>
      <c r="X713">
        <v>555.4</v>
      </c>
    </row>
    <row r="714" spans="1:24">
      <c r="A714" s="68">
        <v>34280</v>
      </c>
      <c r="B714" s="33">
        <v>815.7</v>
      </c>
      <c r="C714">
        <f t="shared" si="22"/>
        <v>1993</v>
      </c>
      <c r="H714" s="85">
        <v>41619</v>
      </c>
      <c r="I714">
        <v>1933.52</v>
      </c>
      <c r="N714" s="69">
        <v>42430</v>
      </c>
      <c r="O714">
        <v>534.67999999999995</v>
      </c>
      <c r="P714">
        <v>529.66999999999996</v>
      </c>
      <c r="Q714">
        <v>535</v>
      </c>
      <c r="R714">
        <v>529.66999999999996</v>
      </c>
      <c r="S714" s="3">
        <v>-6.6E-3</v>
      </c>
      <c r="T714">
        <f t="shared" si="23"/>
        <v>2016</v>
      </c>
      <c r="W714" s="86">
        <v>41802</v>
      </c>
      <c r="X714">
        <v>557.54999999999995</v>
      </c>
    </row>
    <row r="715" spans="1:24">
      <c r="A715" s="68">
        <v>34281</v>
      </c>
      <c r="B715" s="32">
        <v>815.7</v>
      </c>
      <c r="C715">
        <f t="shared" si="22"/>
        <v>1993</v>
      </c>
      <c r="H715" s="85">
        <v>41620</v>
      </c>
      <c r="I715">
        <v>1935.61</v>
      </c>
      <c r="N715" s="69">
        <v>42429</v>
      </c>
      <c r="O715">
        <v>538.24</v>
      </c>
      <c r="P715">
        <v>529.22</v>
      </c>
      <c r="Q715">
        <v>538.34</v>
      </c>
      <c r="R715">
        <v>529.22</v>
      </c>
      <c r="S715" s="3">
        <v>7.4999999999999997E-3</v>
      </c>
      <c r="T715">
        <f t="shared" si="23"/>
        <v>2016</v>
      </c>
      <c r="W715" s="86">
        <v>41803</v>
      </c>
      <c r="X715">
        <v>557.29999999999995</v>
      </c>
    </row>
    <row r="716" spans="1:24">
      <c r="A716" s="68">
        <v>34282</v>
      </c>
      <c r="B716" s="33">
        <v>814.26</v>
      </c>
      <c r="C716">
        <f t="shared" si="22"/>
        <v>1993</v>
      </c>
      <c r="H716" s="85">
        <v>41621</v>
      </c>
      <c r="I716">
        <v>1935.89</v>
      </c>
      <c r="N716" s="69">
        <v>42426</v>
      </c>
      <c r="O716">
        <v>534.22</v>
      </c>
      <c r="P716">
        <v>529.22</v>
      </c>
      <c r="Q716">
        <v>539.61</v>
      </c>
      <c r="R716">
        <v>529.22</v>
      </c>
      <c r="S716" s="3">
        <v>0</v>
      </c>
      <c r="T716">
        <f t="shared" si="23"/>
        <v>2016</v>
      </c>
      <c r="W716" s="86">
        <v>41806</v>
      </c>
      <c r="X716">
        <v>557.25</v>
      </c>
    </row>
    <row r="717" spans="1:24">
      <c r="A717" s="68">
        <v>34283</v>
      </c>
      <c r="B717" s="32">
        <v>813.95</v>
      </c>
      <c r="C717">
        <f t="shared" si="22"/>
        <v>1993</v>
      </c>
      <c r="H717" s="85">
        <v>41622</v>
      </c>
      <c r="I717">
        <v>1930.87</v>
      </c>
      <c r="N717" s="69">
        <v>42425</v>
      </c>
      <c r="O717">
        <v>534.22</v>
      </c>
      <c r="P717">
        <v>529.16</v>
      </c>
      <c r="Q717">
        <v>540.05999999999995</v>
      </c>
      <c r="R717">
        <v>529.16</v>
      </c>
      <c r="S717" s="3">
        <v>1E-4</v>
      </c>
      <c r="T717">
        <f t="shared" si="23"/>
        <v>2016</v>
      </c>
      <c r="W717" s="86">
        <v>41807</v>
      </c>
      <c r="X717">
        <v>554.9</v>
      </c>
    </row>
    <row r="718" spans="1:24">
      <c r="A718" s="68">
        <v>34284</v>
      </c>
      <c r="B718" s="33">
        <v>811.07</v>
      </c>
      <c r="C718">
        <f t="shared" si="22"/>
        <v>1993</v>
      </c>
      <c r="H718" s="85">
        <v>41623</v>
      </c>
      <c r="I718">
        <v>1930.87</v>
      </c>
      <c r="N718" s="69">
        <v>42424</v>
      </c>
      <c r="O718">
        <v>534.16</v>
      </c>
      <c r="P718">
        <v>529.28</v>
      </c>
      <c r="Q718">
        <v>539.37</v>
      </c>
      <c r="R718">
        <v>529.16</v>
      </c>
      <c r="S718" s="3">
        <v>-2.0000000000000001E-4</v>
      </c>
      <c r="T718">
        <f t="shared" si="23"/>
        <v>2016</v>
      </c>
      <c r="W718" s="86">
        <v>41808</v>
      </c>
      <c r="X718">
        <v>555</v>
      </c>
    </row>
    <row r="719" spans="1:24">
      <c r="A719" s="68">
        <v>34285</v>
      </c>
      <c r="B719" s="32">
        <v>809.87</v>
      </c>
      <c r="C719">
        <f t="shared" si="22"/>
        <v>1993</v>
      </c>
      <c r="H719" s="85">
        <v>41624</v>
      </c>
      <c r="I719">
        <v>1930.87</v>
      </c>
      <c r="N719" s="69">
        <v>42423</v>
      </c>
      <c r="O719">
        <v>534.28</v>
      </c>
      <c r="P719">
        <v>529.17999999999995</v>
      </c>
      <c r="Q719">
        <v>539.37</v>
      </c>
      <c r="R719">
        <v>529.17999999999995</v>
      </c>
      <c r="S719" s="3">
        <v>-4.1999999999999997E-3</v>
      </c>
      <c r="T719">
        <f t="shared" si="23"/>
        <v>2016</v>
      </c>
      <c r="W719" s="86">
        <v>41809</v>
      </c>
      <c r="X719">
        <v>553.6</v>
      </c>
    </row>
    <row r="720" spans="1:24">
      <c r="A720" s="68">
        <v>34286</v>
      </c>
      <c r="B720" s="33">
        <v>809.95</v>
      </c>
      <c r="C720">
        <f t="shared" si="22"/>
        <v>1993</v>
      </c>
      <c r="H720" s="85">
        <v>41625</v>
      </c>
      <c r="I720">
        <v>1934.95</v>
      </c>
      <c r="N720" s="69">
        <v>42422</v>
      </c>
      <c r="O720">
        <v>536.51</v>
      </c>
      <c r="P720">
        <v>529.45000000000005</v>
      </c>
      <c r="Q720">
        <v>537.04</v>
      </c>
      <c r="R720">
        <v>529.17999999999995</v>
      </c>
      <c r="S720" s="3">
        <v>3.8999999999999998E-3</v>
      </c>
      <c r="T720">
        <f t="shared" si="23"/>
        <v>2016</v>
      </c>
      <c r="W720" s="86">
        <v>41810</v>
      </c>
      <c r="X720">
        <v>553.23</v>
      </c>
    </row>
    <row r="721" spans="1:24">
      <c r="A721" s="68">
        <v>34287</v>
      </c>
      <c r="B721" s="32">
        <v>809.95</v>
      </c>
      <c r="C721">
        <f t="shared" si="22"/>
        <v>1993</v>
      </c>
      <c r="H721" s="85">
        <v>41626</v>
      </c>
      <c r="I721">
        <v>1936.14</v>
      </c>
      <c r="N721" s="69">
        <v>42419</v>
      </c>
      <c r="O721">
        <v>534.45000000000005</v>
      </c>
      <c r="P721">
        <v>529.58000000000004</v>
      </c>
      <c r="Q721">
        <v>538.62</v>
      </c>
      <c r="R721">
        <v>528.91999999999996</v>
      </c>
      <c r="S721" s="3">
        <v>-2.0000000000000001E-4</v>
      </c>
      <c r="T721">
        <f t="shared" si="23"/>
        <v>2016</v>
      </c>
      <c r="W721" s="86">
        <v>41813</v>
      </c>
      <c r="X721">
        <v>547.6</v>
      </c>
    </row>
    <row r="722" spans="1:24">
      <c r="A722" s="68">
        <v>34288</v>
      </c>
      <c r="B722" s="33">
        <v>809.95</v>
      </c>
      <c r="C722">
        <f t="shared" si="22"/>
        <v>1993</v>
      </c>
      <c r="H722" s="85">
        <v>41627</v>
      </c>
      <c r="I722">
        <v>1945.6</v>
      </c>
      <c r="N722" s="69">
        <v>42418</v>
      </c>
      <c r="O722">
        <v>534.58000000000004</v>
      </c>
      <c r="P722">
        <v>529.36</v>
      </c>
      <c r="Q722">
        <v>538.87</v>
      </c>
      <c r="R722">
        <v>529.36</v>
      </c>
      <c r="S722" s="3">
        <v>4.0000000000000002E-4</v>
      </c>
      <c r="T722">
        <f t="shared" si="23"/>
        <v>2016</v>
      </c>
      <c r="W722" s="86">
        <v>41814</v>
      </c>
      <c r="X722">
        <v>547.5</v>
      </c>
    </row>
    <row r="723" spans="1:24">
      <c r="A723" s="68">
        <v>34289</v>
      </c>
      <c r="B723" s="32">
        <v>809.95</v>
      </c>
      <c r="C723">
        <f t="shared" si="22"/>
        <v>1993</v>
      </c>
      <c r="H723" s="85">
        <v>41628</v>
      </c>
      <c r="I723">
        <v>1943.46</v>
      </c>
      <c r="N723" s="69">
        <v>42417</v>
      </c>
      <c r="O723">
        <v>534.36</v>
      </c>
      <c r="P723">
        <v>529.47</v>
      </c>
      <c r="Q723">
        <v>539.41999999999996</v>
      </c>
      <c r="R723">
        <v>529.36</v>
      </c>
      <c r="S723" s="3">
        <v>-2.0000000000000001E-4</v>
      </c>
      <c r="T723">
        <f t="shared" si="23"/>
        <v>2016</v>
      </c>
      <c r="W723" s="86">
        <v>41815</v>
      </c>
      <c r="X723">
        <v>547.5</v>
      </c>
    </row>
    <row r="724" spans="1:24">
      <c r="A724" s="68">
        <v>34290</v>
      </c>
      <c r="B724" s="33">
        <v>815.18</v>
      </c>
      <c r="C724">
        <f t="shared" si="22"/>
        <v>1993</v>
      </c>
      <c r="H724" s="85">
        <v>41629</v>
      </c>
      <c r="I724">
        <v>1935.93</v>
      </c>
      <c r="N724" s="69">
        <v>42416</v>
      </c>
      <c r="O724">
        <v>534.47</v>
      </c>
      <c r="P724">
        <v>529.41</v>
      </c>
      <c r="Q724">
        <v>539.07000000000005</v>
      </c>
      <c r="R724">
        <v>528.94000000000005</v>
      </c>
      <c r="S724" s="3">
        <v>1E-4</v>
      </c>
      <c r="T724">
        <f t="shared" si="23"/>
        <v>2016</v>
      </c>
      <c r="W724" s="86">
        <v>41816</v>
      </c>
      <c r="X724">
        <v>544.51</v>
      </c>
    </row>
    <row r="725" spans="1:24">
      <c r="A725" s="68">
        <v>34291</v>
      </c>
      <c r="B725" s="32">
        <v>816.32</v>
      </c>
      <c r="C725">
        <f t="shared" si="22"/>
        <v>1993</v>
      </c>
      <c r="H725" s="85">
        <v>41630</v>
      </c>
      <c r="I725">
        <v>1935.93</v>
      </c>
      <c r="N725" s="69">
        <v>42415</v>
      </c>
      <c r="O725">
        <v>534.41</v>
      </c>
      <c r="P725">
        <v>530.22</v>
      </c>
      <c r="Q725">
        <v>535.22</v>
      </c>
      <c r="R725">
        <v>529.41</v>
      </c>
      <c r="S725" s="3">
        <v>-1.5E-3</v>
      </c>
      <c r="T725">
        <f t="shared" si="23"/>
        <v>2016</v>
      </c>
      <c r="W725" s="86">
        <v>41817</v>
      </c>
      <c r="X725">
        <v>544.51</v>
      </c>
    </row>
    <row r="726" spans="1:24">
      <c r="A726" s="68">
        <v>34292</v>
      </c>
      <c r="B726" s="33">
        <v>816.62</v>
      </c>
      <c r="C726">
        <f t="shared" si="22"/>
        <v>1993</v>
      </c>
      <c r="H726" s="85">
        <v>41631</v>
      </c>
      <c r="I726">
        <v>1935.93</v>
      </c>
      <c r="N726" s="69">
        <v>42412</v>
      </c>
      <c r="O726">
        <v>535.22</v>
      </c>
      <c r="P726">
        <v>531.16999999999996</v>
      </c>
      <c r="Q726">
        <v>538.87</v>
      </c>
      <c r="R726">
        <v>529.47</v>
      </c>
      <c r="S726" s="3">
        <v>-1.8E-3</v>
      </c>
      <c r="T726">
        <f t="shared" si="23"/>
        <v>2016</v>
      </c>
      <c r="W726" s="86">
        <v>41820</v>
      </c>
      <c r="X726">
        <v>543.12</v>
      </c>
    </row>
    <row r="727" spans="1:24">
      <c r="A727" s="68">
        <v>34293</v>
      </c>
      <c r="B727" s="32">
        <v>817.06</v>
      </c>
      <c r="C727">
        <f t="shared" si="22"/>
        <v>1993</v>
      </c>
      <c r="H727" s="85">
        <v>41632</v>
      </c>
      <c r="I727">
        <v>1925.45</v>
      </c>
      <c r="N727" s="69">
        <v>42411</v>
      </c>
      <c r="O727">
        <v>536.16999999999996</v>
      </c>
      <c r="P727">
        <v>531.44000000000005</v>
      </c>
      <c r="Q727">
        <v>538.82000000000005</v>
      </c>
      <c r="R727">
        <v>530</v>
      </c>
      <c r="S727" s="3">
        <v>-5.0000000000000001E-4</v>
      </c>
      <c r="T727">
        <f t="shared" si="23"/>
        <v>2016</v>
      </c>
      <c r="W727" s="86">
        <v>41821</v>
      </c>
      <c r="X727">
        <v>542.97</v>
      </c>
    </row>
    <row r="728" spans="1:24">
      <c r="A728" s="68">
        <v>34294</v>
      </c>
      <c r="B728" s="33">
        <v>817.06</v>
      </c>
      <c r="C728">
        <f t="shared" si="22"/>
        <v>1993</v>
      </c>
      <c r="H728" s="85">
        <v>41633</v>
      </c>
      <c r="I728">
        <v>1922.76</v>
      </c>
      <c r="N728" s="69">
        <v>42410</v>
      </c>
      <c r="O728">
        <v>536.44000000000005</v>
      </c>
      <c r="P728">
        <v>531.97</v>
      </c>
      <c r="Q728">
        <v>540.16</v>
      </c>
      <c r="R728">
        <v>530</v>
      </c>
      <c r="S728" s="3">
        <v>-1E-3</v>
      </c>
      <c r="T728">
        <f t="shared" si="23"/>
        <v>2016</v>
      </c>
      <c r="W728" s="86">
        <v>41822</v>
      </c>
      <c r="X728">
        <v>541.76</v>
      </c>
    </row>
    <row r="729" spans="1:24">
      <c r="A729" s="68">
        <v>34295</v>
      </c>
      <c r="B729" s="32">
        <v>817.06</v>
      </c>
      <c r="C729">
        <f t="shared" si="22"/>
        <v>1993</v>
      </c>
      <c r="H729" s="85">
        <v>41634</v>
      </c>
      <c r="I729">
        <v>1922.76</v>
      </c>
      <c r="N729" s="69">
        <v>42409</v>
      </c>
      <c r="O729">
        <v>536.97</v>
      </c>
      <c r="P729">
        <v>532.08000000000004</v>
      </c>
      <c r="Q729">
        <v>540.01</v>
      </c>
      <c r="R729">
        <v>530</v>
      </c>
      <c r="S729" s="3">
        <v>-2.0000000000000001E-4</v>
      </c>
      <c r="T729">
        <f t="shared" si="23"/>
        <v>2016</v>
      </c>
      <c r="W729" s="86">
        <v>41823</v>
      </c>
      <c r="X729">
        <v>540.38</v>
      </c>
    </row>
    <row r="730" spans="1:24">
      <c r="A730" s="68">
        <v>34296</v>
      </c>
      <c r="B730" s="33">
        <v>814.48</v>
      </c>
      <c r="C730">
        <f t="shared" si="22"/>
        <v>1993</v>
      </c>
      <c r="H730" s="85">
        <v>41635</v>
      </c>
      <c r="I730">
        <v>1921.22</v>
      </c>
      <c r="N730" s="69">
        <v>42408</v>
      </c>
      <c r="O730">
        <v>537.08000000000004</v>
      </c>
      <c r="P730">
        <v>532.22</v>
      </c>
      <c r="Q730">
        <v>540.16</v>
      </c>
      <c r="R730">
        <v>530</v>
      </c>
      <c r="S730" s="3">
        <v>-2.9999999999999997E-4</v>
      </c>
      <c r="T730">
        <f t="shared" si="23"/>
        <v>2016</v>
      </c>
      <c r="W730" s="86">
        <v>41824</v>
      </c>
      <c r="X730">
        <v>539.52</v>
      </c>
    </row>
    <row r="731" spans="1:24">
      <c r="A731" s="68">
        <v>34297</v>
      </c>
      <c r="B731" s="32">
        <v>812.12</v>
      </c>
      <c r="C731">
        <f t="shared" si="22"/>
        <v>1993</v>
      </c>
      <c r="H731" s="85">
        <v>41636</v>
      </c>
      <c r="I731">
        <v>1922.56</v>
      </c>
      <c r="N731" s="69">
        <v>42405</v>
      </c>
      <c r="O731">
        <v>537.22</v>
      </c>
      <c r="P731">
        <v>533.20000000000005</v>
      </c>
      <c r="Q731">
        <v>540.05999999999995</v>
      </c>
      <c r="R731">
        <v>530</v>
      </c>
      <c r="S731" s="3">
        <v>-1.8E-3</v>
      </c>
      <c r="T731">
        <f t="shared" si="23"/>
        <v>2016</v>
      </c>
      <c r="W731" s="86">
        <v>41827</v>
      </c>
      <c r="X731">
        <v>539.52</v>
      </c>
    </row>
    <row r="732" spans="1:24">
      <c r="A732" s="68">
        <v>34298</v>
      </c>
      <c r="B732" s="33">
        <v>811.67</v>
      </c>
      <c r="C732">
        <f t="shared" si="22"/>
        <v>1993</v>
      </c>
      <c r="H732" s="85">
        <v>41637</v>
      </c>
      <c r="I732">
        <v>1922.56</v>
      </c>
      <c r="N732" s="69">
        <v>42404</v>
      </c>
      <c r="O732">
        <v>538.20000000000005</v>
      </c>
      <c r="P732">
        <v>532.19000000000005</v>
      </c>
      <c r="Q732">
        <v>538.21</v>
      </c>
      <c r="R732">
        <v>530</v>
      </c>
      <c r="S732" s="3">
        <v>1.9E-3</v>
      </c>
      <c r="T732">
        <f t="shared" si="23"/>
        <v>2016</v>
      </c>
      <c r="W732" s="86">
        <v>41828</v>
      </c>
      <c r="X732">
        <v>539.58000000000004</v>
      </c>
    </row>
    <row r="733" spans="1:24">
      <c r="A733" s="68">
        <v>34299</v>
      </c>
      <c r="B733" s="32">
        <v>812.04</v>
      </c>
      <c r="C733">
        <f t="shared" si="22"/>
        <v>1993</v>
      </c>
      <c r="H733" s="85">
        <v>41638</v>
      </c>
      <c r="I733">
        <v>1922.56</v>
      </c>
      <c r="N733" s="69">
        <v>42403</v>
      </c>
      <c r="O733">
        <v>537.19000000000005</v>
      </c>
      <c r="P733">
        <v>531.99</v>
      </c>
      <c r="Q733">
        <v>540.05999999999995</v>
      </c>
      <c r="R733">
        <v>530</v>
      </c>
      <c r="S733" s="3">
        <v>4.0000000000000002E-4</v>
      </c>
      <c r="T733">
        <f t="shared" si="23"/>
        <v>2016</v>
      </c>
      <c r="W733" s="86">
        <v>41829</v>
      </c>
      <c r="X733">
        <v>539.51</v>
      </c>
    </row>
    <row r="734" spans="1:24">
      <c r="A734" s="68">
        <v>34300</v>
      </c>
      <c r="B734" s="33">
        <v>812.11</v>
      </c>
      <c r="C734">
        <f t="shared" si="22"/>
        <v>1993</v>
      </c>
      <c r="H734" s="85">
        <v>41639</v>
      </c>
      <c r="I734">
        <v>1926.83</v>
      </c>
      <c r="N734" s="69">
        <v>42402</v>
      </c>
      <c r="O734">
        <v>536.99</v>
      </c>
      <c r="P734">
        <v>531.86</v>
      </c>
      <c r="Q734">
        <v>540.05999999999995</v>
      </c>
      <c r="R734">
        <v>530</v>
      </c>
      <c r="S734" s="3">
        <v>2.0000000000000001E-4</v>
      </c>
      <c r="T734">
        <f t="shared" si="23"/>
        <v>2016</v>
      </c>
      <c r="W734" s="86">
        <v>41830</v>
      </c>
      <c r="X734">
        <v>539.5</v>
      </c>
    </row>
    <row r="735" spans="1:24">
      <c r="A735" s="68">
        <v>34301</v>
      </c>
      <c r="B735" s="32">
        <v>812.11</v>
      </c>
      <c r="C735">
        <f t="shared" si="22"/>
        <v>1993</v>
      </c>
      <c r="H735" s="85">
        <v>41640</v>
      </c>
      <c r="I735">
        <v>1926.83</v>
      </c>
      <c r="N735" s="69">
        <v>42401</v>
      </c>
      <c r="O735">
        <v>536.86</v>
      </c>
      <c r="P735">
        <v>531.29</v>
      </c>
      <c r="Q735">
        <v>539.12</v>
      </c>
      <c r="R735">
        <v>530</v>
      </c>
      <c r="S735" s="3">
        <v>1.1000000000000001E-3</v>
      </c>
      <c r="T735">
        <f t="shared" si="23"/>
        <v>2016</v>
      </c>
      <c r="W735" s="86">
        <v>41831</v>
      </c>
      <c r="X735">
        <v>539.5</v>
      </c>
    </row>
    <row r="736" spans="1:24">
      <c r="A736" s="68">
        <v>34302</v>
      </c>
      <c r="B736" s="33">
        <v>812.11</v>
      </c>
      <c r="C736">
        <f t="shared" si="22"/>
        <v>1993</v>
      </c>
      <c r="H736" s="85">
        <v>41641</v>
      </c>
      <c r="I736">
        <v>1926.83</v>
      </c>
      <c r="N736" s="69">
        <v>42398</v>
      </c>
      <c r="O736">
        <v>536.29</v>
      </c>
      <c r="P736">
        <v>530.53</v>
      </c>
      <c r="Q736">
        <v>538.82000000000005</v>
      </c>
      <c r="R736">
        <v>530.48</v>
      </c>
      <c r="S736" s="3">
        <v>1.4E-3</v>
      </c>
      <c r="T736">
        <f t="shared" si="23"/>
        <v>2016</v>
      </c>
      <c r="W736" s="86">
        <v>41834</v>
      </c>
      <c r="X736">
        <v>541.5</v>
      </c>
    </row>
    <row r="737" spans="1:24">
      <c r="A737" s="68">
        <v>34303</v>
      </c>
      <c r="B737" s="32">
        <v>811.73</v>
      </c>
      <c r="C737">
        <f t="shared" si="22"/>
        <v>1993</v>
      </c>
      <c r="H737" s="85">
        <v>41642</v>
      </c>
      <c r="I737">
        <v>1938.89</v>
      </c>
      <c r="N737" s="69">
        <v>42397</v>
      </c>
      <c r="O737">
        <v>535.53</v>
      </c>
      <c r="P737">
        <v>530.08000000000004</v>
      </c>
      <c r="Q737">
        <v>538.57000000000005</v>
      </c>
      <c r="R737">
        <v>530</v>
      </c>
      <c r="S737" s="3">
        <v>8.0000000000000004E-4</v>
      </c>
      <c r="T737">
        <f t="shared" si="23"/>
        <v>2016</v>
      </c>
      <c r="W737" s="86">
        <v>41835</v>
      </c>
      <c r="X737">
        <v>537.28</v>
      </c>
    </row>
    <row r="738" spans="1:24">
      <c r="A738" s="68">
        <v>34304</v>
      </c>
      <c r="B738" s="33">
        <v>812.21</v>
      </c>
      <c r="C738">
        <f t="shared" si="22"/>
        <v>1993</v>
      </c>
      <c r="H738" s="85">
        <v>41643</v>
      </c>
      <c r="I738">
        <v>1936.92</v>
      </c>
      <c r="N738" s="69">
        <v>42396</v>
      </c>
      <c r="O738">
        <v>535.08000000000004</v>
      </c>
      <c r="P738">
        <v>529.89</v>
      </c>
      <c r="Q738">
        <v>538.02</v>
      </c>
      <c r="R738">
        <v>529.89</v>
      </c>
      <c r="S738" s="3">
        <v>4.0000000000000002E-4</v>
      </c>
      <c r="T738">
        <f t="shared" si="23"/>
        <v>2016</v>
      </c>
      <c r="W738" s="86">
        <v>41836</v>
      </c>
      <c r="X738">
        <v>541.96</v>
      </c>
    </row>
    <row r="739" spans="1:24">
      <c r="A739" s="68">
        <v>34305</v>
      </c>
      <c r="B739" s="32">
        <v>811.78</v>
      </c>
      <c r="C739">
        <f t="shared" si="22"/>
        <v>1993</v>
      </c>
      <c r="H739" s="85">
        <v>41644</v>
      </c>
      <c r="I739">
        <v>1936.92</v>
      </c>
      <c r="N739" s="69">
        <v>42395</v>
      </c>
      <c r="O739">
        <v>534.89</v>
      </c>
      <c r="P739">
        <v>529.77</v>
      </c>
      <c r="Q739">
        <v>540.01</v>
      </c>
      <c r="R739">
        <v>529.77</v>
      </c>
      <c r="S739" s="3">
        <v>2.0000000000000001E-4</v>
      </c>
      <c r="T739">
        <f t="shared" si="23"/>
        <v>2016</v>
      </c>
      <c r="W739" s="86">
        <v>41837</v>
      </c>
      <c r="X739">
        <v>537.25</v>
      </c>
    </row>
    <row r="740" spans="1:24">
      <c r="A740" s="68">
        <v>34306</v>
      </c>
      <c r="B740" s="33">
        <v>809.63</v>
      </c>
      <c r="C740">
        <f t="shared" si="22"/>
        <v>1993</v>
      </c>
      <c r="H740" s="85">
        <v>41645</v>
      </c>
      <c r="I740">
        <v>1936.92</v>
      </c>
      <c r="N740" s="69">
        <v>42394</v>
      </c>
      <c r="O740">
        <v>534.77</v>
      </c>
      <c r="P740">
        <v>529.5</v>
      </c>
      <c r="Q740">
        <v>538.12</v>
      </c>
      <c r="R740">
        <v>529.22</v>
      </c>
      <c r="S740" s="3">
        <v>5.0000000000000001E-4</v>
      </c>
      <c r="T740">
        <f t="shared" si="23"/>
        <v>2016</v>
      </c>
      <c r="W740" s="86">
        <v>41838</v>
      </c>
      <c r="X740">
        <v>537.24</v>
      </c>
    </row>
    <row r="741" spans="1:24">
      <c r="A741" s="68">
        <v>34307</v>
      </c>
      <c r="B741" s="32">
        <v>806.49</v>
      </c>
      <c r="C741">
        <f t="shared" si="22"/>
        <v>1993</v>
      </c>
      <c r="H741" s="85">
        <v>41646</v>
      </c>
      <c r="I741">
        <v>1936.92</v>
      </c>
      <c r="N741" s="69">
        <v>42391</v>
      </c>
      <c r="O741">
        <v>534.5</v>
      </c>
      <c r="P741">
        <v>529</v>
      </c>
      <c r="Q741">
        <v>538.97</v>
      </c>
      <c r="R741">
        <v>529</v>
      </c>
      <c r="S741" s="3">
        <v>8.9999999999999998E-4</v>
      </c>
      <c r="T741">
        <f t="shared" si="23"/>
        <v>2016</v>
      </c>
      <c r="W741" s="86">
        <v>41841</v>
      </c>
      <c r="X741">
        <v>537.32000000000005</v>
      </c>
    </row>
    <row r="742" spans="1:24">
      <c r="A742" s="68">
        <v>34308</v>
      </c>
      <c r="B742" s="33">
        <v>806.49</v>
      </c>
      <c r="C742">
        <f t="shared" si="22"/>
        <v>1993</v>
      </c>
      <c r="H742" s="85">
        <v>41647</v>
      </c>
      <c r="I742">
        <v>1930.45</v>
      </c>
      <c r="N742" s="69">
        <v>42390</v>
      </c>
      <c r="O742">
        <v>534</v>
      </c>
      <c r="P742">
        <v>529</v>
      </c>
      <c r="Q742">
        <v>539.16999999999996</v>
      </c>
      <c r="R742">
        <v>529</v>
      </c>
      <c r="S742" s="3">
        <v>0</v>
      </c>
      <c r="T742">
        <f t="shared" si="23"/>
        <v>2016</v>
      </c>
      <c r="W742" s="86">
        <v>41842</v>
      </c>
      <c r="X742">
        <v>537.37</v>
      </c>
    </row>
    <row r="743" spans="1:24">
      <c r="A743" s="68">
        <v>34309</v>
      </c>
      <c r="B743" s="32">
        <v>806.49</v>
      </c>
      <c r="C743">
        <f t="shared" si="22"/>
        <v>1993</v>
      </c>
      <c r="H743" s="85">
        <v>41648</v>
      </c>
      <c r="I743">
        <v>1933.24</v>
      </c>
      <c r="N743" s="69">
        <v>42389</v>
      </c>
      <c r="O743">
        <v>534</v>
      </c>
      <c r="P743">
        <v>528.79999999999995</v>
      </c>
      <c r="Q743">
        <v>539.22</v>
      </c>
      <c r="R743">
        <v>528.79999999999995</v>
      </c>
      <c r="S743" s="3">
        <v>4.0000000000000002E-4</v>
      </c>
      <c r="T743">
        <f t="shared" si="23"/>
        <v>2016</v>
      </c>
      <c r="W743" s="86">
        <v>41843</v>
      </c>
      <c r="X743">
        <v>537.29999999999995</v>
      </c>
    </row>
    <row r="744" spans="1:24">
      <c r="A744" s="68">
        <v>34310</v>
      </c>
      <c r="B744" s="33">
        <v>803.1</v>
      </c>
      <c r="C744">
        <f t="shared" si="22"/>
        <v>1993</v>
      </c>
      <c r="H744" s="85">
        <v>41649</v>
      </c>
      <c r="I744">
        <v>1934.88</v>
      </c>
      <c r="N744" s="69">
        <v>42388</v>
      </c>
      <c r="O744">
        <v>533.79999999999995</v>
      </c>
      <c r="P744">
        <v>528.74</v>
      </c>
      <c r="Q744">
        <v>538.47</v>
      </c>
      <c r="R744">
        <v>528.74</v>
      </c>
      <c r="S744" s="3">
        <v>1E-4</v>
      </c>
      <c r="T744">
        <f t="shared" si="23"/>
        <v>2016</v>
      </c>
      <c r="W744" s="86">
        <v>41844</v>
      </c>
      <c r="X744">
        <v>537.97</v>
      </c>
    </row>
    <row r="745" spans="1:24">
      <c r="A745" s="68">
        <v>34311</v>
      </c>
      <c r="B745" s="32">
        <v>800.6</v>
      </c>
      <c r="C745">
        <f t="shared" si="22"/>
        <v>1993</v>
      </c>
      <c r="H745" s="85">
        <v>41650</v>
      </c>
      <c r="I745">
        <v>1926.55</v>
      </c>
      <c r="N745" s="69">
        <v>42387</v>
      </c>
      <c r="O745">
        <v>533.74</v>
      </c>
      <c r="P745">
        <v>528.74</v>
      </c>
      <c r="Q745">
        <v>533.74</v>
      </c>
      <c r="R745">
        <v>528.73</v>
      </c>
      <c r="S745" s="3">
        <v>0</v>
      </c>
      <c r="T745">
        <f t="shared" si="23"/>
        <v>2016</v>
      </c>
      <c r="W745" s="86">
        <v>41845</v>
      </c>
      <c r="X745">
        <v>537.95000000000005</v>
      </c>
    </row>
    <row r="746" spans="1:24">
      <c r="A746" s="68">
        <v>34312</v>
      </c>
      <c r="B746" s="33">
        <v>800.6</v>
      </c>
      <c r="C746">
        <f t="shared" si="22"/>
        <v>1993</v>
      </c>
      <c r="H746" s="85">
        <v>41651</v>
      </c>
      <c r="I746">
        <v>1926.55</v>
      </c>
      <c r="N746" s="69">
        <v>42384</v>
      </c>
      <c r="O746">
        <v>533.74</v>
      </c>
      <c r="P746">
        <v>528.74</v>
      </c>
      <c r="Q746">
        <v>538.02</v>
      </c>
      <c r="R746">
        <v>528.73</v>
      </c>
      <c r="S746" s="3">
        <v>-3.5999999999999999E-3</v>
      </c>
      <c r="T746">
        <f t="shared" si="23"/>
        <v>2016</v>
      </c>
      <c r="W746" s="86">
        <v>41848</v>
      </c>
      <c r="X746">
        <v>537.9</v>
      </c>
    </row>
    <row r="747" spans="1:24">
      <c r="A747" s="68">
        <v>34313</v>
      </c>
      <c r="B747" s="32">
        <v>798.51</v>
      </c>
      <c r="C747">
        <f t="shared" si="22"/>
        <v>1993</v>
      </c>
      <c r="H747" s="85">
        <v>41652</v>
      </c>
      <c r="I747">
        <v>1926.55</v>
      </c>
      <c r="N747" s="69">
        <v>42383</v>
      </c>
      <c r="O747">
        <v>535.67999999999995</v>
      </c>
      <c r="P747">
        <v>528.70000000000005</v>
      </c>
      <c r="Q747">
        <v>536.13</v>
      </c>
      <c r="R747">
        <v>528.70000000000005</v>
      </c>
      <c r="S747" s="3">
        <v>3.7000000000000002E-3</v>
      </c>
      <c r="T747">
        <f t="shared" si="23"/>
        <v>2016</v>
      </c>
      <c r="W747" s="86">
        <v>41849</v>
      </c>
      <c r="X747">
        <v>537.9</v>
      </c>
    </row>
    <row r="748" spans="1:24">
      <c r="A748" s="68">
        <v>34314</v>
      </c>
      <c r="B748" s="33">
        <v>797.53</v>
      </c>
      <c r="C748">
        <f t="shared" si="22"/>
        <v>1993</v>
      </c>
      <c r="H748" s="85">
        <v>41653</v>
      </c>
      <c r="I748">
        <v>1924.79</v>
      </c>
      <c r="N748" s="69">
        <v>42382</v>
      </c>
      <c r="O748">
        <v>533.70000000000005</v>
      </c>
      <c r="P748">
        <v>529.32000000000005</v>
      </c>
      <c r="Q748">
        <v>538.02</v>
      </c>
      <c r="R748">
        <v>528.70000000000005</v>
      </c>
      <c r="S748" s="3">
        <v>-1.1999999999999999E-3</v>
      </c>
      <c r="T748">
        <f t="shared" si="23"/>
        <v>2016</v>
      </c>
      <c r="W748" s="86">
        <v>41850</v>
      </c>
      <c r="X748">
        <v>538.58000000000004</v>
      </c>
    </row>
    <row r="749" spans="1:24">
      <c r="A749" s="68">
        <v>34315</v>
      </c>
      <c r="B749" s="32">
        <v>797.53</v>
      </c>
      <c r="C749">
        <f t="shared" si="22"/>
        <v>1993</v>
      </c>
      <c r="H749" s="85">
        <v>41654</v>
      </c>
      <c r="I749">
        <v>1932.59</v>
      </c>
      <c r="N749" s="69">
        <v>42381</v>
      </c>
      <c r="O749">
        <v>534.32000000000005</v>
      </c>
      <c r="P749">
        <v>529.75</v>
      </c>
      <c r="Q749">
        <v>538.02</v>
      </c>
      <c r="R749">
        <v>529.32000000000005</v>
      </c>
      <c r="S749" s="3">
        <v>-8.0000000000000004E-4</v>
      </c>
      <c r="T749">
        <f t="shared" si="23"/>
        <v>2016</v>
      </c>
      <c r="W749" s="86">
        <v>41851</v>
      </c>
      <c r="X749">
        <v>542.46</v>
      </c>
    </row>
    <row r="750" spans="1:24">
      <c r="A750" s="68">
        <v>34316</v>
      </c>
      <c r="B750" s="33">
        <v>797.53</v>
      </c>
      <c r="C750">
        <f t="shared" si="22"/>
        <v>1993</v>
      </c>
      <c r="H750" s="85">
        <v>41655</v>
      </c>
      <c r="I750">
        <v>1941.45</v>
      </c>
      <c r="N750" s="69">
        <v>42380</v>
      </c>
      <c r="O750">
        <v>534.75</v>
      </c>
      <c r="P750">
        <v>530.45000000000005</v>
      </c>
      <c r="Q750">
        <v>536.77</v>
      </c>
      <c r="R750">
        <v>529.22</v>
      </c>
      <c r="S750" s="3">
        <v>-1.2999999999999999E-3</v>
      </c>
      <c r="T750">
        <f t="shared" si="23"/>
        <v>2016</v>
      </c>
      <c r="W750" s="86">
        <v>41852</v>
      </c>
      <c r="X750">
        <v>542.42999999999995</v>
      </c>
    </row>
    <row r="751" spans="1:24">
      <c r="A751" s="68">
        <v>34317</v>
      </c>
      <c r="B751" s="32">
        <v>798.2</v>
      </c>
      <c r="C751">
        <f t="shared" si="22"/>
        <v>1993</v>
      </c>
      <c r="H751" s="85">
        <v>41656</v>
      </c>
      <c r="I751">
        <v>1947.15</v>
      </c>
      <c r="N751" s="69">
        <v>42377</v>
      </c>
      <c r="O751">
        <v>535.45000000000005</v>
      </c>
      <c r="P751">
        <v>530.48</v>
      </c>
      <c r="Q751">
        <v>536.77</v>
      </c>
      <c r="R751">
        <v>529.91999999999996</v>
      </c>
      <c r="S751" s="3">
        <v>-1E-4</v>
      </c>
      <c r="T751">
        <f t="shared" si="23"/>
        <v>2016</v>
      </c>
      <c r="W751" s="86">
        <v>41855</v>
      </c>
      <c r="X751">
        <v>542.48</v>
      </c>
    </row>
    <row r="752" spans="1:24">
      <c r="A752" s="68">
        <v>34318</v>
      </c>
      <c r="B752" s="33">
        <v>798.12</v>
      </c>
      <c r="C752">
        <f t="shared" si="22"/>
        <v>1993</v>
      </c>
      <c r="H752" s="85">
        <v>41657</v>
      </c>
      <c r="I752">
        <v>1957.86</v>
      </c>
      <c r="N752" s="69">
        <v>42376</v>
      </c>
      <c r="O752">
        <v>535.48</v>
      </c>
      <c r="P752">
        <v>530.25</v>
      </c>
      <c r="Q752">
        <v>536.77</v>
      </c>
      <c r="R752">
        <v>530.25</v>
      </c>
      <c r="S752" s="3">
        <v>4.0000000000000002E-4</v>
      </c>
      <c r="T752">
        <f t="shared" si="23"/>
        <v>2016</v>
      </c>
      <c r="W752" s="86">
        <v>41856</v>
      </c>
      <c r="X752">
        <v>542.87</v>
      </c>
    </row>
    <row r="753" spans="1:24">
      <c r="A753" s="68">
        <v>34319</v>
      </c>
      <c r="B753" s="32">
        <v>799.43</v>
      </c>
      <c r="C753">
        <f t="shared" si="22"/>
        <v>1993</v>
      </c>
      <c r="H753" s="85">
        <v>41658</v>
      </c>
      <c r="I753">
        <v>1957.86</v>
      </c>
      <c r="N753" s="69">
        <v>42375</v>
      </c>
      <c r="O753">
        <v>535.25</v>
      </c>
      <c r="P753">
        <v>530.76</v>
      </c>
      <c r="Q753">
        <v>535.76</v>
      </c>
      <c r="R753">
        <v>530</v>
      </c>
      <c r="S753" s="3">
        <v>-1E-3</v>
      </c>
      <c r="T753">
        <f t="shared" si="23"/>
        <v>2016</v>
      </c>
      <c r="W753" s="86">
        <v>41857</v>
      </c>
      <c r="X753">
        <v>543.09</v>
      </c>
    </row>
    <row r="754" spans="1:24">
      <c r="A754" s="68">
        <v>34320</v>
      </c>
      <c r="B754" s="33">
        <v>804.89</v>
      </c>
      <c r="C754">
        <f t="shared" si="22"/>
        <v>1993</v>
      </c>
      <c r="H754" s="85">
        <v>41659</v>
      </c>
      <c r="I754">
        <v>1957.86</v>
      </c>
      <c r="N754" s="69">
        <v>42374</v>
      </c>
      <c r="O754">
        <v>535.76</v>
      </c>
      <c r="P754">
        <v>531.92999999999995</v>
      </c>
      <c r="Q754">
        <v>536.92999999999995</v>
      </c>
      <c r="R754">
        <v>530</v>
      </c>
      <c r="S754" s="3">
        <v>-2.2000000000000001E-3</v>
      </c>
      <c r="T754">
        <f t="shared" si="23"/>
        <v>2016</v>
      </c>
      <c r="W754" s="86">
        <v>41858</v>
      </c>
      <c r="X754">
        <v>540.03</v>
      </c>
    </row>
    <row r="755" spans="1:24">
      <c r="A755" s="68">
        <v>34321</v>
      </c>
      <c r="B755" s="32">
        <v>806.5</v>
      </c>
      <c r="C755">
        <f t="shared" si="22"/>
        <v>1993</v>
      </c>
      <c r="H755" s="85">
        <v>41660</v>
      </c>
      <c r="I755">
        <v>1957.86</v>
      </c>
      <c r="N755" s="69">
        <v>42373</v>
      </c>
      <c r="O755">
        <v>536.92999999999995</v>
      </c>
      <c r="P755">
        <v>532.29999999999995</v>
      </c>
      <c r="Q755">
        <v>537.29999999999995</v>
      </c>
      <c r="R755">
        <v>530</v>
      </c>
      <c r="S755" s="3">
        <v>-2.7000000000000001E-3</v>
      </c>
      <c r="T755">
        <f t="shared" si="23"/>
        <v>2016</v>
      </c>
      <c r="W755" s="86">
        <v>41859</v>
      </c>
      <c r="X755">
        <v>543.20000000000005</v>
      </c>
    </row>
    <row r="756" spans="1:24">
      <c r="A756" s="68">
        <v>34322</v>
      </c>
      <c r="B756" s="33">
        <v>806.5</v>
      </c>
      <c r="C756">
        <f t="shared" si="22"/>
        <v>1993</v>
      </c>
      <c r="H756" s="85">
        <v>41661</v>
      </c>
      <c r="I756">
        <v>1981.98</v>
      </c>
      <c r="N756" s="69">
        <v>42370</v>
      </c>
      <c r="O756">
        <v>538.4</v>
      </c>
      <c r="P756">
        <v>532.29999999999995</v>
      </c>
      <c r="Q756">
        <v>538.76</v>
      </c>
      <c r="R756">
        <v>531.94000000000005</v>
      </c>
      <c r="S756" s="3">
        <v>2E-3</v>
      </c>
      <c r="T756">
        <f t="shared" si="23"/>
        <v>2016</v>
      </c>
      <c r="W756" s="86">
        <v>41862</v>
      </c>
      <c r="X756">
        <v>539.82000000000005</v>
      </c>
    </row>
    <row r="757" spans="1:24">
      <c r="A757" s="68">
        <v>34323</v>
      </c>
      <c r="B757" s="32">
        <v>806.5</v>
      </c>
      <c r="C757">
        <f t="shared" si="22"/>
        <v>1993</v>
      </c>
      <c r="H757" s="85">
        <v>41662</v>
      </c>
      <c r="I757">
        <v>1983.48</v>
      </c>
      <c r="N757" s="69">
        <v>42369</v>
      </c>
      <c r="O757">
        <v>537.29999999999995</v>
      </c>
      <c r="P757">
        <v>532.29999999999995</v>
      </c>
      <c r="Q757">
        <v>537.29999999999995</v>
      </c>
      <c r="R757">
        <v>531.94000000000005</v>
      </c>
      <c r="S757" s="3">
        <v>0</v>
      </c>
      <c r="T757">
        <f t="shared" si="23"/>
        <v>2015</v>
      </c>
      <c r="U757" s="141">
        <f>(O757-O1017)/O1017</f>
        <v>-6.4718934911242613E-3</v>
      </c>
      <c r="W757" s="86">
        <v>41863</v>
      </c>
      <c r="X757">
        <v>539.73</v>
      </c>
    </row>
    <row r="758" spans="1:24">
      <c r="A758" s="68">
        <v>34324</v>
      </c>
      <c r="B758" s="33">
        <v>803.81</v>
      </c>
      <c r="C758">
        <f t="shared" si="22"/>
        <v>1993</v>
      </c>
      <c r="H758" s="85">
        <v>41663</v>
      </c>
      <c r="I758">
        <v>1993.23</v>
      </c>
      <c r="N758" s="69">
        <v>42368</v>
      </c>
      <c r="O758">
        <v>537.29999999999995</v>
      </c>
      <c r="P758">
        <v>532.33000000000004</v>
      </c>
      <c r="Q758">
        <v>537.33000000000004</v>
      </c>
      <c r="R758">
        <v>520.66</v>
      </c>
      <c r="S758" s="3">
        <v>-1E-4</v>
      </c>
      <c r="T758">
        <f t="shared" si="23"/>
        <v>2015</v>
      </c>
      <c r="W758" s="86">
        <v>41864</v>
      </c>
      <c r="X758">
        <v>539.65</v>
      </c>
    </row>
    <row r="759" spans="1:24">
      <c r="A759" s="68">
        <v>34325</v>
      </c>
      <c r="B759" s="32">
        <v>802.46</v>
      </c>
      <c r="C759">
        <f t="shared" si="22"/>
        <v>1993</v>
      </c>
      <c r="H759" s="85">
        <v>41664</v>
      </c>
      <c r="I759">
        <v>2000.48</v>
      </c>
      <c r="N759" s="69">
        <v>42367</v>
      </c>
      <c r="O759">
        <v>537.33000000000004</v>
      </c>
      <c r="P759">
        <v>531.29999999999995</v>
      </c>
      <c r="Q759">
        <v>537.33000000000004</v>
      </c>
      <c r="R759">
        <v>530</v>
      </c>
      <c r="S759" s="3">
        <v>1.9E-3</v>
      </c>
      <c r="T759">
        <f t="shared" si="23"/>
        <v>2015</v>
      </c>
      <c r="W759" s="86">
        <v>41865</v>
      </c>
      <c r="X759">
        <v>539.66</v>
      </c>
    </row>
    <row r="760" spans="1:24">
      <c r="A760" s="68">
        <v>34326</v>
      </c>
      <c r="B760" s="33">
        <v>801.4</v>
      </c>
      <c r="C760">
        <f t="shared" si="22"/>
        <v>1993</v>
      </c>
      <c r="H760" s="85">
        <v>41665</v>
      </c>
      <c r="I760">
        <v>2000.48</v>
      </c>
      <c r="N760" s="69">
        <v>42366</v>
      </c>
      <c r="O760">
        <v>536.29999999999995</v>
      </c>
      <c r="P760">
        <v>530.42999999999995</v>
      </c>
      <c r="Q760">
        <v>536.30999999999995</v>
      </c>
      <c r="R760">
        <v>520.65</v>
      </c>
      <c r="S760" s="3">
        <v>1.6000000000000001E-3</v>
      </c>
      <c r="T760">
        <f t="shared" si="23"/>
        <v>2015</v>
      </c>
      <c r="W760" s="86">
        <v>41866</v>
      </c>
      <c r="X760">
        <v>539.72</v>
      </c>
    </row>
    <row r="761" spans="1:24">
      <c r="A761" s="68">
        <v>34327</v>
      </c>
      <c r="B761" s="32">
        <v>801.69</v>
      </c>
      <c r="C761">
        <f t="shared" si="22"/>
        <v>1993</v>
      </c>
      <c r="H761" s="85">
        <v>41666</v>
      </c>
      <c r="I761">
        <v>2000.48</v>
      </c>
      <c r="N761" s="69">
        <v>42363</v>
      </c>
      <c r="O761">
        <v>535.42999999999995</v>
      </c>
      <c r="P761">
        <v>531.30999999999995</v>
      </c>
      <c r="Q761">
        <v>536.30999999999995</v>
      </c>
      <c r="R761">
        <v>530.42999999999995</v>
      </c>
      <c r="S761" s="3">
        <v>0</v>
      </c>
      <c r="T761">
        <f t="shared" si="23"/>
        <v>2015</v>
      </c>
      <c r="W761" s="86">
        <v>41869</v>
      </c>
      <c r="X761">
        <v>543.04999999999995</v>
      </c>
    </row>
    <row r="762" spans="1:24">
      <c r="A762" s="68">
        <v>34328</v>
      </c>
      <c r="B762" s="33">
        <v>801.69</v>
      </c>
      <c r="C762">
        <f t="shared" si="22"/>
        <v>1993</v>
      </c>
      <c r="H762" s="85">
        <v>41667</v>
      </c>
      <c r="I762">
        <v>1997.91</v>
      </c>
      <c r="N762" s="69">
        <v>42362</v>
      </c>
      <c r="O762">
        <v>535.42999999999995</v>
      </c>
      <c r="P762">
        <v>530.25</v>
      </c>
      <c r="Q762">
        <v>535.42999999999995</v>
      </c>
      <c r="R762">
        <v>530</v>
      </c>
      <c r="S762" s="3">
        <v>2.9999999999999997E-4</v>
      </c>
      <c r="T762">
        <f t="shared" si="23"/>
        <v>2015</v>
      </c>
      <c r="W762" s="86">
        <v>41870</v>
      </c>
      <c r="X762">
        <v>543.04999999999995</v>
      </c>
    </row>
    <row r="763" spans="1:24">
      <c r="A763" s="68">
        <v>34329</v>
      </c>
      <c r="B763" s="32">
        <v>801.69</v>
      </c>
      <c r="C763">
        <f t="shared" si="22"/>
        <v>1993</v>
      </c>
      <c r="H763" s="85">
        <v>41668</v>
      </c>
      <c r="I763">
        <v>2000.56</v>
      </c>
      <c r="N763" s="69">
        <v>42361</v>
      </c>
      <c r="O763">
        <v>535.25</v>
      </c>
      <c r="P763">
        <v>530.04999999999995</v>
      </c>
      <c r="Q763">
        <v>535.25</v>
      </c>
      <c r="R763">
        <v>520.66</v>
      </c>
      <c r="S763" s="3">
        <v>4.0000000000000002E-4</v>
      </c>
      <c r="T763">
        <f t="shared" si="23"/>
        <v>2015</v>
      </c>
      <c r="W763" s="86">
        <v>41871</v>
      </c>
      <c r="X763">
        <v>539.69000000000005</v>
      </c>
    </row>
    <row r="764" spans="1:24">
      <c r="A764" s="68">
        <v>34330</v>
      </c>
      <c r="B764" s="33">
        <v>801.69</v>
      </c>
      <c r="C764">
        <f t="shared" si="22"/>
        <v>1993</v>
      </c>
      <c r="H764" s="85">
        <v>41669</v>
      </c>
      <c r="I764">
        <v>2013.17</v>
      </c>
      <c r="N764" s="69">
        <v>42360</v>
      </c>
      <c r="O764">
        <v>535.04999999999995</v>
      </c>
      <c r="P764">
        <v>528.4</v>
      </c>
      <c r="Q764">
        <v>535.12</v>
      </c>
      <c r="R764">
        <v>528.35</v>
      </c>
      <c r="S764" s="3">
        <v>3.0999999999999999E-3</v>
      </c>
      <c r="T764">
        <f t="shared" si="23"/>
        <v>2015</v>
      </c>
      <c r="W764" s="86">
        <v>41872</v>
      </c>
      <c r="X764">
        <v>543.07000000000005</v>
      </c>
    </row>
    <row r="765" spans="1:24">
      <c r="A765" s="68">
        <v>34331</v>
      </c>
      <c r="B765" s="32">
        <v>809.13</v>
      </c>
      <c r="C765">
        <f t="shared" si="22"/>
        <v>1993</v>
      </c>
      <c r="H765" s="85">
        <v>41670</v>
      </c>
      <c r="I765">
        <v>2008.26</v>
      </c>
      <c r="N765" s="69">
        <v>42359</v>
      </c>
      <c r="O765">
        <v>533.4</v>
      </c>
      <c r="P765">
        <v>526.32000000000005</v>
      </c>
      <c r="Q765">
        <v>535</v>
      </c>
      <c r="R765">
        <v>520.66</v>
      </c>
      <c r="S765" s="3">
        <v>3.8999999999999998E-3</v>
      </c>
      <c r="T765">
        <f t="shared" si="23"/>
        <v>2015</v>
      </c>
      <c r="W765" s="86">
        <v>41873</v>
      </c>
      <c r="X765">
        <v>543.16999999999996</v>
      </c>
    </row>
    <row r="766" spans="1:24">
      <c r="A766" s="68">
        <v>34332</v>
      </c>
      <c r="B766" s="33">
        <v>802.33</v>
      </c>
      <c r="C766">
        <f t="shared" si="22"/>
        <v>1993</v>
      </c>
      <c r="H766" s="85">
        <v>41671</v>
      </c>
      <c r="I766">
        <v>2021.1</v>
      </c>
      <c r="N766" s="69">
        <v>42356</v>
      </c>
      <c r="O766">
        <v>531.32000000000005</v>
      </c>
      <c r="P766">
        <v>526.20000000000005</v>
      </c>
      <c r="Q766">
        <v>535</v>
      </c>
      <c r="R766">
        <v>525.79</v>
      </c>
      <c r="S766" s="3">
        <v>2.0000000000000001E-4</v>
      </c>
      <c r="T766">
        <f t="shared" si="23"/>
        <v>2015</v>
      </c>
      <c r="W766" s="86">
        <v>41876</v>
      </c>
      <c r="X766">
        <v>543.19000000000005</v>
      </c>
    </row>
    <row r="767" spans="1:24">
      <c r="A767" s="68">
        <v>34333</v>
      </c>
      <c r="B767" s="32">
        <v>802.71</v>
      </c>
      <c r="C767">
        <f t="shared" si="22"/>
        <v>1993</v>
      </c>
      <c r="H767" s="85">
        <v>41672</v>
      </c>
      <c r="I767">
        <v>2021.1</v>
      </c>
      <c r="N767" s="69">
        <v>42355</v>
      </c>
      <c r="O767">
        <v>531.20000000000005</v>
      </c>
      <c r="P767">
        <v>526.17999999999995</v>
      </c>
      <c r="Q767">
        <v>535</v>
      </c>
      <c r="R767">
        <v>520.66</v>
      </c>
      <c r="S767" s="3">
        <v>0</v>
      </c>
      <c r="T767">
        <f t="shared" si="23"/>
        <v>2015</v>
      </c>
      <c r="W767" s="86">
        <v>41877</v>
      </c>
      <c r="X767">
        <v>539.9</v>
      </c>
    </row>
    <row r="768" spans="1:24">
      <c r="A768" s="68">
        <v>34334</v>
      </c>
      <c r="B768" s="33">
        <v>804.33</v>
      </c>
      <c r="C768">
        <f t="shared" si="22"/>
        <v>1993</v>
      </c>
      <c r="H768" s="85">
        <v>41673</v>
      </c>
      <c r="I768">
        <v>2021.1</v>
      </c>
      <c r="N768" s="69">
        <v>42354</v>
      </c>
      <c r="O768">
        <v>531.17999999999995</v>
      </c>
      <c r="P768">
        <v>520.99</v>
      </c>
      <c r="Q768">
        <v>535</v>
      </c>
      <c r="R768">
        <v>520.99</v>
      </c>
      <c r="S768" s="3">
        <v>4.7999999999999996E-3</v>
      </c>
      <c r="T768">
        <f t="shared" si="23"/>
        <v>2015</v>
      </c>
      <c r="W768" s="86">
        <v>41878</v>
      </c>
      <c r="X768">
        <v>543.15</v>
      </c>
    </row>
    <row r="769" spans="1:24">
      <c r="A769" s="68">
        <v>34335</v>
      </c>
      <c r="B769" s="32">
        <v>804.33</v>
      </c>
      <c r="C769">
        <f t="shared" si="22"/>
        <v>1994</v>
      </c>
      <c r="H769" s="85">
        <v>41674</v>
      </c>
      <c r="I769">
        <v>2039.85</v>
      </c>
      <c r="N769" s="69">
        <v>42353</v>
      </c>
      <c r="O769">
        <v>528.64</v>
      </c>
      <c r="P769">
        <v>526.22</v>
      </c>
      <c r="Q769">
        <v>533.91999999999996</v>
      </c>
      <c r="R769">
        <v>520.66</v>
      </c>
      <c r="S769" s="3">
        <v>0</v>
      </c>
      <c r="T769">
        <f t="shared" si="23"/>
        <v>2015</v>
      </c>
      <c r="W769" s="86">
        <v>41879</v>
      </c>
      <c r="X769">
        <v>539.80999999999995</v>
      </c>
    </row>
    <row r="770" spans="1:24">
      <c r="A770" s="68">
        <v>34336</v>
      </c>
      <c r="B770" s="33">
        <v>804.33</v>
      </c>
      <c r="C770">
        <f t="shared" si="22"/>
        <v>1994</v>
      </c>
      <c r="H770" s="85">
        <v>41675</v>
      </c>
      <c r="I770">
        <v>2041.34</v>
      </c>
      <c r="N770" s="69">
        <v>42352</v>
      </c>
      <c r="O770">
        <v>528.62</v>
      </c>
      <c r="P770">
        <v>526.25</v>
      </c>
      <c r="Q770">
        <v>537.65</v>
      </c>
      <c r="R770">
        <v>520.66</v>
      </c>
      <c r="S770" s="3">
        <v>-5.0000000000000001E-3</v>
      </c>
      <c r="T770">
        <f t="shared" si="23"/>
        <v>2015</v>
      </c>
      <c r="W770" s="86">
        <v>41880</v>
      </c>
      <c r="X770">
        <v>543.16</v>
      </c>
    </row>
    <row r="771" spans="1:24">
      <c r="A771" s="68">
        <v>34337</v>
      </c>
      <c r="B771" s="32">
        <v>804.33</v>
      </c>
      <c r="C771">
        <f t="shared" si="22"/>
        <v>1994</v>
      </c>
      <c r="H771" s="85">
        <v>41676</v>
      </c>
      <c r="I771">
        <v>2048.75</v>
      </c>
      <c r="N771" s="69">
        <v>42349</v>
      </c>
      <c r="O771">
        <v>531.25</v>
      </c>
      <c r="P771">
        <v>520.65</v>
      </c>
      <c r="Q771">
        <v>535</v>
      </c>
      <c r="R771">
        <v>520.65</v>
      </c>
      <c r="S771" s="3">
        <v>1.0699999999999999E-2</v>
      </c>
      <c r="T771">
        <f t="shared" si="23"/>
        <v>2015</v>
      </c>
      <c r="W771" s="86">
        <v>41883</v>
      </c>
      <c r="X771">
        <v>539.80999999999995</v>
      </c>
    </row>
    <row r="772" spans="1:24">
      <c r="A772" s="68">
        <v>34338</v>
      </c>
      <c r="B772" s="33">
        <v>805.91</v>
      </c>
      <c r="C772">
        <f t="shared" ref="C772:C835" si="24">YEAR(A772)</f>
        <v>1994</v>
      </c>
      <c r="H772" s="85">
        <v>41677</v>
      </c>
      <c r="I772">
        <v>2049.52</v>
      </c>
      <c r="N772" s="69">
        <v>42348</v>
      </c>
      <c r="O772">
        <v>525.65</v>
      </c>
      <c r="P772">
        <v>526.28</v>
      </c>
      <c r="Q772">
        <v>535</v>
      </c>
      <c r="R772">
        <v>520.65</v>
      </c>
      <c r="S772" s="3">
        <v>-1.06E-2</v>
      </c>
      <c r="T772">
        <f t="shared" ref="T772:T835" si="25">YEAR(N772)</f>
        <v>2015</v>
      </c>
      <c r="W772" s="86">
        <v>41884</v>
      </c>
      <c r="X772">
        <v>543.16</v>
      </c>
    </row>
    <row r="773" spans="1:24">
      <c r="A773" s="68">
        <v>34339</v>
      </c>
      <c r="B773" s="32">
        <v>810.01</v>
      </c>
      <c r="C773">
        <f t="shared" si="24"/>
        <v>1994</v>
      </c>
      <c r="H773" s="85">
        <v>41678</v>
      </c>
      <c r="I773">
        <v>2046.06</v>
      </c>
      <c r="N773" s="69">
        <v>42347</v>
      </c>
      <c r="O773">
        <v>531.28</v>
      </c>
      <c r="P773">
        <v>525.91999999999996</v>
      </c>
      <c r="Q773">
        <v>535</v>
      </c>
      <c r="R773">
        <v>520.66</v>
      </c>
      <c r="S773" s="3">
        <v>6.9999999999999999E-4</v>
      </c>
      <c r="T773">
        <f t="shared" si="25"/>
        <v>2015</v>
      </c>
      <c r="W773" s="86">
        <v>41885</v>
      </c>
      <c r="X773">
        <v>543.16999999999996</v>
      </c>
    </row>
    <row r="774" spans="1:24">
      <c r="A774" s="68">
        <v>34340</v>
      </c>
      <c r="B774" s="33">
        <v>814.21</v>
      </c>
      <c r="C774">
        <f t="shared" si="24"/>
        <v>1994</v>
      </c>
      <c r="H774" s="85">
        <v>41679</v>
      </c>
      <c r="I774">
        <v>2046.06</v>
      </c>
      <c r="N774" s="69">
        <v>42346</v>
      </c>
      <c r="O774">
        <v>530.91999999999996</v>
      </c>
      <c r="P774">
        <v>526</v>
      </c>
      <c r="Q774">
        <v>535</v>
      </c>
      <c r="R774">
        <v>520.66</v>
      </c>
      <c r="S774" s="3">
        <v>-2.0000000000000001E-4</v>
      </c>
      <c r="T774">
        <f t="shared" si="25"/>
        <v>2015</v>
      </c>
      <c r="W774" s="86">
        <v>41886</v>
      </c>
      <c r="X774">
        <v>543.16</v>
      </c>
    </row>
    <row r="775" spans="1:24">
      <c r="A775" s="68">
        <v>34341</v>
      </c>
      <c r="B775" s="32">
        <v>818.83</v>
      </c>
      <c r="C775">
        <f t="shared" si="24"/>
        <v>1994</v>
      </c>
      <c r="H775" s="85">
        <v>41680</v>
      </c>
      <c r="I775">
        <v>2046.06</v>
      </c>
      <c r="N775" s="69">
        <v>42345</v>
      </c>
      <c r="O775">
        <v>531</v>
      </c>
      <c r="P775">
        <v>526.35</v>
      </c>
      <c r="Q775">
        <v>535</v>
      </c>
      <c r="R775">
        <v>523.41999999999996</v>
      </c>
      <c r="S775" s="3">
        <v>-6.9999999999999999E-4</v>
      </c>
      <c r="T775">
        <f t="shared" si="25"/>
        <v>2015</v>
      </c>
      <c r="W775" s="86">
        <v>41887</v>
      </c>
      <c r="X775">
        <v>539.89</v>
      </c>
    </row>
    <row r="776" spans="1:24">
      <c r="A776" s="68">
        <v>34342</v>
      </c>
      <c r="B776" s="33">
        <v>818.89</v>
      </c>
      <c r="C776">
        <f t="shared" si="24"/>
        <v>1994</v>
      </c>
      <c r="H776" s="85">
        <v>41681</v>
      </c>
      <c r="I776">
        <v>2048.5500000000002</v>
      </c>
      <c r="N776" s="69">
        <v>42342</v>
      </c>
      <c r="O776">
        <v>531.35</v>
      </c>
      <c r="P776">
        <v>526.17999999999995</v>
      </c>
      <c r="Q776">
        <v>535</v>
      </c>
      <c r="R776">
        <v>521.09</v>
      </c>
      <c r="S776" s="3">
        <v>5.1999999999999998E-3</v>
      </c>
      <c r="T776">
        <f t="shared" si="25"/>
        <v>2015</v>
      </c>
      <c r="W776" s="86">
        <v>41890</v>
      </c>
      <c r="X776">
        <v>543.17999999999995</v>
      </c>
    </row>
    <row r="777" spans="1:24">
      <c r="A777" s="68">
        <v>34343</v>
      </c>
      <c r="B777" s="32">
        <v>818.89</v>
      </c>
      <c r="C777">
        <f t="shared" si="24"/>
        <v>1994</v>
      </c>
      <c r="H777" s="85">
        <v>41682</v>
      </c>
      <c r="I777">
        <v>2041.61</v>
      </c>
      <c r="N777" s="69">
        <v>42341</v>
      </c>
      <c r="O777">
        <v>528.58000000000004</v>
      </c>
      <c r="P777">
        <v>526.25</v>
      </c>
      <c r="Q777">
        <v>537.65</v>
      </c>
      <c r="R777">
        <v>520.91999999999996</v>
      </c>
      <c r="S777" s="3">
        <v>-2.0000000000000001E-4</v>
      </c>
      <c r="T777">
        <f t="shared" si="25"/>
        <v>2015</v>
      </c>
      <c r="W777" s="86">
        <v>41891</v>
      </c>
      <c r="X777">
        <v>543.16999999999996</v>
      </c>
    </row>
    <row r="778" spans="1:24">
      <c r="A778" s="68">
        <v>34344</v>
      </c>
      <c r="B778" s="33">
        <v>818.89</v>
      </c>
      <c r="C778">
        <f t="shared" si="24"/>
        <v>1994</v>
      </c>
      <c r="H778" s="85">
        <v>41683</v>
      </c>
      <c r="I778">
        <v>2031.75</v>
      </c>
      <c r="N778" s="69">
        <v>42340</v>
      </c>
      <c r="O778">
        <v>528.66999999999996</v>
      </c>
      <c r="P778">
        <v>526.27</v>
      </c>
      <c r="Q778">
        <v>537.67999999999995</v>
      </c>
      <c r="R778">
        <v>520.99</v>
      </c>
      <c r="S778" s="3">
        <v>-8.3999999999999995E-3</v>
      </c>
      <c r="T778">
        <f t="shared" si="25"/>
        <v>2015</v>
      </c>
      <c r="W778" s="86">
        <v>41892</v>
      </c>
      <c r="X778">
        <v>543.17999999999995</v>
      </c>
    </row>
    <row r="779" spans="1:24">
      <c r="A779" s="68">
        <v>34345</v>
      </c>
      <c r="B779" s="32">
        <v>818.89</v>
      </c>
      <c r="C779">
        <f t="shared" si="24"/>
        <v>1994</v>
      </c>
      <c r="H779" s="85">
        <v>41684</v>
      </c>
      <c r="I779">
        <v>2032.99</v>
      </c>
      <c r="N779" s="69">
        <v>42339</v>
      </c>
      <c r="O779">
        <v>533.13</v>
      </c>
      <c r="P779">
        <v>526.04999999999995</v>
      </c>
      <c r="Q779">
        <v>533.13</v>
      </c>
      <c r="R779">
        <v>520.75</v>
      </c>
      <c r="S779" s="3">
        <v>3.8999999999999998E-3</v>
      </c>
      <c r="T779">
        <f t="shared" si="25"/>
        <v>2015</v>
      </c>
      <c r="W779" s="86">
        <v>41893</v>
      </c>
      <c r="X779">
        <v>539.86</v>
      </c>
    </row>
    <row r="780" spans="1:24">
      <c r="A780" s="68">
        <v>34346</v>
      </c>
      <c r="B780" s="33">
        <v>818.5</v>
      </c>
      <c r="C780">
        <f t="shared" si="24"/>
        <v>1994</v>
      </c>
      <c r="H780" s="85">
        <v>41685</v>
      </c>
      <c r="I780">
        <v>2022.68</v>
      </c>
      <c r="N780" s="69">
        <v>42338</v>
      </c>
      <c r="O780">
        <v>531.04999999999995</v>
      </c>
      <c r="P780">
        <v>526.35</v>
      </c>
      <c r="Q780">
        <v>535</v>
      </c>
      <c r="R780">
        <v>520.79</v>
      </c>
      <c r="S780" s="3">
        <v>-6.9999999999999999E-4</v>
      </c>
      <c r="T780">
        <f t="shared" si="25"/>
        <v>2015</v>
      </c>
      <c r="W780" s="86">
        <v>41894</v>
      </c>
      <c r="X780">
        <v>539.82000000000005</v>
      </c>
    </row>
    <row r="781" spans="1:24">
      <c r="A781" s="68">
        <v>34347</v>
      </c>
      <c r="B781" s="32">
        <v>819.81</v>
      </c>
      <c r="C781">
        <f t="shared" si="24"/>
        <v>1994</v>
      </c>
      <c r="H781" s="85">
        <v>41686</v>
      </c>
      <c r="I781">
        <v>2022.68</v>
      </c>
      <c r="N781" s="69">
        <v>42335</v>
      </c>
      <c r="O781">
        <v>531.4</v>
      </c>
      <c r="P781">
        <v>526.4</v>
      </c>
      <c r="Q781">
        <v>531.44000000000005</v>
      </c>
      <c r="R781">
        <v>521.14</v>
      </c>
      <c r="S781" s="3">
        <v>0</v>
      </c>
      <c r="T781">
        <f t="shared" si="25"/>
        <v>2015</v>
      </c>
      <c r="W781" s="86">
        <v>41897</v>
      </c>
      <c r="X781">
        <v>539.87</v>
      </c>
    </row>
    <row r="782" spans="1:24">
      <c r="A782" s="68">
        <v>34348</v>
      </c>
      <c r="B782" s="33">
        <v>820.1</v>
      </c>
      <c r="C782">
        <f t="shared" si="24"/>
        <v>1994</v>
      </c>
      <c r="H782" s="85">
        <v>41687</v>
      </c>
      <c r="I782">
        <v>2022.68</v>
      </c>
      <c r="N782" s="69">
        <v>42334</v>
      </c>
      <c r="O782">
        <v>531.4</v>
      </c>
      <c r="P782">
        <v>526.4</v>
      </c>
      <c r="Q782">
        <v>531.45000000000005</v>
      </c>
      <c r="R782">
        <v>526.4</v>
      </c>
      <c r="S782" s="3">
        <v>0</v>
      </c>
      <c r="T782">
        <f t="shared" si="25"/>
        <v>2015</v>
      </c>
      <c r="W782" s="86">
        <v>41898</v>
      </c>
      <c r="X782">
        <v>539.87</v>
      </c>
    </row>
    <row r="783" spans="1:24">
      <c r="A783" s="68">
        <v>34349</v>
      </c>
      <c r="B783" s="32">
        <v>815.81</v>
      </c>
      <c r="C783">
        <f t="shared" si="24"/>
        <v>1994</v>
      </c>
      <c r="H783" s="85">
        <v>41688</v>
      </c>
      <c r="I783">
        <v>2022.68</v>
      </c>
      <c r="N783" s="69">
        <v>42333</v>
      </c>
      <c r="O783">
        <v>531.4</v>
      </c>
      <c r="P783">
        <v>526.42999999999995</v>
      </c>
      <c r="Q783">
        <v>535</v>
      </c>
      <c r="R783">
        <v>521.14</v>
      </c>
      <c r="S783" s="3">
        <v>-1E-4</v>
      </c>
      <c r="T783">
        <f t="shared" si="25"/>
        <v>2015</v>
      </c>
      <c r="W783" s="86">
        <v>41899</v>
      </c>
      <c r="X783">
        <v>539.87</v>
      </c>
    </row>
    <row r="784" spans="1:24">
      <c r="A784" s="68">
        <v>34350</v>
      </c>
      <c r="B784" s="33">
        <v>815.81</v>
      </c>
      <c r="C784">
        <f t="shared" si="24"/>
        <v>1994</v>
      </c>
      <c r="H784" s="85">
        <v>41689</v>
      </c>
      <c r="I784">
        <v>2028.54</v>
      </c>
      <c r="N784" s="69">
        <v>42332</v>
      </c>
      <c r="O784">
        <v>531.42999999999995</v>
      </c>
      <c r="P784">
        <v>526.4</v>
      </c>
      <c r="Q784">
        <v>535</v>
      </c>
      <c r="R784">
        <v>525.85</v>
      </c>
      <c r="S784" s="3">
        <v>1E-4</v>
      </c>
      <c r="T784">
        <f t="shared" si="25"/>
        <v>2015</v>
      </c>
      <c r="W784" s="86">
        <v>41900</v>
      </c>
      <c r="X784">
        <v>539.89</v>
      </c>
    </row>
    <row r="785" spans="1:24">
      <c r="A785" s="68">
        <v>34351</v>
      </c>
      <c r="B785" s="32">
        <v>815.81</v>
      </c>
      <c r="C785">
        <f t="shared" si="24"/>
        <v>1994</v>
      </c>
      <c r="H785" s="85">
        <v>41690</v>
      </c>
      <c r="I785">
        <v>2042.22</v>
      </c>
      <c r="N785" s="69">
        <v>42331</v>
      </c>
      <c r="O785">
        <v>531.4</v>
      </c>
      <c r="P785">
        <v>526.42999999999995</v>
      </c>
      <c r="Q785">
        <v>535</v>
      </c>
      <c r="R785">
        <v>521.15</v>
      </c>
      <c r="S785" s="3">
        <v>-1E-4</v>
      </c>
      <c r="T785">
        <f t="shared" si="25"/>
        <v>2015</v>
      </c>
      <c r="W785" s="86">
        <v>41901</v>
      </c>
      <c r="X785">
        <v>539.83000000000004</v>
      </c>
    </row>
    <row r="786" spans="1:24">
      <c r="A786" s="68">
        <v>34352</v>
      </c>
      <c r="B786" s="33">
        <v>816.91</v>
      </c>
      <c r="C786">
        <f t="shared" si="24"/>
        <v>1994</v>
      </c>
      <c r="H786" s="85">
        <v>41691</v>
      </c>
      <c r="I786">
        <v>2052.46</v>
      </c>
      <c r="N786" s="69">
        <v>42328</v>
      </c>
      <c r="O786">
        <v>531.42999999999995</v>
      </c>
      <c r="P786">
        <v>526.58000000000004</v>
      </c>
      <c r="Q786">
        <v>535</v>
      </c>
      <c r="R786">
        <v>523.79999999999995</v>
      </c>
      <c r="S786" s="3">
        <v>-2.9999999999999997E-4</v>
      </c>
      <c r="T786">
        <f t="shared" si="25"/>
        <v>2015</v>
      </c>
      <c r="W786" s="86">
        <v>41904</v>
      </c>
      <c r="X786">
        <v>539.83000000000004</v>
      </c>
    </row>
    <row r="787" spans="1:24">
      <c r="A787" s="68">
        <v>34353</v>
      </c>
      <c r="B787" s="32">
        <v>816.15</v>
      </c>
      <c r="C787">
        <f t="shared" si="24"/>
        <v>1994</v>
      </c>
      <c r="H787" s="85">
        <v>41692</v>
      </c>
      <c r="I787">
        <v>2043.96</v>
      </c>
      <c r="N787" s="69">
        <v>42327</v>
      </c>
      <c r="O787">
        <v>531.58000000000004</v>
      </c>
      <c r="P787">
        <v>526.6</v>
      </c>
      <c r="Q787">
        <v>535</v>
      </c>
      <c r="R787">
        <v>522.66999999999996</v>
      </c>
      <c r="S787" s="3">
        <v>0</v>
      </c>
      <c r="T787">
        <f t="shared" si="25"/>
        <v>2015</v>
      </c>
      <c r="W787" s="86">
        <v>41905</v>
      </c>
      <c r="X787">
        <v>539.83000000000004</v>
      </c>
    </row>
    <row r="788" spans="1:24">
      <c r="A788" s="68">
        <v>34354</v>
      </c>
      <c r="B788" s="33">
        <v>814.56</v>
      </c>
      <c r="C788">
        <f t="shared" si="24"/>
        <v>1994</v>
      </c>
      <c r="H788" s="85">
        <v>41693</v>
      </c>
      <c r="I788">
        <v>2043.96</v>
      </c>
      <c r="N788" s="69">
        <v>42326</v>
      </c>
      <c r="O788">
        <v>531.6</v>
      </c>
      <c r="P788">
        <v>527.1</v>
      </c>
      <c r="Q788">
        <v>535</v>
      </c>
      <c r="R788">
        <v>522.66999999999996</v>
      </c>
      <c r="S788" s="3">
        <v>-5.9999999999999995E-4</v>
      </c>
      <c r="T788">
        <f t="shared" si="25"/>
        <v>2015</v>
      </c>
      <c r="W788" s="86">
        <v>41906</v>
      </c>
      <c r="X788">
        <v>539.77</v>
      </c>
    </row>
    <row r="789" spans="1:24">
      <c r="A789" s="68">
        <v>34355</v>
      </c>
      <c r="B789" s="32">
        <v>815.91</v>
      </c>
      <c r="C789">
        <f t="shared" si="24"/>
        <v>1994</v>
      </c>
      <c r="H789" s="85">
        <v>41694</v>
      </c>
      <c r="I789">
        <v>2043.96</v>
      </c>
      <c r="N789" s="69">
        <v>42325</v>
      </c>
      <c r="O789">
        <v>531.91</v>
      </c>
      <c r="P789">
        <v>524.6</v>
      </c>
      <c r="Q789">
        <v>535.24</v>
      </c>
      <c r="R789">
        <v>522.66999999999996</v>
      </c>
      <c r="S789" s="3">
        <v>4.4000000000000003E-3</v>
      </c>
      <c r="T789">
        <f t="shared" si="25"/>
        <v>2015</v>
      </c>
      <c r="W789" s="86">
        <v>41907</v>
      </c>
      <c r="X789">
        <v>538.76</v>
      </c>
    </row>
    <row r="790" spans="1:24">
      <c r="A790" s="68">
        <v>34356</v>
      </c>
      <c r="B790" s="33">
        <v>815.65</v>
      </c>
      <c r="C790">
        <f t="shared" si="24"/>
        <v>1994</v>
      </c>
      <c r="H790" s="85">
        <v>41695</v>
      </c>
      <c r="I790">
        <v>2042.67</v>
      </c>
      <c r="N790" s="69">
        <v>42324</v>
      </c>
      <c r="O790">
        <v>529.6</v>
      </c>
      <c r="P790">
        <v>527.91999999999996</v>
      </c>
      <c r="Q790">
        <v>535</v>
      </c>
      <c r="R790">
        <v>524.6</v>
      </c>
      <c r="S790" s="3">
        <v>-6.1999999999999998E-3</v>
      </c>
      <c r="T790">
        <f t="shared" si="25"/>
        <v>2015</v>
      </c>
      <c r="W790" s="86">
        <v>41908</v>
      </c>
      <c r="X790">
        <v>538.74</v>
      </c>
    </row>
    <row r="791" spans="1:24">
      <c r="A791" s="68">
        <v>34357</v>
      </c>
      <c r="B791" s="32">
        <v>815.65</v>
      </c>
      <c r="C791">
        <f t="shared" si="24"/>
        <v>1994</v>
      </c>
      <c r="H791" s="85">
        <v>41696</v>
      </c>
      <c r="I791">
        <v>2045.45</v>
      </c>
      <c r="N791" s="69">
        <v>42321</v>
      </c>
      <c r="O791">
        <v>532.91999999999996</v>
      </c>
      <c r="P791">
        <v>527.88</v>
      </c>
      <c r="Q791">
        <v>535</v>
      </c>
      <c r="R791">
        <v>527.88</v>
      </c>
      <c r="S791" s="3">
        <v>1E-4</v>
      </c>
      <c r="T791">
        <f t="shared" si="25"/>
        <v>2015</v>
      </c>
      <c r="W791" s="86">
        <v>41911</v>
      </c>
      <c r="X791">
        <v>539.72</v>
      </c>
    </row>
    <row r="792" spans="1:24">
      <c r="A792" s="68">
        <v>34358</v>
      </c>
      <c r="B792" s="33">
        <v>815.65</v>
      </c>
      <c r="C792">
        <f t="shared" si="24"/>
        <v>1994</v>
      </c>
      <c r="H792" s="85">
        <v>41697</v>
      </c>
      <c r="I792">
        <v>2053.11</v>
      </c>
      <c r="N792" s="69">
        <v>42320</v>
      </c>
      <c r="O792">
        <v>532.88</v>
      </c>
      <c r="P792">
        <v>527.87</v>
      </c>
      <c r="Q792">
        <v>535</v>
      </c>
      <c r="R792">
        <v>527.87</v>
      </c>
      <c r="S792" s="3">
        <v>0</v>
      </c>
      <c r="T792">
        <f t="shared" si="25"/>
        <v>2015</v>
      </c>
      <c r="W792" s="86">
        <v>41912</v>
      </c>
      <c r="X792">
        <v>538.76</v>
      </c>
    </row>
    <row r="793" spans="1:24">
      <c r="A793" s="68">
        <v>34359</v>
      </c>
      <c r="B793" s="32">
        <v>816.69</v>
      </c>
      <c r="C793">
        <f t="shared" si="24"/>
        <v>1994</v>
      </c>
      <c r="H793" s="85">
        <v>41698</v>
      </c>
      <c r="I793">
        <v>2054.9</v>
      </c>
      <c r="N793" s="69">
        <v>42319</v>
      </c>
      <c r="O793">
        <v>532.87</v>
      </c>
      <c r="P793">
        <v>527.88</v>
      </c>
      <c r="Q793">
        <v>535</v>
      </c>
      <c r="R793">
        <v>527.87</v>
      </c>
      <c r="S793" s="3">
        <v>0</v>
      </c>
      <c r="T793">
        <f t="shared" si="25"/>
        <v>2015</v>
      </c>
      <c r="W793" s="86">
        <v>41913</v>
      </c>
      <c r="X793">
        <v>538.76</v>
      </c>
    </row>
    <row r="794" spans="1:24">
      <c r="A794" s="68">
        <v>34360</v>
      </c>
      <c r="B794" s="33">
        <v>819.1</v>
      </c>
      <c r="C794">
        <f t="shared" si="24"/>
        <v>1994</v>
      </c>
      <c r="H794" s="85">
        <v>41699</v>
      </c>
      <c r="I794">
        <v>2046.75</v>
      </c>
      <c r="N794" s="69">
        <v>42318</v>
      </c>
      <c r="O794">
        <v>532.88</v>
      </c>
      <c r="P794">
        <v>527.9</v>
      </c>
      <c r="Q794">
        <v>535</v>
      </c>
      <c r="R794">
        <v>527.88</v>
      </c>
      <c r="S794" s="3">
        <v>0</v>
      </c>
      <c r="T794">
        <f t="shared" si="25"/>
        <v>2015</v>
      </c>
      <c r="W794" s="86">
        <v>41914</v>
      </c>
      <c r="X794">
        <v>539.83000000000004</v>
      </c>
    </row>
    <row r="795" spans="1:24">
      <c r="A795" s="68">
        <v>34361</v>
      </c>
      <c r="B795" s="32">
        <v>821.52</v>
      </c>
      <c r="C795">
        <f t="shared" si="24"/>
        <v>1994</v>
      </c>
      <c r="H795" s="85">
        <v>41700</v>
      </c>
      <c r="I795">
        <v>2046.75</v>
      </c>
      <c r="N795" s="69">
        <v>42317</v>
      </c>
      <c r="O795">
        <v>532.9</v>
      </c>
      <c r="P795">
        <v>527.95000000000005</v>
      </c>
      <c r="Q795">
        <v>535</v>
      </c>
      <c r="R795">
        <v>522.66999999999996</v>
      </c>
      <c r="S795" s="3">
        <v>-1E-4</v>
      </c>
      <c r="T795">
        <f t="shared" si="25"/>
        <v>2015</v>
      </c>
      <c r="W795" s="86">
        <v>41915</v>
      </c>
      <c r="X795">
        <v>539.79999999999995</v>
      </c>
    </row>
    <row r="796" spans="1:24">
      <c r="A796" s="68">
        <v>34362</v>
      </c>
      <c r="B796" s="33">
        <v>821.72</v>
      </c>
      <c r="C796">
        <f t="shared" si="24"/>
        <v>1994</v>
      </c>
      <c r="H796" s="85">
        <v>41701</v>
      </c>
      <c r="I796">
        <v>2046.75</v>
      </c>
      <c r="N796" s="69">
        <v>42314</v>
      </c>
      <c r="O796">
        <v>532.95000000000005</v>
      </c>
      <c r="P796">
        <v>527.97</v>
      </c>
      <c r="Q796">
        <v>538.54999999999995</v>
      </c>
      <c r="R796">
        <v>522.66999999999996</v>
      </c>
      <c r="S796" s="3">
        <v>-5.5999999999999999E-3</v>
      </c>
      <c r="T796">
        <f t="shared" si="25"/>
        <v>2015</v>
      </c>
      <c r="W796" s="86">
        <v>41918</v>
      </c>
      <c r="X796">
        <v>539.79999999999995</v>
      </c>
    </row>
    <row r="797" spans="1:24">
      <c r="A797" s="68">
        <v>34363</v>
      </c>
      <c r="B797" s="32">
        <v>818.38</v>
      </c>
      <c r="C797">
        <f t="shared" si="24"/>
        <v>1994</v>
      </c>
      <c r="H797" s="85">
        <v>41702</v>
      </c>
      <c r="I797">
        <v>2052.5100000000002</v>
      </c>
      <c r="N797" s="69">
        <v>42313</v>
      </c>
      <c r="O797">
        <v>535.95000000000005</v>
      </c>
      <c r="P797">
        <v>528.03</v>
      </c>
      <c r="Q797">
        <v>536.15</v>
      </c>
      <c r="R797">
        <v>527.97</v>
      </c>
      <c r="S797" s="3">
        <v>5.4999999999999997E-3</v>
      </c>
      <c r="T797">
        <f t="shared" si="25"/>
        <v>2015</v>
      </c>
      <c r="W797" s="86">
        <v>41919</v>
      </c>
      <c r="X797">
        <v>539.79</v>
      </c>
    </row>
    <row r="798" spans="1:24">
      <c r="A798" s="68">
        <v>34364</v>
      </c>
      <c r="B798" s="33">
        <v>818.38</v>
      </c>
      <c r="C798">
        <f t="shared" si="24"/>
        <v>1994</v>
      </c>
      <c r="H798" s="85">
        <v>41703</v>
      </c>
      <c r="I798">
        <v>2047.75</v>
      </c>
      <c r="N798" s="69">
        <v>42312</v>
      </c>
      <c r="O798">
        <v>533.03</v>
      </c>
      <c r="P798">
        <v>528.04999999999995</v>
      </c>
      <c r="Q798">
        <v>538.6</v>
      </c>
      <c r="R798">
        <v>528.01</v>
      </c>
      <c r="S798" s="3">
        <v>-5.4000000000000003E-3</v>
      </c>
      <c r="T798">
        <f t="shared" si="25"/>
        <v>2015</v>
      </c>
      <c r="W798" s="86">
        <v>41920</v>
      </c>
      <c r="X798">
        <v>539.75</v>
      </c>
    </row>
    <row r="799" spans="1:24">
      <c r="A799" s="68">
        <v>34365</v>
      </c>
      <c r="B799" s="32">
        <v>818.38</v>
      </c>
      <c r="C799">
        <f t="shared" si="24"/>
        <v>1994</v>
      </c>
      <c r="H799" s="85">
        <v>41704</v>
      </c>
      <c r="I799">
        <v>2045.14</v>
      </c>
      <c r="N799" s="69">
        <v>42311</v>
      </c>
      <c r="O799">
        <v>535.9</v>
      </c>
      <c r="P799">
        <v>527.95000000000005</v>
      </c>
      <c r="Q799">
        <v>536.04999999999995</v>
      </c>
      <c r="R799">
        <v>527.95000000000005</v>
      </c>
      <c r="S799" s="3">
        <v>-2.9999999999999997E-4</v>
      </c>
      <c r="T799">
        <f t="shared" si="25"/>
        <v>2015</v>
      </c>
      <c r="W799" s="86">
        <v>41921</v>
      </c>
      <c r="X799">
        <v>539.73</v>
      </c>
    </row>
    <row r="800" spans="1:24">
      <c r="A800" s="68">
        <v>34366</v>
      </c>
      <c r="B800" s="33">
        <v>817</v>
      </c>
      <c r="C800">
        <f t="shared" si="24"/>
        <v>1994</v>
      </c>
      <c r="H800" s="85">
        <v>41705</v>
      </c>
      <c r="I800">
        <v>2030.02</v>
      </c>
      <c r="N800" s="69">
        <v>42310</v>
      </c>
      <c r="O800">
        <v>536.04999999999995</v>
      </c>
      <c r="P800">
        <v>527.98</v>
      </c>
      <c r="Q800">
        <v>536.04999999999995</v>
      </c>
      <c r="R800">
        <v>527.95000000000005</v>
      </c>
      <c r="S800" s="3">
        <v>-4.0000000000000002E-4</v>
      </c>
      <c r="T800">
        <f t="shared" si="25"/>
        <v>2015</v>
      </c>
      <c r="W800" s="86">
        <v>41922</v>
      </c>
      <c r="X800">
        <v>539.71</v>
      </c>
    </row>
    <row r="801" spans="1:24">
      <c r="A801" s="68">
        <v>34367</v>
      </c>
      <c r="B801" s="32">
        <v>819.27</v>
      </c>
      <c r="C801">
        <f t="shared" si="24"/>
        <v>1994</v>
      </c>
      <c r="H801" s="85">
        <v>41706</v>
      </c>
      <c r="I801">
        <v>2036.2</v>
      </c>
      <c r="N801" s="69">
        <v>42307</v>
      </c>
      <c r="O801">
        <v>536.25</v>
      </c>
      <c r="P801">
        <v>527.88</v>
      </c>
      <c r="Q801">
        <v>536.25</v>
      </c>
      <c r="R801">
        <v>527.87</v>
      </c>
      <c r="S801" s="3">
        <v>6.3E-3</v>
      </c>
      <c r="T801">
        <f t="shared" si="25"/>
        <v>2015</v>
      </c>
      <c r="W801" s="86">
        <v>41925</v>
      </c>
      <c r="X801">
        <v>539.73</v>
      </c>
    </row>
    <row r="802" spans="1:24">
      <c r="A802" s="68">
        <v>34368</v>
      </c>
      <c r="B802" s="33">
        <v>817.96</v>
      </c>
      <c r="C802">
        <f t="shared" si="24"/>
        <v>1994</v>
      </c>
      <c r="H802" s="85">
        <v>41707</v>
      </c>
      <c r="I802">
        <v>2036.2</v>
      </c>
      <c r="N802" s="69">
        <v>42306</v>
      </c>
      <c r="O802">
        <v>532.88</v>
      </c>
      <c r="P802">
        <v>533.15</v>
      </c>
      <c r="Q802">
        <v>538.15</v>
      </c>
      <c r="R802">
        <v>527.88</v>
      </c>
      <c r="S802" s="3">
        <v>-9.7999999999999997E-3</v>
      </c>
      <c r="T802">
        <f t="shared" si="25"/>
        <v>2015</v>
      </c>
      <c r="W802" s="86">
        <v>41926</v>
      </c>
      <c r="X802">
        <v>539.76</v>
      </c>
    </row>
    <row r="803" spans="1:24">
      <c r="A803" s="68">
        <v>34369</v>
      </c>
      <c r="B803" s="32">
        <v>817.69</v>
      </c>
      <c r="C803">
        <f t="shared" si="24"/>
        <v>1994</v>
      </c>
      <c r="H803" s="85">
        <v>41708</v>
      </c>
      <c r="I803">
        <v>2036.2</v>
      </c>
      <c r="N803" s="69">
        <v>42305</v>
      </c>
      <c r="O803">
        <v>538.15</v>
      </c>
      <c r="P803">
        <v>528.1</v>
      </c>
      <c r="Q803">
        <v>538.15</v>
      </c>
      <c r="R803">
        <v>528</v>
      </c>
      <c r="S803" s="3">
        <v>9.4999999999999998E-3</v>
      </c>
      <c r="T803">
        <f t="shared" si="25"/>
        <v>2015</v>
      </c>
      <c r="W803" s="86">
        <v>41927</v>
      </c>
      <c r="X803">
        <v>538.78</v>
      </c>
    </row>
    <row r="804" spans="1:24">
      <c r="A804" s="68">
        <v>34370</v>
      </c>
      <c r="B804" s="33">
        <v>818</v>
      </c>
      <c r="C804">
        <f t="shared" si="24"/>
        <v>1994</v>
      </c>
      <c r="H804" s="85">
        <v>41709</v>
      </c>
      <c r="I804">
        <v>2042.78</v>
      </c>
      <c r="N804" s="69">
        <v>42304</v>
      </c>
      <c r="O804">
        <v>533.1</v>
      </c>
      <c r="P804">
        <v>528.04999999999995</v>
      </c>
      <c r="Q804">
        <v>537.45000000000005</v>
      </c>
      <c r="R804">
        <v>528</v>
      </c>
      <c r="S804" s="3">
        <v>-4.4000000000000003E-3</v>
      </c>
      <c r="T804">
        <f t="shared" si="25"/>
        <v>2015</v>
      </c>
      <c r="W804" s="86">
        <v>41928</v>
      </c>
      <c r="X804">
        <v>539.76</v>
      </c>
    </row>
    <row r="805" spans="1:24">
      <c r="A805" s="68">
        <v>34371</v>
      </c>
      <c r="B805" s="32">
        <v>818</v>
      </c>
      <c r="C805">
        <f t="shared" si="24"/>
        <v>1994</v>
      </c>
      <c r="H805" s="85">
        <v>41710</v>
      </c>
      <c r="I805">
        <v>2043.59</v>
      </c>
      <c r="N805" s="69">
        <v>42303</v>
      </c>
      <c r="O805">
        <v>535.48</v>
      </c>
      <c r="P805">
        <v>528.04999999999995</v>
      </c>
      <c r="Q805">
        <v>535.48</v>
      </c>
      <c r="R805">
        <v>528</v>
      </c>
      <c r="S805" s="3">
        <v>4.5999999999999999E-3</v>
      </c>
      <c r="T805">
        <f t="shared" si="25"/>
        <v>2015</v>
      </c>
      <c r="W805" s="86">
        <v>41929</v>
      </c>
      <c r="X805">
        <v>538.79999999999995</v>
      </c>
    </row>
    <row r="806" spans="1:24">
      <c r="A806" s="68">
        <v>34372</v>
      </c>
      <c r="B806" s="33">
        <v>818</v>
      </c>
      <c r="C806">
        <f t="shared" si="24"/>
        <v>1994</v>
      </c>
      <c r="H806" s="85">
        <v>41711</v>
      </c>
      <c r="I806">
        <v>2047.59</v>
      </c>
      <c r="N806" s="69">
        <v>42300</v>
      </c>
      <c r="O806">
        <v>533.04999999999995</v>
      </c>
      <c r="P806">
        <v>528.04999999999995</v>
      </c>
      <c r="Q806">
        <v>538.25</v>
      </c>
      <c r="R806">
        <v>528</v>
      </c>
      <c r="S806" s="3">
        <v>-4.5999999999999999E-3</v>
      </c>
      <c r="T806">
        <f t="shared" si="25"/>
        <v>2015</v>
      </c>
      <c r="W806" s="86">
        <v>41932</v>
      </c>
      <c r="X806">
        <v>538.79</v>
      </c>
    </row>
    <row r="807" spans="1:24">
      <c r="A807" s="68">
        <v>34373</v>
      </c>
      <c r="B807" s="32">
        <v>817.64</v>
      </c>
      <c r="C807">
        <f t="shared" si="24"/>
        <v>1994</v>
      </c>
      <c r="H807" s="85">
        <v>41712</v>
      </c>
      <c r="I807">
        <v>2044.48</v>
      </c>
      <c r="N807" s="69">
        <v>42299</v>
      </c>
      <c r="O807">
        <v>535.53</v>
      </c>
      <c r="P807">
        <v>528.08000000000004</v>
      </c>
      <c r="Q807">
        <v>535.83000000000004</v>
      </c>
      <c r="R807">
        <v>528.04999999999995</v>
      </c>
      <c r="S807" s="3">
        <v>-1E-4</v>
      </c>
      <c r="T807">
        <f t="shared" si="25"/>
        <v>2015</v>
      </c>
      <c r="W807" s="86">
        <v>41933</v>
      </c>
      <c r="X807">
        <v>543.26</v>
      </c>
    </row>
    <row r="808" spans="1:24">
      <c r="A808" s="68">
        <v>34374</v>
      </c>
      <c r="B808" s="33">
        <v>817.81</v>
      </c>
      <c r="C808">
        <f t="shared" si="24"/>
        <v>1994</v>
      </c>
      <c r="H808" s="85">
        <v>41713</v>
      </c>
      <c r="I808">
        <v>2044.58</v>
      </c>
      <c r="N808" s="69">
        <v>42298</v>
      </c>
      <c r="O808">
        <v>535.57000000000005</v>
      </c>
      <c r="P808">
        <v>528</v>
      </c>
      <c r="Q808">
        <v>535.82000000000005</v>
      </c>
      <c r="R808">
        <v>528</v>
      </c>
      <c r="S808" s="3">
        <v>2.9999999999999997E-4</v>
      </c>
      <c r="T808">
        <f t="shared" si="25"/>
        <v>2015</v>
      </c>
      <c r="W808" s="86">
        <v>41934</v>
      </c>
      <c r="X808">
        <v>539.75</v>
      </c>
    </row>
    <row r="809" spans="1:24">
      <c r="A809" s="68">
        <v>34375</v>
      </c>
      <c r="B809" s="32">
        <v>817.88</v>
      </c>
      <c r="C809">
        <f t="shared" si="24"/>
        <v>1994</v>
      </c>
      <c r="H809" s="85">
        <v>41714</v>
      </c>
      <c r="I809">
        <v>2044.58</v>
      </c>
      <c r="N809" s="69">
        <v>42297</v>
      </c>
      <c r="O809">
        <v>535.41999999999996</v>
      </c>
      <c r="P809">
        <v>528</v>
      </c>
      <c r="Q809">
        <v>535.88</v>
      </c>
      <c r="R809">
        <v>528</v>
      </c>
      <c r="S809" s="3">
        <v>4.4999999999999997E-3</v>
      </c>
      <c r="T809">
        <f t="shared" si="25"/>
        <v>2015</v>
      </c>
      <c r="W809" s="86">
        <v>41935</v>
      </c>
      <c r="X809">
        <v>539.75</v>
      </c>
    </row>
    <row r="810" spans="1:24">
      <c r="A810" s="68">
        <v>34376</v>
      </c>
      <c r="B810" s="33">
        <v>817.88</v>
      </c>
      <c r="C810">
        <f t="shared" si="24"/>
        <v>1994</v>
      </c>
      <c r="H810" s="85">
        <v>41715</v>
      </c>
      <c r="I810">
        <v>2044.58</v>
      </c>
      <c r="N810" s="69">
        <v>42296</v>
      </c>
      <c r="O810">
        <v>533</v>
      </c>
      <c r="P810">
        <v>528.04999999999995</v>
      </c>
      <c r="Q810">
        <v>538.25</v>
      </c>
      <c r="R810">
        <v>528</v>
      </c>
      <c r="S810" s="3">
        <v>-3.8999999999999998E-3</v>
      </c>
      <c r="T810">
        <f t="shared" si="25"/>
        <v>2015</v>
      </c>
      <c r="W810" s="86">
        <v>41936</v>
      </c>
      <c r="X810">
        <v>539.63</v>
      </c>
    </row>
    <row r="811" spans="1:24">
      <c r="A811" s="68">
        <v>34377</v>
      </c>
      <c r="B811" s="32">
        <v>817.78</v>
      </c>
      <c r="C811">
        <f t="shared" si="24"/>
        <v>1994</v>
      </c>
      <c r="H811" s="85">
        <v>41716</v>
      </c>
      <c r="I811">
        <v>2035.16</v>
      </c>
      <c r="N811" s="69">
        <v>42293</v>
      </c>
      <c r="O811">
        <v>535.1</v>
      </c>
      <c r="P811">
        <v>528.04999999999995</v>
      </c>
      <c r="Q811">
        <v>536.20000000000005</v>
      </c>
      <c r="R811">
        <v>528</v>
      </c>
      <c r="S811" s="3">
        <v>-1.9E-3</v>
      </c>
      <c r="T811">
        <f t="shared" si="25"/>
        <v>2015</v>
      </c>
      <c r="W811" s="86">
        <v>41939</v>
      </c>
      <c r="X811">
        <v>543.01</v>
      </c>
    </row>
    <row r="812" spans="1:24">
      <c r="A812" s="68">
        <v>34378</v>
      </c>
      <c r="B812" s="33">
        <v>817.78</v>
      </c>
      <c r="C812">
        <f t="shared" si="24"/>
        <v>1994</v>
      </c>
      <c r="H812" s="85">
        <v>41717</v>
      </c>
      <c r="I812">
        <v>2034.86</v>
      </c>
      <c r="N812" s="69">
        <v>42292</v>
      </c>
      <c r="O812">
        <v>536.11</v>
      </c>
      <c r="P812">
        <v>533.29999999999995</v>
      </c>
      <c r="Q812">
        <v>536.26</v>
      </c>
      <c r="R812">
        <v>528.04999999999995</v>
      </c>
      <c r="S812" s="3">
        <v>5.0000000000000001E-3</v>
      </c>
      <c r="T812">
        <f t="shared" si="25"/>
        <v>2015</v>
      </c>
      <c r="W812" s="86">
        <v>41940</v>
      </c>
      <c r="X812">
        <v>540.6</v>
      </c>
    </row>
    <row r="813" spans="1:24">
      <c r="A813" s="68">
        <v>34379</v>
      </c>
      <c r="B813" s="32">
        <v>817.78</v>
      </c>
      <c r="C813">
        <f t="shared" si="24"/>
        <v>1994</v>
      </c>
      <c r="H813" s="85">
        <v>41718</v>
      </c>
      <c r="I813">
        <v>2017.38</v>
      </c>
      <c r="N813" s="69">
        <v>42291</v>
      </c>
      <c r="O813">
        <v>533.41999999999996</v>
      </c>
      <c r="P813">
        <v>528.45000000000005</v>
      </c>
      <c r="Q813">
        <v>535</v>
      </c>
      <c r="R813">
        <v>528.13</v>
      </c>
      <c r="S813" s="3">
        <v>-4.1999999999999997E-3</v>
      </c>
      <c r="T813">
        <f t="shared" si="25"/>
        <v>2015</v>
      </c>
      <c r="W813" s="86">
        <v>41941</v>
      </c>
      <c r="X813">
        <v>540.5</v>
      </c>
    </row>
    <row r="814" spans="1:24">
      <c r="A814" s="68">
        <v>34380</v>
      </c>
      <c r="B814" s="33">
        <v>817.59</v>
      </c>
      <c r="C814">
        <f t="shared" si="24"/>
        <v>1994</v>
      </c>
      <c r="H814" s="85">
        <v>41719</v>
      </c>
      <c r="I814">
        <v>1998.6</v>
      </c>
      <c r="N814" s="69">
        <v>42290</v>
      </c>
      <c r="O814">
        <v>535.65</v>
      </c>
      <c r="P814">
        <v>528.47</v>
      </c>
      <c r="Q814">
        <v>536.15</v>
      </c>
      <c r="R814">
        <v>528.45000000000005</v>
      </c>
      <c r="S814" s="3">
        <v>4.1000000000000003E-3</v>
      </c>
      <c r="T814">
        <f t="shared" si="25"/>
        <v>2015</v>
      </c>
      <c r="W814" s="86">
        <v>41942</v>
      </c>
      <c r="X814">
        <v>540.70000000000005</v>
      </c>
    </row>
    <row r="815" spans="1:24">
      <c r="A815" s="68">
        <v>34381</v>
      </c>
      <c r="B815" s="32">
        <v>816.92</v>
      </c>
      <c r="C815">
        <f t="shared" si="24"/>
        <v>1994</v>
      </c>
      <c r="H815" s="85">
        <v>41720</v>
      </c>
      <c r="I815">
        <v>1993.85</v>
      </c>
      <c r="N815" s="69">
        <v>42289</v>
      </c>
      <c r="O815">
        <v>533.47</v>
      </c>
      <c r="P815">
        <v>528.99</v>
      </c>
      <c r="Q815">
        <v>533.99</v>
      </c>
      <c r="R815">
        <v>528.47</v>
      </c>
      <c r="S815" s="3">
        <v>-1E-3</v>
      </c>
      <c r="T815">
        <f t="shared" si="25"/>
        <v>2015</v>
      </c>
      <c r="W815" s="86">
        <v>41943</v>
      </c>
      <c r="X815">
        <v>540.54999999999995</v>
      </c>
    </row>
    <row r="816" spans="1:24">
      <c r="A816" s="68">
        <v>34382</v>
      </c>
      <c r="B816" s="33">
        <v>816.1</v>
      </c>
      <c r="C816">
        <f t="shared" si="24"/>
        <v>1994</v>
      </c>
      <c r="H816" s="85">
        <v>41721</v>
      </c>
      <c r="I816">
        <v>1993.85</v>
      </c>
      <c r="N816" s="69">
        <v>42286</v>
      </c>
      <c r="O816">
        <v>533.99</v>
      </c>
      <c r="P816">
        <v>528.87</v>
      </c>
      <c r="Q816">
        <v>538.29999999999995</v>
      </c>
      <c r="R816">
        <v>528.85</v>
      </c>
      <c r="S816" s="3">
        <v>2.0000000000000001E-4</v>
      </c>
      <c r="T816">
        <f t="shared" si="25"/>
        <v>2015</v>
      </c>
      <c r="W816" s="86">
        <v>41946</v>
      </c>
      <c r="X816">
        <v>540.70000000000005</v>
      </c>
    </row>
    <row r="817" spans="1:24">
      <c r="A817" s="68">
        <v>34383</v>
      </c>
      <c r="B817" s="32">
        <v>815.19</v>
      </c>
      <c r="C817">
        <f t="shared" si="24"/>
        <v>1994</v>
      </c>
      <c r="H817" s="85">
        <v>41722</v>
      </c>
      <c r="I817">
        <v>1993.85</v>
      </c>
      <c r="N817" s="69">
        <v>42285</v>
      </c>
      <c r="O817">
        <v>533.87</v>
      </c>
      <c r="P817">
        <v>528.91999999999996</v>
      </c>
      <c r="Q817">
        <v>539.1</v>
      </c>
      <c r="R817">
        <v>528.87</v>
      </c>
      <c r="S817" s="3">
        <v>-4.0000000000000002E-4</v>
      </c>
      <c r="T817">
        <f t="shared" si="25"/>
        <v>2015</v>
      </c>
      <c r="W817" s="86">
        <v>41947</v>
      </c>
      <c r="X817">
        <v>540.79999999999995</v>
      </c>
    </row>
    <row r="818" spans="1:24">
      <c r="A818" s="68">
        <v>34384</v>
      </c>
      <c r="B818" s="33">
        <v>814.13</v>
      </c>
      <c r="C818">
        <f t="shared" si="24"/>
        <v>1994</v>
      </c>
      <c r="H818" s="85">
        <v>41723</v>
      </c>
      <c r="I818">
        <v>1993.85</v>
      </c>
      <c r="N818" s="69">
        <v>42284</v>
      </c>
      <c r="O818">
        <v>534.05999999999995</v>
      </c>
      <c r="P818">
        <v>533.38</v>
      </c>
      <c r="Q818">
        <v>538.69000000000005</v>
      </c>
      <c r="R818">
        <v>528.86</v>
      </c>
      <c r="S818" s="3">
        <v>-8.0000000000000002E-3</v>
      </c>
      <c r="T818">
        <f t="shared" si="25"/>
        <v>2015</v>
      </c>
      <c r="W818" s="86">
        <v>41948</v>
      </c>
      <c r="X818">
        <v>540.5</v>
      </c>
    </row>
    <row r="819" spans="1:24">
      <c r="A819" s="68">
        <v>34385</v>
      </c>
      <c r="B819" s="32">
        <v>814.13</v>
      </c>
      <c r="C819">
        <f t="shared" si="24"/>
        <v>1994</v>
      </c>
      <c r="H819" s="85">
        <v>41724</v>
      </c>
      <c r="I819">
        <v>1978.63</v>
      </c>
      <c r="N819" s="69">
        <v>42283</v>
      </c>
      <c r="O819">
        <v>538.38</v>
      </c>
      <c r="P819">
        <v>529.91999999999996</v>
      </c>
      <c r="Q819">
        <v>538.5</v>
      </c>
      <c r="R819">
        <v>528.96</v>
      </c>
      <c r="S819" s="3">
        <v>6.4999999999999997E-3</v>
      </c>
      <c r="T819">
        <f t="shared" si="25"/>
        <v>2015</v>
      </c>
      <c r="W819" s="86">
        <v>41949</v>
      </c>
      <c r="X819">
        <v>540.85</v>
      </c>
    </row>
    <row r="820" spans="1:24">
      <c r="A820" s="68">
        <v>34386</v>
      </c>
      <c r="B820" s="33">
        <v>814.13</v>
      </c>
      <c r="C820">
        <f t="shared" si="24"/>
        <v>1994</v>
      </c>
      <c r="H820" s="85">
        <v>41725</v>
      </c>
      <c r="I820">
        <v>1973.03</v>
      </c>
      <c r="N820" s="69">
        <v>42282</v>
      </c>
      <c r="O820">
        <v>534.91999999999996</v>
      </c>
      <c r="P820">
        <v>529.95000000000005</v>
      </c>
      <c r="Q820">
        <v>535</v>
      </c>
      <c r="R820">
        <v>528.91999999999996</v>
      </c>
      <c r="S820" s="3">
        <v>-1E-4</v>
      </c>
      <c r="T820">
        <f t="shared" si="25"/>
        <v>2015</v>
      </c>
      <c r="W820" s="86">
        <v>41950</v>
      </c>
      <c r="X820">
        <v>539.9</v>
      </c>
    </row>
    <row r="821" spans="1:24">
      <c r="A821" s="68">
        <v>34387</v>
      </c>
      <c r="B821" s="32">
        <v>816.04</v>
      </c>
      <c r="C821">
        <f t="shared" si="24"/>
        <v>1994</v>
      </c>
      <c r="H821" s="85">
        <v>41726</v>
      </c>
      <c r="I821">
        <v>1965.64</v>
      </c>
      <c r="N821" s="69">
        <v>42279</v>
      </c>
      <c r="O821">
        <v>534.95000000000005</v>
      </c>
      <c r="P821">
        <v>533.5</v>
      </c>
      <c r="Q821">
        <v>538.5</v>
      </c>
      <c r="R821">
        <v>528.92999999999995</v>
      </c>
      <c r="S821" s="3">
        <v>1E-3</v>
      </c>
      <c r="T821">
        <f t="shared" si="25"/>
        <v>2015</v>
      </c>
      <c r="W821" s="86">
        <v>41953</v>
      </c>
      <c r="X821">
        <v>539.5</v>
      </c>
    </row>
    <row r="822" spans="1:24">
      <c r="A822" s="68">
        <v>34388</v>
      </c>
      <c r="B822" s="33">
        <v>818.33</v>
      </c>
      <c r="C822">
        <f t="shared" si="24"/>
        <v>1994</v>
      </c>
      <c r="H822" s="85">
        <v>41727</v>
      </c>
      <c r="I822">
        <v>1965.32</v>
      </c>
      <c r="N822" s="69">
        <v>42278</v>
      </c>
      <c r="O822">
        <v>534.42999999999995</v>
      </c>
      <c r="P822">
        <v>529.95000000000005</v>
      </c>
      <c r="Q822">
        <v>539.07000000000005</v>
      </c>
      <c r="R822">
        <v>528.16</v>
      </c>
      <c r="S822" s="3">
        <v>-1E-3</v>
      </c>
      <c r="T822">
        <f t="shared" si="25"/>
        <v>2015</v>
      </c>
      <c r="W822" s="86">
        <v>41954</v>
      </c>
      <c r="X822">
        <v>539.45000000000005</v>
      </c>
    </row>
    <row r="823" spans="1:24">
      <c r="A823" s="68">
        <v>34389</v>
      </c>
      <c r="B823" s="32">
        <v>820.76</v>
      </c>
      <c r="C823">
        <f t="shared" si="24"/>
        <v>1994</v>
      </c>
      <c r="H823" s="85">
        <v>41728</v>
      </c>
      <c r="I823">
        <v>1965.32</v>
      </c>
      <c r="N823" s="69">
        <v>42277</v>
      </c>
      <c r="O823">
        <v>534.95000000000005</v>
      </c>
      <c r="P823">
        <v>527.70000000000005</v>
      </c>
      <c r="Q823">
        <v>538.5</v>
      </c>
      <c r="R823">
        <v>527.70000000000005</v>
      </c>
      <c r="S823" s="3">
        <v>4.1999999999999997E-3</v>
      </c>
      <c r="T823">
        <f t="shared" si="25"/>
        <v>2015</v>
      </c>
      <c r="W823" s="86">
        <v>41955</v>
      </c>
      <c r="X823">
        <v>539.25</v>
      </c>
    </row>
    <row r="824" spans="1:24">
      <c r="A824" s="68">
        <v>34390</v>
      </c>
      <c r="B824" s="33">
        <v>819.68</v>
      </c>
      <c r="C824">
        <f t="shared" si="24"/>
        <v>1994</v>
      </c>
      <c r="H824" s="85">
        <v>41729</v>
      </c>
      <c r="I824">
        <v>1965.32</v>
      </c>
      <c r="N824" s="69">
        <v>42276</v>
      </c>
      <c r="O824">
        <v>532.70000000000005</v>
      </c>
      <c r="P824">
        <v>527.70000000000005</v>
      </c>
      <c r="Q824">
        <v>538.91999999999996</v>
      </c>
      <c r="R824">
        <v>527.6</v>
      </c>
      <c r="S824" s="3">
        <v>-6.4000000000000003E-3</v>
      </c>
      <c r="T824">
        <f t="shared" si="25"/>
        <v>2015</v>
      </c>
      <c r="W824" s="86">
        <v>41956</v>
      </c>
      <c r="X824">
        <v>539.35</v>
      </c>
    </row>
    <row r="825" spans="1:24">
      <c r="A825" s="68">
        <v>34391</v>
      </c>
      <c r="B825" s="32">
        <v>819.7</v>
      </c>
      <c r="C825">
        <f t="shared" si="24"/>
        <v>1994</v>
      </c>
      <c r="H825" s="85">
        <v>41730</v>
      </c>
      <c r="I825">
        <v>1969.45</v>
      </c>
      <c r="N825" s="69">
        <v>42275</v>
      </c>
      <c r="O825">
        <v>536.15</v>
      </c>
      <c r="P825">
        <v>527.63</v>
      </c>
      <c r="Q825">
        <v>536.15</v>
      </c>
      <c r="R825">
        <v>527.6</v>
      </c>
      <c r="S825" s="3">
        <v>6.6E-3</v>
      </c>
      <c r="T825">
        <f t="shared" si="25"/>
        <v>2015</v>
      </c>
      <c r="W825" s="86">
        <v>41957</v>
      </c>
      <c r="X825">
        <v>539.32000000000005</v>
      </c>
    </row>
    <row r="826" spans="1:24">
      <c r="A826" s="68">
        <v>34392</v>
      </c>
      <c r="B826" s="33">
        <v>819.7</v>
      </c>
      <c r="C826">
        <f t="shared" si="24"/>
        <v>1994</v>
      </c>
      <c r="H826" s="85">
        <v>41731</v>
      </c>
      <c r="I826">
        <v>1966.02</v>
      </c>
      <c r="N826" s="69">
        <v>42272</v>
      </c>
      <c r="O826">
        <v>532.63</v>
      </c>
      <c r="P826">
        <v>527.38</v>
      </c>
      <c r="Q826">
        <v>538.5</v>
      </c>
      <c r="R826">
        <v>527.35</v>
      </c>
      <c r="S826" s="3">
        <v>5.0000000000000001E-4</v>
      </c>
      <c r="T826">
        <f t="shared" si="25"/>
        <v>2015</v>
      </c>
      <c r="W826" s="86">
        <v>41960</v>
      </c>
      <c r="X826">
        <v>538.54999999999995</v>
      </c>
    </row>
    <row r="827" spans="1:24">
      <c r="A827" s="68">
        <v>34393</v>
      </c>
      <c r="B827" s="32">
        <v>819.7</v>
      </c>
      <c r="C827">
        <f t="shared" si="24"/>
        <v>1994</v>
      </c>
      <c r="H827" s="85">
        <v>41732</v>
      </c>
      <c r="I827">
        <v>1963.51</v>
      </c>
      <c r="N827" s="69">
        <v>42271</v>
      </c>
      <c r="O827">
        <v>532.38</v>
      </c>
      <c r="P827">
        <v>533.45000000000005</v>
      </c>
      <c r="Q827">
        <v>538.85</v>
      </c>
      <c r="R827">
        <v>527.38</v>
      </c>
      <c r="S827" s="3">
        <v>-1.1900000000000001E-2</v>
      </c>
      <c r="T827">
        <f t="shared" si="25"/>
        <v>2015</v>
      </c>
      <c r="W827" s="86">
        <v>41961</v>
      </c>
      <c r="X827">
        <v>538.29999999999995</v>
      </c>
    </row>
    <row r="828" spans="1:24">
      <c r="A828" s="68">
        <v>34394</v>
      </c>
      <c r="B828" s="33">
        <v>820.12</v>
      </c>
      <c r="C828">
        <f t="shared" si="24"/>
        <v>1994</v>
      </c>
      <c r="H828" s="85">
        <v>41733</v>
      </c>
      <c r="I828">
        <v>1966.4</v>
      </c>
      <c r="N828" s="69">
        <v>42270</v>
      </c>
      <c r="O828">
        <v>538.79999999999995</v>
      </c>
      <c r="P828">
        <v>533.4</v>
      </c>
      <c r="Q828">
        <v>538.79999999999995</v>
      </c>
      <c r="R828">
        <v>527.38</v>
      </c>
      <c r="S828" s="3">
        <v>6.9999999999999999E-4</v>
      </c>
      <c r="T828">
        <f t="shared" si="25"/>
        <v>2015</v>
      </c>
      <c r="W828" s="86">
        <v>41962</v>
      </c>
      <c r="X828">
        <v>537.85</v>
      </c>
    </row>
    <row r="829" spans="1:24">
      <c r="A829" s="68">
        <v>34395</v>
      </c>
      <c r="B829" s="32">
        <v>819.83</v>
      </c>
      <c r="C829">
        <f t="shared" si="24"/>
        <v>1994</v>
      </c>
      <c r="H829" s="85">
        <v>41734</v>
      </c>
      <c r="I829">
        <v>1951.85</v>
      </c>
      <c r="N829" s="69">
        <v>42269</v>
      </c>
      <c r="O829">
        <v>538.4</v>
      </c>
      <c r="P829">
        <v>527.29999999999995</v>
      </c>
      <c r="Q829">
        <v>538.54999999999995</v>
      </c>
      <c r="R829">
        <v>527.29999999999995</v>
      </c>
      <c r="S829" s="3">
        <v>1.15E-2</v>
      </c>
      <c r="T829">
        <f t="shared" si="25"/>
        <v>2015</v>
      </c>
      <c r="W829" s="86">
        <v>41963</v>
      </c>
      <c r="X829">
        <v>537.85</v>
      </c>
    </row>
    <row r="830" spans="1:24">
      <c r="A830" s="68">
        <v>34396</v>
      </c>
      <c r="B830" s="33">
        <v>819.61</v>
      </c>
      <c r="C830">
        <f t="shared" si="24"/>
        <v>1994</v>
      </c>
      <c r="H830" s="85">
        <v>41735</v>
      </c>
      <c r="I830">
        <v>1951.85</v>
      </c>
      <c r="N830" s="69">
        <v>42268</v>
      </c>
      <c r="O830">
        <v>532.29999999999995</v>
      </c>
      <c r="P830">
        <v>527.29999999999995</v>
      </c>
      <c r="Q830">
        <v>538.54999999999995</v>
      </c>
      <c r="R830">
        <v>524</v>
      </c>
      <c r="S830" s="3">
        <v>-1E-4</v>
      </c>
      <c r="T830">
        <f t="shared" si="25"/>
        <v>2015</v>
      </c>
      <c r="W830" s="86">
        <v>41964</v>
      </c>
      <c r="X830">
        <v>537.79999999999995</v>
      </c>
    </row>
    <row r="831" spans="1:24">
      <c r="A831" s="68">
        <v>34397</v>
      </c>
      <c r="B831" s="32">
        <v>818.7</v>
      </c>
      <c r="C831">
        <f t="shared" si="24"/>
        <v>1994</v>
      </c>
      <c r="H831" s="85">
        <v>41736</v>
      </c>
      <c r="I831">
        <v>1951.85</v>
      </c>
      <c r="N831" s="69">
        <v>42265</v>
      </c>
      <c r="O831">
        <v>532.35</v>
      </c>
      <c r="P831">
        <v>527.38</v>
      </c>
      <c r="Q831">
        <v>537.95000000000005</v>
      </c>
      <c r="R831">
        <v>527.35</v>
      </c>
      <c r="S831" s="3">
        <v>-1E-4</v>
      </c>
      <c r="T831">
        <f t="shared" si="25"/>
        <v>2015</v>
      </c>
      <c r="W831" s="86">
        <v>41967</v>
      </c>
      <c r="X831">
        <v>537.79999999999995</v>
      </c>
    </row>
    <row r="832" spans="1:24">
      <c r="A832" s="68">
        <v>34398</v>
      </c>
      <c r="B832" s="33">
        <v>817.86</v>
      </c>
      <c r="C832">
        <f t="shared" si="24"/>
        <v>1994</v>
      </c>
      <c r="H832" s="85">
        <v>41737</v>
      </c>
      <c r="I832">
        <v>1937.59</v>
      </c>
      <c r="N832" s="69">
        <v>42264</v>
      </c>
      <c r="O832">
        <v>532.38</v>
      </c>
      <c r="P832">
        <v>527.52</v>
      </c>
      <c r="Q832">
        <v>537.1</v>
      </c>
      <c r="R832">
        <v>527.38</v>
      </c>
      <c r="S832" s="3">
        <v>-2.9999999999999997E-4</v>
      </c>
      <c r="T832">
        <f t="shared" si="25"/>
        <v>2015</v>
      </c>
      <c r="W832" s="86">
        <v>41968</v>
      </c>
      <c r="X832">
        <v>537.79999999999995</v>
      </c>
    </row>
    <row r="833" spans="1:24">
      <c r="A833" s="68">
        <v>34399</v>
      </c>
      <c r="B833" s="32">
        <v>817.86</v>
      </c>
      <c r="C833">
        <f t="shared" si="24"/>
        <v>1994</v>
      </c>
      <c r="H833" s="85">
        <v>41738</v>
      </c>
      <c r="I833">
        <v>1923.95</v>
      </c>
      <c r="N833" s="69">
        <v>42263</v>
      </c>
      <c r="O833">
        <v>532.52</v>
      </c>
      <c r="P833">
        <v>527.54999999999995</v>
      </c>
      <c r="Q833">
        <v>537.04999999999995</v>
      </c>
      <c r="R833">
        <v>527.52</v>
      </c>
      <c r="S833" s="3">
        <v>-1E-4</v>
      </c>
      <c r="T833">
        <f t="shared" si="25"/>
        <v>2015</v>
      </c>
      <c r="W833" s="86">
        <v>41969</v>
      </c>
      <c r="X833">
        <v>537.5</v>
      </c>
    </row>
    <row r="834" spans="1:24">
      <c r="A834" s="68">
        <v>34400</v>
      </c>
      <c r="B834" s="33">
        <v>817.86</v>
      </c>
      <c r="C834">
        <f t="shared" si="24"/>
        <v>1994</v>
      </c>
      <c r="H834" s="85">
        <v>41739</v>
      </c>
      <c r="I834">
        <v>1931.09</v>
      </c>
      <c r="N834" s="69">
        <v>42262</v>
      </c>
      <c r="O834">
        <v>532.54999999999995</v>
      </c>
      <c r="P834">
        <v>530</v>
      </c>
      <c r="Q834">
        <v>535.04999999999995</v>
      </c>
      <c r="R834">
        <v>527.5</v>
      </c>
      <c r="S834" s="3">
        <v>-3.3999999999999998E-3</v>
      </c>
      <c r="T834">
        <f t="shared" si="25"/>
        <v>2015</v>
      </c>
      <c r="W834" s="86">
        <v>41970</v>
      </c>
      <c r="X834">
        <v>537.5</v>
      </c>
    </row>
    <row r="835" spans="1:24">
      <c r="A835" s="68">
        <v>34401</v>
      </c>
      <c r="B835" s="32">
        <v>817.76</v>
      </c>
      <c r="C835">
        <f t="shared" si="24"/>
        <v>1994</v>
      </c>
      <c r="H835" s="85">
        <v>41740</v>
      </c>
      <c r="I835">
        <v>1920.93</v>
      </c>
      <c r="N835" s="69">
        <v>42261</v>
      </c>
      <c r="O835">
        <v>534.35</v>
      </c>
      <c r="P835">
        <v>529.85</v>
      </c>
      <c r="Q835">
        <v>540.6</v>
      </c>
      <c r="R835">
        <v>528.15</v>
      </c>
      <c r="S835" s="3">
        <v>-8.9999999999999998E-4</v>
      </c>
      <c r="T835">
        <f t="shared" si="25"/>
        <v>2015</v>
      </c>
      <c r="W835" s="86">
        <v>41971</v>
      </c>
      <c r="X835">
        <v>537.35</v>
      </c>
    </row>
    <row r="836" spans="1:24">
      <c r="A836" s="68">
        <v>34402</v>
      </c>
      <c r="B836" s="33">
        <v>818.02</v>
      </c>
      <c r="C836">
        <f t="shared" ref="C836:C899" si="26">YEAR(A836)</f>
        <v>1994</v>
      </c>
      <c r="H836" s="85">
        <v>41741</v>
      </c>
      <c r="I836">
        <v>1927.28</v>
      </c>
      <c r="N836" s="69">
        <v>42258</v>
      </c>
      <c r="O836">
        <v>534.85</v>
      </c>
      <c r="P836">
        <v>533.95000000000005</v>
      </c>
      <c r="Q836">
        <v>541.25</v>
      </c>
      <c r="R836">
        <v>529.85</v>
      </c>
      <c r="S836" s="3">
        <v>-2.5000000000000001E-3</v>
      </c>
      <c r="T836">
        <f t="shared" ref="T836:T899" si="27">YEAR(N836)</f>
        <v>2015</v>
      </c>
      <c r="W836" s="86">
        <v>41974</v>
      </c>
      <c r="X836">
        <v>537.04999999999995</v>
      </c>
    </row>
    <row r="837" spans="1:24">
      <c r="A837" s="68">
        <v>34403</v>
      </c>
      <c r="B837" s="32">
        <v>818.37</v>
      </c>
      <c r="C837">
        <f t="shared" si="26"/>
        <v>1994</v>
      </c>
      <c r="H837" s="85">
        <v>41742</v>
      </c>
      <c r="I837">
        <v>1927.28</v>
      </c>
      <c r="N837" s="69">
        <v>42257</v>
      </c>
      <c r="O837">
        <v>536.20000000000005</v>
      </c>
      <c r="P837">
        <v>536.25</v>
      </c>
      <c r="Q837">
        <v>541.25</v>
      </c>
      <c r="R837">
        <v>530</v>
      </c>
      <c r="S837" s="3">
        <v>-4.0000000000000002E-4</v>
      </c>
      <c r="T837">
        <f t="shared" si="27"/>
        <v>2015</v>
      </c>
      <c r="W837" s="86">
        <v>41975</v>
      </c>
      <c r="X837">
        <v>536.15</v>
      </c>
    </row>
    <row r="838" spans="1:24">
      <c r="A838" s="68">
        <v>34404</v>
      </c>
      <c r="B838" s="33">
        <v>818.46</v>
      </c>
      <c r="C838">
        <f t="shared" si="26"/>
        <v>1994</v>
      </c>
      <c r="H838" s="85">
        <v>41743</v>
      </c>
      <c r="I838">
        <v>1927.28</v>
      </c>
      <c r="N838" s="69">
        <v>42256</v>
      </c>
      <c r="O838">
        <v>536.44000000000005</v>
      </c>
      <c r="P838">
        <v>531.48</v>
      </c>
      <c r="Q838">
        <v>536.48</v>
      </c>
      <c r="R838">
        <v>530</v>
      </c>
      <c r="S838" s="3">
        <v>-4.4999999999999997E-3</v>
      </c>
      <c r="T838">
        <f t="shared" si="27"/>
        <v>2015</v>
      </c>
      <c r="W838" s="86">
        <v>41976</v>
      </c>
      <c r="X838">
        <v>535.75</v>
      </c>
    </row>
    <row r="839" spans="1:24">
      <c r="A839" s="68">
        <v>34405</v>
      </c>
      <c r="B839" s="32">
        <v>818.62</v>
      </c>
      <c r="C839">
        <f t="shared" si="26"/>
        <v>1994</v>
      </c>
      <c r="H839" s="85">
        <v>41744</v>
      </c>
      <c r="I839">
        <v>1926.47</v>
      </c>
      <c r="N839" s="69">
        <v>42255</v>
      </c>
      <c r="O839">
        <v>538.89</v>
      </c>
      <c r="P839">
        <v>531.02</v>
      </c>
      <c r="Q839">
        <v>538.89</v>
      </c>
      <c r="R839">
        <v>530</v>
      </c>
      <c r="S839" s="3">
        <v>5.4000000000000003E-3</v>
      </c>
      <c r="T839">
        <f t="shared" si="27"/>
        <v>2015</v>
      </c>
      <c r="W839" s="86">
        <v>41977</v>
      </c>
      <c r="X839">
        <v>535.6</v>
      </c>
    </row>
    <row r="840" spans="1:24">
      <c r="A840" s="68">
        <v>34406</v>
      </c>
      <c r="B840" s="33">
        <v>818.62</v>
      </c>
      <c r="C840">
        <f t="shared" si="26"/>
        <v>1994</v>
      </c>
      <c r="H840" s="85">
        <v>41745</v>
      </c>
      <c r="I840">
        <v>1932.42</v>
      </c>
      <c r="N840" s="69">
        <v>42254</v>
      </c>
      <c r="O840">
        <v>536.02</v>
      </c>
      <c r="P840">
        <v>531.04999999999995</v>
      </c>
      <c r="Q840">
        <v>536.04999999999995</v>
      </c>
      <c r="R840">
        <v>531.02</v>
      </c>
      <c r="S840" s="3">
        <v>-1E-4</v>
      </c>
      <c r="T840">
        <f t="shared" si="27"/>
        <v>2015</v>
      </c>
      <c r="W840" s="86">
        <v>41978</v>
      </c>
      <c r="X840">
        <v>535.5</v>
      </c>
    </row>
    <row r="841" spans="1:24">
      <c r="A841" s="68">
        <v>34407</v>
      </c>
      <c r="B841" s="32">
        <v>818.62</v>
      </c>
      <c r="C841">
        <f t="shared" si="26"/>
        <v>1994</v>
      </c>
      <c r="H841" s="85">
        <v>41746</v>
      </c>
      <c r="I841">
        <v>1930.62</v>
      </c>
      <c r="N841" s="69">
        <v>42251</v>
      </c>
      <c r="O841">
        <v>536.04999999999995</v>
      </c>
      <c r="P841">
        <v>529.45000000000005</v>
      </c>
      <c r="Q841">
        <v>536.08000000000004</v>
      </c>
      <c r="R841">
        <v>529.4</v>
      </c>
      <c r="S841" s="3">
        <v>3.0000000000000001E-3</v>
      </c>
      <c r="T841">
        <f t="shared" si="27"/>
        <v>2015</v>
      </c>
      <c r="W841" s="86">
        <v>41981</v>
      </c>
      <c r="X841">
        <v>535.29999999999995</v>
      </c>
    </row>
    <row r="842" spans="1:24">
      <c r="A842" s="68">
        <v>34408</v>
      </c>
      <c r="B842" s="33">
        <v>818.69</v>
      </c>
      <c r="C842">
        <f t="shared" si="26"/>
        <v>1994</v>
      </c>
      <c r="H842" s="85">
        <v>41747</v>
      </c>
      <c r="I842">
        <v>1930.62</v>
      </c>
      <c r="N842" s="69">
        <v>42250</v>
      </c>
      <c r="O842">
        <v>534.45000000000005</v>
      </c>
      <c r="P842">
        <v>529.35</v>
      </c>
      <c r="Q842">
        <v>535</v>
      </c>
      <c r="R842">
        <v>529.29999999999995</v>
      </c>
      <c r="S842" s="3">
        <v>2.0000000000000001E-4</v>
      </c>
      <c r="T842">
        <f t="shared" si="27"/>
        <v>2015</v>
      </c>
      <c r="W842" s="86">
        <v>41982</v>
      </c>
      <c r="X842">
        <v>535.20000000000005</v>
      </c>
    </row>
    <row r="843" spans="1:24">
      <c r="A843" s="68">
        <v>34409</v>
      </c>
      <c r="B843" s="32">
        <v>818.49</v>
      </c>
      <c r="C843">
        <f t="shared" si="26"/>
        <v>1994</v>
      </c>
      <c r="H843" s="85">
        <v>41748</v>
      </c>
      <c r="I843">
        <v>1930.62</v>
      </c>
      <c r="N843" s="69">
        <v>42249</v>
      </c>
      <c r="O843">
        <v>534.35</v>
      </c>
      <c r="P843">
        <v>529.12</v>
      </c>
      <c r="Q843">
        <v>535</v>
      </c>
      <c r="R843">
        <v>529.1</v>
      </c>
      <c r="S843" s="3">
        <v>4.0000000000000002E-4</v>
      </c>
      <c r="T843">
        <f t="shared" si="27"/>
        <v>2015</v>
      </c>
      <c r="W843" s="86">
        <v>41983</v>
      </c>
      <c r="X843">
        <v>535.6</v>
      </c>
    </row>
    <row r="844" spans="1:24">
      <c r="A844" s="68">
        <v>34410</v>
      </c>
      <c r="B844" s="33">
        <v>820.44</v>
      </c>
      <c r="C844">
        <f t="shared" si="26"/>
        <v>1994</v>
      </c>
      <c r="H844" s="85">
        <v>41749</v>
      </c>
      <c r="I844">
        <v>1930.62</v>
      </c>
      <c r="N844" s="69">
        <v>42248</v>
      </c>
      <c r="O844">
        <v>534.12</v>
      </c>
      <c r="P844">
        <v>529</v>
      </c>
      <c r="Q844">
        <v>535</v>
      </c>
      <c r="R844">
        <v>528.9</v>
      </c>
      <c r="S844" s="3">
        <v>2.0000000000000001E-4</v>
      </c>
      <c r="T844">
        <f t="shared" si="27"/>
        <v>2015</v>
      </c>
      <c r="W844" s="86">
        <v>41984</v>
      </c>
      <c r="X844">
        <v>535.70000000000005</v>
      </c>
    </row>
    <row r="845" spans="1:24">
      <c r="A845" s="68">
        <v>34411</v>
      </c>
      <c r="B845" s="32">
        <v>820.91</v>
      </c>
      <c r="C845">
        <f t="shared" si="26"/>
        <v>1994</v>
      </c>
      <c r="H845" s="85">
        <v>41750</v>
      </c>
      <c r="I845">
        <v>1930.62</v>
      </c>
      <c r="N845" s="69">
        <v>42247</v>
      </c>
      <c r="O845">
        <v>534</v>
      </c>
      <c r="P845">
        <v>527.4</v>
      </c>
      <c r="Q845">
        <v>535</v>
      </c>
      <c r="R845">
        <v>527.38</v>
      </c>
      <c r="S845" s="3">
        <v>3.0000000000000001E-3</v>
      </c>
      <c r="T845">
        <f t="shared" si="27"/>
        <v>2015</v>
      </c>
      <c r="W845" s="86">
        <v>41985</v>
      </c>
      <c r="X845">
        <v>535.65</v>
      </c>
    </row>
    <row r="846" spans="1:24">
      <c r="A846" s="68">
        <v>34412</v>
      </c>
      <c r="B846" s="33">
        <v>821.34</v>
      </c>
      <c r="C846">
        <f t="shared" si="26"/>
        <v>1994</v>
      </c>
      <c r="H846" s="85">
        <v>41751</v>
      </c>
      <c r="I846">
        <v>1921.75</v>
      </c>
      <c r="N846" s="69">
        <v>42244</v>
      </c>
      <c r="O846">
        <v>532.4</v>
      </c>
      <c r="P846">
        <v>533.54999999999995</v>
      </c>
      <c r="Q846">
        <v>538.54999999999995</v>
      </c>
      <c r="R846">
        <v>527.35</v>
      </c>
      <c r="S846" s="3">
        <v>0</v>
      </c>
      <c r="T846">
        <f t="shared" si="27"/>
        <v>2015</v>
      </c>
      <c r="W846" s="86">
        <v>41988</v>
      </c>
      <c r="X846">
        <v>535.65</v>
      </c>
    </row>
    <row r="847" spans="1:24">
      <c r="A847" s="68">
        <v>34413</v>
      </c>
      <c r="B847" s="32">
        <v>821.34</v>
      </c>
      <c r="C847">
        <f t="shared" si="26"/>
        <v>1994</v>
      </c>
      <c r="H847" s="85">
        <v>41752</v>
      </c>
      <c r="I847">
        <v>1929.66</v>
      </c>
      <c r="N847" s="69">
        <v>42243</v>
      </c>
      <c r="O847">
        <v>532.38</v>
      </c>
      <c r="P847">
        <v>527.33000000000004</v>
      </c>
      <c r="Q847">
        <v>537.9</v>
      </c>
      <c r="R847">
        <v>527.32000000000005</v>
      </c>
      <c r="S847" s="3">
        <v>1E-4</v>
      </c>
      <c r="T847">
        <f t="shared" si="27"/>
        <v>2015</v>
      </c>
      <c r="W847" s="86">
        <v>41989</v>
      </c>
      <c r="X847">
        <v>535.65</v>
      </c>
    </row>
    <row r="848" spans="1:24">
      <c r="A848" s="68">
        <v>34414</v>
      </c>
      <c r="B848" s="33">
        <v>821.34</v>
      </c>
      <c r="C848">
        <f t="shared" si="26"/>
        <v>1994</v>
      </c>
      <c r="H848" s="85">
        <v>41753</v>
      </c>
      <c r="I848">
        <v>1936.63</v>
      </c>
      <c r="N848" s="69">
        <v>42242</v>
      </c>
      <c r="O848">
        <v>532.33000000000004</v>
      </c>
      <c r="P848">
        <v>527.29999999999995</v>
      </c>
      <c r="Q848">
        <v>536.65</v>
      </c>
      <c r="R848">
        <v>527.28</v>
      </c>
      <c r="S848" s="3">
        <v>1E-4</v>
      </c>
      <c r="T848">
        <f t="shared" si="27"/>
        <v>2015</v>
      </c>
      <c r="W848" s="86">
        <v>41990</v>
      </c>
      <c r="X848">
        <v>535.6</v>
      </c>
    </row>
    <row r="849" spans="1:24">
      <c r="A849" s="68">
        <v>34415</v>
      </c>
      <c r="B849" s="32">
        <v>821.34</v>
      </c>
      <c r="C849">
        <f t="shared" si="26"/>
        <v>1994</v>
      </c>
      <c r="H849" s="85">
        <v>41754</v>
      </c>
      <c r="I849">
        <v>1936.07</v>
      </c>
      <c r="N849" s="69">
        <v>42241</v>
      </c>
      <c r="O849">
        <v>532.29999999999995</v>
      </c>
      <c r="P849">
        <v>527.28</v>
      </c>
      <c r="Q849">
        <v>538</v>
      </c>
      <c r="R849">
        <v>527.25</v>
      </c>
      <c r="S849" s="3">
        <v>0</v>
      </c>
      <c r="T849">
        <f t="shared" si="27"/>
        <v>2015</v>
      </c>
      <c r="W849" s="86">
        <v>41991</v>
      </c>
      <c r="X849">
        <v>534.6</v>
      </c>
    </row>
    <row r="850" spans="1:24">
      <c r="A850" s="68">
        <v>34416</v>
      </c>
      <c r="B850" s="33">
        <v>821.73</v>
      </c>
      <c r="C850">
        <f t="shared" si="26"/>
        <v>1994</v>
      </c>
      <c r="H850" s="85">
        <v>41755</v>
      </c>
      <c r="I850">
        <v>1942.37</v>
      </c>
      <c r="N850" s="69">
        <v>42240</v>
      </c>
      <c r="O850">
        <v>532.28</v>
      </c>
      <c r="P850">
        <v>527.29999999999995</v>
      </c>
      <c r="Q850">
        <v>536.75</v>
      </c>
      <c r="R850">
        <v>527.22</v>
      </c>
      <c r="S850" s="3">
        <v>0</v>
      </c>
      <c r="T850">
        <f t="shared" si="27"/>
        <v>2015</v>
      </c>
      <c r="W850" s="86">
        <v>41992</v>
      </c>
      <c r="X850">
        <v>534.6</v>
      </c>
    </row>
    <row r="851" spans="1:24">
      <c r="A851" s="68">
        <v>34417</v>
      </c>
      <c r="B851" s="32">
        <v>821.82</v>
      </c>
      <c r="C851">
        <f t="shared" si="26"/>
        <v>1994</v>
      </c>
      <c r="H851" s="85">
        <v>41756</v>
      </c>
      <c r="I851">
        <v>1942.37</v>
      </c>
      <c r="N851" s="69">
        <v>42237</v>
      </c>
      <c r="O851">
        <v>532.29999999999995</v>
      </c>
      <c r="P851">
        <v>527.35</v>
      </c>
      <c r="Q851">
        <v>537.75</v>
      </c>
      <c r="R851">
        <v>527.29999999999995</v>
      </c>
      <c r="S851" s="3">
        <v>-4.4999999999999997E-3</v>
      </c>
      <c r="T851">
        <f t="shared" si="27"/>
        <v>2015</v>
      </c>
      <c r="W851" s="86">
        <v>41995</v>
      </c>
      <c r="X851">
        <v>534.54999999999995</v>
      </c>
    </row>
    <row r="852" spans="1:24">
      <c r="A852" s="68">
        <v>34418</v>
      </c>
      <c r="B852" s="33">
        <v>821.7</v>
      </c>
      <c r="C852">
        <f t="shared" si="26"/>
        <v>1994</v>
      </c>
      <c r="H852" s="85">
        <v>41757</v>
      </c>
      <c r="I852">
        <v>1942.37</v>
      </c>
      <c r="N852" s="69">
        <v>42236</v>
      </c>
      <c r="O852">
        <v>534.73</v>
      </c>
      <c r="P852">
        <v>527.35</v>
      </c>
      <c r="Q852">
        <v>534.73</v>
      </c>
      <c r="R852">
        <v>527.29999999999995</v>
      </c>
      <c r="S852" s="3">
        <v>4.4999999999999997E-3</v>
      </c>
      <c r="T852">
        <f t="shared" si="27"/>
        <v>2015</v>
      </c>
      <c r="W852" s="86">
        <v>41996</v>
      </c>
      <c r="X852">
        <v>537.9</v>
      </c>
    </row>
    <row r="853" spans="1:24">
      <c r="A853" s="68">
        <v>34419</v>
      </c>
      <c r="B853" s="32">
        <v>821.14</v>
      </c>
      <c r="C853">
        <f t="shared" si="26"/>
        <v>1994</v>
      </c>
      <c r="H853" s="85">
        <v>41758</v>
      </c>
      <c r="I853">
        <v>1936.13</v>
      </c>
      <c r="N853" s="69">
        <v>42235</v>
      </c>
      <c r="O853">
        <v>532.35</v>
      </c>
      <c r="P853">
        <v>527.5</v>
      </c>
      <c r="Q853">
        <v>536.6</v>
      </c>
      <c r="R853">
        <v>527.35</v>
      </c>
      <c r="S853" s="3">
        <v>-2.9999999999999997E-4</v>
      </c>
      <c r="T853">
        <f t="shared" si="27"/>
        <v>2015</v>
      </c>
      <c r="W853" s="86">
        <v>41997</v>
      </c>
      <c r="X853">
        <v>540.25</v>
      </c>
    </row>
    <row r="854" spans="1:24">
      <c r="A854" s="68">
        <v>34420</v>
      </c>
      <c r="B854" s="33">
        <v>821.14</v>
      </c>
      <c r="C854">
        <f t="shared" si="26"/>
        <v>1994</v>
      </c>
      <c r="H854" s="85">
        <v>41759</v>
      </c>
      <c r="I854">
        <v>1935.14</v>
      </c>
      <c r="N854" s="69">
        <v>42234</v>
      </c>
      <c r="O854">
        <v>532.5</v>
      </c>
      <c r="P854">
        <v>527.25</v>
      </c>
      <c r="Q854">
        <v>538.79999999999995</v>
      </c>
      <c r="R854">
        <v>527.25</v>
      </c>
      <c r="S854" s="3">
        <v>5.0000000000000001E-4</v>
      </c>
      <c r="T854">
        <f t="shared" si="27"/>
        <v>2015</v>
      </c>
      <c r="W854" s="86">
        <v>41998</v>
      </c>
      <c r="X854">
        <v>540.25</v>
      </c>
    </row>
    <row r="855" spans="1:24">
      <c r="A855" s="68">
        <v>34421</v>
      </c>
      <c r="B855" s="32">
        <v>821.14</v>
      </c>
      <c r="C855">
        <f t="shared" si="26"/>
        <v>1994</v>
      </c>
      <c r="H855" s="85">
        <v>41760</v>
      </c>
      <c r="I855">
        <v>1933.46</v>
      </c>
      <c r="N855" s="69">
        <v>42233</v>
      </c>
      <c r="O855">
        <v>532.25</v>
      </c>
      <c r="P855">
        <v>528.33000000000004</v>
      </c>
      <c r="Q855">
        <v>536.79999999999995</v>
      </c>
      <c r="R855">
        <v>527.25</v>
      </c>
      <c r="S855" s="3">
        <v>-2E-3</v>
      </c>
      <c r="T855">
        <f t="shared" si="27"/>
        <v>2015</v>
      </c>
      <c r="W855" s="86">
        <v>41999</v>
      </c>
      <c r="X855">
        <v>540.15</v>
      </c>
    </row>
    <row r="856" spans="1:24">
      <c r="A856" s="68">
        <v>34422</v>
      </c>
      <c r="B856" s="33">
        <v>820.63</v>
      </c>
      <c r="C856">
        <f t="shared" si="26"/>
        <v>1994</v>
      </c>
      <c r="H856" s="85">
        <v>41761</v>
      </c>
      <c r="I856">
        <v>1933.46</v>
      </c>
      <c r="N856" s="69">
        <v>42230</v>
      </c>
      <c r="O856">
        <v>533.33000000000004</v>
      </c>
      <c r="P856">
        <v>528.4</v>
      </c>
      <c r="Q856">
        <v>537.35</v>
      </c>
      <c r="R856">
        <v>528.33000000000004</v>
      </c>
      <c r="S856" s="3">
        <v>-1E-4</v>
      </c>
      <c r="T856">
        <f t="shared" si="27"/>
        <v>2015</v>
      </c>
      <c r="W856" s="86">
        <v>42002</v>
      </c>
      <c r="X856">
        <v>540.25</v>
      </c>
    </row>
    <row r="857" spans="1:24">
      <c r="A857" s="68">
        <v>34423</v>
      </c>
      <c r="B857" s="32">
        <v>820.78</v>
      </c>
      <c r="C857">
        <f t="shared" si="26"/>
        <v>1994</v>
      </c>
      <c r="H857" s="85">
        <v>41762</v>
      </c>
      <c r="I857">
        <v>1926.3</v>
      </c>
      <c r="N857" s="69">
        <v>42229</v>
      </c>
      <c r="O857">
        <v>533.4</v>
      </c>
      <c r="P857">
        <v>528.29999999999995</v>
      </c>
      <c r="Q857">
        <v>538.79999999999995</v>
      </c>
      <c r="R857">
        <v>528.28</v>
      </c>
      <c r="S857" s="3">
        <v>2.0000000000000001E-4</v>
      </c>
      <c r="T857">
        <f t="shared" si="27"/>
        <v>2015</v>
      </c>
      <c r="W857" s="86">
        <v>42003</v>
      </c>
      <c r="X857">
        <v>544.62</v>
      </c>
    </row>
    <row r="858" spans="1:24">
      <c r="A858" s="68">
        <v>34424</v>
      </c>
      <c r="B858" s="33">
        <v>819.51</v>
      </c>
      <c r="C858">
        <f t="shared" si="26"/>
        <v>1994</v>
      </c>
      <c r="H858" s="85">
        <v>41763</v>
      </c>
      <c r="I858">
        <v>1926.3</v>
      </c>
      <c r="N858" s="69">
        <v>42228</v>
      </c>
      <c r="O858">
        <v>533.29999999999995</v>
      </c>
      <c r="P858">
        <v>528.38</v>
      </c>
      <c r="Q858">
        <v>538.20000000000005</v>
      </c>
      <c r="R858">
        <v>528.29999999999995</v>
      </c>
      <c r="S858" s="3">
        <v>-4.7999999999999996E-3</v>
      </c>
      <c r="T858">
        <f t="shared" si="27"/>
        <v>2015</v>
      </c>
      <c r="W858" s="86">
        <v>42004</v>
      </c>
      <c r="X858">
        <v>540.79999999999995</v>
      </c>
    </row>
    <row r="859" spans="1:24">
      <c r="A859" s="68">
        <v>34425</v>
      </c>
      <c r="B859" s="32">
        <v>819.51</v>
      </c>
      <c r="C859">
        <f t="shared" si="26"/>
        <v>1994</v>
      </c>
      <c r="H859" s="85">
        <v>41764</v>
      </c>
      <c r="I859">
        <v>1926.3</v>
      </c>
      <c r="N859" s="69">
        <v>42227</v>
      </c>
      <c r="O859">
        <v>535.87</v>
      </c>
      <c r="P859">
        <v>528.29999999999995</v>
      </c>
      <c r="Q859">
        <v>536.37</v>
      </c>
      <c r="R859">
        <v>528.29999999999995</v>
      </c>
      <c r="S859" s="3">
        <v>4.7999999999999996E-3</v>
      </c>
      <c r="T859">
        <f t="shared" si="27"/>
        <v>2015</v>
      </c>
      <c r="W859" s="86">
        <v>42005</v>
      </c>
      <c r="X859">
        <v>540.79999999999995</v>
      </c>
    </row>
    <row r="860" spans="1:24">
      <c r="A860" s="68">
        <v>34426</v>
      </c>
      <c r="B860" s="33">
        <v>819.51</v>
      </c>
      <c r="C860">
        <f t="shared" si="26"/>
        <v>1994</v>
      </c>
      <c r="H860" s="85">
        <v>41765</v>
      </c>
      <c r="I860">
        <v>1923.07</v>
      </c>
      <c r="N860" s="69">
        <v>42226</v>
      </c>
      <c r="O860">
        <v>533.29999999999995</v>
      </c>
      <c r="P860">
        <v>528.25</v>
      </c>
      <c r="Q860">
        <v>538.79999999999995</v>
      </c>
      <c r="R860">
        <v>528.25</v>
      </c>
      <c r="S860" s="3">
        <v>-4.8999999999999998E-3</v>
      </c>
      <c r="T860">
        <f t="shared" si="27"/>
        <v>2015</v>
      </c>
      <c r="W860" s="86">
        <v>42006</v>
      </c>
      <c r="X860">
        <v>547.5</v>
      </c>
    </row>
    <row r="861" spans="1:24">
      <c r="A861" s="68">
        <v>34427</v>
      </c>
      <c r="B861" s="32">
        <v>819.51</v>
      </c>
      <c r="C861">
        <f t="shared" si="26"/>
        <v>1994</v>
      </c>
      <c r="H861" s="85">
        <v>41766</v>
      </c>
      <c r="I861">
        <v>1918.2</v>
      </c>
      <c r="N861" s="69">
        <v>42223</v>
      </c>
      <c r="O861">
        <v>535.95000000000005</v>
      </c>
      <c r="P861">
        <v>528.25</v>
      </c>
      <c r="Q861">
        <v>536.15</v>
      </c>
      <c r="R861">
        <v>528.20000000000005</v>
      </c>
      <c r="S861" s="3">
        <v>-6.9999999999999999E-4</v>
      </c>
      <c r="T861">
        <f t="shared" si="27"/>
        <v>2015</v>
      </c>
      <c r="W861" s="86">
        <v>42009</v>
      </c>
      <c r="X861">
        <v>540.70000000000005</v>
      </c>
    </row>
    <row r="862" spans="1:24">
      <c r="A862" s="68">
        <v>34428</v>
      </c>
      <c r="B862" s="33">
        <v>819.51</v>
      </c>
      <c r="C862">
        <f t="shared" si="26"/>
        <v>1994</v>
      </c>
      <c r="H862" s="85">
        <v>41767</v>
      </c>
      <c r="I862">
        <v>1912.97</v>
      </c>
      <c r="N862" s="69">
        <v>42222</v>
      </c>
      <c r="O862">
        <v>536.35</v>
      </c>
      <c r="P862">
        <v>528.29999999999995</v>
      </c>
      <c r="Q862">
        <v>536.35</v>
      </c>
      <c r="R862">
        <v>528.25</v>
      </c>
      <c r="S862" s="3">
        <v>5.7000000000000002E-3</v>
      </c>
      <c r="T862">
        <f t="shared" si="27"/>
        <v>2015</v>
      </c>
      <c r="W862" s="86">
        <v>42010</v>
      </c>
      <c r="X862">
        <v>540.54999999999995</v>
      </c>
    </row>
    <row r="863" spans="1:24">
      <c r="A863" s="68">
        <v>34429</v>
      </c>
      <c r="B863" s="32">
        <v>820.21</v>
      </c>
      <c r="C863">
        <f t="shared" si="26"/>
        <v>1994</v>
      </c>
      <c r="H863" s="85">
        <v>41768</v>
      </c>
      <c r="I863">
        <v>1902.15</v>
      </c>
      <c r="N863" s="69">
        <v>42221</v>
      </c>
      <c r="O863">
        <v>533.29999999999995</v>
      </c>
      <c r="P863">
        <v>528.38</v>
      </c>
      <c r="Q863">
        <v>539.1</v>
      </c>
      <c r="R863">
        <v>528.29999999999995</v>
      </c>
      <c r="S863" s="3">
        <v>-2.0000000000000001E-4</v>
      </c>
      <c r="T863">
        <f t="shared" si="27"/>
        <v>2015</v>
      </c>
      <c r="W863" s="86">
        <v>42011</v>
      </c>
      <c r="X863">
        <v>540.25</v>
      </c>
    </row>
    <row r="864" spans="1:24">
      <c r="A864" s="68">
        <v>34430</v>
      </c>
      <c r="B864" s="33">
        <v>820.93</v>
      </c>
      <c r="C864">
        <f t="shared" si="26"/>
        <v>1994</v>
      </c>
      <c r="H864" s="85">
        <v>41769</v>
      </c>
      <c r="I864">
        <v>1901.51</v>
      </c>
      <c r="N864" s="69">
        <v>42220</v>
      </c>
      <c r="O864">
        <v>533.38</v>
      </c>
      <c r="P864">
        <v>528.29999999999995</v>
      </c>
      <c r="Q864">
        <v>539.1</v>
      </c>
      <c r="R864">
        <v>528.22</v>
      </c>
      <c r="S864" s="3">
        <v>2.0000000000000001E-4</v>
      </c>
      <c r="T864">
        <f t="shared" si="27"/>
        <v>2015</v>
      </c>
      <c r="W864" s="86">
        <v>42012</v>
      </c>
      <c r="X864">
        <v>540.5</v>
      </c>
    </row>
    <row r="865" spans="1:24">
      <c r="A865" s="68">
        <v>34431</v>
      </c>
      <c r="B865" s="32">
        <v>822.57</v>
      </c>
      <c r="C865">
        <f t="shared" si="26"/>
        <v>1994</v>
      </c>
      <c r="H865" s="85">
        <v>41770</v>
      </c>
      <c r="I865">
        <v>1901.51</v>
      </c>
      <c r="N865" s="69">
        <v>42219</v>
      </c>
      <c r="O865">
        <v>533.29999999999995</v>
      </c>
      <c r="P865">
        <v>528.4</v>
      </c>
      <c r="Q865">
        <v>536.88</v>
      </c>
      <c r="R865">
        <v>528.29999999999995</v>
      </c>
      <c r="S865" s="3">
        <v>-2.0000000000000001E-4</v>
      </c>
      <c r="T865">
        <f t="shared" si="27"/>
        <v>2015</v>
      </c>
      <c r="W865" s="86">
        <v>42013</v>
      </c>
      <c r="X865">
        <v>540.5</v>
      </c>
    </row>
    <row r="866" spans="1:24">
      <c r="A866" s="68">
        <v>34432</v>
      </c>
      <c r="B866" s="33">
        <v>825.28</v>
      </c>
      <c r="C866">
        <f t="shared" si="26"/>
        <v>1994</v>
      </c>
      <c r="H866" s="85">
        <v>41771</v>
      </c>
      <c r="I866">
        <v>1901.51</v>
      </c>
      <c r="N866" s="69">
        <v>42216</v>
      </c>
      <c r="O866">
        <v>533.4</v>
      </c>
      <c r="P866">
        <v>528.38</v>
      </c>
      <c r="Q866">
        <v>535.97</v>
      </c>
      <c r="R866">
        <v>528.36</v>
      </c>
      <c r="S866" s="3">
        <v>0</v>
      </c>
      <c r="T866">
        <f t="shared" si="27"/>
        <v>2015</v>
      </c>
      <c r="W866" s="86">
        <v>42016</v>
      </c>
      <c r="X866">
        <v>540.6</v>
      </c>
    </row>
    <row r="867" spans="1:24">
      <c r="A867" s="68">
        <v>34433</v>
      </c>
      <c r="B867" s="32">
        <v>828.92</v>
      </c>
      <c r="C867">
        <f t="shared" si="26"/>
        <v>1994</v>
      </c>
      <c r="H867" s="85">
        <v>41772</v>
      </c>
      <c r="I867">
        <v>1904.85</v>
      </c>
      <c r="N867" s="69">
        <v>42215</v>
      </c>
      <c r="O867">
        <v>533.38</v>
      </c>
      <c r="P867">
        <v>528.35</v>
      </c>
      <c r="Q867">
        <v>538.6</v>
      </c>
      <c r="R867">
        <v>528.35</v>
      </c>
      <c r="S867" s="3">
        <v>-5.1999999999999998E-3</v>
      </c>
      <c r="T867">
        <f t="shared" si="27"/>
        <v>2015</v>
      </c>
      <c r="W867" s="86">
        <v>42017</v>
      </c>
      <c r="X867">
        <v>540.54999999999995</v>
      </c>
    </row>
    <row r="868" spans="1:24">
      <c r="A868" s="68">
        <v>34434</v>
      </c>
      <c r="B868" s="33">
        <v>828.92</v>
      </c>
      <c r="C868">
        <f t="shared" si="26"/>
        <v>1994</v>
      </c>
      <c r="H868" s="85">
        <v>41773</v>
      </c>
      <c r="I868">
        <v>1919.7</v>
      </c>
      <c r="N868" s="69">
        <v>42214</v>
      </c>
      <c r="O868">
        <v>536.15</v>
      </c>
      <c r="P868">
        <v>528.29999999999995</v>
      </c>
      <c r="Q868">
        <v>536.29999999999995</v>
      </c>
      <c r="R868">
        <v>528.28</v>
      </c>
      <c r="S868" s="3">
        <v>5.3E-3</v>
      </c>
      <c r="T868">
        <f t="shared" si="27"/>
        <v>2015</v>
      </c>
      <c r="W868" s="86">
        <v>42018</v>
      </c>
      <c r="X868">
        <v>540.54999999999995</v>
      </c>
    </row>
    <row r="869" spans="1:24">
      <c r="A869" s="68">
        <v>34435</v>
      </c>
      <c r="B869" s="32">
        <v>828.92</v>
      </c>
      <c r="C869">
        <f t="shared" si="26"/>
        <v>1994</v>
      </c>
      <c r="H869" s="85">
        <v>41774</v>
      </c>
      <c r="I869">
        <v>1925.31</v>
      </c>
      <c r="N869" s="69">
        <v>42213</v>
      </c>
      <c r="O869">
        <v>533.29999999999995</v>
      </c>
      <c r="P869">
        <v>532.58000000000004</v>
      </c>
      <c r="Q869">
        <v>539.1</v>
      </c>
      <c r="R869">
        <v>528.29999999999995</v>
      </c>
      <c r="S869" s="3">
        <v>-8.9999999999999993E-3</v>
      </c>
      <c r="T869">
        <f t="shared" si="27"/>
        <v>2015</v>
      </c>
      <c r="W869" s="86">
        <v>42019</v>
      </c>
      <c r="X869">
        <v>538</v>
      </c>
    </row>
    <row r="870" spans="1:24">
      <c r="A870" s="68">
        <v>34436</v>
      </c>
      <c r="B870" s="33">
        <v>829.32</v>
      </c>
      <c r="C870">
        <f t="shared" si="26"/>
        <v>1994</v>
      </c>
      <c r="H870" s="85">
        <v>41775</v>
      </c>
      <c r="I870">
        <v>1927.8</v>
      </c>
      <c r="N870" s="69">
        <v>42212</v>
      </c>
      <c r="O870">
        <v>538.16</v>
      </c>
      <c r="P870">
        <v>531.17999999999995</v>
      </c>
      <c r="Q870">
        <v>538.57000000000005</v>
      </c>
      <c r="R870">
        <v>528.29</v>
      </c>
      <c r="S870" s="3">
        <v>3.5999999999999999E-3</v>
      </c>
      <c r="T870">
        <f t="shared" si="27"/>
        <v>2015</v>
      </c>
      <c r="W870" s="86">
        <v>42020</v>
      </c>
      <c r="X870">
        <v>537.5</v>
      </c>
    </row>
    <row r="871" spans="1:24">
      <c r="A871" s="68">
        <v>34437</v>
      </c>
      <c r="B871" s="32">
        <v>828.81</v>
      </c>
      <c r="C871">
        <f t="shared" si="26"/>
        <v>1994</v>
      </c>
      <c r="H871" s="85">
        <v>41776</v>
      </c>
      <c r="I871">
        <v>1925.41</v>
      </c>
      <c r="N871" s="69">
        <v>42209</v>
      </c>
      <c r="O871">
        <v>536.25</v>
      </c>
      <c r="P871">
        <v>530.38</v>
      </c>
      <c r="Q871">
        <v>539.1</v>
      </c>
      <c r="R871">
        <v>528.30999999999995</v>
      </c>
      <c r="S871" s="3">
        <v>1.6000000000000001E-3</v>
      </c>
      <c r="T871">
        <f t="shared" si="27"/>
        <v>2015</v>
      </c>
      <c r="W871" s="86">
        <v>42023</v>
      </c>
      <c r="X871">
        <v>537.5</v>
      </c>
    </row>
    <row r="872" spans="1:24">
      <c r="A872" s="68">
        <v>34438</v>
      </c>
      <c r="B872" s="33">
        <v>827.96</v>
      </c>
      <c r="C872">
        <f t="shared" si="26"/>
        <v>1994</v>
      </c>
      <c r="H872" s="85">
        <v>41777</v>
      </c>
      <c r="I872">
        <v>1925.41</v>
      </c>
      <c r="N872" s="69">
        <v>42208</v>
      </c>
      <c r="O872">
        <v>535.38</v>
      </c>
      <c r="P872">
        <v>530.4</v>
      </c>
      <c r="Q872">
        <v>538.9</v>
      </c>
      <c r="R872">
        <v>528.25</v>
      </c>
      <c r="S872" s="3">
        <v>0</v>
      </c>
      <c r="T872">
        <f t="shared" si="27"/>
        <v>2015</v>
      </c>
      <c r="W872" s="86">
        <v>42024</v>
      </c>
      <c r="X872">
        <v>537.65</v>
      </c>
    </row>
    <row r="873" spans="1:24">
      <c r="A873" s="68">
        <v>34439</v>
      </c>
      <c r="B873" s="32">
        <v>827.44</v>
      </c>
      <c r="C873">
        <f t="shared" si="26"/>
        <v>1994</v>
      </c>
      <c r="H873" s="85">
        <v>41778</v>
      </c>
      <c r="I873">
        <v>1925.41</v>
      </c>
      <c r="N873" s="69">
        <v>42207</v>
      </c>
      <c r="O873">
        <v>535.4</v>
      </c>
      <c r="P873">
        <v>528.35</v>
      </c>
      <c r="Q873">
        <v>538.85</v>
      </c>
      <c r="R873">
        <v>528.29999999999995</v>
      </c>
      <c r="S873" s="3">
        <v>3.8E-3</v>
      </c>
      <c r="T873">
        <f t="shared" si="27"/>
        <v>2015</v>
      </c>
      <c r="W873" s="86">
        <v>42025</v>
      </c>
      <c r="X873">
        <v>537.65</v>
      </c>
    </row>
    <row r="874" spans="1:24">
      <c r="A874" s="68">
        <v>34440</v>
      </c>
      <c r="B874" s="33">
        <v>827.93</v>
      </c>
      <c r="C874">
        <f t="shared" si="26"/>
        <v>1994</v>
      </c>
      <c r="H874" s="85">
        <v>41779</v>
      </c>
      <c r="I874">
        <v>1921.16</v>
      </c>
      <c r="N874" s="69">
        <v>42206</v>
      </c>
      <c r="O874">
        <v>533.35</v>
      </c>
      <c r="P874">
        <v>528.25</v>
      </c>
      <c r="Q874">
        <v>538.75</v>
      </c>
      <c r="R874">
        <v>528.25</v>
      </c>
      <c r="S874" s="3">
        <v>2.0000000000000001E-4</v>
      </c>
      <c r="T874">
        <f t="shared" si="27"/>
        <v>2015</v>
      </c>
      <c r="W874" s="86">
        <v>42026</v>
      </c>
      <c r="X874">
        <v>537.5</v>
      </c>
    </row>
    <row r="875" spans="1:24">
      <c r="A875" s="68">
        <v>34441</v>
      </c>
      <c r="B875" s="32">
        <v>827.93</v>
      </c>
      <c r="C875">
        <f t="shared" si="26"/>
        <v>1994</v>
      </c>
      <c r="H875" s="85">
        <v>41780</v>
      </c>
      <c r="I875">
        <v>1920.41</v>
      </c>
      <c r="N875" s="69">
        <v>42205</v>
      </c>
      <c r="O875">
        <v>533.25</v>
      </c>
      <c r="P875">
        <v>528.29999999999995</v>
      </c>
      <c r="Q875">
        <v>538.45000000000005</v>
      </c>
      <c r="R875">
        <v>528.25</v>
      </c>
      <c r="S875" s="3">
        <v>-1E-4</v>
      </c>
      <c r="T875">
        <f t="shared" si="27"/>
        <v>2015</v>
      </c>
      <c r="W875" s="86">
        <v>42027</v>
      </c>
      <c r="X875">
        <v>537.54999999999995</v>
      </c>
    </row>
    <row r="876" spans="1:24">
      <c r="A876" s="68">
        <v>34442</v>
      </c>
      <c r="B876" s="33">
        <v>827.93</v>
      </c>
      <c r="C876">
        <f t="shared" si="26"/>
        <v>1994</v>
      </c>
      <c r="H876" s="85">
        <v>41781</v>
      </c>
      <c r="I876">
        <v>1911.33</v>
      </c>
      <c r="N876" s="69">
        <v>42202</v>
      </c>
      <c r="O876">
        <v>533.29999999999995</v>
      </c>
      <c r="P876">
        <v>533.29999999999995</v>
      </c>
      <c r="Q876">
        <v>538.4</v>
      </c>
      <c r="R876">
        <v>528.29999999999995</v>
      </c>
      <c r="S876" s="3">
        <v>0</v>
      </c>
      <c r="T876">
        <f t="shared" si="27"/>
        <v>2015</v>
      </c>
      <c r="W876" s="86">
        <v>42030</v>
      </c>
      <c r="X876">
        <v>537.29999999999995</v>
      </c>
    </row>
    <row r="877" spans="1:24">
      <c r="A877" s="68">
        <v>34443</v>
      </c>
      <c r="B877" s="32">
        <v>829.47</v>
      </c>
      <c r="C877">
        <f t="shared" si="26"/>
        <v>1994</v>
      </c>
      <c r="H877" s="85">
        <v>41782</v>
      </c>
      <c r="I877">
        <v>1905.8</v>
      </c>
      <c r="N877" s="69">
        <v>42201</v>
      </c>
      <c r="O877">
        <v>533.29999999999995</v>
      </c>
      <c r="P877">
        <v>528.29999999999995</v>
      </c>
      <c r="Q877">
        <v>538.35</v>
      </c>
      <c r="R877">
        <v>528.29999999999995</v>
      </c>
      <c r="S877" s="3">
        <v>0</v>
      </c>
      <c r="T877">
        <f t="shared" si="27"/>
        <v>2015</v>
      </c>
      <c r="W877" s="86">
        <v>42031</v>
      </c>
      <c r="X877">
        <v>537.4</v>
      </c>
    </row>
    <row r="878" spans="1:24">
      <c r="A878" s="68">
        <v>34444</v>
      </c>
      <c r="B878" s="33">
        <v>831.24</v>
      </c>
      <c r="C878">
        <f t="shared" si="26"/>
        <v>1994</v>
      </c>
      <c r="H878" s="85">
        <v>41783</v>
      </c>
      <c r="I878">
        <v>1905.53</v>
      </c>
      <c r="N878" s="69">
        <v>42200</v>
      </c>
      <c r="O878">
        <v>533.29999999999995</v>
      </c>
      <c r="P878">
        <v>528.29999999999995</v>
      </c>
      <c r="Q878">
        <v>538.85</v>
      </c>
      <c r="R878">
        <v>528.29999999999995</v>
      </c>
      <c r="S878" s="3">
        <v>0</v>
      </c>
      <c r="T878">
        <f t="shared" si="27"/>
        <v>2015</v>
      </c>
      <c r="W878" s="86">
        <v>42032</v>
      </c>
      <c r="X878">
        <v>548.25</v>
      </c>
    </row>
    <row r="879" spans="1:24">
      <c r="A879" s="68">
        <v>34445</v>
      </c>
      <c r="B879" s="32">
        <v>834.3</v>
      </c>
      <c r="C879">
        <f t="shared" si="26"/>
        <v>1994</v>
      </c>
      <c r="H879" s="85">
        <v>41784</v>
      </c>
      <c r="I879">
        <v>1905.53</v>
      </c>
      <c r="N879" s="69">
        <v>42199</v>
      </c>
      <c r="O879">
        <v>533.29999999999995</v>
      </c>
      <c r="P879">
        <v>528.22</v>
      </c>
      <c r="Q879">
        <v>540.65</v>
      </c>
      <c r="R879">
        <v>528.22</v>
      </c>
      <c r="S879" s="3">
        <v>2.0000000000000001E-4</v>
      </c>
      <c r="T879">
        <f t="shared" si="27"/>
        <v>2015</v>
      </c>
      <c r="W879" s="86">
        <v>42033</v>
      </c>
      <c r="X879">
        <v>537.25</v>
      </c>
    </row>
    <row r="880" spans="1:24">
      <c r="A880" s="68">
        <v>34446</v>
      </c>
      <c r="B880" s="33">
        <v>838.25</v>
      </c>
      <c r="C880">
        <f t="shared" si="26"/>
        <v>1994</v>
      </c>
      <c r="H880" s="85">
        <v>41785</v>
      </c>
      <c r="I880">
        <v>1905.53</v>
      </c>
      <c r="N880" s="69">
        <v>42198</v>
      </c>
      <c r="O880">
        <v>533.22</v>
      </c>
      <c r="P880">
        <v>528.25</v>
      </c>
      <c r="Q880">
        <v>539.25</v>
      </c>
      <c r="R880">
        <v>528.22</v>
      </c>
      <c r="S880" s="3">
        <v>-1E-4</v>
      </c>
      <c r="T880">
        <f t="shared" si="27"/>
        <v>2015</v>
      </c>
      <c r="W880" s="86">
        <v>42034</v>
      </c>
      <c r="X880">
        <v>537.9</v>
      </c>
    </row>
    <row r="881" spans="1:24">
      <c r="A881" s="68">
        <v>34447</v>
      </c>
      <c r="B881" s="32">
        <v>836.96</v>
      </c>
      <c r="C881">
        <f t="shared" si="26"/>
        <v>1994</v>
      </c>
      <c r="H881" s="85">
        <v>41786</v>
      </c>
      <c r="I881">
        <v>1905.53</v>
      </c>
      <c r="N881" s="69">
        <v>42195</v>
      </c>
      <c r="O881">
        <v>533.25</v>
      </c>
      <c r="P881">
        <v>531.45000000000005</v>
      </c>
      <c r="Q881">
        <v>538.85</v>
      </c>
      <c r="R881">
        <v>528.25</v>
      </c>
      <c r="S881" s="3">
        <v>-6.0000000000000001E-3</v>
      </c>
      <c r="T881">
        <f t="shared" si="27"/>
        <v>2015</v>
      </c>
      <c r="W881" s="86">
        <v>42037</v>
      </c>
      <c r="X881">
        <v>538.35</v>
      </c>
    </row>
    <row r="882" spans="1:24">
      <c r="A882" s="68">
        <v>34448</v>
      </c>
      <c r="B882" s="33">
        <v>836.96</v>
      </c>
      <c r="C882">
        <f t="shared" si="26"/>
        <v>1994</v>
      </c>
      <c r="H882" s="85">
        <v>41787</v>
      </c>
      <c r="I882">
        <v>1917.34</v>
      </c>
      <c r="N882" s="69">
        <v>42194</v>
      </c>
      <c r="O882">
        <v>536.45000000000005</v>
      </c>
      <c r="P882">
        <v>531.4</v>
      </c>
      <c r="Q882">
        <v>539.35</v>
      </c>
      <c r="R882">
        <v>528.28</v>
      </c>
      <c r="S882" s="3">
        <v>-2.5999999999999999E-3</v>
      </c>
      <c r="T882">
        <f t="shared" si="27"/>
        <v>2015</v>
      </c>
      <c r="W882" s="86">
        <v>42038</v>
      </c>
      <c r="X882">
        <v>538.45000000000005</v>
      </c>
    </row>
    <row r="883" spans="1:24">
      <c r="A883" s="68">
        <v>34449</v>
      </c>
      <c r="B883" s="32">
        <v>836.96</v>
      </c>
      <c r="C883">
        <f t="shared" si="26"/>
        <v>1994</v>
      </c>
      <c r="H883" s="85">
        <v>41788</v>
      </c>
      <c r="I883">
        <v>1910.8</v>
      </c>
      <c r="N883" s="69">
        <v>42193</v>
      </c>
      <c r="O883">
        <v>537.85</v>
      </c>
      <c r="P883">
        <v>528.42999999999995</v>
      </c>
      <c r="Q883">
        <v>537.85</v>
      </c>
      <c r="R883">
        <v>528.34</v>
      </c>
      <c r="S883" s="3">
        <v>8.3000000000000001E-3</v>
      </c>
      <c r="T883">
        <f t="shared" si="27"/>
        <v>2015</v>
      </c>
      <c r="W883" s="86">
        <v>42039</v>
      </c>
      <c r="X883">
        <v>538.29999999999995</v>
      </c>
    </row>
    <row r="884" spans="1:24">
      <c r="A884" s="68">
        <v>34450</v>
      </c>
      <c r="B884" s="33">
        <v>835.4</v>
      </c>
      <c r="C884">
        <f t="shared" si="26"/>
        <v>1994</v>
      </c>
      <c r="H884" s="85">
        <v>41789</v>
      </c>
      <c r="I884">
        <v>1905.96</v>
      </c>
      <c r="N884" s="69">
        <v>42192</v>
      </c>
      <c r="O884">
        <v>533.42999999999995</v>
      </c>
      <c r="P884">
        <v>528.35</v>
      </c>
      <c r="Q884">
        <v>539</v>
      </c>
      <c r="R884">
        <v>528.35</v>
      </c>
      <c r="S884" s="3">
        <v>-1.4E-3</v>
      </c>
      <c r="T884">
        <f t="shared" si="27"/>
        <v>2015</v>
      </c>
      <c r="W884" s="86">
        <v>42040</v>
      </c>
      <c r="X884">
        <v>539</v>
      </c>
    </row>
    <row r="885" spans="1:24">
      <c r="A885" s="68">
        <v>34451</v>
      </c>
      <c r="B885" s="32">
        <v>837.31</v>
      </c>
      <c r="C885">
        <f t="shared" si="26"/>
        <v>1994</v>
      </c>
      <c r="H885" s="85">
        <v>41790</v>
      </c>
      <c r="I885">
        <v>1900.64</v>
      </c>
      <c r="N885" s="69">
        <v>42191</v>
      </c>
      <c r="O885">
        <v>534.16999999999996</v>
      </c>
      <c r="P885">
        <v>528.48</v>
      </c>
      <c r="Q885">
        <v>541.62</v>
      </c>
      <c r="R885">
        <v>528.29999999999995</v>
      </c>
      <c r="S885" s="3">
        <v>1.2999999999999999E-3</v>
      </c>
      <c r="T885">
        <f t="shared" si="27"/>
        <v>2015</v>
      </c>
      <c r="W885" s="86">
        <v>42041</v>
      </c>
      <c r="X885">
        <v>539.95000000000005</v>
      </c>
    </row>
    <row r="886" spans="1:24">
      <c r="A886" s="68">
        <v>34452</v>
      </c>
      <c r="B886" s="33">
        <v>838.28</v>
      </c>
      <c r="C886">
        <f t="shared" si="26"/>
        <v>1994</v>
      </c>
      <c r="H886" s="85">
        <v>41791</v>
      </c>
      <c r="I886">
        <v>1900.64</v>
      </c>
      <c r="N886" s="69">
        <v>42188</v>
      </c>
      <c r="O886">
        <v>533.48</v>
      </c>
      <c r="P886">
        <v>528.48</v>
      </c>
      <c r="Q886">
        <v>536.25</v>
      </c>
      <c r="R886">
        <v>528.48</v>
      </c>
      <c r="S886" s="3">
        <v>0</v>
      </c>
      <c r="T886">
        <f t="shared" si="27"/>
        <v>2015</v>
      </c>
      <c r="W886" s="86">
        <v>42044</v>
      </c>
      <c r="X886">
        <v>539.9</v>
      </c>
    </row>
    <row r="887" spans="1:24">
      <c r="A887" s="68">
        <v>34453</v>
      </c>
      <c r="B887" s="32">
        <v>837.27</v>
      </c>
      <c r="C887">
        <f t="shared" si="26"/>
        <v>1994</v>
      </c>
      <c r="H887" s="85">
        <v>41792</v>
      </c>
      <c r="I887">
        <v>1900.64</v>
      </c>
      <c r="N887" s="69">
        <v>42187</v>
      </c>
      <c r="O887">
        <v>533.48</v>
      </c>
      <c r="P887">
        <v>533.85</v>
      </c>
      <c r="Q887">
        <v>540.08000000000004</v>
      </c>
      <c r="R887">
        <v>528.45000000000005</v>
      </c>
      <c r="S887" s="3">
        <v>-5.5999999999999999E-3</v>
      </c>
      <c r="T887">
        <f t="shared" si="27"/>
        <v>2015</v>
      </c>
      <c r="W887" s="86">
        <v>42045</v>
      </c>
      <c r="X887">
        <v>544.15</v>
      </c>
    </row>
    <row r="888" spans="1:24">
      <c r="A888" s="68">
        <v>34454</v>
      </c>
      <c r="B888" s="33">
        <v>836.86</v>
      </c>
      <c r="C888">
        <f t="shared" si="26"/>
        <v>1994</v>
      </c>
      <c r="H888" s="85">
        <v>41793</v>
      </c>
      <c r="I888">
        <v>1900.64</v>
      </c>
      <c r="N888" s="69">
        <v>42186</v>
      </c>
      <c r="O888">
        <v>536.5</v>
      </c>
      <c r="P888">
        <v>528.70000000000005</v>
      </c>
      <c r="Q888">
        <v>536.98</v>
      </c>
      <c r="R888">
        <v>528</v>
      </c>
      <c r="S888" s="3">
        <v>5.1999999999999998E-3</v>
      </c>
      <c r="T888">
        <f t="shared" si="27"/>
        <v>2015</v>
      </c>
      <c r="W888" s="86">
        <v>42046</v>
      </c>
      <c r="X888">
        <v>544.04999999999995</v>
      </c>
    </row>
    <row r="889" spans="1:24">
      <c r="A889" s="68">
        <v>34455</v>
      </c>
      <c r="B889" s="32">
        <v>836.86</v>
      </c>
      <c r="C889">
        <f t="shared" si="26"/>
        <v>1994</v>
      </c>
      <c r="H889" s="85">
        <v>41794</v>
      </c>
      <c r="I889">
        <v>1899.74</v>
      </c>
      <c r="N889" s="69">
        <v>42185</v>
      </c>
      <c r="O889">
        <v>533.70000000000005</v>
      </c>
      <c r="P889">
        <v>528.6</v>
      </c>
      <c r="Q889">
        <v>538.45000000000005</v>
      </c>
      <c r="R889">
        <v>527.53</v>
      </c>
      <c r="S889" s="3">
        <v>2.0000000000000001E-4</v>
      </c>
      <c r="T889">
        <f t="shared" si="27"/>
        <v>2015</v>
      </c>
      <c r="W889" s="86">
        <v>42047</v>
      </c>
      <c r="X889">
        <v>539.54999999999995</v>
      </c>
    </row>
    <row r="890" spans="1:24">
      <c r="A890" s="68">
        <v>34456</v>
      </c>
      <c r="B890" s="33">
        <v>836.86</v>
      </c>
      <c r="C890">
        <f t="shared" si="26"/>
        <v>1994</v>
      </c>
      <c r="H890" s="85">
        <v>41795</v>
      </c>
      <c r="I890">
        <v>1897.7</v>
      </c>
      <c r="N890" s="69">
        <v>42184</v>
      </c>
      <c r="O890">
        <v>533.6</v>
      </c>
      <c r="P890">
        <v>528.78</v>
      </c>
      <c r="Q890">
        <v>547.51</v>
      </c>
      <c r="R890">
        <v>528</v>
      </c>
      <c r="S890" s="3">
        <v>-2.9999999999999997E-4</v>
      </c>
      <c r="T890">
        <f t="shared" si="27"/>
        <v>2015</v>
      </c>
      <c r="W890" s="86">
        <v>42048</v>
      </c>
      <c r="X890">
        <v>538.70000000000005</v>
      </c>
    </row>
    <row r="891" spans="1:24">
      <c r="A891" s="68">
        <v>34457</v>
      </c>
      <c r="B891" s="32">
        <v>838.04</v>
      </c>
      <c r="C891">
        <f t="shared" si="26"/>
        <v>1994</v>
      </c>
      <c r="H891" s="85">
        <v>41796</v>
      </c>
      <c r="I891">
        <v>1892.08</v>
      </c>
      <c r="N891" s="69">
        <v>42181</v>
      </c>
      <c r="O891">
        <v>533.78</v>
      </c>
      <c r="P891">
        <v>528.77</v>
      </c>
      <c r="Q891">
        <v>538.20000000000005</v>
      </c>
      <c r="R891">
        <v>528</v>
      </c>
      <c r="S891" s="3">
        <v>0</v>
      </c>
      <c r="T891">
        <f t="shared" si="27"/>
        <v>2015</v>
      </c>
      <c r="W891" s="86">
        <v>42051</v>
      </c>
      <c r="X891">
        <v>538.54999999999995</v>
      </c>
    </row>
    <row r="892" spans="1:24">
      <c r="A892" s="68">
        <v>34458</v>
      </c>
      <c r="B892" s="33">
        <v>839.14</v>
      </c>
      <c r="C892">
        <f t="shared" si="26"/>
        <v>1994</v>
      </c>
      <c r="H892" s="85">
        <v>41797</v>
      </c>
      <c r="I892">
        <v>1886.09</v>
      </c>
      <c r="N892" s="69">
        <v>42180</v>
      </c>
      <c r="O892">
        <v>533.77</v>
      </c>
      <c r="P892">
        <v>528.75</v>
      </c>
      <c r="Q892">
        <v>539.35</v>
      </c>
      <c r="R892">
        <v>528</v>
      </c>
      <c r="S892" s="3">
        <v>0</v>
      </c>
      <c r="T892">
        <f t="shared" si="27"/>
        <v>2015</v>
      </c>
      <c r="W892" s="86">
        <v>42052</v>
      </c>
      <c r="X892">
        <v>538.29999999999995</v>
      </c>
    </row>
    <row r="893" spans="1:24">
      <c r="A893" s="68">
        <v>34459</v>
      </c>
      <c r="B893" s="32">
        <v>841</v>
      </c>
      <c r="C893">
        <f t="shared" si="26"/>
        <v>1994</v>
      </c>
      <c r="H893" s="85">
        <v>41798</v>
      </c>
      <c r="I893">
        <v>1886.09</v>
      </c>
      <c r="N893" s="69">
        <v>42179</v>
      </c>
      <c r="O893">
        <v>533.75</v>
      </c>
      <c r="P893">
        <v>528.87</v>
      </c>
      <c r="Q893">
        <v>538.85</v>
      </c>
      <c r="R893">
        <v>528.75</v>
      </c>
      <c r="S893" s="3">
        <v>-2.0000000000000001E-4</v>
      </c>
      <c r="T893">
        <f t="shared" si="27"/>
        <v>2015</v>
      </c>
      <c r="W893" s="86">
        <v>42053</v>
      </c>
      <c r="X893">
        <v>538.25</v>
      </c>
    </row>
    <row r="894" spans="1:24">
      <c r="A894" s="68">
        <v>34460</v>
      </c>
      <c r="B894" s="33">
        <v>841.25</v>
      </c>
      <c r="C894">
        <f t="shared" si="26"/>
        <v>1994</v>
      </c>
      <c r="H894" s="85">
        <v>41799</v>
      </c>
      <c r="I894">
        <v>1886.09</v>
      </c>
      <c r="N894" s="69">
        <v>42178</v>
      </c>
      <c r="O894">
        <v>533.87</v>
      </c>
      <c r="P894">
        <v>529.25</v>
      </c>
      <c r="Q894">
        <v>538.65</v>
      </c>
      <c r="R894">
        <v>528.87</v>
      </c>
      <c r="S894" s="3">
        <v>-7.9000000000000008E-3</v>
      </c>
      <c r="T894">
        <f t="shared" si="27"/>
        <v>2015</v>
      </c>
      <c r="W894" s="86">
        <v>42054</v>
      </c>
      <c r="X894">
        <v>537.95000000000005</v>
      </c>
    </row>
    <row r="895" spans="1:24">
      <c r="A895" s="68">
        <v>34461</v>
      </c>
      <c r="B895" s="32">
        <v>841.7</v>
      </c>
      <c r="C895">
        <f t="shared" si="26"/>
        <v>1994</v>
      </c>
      <c r="H895" s="85">
        <v>41800</v>
      </c>
      <c r="I895">
        <v>1883.76</v>
      </c>
      <c r="N895" s="69">
        <v>42177</v>
      </c>
      <c r="O895">
        <v>538.12</v>
      </c>
      <c r="P895">
        <v>529.30999999999995</v>
      </c>
      <c r="Q895">
        <v>538.16999999999996</v>
      </c>
      <c r="R895">
        <v>529.25</v>
      </c>
      <c r="S895" s="3">
        <v>7.0000000000000001E-3</v>
      </c>
      <c r="T895">
        <f t="shared" si="27"/>
        <v>2015</v>
      </c>
      <c r="W895" s="86">
        <v>42055</v>
      </c>
      <c r="X895">
        <v>537.75</v>
      </c>
    </row>
    <row r="896" spans="1:24">
      <c r="A896" s="68">
        <v>34462</v>
      </c>
      <c r="B896" s="33">
        <v>841.7</v>
      </c>
      <c r="C896">
        <f t="shared" si="26"/>
        <v>1994</v>
      </c>
      <c r="H896" s="85">
        <v>41801</v>
      </c>
      <c r="I896">
        <v>1884.97</v>
      </c>
      <c r="N896" s="69">
        <v>42174</v>
      </c>
      <c r="O896">
        <v>534.38</v>
      </c>
      <c r="P896">
        <v>529.87</v>
      </c>
      <c r="Q896">
        <v>536.91</v>
      </c>
      <c r="R896">
        <v>529.38</v>
      </c>
      <c r="S896" s="3">
        <v>-8.9999999999999998E-4</v>
      </c>
      <c r="T896">
        <f t="shared" si="27"/>
        <v>2015</v>
      </c>
      <c r="W896" s="86">
        <v>42058</v>
      </c>
      <c r="X896">
        <v>537.29999999999995</v>
      </c>
    </row>
    <row r="897" spans="1:24">
      <c r="A897" s="68">
        <v>34463</v>
      </c>
      <c r="B897" s="32">
        <v>841.7</v>
      </c>
      <c r="C897">
        <f t="shared" si="26"/>
        <v>1994</v>
      </c>
      <c r="H897" s="85">
        <v>41802</v>
      </c>
      <c r="I897">
        <v>1884.63</v>
      </c>
      <c r="N897" s="69">
        <v>42173</v>
      </c>
      <c r="O897">
        <v>534.87</v>
      </c>
      <c r="P897">
        <v>529.88</v>
      </c>
      <c r="Q897">
        <v>535.75</v>
      </c>
      <c r="R897">
        <v>528</v>
      </c>
      <c r="S897" s="3">
        <v>-1.6000000000000001E-3</v>
      </c>
      <c r="T897">
        <f t="shared" si="27"/>
        <v>2015</v>
      </c>
      <c r="W897" s="86">
        <v>42059</v>
      </c>
      <c r="X897">
        <v>537.25</v>
      </c>
    </row>
    <row r="898" spans="1:24">
      <c r="A898" s="68">
        <v>34464</v>
      </c>
      <c r="B898" s="33">
        <v>841.27</v>
      </c>
      <c r="C898">
        <f t="shared" si="26"/>
        <v>1994</v>
      </c>
      <c r="H898" s="85">
        <v>41803</v>
      </c>
      <c r="I898">
        <v>1877.18</v>
      </c>
      <c r="N898" s="69">
        <v>42172</v>
      </c>
      <c r="O898">
        <v>535.75</v>
      </c>
      <c r="P898">
        <v>530.75</v>
      </c>
      <c r="Q898">
        <v>535.75</v>
      </c>
      <c r="R898">
        <v>529.85</v>
      </c>
      <c r="S898" s="3">
        <v>1.6999999999999999E-3</v>
      </c>
      <c r="T898">
        <f t="shared" si="27"/>
        <v>2015</v>
      </c>
      <c r="W898" s="86">
        <v>42060</v>
      </c>
      <c r="X898">
        <v>537.20000000000005</v>
      </c>
    </row>
    <row r="899" spans="1:24">
      <c r="A899" s="68">
        <v>34465</v>
      </c>
      <c r="B899" s="32">
        <v>841.33</v>
      </c>
      <c r="C899">
        <f t="shared" si="26"/>
        <v>1994</v>
      </c>
      <c r="H899" s="85">
        <v>41804</v>
      </c>
      <c r="I899">
        <v>1877.37</v>
      </c>
      <c r="N899" s="69">
        <v>42171</v>
      </c>
      <c r="O899">
        <v>534.85</v>
      </c>
      <c r="P899">
        <v>529.88</v>
      </c>
      <c r="Q899">
        <v>536</v>
      </c>
      <c r="R899">
        <v>528</v>
      </c>
      <c r="S899" s="3">
        <v>-1E-4</v>
      </c>
      <c r="T899">
        <f t="shared" si="27"/>
        <v>2015</v>
      </c>
      <c r="W899" s="86">
        <v>42061</v>
      </c>
      <c r="X899">
        <v>537.1</v>
      </c>
    </row>
    <row r="900" spans="1:24">
      <c r="A900" s="68">
        <v>34466</v>
      </c>
      <c r="B900" s="33">
        <v>841.92</v>
      </c>
      <c r="C900">
        <f t="shared" ref="C900:C963" si="28">YEAR(A900)</f>
        <v>1994</v>
      </c>
      <c r="H900" s="85">
        <v>41805</v>
      </c>
      <c r="I900">
        <v>1877.37</v>
      </c>
      <c r="N900" s="69">
        <v>42170</v>
      </c>
      <c r="O900">
        <v>534.88</v>
      </c>
      <c r="P900">
        <v>529.9</v>
      </c>
      <c r="Q900">
        <v>536.19000000000005</v>
      </c>
      <c r="R900">
        <v>528</v>
      </c>
      <c r="S900" s="3">
        <v>0</v>
      </c>
      <c r="T900">
        <f t="shared" ref="T900:T963" si="29">YEAR(N900)</f>
        <v>2015</v>
      </c>
      <c r="W900" s="86">
        <v>42062</v>
      </c>
      <c r="X900">
        <v>537</v>
      </c>
    </row>
    <row r="901" spans="1:24">
      <c r="A901" s="68">
        <v>34467</v>
      </c>
      <c r="B901" s="32">
        <v>843.24</v>
      </c>
      <c r="C901">
        <f t="shared" si="28"/>
        <v>1994</v>
      </c>
      <c r="H901" s="85">
        <v>41806</v>
      </c>
      <c r="I901">
        <v>1877.37</v>
      </c>
      <c r="N901" s="69">
        <v>42167</v>
      </c>
      <c r="O901">
        <v>534.9</v>
      </c>
      <c r="P901">
        <v>531</v>
      </c>
      <c r="Q901">
        <v>536</v>
      </c>
      <c r="R901">
        <v>528</v>
      </c>
      <c r="S901" s="3">
        <v>-2.0999999999999999E-3</v>
      </c>
      <c r="T901">
        <f t="shared" si="29"/>
        <v>2015</v>
      </c>
      <c r="W901" s="86">
        <v>42065</v>
      </c>
      <c r="X901">
        <v>536.15</v>
      </c>
    </row>
    <row r="902" spans="1:24">
      <c r="A902" s="68">
        <v>34468</v>
      </c>
      <c r="B902" s="33">
        <v>842.23</v>
      </c>
      <c r="C902">
        <f t="shared" si="28"/>
        <v>1994</v>
      </c>
      <c r="H902" s="85">
        <v>41807</v>
      </c>
      <c r="I902">
        <v>1886.62</v>
      </c>
      <c r="N902" s="69">
        <v>42166</v>
      </c>
      <c r="O902">
        <v>536</v>
      </c>
      <c r="P902">
        <v>530</v>
      </c>
      <c r="Q902">
        <v>536</v>
      </c>
      <c r="R902">
        <v>530</v>
      </c>
      <c r="S902" s="3">
        <v>1.9E-3</v>
      </c>
      <c r="T902">
        <f t="shared" si="29"/>
        <v>2015</v>
      </c>
      <c r="W902" s="86">
        <v>42066</v>
      </c>
      <c r="X902">
        <v>536.04999999999995</v>
      </c>
    </row>
    <row r="903" spans="1:24">
      <c r="A903" s="68">
        <v>34469</v>
      </c>
      <c r="B903" s="32">
        <v>842.23</v>
      </c>
      <c r="C903">
        <f t="shared" si="28"/>
        <v>1994</v>
      </c>
      <c r="H903" s="85">
        <v>41808</v>
      </c>
      <c r="I903">
        <v>1899.9</v>
      </c>
      <c r="N903" s="69">
        <v>42165</v>
      </c>
      <c r="O903">
        <v>535</v>
      </c>
      <c r="P903">
        <v>530.38</v>
      </c>
      <c r="Q903">
        <v>536</v>
      </c>
      <c r="R903">
        <v>530</v>
      </c>
      <c r="S903" s="3">
        <v>-6.9999999999999999E-4</v>
      </c>
      <c r="T903">
        <f t="shared" si="29"/>
        <v>2015</v>
      </c>
      <c r="W903" s="86">
        <v>42067</v>
      </c>
      <c r="X903">
        <v>534.70000000000005</v>
      </c>
    </row>
    <row r="904" spans="1:24">
      <c r="A904" s="68">
        <v>34470</v>
      </c>
      <c r="B904" s="33">
        <v>842.23</v>
      </c>
      <c r="C904">
        <f t="shared" si="28"/>
        <v>1994</v>
      </c>
      <c r="H904" s="85">
        <v>41809</v>
      </c>
      <c r="I904">
        <v>1895.92</v>
      </c>
      <c r="N904" s="69">
        <v>42164</v>
      </c>
      <c r="O904">
        <v>535.38</v>
      </c>
      <c r="P904">
        <v>530.44000000000005</v>
      </c>
      <c r="Q904">
        <v>536.5</v>
      </c>
      <c r="R904">
        <v>528</v>
      </c>
      <c r="S904" s="3">
        <v>-2.0999999999999999E-3</v>
      </c>
      <c r="T904">
        <f t="shared" si="29"/>
        <v>2015</v>
      </c>
      <c r="W904" s="86">
        <v>42068</v>
      </c>
      <c r="X904">
        <v>536</v>
      </c>
    </row>
    <row r="905" spans="1:24">
      <c r="A905" s="68">
        <v>34471</v>
      </c>
      <c r="B905" s="32">
        <v>842.23</v>
      </c>
      <c r="C905">
        <f t="shared" si="28"/>
        <v>1994</v>
      </c>
      <c r="H905" s="85">
        <v>41810</v>
      </c>
      <c r="I905">
        <v>1881.34</v>
      </c>
      <c r="N905" s="69">
        <v>42163</v>
      </c>
      <c r="O905">
        <v>536.5</v>
      </c>
      <c r="P905">
        <v>530.25</v>
      </c>
      <c r="Q905">
        <v>536.5</v>
      </c>
      <c r="R905">
        <v>528</v>
      </c>
      <c r="S905" s="3">
        <v>2.3E-3</v>
      </c>
      <c r="T905">
        <f t="shared" si="29"/>
        <v>2015</v>
      </c>
      <c r="W905" s="86">
        <v>42069</v>
      </c>
      <c r="X905">
        <v>535.9</v>
      </c>
    </row>
    <row r="906" spans="1:24">
      <c r="A906" s="68">
        <v>34472</v>
      </c>
      <c r="B906" s="33">
        <v>842.21</v>
      </c>
      <c r="C906">
        <f t="shared" si="28"/>
        <v>1994</v>
      </c>
      <c r="H906" s="85">
        <v>41811</v>
      </c>
      <c r="I906">
        <v>1884.56</v>
      </c>
      <c r="N906" s="69">
        <v>42160</v>
      </c>
      <c r="O906">
        <v>535.25</v>
      </c>
      <c r="P906">
        <v>530.35</v>
      </c>
      <c r="Q906">
        <v>535.4</v>
      </c>
      <c r="R906">
        <v>530.25</v>
      </c>
      <c r="S906" s="3">
        <v>-2.0000000000000001E-4</v>
      </c>
      <c r="T906">
        <f t="shared" si="29"/>
        <v>2015</v>
      </c>
      <c r="W906" s="86">
        <v>42072</v>
      </c>
      <c r="X906">
        <v>536.15</v>
      </c>
    </row>
    <row r="907" spans="1:24">
      <c r="A907" s="68">
        <v>34473</v>
      </c>
      <c r="B907" s="32">
        <v>842.83</v>
      </c>
      <c r="C907">
        <f t="shared" si="28"/>
        <v>1994</v>
      </c>
      <c r="H907" s="85">
        <v>41812</v>
      </c>
      <c r="I907">
        <v>1884.56</v>
      </c>
      <c r="N907" s="69">
        <v>42159</v>
      </c>
      <c r="O907">
        <v>535.35</v>
      </c>
      <c r="P907">
        <v>530.4</v>
      </c>
      <c r="Q907">
        <v>535.41999999999996</v>
      </c>
      <c r="R907">
        <v>528</v>
      </c>
      <c r="S907" s="3">
        <v>-1E-4</v>
      </c>
      <c r="T907">
        <f t="shared" si="29"/>
        <v>2015</v>
      </c>
      <c r="W907" s="86">
        <v>42073</v>
      </c>
      <c r="X907">
        <v>536.25</v>
      </c>
    </row>
    <row r="908" spans="1:24">
      <c r="A908" s="68">
        <v>34474</v>
      </c>
      <c r="B908" s="33">
        <v>842.64</v>
      </c>
      <c r="C908">
        <f t="shared" si="28"/>
        <v>1994</v>
      </c>
      <c r="H908" s="85">
        <v>41813</v>
      </c>
      <c r="I908">
        <v>1884.56</v>
      </c>
      <c r="N908" s="69">
        <v>42158</v>
      </c>
      <c r="O908">
        <v>535.4</v>
      </c>
      <c r="P908">
        <v>530.04999999999995</v>
      </c>
      <c r="Q908">
        <v>535.47</v>
      </c>
      <c r="R908">
        <v>528</v>
      </c>
      <c r="S908" s="3">
        <v>6.9999999999999999E-4</v>
      </c>
      <c r="T908">
        <f t="shared" si="29"/>
        <v>2015</v>
      </c>
      <c r="W908" s="86">
        <v>42074</v>
      </c>
      <c r="X908">
        <v>536.15</v>
      </c>
    </row>
    <row r="909" spans="1:24">
      <c r="A909" s="68">
        <v>34475</v>
      </c>
      <c r="B909" s="32">
        <v>842.33</v>
      </c>
      <c r="C909">
        <f t="shared" si="28"/>
        <v>1994</v>
      </c>
      <c r="H909" s="85">
        <v>41814</v>
      </c>
      <c r="I909">
        <v>1884.56</v>
      </c>
      <c r="N909" s="69">
        <v>42157</v>
      </c>
      <c r="O909">
        <v>535.04999999999995</v>
      </c>
      <c r="P909">
        <v>530.20000000000005</v>
      </c>
      <c r="Q909">
        <v>535.45000000000005</v>
      </c>
      <c r="R909">
        <v>530.04999999999995</v>
      </c>
      <c r="S909" s="3">
        <v>-2.9999999999999997E-4</v>
      </c>
      <c r="T909">
        <f t="shared" si="29"/>
        <v>2015</v>
      </c>
      <c r="W909" s="86">
        <v>42075</v>
      </c>
      <c r="X909">
        <v>536.04999999999995</v>
      </c>
    </row>
    <row r="910" spans="1:24">
      <c r="A910" s="68">
        <v>34476</v>
      </c>
      <c r="B910" s="33">
        <v>842.33</v>
      </c>
      <c r="C910">
        <f t="shared" si="28"/>
        <v>1994</v>
      </c>
      <c r="H910" s="85">
        <v>41815</v>
      </c>
      <c r="I910">
        <v>1886.85</v>
      </c>
      <c r="N910" s="69">
        <v>42156</v>
      </c>
      <c r="O910">
        <v>535.20000000000005</v>
      </c>
      <c r="P910">
        <v>526.4</v>
      </c>
      <c r="Q910">
        <v>535.25</v>
      </c>
      <c r="R910">
        <v>526.35</v>
      </c>
      <c r="S910" s="3">
        <v>7.1999999999999998E-3</v>
      </c>
      <c r="T910">
        <f t="shared" si="29"/>
        <v>2015</v>
      </c>
      <c r="W910" s="86">
        <v>42076</v>
      </c>
      <c r="X910">
        <v>535.04999999999995</v>
      </c>
    </row>
    <row r="911" spans="1:24">
      <c r="A911" s="68">
        <v>34477</v>
      </c>
      <c r="B911" s="32">
        <v>842.33</v>
      </c>
      <c r="C911">
        <f t="shared" si="28"/>
        <v>1994</v>
      </c>
      <c r="H911" s="85">
        <v>41816</v>
      </c>
      <c r="I911">
        <v>1880.37</v>
      </c>
      <c r="N911" s="69">
        <v>42153</v>
      </c>
      <c r="O911">
        <v>531.4</v>
      </c>
      <c r="P911">
        <v>526.5</v>
      </c>
      <c r="Q911">
        <v>533</v>
      </c>
      <c r="R911">
        <v>526.4</v>
      </c>
      <c r="S911" s="3">
        <v>-2.0000000000000001E-4</v>
      </c>
      <c r="T911">
        <f t="shared" si="29"/>
        <v>2015</v>
      </c>
      <c r="W911" s="86">
        <v>42079</v>
      </c>
      <c r="X911">
        <v>534.29999999999995</v>
      </c>
    </row>
    <row r="912" spans="1:24">
      <c r="A912" s="68">
        <v>34478</v>
      </c>
      <c r="B912" s="33">
        <v>842.92</v>
      </c>
      <c r="C912">
        <f t="shared" si="28"/>
        <v>1994</v>
      </c>
      <c r="H912" s="85">
        <v>41817</v>
      </c>
      <c r="I912">
        <v>1886.01</v>
      </c>
      <c r="N912" s="69">
        <v>42152</v>
      </c>
      <c r="O912">
        <v>531.5</v>
      </c>
      <c r="P912">
        <v>526.58000000000004</v>
      </c>
      <c r="Q912">
        <v>533</v>
      </c>
      <c r="R912">
        <v>526.5</v>
      </c>
      <c r="S912" s="3">
        <v>-2.0000000000000001E-4</v>
      </c>
      <c r="T912">
        <f t="shared" si="29"/>
        <v>2015</v>
      </c>
      <c r="W912" s="86">
        <v>42080</v>
      </c>
      <c r="X912">
        <v>534.35</v>
      </c>
    </row>
    <row r="913" spans="1:24">
      <c r="A913" s="68">
        <v>34479</v>
      </c>
      <c r="B913" s="32">
        <v>843.08</v>
      </c>
      <c r="C913">
        <f t="shared" si="28"/>
        <v>1994</v>
      </c>
      <c r="H913" s="85">
        <v>41818</v>
      </c>
      <c r="I913">
        <v>1881.19</v>
      </c>
      <c r="N913" s="69">
        <v>42151</v>
      </c>
      <c r="O913">
        <v>531.6</v>
      </c>
      <c r="P913">
        <v>526.65</v>
      </c>
      <c r="Q913">
        <v>533</v>
      </c>
      <c r="R913">
        <v>526.6</v>
      </c>
      <c r="S913" s="3">
        <v>-1E-4</v>
      </c>
      <c r="T913">
        <f t="shared" si="29"/>
        <v>2015</v>
      </c>
      <c r="W913" s="86">
        <v>42081</v>
      </c>
      <c r="X913">
        <v>541.29999999999995</v>
      </c>
    </row>
    <row r="914" spans="1:24">
      <c r="A914" s="68">
        <v>34480</v>
      </c>
      <c r="B914" s="33">
        <v>842.22</v>
      </c>
      <c r="C914">
        <f t="shared" si="28"/>
        <v>1994</v>
      </c>
      <c r="H914" s="85">
        <v>41819</v>
      </c>
      <c r="I914">
        <v>1881.19</v>
      </c>
      <c r="N914" s="69">
        <v>42150</v>
      </c>
      <c r="O914">
        <v>531.65</v>
      </c>
      <c r="P914">
        <v>526.67999999999995</v>
      </c>
      <c r="Q914">
        <v>533</v>
      </c>
      <c r="R914">
        <v>526.65</v>
      </c>
      <c r="S914" s="3">
        <v>-1E-4</v>
      </c>
      <c r="T914">
        <f t="shared" si="29"/>
        <v>2015</v>
      </c>
      <c r="W914" s="86">
        <v>42082</v>
      </c>
      <c r="X914">
        <v>534.1</v>
      </c>
    </row>
    <row r="915" spans="1:24">
      <c r="A915" s="68">
        <v>34481</v>
      </c>
      <c r="B915" s="32">
        <v>841.86</v>
      </c>
      <c r="C915">
        <f t="shared" si="28"/>
        <v>1994</v>
      </c>
      <c r="H915" s="85">
        <v>41820</v>
      </c>
      <c r="I915">
        <v>1881.19</v>
      </c>
      <c r="N915" s="69">
        <v>42149</v>
      </c>
      <c r="O915">
        <v>531.67999999999995</v>
      </c>
      <c r="P915">
        <v>526.69000000000005</v>
      </c>
      <c r="Q915">
        <v>531.69000000000005</v>
      </c>
      <c r="R915">
        <v>526.67999999999995</v>
      </c>
      <c r="S915" s="3">
        <v>0</v>
      </c>
      <c r="T915">
        <f t="shared" si="29"/>
        <v>2015</v>
      </c>
      <c r="W915" s="86">
        <v>42083</v>
      </c>
      <c r="X915">
        <v>534.04999999999995</v>
      </c>
    </row>
    <row r="916" spans="1:24">
      <c r="A916" s="68">
        <v>34482</v>
      </c>
      <c r="B916" s="33">
        <v>840.93</v>
      </c>
      <c r="C916">
        <f t="shared" si="28"/>
        <v>1994</v>
      </c>
      <c r="H916" s="85">
        <v>41821</v>
      </c>
      <c r="I916">
        <v>1881.19</v>
      </c>
      <c r="N916" s="69">
        <v>42146</v>
      </c>
      <c r="O916">
        <v>531.67999999999995</v>
      </c>
      <c r="P916">
        <v>526.70000000000005</v>
      </c>
      <c r="Q916">
        <v>531.71</v>
      </c>
      <c r="R916">
        <v>526.65</v>
      </c>
      <c r="S916" s="3">
        <v>0</v>
      </c>
      <c r="T916">
        <f t="shared" si="29"/>
        <v>2015</v>
      </c>
      <c r="W916" s="86">
        <v>42086</v>
      </c>
      <c r="X916">
        <v>533.85</v>
      </c>
    </row>
    <row r="917" spans="1:24">
      <c r="A917" s="68">
        <v>34483</v>
      </c>
      <c r="B917" s="32">
        <v>840.93</v>
      </c>
      <c r="C917">
        <f t="shared" si="28"/>
        <v>1994</v>
      </c>
      <c r="H917" s="85">
        <v>41822</v>
      </c>
      <c r="I917">
        <v>1865.42</v>
      </c>
      <c r="N917" s="69">
        <v>42145</v>
      </c>
      <c r="O917">
        <v>531.70000000000005</v>
      </c>
      <c r="P917">
        <v>526.75</v>
      </c>
      <c r="Q917">
        <v>533</v>
      </c>
      <c r="R917">
        <v>526.70000000000005</v>
      </c>
      <c r="S917" s="3">
        <v>-1E-4</v>
      </c>
      <c r="T917">
        <f t="shared" si="29"/>
        <v>2015</v>
      </c>
      <c r="W917" s="86">
        <v>42087</v>
      </c>
      <c r="X917">
        <v>533.70000000000005</v>
      </c>
    </row>
    <row r="918" spans="1:24">
      <c r="A918" s="68">
        <v>34484</v>
      </c>
      <c r="B918" s="33">
        <v>840.93</v>
      </c>
      <c r="C918">
        <f t="shared" si="28"/>
        <v>1994</v>
      </c>
      <c r="H918" s="85">
        <v>41823</v>
      </c>
      <c r="I918">
        <v>1856.73</v>
      </c>
      <c r="N918" s="69">
        <v>42144</v>
      </c>
      <c r="O918">
        <v>531.75</v>
      </c>
      <c r="P918">
        <v>526.79999999999995</v>
      </c>
      <c r="Q918">
        <v>533</v>
      </c>
      <c r="R918">
        <v>526.75</v>
      </c>
      <c r="S918" s="3">
        <v>-1E-4</v>
      </c>
      <c r="T918">
        <f t="shared" si="29"/>
        <v>2015</v>
      </c>
      <c r="W918" s="86">
        <v>42088</v>
      </c>
      <c r="X918">
        <v>533.9</v>
      </c>
    </row>
    <row r="919" spans="1:24">
      <c r="A919" s="68">
        <v>34485</v>
      </c>
      <c r="B919" s="32">
        <v>841.12</v>
      </c>
      <c r="C919">
        <f t="shared" si="28"/>
        <v>1994</v>
      </c>
      <c r="H919" s="85">
        <v>41824</v>
      </c>
      <c r="I919">
        <v>1848.91</v>
      </c>
      <c r="N919" s="69">
        <v>42143</v>
      </c>
      <c r="O919">
        <v>531.79999999999995</v>
      </c>
      <c r="P919">
        <v>526.75</v>
      </c>
      <c r="Q919">
        <v>533</v>
      </c>
      <c r="R919">
        <v>526.75</v>
      </c>
      <c r="S919" s="3">
        <v>1E-4</v>
      </c>
      <c r="T919">
        <f t="shared" si="29"/>
        <v>2015</v>
      </c>
      <c r="W919" s="86">
        <v>42089</v>
      </c>
      <c r="X919">
        <v>533.85</v>
      </c>
    </row>
    <row r="920" spans="1:24">
      <c r="A920" s="68">
        <v>34486</v>
      </c>
      <c r="B920" s="33">
        <v>841.93</v>
      </c>
      <c r="C920">
        <f t="shared" si="28"/>
        <v>1994</v>
      </c>
      <c r="H920" s="85">
        <v>41825</v>
      </c>
      <c r="I920">
        <v>1848.91</v>
      </c>
      <c r="N920" s="69">
        <v>42142</v>
      </c>
      <c r="O920">
        <v>531.75</v>
      </c>
      <c r="P920">
        <v>526.75</v>
      </c>
      <c r="Q920">
        <v>533</v>
      </c>
      <c r="R920">
        <v>526.75</v>
      </c>
      <c r="S920" s="3">
        <v>0</v>
      </c>
      <c r="T920">
        <f t="shared" si="29"/>
        <v>2015</v>
      </c>
      <c r="W920" s="86">
        <v>42090</v>
      </c>
      <c r="X920">
        <v>533.9</v>
      </c>
    </row>
    <row r="921" spans="1:24">
      <c r="A921" s="68">
        <v>34487</v>
      </c>
      <c r="B921" s="32">
        <v>842</v>
      </c>
      <c r="C921">
        <f t="shared" si="28"/>
        <v>1994</v>
      </c>
      <c r="H921" s="85">
        <v>41826</v>
      </c>
      <c r="I921">
        <v>1848.91</v>
      </c>
      <c r="N921" s="69">
        <v>42139</v>
      </c>
      <c r="O921">
        <v>531.75</v>
      </c>
      <c r="P921">
        <v>526.6</v>
      </c>
      <c r="Q921">
        <v>533</v>
      </c>
      <c r="R921">
        <v>526.54999999999995</v>
      </c>
      <c r="S921" s="3">
        <v>2.9999999999999997E-4</v>
      </c>
      <c r="T921">
        <f t="shared" si="29"/>
        <v>2015</v>
      </c>
      <c r="W921" s="86">
        <v>42093</v>
      </c>
      <c r="X921">
        <v>533.9</v>
      </c>
    </row>
    <row r="922" spans="1:24">
      <c r="A922" s="68">
        <v>34488</v>
      </c>
      <c r="B922" s="33">
        <v>841.44</v>
      </c>
      <c r="C922">
        <f t="shared" si="28"/>
        <v>1994</v>
      </c>
      <c r="H922" s="85">
        <v>41827</v>
      </c>
      <c r="I922">
        <v>1848.91</v>
      </c>
      <c r="N922" s="69">
        <v>42138</v>
      </c>
      <c r="O922">
        <v>531.6</v>
      </c>
      <c r="P922">
        <v>526.70000000000005</v>
      </c>
      <c r="Q922">
        <v>533</v>
      </c>
      <c r="R922">
        <v>526.6</v>
      </c>
      <c r="S922" s="3">
        <v>-2.0000000000000001E-4</v>
      </c>
      <c r="T922">
        <f t="shared" si="29"/>
        <v>2015</v>
      </c>
      <c r="W922" s="86">
        <v>42094</v>
      </c>
      <c r="X922">
        <v>534.79999999999995</v>
      </c>
    </row>
    <row r="923" spans="1:24">
      <c r="A923" s="68">
        <v>34489</v>
      </c>
      <c r="B923" s="32">
        <v>840.37</v>
      </c>
      <c r="C923">
        <f t="shared" si="28"/>
        <v>1994</v>
      </c>
      <c r="H923" s="85">
        <v>41828</v>
      </c>
      <c r="I923">
        <v>1849.28</v>
      </c>
      <c r="N923" s="69">
        <v>42137</v>
      </c>
      <c r="O923">
        <v>531.70000000000005</v>
      </c>
      <c r="P923">
        <v>526.75</v>
      </c>
      <c r="Q923">
        <v>533</v>
      </c>
      <c r="R923">
        <v>526.70000000000005</v>
      </c>
      <c r="S923" s="3">
        <v>-1E-4</v>
      </c>
      <c r="T923">
        <f t="shared" si="29"/>
        <v>2015</v>
      </c>
      <c r="W923" s="86">
        <v>42095</v>
      </c>
      <c r="X923">
        <v>534.79999999999995</v>
      </c>
    </row>
    <row r="924" spans="1:24">
      <c r="A924" s="68">
        <v>34490</v>
      </c>
      <c r="B924" s="33">
        <v>840.37</v>
      </c>
      <c r="C924">
        <f t="shared" si="28"/>
        <v>1994</v>
      </c>
      <c r="H924" s="85">
        <v>41829</v>
      </c>
      <c r="I924">
        <v>1854.24</v>
      </c>
      <c r="N924" s="69">
        <v>42136</v>
      </c>
      <c r="O924">
        <v>531.75</v>
      </c>
      <c r="P924">
        <v>526.6</v>
      </c>
      <c r="Q924">
        <v>534.22</v>
      </c>
      <c r="R924">
        <v>526.54999999999995</v>
      </c>
      <c r="S924" s="3">
        <v>2.9999999999999997E-4</v>
      </c>
      <c r="T924">
        <f t="shared" si="29"/>
        <v>2015</v>
      </c>
      <c r="W924" s="86">
        <v>42096</v>
      </c>
      <c r="X924">
        <v>534.70000000000005</v>
      </c>
    </row>
    <row r="925" spans="1:24">
      <c r="A925" s="68">
        <v>34491</v>
      </c>
      <c r="B925" s="32">
        <v>840.37</v>
      </c>
      <c r="C925">
        <f t="shared" si="28"/>
        <v>1994</v>
      </c>
      <c r="H925" s="85">
        <v>41830</v>
      </c>
      <c r="I925">
        <v>1859.94</v>
      </c>
      <c r="N925" s="69">
        <v>42135</v>
      </c>
      <c r="O925">
        <v>531.6</v>
      </c>
      <c r="P925">
        <v>526.17999999999995</v>
      </c>
      <c r="Q925">
        <v>533</v>
      </c>
      <c r="R925">
        <v>526.15</v>
      </c>
      <c r="S925" s="3">
        <v>8.0000000000000004E-4</v>
      </c>
      <c r="T925">
        <f t="shared" si="29"/>
        <v>2015</v>
      </c>
      <c r="W925" s="86">
        <v>42097</v>
      </c>
      <c r="X925">
        <v>534.6</v>
      </c>
    </row>
    <row r="926" spans="1:24">
      <c r="A926" s="68">
        <v>34492</v>
      </c>
      <c r="B926" s="33">
        <v>840.37</v>
      </c>
      <c r="C926">
        <f t="shared" si="28"/>
        <v>1994</v>
      </c>
      <c r="H926" s="85">
        <v>41831</v>
      </c>
      <c r="I926">
        <v>1858.47</v>
      </c>
      <c r="N926" s="69">
        <v>42132</v>
      </c>
      <c r="O926">
        <v>531.17999999999995</v>
      </c>
      <c r="P926">
        <v>526.20000000000005</v>
      </c>
      <c r="Q926">
        <v>533</v>
      </c>
      <c r="R926">
        <v>526.17999999999995</v>
      </c>
      <c r="S926" s="3">
        <v>0</v>
      </c>
      <c r="T926">
        <f t="shared" si="29"/>
        <v>2015</v>
      </c>
      <c r="W926" s="86">
        <v>42100</v>
      </c>
      <c r="X926">
        <v>534.15</v>
      </c>
    </row>
    <row r="927" spans="1:24">
      <c r="A927" s="68">
        <v>34493</v>
      </c>
      <c r="B927" s="32">
        <v>839.56</v>
      </c>
      <c r="C927">
        <f t="shared" si="28"/>
        <v>1994</v>
      </c>
      <c r="H927" s="85">
        <v>41832</v>
      </c>
      <c r="I927">
        <v>1852.57</v>
      </c>
      <c r="N927" s="69">
        <v>42131</v>
      </c>
      <c r="O927">
        <v>531.20000000000005</v>
      </c>
      <c r="P927">
        <v>526.20000000000005</v>
      </c>
      <c r="Q927">
        <v>533</v>
      </c>
      <c r="R927">
        <v>526.20000000000005</v>
      </c>
      <c r="S927" s="3">
        <v>0</v>
      </c>
      <c r="T927">
        <f t="shared" si="29"/>
        <v>2015</v>
      </c>
      <c r="W927" s="86">
        <v>42101</v>
      </c>
      <c r="X927">
        <v>534.04999999999995</v>
      </c>
    </row>
    <row r="928" spans="1:24">
      <c r="A928" s="68">
        <v>34494</v>
      </c>
      <c r="B928" s="33">
        <v>838.03</v>
      </c>
      <c r="C928">
        <f t="shared" si="28"/>
        <v>1994</v>
      </c>
      <c r="H928" s="85">
        <v>41833</v>
      </c>
      <c r="I928">
        <v>1852.57</v>
      </c>
      <c r="N928" s="69">
        <v>42130</v>
      </c>
      <c r="O928">
        <v>531.20000000000005</v>
      </c>
      <c r="P928">
        <v>526.25</v>
      </c>
      <c r="Q928">
        <v>533</v>
      </c>
      <c r="R928">
        <v>526.20000000000005</v>
      </c>
      <c r="S928" s="3">
        <v>-1E-4</v>
      </c>
      <c r="T928">
        <f t="shared" si="29"/>
        <v>2015</v>
      </c>
      <c r="W928" s="86">
        <v>42102</v>
      </c>
      <c r="X928">
        <v>533.95000000000005</v>
      </c>
    </row>
    <row r="929" spans="1:24">
      <c r="A929" s="68">
        <v>34495</v>
      </c>
      <c r="B929" s="32">
        <v>834.96</v>
      </c>
      <c r="C929">
        <f t="shared" si="28"/>
        <v>1994</v>
      </c>
      <c r="H929" s="85">
        <v>41834</v>
      </c>
      <c r="I929">
        <v>1852.57</v>
      </c>
      <c r="N929" s="69">
        <v>42129</v>
      </c>
      <c r="O929">
        <v>531.25</v>
      </c>
      <c r="P929">
        <v>526.25</v>
      </c>
      <c r="Q929">
        <v>531.25</v>
      </c>
      <c r="R929">
        <v>526.25</v>
      </c>
      <c r="S929" s="3">
        <v>0</v>
      </c>
      <c r="T929">
        <f t="shared" si="29"/>
        <v>2015</v>
      </c>
      <c r="W929" s="86">
        <v>42103</v>
      </c>
      <c r="X929">
        <v>533.9</v>
      </c>
    </row>
    <row r="930" spans="1:24">
      <c r="A930" s="68">
        <v>34496</v>
      </c>
      <c r="B930" s="33">
        <v>833.19</v>
      </c>
      <c r="C930">
        <f t="shared" si="28"/>
        <v>1994</v>
      </c>
      <c r="H930" s="85">
        <v>41835</v>
      </c>
      <c r="I930">
        <v>1857.93</v>
      </c>
      <c r="N930" s="69">
        <v>42128</v>
      </c>
      <c r="O930">
        <v>531.25</v>
      </c>
      <c r="P930">
        <v>526.29999999999995</v>
      </c>
      <c r="Q930">
        <v>533</v>
      </c>
      <c r="R930">
        <v>526.25</v>
      </c>
      <c r="S930" s="3">
        <v>-1E-4</v>
      </c>
      <c r="T930">
        <f t="shared" si="29"/>
        <v>2015</v>
      </c>
      <c r="W930" s="86">
        <v>42104</v>
      </c>
      <c r="X930">
        <v>533.95000000000005</v>
      </c>
    </row>
    <row r="931" spans="1:24">
      <c r="A931" s="68">
        <v>34497</v>
      </c>
      <c r="B931" s="32">
        <v>833.19</v>
      </c>
      <c r="C931">
        <f t="shared" si="28"/>
        <v>1994</v>
      </c>
      <c r="H931" s="85">
        <v>41836</v>
      </c>
      <c r="I931">
        <v>1867.88</v>
      </c>
      <c r="N931" s="69">
        <v>42125</v>
      </c>
      <c r="O931">
        <v>531.29999999999995</v>
      </c>
      <c r="P931">
        <v>526.30999999999995</v>
      </c>
      <c r="Q931">
        <v>533</v>
      </c>
      <c r="R931">
        <v>526.1</v>
      </c>
      <c r="S931" s="3">
        <v>-1.5E-3</v>
      </c>
      <c r="T931">
        <f t="shared" si="29"/>
        <v>2015</v>
      </c>
      <c r="W931" s="86">
        <v>42107</v>
      </c>
      <c r="X931">
        <v>533.75</v>
      </c>
    </row>
    <row r="932" spans="1:24">
      <c r="A932" s="68">
        <v>34498</v>
      </c>
      <c r="B932" s="33">
        <v>833.19</v>
      </c>
      <c r="C932">
        <f t="shared" si="28"/>
        <v>1994</v>
      </c>
      <c r="H932" s="85">
        <v>41837</v>
      </c>
      <c r="I932">
        <v>1868.41</v>
      </c>
      <c r="N932" s="69">
        <v>42124</v>
      </c>
      <c r="O932">
        <v>532.08000000000004</v>
      </c>
      <c r="P932">
        <v>526.20000000000005</v>
      </c>
      <c r="Q932">
        <v>532.08000000000004</v>
      </c>
      <c r="R932">
        <v>526.15</v>
      </c>
      <c r="S932" s="3">
        <v>1.6999999999999999E-3</v>
      </c>
      <c r="T932">
        <f t="shared" si="29"/>
        <v>2015</v>
      </c>
      <c r="W932" s="86">
        <v>42108</v>
      </c>
      <c r="X932">
        <v>534.65</v>
      </c>
    </row>
    <row r="933" spans="1:24">
      <c r="A933" s="68">
        <v>34499</v>
      </c>
      <c r="B933" s="32">
        <v>833.19</v>
      </c>
      <c r="C933">
        <f t="shared" si="28"/>
        <v>1994</v>
      </c>
      <c r="H933" s="85">
        <v>41838</v>
      </c>
      <c r="I933">
        <v>1872.27</v>
      </c>
      <c r="N933" s="69">
        <v>42123</v>
      </c>
      <c r="O933">
        <v>531.20000000000005</v>
      </c>
      <c r="P933">
        <v>526.20000000000005</v>
      </c>
      <c r="Q933">
        <v>537.75</v>
      </c>
      <c r="R933">
        <v>526.15</v>
      </c>
      <c r="S933" s="3">
        <v>0</v>
      </c>
      <c r="T933">
        <f t="shared" si="29"/>
        <v>2015</v>
      </c>
      <c r="W933" s="86">
        <v>42109</v>
      </c>
      <c r="X933">
        <v>531</v>
      </c>
    </row>
    <row r="934" spans="1:24">
      <c r="A934" s="68">
        <v>34500</v>
      </c>
      <c r="B934" s="33">
        <v>833.16</v>
      </c>
      <c r="C934">
        <f t="shared" si="28"/>
        <v>1994</v>
      </c>
      <c r="H934" s="85">
        <v>41839</v>
      </c>
      <c r="I934">
        <v>1871.87</v>
      </c>
      <c r="N934" s="69">
        <v>42122</v>
      </c>
      <c r="O934">
        <v>531.20000000000005</v>
      </c>
      <c r="P934">
        <v>525.9</v>
      </c>
      <c r="Q934">
        <v>533</v>
      </c>
      <c r="R934">
        <v>525.79999999999995</v>
      </c>
      <c r="S934" s="3">
        <v>-1.4E-3</v>
      </c>
      <c r="T934">
        <f t="shared" si="29"/>
        <v>2015</v>
      </c>
      <c r="W934" s="86">
        <v>42110</v>
      </c>
      <c r="X934">
        <v>530.75</v>
      </c>
    </row>
    <row r="935" spans="1:24">
      <c r="A935" s="68">
        <v>34501</v>
      </c>
      <c r="B935" s="32">
        <v>833.35</v>
      </c>
      <c r="C935">
        <f t="shared" si="28"/>
        <v>1994</v>
      </c>
      <c r="H935" s="85">
        <v>41840</v>
      </c>
      <c r="I935">
        <v>1871.87</v>
      </c>
      <c r="N935" s="69">
        <v>42121</v>
      </c>
      <c r="O935">
        <v>531.91999999999996</v>
      </c>
      <c r="P935">
        <v>525.88</v>
      </c>
      <c r="Q935">
        <v>531.91999999999996</v>
      </c>
      <c r="R935">
        <v>525.85</v>
      </c>
      <c r="S935" s="3">
        <v>2E-3</v>
      </c>
      <c r="T935">
        <f t="shared" si="29"/>
        <v>2015</v>
      </c>
      <c r="W935" s="86">
        <v>42111</v>
      </c>
      <c r="X935">
        <v>530.4</v>
      </c>
    </row>
    <row r="936" spans="1:24">
      <c r="A936" s="68">
        <v>34502</v>
      </c>
      <c r="B936" s="33">
        <v>831.28</v>
      </c>
      <c r="C936">
        <f t="shared" si="28"/>
        <v>1994</v>
      </c>
      <c r="H936" s="85">
        <v>41841</v>
      </c>
      <c r="I936">
        <v>1871.87</v>
      </c>
      <c r="N936" s="69">
        <v>42118</v>
      </c>
      <c r="O936">
        <v>530.88</v>
      </c>
      <c r="P936">
        <v>525.1</v>
      </c>
      <c r="Q936">
        <v>533</v>
      </c>
      <c r="R936">
        <v>525.1</v>
      </c>
      <c r="S936" s="3">
        <v>1.5E-3</v>
      </c>
      <c r="T936">
        <f t="shared" si="29"/>
        <v>2015</v>
      </c>
      <c r="W936" s="86">
        <v>42114</v>
      </c>
      <c r="X936">
        <v>530.29999999999995</v>
      </c>
    </row>
    <row r="937" spans="1:24">
      <c r="A937" s="68">
        <v>34503</v>
      </c>
      <c r="B937" s="32">
        <v>826.61</v>
      </c>
      <c r="C937">
        <f t="shared" si="28"/>
        <v>1994</v>
      </c>
      <c r="H937" s="85">
        <v>41842</v>
      </c>
      <c r="I937">
        <v>1861.28</v>
      </c>
      <c r="N937" s="69">
        <v>42117</v>
      </c>
      <c r="O937">
        <v>530.1</v>
      </c>
      <c r="P937">
        <v>525.20000000000005</v>
      </c>
      <c r="Q937">
        <v>533</v>
      </c>
      <c r="R937">
        <v>525.1</v>
      </c>
      <c r="S937" s="3">
        <v>-2.0000000000000001E-4</v>
      </c>
      <c r="T937">
        <f t="shared" si="29"/>
        <v>2015</v>
      </c>
      <c r="W937" s="86">
        <v>42115</v>
      </c>
      <c r="X937">
        <v>530.25</v>
      </c>
    </row>
    <row r="938" spans="1:24">
      <c r="A938" s="68">
        <v>34504</v>
      </c>
      <c r="B938" s="33">
        <v>826.61</v>
      </c>
      <c r="C938">
        <f t="shared" si="28"/>
        <v>1994</v>
      </c>
      <c r="H938" s="85">
        <v>41843</v>
      </c>
      <c r="I938">
        <v>1848.98</v>
      </c>
      <c r="N938" s="69">
        <v>42116</v>
      </c>
      <c r="O938">
        <v>530.20000000000005</v>
      </c>
      <c r="P938">
        <v>525.25</v>
      </c>
      <c r="Q938">
        <v>530.82000000000005</v>
      </c>
      <c r="R938">
        <v>525.20000000000005</v>
      </c>
      <c r="S938" s="3">
        <v>-1E-4</v>
      </c>
      <c r="T938">
        <f t="shared" si="29"/>
        <v>2015</v>
      </c>
      <c r="W938" s="86">
        <v>42116</v>
      </c>
      <c r="X938">
        <v>530.20000000000005</v>
      </c>
    </row>
    <row r="939" spans="1:24">
      <c r="A939" s="68">
        <v>34505</v>
      </c>
      <c r="B939" s="32">
        <v>826.61</v>
      </c>
      <c r="C939">
        <f t="shared" si="28"/>
        <v>1994</v>
      </c>
      <c r="H939" s="85">
        <v>41844</v>
      </c>
      <c r="I939">
        <v>1847.85</v>
      </c>
      <c r="N939" s="69">
        <v>42115</v>
      </c>
      <c r="O939">
        <v>530.25</v>
      </c>
      <c r="P939">
        <v>525.29999999999995</v>
      </c>
      <c r="Q939">
        <v>533</v>
      </c>
      <c r="R939">
        <v>525.25</v>
      </c>
      <c r="S939" s="3">
        <v>-1E-4</v>
      </c>
      <c r="T939">
        <f t="shared" si="29"/>
        <v>2015</v>
      </c>
      <c r="W939" s="86">
        <v>42117</v>
      </c>
      <c r="X939">
        <v>530.1</v>
      </c>
    </row>
    <row r="940" spans="1:24">
      <c r="A940" s="68">
        <v>34506</v>
      </c>
      <c r="B940" s="33">
        <v>828.94</v>
      </c>
      <c r="C940">
        <f t="shared" si="28"/>
        <v>1994</v>
      </c>
      <c r="H940" s="85">
        <v>41845</v>
      </c>
      <c r="I940">
        <v>1846.12</v>
      </c>
      <c r="N940" s="69">
        <v>42114</v>
      </c>
      <c r="O940">
        <v>530.29999999999995</v>
      </c>
      <c r="P940">
        <v>525.4</v>
      </c>
      <c r="Q940">
        <v>533</v>
      </c>
      <c r="R940">
        <v>525.29999999999995</v>
      </c>
      <c r="S940" s="3">
        <v>-2.0000000000000001E-4</v>
      </c>
      <c r="T940">
        <f t="shared" si="29"/>
        <v>2015</v>
      </c>
      <c r="W940" s="86">
        <v>42118</v>
      </c>
      <c r="X940">
        <v>530.88</v>
      </c>
    </row>
    <row r="941" spans="1:24">
      <c r="A941" s="68">
        <v>34507</v>
      </c>
      <c r="B941" s="32">
        <v>826.9</v>
      </c>
      <c r="C941">
        <f t="shared" si="28"/>
        <v>1994</v>
      </c>
      <c r="H941" s="85">
        <v>41846</v>
      </c>
      <c r="I941">
        <v>1848.56</v>
      </c>
      <c r="N941" s="69">
        <v>42111</v>
      </c>
      <c r="O941">
        <v>530.4</v>
      </c>
      <c r="P941">
        <v>525.75</v>
      </c>
      <c r="Q941">
        <v>533</v>
      </c>
      <c r="R941">
        <v>525.4</v>
      </c>
      <c r="S941" s="3">
        <v>-6.9999999999999999E-4</v>
      </c>
      <c r="T941">
        <f t="shared" si="29"/>
        <v>2015</v>
      </c>
      <c r="W941" s="86">
        <v>42121</v>
      </c>
      <c r="X941">
        <v>531.91999999999996</v>
      </c>
    </row>
    <row r="942" spans="1:24">
      <c r="A942" s="68">
        <v>34508</v>
      </c>
      <c r="B942" s="33">
        <v>824.76</v>
      </c>
      <c r="C942">
        <f t="shared" si="28"/>
        <v>1994</v>
      </c>
      <c r="H942" s="85">
        <v>41847</v>
      </c>
      <c r="I942">
        <v>1848.56</v>
      </c>
      <c r="N942" s="69">
        <v>42110</v>
      </c>
      <c r="O942">
        <v>530.75</v>
      </c>
      <c r="P942">
        <v>526</v>
      </c>
      <c r="Q942">
        <v>533</v>
      </c>
      <c r="R942">
        <v>525.75</v>
      </c>
      <c r="S942" s="3">
        <v>-5.0000000000000001E-4</v>
      </c>
      <c r="T942">
        <f t="shared" si="29"/>
        <v>2015</v>
      </c>
      <c r="W942" s="86">
        <v>42122</v>
      </c>
      <c r="X942">
        <v>531.20000000000005</v>
      </c>
    </row>
    <row r="943" spans="1:24">
      <c r="A943" s="68">
        <v>34509</v>
      </c>
      <c r="B943" s="32">
        <v>822.87</v>
      </c>
      <c r="C943">
        <f t="shared" si="28"/>
        <v>1994</v>
      </c>
      <c r="H943" s="85">
        <v>41848</v>
      </c>
      <c r="I943">
        <v>1848.56</v>
      </c>
      <c r="N943" s="69">
        <v>42109</v>
      </c>
      <c r="O943">
        <v>531</v>
      </c>
      <c r="P943">
        <v>526.29999999999995</v>
      </c>
      <c r="Q943">
        <v>533</v>
      </c>
      <c r="R943">
        <v>526</v>
      </c>
      <c r="S943" s="3">
        <v>-6.7999999999999996E-3</v>
      </c>
      <c r="T943">
        <f t="shared" si="29"/>
        <v>2015</v>
      </c>
      <c r="W943" s="86">
        <v>42123</v>
      </c>
      <c r="X943">
        <v>531.20000000000005</v>
      </c>
    </row>
    <row r="944" spans="1:24">
      <c r="A944" s="68">
        <v>34510</v>
      </c>
      <c r="B944" s="33">
        <v>821</v>
      </c>
      <c r="C944">
        <f t="shared" si="28"/>
        <v>1994</v>
      </c>
      <c r="H944" s="85">
        <v>41849</v>
      </c>
      <c r="I944">
        <v>1850.61</v>
      </c>
      <c r="N944" s="69">
        <v>42108</v>
      </c>
      <c r="O944">
        <v>534.65</v>
      </c>
      <c r="P944">
        <v>526.25</v>
      </c>
      <c r="Q944">
        <v>534.65</v>
      </c>
      <c r="R944">
        <v>526.25</v>
      </c>
      <c r="S944" s="3">
        <v>1.6999999999999999E-3</v>
      </c>
      <c r="T944">
        <f t="shared" si="29"/>
        <v>2015</v>
      </c>
      <c r="W944" s="86">
        <v>42124</v>
      </c>
      <c r="X944">
        <v>532.08000000000004</v>
      </c>
    </row>
    <row r="945" spans="1:24">
      <c r="A945" s="68">
        <v>34511</v>
      </c>
      <c r="B945" s="32">
        <v>821</v>
      </c>
      <c r="C945">
        <f t="shared" si="28"/>
        <v>1994</v>
      </c>
      <c r="H945" s="85">
        <v>41850</v>
      </c>
      <c r="I945">
        <v>1853.3</v>
      </c>
      <c r="N945" s="69">
        <v>42107</v>
      </c>
      <c r="O945">
        <v>533.75</v>
      </c>
      <c r="P945">
        <v>526.45000000000005</v>
      </c>
      <c r="Q945">
        <v>535.5</v>
      </c>
      <c r="R945">
        <v>526.25</v>
      </c>
      <c r="S945" s="3">
        <v>-4.0000000000000002E-4</v>
      </c>
      <c r="T945">
        <f t="shared" si="29"/>
        <v>2015</v>
      </c>
      <c r="W945" s="86">
        <v>42125</v>
      </c>
      <c r="X945">
        <v>531.29999999999995</v>
      </c>
    </row>
    <row r="946" spans="1:24">
      <c r="A946" s="68">
        <v>34512</v>
      </c>
      <c r="B946" s="33">
        <v>821</v>
      </c>
      <c r="C946">
        <f t="shared" si="28"/>
        <v>1994</v>
      </c>
      <c r="H946" s="85">
        <v>41851</v>
      </c>
      <c r="I946">
        <v>1872.43</v>
      </c>
      <c r="N946" s="69">
        <v>42104</v>
      </c>
      <c r="O946">
        <v>533.95000000000005</v>
      </c>
      <c r="P946">
        <v>526.4</v>
      </c>
      <c r="Q946">
        <v>535.5</v>
      </c>
      <c r="R946">
        <v>526.4</v>
      </c>
      <c r="S946" s="3">
        <v>1E-4</v>
      </c>
      <c r="T946">
        <f t="shared" si="29"/>
        <v>2015</v>
      </c>
      <c r="W946" s="86">
        <v>42128</v>
      </c>
      <c r="X946">
        <v>531.25</v>
      </c>
    </row>
    <row r="947" spans="1:24">
      <c r="A947" s="68">
        <v>34513</v>
      </c>
      <c r="B947" s="32">
        <v>820.13</v>
      </c>
      <c r="C947">
        <f t="shared" si="28"/>
        <v>1994</v>
      </c>
      <c r="H947" s="85">
        <v>41852</v>
      </c>
      <c r="I947">
        <v>1878.75</v>
      </c>
      <c r="N947" s="69">
        <v>42103</v>
      </c>
      <c r="O947">
        <v>533.9</v>
      </c>
      <c r="P947">
        <v>526.45000000000005</v>
      </c>
      <c r="Q947">
        <v>535.5</v>
      </c>
      <c r="R947">
        <v>526.4</v>
      </c>
      <c r="S947" s="3">
        <v>-1E-4</v>
      </c>
      <c r="T947">
        <f t="shared" si="29"/>
        <v>2015</v>
      </c>
      <c r="W947" s="86">
        <v>42129</v>
      </c>
      <c r="X947">
        <v>531.25</v>
      </c>
    </row>
    <row r="948" spans="1:24">
      <c r="A948" s="68">
        <v>34514</v>
      </c>
      <c r="B948" s="33">
        <v>818.73</v>
      </c>
      <c r="C948">
        <f t="shared" si="28"/>
        <v>1994</v>
      </c>
      <c r="H948" s="85">
        <v>41853</v>
      </c>
      <c r="I948">
        <v>1873.65</v>
      </c>
      <c r="N948" s="69">
        <v>42102</v>
      </c>
      <c r="O948">
        <v>533.95000000000005</v>
      </c>
      <c r="P948">
        <v>526.54999999999995</v>
      </c>
      <c r="Q948">
        <v>535.5</v>
      </c>
      <c r="R948">
        <v>526.45000000000005</v>
      </c>
      <c r="S948" s="3">
        <v>-2.0000000000000001E-4</v>
      </c>
      <c r="T948">
        <f t="shared" si="29"/>
        <v>2015</v>
      </c>
      <c r="W948" s="86">
        <v>42130</v>
      </c>
      <c r="X948">
        <v>531.20000000000005</v>
      </c>
    </row>
    <row r="949" spans="1:24">
      <c r="A949" s="68">
        <v>34515</v>
      </c>
      <c r="B949" s="32">
        <v>819.64</v>
      </c>
      <c r="C949">
        <f t="shared" si="28"/>
        <v>1994</v>
      </c>
      <c r="H949" s="85">
        <v>41854</v>
      </c>
      <c r="I949">
        <v>1873.65</v>
      </c>
      <c r="N949" s="69">
        <v>42101</v>
      </c>
      <c r="O949">
        <v>534.04999999999995</v>
      </c>
      <c r="P949">
        <v>526.65</v>
      </c>
      <c r="Q949">
        <v>548.5</v>
      </c>
      <c r="R949">
        <v>526.54999999999995</v>
      </c>
      <c r="S949" s="3">
        <v>-2.0000000000000001E-4</v>
      </c>
      <c r="T949">
        <f t="shared" si="29"/>
        <v>2015</v>
      </c>
      <c r="W949" s="86">
        <v>42131</v>
      </c>
      <c r="X949">
        <v>531.20000000000005</v>
      </c>
    </row>
    <row r="950" spans="1:24">
      <c r="A950" s="68">
        <v>34516</v>
      </c>
      <c r="B950" s="33">
        <v>818.05</v>
      </c>
      <c r="C950">
        <f t="shared" si="28"/>
        <v>1994</v>
      </c>
      <c r="H950" s="85">
        <v>41855</v>
      </c>
      <c r="I950">
        <v>1873.65</v>
      </c>
      <c r="N950" s="69">
        <v>42100</v>
      </c>
      <c r="O950">
        <v>534.15</v>
      </c>
      <c r="P950">
        <v>527.1</v>
      </c>
      <c r="Q950">
        <v>548.5</v>
      </c>
      <c r="R950">
        <v>526.65</v>
      </c>
      <c r="S950" s="3">
        <v>-8.0000000000000004E-4</v>
      </c>
      <c r="T950">
        <f t="shared" si="29"/>
        <v>2015</v>
      </c>
      <c r="W950" s="86">
        <v>42132</v>
      </c>
      <c r="X950">
        <v>531.17999999999995</v>
      </c>
    </row>
    <row r="951" spans="1:24">
      <c r="A951" s="68">
        <v>34517</v>
      </c>
      <c r="B951" s="32">
        <v>817.92</v>
      </c>
      <c r="C951">
        <f t="shared" si="28"/>
        <v>1994</v>
      </c>
      <c r="H951" s="85">
        <v>41856</v>
      </c>
      <c r="I951">
        <v>1878.68</v>
      </c>
      <c r="N951" s="69">
        <v>42097</v>
      </c>
      <c r="O951">
        <v>534.6</v>
      </c>
      <c r="P951">
        <v>527.20000000000005</v>
      </c>
      <c r="Q951">
        <v>548.5</v>
      </c>
      <c r="R951">
        <v>527.1</v>
      </c>
      <c r="S951" s="3">
        <v>-2.0000000000000001E-4</v>
      </c>
      <c r="T951">
        <f t="shared" si="29"/>
        <v>2015</v>
      </c>
      <c r="W951" s="86">
        <v>42135</v>
      </c>
      <c r="X951">
        <v>531.6</v>
      </c>
    </row>
    <row r="952" spans="1:24">
      <c r="A952" s="68">
        <v>34518</v>
      </c>
      <c r="B952" s="33">
        <v>817.92</v>
      </c>
      <c r="C952">
        <f t="shared" si="28"/>
        <v>1994</v>
      </c>
      <c r="H952" s="85">
        <v>41857</v>
      </c>
      <c r="I952">
        <v>1892.35</v>
      </c>
      <c r="N952" s="69">
        <v>42096</v>
      </c>
      <c r="O952">
        <v>534.70000000000005</v>
      </c>
      <c r="P952">
        <v>527.29999999999995</v>
      </c>
      <c r="Q952">
        <v>534.79999999999995</v>
      </c>
      <c r="R952">
        <v>526.65</v>
      </c>
      <c r="S952" s="3">
        <v>-2.0000000000000001E-4</v>
      </c>
      <c r="T952">
        <f t="shared" si="29"/>
        <v>2015</v>
      </c>
      <c r="W952" s="86">
        <v>42136</v>
      </c>
      <c r="X952">
        <v>531.75</v>
      </c>
    </row>
    <row r="953" spans="1:24">
      <c r="A953" s="68">
        <v>34519</v>
      </c>
      <c r="B953" s="32">
        <v>817.92</v>
      </c>
      <c r="C953">
        <f t="shared" si="28"/>
        <v>1994</v>
      </c>
      <c r="H953" s="85">
        <v>41858</v>
      </c>
      <c r="I953">
        <v>1888.51</v>
      </c>
      <c r="N953" s="69">
        <v>42095</v>
      </c>
      <c r="O953">
        <v>534.79999999999995</v>
      </c>
      <c r="P953">
        <v>527.29999999999995</v>
      </c>
      <c r="Q953">
        <v>534.85</v>
      </c>
      <c r="R953">
        <v>527.25</v>
      </c>
      <c r="S953" s="3">
        <v>0</v>
      </c>
      <c r="T953">
        <f t="shared" si="29"/>
        <v>2015</v>
      </c>
      <c r="W953" s="86">
        <v>42137</v>
      </c>
      <c r="X953">
        <v>531.70000000000005</v>
      </c>
    </row>
    <row r="954" spans="1:24">
      <c r="A954" s="68">
        <v>34520</v>
      </c>
      <c r="B954" s="33">
        <v>817.92</v>
      </c>
      <c r="C954">
        <f t="shared" si="28"/>
        <v>1994</v>
      </c>
      <c r="H954" s="85">
        <v>41859</v>
      </c>
      <c r="I954">
        <v>1888.51</v>
      </c>
      <c r="N954" s="69">
        <v>42094</v>
      </c>
      <c r="O954">
        <v>534.79999999999995</v>
      </c>
      <c r="P954">
        <v>526.4</v>
      </c>
      <c r="Q954">
        <v>548.5</v>
      </c>
      <c r="R954">
        <v>526.4</v>
      </c>
      <c r="S954" s="3">
        <v>1.6999999999999999E-3</v>
      </c>
      <c r="T954">
        <f t="shared" si="29"/>
        <v>2015</v>
      </c>
      <c r="W954" s="86">
        <v>42138</v>
      </c>
      <c r="X954">
        <v>531.6</v>
      </c>
    </row>
    <row r="955" spans="1:24">
      <c r="A955" s="68">
        <v>34521</v>
      </c>
      <c r="B955" s="32">
        <v>818.45</v>
      </c>
      <c r="C955">
        <f t="shared" si="28"/>
        <v>1994</v>
      </c>
      <c r="H955" s="85">
        <v>41860</v>
      </c>
      <c r="I955">
        <v>1891.59</v>
      </c>
      <c r="N955" s="69">
        <v>42093</v>
      </c>
      <c r="O955">
        <v>533.9</v>
      </c>
      <c r="P955">
        <v>526.4</v>
      </c>
      <c r="Q955">
        <v>548.5</v>
      </c>
      <c r="R955">
        <v>526.29999999999995</v>
      </c>
      <c r="S955" s="3">
        <v>0</v>
      </c>
      <c r="T955">
        <f t="shared" si="29"/>
        <v>2015</v>
      </c>
      <c r="W955" s="86">
        <v>42139</v>
      </c>
      <c r="X955">
        <v>531.75</v>
      </c>
    </row>
    <row r="956" spans="1:24">
      <c r="A956" s="68">
        <v>34522</v>
      </c>
      <c r="B956" s="33">
        <v>820.42</v>
      </c>
      <c r="C956">
        <f t="shared" si="28"/>
        <v>1994</v>
      </c>
      <c r="H956" s="85">
        <v>41861</v>
      </c>
      <c r="I956">
        <v>1891.59</v>
      </c>
      <c r="N956" s="69">
        <v>42090</v>
      </c>
      <c r="O956">
        <v>533.9</v>
      </c>
      <c r="P956">
        <v>526.35</v>
      </c>
      <c r="Q956">
        <v>533.95000000000005</v>
      </c>
      <c r="R956">
        <v>526.29999999999995</v>
      </c>
      <c r="S956" s="3">
        <v>1E-4</v>
      </c>
      <c r="T956">
        <f t="shared" si="29"/>
        <v>2015</v>
      </c>
      <c r="W956" s="86">
        <v>42142</v>
      </c>
      <c r="X956">
        <v>531.75</v>
      </c>
    </row>
    <row r="957" spans="1:24">
      <c r="A957" s="68">
        <v>34523</v>
      </c>
      <c r="B957" s="32">
        <v>820.24</v>
      </c>
      <c r="C957">
        <f t="shared" si="28"/>
        <v>1994</v>
      </c>
      <c r="H957" s="85">
        <v>41862</v>
      </c>
      <c r="I957">
        <v>1891.59</v>
      </c>
      <c r="N957" s="69">
        <v>42089</v>
      </c>
      <c r="O957">
        <v>533.85</v>
      </c>
      <c r="P957">
        <v>526.4</v>
      </c>
      <c r="Q957">
        <v>533.91999999999996</v>
      </c>
      <c r="R957">
        <v>526.29999999999995</v>
      </c>
      <c r="S957" s="3">
        <v>-1E-4</v>
      </c>
      <c r="T957">
        <f t="shared" si="29"/>
        <v>2015</v>
      </c>
      <c r="W957" s="86">
        <v>42143</v>
      </c>
      <c r="X957">
        <v>531.79999999999995</v>
      </c>
    </row>
    <row r="958" spans="1:24">
      <c r="A958" s="68">
        <v>34524</v>
      </c>
      <c r="B958" s="33">
        <v>822.34</v>
      </c>
      <c r="C958">
        <f t="shared" si="28"/>
        <v>1994</v>
      </c>
      <c r="H958" s="85">
        <v>41863</v>
      </c>
      <c r="I958">
        <v>1881.62</v>
      </c>
      <c r="N958" s="69">
        <v>42088</v>
      </c>
      <c r="O958">
        <v>533.9</v>
      </c>
      <c r="P958">
        <v>526.20000000000005</v>
      </c>
      <c r="Q958">
        <v>533.95000000000005</v>
      </c>
      <c r="R958">
        <v>526.15</v>
      </c>
      <c r="S958" s="3">
        <v>4.0000000000000002E-4</v>
      </c>
      <c r="T958">
        <f t="shared" si="29"/>
        <v>2015</v>
      </c>
      <c r="W958" s="86">
        <v>42144</v>
      </c>
      <c r="X958">
        <v>531.75</v>
      </c>
    </row>
    <row r="959" spans="1:24">
      <c r="A959" s="68">
        <v>34525</v>
      </c>
      <c r="B959" s="32">
        <v>822.34</v>
      </c>
      <c r="C959">
        <f t="shared" si="28"/>
        <v>1994</v>
      </c>
      <c r="H959" s="85">
        <v>41864</v>
      </c>
      <c r="I959">
        <v>1877.4</v>
      </c>
      <c r="N959" s="69">
        <v>42087</v>
      </c>
      <c r="O959">
        <v>533.70000000000005</v>
      </c>
      <c r="P959">
        <v>526.35</v>
      </c>
      <c r="Q959">
        <v>534.04</v>
      </c>
      <c r="R959">
        <v>526.20000000000005</v>
      </c>
      <c r="S959" s="3">
        <v>-2.9999999999999997E-4</v>
      </c>
      <c r="T959">
        <f t="shared" si="29"/>
        <v>2015</v>
      </c>
      <c r="W959" s="86">
        <v>42145</v>
      </c>
      <c r="X959">
        <v>531.70000000000005</v>
      </c>
    </row>
    <row r="960" spans="1:24">
      <c r="A960" s="68">
        <v>34526</v>
      </c>
      <c r="B960" s="33">
        <v>822.34</v>
      </c>
      <c r="C960">
        <f t="shared" si="28"/>
        <v>1994</v>
      </c>
      <c r="H960" s="85">
        <v>41865</v>
      </c>
      <c r="I960">
        <v>1883.33</v>
      </c>
      <c r="N960" s="69">
        <v>42086</v>
      </c>
      <c r="O960">
        <v>533.85</v>
      </c>
      <c r="P960">
        <v>526.54999999999995</v>
      </c>
      <c r="Q960">
        <v>548.5</v>
      </c>
      <c r="R960">
        <v>526.35</v>
      </c>
      <c r="S960" s="3">
        <v>-4.0000000000000002E-4</v>
      </c>
      <c r="T960">
        <f t="shared" si="29"/>
        <v>2015</v>
      </c>
      <c r="W960" s="86">
        <v>42146</v>
      </c>
      <c r="X960">
        <v>531.67999999999995</v>
      </c>
    </row>
    <row r="961" spans="1:24">
      <c r="A961" s="68">
        <v>34527</v>
      </c>
      <c r="B961" s="32">
        <v>822.14</v>
      </c>
      <c r="C961">
        <f t="shared" si="28"/>
        <v>1994</v>
      </c>
      <c r="H961" s="85">
        <v>41866</v>
      </c>
      <c r="I961">
        <v>1877.77</v>
      </c>
      <c r="N961" s="69">
        <v>42083</v>
      </c>
      <c r="O961">
        <v>534.04999999999995</v>
      </c>
      <c r="P961">
        <v>526.6</v>
      </c>
      <c r="Q961">
        <v>534.1</v>
      </c>
      <c r="R961">
        <v>526.48</v>
      </c>
      <c r="S961" s="3">
        <v>-1E-4</v>
      </c>
      <c r="T961">
        <f t="shared" si="29"/>
        <v>2015</v>
      </c>
      <c r="W961" s="86">
        <v>42149</v>
      </c>
      <c r="X961">
        <v>531.67999999999995</v>
      </c>
    </row>
    <row r="962" spans="1:24">
      <c r="A962" s="68">
        <v>34528</v>
      </c>
      <c r="B962" s="33">
        <v>823.12</v>
      </c>
      <c r="C962">
        <f t="shared" si="28"/>
        <v>1994</v>
      </c>
      <c r="H962" s="85">
        <v>41867</v>
      </c>
      <c r="I962">
        <v>1884.81</v>
      </c>
      <c r="N962" s="69">
        <v>42082</v>
      </c>
      <c r="O962">
        <v>534.1</v>
      </c>
      <c r="P962">
        <v>526.6</v>
      </c>
      <c r="Q962">
        <v>548.5</v>
      </c>
      <c r="R962">
        <v>526.54999999999995</v>
      </c>
      <c r="S962" s="3">
        <v>-1.3299999999999999E-2</v>
      </c>
      <c r="T962">
        <f t="shared" si="29"/>
        <v>2015</v>
      </c>
      <c r="W962" s="86">
        <v>42150</v>
      </c>
      <c r="X962">
        <v>531.65</v>
      </c>
    </row>
    <row r="963" spans="1:24">
      <c r="A963" s="68">
        <v>34529</v>
      </c>
      <c r="B963" s="32">
        <v>822.79</v>
      </c>
      <c r="C963">
        <f t="shared" si="28"/>
        <v>1994</v>
      </c>
      <c r="H963" s="85">
        <v>41868</v>
      </c>
      <c r="I963">
        <v>1884.81</v>
      </c>
      <c r="N963" s="69">
        <v>42081</v>
      </c>
      <c r="O963">
        <v>541.29999999999995</v>
      </c>
      <c r="P963">
        <v>526.85</v>
      </c>
      <c r="Q963">
        <v>541.29999999999995</v>
      </c>
      <c r="R963">
        <v>526.6</v>
      </c>
      <c r="S963" s="3">
        <v>1.2999999999999999E-2</v>
      </c>
      <c r="T963">
        <f t="shared" si="29"/>
        <v>2015</v>
      </c>
      <c r="W963" s="86">
        <v>42151</v>
      </c>
      <c r="X963">
        <v>531.6</v>
      </c>
    </row>
    <row r="964" spans="1:24">
      <c r="A964" s="68">
        <v>34530</v>
      </c>
      <c r="B964" s="33">
        <v>822.28</v>
      </c>
      <c r="C964">
        <f t="shared" ref="C964:C1027" si="30">YEAR(A964)</f>
        <v>1994</v>
      </c>
      <c r="H964" s="85">
        <v>41869</v>
      </c>
      <c r="I964">
        <v>1884.81</v>
      </c>
      <c r="N964" s="69">
        <v>42080</v>
      </c>
      <c r="O964">
        <v>534.35</v>
      </c>
      <c r="P964">
        <v>526.79999999999995</v>
      </c>
      <c r="Q964">
        <v>534.41999999999996</v>
      </c>
      <c r="R964">
        <v>526.75</v>
      </c>
      <c r="S964" s="3">
        <v>1E-4</v>
      </c>
      <c r="T964">
        <f t="shared" ref="T964:T1027" si="31">YEAR(N964)</f>
        <v>2015</v>
      </c>
      <c r="W964" s="86">
        <v>42152</v>
      </c>
      <c r="X964">
        <v>531.5</v>
      </c>
    </row>
    <row r="965" spans="1:24">
      <c r="A965" s="68">
        <v>34531</v>
      </c>
      <c r="B965" s="32">
        <v>821.04</v>
      </c>
      <c r="C965">
        <f t="shared" si="30"/>
        <v>1994</v>
      </c>
      <c r="H965" s="85">
        <v>41870</v>
      </c>
      <c r="I965">
        <v>1884.81</v>
      </c>
      <c r="N965" s="69">
        <v>42079</v>
      </c>
      <c r="O965">
        <v>534.29999999999995</v>
      </c>
      <c r="P965">
        <v>527.54999999999995</v>
      </c>
      <c r="Q965">
        <v>535.04999999999995</v>
      </c>
      <c r="R965">
        <v>526.79999999999995</v>
      </c>
      <c r="S965" s="3">
        <v>-1.4E-3</v>
      </c>
      <c r="T965">
        <f t="shared" si="31"/>
        <v>2015</v>
      </c>
      <c r="W965" s="86">
        <v>42153</v>
      </c>
      <c r="X965">
        <v>531.4</v>
      </c>
    </row>
    <row r="966" spans="1:24">
      <c r="A966" s="68">
        <v>34532</v>
      </c>
      <c r="B966" s="33">
        <v>821.04</v>
      </c>
      <c r="C966">
        <f t="shared" si="30"/>
        <v>1994</v>
      </c>
      <c r="H966" s="85">
        <v>41871</v>
      </c>
      <c r="I966">
        <v>1894.27</v>
      </c>
      <c r="N966" s="69">
        <v>42076</v>
      </c>
      <c r="O966">
        <v>535.04999999999995</v>
      </c>
      <c r="P966">
        <v>528.54999999999995</v>
      </c>
      <c r="Q966">
        <v>548.5</v>
      </c>
      <c r="R966">
        <v>527.54999999999995</v>
      </c>
      <c r="S966" s="3">
        <v>-1.9E-3</v>
      </c>
      <c r="T966">
        <f t="shared" si="31"/>
        <v>2015</v>
      </c>
      <c r="W966" s="86">
        <v>42156</v>
      </c>
      <c r="X966">
        <v>535.20000000000005</v>
      </c>
    </row>
    <row r="967" spans="1:24">
      <c r="A967" s="68">
        <v>34533</v>
      </c>
      <c r="B967" s="32">
        <v>821.04</v>
      </c>
      <c r="C967">
        <f t="shared" si="30"/>
        <v>1994</v>
      </c>
      <c r="H967" s="85">
        <v>41872</v>
      </c>
      <c r="I967">
        <v>1912.43</v>
      </c>
      <c r="N967" s="69">
        <v>42075</v>
      </c>
      <c r="O967">
        <v>536.04999999999995</v>
      </c>
      <c r="P967">
        <v>528.65</v>
      </c>
      <c r="Q967">
        <v>548.5</v>
      </c>
      <c r="R967">
        <v>528.54999999999995</v>
      </c>
      <c r="S967" s="3">
        <v>-2.0000000000000001E-4</v>
      </c>
      <c r="T967">
        <f t="shared" si="31"/>
        <v>2015</v>
      </c>
      <c r="W967" s="86">
        <v>42157</v>
      </c>
      <c r="X967">
        <v>535.04999999999995</v>
      </c>
    </row>
    <row r="968" spans="1:24">
      <c r="A968" s="68">
        <v>34534</v>
      </c>
      <c r="B968" s="33">
        <v>818.44</v>
      </c>
      <c r="C968">
        <f t="shared" si="30"/>
        <v>1994</v>
      </c>
      <c r="H968" s="85">
        <v>41873</v>
      </c>
      <c r="I968">
        <v>1919.84</v>
      </c>
      <c r="N968" s="69">
        <v>42074</v>
      </c>
      <c r="O968">
        <v>536.15</v>
      </c>
      <c r="P968">
        <v>528.75</v>
      </c>
      <c r="Q968">
        <v>548.5</v>
      </c>
      <c r="R968">
        <v>528.65</v>
      </c>
      <c r="S968" s="3">
        <v>-2.0000000000000001E-4</v>
      </c>
      <c r="T968">
        <f t="shared" si="31"/>
        <v>2015</v>
      </c>
      <c r="W968" s="86">
        <v>42158</v>
      </c>
      <c r="X968">
        <v>535.4</v>
      </c>
    </row>
    <row r="969" spans="1:24">
      <c r="A969" s="68">
        <v>34535</v>
      </c>
      <c r="B969" s="32">
        <v>817.49</v>
      </c>
      <c r="C969">
        <f t="shared" si="30"/>
        <v>1994</v>
      </c>
      <c r="H969" s="85">
        <v>41874</v>
      </c>
      <c r="I969">
        <v>1924.4</v>
      </c>
      <c r="N969" s="69">
        <v>42073</v>
      </c>
      <c r="O969">
        <v>536.25</v>
      </c>
      <c r="P969">
        <v>528.65</v>
      </c>
      <c r="Q969">
        <v>548.5</v>
      </c>
      <c r="R969">
        <v>528.65</v>
      </c>
      <c r="S969" s="3">
        <v>2.0000000000000001E-4</v>
      </c>
      <c r="T969">
        <f t="shared" si="31"/>
        <v>2015</v>
      </c>
      <c r="W969" s="86">
        <v>42159</v>
      </c>
      <c r="X969">
        <v>535.35</v>
      </c>
    </row>
    <row r="970" spans="1:24">
      <c r="A970" s="68">
        <v>34536</v>
      </c>
      <c r="B970" s="33">
        <v>817.49</v>
      </c>
      <c r="C970">
        <f t="shared" si="30"/>
        <v>1994</v>
      </c>
      <c r="H970" s="85">
        <v>41875</v>
      </c>
      <c r="I970">
        <v>1924.4</v>
      </c>
      <c r="N970" s="69">
        <v>42072</v>
      </c>
      <c r="O970">
        <v>536.15</v>
      </c>
      <c r="P970">
        <v>528.4</v>
      </c>
      <c r="Q970">
        <v>548.5</v>
      </c>
      <c r="R970">
        <v>528.35</v>
      </c>
      <c r="S970" s="3">
        <v>5.0000000000000001E-4</v>
      </c>
      <c r="T970">
        <f t="shared" si="31"/>
        <v>2015</v>
      </c>
      <c r="W970" s="86">
        <v>42160</v>
      </c>
      <c r="X970">
        <v>535.25</v>
      </c>
    </row>
    <row r="971" spans="1:24">
      <c r="A971" s="68">
        <v>34537</v>
      </c>
      <c r="B971" s="32">
        <v>817.18</v>
      </c>
      <c r="C971">
        <f t="shared" si="30"/>
        <v>1994</v>
      </c>
      <c r="H971" s="85">
        <v>41876</v>
      </c>
      <c r="I971">
        <v>1924.4</v>
      </c>
      <c r="N971" s="69">
        <v>42069</v>
      </c>
      <c r="O971">
        <v>535.9</v>
      </c>
      <c r="P971">
        <v>528.5</v>
      </c>
      <c r="Q971">
        <v>548.5</v>
      </c>
      <c r="R971">
        <v>528.4</v>
      </c>
      <c r="S971" s="3">
        <v>-2.0000000000000001E-4</v>
      </c>
      <c r="T971">
        <f t="shared" si="31"/>
        <v>2015</v>
      </c>
      <c r="W971" s="86">
        <v>42163</v>
      </c>
      <c r="X971">
        <v>536.5</v>
      </c>
    </row>
    <row r="972" spans="1:24">
      <c r="A972" s="68">
        <v>34538</v>
      </c>
      <c r="B972" s="33">
        <v>816.68</v>
      </c>
      <c r="C972">
        <f t="shared" si="30"/>
        <v>1994</v>
      </c>
      <c r="H972" s="85">
        <v>41877</v>
      </c>
      <c r="I972">
        <v>1932.39</v>
      </c>
      <c r="N972" s="69">
        <v>42068</v>
      </c>
      <c r="O972">
        <v>536</v>
      </c>
      <c r="P972">
        <v>527.20000000000005</v>
      </c>
      <c r="Q972">
        <v>548.5</v>
      </c>
      <c r="R972">
        <v>526</v>
      </c>
      <c r="S972" s="3">
        <v>2.3999999999999998E-3</v>
      </c>
      <c r="T972">
        <f t="shared" si="31"/>
        <v>2015</v>
      </c>
      <c r="W972" s="86">
        <v>42164</v>
      </c>
      <c r="X972">
        <v>535.38</v>
      </c>
    </row>
    <row r="973" spans="1:24">
      <c r="A973" s="68">
        <v>34539</v>
      </c>
      <c r="B973" s="32">
        <v>816.68</v>
      </c>
      <c r="C973">
        <f t="shared" si="30"/>
        <v>1994</v>
      </c>
      <c r="H973" s="85">
        <v>41878</v>
      </c>
      <c r="I973">
        <v>1928.67</v>
      </c>
      <c r="N973" s="69">
        <v>42067</v>
      </c>
      <c r="O973">
        <v>534.70000000000005</v>
      </c>
      <c r="P973">
        <v>528.54999999999995</v>
      </c>
      <c r="Q973">
        <v>536.04999999999995</v>
      </c>
      <c r="R973">
        <v>527.20000000000005</v>
      </c>
      <c r="S973" s="3">
        <v>-2.5000000000000001E-3</v>
      </c>
      <c r="T973">
        <f t="shared" si="31"/>
        <v>2015</v>
      </c>
      <c r="W973" s="86">
        <v>42165</v>
      </c>
      <c r="X973">
        <v>535</v>
      </c>
    </row>
    <row r="974" spans="1:24">
      <c r="A974" s="68">
        <v>34540</v>
      </c>
      <c r="B974" s="33">
        <v>816.68</v>
      </c>
      <c r="C974">
        <f t="shared" si="30"/>
        <v>1994</v>
      </c>
      <c r="H974" s="85">
        <v>41879</v>
      </c>
      <c r="I974">
        <v>1926.92</v>
      </c>
      <c r="N974" s="69">
        <v>42066</v>
      </c>
      <c r="O974">
        <v>536.04999999999995</v>
      </c>
      <c r="P974">
        <v>528.65</v>
      </c>
      <c r="Q974">
        <v>548.5</v>
      </c>
      <c r="R974">
        <v>528.54999999999995</v>
      </c>
      <c r="S974" s="3">
        <v>-2.0000000000000001E-4</v>
      </c>
      <c r="T974">
        <f t="shared" si="31"/>
        <v>2015</v>
      </c>
      <c r="W974" s="86">
        <v>42166</v>
      </c>
      <c r="X974">
        <v>536</v>
      </c>
    </row>
    <row r="975" spans="1:24">
      <c r="A975" s="68">
        <v>34541</v>
      </c>
      <c r="B975" s="32">
        <v>816.34</v>
      </c>
      <c r="C975">
        <f t="shared" si="30"/>
        <v>1994</v>
      </c>
      <c r="H975" s="85">
        <v>41880</v>
      </c>
      <c r="I975">
        <v>1935.04</v>
      </c>
      <c r="N975" s="69">
        <v>42065</v>
      </c>
      <c r="O975">
        <v>536.15</v>
      </c>
      <c r="P975">
        <v>529.5</v>
      </c>
      <c r="Q975">
        <v>548.5</v>
      </c>
      <c r="R975">
        <v>528.65</v>
      </c>
      <c r="S975" s="3">
        <v>-1.6000000000000001E-3</v>
      </c>
      <c r="T975">
        <f t="shared" si="31"/>
        <v>2015</v>
      </c>
      <c r="W975" s="86">
        <v>42167</v>
      </c>
      <c r="X975">
        <v>534.9</v>
      </c>
    </row>
    <row r="976" spans="1:24">
      <c r="A976" s="68">
        <v>34542</v>
      </c>
      <c r="B976" s="33">
        <v>815.75</v>
      </c>
      <c r="C976">
        <f t="shared" si="30"/>
        <v>1994</v>
      </c>
      <c r="H976" s="85">
        <v>41881</v>
      </c>
      <c r="I976">
        <v>1918.62</v>
      </c>
      <c r="N976" s="69">
        <v>42062</v>
      </c>
      <c r="O976">
        <v>537</v>
      </c>
      <c r="P976">
        <v>529.6</v>
      </c>
      <c r="Q976">
        <v>537.1</v>
      </c>
      <c r="R976">
        <v>529.5</v>
      </c>
      <c r="S976" s="3">
        <v>-2.0000000000000001E-4</v>
      </c>
      <c r="T976">
        <f t="shared" si="31"/>
        <v>2015</v>
      </c>
      <c r="W976" s="86">
        <v>42170</v>
      </c>
      <c r="X976">
        <v>534.88</v>
      </c>
    </row>
    <row r="977" spans="1:24">
      <c r="A977" s="68">
        <v>34543</v>
      </c>
      <c r="B977" s="32">
        <v>815.8</v>
      </c>
      <c r="C977">
        <f t="shared" si="30"/>
        <v>1994</v>
      </c>
      <c r="H977" s="85">
        <v>41882</v>
      </c>
      <c r="I977">
        <v>1918.62</v>
      </c>
      <c r="N977" s="69">
        <v>42061</v>
      </c>
      <c r="O977">
        <v>537.1</v>
      </c>
      <c r="P977">
        <v>529.70000000000005</v>
      </c>
      <c r="Q977">
        <v>548.5</v>
      </c>
      <c r="R977">
        <v>528.72</v>
      </c>
      <c r="S977" s="3">
        <v>-2.0000000000000001E-4</v>
      </c>
      <c r="T977">
        <f t="shared" si="31"/>
        <v>2015</v>
      </c>
      <c r="W977" s="86">
        <v>42171</v>
      </c>
      <c r="X977">
        <v>534.85</v>
      </c>
    </row>
    <row r="978" spans="1:24">
      <c r="A978" s="68">
        <v>34544</v>
      </c>
      <c r="B978" s="33">
        <v>815.62</v>
      </c>
      <c r="C978">
        <f t="shared" si="30"/>
        <v>1994</v>
      </c>
      <c r="H978" s="85">
        <v>41883</v>
      </c>
      <c r="I978">
        <v>1918.62</v>
      </c>
      <c r="N978" s="69">
        <v>42060</v>
      </c>
      <c r="O978">
        <v>537.20000000000005</v>
      </c>
      <c r="P978">
        <v>529.75</v>
      </c>
      <c r="Q978">
        <v>537.25</v>
      </c>
      <c r="R978">
        <v>529.70000000000005</v>
      </c>
      <c r="S978" s="3">
        <v>-1E-4</v>
      </c>
      <c r="T978">
        <f t="shared" si="31"/>
        <v>2015</v>
      </c>
      <c r="W978" s="86">
        <v>42172</v>
      </c>
      <c r="X978">
        <v>535.75</v>
      </c>
    </row>
    <row r="979" spans="1:24">
      <c r="A979" s="68">
        <v>34545</v>
      </c>
      <c r="B979" s="32">
        <v>815.62</v>
      </c>
      <c r="C979">
        <f t="shared" si="30"/>
        <v>1994</v>
      </c>
      <c r="H979" s="85">
        <v>41884</v>
      </c>
      <c r="I979">
        <v>1918.62</v>
      </c>
      <c r="N979" s="69">
        <v>42059</v>
      </c>
      <c r="O979">
        <v>537.25</v>
      </c>
      <c r="P979">
        <v>529.79999999999995</v>
      </c>
      <c r="Q979">
        <v>548.5</v>
      </c>
      <c r="R979">
        <v>529.75</v>
      </c>
      <c r="S979" s="3">
        <v>-1E-4</v>
      </c>
      <c r="T979">
        <f t="shared" si="31"/>
        <v>2015</v>
      </c>
      <c r="W979" s="86">
        <v>42173</v>
      </c>
      <c r="X979">
        <v>534.87</v>
      </c>
    </row>
    <row r="980" spans="1:24">
      <c r="A980" s="68">
        <v>34546</v>
      </c>
      <c r="B980" s="33">
        <v>815.62</v>
      </c>
      <c r="C980">
        <f t="shared" si="30"/>
        <v>1994</v>
      </c>
      <c r="H980" s="85">
        <v>41885</v>
      </c>
      <c r="I980">
        <v>1931.49</v>
      </c>
      <c r="N980" s="69">
        <v>42058</v>
      </c>
      <c r="O980">
        <v>537.29999999999995</v>
      </c>
      <c r="P980">
        <v>530.25</v>
      </c>
      <c r="Q980">
        <v>537.75</v>
      </c>
      <c r="R980">
        <v>529.79999999999995</v>
      </c>
      <c r="S980" s="3">
        <v>-8.0000000000000004E-4</v>
      </c>
      <c r="T980">
        <f t="shared" si="31"/>
        <v>2015</v>
      </c>
      <c r="W980" s="86">
        <v>42174</v>
      </c>
      <c r="X980">
        <v>534.38</v>
      </c>
    </row>
    <row r="981" spans="1:24">
      <c r="A981" s="68">
        <v>34547</v>
      </c>
      <c r="B981" s="32">
        <v>815.62</v>
      </c>
      <c r="C981">
        <f t="shared" si="30"/>
        <v>1994</v>
      </c>
      <c r="H981" s="85">
        <v>41886</v>
      </c>
      <c r="I981">
        <v>1924.67</v>
      </c>
      <c r="N981" s="69">
        <v>42055</v>
      </c>
      <c r="O981">
        <v>537.75</v>
      </c>
      <c r="P981">
        <v>530.45000000000005</v>
      </c>
      <c r="Q981">
        <v>537.95000000000005</v>
      </c>
      <c r="R981">
        <v>530.25</v>
      </c>
      <c r="S981" s="3">
        <v>-4.0000000000000002E-4</v>
      </c>
      <c r="T981">
        <f t="shared" si="31"/>
        <v>2015</v>
      </c>
      <c r="W981" s="86">
        <v>42177</v>
      </c>
      <c r="X981">
        <v>538.12</v>
      </c>
    </row>
    <row r="982" spans="1:24">
      <c r="A982" s="68">
        <v>34548</v>
      </c>
      <c r="B982" s="33">
        <v>815.89</v>
      </c>
      <c r="C982">
        <f t="shared" si="30"/>
        <v>1994</v>
      </c>
      <c r="H982" s="85">
        <v>41887</v>
      </c>
      <c r="I982">
        <v>1931.45</v>
      </c>
      <c r="N982" s="69">
        <v>42054</v>
      </c>
      <c r="O982">
        <v>537.95000000000005</v>
      </c>
      <c r="P982">
        <v>530.75</v>
      </c>
      <c r="Q982">
        <v>548.5</v>
      </c>
      <c r="R982">
        <v>530.45000000000005</v>
      </c>
      <c r="S982" s="3">
        <v>-5.9999999999999995E-4</v>
      </c>
      <c r="T982">
        <f t="shared" si="31"/>
        <v>2015</v>
      </c>
      <c r="W982" s="86">
        <v>42178</v>
      </c>
      <c r="X982">
        <v>533.87</v>
      </c>
    </row>
    <row r="983" spans="1:24">
      <c r="A983" s="68">
        <v>34549</v>
      </c>
      <c r="B983" s="32">
        <v>814.53</v>
      </c>
      <c r="C983">
        <f t="shared" si="30"/>
        <v>1994</v>
      </c>
      <c r="H983" s="85">
        <v>41888</v>
      </c>
      <c r="I983">
        <v>1935.25</v>
      </c>
      <c r="N983" s="69">
        <v>42053</v>
      </c>
      <c r="O983">
        <v>538.25</v>
      </c>
      <c r="P983">
        <v>530.79999999999995</v>
      </c>
      <c r="Q983">
        <v>548.5</v>
      </c>
      <c r="R983">
        <v>530.75</v>
      </c>
      <c r="S983" s="3">
        <v>-1E-4</v>
      </c>
      <c r="T983">
        <f t="shared" si="31"/>
        <v>2015</v>
      </c>
      <c r="W983" s="86">
        <v>42179</v>
      </c>
      <c r="X983">
        <v>533.75</v>
      </c>
    </row>
    <row r="984" spans="1:24">
      <c r="A984" s="68">
        <v>34550</v>
      </c>
      <c r="B984" s="33">
        <v>812.69</v>
      </c>
      <c r="C984">
        <f t="shared" si="30"/>
        <v>1994</v>
      </c>
      <c r="H984" s="85">
        <v>41889</v>
      </c>
      <c r="I984">
        <v>1935.25</v>
      </c>
      <c r="N984" s="69">
        <v>42052</v>
      </c>
      <c r="O984">
        <v>538.29999999999995</v>
      </c>
      <c r="P984">
        <v>531.04999999999995</v>
      </c>
      <c r="Q984">
        <v>548.5</v>
      </c>
      <c r="R984">
        <v>530.79999999999995</v>
      </c>
      <c r="S984" s="3">
        <v>-5.0000000000000001E-4</v>
      </c>
      <c r="T984">
        <f t="shared" si="31"/>
        <v>2015</v>
      </c>
      <c r="W984" s="86">
        <v>42180</v>
      </c>
      <c r="X984">
        <v>533.77</v>
      </c>
    </row>
    <row r="985" spans="1:24">
      <c r="A985" s="68">
        <v>34551</v>
      </c>
      <c r="B985" s="32">
        <v>812.57</v>
      </c>
      <c r="C985">
        <f t="shared" si="30"/>
        <v>1994</v>
      </c>
      <c r="H985" s="85">
        <v>41890</v>
      </c>
      <c r="I985">
        <v>1935.25</v>
      </c>
      <c r="N985" s="69">
        <v>42051</v>
      </c>
      <c r="O985">
        <v>538.54999999999995</v>
      </c>
      <c r="P985">
        <v>531.20000000000005</v>
      </c>
      <c r="Q985">
        <v>538.70000000000005</v>
      </c>
      <c r="R985">
        <v>531.04999999999995</v>
      </c>
      <c r="S985" s="3">
        <v>-2.9999999999999997E-4</v>
      </c>
      <c r="T985">
        <f t="shared" si="31"/>
        <v>2015</v>
      </c>
      <c r="W985" s="86">
        <v>42181</v>
      </c>
      <c r="X985">
        <v>533.78</v>
      </c>
    </row>
    <row r="986" spans="1:24">
      <c r="A986" s="68">
        <v>34552</v>
      </c>
      <c r="B986" s="33">
        <v>811.91</v>
      </c>
      <c r="C986">
        <f t="shared" si="30"/>
        <v>1994</v>
      </c>
      <c r="H986" s="85">
        <v>41891</v>
      </c>
      <c r="I986">
        <v>1942.03</v>
      </c>
      <c r="N986" s="69">
        <v>42048</v>
      </c>
      <c r="O986">
        <v>538.70000000000005</v>
      </c>
      <c r="P986">
        <v>532.04999999999995</v>
      </c>
      <c r="Q986">
        <v>548.5</v>
      </c>
      <c r="R986">
        <v>531.20000000000005</v>
      </c>
      <c r="S986" s="3">
        <v>-1.6000000000000001E-3</v>
      </c>
      <c r="T986">
        <f t="shared" si="31"/>
        <v>2015</v>
      </c>
      <c r="W986" s="86">
        <v>42184</v>
      </c>
      <c r="X986">
        <v>533.6</v>
      </c>
    </row>
    <row r="987" spans="1:24">
      <c r="A987" s="68">
        <v>34553</v>
      </c>
      <c r="B987" s="32">
        <v>811.91</v>
      </c>
      <c r="C987">
        <f t="shared" si="30"/>
        <v>1994</v>
      </c>
      <c r="H987" s="85">
        <v>41892</v>
      </c>
      <c r="I987">
        <v>1962.84</v>
      </c>
      <c r="N987" s="69">
        <v>42047</v>
      </c>
      <c r="O987">
        <v>539.54999999999995</v>
      </c>
      <c r="P987">
        <v>532.1</v>
      </c>
      <c r="Q987">
        <v>539.6</v>
      </c>
      <c r="R987">
        <v>532.04999999999995</v>
      </c>
      <c r="S987" s="3">
        <v>-8.3000000000000001E-3</v>
      </c>
      <c r="T987">
        <f t="shared" si="31"/>
        <v>2015</v>
      </c>
      <c r="W987" s="86">
        <v>42185</v>
      </c>
      <c r="X987">
        <v>533.70000000000005</v>
      </c>
    </row>
    <row r="988" spans="1:24">
      <c r="A988" s="68">
        <v>34554</v>
      </c>
      <c r="B988" s="33">
        <v>811.91</v>
      </c>
      <c r="C988">
        <f t="shared" si="30"/>
        <v>1994</v>
      </c>
      <c r="H988" s="85">
        <v>41893</v>
      </c>
      <c r="I988">
        <v>1975.82</v>
      </c>
      <c r="N988" s="69">
        <v>42046</v>
      </c>
      <c r="O988">
        <v>544.04999999999995</v>
      </c>
      <c r="P988">
        <v>532.29999999999995</v>
      </c>
      <c r="Q988">
        <v>544.04999999999995</v>
      </c>
      <c r="R988">
        <v>532.1</v>
      </c>
      <c r="S988" s="3">
        <v>-2.0000000000000001E-4</v>
      </c>
      <c r="T988">
        <f t="shared" si="31"/>
        <v>2015</v>
      </c>
      <c r="W988" s="86">
        <v>42186</v>
      </c>
      <c r="X988">
        <v>536.5</v>
      </c>
    </row>
    <row r="989" spans="1:24">
      <c r="A989" s="68">
        <v>34555</v>
      </c>
      <c r="B989" s="32">
        <v>812.39</v>
      </c>
      <c r="C989">
        <f t="shared" si="30"/>
        <v>1994</v>
      </c>
      <c r="H989" s="85">
        <v>41894</v>
      </c>
      <c r="I989">
        <v>1979.97</v>
      </c>
      <c r="N989" s="69">
        <v>42045</v>
      </c>
      <c r="O989">
        <v>544.15</v>
      </c>
      <c r="P989">
        <v>532.4</v>
      </c>
      <c r="Q989">
        <v>544.15</v>
      </c>
      <c r="R989">
        <v>532.29999999999995</v>
      </c>
      <c r="S989" s="3">
        <v>7.9000000000000008E-3</v>
      </c>
      <c r="T989">
        <f t="shared" si="31"/>
        <v>2015</v>
      </c>
      <c r="W989" s="86">
        <v>42187</v>
      </c>
      <c r="X989">
        <v>533.48</v>
      </c>
    </row>
    <row r="990" spans="1:24">
      <c r="A990" s="68">
        <v>34556</v>
      </c>
      <c r="B990" s="33">
        <v>813.64</v>
      </c>
      <c r="C990">
        <f t="shared" si="30"/>
        <v>1994</v>
      </c>
      <c r="H990" s="85">
        <v>41895</v>
      </c>
      <c r="I990">
        <v>1994.97</v>
      </c>
      <c r="N990" s="69">
        <v>42044</v>
      </c>
      <c r="O990">
        <v>539.9</v>
      </c>
      <c r="P990">
        <v>532.45000000000005</v>
      </c>
      <c r="Q990">
        <v>540.09</v>
      </c>
      <c r="R990">
        <v>532.4</v>
      </c>
      <c r="S990" s="3">
        <v>-1E-4</v>
      </c>
      <c r="T990">
        <f t="shared" si="31"/>
        <v>2015</v>
      </c>
      <c r="W990" s="86">
        <v>42188</v>
      </c>
      <c r="X990">
        <v>533.48</v>
      </c>
    </row>
    <row r="991" spans="1:24">
      <c r="A991" s="68">
        <v>34557</v>
      </c>
      <c r="B991" s="32">
        <v>815.4</v>
      </c>
      <c r="C991">
        <f t="shared" si="30"/>
        <v>1994</v>
      </c>
      <c r="H991" s="85">
        <v>41896</v>
      </c>
      <c r="I991">
        <v>1994.97</v>
      </c>
      <c r="N991" s="69">
        <v>42041</v>
      </c>
      <c r="O991">
        <v>539.95000000000005</v>
      </c>
      <c r="P991">
        <v>531.5</v>
      </c>
      <c r="Q991">
        <v>539.95000000000005</v>
      </c>
      <c r="R991">
        <v>531.5</v>
      </c>
      <c r="S991" s="3">
        <v>1.8E-3</v>
      </c>
      <c r="T991">
        <f t="shared" si="31"/>
        <v>2015</v>
      </c>
      <c r="W991" s="86">
        <v>42191</v>
      </c>
      <c r="X991">
        <v>534.16999999999996</v>
      </c>
    </row>
    <row r="992" spans="1:24">
      <c r="A992" s="68">
        <v>34558</v>
      </c>
      <c r="B992" s="33">
        <v>815.84</v>
      </c>
      <c r="C992">
        <f t="shared" si="30"/>
        <v>1994</v>
      </c>
      <c r="H992" s="85">
        <v>41897</v>
      </c>
      <c r="I992">
        <v>1994.97</v>
      </c>
      <c r="N992" s="69">
        <v>42040</v>
      </c>
      <c r="O992">
        <v>539</v>
      </c>
      <c r="P992">
        <v>530.79999999999995</v>
      </c>
      <c r="Q992">
        <v>539.08000000000004</v>
      </c>
      <c r="R992">
        <v>530.70000000000005</v>
      </c>
      <c r="S992" s="3">
        <v>1.2999999999999999E-3</v>
      </c>
      <c r="T992">
        <f t="shared" si="31"/>
        <v>2015</v>
      </c>
      <c r="W992" s="86">
        <v>42192</v>
      </c>
      <c r="X992">
        <v>533.42999999999995</v>
      </c>
    </row>
    <row r="993" spans="1:24">
      <c r="A993" s="68">
        <v>34559</v>
      </c>
      <c r="B993" s="32">
        <v>814.94</v>
      </c>
      <c r="C993">
        <f t="shared" si="30"/>
        <v>1994</v>
      </c>
      <c r="H993" s="85">
        <v>41898</v>
      </c>
      <c r="I993">
        <v>1987.71</v>
      </c>
      <c r="N993" s="69">
        <v>42039</v>
      </c>
      <c r="O993">
        <v>538.29999999999995</v>
      </c>
      <c r="P993">
        <v>530.95000000000005</v>
      </c>
      <c r="Q993">
        <v>538.45000000000005</v>
      </c>
      <c r="R993">
        <v>530.79999999999995</v>
      </c>
      <c r="S993" s="3">
        <v>-2.9999999999999997E-4</v>
      </c>
      <c r="T993">
        <f t="shared" si="31"/>
        <v>2015</v>
      </c>
      <c r="W993" s="86">
        <v>42193</v>
      </c>
      <c r="X993">
        <v>537.85</v>
      </c>
    </row>
    <row r="994" spans="1:24">
      <c r="A994" s="68">
        <v>34560</v>
      </c>
      <c r="B994" s="33">
        <v>814.94</v>
      </c>
      <c r="C994">
        <f t="shared" si="30"/>
        <v>1994</v>
      </c>
      <c r="H994" s="85">
        <v>41899</v>
      </c>
      <c r="I994">
        <v>1978.08</v>
      </c>
      <c r="N994" s="69">
        <v>42038</v>
      </c>
      <c r="O994">
        <v>538.45000000000005</v>
      </c>
      <c r="P994">
        <v>530.85</v>
      </c>
      <c r="Q994">
        <v>538.48</v>
      </c>
      <c r="R994">
        <v>530.79999999999995</v>
      </c>
      <c r="S994" s="3">
        <v>2.0000000000000001E-4</v>
      </c>
      <c r="T994">
        <f t="shared" si="31"/>
        <v>2015</v>
      </c>
      <c r="W994" s="86">
        <v>42194</v>
      </c>
      <c r="X994">
        <v>536.45000000000005</v>
      </c>
    </row>
    <row r="995" spans="1:24">
      <c r="A995" s="68">
        <v>34561</v>
      </c>
      <c r="B995" s="32">
        <v>814.94</v>
      </c>
      <c r="C995">
        <f t="shared" si="30"/>
        <v>1994</v>
      </c>
      <c r="H995" s="85">
        <v>41900</v>
      </c>
      <c r="I995">
        <v>1975.47</v>
      </c>
      <c r="N995" s="69">
        <v>42037</v>
      </c>
      <c r="O995">
        <v>538.35</v>
      </c>
      <c r="P995">
        <v>530.4</v>
      </c>
      <c r="Q995">
        <v>538.35</v>
      </c>
      <c r="R995">
        <v>529.87</v>
      </c>
      <c r="S995" s="3">
        <v>8.0000000000000004E-4</v>
      </c>
      <c r="T995">
        <f t="shared" si="31"/>
        <v>2015</v>
      </c>
      <c r="W995" s="86">
        <v>42195</v>
      </c>
      <c r="X995">
        <v>533.25</v>
      </c>
    </row>
    <row r="996" spans="1:24">
      <c r="A996" s="68">
        <v>34562</v>
      </c>
      <c r="B996" s="33">
        <v>814.94</v>
      </c>
      <c r="C996">
        <f t="shared" si="30"/>
        <v>1994</v>
      </c>
      <c r="H996" s="85">
        <v>41901</v>
      </c>
      <c r="I996">
        <v>1975.42</v>
      </c>
      <c r="N996" s="69">
        <v>42034</v>
      </c>
      <c r="O996">
        <v>537.9</v>
      </c>
      <c r="P996">
        <v>529.75</v>
      </c>
      <c r="Q996">
        <v>538</v>
      </c>
      <c r="R996">
        <v>529.70000000000005</v>
      </c>
      <c r="S996" s="3">
        <v>1.1999999999999999E-3</v>
      </c>
      <c r="T996">
        <f t="shared" si="31"/>
        <v>2015</v>
      </c>
      <c r="W996" s="86">
        <v>42198</v>
      </c>
      <c r="X996">
        <v>533.22</v>
      </c>
    </row>
    <row r="997" spans="1:24">
      <c r="A997" s="68">
        <v>34563</v>
      </c>
      <c r="B997" s="32">
        <v>814.4</v>
      </c>
      <c r="C997">
        <f t="shared" si="30"/>
        <v>1994</v>
      </c>
      <c r="H997" s="85">
        <v>41902</v>
      </c>
      <c r="I997">
        <v>1966.89</v>
      </c>
      <c r="N997" s="69">
        <v>42033</v>
      </c>
      <c r="O997">
        <v>537.25</v>
      </c>
      <c r="P997">
        <v>529.87</v>
      </c>
      <c r="Q997">
        <v>548.5</v>
      </c>
      <c r="R997">
        <v>529.75</v>
      </c>
      <c r="S997" s="3">
        <v>-2.01E-2</v>
      </c>
      <c r="T997">
        <f t="shared" si="31"/>
        <v>2015</v>
      </c>
      <c r="W997" s="86">
        <v>42199</v>
      </c>
      <c r="X997">
        <v>533.29999999999995</v>
      </c>
    </row>
    <row r="998" spans="1:24">
      <c r="A998" s="68">
        <v>34564</v>
      </c>
      <c r="B998" s="33">
        <v>813.93</v>
      </c>
      <c r="C998">
        <f t="shared" si="30"/>
        <v>1994</v>
      </c>
      <c r="H998" s="85">
        <v>41903</v>
      </c>
      <c r="I998">
        <v>1966.89</v>
      </c>
      <c r="N998" s="69">
        <v>42032</v>
      </c>
      <c r="O998">
        <v>548.25</v>
      </c>
      <c r="P998">
        <v>529.9</v>
      </c>
      <c r="Q998">
        <v>548.25</v>
      </c>
      <c r="R998">
        <v>529.79999999999995</v>
      </c>
      <c r="S998" s="3">
        <v>2.0199999999999999E-2</v>
      </c>
      <c r="T998">
        <f t="shared" si="31"/>
        <v>2015</v>
      </c>
      <c r="W998" s="86">
        <v>42200</v>
      </c>
      <c r="X998">
        <v>533.29999999999995</v>
      </c>
    </row>
    <row r="999" spans="1:24">
      <c r="A999" s="68">
        <v>34565</v>
      </c>
      <c r="B999" s="32">
        <v>813.88</v>
      </c>
      <c r="C999">
        <f t="shared" si="30"/>
        <v>1994</v>
      </c>
      <c r="H999" s="85">
        <v>41904</v>
      </c>
      <c r="I999">
        <v>1966.89</v>
      </c>
      <c r="N999" s="69">
        <v>42031</v>
      </c>
      <c r="O999">
        <v>537.4</v>
      </c>
      <c r="P999">
        <v>529.79999999999995</v>
      </c>
      <c r="Q999">
        <v>537.48</v>
      </c>
      <c r="R999">
        <v>529.70000000000005</v>
      </c>
      <c r="S999" s="3">
        <v>2.0000000000000001E-4</v>
      </c>
      <c r="T999">
        <f t="shared" si="31"/>
        <v>2015</v>
      </c>
      <c r="W999" s="86">
        <v>42201</v>
      </c>
      <c r="X999">
        <v>533.29999999999995</v>
      </c>
    </row>
    <row r="1000" spans="1:24">
      <c r="A1000" s="68">
        <v>34566</v>
      </c>
      <c r="B1000" s="33">
        <v>813.76</v>
      </c>
      <c r="C1000">
        <f t="shared" si="30"/>
        <v>1994</v>
      </c>
      <c r="H1000" s="85">
        <v>41905</v>
      </c>
      <c r="I1000">
        <v>1992.68</v>
      </c>
      <c r="N1000" s="69">
        <v>42030</v>
      </c>
      <c r="O1000">
        <v>537.29999999999995</v>
      </c>
      <c r="P1000">
        <v>530.04999999999995</v>
      </c>
      <c r="Q1000">
        <v>537.54999999999995</v>
      </c>
      <c r="R1000">
        <v>529.79999999999995</v>
      </c>
      <c r="S1000" s="3">
        <v>-5.0000000000000001E-4</v>
      </c>
      <c r="T1000">
        <f t="shared" si="31"/>
        <v>2015</v>
      </c>
      <c r="W1000" s="86">
        <v>42202</v>
      </c>
      <c r="X1000">
        <v>533.29999999999995</v>
      </c>
    </row>
    <row r="1001" spans="1:24">
      <c r="A1001" s="68">
        <v>34567</v>
      </c>
      <c r="B1001" s="32">
        <v>813.76</v>
      </c>
      <c r="C1001">
        <f t="shared" si="30"/>
        <v>1994</v>
      </c>
      <c r="H1001" s="85">
        <v>41906</v>
      </c>
      <c r="I1001">
        <v>1997.91</v>
      </c>
      <c r="N1001" s="69">
        <v>42027</v>
      </c>
      <c r="O1001">
        <v>537.54999999999995</v>
      </c>
      <c r="P1001">
        <v>530</v>
      </c>
      <c r="Q1001">
        <v>537.6</v>
      </c>
      <c r="R1001">
        <v>530</v>
      </c>
      <c r="S1001" s="3">
        <v>1E-4</v>
      </c>
      <c r="T1001">
        <f t="shared" si="31"/>
        <v>2015</v>
      </c>
      <c r="W1001" s="86">
        <v>42205</v>
      </c>
      <c r="X1001">
        <v>533.25</v>
      </c>
    </row>
    <row r="1002" spans="1:24">
      <c r="A1002" s="68">
        <v>34568</v>
      </c>
      <c r="B1002" s="33">
        <v>813.76</v>
      </c>
      <c r="C1002">
        <f t="shared" si="30"/>
        <v>1994</v>
      </c>
      <c r="H1002" s="85">
        <v>41907</v>
      </c>
      <c r="I1002">
        <v>2007.48</v>
      </c>
      <c r="N1002" s="69">
        <v>42026</v>
      </c>
      <c r="O1002">
        <v>537.5</v>
      </c>
      <c r="P1002">
        <v>530.07000000000005</v>
      </c>
      <c r="Q1002">
        <v>537.65</v>
      </c>
      <c r="R1002">
        <v>530</v>
      </c>
      <c r="S1002" s="3">
        <v>-2.9999999999999997E-4</v>
      </c>
      <c r="T1002">
        <f t="shared" si="31"/>
        <v>2015</v>
      </c>
      <c r="W1002" s="86">
        <v>42206</v>
      </c>
      <c r="X1002">
        <v>533.35</v>
      </c>
    </row>
    <row r="1003" spans="1:24">
      <c r="A1003" s="68">
        <v>34569</v>
      </c>
      <c r="B1003" s="32">
        <v>815.2</v>
      </c>
      <c r="C1003">
        <f t="shared" si="30"/>
        <v>1994</v>
      </c>
      <c r="H1003" s="85">
        <v>41908</v>
      </c>
      <c r="I1003">
        <v>2019.76</v>
      </c>
      <c r="N1003" s="69">
        <v>42025</v>
      </c>
      <c r="O1003">
        <v>537.65</v>
      </c>
      <c r="P1003">
        <v>530.15</v>
      </c>
      <c r="Q1003">
        <v>537.65</v>
      </c>
      <c r="R1003">
        <v>530.15</v>
      </c>
      <c r="S1003" s="3">
        <v>0</v>
      </c>
      <c r="T1003">
        <f t="shared" si="31"/>
        <v>2015</v>
      </c>
      <c r="W1003" s="86">
        <v>42207</v>
      </c>
      <c r="X1003">
        <v>535.4</v>
      </c>
    </row>
    <row r="1004" spans="1:24">
      <c r="A1004" s="68">
        <v>34570</v>
      </c>
      <c r="B1004" s="33">
        <v>816.58</v>
      </c>
      <c r="C1004">
        <f t="shared" si="30"/>
        <v>1994</v>
      </c>
      <c r="H1004" s="85">
        <v>41909</v>
      </c>
      <c r="I1004">
        <v>2023.89</v>
      </c>
      <c r="N1004" s="69">
        <v>42024</v>
      </c>
      <c r="O1004">
        <v>537.65</v>
      </c>
      <c r="P1004">
        <v>530.15</v>
      </c>
      <c r="Q1004">
        <v>537.65</v>
      </c>
      <c r="R1004">
        <v>530.15</v>
      </c>
      <c r="S1004" s="3">
        <v>2.9999999999999997E-4</v>
      </c>
      <c r="T1004">
        <f t="shared" si="31"/>
        <v>2015</v>
      </c>
      <c r="W1004" s="86">
        <v>42208</v>
      </c>
      <c r="X1004">
        <v>535.38</v>
      </c>
    </row>
    <row r="1005" spans="1:24">
      <c r="A1005" s="68">
        <v>34571</v>
      </c>
      <c r="B1005" s="32">
        <v>816.77</v>
      </c>
      <c r="C1005">
        <f t="shared" si="30"/>
        <v>1994</v>
      </c>
      <c r="H1005" s="85">
        <v>41910</v>
      </c>
      <c r="I1005">
        <v>2023.89</v>
      </c>
      <c r="N1005" s="69">
        <v>42023</v>
      </c>
      <c r="O1005">
        <v>537.5</v>
      </c>
      <c r="P1005">
        <v>530</v>
      </c>
      <c r="Q1005">
        <v>537.54</v>
      </c>
      <c r="R1005">
        <v>530</v>
      </c>
      <c r="S1005" s="3">
        <v>0</v>
      </c>
      <c r="T1005">
        <f t="shared" si="31"/>
        <v>2015</v>
      </c>
      <c r="W1005" s="86">
        <v>42209</v>
      </c>
      <c r="X1005">
        <v>536.25</v>
      </c>
    </row>
    <row r="1006" spans="1:24">
      <c r="A1006" s="68">
        <v>34572</v>
      </c>
      <c r="B1006" s="33">
        <v>817.4</v>
      </c>
      <c r="C1006">
        <f t="shared" si="30"/>
        <v>1994</v>
      </c>
      <c r="H1006" s="85">
        <v>41911</v>
      </c>
      <c r="I1006">
        <v>2023.89</v>
      </c>
      <c r="N1006" s="69">
        <v>42020</v>
      </c>
      <c r="O1006">
        <v>537.5</v>
      </c>
      <c r="P1006">
        <v>530.5</v>
      </c>
      <c r="Q1006">
        <v>548.5</v>
      </c>
      <c r="R1006">
        <v>530</v>
      </c>
      <c r="S1006" s="3">
        <v>-8.9999999999999998E-4</v>
      </c>
      <c r="T1006">
        <f t="shared" si="31"/>
        <v>2015</v>
      </c>
      <c r="W1006" s="86">
        <v>42212</v>
      </c>
      <c r="X1006">
        <v>538.16</v>
      </c>
    </row>
    <row r="1007" spans="1:24">
      <c r="A1007" s="68">
        <v>34573</v>
      </c>
      <c r="B1007" s="32">
        <v>816.29</v>
      </c>
      <c r="C1007">
        <f t="shared" si="30"/>
        <v>1994</v>
      </c>
      <c r="H1007" s="85">
        <v>41912</v>
      </c>
      <c r="I1007">
        <v>2028.48</v>
      </c>
      <c r="N1007" s="69">
        <v>42019</v>
      </c>
      <c r="O1007">
        <v>538</v>
      </c>
      <c r="P1007">
        <v>533.04999999999995</v>
      </c>
      <c r="Q1007">
        <v>548.5</v>
      </c>
      <c r="R1007">
        <v>530.5</v>
      </c>
      <c r="S1007" s="3">
        <v>-4.7000000000000002E-3</v>
      </c>
      <c r="T1007">
        <f t="shared" si="31"/>
        <v>2015</v>
      </c>
      <c r="W1007" s="86">
        <v>42213</v>
      </c>
      <c r="X1007">
        <v>533.29999999999995</v>
      </c>
    </row>
    <row r="1008" spans="1:24">
      <c r="A1008" s="68">
        <v>34574</v>
      </c>
      <c r="B1008" s="33">
        <v>816.29</v>
      </c>
      <c r="C1008">
        <f t="shared" si="30"/>
        <v>1994</v>
      </c>
      <c r="H1008" s="85">
        <v>41913</v>
      </c>
      <c r="I1008">
        <v>2022</v>
      </c>
      <c r="N1008" s="69">
        <v>42018</v>
      </c>
      <c r="O1008">
        <v>540.54999999999995</v>
      </c>
      <c r="P1008">
        <v>533.04999999999995</v>
      </c>
      <c r="Q1008">
        <v>548.5</v>
      </c>
      <c r="R1008">
        <v>533.04999999999995</v>
      </c>
      <c r="S1008" s="3">
        <v>0</v>
      </c>
      <c r="T1008">
        <f t="shared" si="31"/>
        <v>2015</v>
      </c>
      <c r="W1008" s="86">
        <v>42214</v>
      </c>
      <c r="X1008">
        <v>536.15</v>
      </c>
    </row>
    <row r="1009" spans="1:24">
      <c r="A1009" s="68">
        <v>34575</v>
      </c>
      <c r="B1009" s="32">
        <v>816.29</v>
      </c>
      <c r="C1009">
        <f t="shared" si="30"/>
        <v>1994</v>
      </c>
      <c r="H1009" s="85">
        <v>41914</v>
      </c>
      <c r="I1009">
        <v>2025.75</v>
      </c>
      <c r="N1009" s="69">
        <v>42017</v>
      </c>
      <c r="O1009">
        <v>540.54999999999995</v>
      </c>
      <c r="P1009">
        <v>533.1</v>
      </c>
      <c r="Q1009">
        <v>540.70000000000005</v>
      </c>
      <c r="R1009">
        <v>533.04999999999995</v>
      </c>
      <c r="S1009" s="3">
        <v>-1E-4</v>
      </c>
      <c r="T1009">
        <f t="shared" si="31"/>
        <v>2015</v>
      </c>
      <c r="W1009" s="86">
        <v>42215</v>
      </c>
      <c r="X1009">
        <v>533.38</v>
      </c>
    </row>
    <row r="1010" spans="1:24">
      <c r="A1010" s="68">
        <v>34576</v>
      </c>
      <c r="B1010" s="33">
        <v>816.18</v>
      </c>
      <c r="C1010">
        <f t="shared" si="30"/>
        <v>1994</v>
      </c>
      <c r="H1010" s="85">
        <v>41915</v>
      </c>
      <c r="I1010">
        <v>2021.49</v>
      </c>
      <c r="N1010" s="69">
        <v>42016</v>
      </c>
      <c r="O1010">
        <v>540.6</v>
      </c>
      <c r="P1010">
        <v>533</v>
      </c>
      <c r="Q1010">
        <v>548.5</v>
      </c>
      <c r="R1010">
        <v>533</v>
      </c>
      <c r="S1010" s="3">
        <v>2.0000000000000001E-4</v>
      </c>
      <c r="T1010">
        <f t="shared" si="31"/>
        <v>2015</v>
      </c>
      <c r="W1010" s="86">
        <v>42216</v>
      </c>
      <c r="X1010">
        <v>533.4</v>
      </c>
    </row>
    <row r="1011" spans="1:24">
      <c r="A1011" s="68">
        <v>34577</v>
      </c>
      <c r="B1011" s="32">
        <v>816.3</v>
      </c>
      <c r="C1011">
        <f t="shared" si="30"/>
        <v>1994</v>
      </c>
      <c r="H1011" s="85">
        <v>41916</v>
      </c>
      <c r="I1011">
        <v>2026.2</v>
      </c>
      <c r="N1011" s="69">
        <v>42013</v>
      </c>
      <c r="O1011">
        <v>540.5</v>
      </c>
      <c r="P1011">
        <v>533</v>
      </c>
      <c r="Q1011">
        <v>548.5</v>
      </c>
      <c r="R1011">
        <v>533</v>
      </c>
      <c r="S1011" s="3">
        <v>0</v>
      </c>
      <c r="T1011">
        <f t="shared" si="31"/>
        <v>2015</v>
      </c>
      <c r="W1011" s="86">
        <v>42219</v>
      </c>
      <c r="X1011">
        <v>533.29999999999995</v>
      </c>
    </row>
    <row r="1012" spans="1:24">
      <c r="A1012" s="68">
        <v>34578</v>
      </c>
      <c r="B1012" s="33">
        <v>816.08</v>
      </c>
      <c r="C1012">
        <f t="shared" si="30"/>
        <v>1994</v>
      </c>
      <c r="H1012" s="85">
        <v>41917</v>
      </c>
      <c r="I1012">
        <v>2026.2</v>
      </c>
      <c r="N1012" s="69">
        <v>42012</v>
      </c>
      <c r="O1012">
        <v>540.5</v>
      </c>
      <c r="P1012">
        <v>532.75</v>
      </c>
      <c r="Q1012">
        <v>540.6</v>
      </c>
      <c r="R1012">
        <v>532.65</v>
      </c>
      <c r="S1012" s="3">
        <v>5.0000000000000001E-4</v>
      </c>
      <c r="T1012">
        <f t="shared" si="31"/>
        <v>2015</v>
      </c>
      <c r="W1012" s="86">
        <v>42220</v>
      </c>
      <c r="X1012">
        <v>533.38</v>
      </c>
    </row>
    <row r="1013" spans="1:24">
      <c r="A1013" s="68">
        <v>34579</v>
      </c>
      <c r="B1013" s="32">
        <v>817.64</v>
      </c>
      <c r="C1013">
        <f t="shared" si="30"/>
        <v>1994</v>
      </c>
      <c r="H1013" s="85">
        <v>41918</v>
      </c>
      <c r="I1013">
        <v>2026.2</v>
      </c>
      <c r="N1013" s="69">
        <v>42011</v>
      </c>
      <c r="O1013">
        <v>540.25</v>
      </c>
      <c r="P1013">
        <v>533.20000000000005</v>
      </c>
      <c r="Q1013">
        <v>548.5</v>
      </c>
      <c r="R1013">
        <v>532.75</v>
      </c>
      <c r="S1013" s="3">
        <v>-5.9999999999999995E-4</v>
      </c>
      <c r="T1013">
        <f t="shared" si="31"/>
        <v>2015</v>
      </c>
      <c r="W1013" s="86">
        <v>42221</v>
      </c>
      <c r="X1013">
        <v>533.29999999999995</v>
      </c>
    </row>
    <row r="1014" spans="1:24">
      <c r="A1014" s="68">
        <v>34580</v>
      </c>
      <c r="B1014" s="33">
        <v>818.81</v>
      </c>
      <c r="C1014">
        <f t="shared" si="30"/>
        <v>1994</v>
      </c>
      <c r="H1014" s="85">
        <v>41919</v>
      </c>
      <c r="I1014">
        <v>2028.03</v>
      </c>
      <c r="N1014" s="69">
        <v>42010</v>
      </c>
      <c r="O1014">
        <v>540.54999999999995</v>
      </c>
      <c r="P1014">
        <v>533.20000000000005</v>
      </c>
      <c r="Q1014">
        <v>540.70000000000005</v>
      </c>
      <c r="R1014">
        <v>533.04999999999995</v>
      </c>
      <c r="S1014" s="3">
        <v>-2.9999999999999997E-4</v>
      </c>
      <c r="T1014">
        <f t="shared" si="31"/>
        <v>2015</v>
      </c>
      <c r="W1014" s="86">
        <v>42222</v>
      </c>
      <c r="X1014">
        <v>536.35</v>
      </c>
    </row>
    <row r="1015" spans="1:24">
      <c r="A1015" s="68">
        <v>34581</v>
      </c>
      <c r="B1015" s="32">
        <v>818.81</v>
      </c>
      <c r="C1015">
        <f t="shared" si="30"/>
        <v>1994</v>
      </c>
      <c r="H1015" s="85">
        <v>41920</v>
      </c>
      <c r="I1015">
        <v>2026.9</v>
      </c>
      <c r="N1015" s="69">
        <v>42009</v>
      </c>
      <c r="O1015">
        <v>540.70000000000005</v>
      </c>
      <c r="P1015">
        <v>540</v>
      </c>
      <c r="Q1015">
        <v>548.5</v>
      </c>
      <c r="R1015">
        <v>533.20000000000005</v>
      </c>
      <c r="S1015" s="3">
        <v>-1.24E-2</v>
      </c>
      <c r="T1015">
        <f t="shared" si="31"/>
        <v>2015</v>
      </c>
      <c r="W1015" s="86">
        <v>42223</v>
      </c>
      <c r="X1015">
        <v>535.95000000000005</v>
      </c>
    </row>
    <row r="1016" spans="1:24">
      <c r="A1016" s="68">
        <v>34582</v>
      </c>
      <c r="B1016" s="33">
        <v>818.81</v>
      </c>
      <c r="C1016">
        <f t="shared" si="30"/>
        <v>1994</v>
      </c>
      <c r="H1016" s="85">
        <v>41921</v>
      </c>
      <c r="I1016">
        <v>2040.31</v>
      </c>
      <c r="N1016" s="69">
        <v>42006</v>
      </c>
      <c r="O1016">
        <v>547.5</v>
      </c>
      <c r="P1016">
        <v>533.29999999999995</v>
      </c>
      <c r="Q1016">
        <v>548.5</v>
      </c>
      <c r="R1016">
        <v>533.20000000000005</v>
      </c>
      <c r="S1016" s="3">
        <v>1.24E-2</v>
      </c>
      <c r="T1016">
        <f t="shared" si="31"/>
        <v>2015</v>
      </c>
      <c r="W1016" s="86">
        <v>42226</v>
      </c>
      <c r="X1016">
        <v>533.29999999999995</v>
      </c>
    </row>
    <row r="1017" spans="1:24">
      <c r="A1017" s="68">
        <v>34583</v>
      </c>
      <c r="B1017" s="32">
        <v>817.8</v>
      </c>
      <c r="C1017">
        <f t="shared" si="30"/>
        <v>1994</v>
      </c>
      <c r="H1017" s="85">
        <v>41922</v>
      </c>
      <c r="I1017">
        <v>2041.71</v>
      </c>
      <c r="N1017" s="69">
        <v>42005</v>
      </c>
      <c r="O1017">
        <v>540.79999999999995</v>
      </c>
      <c r="P1017">
        <v>533.29999999999995</v>
      </c>
      <c r="Q1017">
        <v>540.80999999999995</v>
      </c>
      <c r="R1017">
        <v>533.29999999999995</v>
      </c>
      <c r="S1017" s="3">
        <v>0</v>
      </c>
      <c r="T1017">
        <f t="shared" si="31"/>
        <v>2015</v>
      </c>
      <c r="W1017" s="86">
        <v>42227</v>
      </c>
      <c r="X1017">
        <v>535.87</v>
      </c>
    </row>
    <row r="1018" spans="1:24">
      <c r="A1018" s="68">
        <v>34584</v>
      </c>
      <c r="B1018" s="33">
        <v>818.21</v>
      </c>
      <c r="C1018">
        <f t="shared" si="30"/>
        <v>1994</v>
      </c>
      <c r="H1018" s="85">
        <v>41923</v>
      </c>
      <c r="I1018">
        <v>2052.96</v>
      </c>
      <c r="N1018" s="69">
        <v>42004</v>
      </c>
      <c r="O1018">
        <v>540.79999999999995</v>
      </c>
      <c r="P1018">
        <v>533.25</v>
      </c>
      <c r="Q1018">
        <v>540.80999999999995</v>
      </c>
      <c r="R1018">
        <v>533.25</v>
      </c>
      <c r="S1018" s="3">
        <v>-7.0000000000000001E-3</v>
      </c>
      <c r="T1018">
        <f t="shared" si="31"/>
        <v>2014</v>
      </c>
      <c r="U1018" s="141">
        <f>(O1018-O1278)/O1278</f>
        <v>8.0195745530809909E-2</v>
      </c>
      <c r="W1018" s="86">
        <v>42228</v>
      </c>
      <c r="X1018">
        <v>533.29999999999995</v>
      </c>
    </row>
    <row r="1019" spans="1:24">
      <c r="A1019" s="68">
        <v>34585</v>
      </c>
      <c r="B1019" s="32">
        <v>819.24</v>
      </c>
      <c r="C1019">
        <f t="shared" si="30"/>
        <v>1994</v>
      </c>
      <c r="H1019" s="85">
        <v>41924</v>
      </c>
      <c r="I1019">
        <v>2052.96</v>
      </c>
      <c r="N1019" s="69">
        <v>42003</v>
      </c>
      <c r="O1019">
        <v>544.62</v>
      </c>
      <c r="P1019">
        <v>532.75</v>
      </c>
      <c r="Q1019">
        <v>544.62</v>
      </c>
      <c r="R1019">
        <v>532.70000000000005</v>
      </c>
      <c r="S1019" s="3">
        <v>8.0999999999999996E-3</v>
      </c>
      <c r="T1019">
        <f t="shared" si="31"/>
        <v>2014</v>
      </c>
      <c r="W1019" s="86">
        <v>42229</v>
      </c>
      <c r="X1019">
        <v>533.4</v>
      </c>
    </row>
    <row r="1020" spans="1:24">
      <c r="A1020" s="68">
        <v>34586</v>
      </c>
      <c r="B1020" s="33">
        <v>820.02</v>
      </c>
      <c r="C1020">
        <f t="shared" si="30"/>
        <v>1994</v>
      </c>
      <c r="H1020" s="85">
        <v>41925</v>
      </c>
      <c r="I1020">
        <v>2052.96</v>
      </c>
      <c r="N1020" s="69">
        <v>42002</v>
      </c>
      <c r="O1020">
        <v>540.25</v>
      </c>
      <c r="P1020">
        <v>532.65</v>
      </c>
      <c r="Q1020">
        <v>540.33000000000004</v>
      </c>
      <c r="R1020">
        <v>532.6</v>
      </c>
      <c r="S1020" s="3">
        <v>2.0000000000000001E-4</v>
      </c>
      <c r="T1020">
        <f t="shared" si="31"/>
        <v>2014</v>
      </c>
      <c r="W1020" s="86">
        <v>42230</v>
      </c>
      <c r="X1020">
        <v>533.33000000000004</v>
      </c>
    </row>
    <row r="1021" spans="1:24">
      <c r="A1021" s="68">
        <v>34587</v>
      </c>
      <c r="B1021" s="32">
        <v>820.26</v>
      </c>
      <c r="C1021">
        <f t="shared" si="30"/>
        <v>1994</v>
      </c>
      <c r="H1021" s="85">
        <v>41926</v>
      </c>
      <c r="I1021">
        <v>2052.96</v>
      </c>
      <c r="N1021" s="69">
        <v>41999</v>
      </c>
      <c r="O1021">
        <v>540.15</v>
      </c>
      <c r="P1021">
        <v>532.67999999999995</v>
      </c>
      <c r="Q1021">
        <v>540.25</v>
      </c>
      <c r="R1021">
        <v>532.65</v>
      </c>
      <c r="S1021" s="3">
        <v>-2.0000000000000001E-4</v>
      </c>
      <c r="T1021">
        <f t="shared" si="31"/>
        <v>2014</v>
      </c>
      <c r="W1021" s="86">
        <v>42233</v>
      </c>
      <c r="X1021">
        <v>532.25</v>
      </c>
    </row>
    <row r="1022" spans="1:24">
      <c r="A1022" s="68">
        <v>34588</v>
      </c>
      <c r="B1022" s="33">
        <v>820.26</v>
      </c>
      <c r="C1022">
        <f t="shared" si="30"/>
        <v>1994</v>
      </c>
      <c r="H1022" s="85">
        <v>41927</v>
      </c>
      <c r="I1022">
        <v>2049.66</v>
      </c>
      <c r="N1022" s="69">
        <v>41998</v>
      </c>
      <c r="O1022">
        <v>540.25</v>
      </c>
      <c r="P1022">
        <v>532.75</v>
      </c>
      <c r="Q1022">
        <v>540.25</v>
      </c>
      <c r="R1022">
        <v>532.67999999999995</v>
      </c>
      <c r="S1022" s="3">
        <v>0</v>
      </c>
      <c r="T1022">
        <f t="shared" si="31"/>
        <v>2014</v>
      </c>
      <c r="W1022" s="86">
        <v>42234</v>
      </c>
      <c r="X1022">
        <v>532.5</v>
      </c>
    </row>
    <row r="1023" spans="1:24">
      <c r="A1023" s="68">
        <v>34589</v>
      </c>
      <c r="B1023" s="32">
        <v>820.26</v>
      </c>
      <c r="C1023">
        <f t="shared" si="30"/>
        <v>1994</v>
      </c>
      <c r="H1023" s="85">
        <v>41928</v>
      </c>
      <c r="I1023">
        <v>2057.6999999999998</v>
      </c>
      <c r="N1023" s="69">
        <v>41997</v>
      </c>
      <c r="O1023">
        <v>540.25</v>
      </c>
      <c r="P1023">
        <v>530.4</v>
      </c>
      <c r="Q1023">
        <v>540.26</v>
      </c>
      <c r="R1023">
        <v>530.29999999999995</v>
      </c>
      <c r="S1023" s="3">
        <v>4.4000000000000003E-3</v>
      </c>
      <c r="T1023">
        <f t="shared" si="31"/>
        <v>2014</v>
      </c>
      <c r="W1023" s="86">
        <v>42235</v>
      </c>
      <c r="X1023">
        <v>532.35</v>
      </c>
    </row>
    <row r="1024" spans="1:24">
      <c r="A1024" s="68">
        <v>34590</v>
      </c>
      <c r="B1024" s="33">
        <v>821.62</v>
      </c>
      <c r="C1024">
        <f t="shared" si="30"/>
        <v>1994</v>
      </c>
      <c r="H1024" s="85">
        <v>41929</v>
      </c>
      <c r="I1024">
        <v>2074.4</v>
      </c>
      <c r="N1024" s="69">
        <v>41996</v>
      </c>
      <c r="O1024">
        <v>537.9</v>
      </c>
      <c r="P1024">
        <v>527.04999999999995</v>
      </c>
      <c r="Q1024">
        <v>548.5</v>
      </c>
      <c r="R1024">
        <v>527.04999999999995</v>
      </c>
      <c r="S1024" s="3">
        <v>6.3E-3</v>
      </c>
      <c r="T1024">
        <f t="shared" si="31"/>
        <v>2014</v>
      </c>
      <c r="W1024" s="86">
        <v>42236</v>
      </c>
      <c r="X1024">
        <v>534.73</v>
      </c>
    </row>
    <row r="1025" spans="1:24">
      <c r="A1025" s="68">
        <v>34591</v>
      </c>
      <c r="B1025" s="32">
        <v>824.34</v>
      </c>
      <c r="C1025">
        <f t="shared" si="30"/>
        <v>1994</v>
      </c>
      <c r="H1025" s="85">
        <v>41930</v>
      </c>
      <c r="I1025">
        <v>2064.4299999999998</v>
      </c>
      <c r="N1025" s="69">
        <v>41995</v>
      </c>
      <c r="O1025">
        <v>534.54999999999995</v>
      </c>
      <c r="P1025">
        <v>527.1</v>
      </c>
      <c r="Q1025">
        <v>548.5</v>
      </c>
      <c r="R1025">
        <v>526.99</v>
      </c>
      <c r="S1025" s="3">
        <v>-1E-4</v>
      </c>
      <c r="T1025">
        <f t="shared" si="31"/>
        <v>2014</v>
      </c>
      <c r="W1025" s="86">
        <v>42237</v>
      </c>
      <c r="X1025">
        <v>532.29999999999995</v>
      </c>
    </row>
    <row r="1026" spans="1:24">
      <c r="A1026" s="68">
        <v>34592</v>
      </c>
      <c r="B1026" s="33">
        <v>827.86</v>
      </c>
      <c r="C1026">
        <f t="shared" si="30"/>
        <v>1994</v>
      </c>
      <c r="H1026" s="85">
        <v>41931</v>
      </c>
      <c r="I1026">
        <v>2064.4299999999998</v>
      </c>
      <c r="N1026" s="69">
        <v>41992</v>
      </c>
      <c r="O1026">
        <v>534.6</v>
      </c>
      <c r="P1026">
        <v>527.1</v>
      </c>
      <c r="Q1026">
        <v>534.70000000000005</v>
      </c>
      <c r="R1026">
        <v>527.1</v>
      </c>
      <c r="S1026" s="3">
        <v>0</v>
      </c>
      <c r="T1026">
        <f t="shared" si="31"/>
        <v>2014</v>
      </c>
      <c r="W1026" s="86">
        <v>42240</v>
      </c>
      <c r="X1026">
        <v>532.28</v>
      </c>
    </row>
    <row r="1027" spans="1:24">
      <c r="A1027" s="68">
        <v>34593</v>
      </c>
      <c r="B1027" s="32">
        <v>833.1</v>
      </c>
      <c r="C1027">
        <f t="shared" si="30"/>
        <v>1994</v>
      </c>
      <c r="H1027" s="85">
        <v>41932</v>
      </c>
      <c r="I1027">
        <v>2064.4299999999998</v>
      </c>
      <c r="N1027" s="69">
        <v>41991</v>
      </c>
      <c r="O1027">
        <v>534.6</v>
      </c>
      <c r="P1027">
        <v>528.1</v>
      </c>
      <c r="Q1027">
        <v>535.6</v>
      </c>
      <c r="R1027">
        <v>527.1</v>
      </c>
      <c r="S1027" s="3">
        <v>-1.9E-3</v>
      </c>
      <c r="T1027">
        <f t="shared" si="31"/>
        <v>2014</v>
      </c>
      <c r="W1027" s="86">
        <v>42241</v>
      </c>
      <c r="X1027">
        <v>532.29999999999995</v>
      </c>
    </row>
    <row r="1028" spans="1:24">
      <c r="A1028" s="68">
        <v>34594</v>
      </c>
      <c r="B1028" s="33">
        <v>837.21</v>
      </c>
      <c r="C1028">
        <f t="shared" ref="C1028:C1091" si="32">YEAR(A1028)</f>
        <v>1994</v>
      </c>
      <c r="H1028" s="85">
        <v>41933</v>
      </c>
      <c r="I1028">
        <v>2065.8200000000002</v>
      </c>
      <c r="N1028" s="69">
        <v>41990</v>
      </c>
      <c r="O1028">
        <v>535.6</v>
      </c>
      <c r="P1028">
        <v>528.15</v>
      </c>
      <c r="Q1028">
        <v>535.65</v>
      </c>
      <c r="R1028">
        <v>527.72</v>
      </c>
      <c r="S1028" s="3">
        <v>-1E-4</v>
      </c>
      <c r="T1028">
        <f t="shared" ref="T1028:T1091" si="33">YEAR(N1028)</f>
        <v>2014</v>
      </c>
      <c r="W1028" s="86">
        <v>42242</v>
      </c>
      <c r="X1028">
        <v>532.33000000000004</v>
      </c>
    </row>
    <row r="1029" spans="1:24">
      <c r="A1029" s="68">
        <v>34595</v>
      </c>
      <c r="B1029" s="32">
        <v>837.21</v>
      </c>
      <c r="C1029">
        <f t="shared" si="32"/>
        <v>1994</v>
      </c>
      <c r="H1029" s="85">
        <v>41934</v>
      </c>
      <c r="I1029">
        <v>2048.44</v>
      </c>
      <c r="N1029" s="69">
        <v>41989</v>
      </c>
      <c r="O1029">
        <v>535.65</v>
      </c>
      <c r="P1029">
        <v>528.15</v>
      </c>
      <c r="Q1029">
        <v>535.72</v>
      </c>
      <c r="R1029">
        <v>528.1</v>
      </c>
      <c r="S1029" s="3">
        <v>0</v>
      </c>
      <c r="T1029">
        <f t="shared" si="33"/>
        <v>2014</v>
      </c>
      <c r="W1029" s="86">
        <v>42243</v>
      </c>
      <c r="X1029">
        <v>532.38</v>
      </c>
    </row>
    <row r="1030" spans="1:24">
      <c r="A1030" s="68">
        <v>34596</v>
      </c>
      <c r="B1030" s="33">
        <v>837.21</v>
      </c>
      <c r="C1030">
        <f t="shared" si="32"/>
        <v>1994</v>
      </c>
      <c r="H1030" s="85">
        <v>41935</v>
      </c>
      <c r="I1030">
        <v>2049.9</v>
      </c>
      <c r="N1030" s="69">
        <v>41988</v>
      </c>
      <c r="O1030">
        <v>535.65</v>
      </c>
      <c r="P1030">
        <v>528.20000000000005</v>
      </c>
      <c r="Q1030">
        <v>548.5</v>
      </c>
      <c r="R1030">
        <v>528.04999999999995</v>
      </c>
      <c r="S1030" s="3">
        <v>0</v>
      </c>
      <c r="T1030">
        <f t="shared" si="33"/>
        <v>2014</v>
      </c>
      <c r="W1030" s="86">
        <v>42244</v>
      </c>
      <c r="X1030">
        <v>532.4</v>
      </c>
    </row>
    <row r="1031" spans="1:24">
      <c r="A1031" s="68">
        <v>34597</v>
      </c>
      <c r="B1031" s="32">
        <v>838.63</v>
      </c>
      <c r="C1031">
        <f t="shared" si="32"/>
        <v>1994</v>
      </c>
      <c r="H1031" s="85">
        <v>41936</v>
      </c>
      <c r="I1031">
        <v>2053.39</v>
      </c>
      <c r="N1031" s="69">
        <v>41985</v>
      </c>
      <c r="O1031">
        <v>535.65</v>
      </c>
      <c r="P1031">
        <v>528.20000000000005</v>
      </c>
      <c r="Q1031">
        <v>535.70000000000005</v>
      </c>
      <c r="R1031">
        <v>528.14</v>
      </c>
      <c r="S1031" s="3">
        <v>-1E-4</v>
      </c>
      <c r="T1031">
        <f t="shared" si="33"/>
        <v>2014</v>
      </c>
      <c r="W1031" s="86">
        <v>42247</v>
      </c>
      <c r="X1031">
        <v>534</v>
      </c>
    </row>
    <row r="1032" spans="1:24">
      <c r="A1032" s="68">
        <v>34598</v>
      </c>
      <c r="B1032" s="33">
        <v>841.82</v>
      </c>
      <c r="C1032">
        <f t="shared" si="32"/>
        <v>1994</v>
      </c>
      <c r="H1032" s="85">
        <v>41937</v>
      </c>
      <c r="I1032">
        <v>2065.38</v>
      </c>
      <c r="N1032" s="69">
        <v>41984</v>
      </c>
      <c r="O1032">
        <v>535.70000000000005</v>
      </c>
      <c r="P1032">
        <v>528.1</v>
      </c>
      <c r="Q1032">
        <v>535.71</v>
      </c>
      <c r="R1032">
        <v>528</v>
      </c>
      <c r="S1032" s="3">
        <v>2.0000000000000001E-4</v>
      </c>
      <c r="T1032">
        <f t="shared" si="33"/>
        <v>2014</v>
      </c>
      <c r="W1032" s="86">
        <v>42248</v>
      </c>
      <c r="X1032">
        <v>534.12</v>
      </c>
    </row>
    <row r="1033" spans="1:24">
      <c r="A1033" s="68">
        <v>34599</v>
      </c>
      <c r="B1033" s="32">
        <v>842.7</v>
      </c>
      <c r="C1033">
        <f t="shared" si="32"/>
        <v>1994</v>
      </c>
      <c r="H1033" s="85">
        <v>41938</v>
      </c>
      <c r="I1033">
        <v>2065.38</v>
      </c>
      <c r="N1033" s="69">
        <v>41983</v>
      </c>
      <c r="O1033">
        <v>535.6</v>
      </c>
      <c r="P1033">
        <v>527.70000000000005</v>
      </c>
      <c r="Q1033">
        <v>535.74</v>
      </c>
      <c r="R1033">
        <v>527.54999999999995</v>
      </c>
      <c r="S1033" s="3">
        <v>6.9999999999999999E-4</v>
      </c>
      <c r="T1033">
        <f t="shared" si="33"/>
        <v>2014</v>
      </c>
      <c r="W1033" s="86">
        <v>42249</v>
      </c>
      <c r="X1033">
        <v>534.35</v>
      </c>
    </row>
    <row r="1034" spans="1:24">
      <c r="A1034" s="68">
        <v>34600</v>
      </c>
      <c r="B1034" s="33">
        <v>841.53</v>
      </c>
      <c r="C1034">
        <f t="shared" si="32"/>
        <v>1994</v>
      </c>
      <c r="H1034" s="85">
        <v>41939</v>
      </c>
      <c r="I1034">
        <v>2065.38</v>
      </c>
      <c r="N1034" s="69">
        <v>41982</v>
      </c>
      <c r="O1034">
        <v>535.20000000000005</v>
      </c>
      <c r="P1034">
        <v>527.79999999999995</v>
      </c>
      <c r="Q1034">
        <v>535.29999999999995</v>
      </c>
      <c r="R1034">
        <v>527.70000000000005</v>
      </c>
      <c r="S1034" s="3">
        <v>-2.0000000000000001E-4</v>
      </c>
      <c r="T1034">
        <f t="shared" si="33"/>
        <v>2014</v>
      </c>
      <c r="W1034" s="86">
        <v>42250</v>
      </c>
      <c r="X1034">
        <v>534.45000000000005</v>
      </c>
    </row>
    <row r="1035" spans="1:24">
      <c r="A1035" s="68">
        <v>34601</v>
      </c>
      <c r="B1035" s="32">
        <v>839.46</v>
      </c>
      <c r="C1035">
        <f t="shared" si="32"/>
        <v>1994</v>
      </c>
      <c r="H1035" s="85">
        <v>41940</v>
      </c>
      <c r="I1035">
        <v>2069.7199999999998</v>
      </c>
      <c r="N1035" s="69">
        <v>41981</v>
      </c>
      <c r="O1035">
        <v>535.29999999999995</v>
      </c>
      <c r="P1035">
        <v>528</v>
      </c>
      <c r="Q1035">
        <v>548.5</v>
      </c>
      <c r="R1035">
        <v>527.79999999999995</v>
      </c>
      <c r="S1035" s="3">
        <v>-4.0000000000000002E-4</v>
      </c>
      <c r="T1035">
        <f t="shared" si="33"/>
        <v>2014</v>
      </c>
      <c r="W1035" s="86">
        <v>42251</v>
      </c>
      <c r="X1035">
        <v>536.04999999999995</v>
      </c>
    </row>
    <row r="1036" spans="1:24">
      <c r="A1036" s="68">
        <v>34602</v>
      </c>
      <c r="B1036" s="33">
        <v>839.46</v>
      </c>
      <c r="C1036">
        <f t="shared" si="32"/>
        <v>1994</v>
      </c>
      <c r="H1036" s="85">
        <v>41941</v>
      </c>
      <c r="I1036">
        <v>2055.4299999999998</v>
      </c>
      <c r="N1036" s="69">
        <v>41978</v>
      </c>
      <c r="O1036">
        <v>535.5</v>
      </c>
      <c r="P1036">
        <v>528.1</v>
      </c>
      <c r="Q1036">
        <v>548.5</v>
      </c>
      <c r="R1036">
        <v>528</v>
      </c>
      <c r="S1036" s="3">
        <v>-2.0000000000000001E-4</v>
      </c>
      <c r="T1036">
        <f t="shared" si="33"/>
        <v>2014</v>
      </c>
      <c r="W1036" s="86">
        <v>42254</v>
      </c>
      <c r="X1036">
        <v>536.02</v>
      </c>
    </row>
    <row r="1037" spans="1:24">
      <c r="A1037" s="68">
        <v>34603</v>
      </c>
      <c r="B1037" s="32">
        <v>839.46</v>
      </c>
      <c r="C1037">
        <f t="shared" si="32"/>
        <v>1994</v>
      </c>
      <c r="H1037" s="85">
        <v>41942</v>
      </c>
      <c r="I1037">
        <v>2044.55</v>
      </c>
      <c r="N1037" s="69">
        <v>41977</v>
      </c>
      <c r="O1037">
        <v>535.6</v>
      </c>
      <c r="P1037">
        <v>528.25</v>
      </c>
      <c r="Q1037">
        <v>535.75</v>
      </c>
      <c r="R1037">
        <v>528.1</v>
      </c>
      <c r="S1037" s="3">
        <v>-2.9999999999999997E-4</v>
      </c>
      <c r="T1037">
        <f t="shared" si="33"/>
        <v>2014</v>
      </c>
      <c r="W1037" s="86">
        <v>42255</v>
      </c>
      <c r="X1037">
        <v>538.89</v>
      </c>
    </row>
    <row r="1038" spans="1:24">
      <c r="A1038" s="68">
        <v>34604</v>
      </c>
      <c r="B1038" s="33">
        <v>840.23</v>
      </c>
      <c r="C1038">
        <f t="shared" si="32"/>
        <v>1994</v>
      </c>
      <c r="H1038" s="85">
        <v>41943</v>
      </c>
      <c r="I1038">
        <v>2050.52</v>
      </c>
      <c r="N1038" s="69">
        <v>41976</v>
      </c>
      <c r="O1038">
        <v>535.75</v>
      </c>
      <c r="P1038">
        <v>528.65</v>
      </c>
      <c r="Q1038">
        <v>536.15</v>
      </c>
      <c r="R1038">
        <v>528.25</v>
      </c>
      <c r="S1038" s="3">
        <v>-6.9999999999999999E-4</v>
      </c>
      <c r="T1038">
        <f t="shared" si="33"/>
        <v>2014</v>
      </c>
      <c r="W1038" s="86">
        <v>42256</v>
      </c>
      <c r="X1038">
        <v>536.44000000000005</v>
      </c>
    </row>
    <row r="1039" spans="1:24">
      <c r="A1039" s="68">
        <v>34605</v>
      </c>
      <c r="B1039" s="32">
        <v>841.51</v>
      </c>
      <c r="C1039">
        <f t="shared" si="32"/>
        <v>1994</v>
      </c>
      <c r="H1039" s="85">
        <v>41944</v>
      </c>
      <c r="I1039">
        <v>2061.92</v>
      </c>
      <c r="N1039" s="69">
        <v>41975</v>
      </c>
      <c r="O1039">
        <v>536.15</v>
      </c>
      <c r="P1039">
        <v>528.74</v>
      </c>
      <c r="Q1039">
        <v>537.04999999999995</v>
      </c>
      <c r="R1039">
        <v>528.65</v>
      </c>
      <c r="S1039" s="3">
        <v>-1.6999999999999999E-3</v>
      </c>
      <c r="T1039">
        <f t="shared" si="33"/>
        <v>2014</v>
      </c>
      <c r="W1039" s="86">
        <v>42257</v>
      </c>
      <c r="X1039">
        <v>536.20000000000005</v>
      </c>
    </row>
    <row r="1040" spans="1:24">
      <c r="A1040" s="68">
        <v>34606</v>
      </c>
      <c r="B1040" s="33">
        <v>841.32</v>
      </c>
      <c r="C1040">
        <f t="shared" si="32"/>
        <v>1994</v>
      </c>
      <c r="H1040" s="85">
        <v>41945</v>
      </c>
      <c r="I1040">
        <v>2061.92</v>
      </c>
      <c r="N1040" s="69">
        <v>41974</v>
      </c>
      <c r="O1040">
        <v>537.04999999999995</v>
      </c>
      <c r="P1040">
        <v>529.85</v>
      </c>
      <c r="Q1040">
        <v>537.35</v>
      </c>
      <c r="R1040">
        <v>529.54999999999995</v>
      </c>
      <c r="S1040" s="3">
        <v>-5.9999999999999995E-4</v>
      </c>
      <c r="T1040">
        <f t="shared" si="33"/>
        <v>2014</v>
      </c>
      <c r="W1040" s="86">
        <v>42258</v>
      </c>
      <c r="X1040">
        <v>534.85</v>
      </c>
    </row>
    <row r="1041" spans="1:24">
      <c r="A1041" s="68">
        <v>34607</v>
      </c>
      <c r="B1041" s="32">
        <v>842</v>
      </c>
      <c r="C1041">
        <f t="shared" si="32"/>
        <v>1994</v>
      </c>
      <c r="H1041" s="85">
        <v>41946</v>
      </c>
      <c r="I1041">
        <v>2061.92</v>
      </c>
      <c r="N1041" s="69">
        <v>41971</v>
      </c>
      <c r="O1041">
        <v>537.35</v>
      </c>
      <c r="P1041">
        <v>529.89</v>
      </c>
      <c r="Q1041">
        <v>537.5</v>
      </c>
      <c r="R1041">
        <v>529.85</v>
      </c>
      <c r="S1041" s="3">
        <v>-2.9999999999999997E-4</v>
      </c>
      <c r="T1041">
        <f t="shared" si="33"/>
        <v>2014</v>
      </c>
      <c r="W1041" s="86">
        <v>42261</v>
      </c>
      <c r="X1041">
        <v>534.35</v>
      </c>
    </row>
    <row r="1042" spans="1:24">
      <c r="A1042" s="68">
        <v>34608</v>
      </c>
      <c r="B1042" s="33">
        <v>843</v>
      </c>
      <c r="C1042">
        <f t="shared" si="32"/>
        <v>1994</v>
      </c>
      <c r="H1042" s="85">
        <v>41947</v>
      </c>
      <c r="I1042">
        <v>2061.92</v>
      </c>
      <c r="N1042" s="69">
        <v>41970</v>
      </c>
      <c r="O1042">
        <v>537.5</v>
      </c>
      <c r="P1042">
        <v>529.83000000000004</v>
      </c>
      <c r="Q1042">
        <v>537.5</v>
      </c>
      <c r="R1042">
        <v>529.83000000000004</v>
      </c>
      <c r="S1042" s="3">
        <v>0</v>
      </c>
      <c r="T1042">
        <f t="shared" si="33"/>
        <v>2014</v>
      </c>
      <c r="W1042" s="86">
        <v>42262</v>
      </c>
      <c r="X1042">
        <v>532.54999999999995</v>
      </c>
    </row>
    <row r="1043" spans="1:24">
      <c r="A1043" s="68">
        <v>34609</v>
      </c>
      <c r="B1043" s="32">
        <v>843</v>
      </c>
      <c r="C1043">
        <f t="shared" si="32"/>
        <v>1994</v>
      </c>
      <c r="H1043" s="85">
        <v>41948</v>
      </c>
      <c r="I1043">
        <v>2076.9899999999998</v>
      </c>
      <c r="N1043" s="69">
        <v>41969</v>
      </c>
      <c r="O1043">
        <v>537.5</v>
      </c>
      <c r="P1043">
        <v>530.29999999999995</v>
      </c>
      <c r="Q1043">
        <v>548.5</v>
      </c>
      <c r="R1043">
        <v>530</v>
      </c>
      <c r="S1043" s="3">
        <v>-5.9999999999999995E-4</v>
      </c>
      <c r="T1043">
        <f t="shared" si="33"/>
        <v>2014</v>
      </c>
      <c r="W1043" s="86">
        <v>42263</v>
      </c>
      <c r="X1043">
        <v>532.52</v>
      </c>
    </row>
    <row r="1044" spans="1:24">
      <c r="A1044" s="68">
        <v>34610</v>
      </c>
      <c r="B1044" s="33">
        <v>843</v>
      </c>
      <c r="C1044">
        <f t="shared" si="32"/>
        <v>1994</v>
      </c>
      <c r="H1044" s="85">
        <v>41949</v>
      </c>
      <c r="I1044">
        <v>2081.2399999999998</v>
      </c>
      <c r="N1044" s="69">
        <v>41968</v>
      </c>
      <c r="O1044">
        <v>537.79999999999995</v>
      </c>
      <c r="P1044">
        <v>530.29999999999995</v>
      </c>
      <c r="Q1044">
        <v>548.5</v>
      </c>
      <c r="R1044">
        <v>530.20000000000005</v>
      </c>
      <c r="S1044" s="3">
        <v>0</v>
      </c>
      <c r="T1044">
        <f t="shared" si="33"/>
        <v>2014</v>
      </c>
      <c r="W1044" s="86">
        <v>42264</v>
      </c>
      <c r="X1044">
        <v>532.38</v>
      </c>
    </row>
    <row r="1045" spans="1:24">
      <c r="A1045" s="68">
        <v>34611</v>
      </c>
      <c r="B1045" s="32">
        <v>843.65</v>
      </c>
      <c r="C1045">
        <f t="shared" si="32"/>
        <v>1994</v>
      </c>
      <c r="H1045" s="85">
        <v>41950</v>
      </c>
      <c r="I1045">
        <v>2086.86</v>
      </c>
      <c r="N1045" s="69">
        <v>41967</v>
      </c>
      <c r="O1045">
        <v>537.79999999999995</v>
      </c>
      <c r="P1045">
        <v>530.29999999999995</v>
      </c>
      <c r="Q1045">
        <v>548.5</v>
      </c>
      <c r="R1045">
        <v>530.1</v>
      </c>
      <c r="S1045" s="3">
        <v>0</v>
      </c>
      <c r="T1045">
        <f t="shared" si="33"/>
        <v>2014</v>
      </c>
      <c r="W1045" s="86">
        <v>42265</v>
      </c>
      <c r="X1045">
        <v>532.35</v>
      </c>
    </row>
    <row r="1046" spans="1:24">
      <c r="A1046" s="68">
        <v>34612</v>
      </c>
      <c r="B1046" s="33">
        <v>844.4</v>
      </c>
      <c r="C1046">
        <f t="shared" si="32"/>
        <v>1994</v>
      </c>
      <c r="H1046" s="85">
        <v>41951</v>
      </c>
      <c r="I1046">
        <v>2103.25</v>
      </c>
      <c r="N1046" s="69">
        <v>41964</v>
      </c>
      <c r="O1046">
        <v>537.79999999999995</v>
      </c>
      <c r="P1046">
        <v>530.35</v>
      </c>
      <c r="Q1046">
        <v>548.5</v>
      </c>
      <c r="R1046">
        <v>530.29999999999995</v>
      </c>
      <c r="S1046" s="3">
        <v>-1E-4</v>
      </c>
      <c r="T1046">
        <f t="shared" si="33"/>
        <v>2014</v>
      </c>
      <c r="W1046" s="86">
        <v>42268</v>
      </c>
      <c r="X1046">
        <v>532.29999999999995</v>
      </c>
    </row>
    <row r="1047" spans="1:24">
      <c r="A1047" s="68">
        <v>34613</v>
      </c>
      <c r="B1047" s="32">
        <v>842.54</v>
      </c>
      <c r="C1047">
        <f t="shared" si="32"/>
        <v>1994</v>
      </c>
      <c r="H1047" s="85">
        <v>41952</v>
      </c>
      <c r="I1047">
        <v>2103.25</v>
      </c>
      <c r="N1047" s="69">
        <v>41963</v>
      </c>
      <c r="O1047">
        <v>537.85</v>
      </c>
      <c r="P1047">
        <v>530.35</v>
      </c>
      <c r="Q1047">
        <v>548.5</v>
      </c>
      <c r="R1047">
        <v>530.35</v>
      </c>
      <c r="S1047" s="3">
        <v>0</v>
      </c>
      <c r="T1047">
        <f t="shared" si="33"/>
        <v>2014</v>
      </c>
      <c r="W1047" s="86">
        <v>42269</v>
      </c>
      <c r="X1047">
        <v>538.4</v>
      </c>
    </row>
    <row r="1048" spans="1:24">
      <c r="A1048" s="68">
        <v>34614</v>
      </c>
      <c r="B1048" s="33">
        <v>840.06</v>
      </c>
      <c r="C1048">
        <f t="shared" si="32"/>
        <v>1994</v>
      </c>
      <c r="H1048" s="85">
        <v>41953</v>
      </c>
      <c r="I1048">
        <v>2103.25</v>
      </c>
      <c r="N1048" s="69">
        <v>41962</v>
      </c>
      <c r="O1048">
        <v>537.85</v>
      </c>
      <c r="P1048">
        <v>530.79999999999995</v>
      </c>
      <c r="Q1048">
        <v>548.5</v>
      </c>
      <c r="R1048">
        <v>530.35</v>
      </c>
      <c r="S1048" s="3">
        <v>-8.0000000000000004E-4</v>
      </c>
      <c r="T1048">
        <f t="shared" si="33"/>
        <v>2014</v>
      </c>
      <c r="W1048" s="86">
        <v>42270</v>
      </c>
      <c r="X1048">
        <v>538.79999999999995</v>
      </c>
    </row>
    <row r="1049" spans="1:24">
      <c r="A1049" s="68">
        <v>34615</v>
      </c>
      <c r="B1049" s="32">
        <v>836.8</v>
      </c>
      <c r="C1049">
        <f t="shared" si="32"/>
        <v>1994</v>
      </c>
      <c r="H1049" s="85">
        <v>41954</v>
      </c>
      <c r="I1049">
        <v>2103.12</v>
      </c>
      <c r="N1049" s="69">
        <v>41961</v>
      </c>
      <c r="O1049">
        <v>538.29999999999995</v>
      </c>
      <c r="P1049">
        <v>531.04999999999995</v>
      </c>
      <c r="Q1049">
        <v>548.5</v>
      </c>
      <c r="R1049">
        <v>530.75</v>
      </c>
      <c r="S1049" s="3">
        <v>-5.0000000000000001E-4</v>
      </c>
      <c r="T1049">
        <f t="shared" si="33"/>
        <v>2014</v>
      </c>
      <c r="W1049" s="86">
        <v>42271</v>
      </c>
      <c r="X1049">
        <v>532.38</v>
      </c>
    </row>
    <row r="1050" spans="1:24">
      <c r="A1050" s="68">
        <v>34616</v>
      </c>
      <c r="B1050" s="33">
        <v>836.8</v>
      </c>
      <c r="C1050">
        <f t="shared" si="32"/>
        <v>1994</v>
      </c>
      <c r="H1050" s="85">
        <v>41955</v>
      </c>
      <c r="I1050">
        <v>2103.12</v>
      </c>
      <c r="N1050" s="69">
        <v>41960</v>
      </c>
      <c r="O1050">
        <v>538.54999999999995</v>
      </c>
      <c r="P1050">
        <v>531.82000000000005</v>
      </c>
      <c r="Q1050">
        <v>548.5</v>
      </c>
      <c r="R1050">
        <v>531.04999999999995</v>
      </c>
      <c r="S1050" s="3">
        <v>-1.4E-3</v>
      </c>
      <c r="T1050">
        <f t="shared" si="33"/>
        <v>2014</v>
      </c>
      <c r="W1050" s="86">
        <v>42272</v>
      </c>
      <c r="X1050">
        <v>532.63</v>
      </c>
    </row>
    <row r="1051" spans="1:24">
      <c r="A1051" s="68">
        <v>34617</v>
      </c>
      <c r="B1051" s="32">
        <v>836.8</v>
      </c>
      <c r="C1051">
        <f t="shared" si="32"/>
        <v>1994</v>
      </c>
      <c r="H1051" s="85">
        <v>41956</v>
      </c>
      <c r="I1051">
        <v>2115.59</v>
      </c>
      <c r="N1051" s="69">
        <v>41957</v>
      </c>
      <c r="O1051">
        <v>539.32000000000005</v>
      </c>
      <c r="P1051">
        <v>531.85</v>
      </c>
      <c r="Q1051">
        <v>548.5</v>
      </c>
      <c r="R1051">
        <v>531.79999999999995</v>
      </c>
      <c r="S1051" s="3">
        <v>-1E-4</v>
      </c>
      <c r="T1051">
        <f t="shared" si="33"/>
        <v>2014</v>
      </c>
      <c r="W1051" s="86">
        <v>42275</v>
      </c>
      <c r="X1051">
        <v>536.15</v>
      </c>
    </row>
    <row r="1052" spans="1:24">
      <c r="A1052" s="68">
        <v>34618</v>
      </c>
      <c r="B1052" s="33">
        <v>835.59</v>
      </c>
      <c r="C1052">
        <f t="shared" si="32"/>
        <v>1994</v>
      </c>
      <c r="H1052" s="85">
        <v>41957</v>
      </c>
      <c r="I1052">
        <v>2133.0300000000002</v>
      </c>
      <c r="N1052" s="69">
        <v>41956</v>
      </c>
      <c r="O1052">
        <v>539.35</v>
      </c>
      <c r="P1052">
        <v>531.75</v>
      </c>
      <c r="Q1052">
        <v>548.5</v>
      </c>
      <c r="R1052">
        <v>531.6</v>
      </c>
      <c r="S1052" s="3">
        <v>2.0000000000000001E-4</v>
      </c>
      <c r="T1052">
        <f t="shared" si="33"/>
        <v>2014</v>
      </c>
      <c r="W1052" s="86">
        <v>42276</v>
      </c>
      <c r="X1052">
        <v>532.70000000000005</v>
      </c>
    </row>
    <row r="1053" spans="1:24">
      <c r="A1053" s="68">
        <v>34619</v>
      </c>
      <c r="B1053" s="32">
        <v>835.38</v>
      </c>
      <c r="C1053">
        <f t="shared" si="32"/>
        <v>1994</v>
      </c>
      <c r="H1053" s="85">
        <v>41958</v>
      </c>
      <c r="I1053">
        <v>2160.4699999999998</v>
      </c>
      <c r="N1053" s="69">
        <v>41955</v>
      </c>
      <c r="O1053">
        <v>539.25</v>
      </c>
      <c r="P1053">
        <v>531.95000000000005</v>
      </c>
      <c r="Q1053">
        <v>548.5</v>
      </c>
      <c r="R1053">
        <v>531.75</v>
      </c>
      <c r="S1053" s="3">
        <v>-4.0000000000000002E-4</v>
      </c>
      <c r="T1053">
        <f t="shared" si="33"/>
        <v>2014</v>
      </c>
      <c r="W1053" s="86">
        <v>42277</v>
      </c>
      <c r="X1053">
        <v>534.95000000000005</v>
      </c>
    </row>
    <row r="1054" spans="1:24">
      <c r="A1054" s="68">
        <v>34620</v>
      </c>
      <c r="B1054" s="33">
        <v>836.4</v>
      </c>
      <c r="C1054">
        <f t="shared" si="32"/>
        <v>1994</v>
      </c>
      <c r="H1054" s="85">
        <v>41959</v>
      </c>
      <c r="I1054">
        <v>2160.4699999999998</v>
      </c>
      <c r="N1054" s="69">
        <v>41954</v>
      </c>
      <c r="O1054">
        <v>539.45000000000005</v>
      </c>
      <c r="P1054">
        <v>532</v>
      </c>
      <c r="Q1054">
        <v>539.5</v>
      </c>
      <c r="R1054">
        <v>531.95000000000005</v>
      </c>
      <c r="S1054" s="3">
        <v>-1E-4</v>
      </c>
      <c r="T1054">
        <f t="shared" si="33"/>
        <v>2014</v>
      </c>
      <c r="W1054" s="86">
        <v>42278</v>
      </c>
      <c r="X1054">
        <v>534.42999999999995</v>
      </c>
    </row>
    <row r="1055" spans="1:24">
      <c r="A1055" s="68">
        <v>34621</v>
      </c>
      <c r="B1055" s="32">
        <v>836.01</v>
      </c>
      <c r="C1055">
        <f t="shared" si="32"/>
        <v>1994</v>
      </c>
      <c r="H1055" s="85">
        <v>41960</v>
      </c>
      <c r="I1055">
        <v>2160.4699999999998</v>
      </c>
      <c r="N1055" s="69">
        <v>41953</v>
      </c>
      <c r="O1055">
        <v>539.5</v>
      </c>
      <c r="P1055">
        <v>532.4</v>
      </c>
      <c r="Q1055">
        <v>548.5</v>
      </c>
      <c r="R1055">
        <v>532</v>
      </c>
      <c r="S1055" s="3">
        <v>-6.9999999999999999E-4</v>
      </c>
      <c r="T1055">
        <f t="shared" si="33"/>
        <v>2014</v>
      </c>
      <c r="W1055" s="86">
        <v>42279</v>
      </c>
      <c r="X1055">
        <v>534.95000000000005</v>
      </c>
    </row>
    <row r="1056" spans="1:24">
      <c r="A1056" s="68">
        <v>34622</v>
      </c>
      <c r="B1056" s="33">
        <v>834.83</v>
      </c>
      <c r="C1056">
        <f t="shared" si="32"/>
        <v>1994</v>
      </c>
      <c r="H1056" s="85">
        <v>41961</v>
      </c>
      <c r="I1056">
        <v>2160.4699999999998</v>
      </c>
      <c r="N1056" s="69">
        <v>41950</v>
      </c>
      <c r="O1056">
        <v>539.9</v>
      </c>
      <c r="P1056">
        <v>533.35</v>
      </c>
      <c r="Q1056">
        <v>540.85</v>
      </c>
      <c r="R1056">
        <v>532.4</v>
      </c>
      <c r="S1056" s="3">
        <v>-1.8E-3</v>
      </c>
      <c r="T1056">
        <f t="shared" si="33"/>
        <v>2014</v>
      </c>
      <c r="W1056" s="86">
        <v>42282</v>
      </c>
      <c r="X1056">
        <v>534.91999999999996</v>
      </c>
    </row>
    <row r="1057" spans="1:24">
      <c r="A1057" s="68">
        <v>34623</v>
      </c>
      <c r="B1057" s="32">
        <v>834.83</v>
      </c>
      <c r="C1057">
        <f t="shared" si="32"/>
        <v>1994</v>
      </c>
      <c r="H1057" s="85">
        <v>41962</v>
      </c>
      <c r="I1057">
        <v>2158.58</v>
      </c>
      <c r="N1057" s="69">
        <v>41949</v>
      </c>
      <c r="O1057">
        <v>540.85</v>
      </c>
      <c r="P1057">
        <v>533</v>
      </c>
      <c r="Q1057">
        <v>548.5</v>
      </c>
      <c r="R1057">
        <v>533</v>
      </c>
      <c r="S1057" s="3">
        <v>5.9999999999999995E-4</v>
      </c>
      <c r="T1057">
        <f t="shared" si="33"/>
        <v>2014</v>
      </c>
      <c r="W1057" s="86">
        <v>42283</v>
      </c>
      <c r="X1057">
        <v>538.38</v>
      </c>
    </row>
    <row r="1058" spans="1:24">
      <c r="A1058" s="68">
        <v>34624</v>
      </c>
      <c r="B1058" s="33">
        <v>834.83</v>
      </c>
      <c r="C1058">
        <f t="shared" si="32"/>
        <v>1994</v>
      </c>
      <c r="H1058" s="85">
        <v>41963</v>
      </c>
      <c r="I1058">
        <v>2156.73</v>
      </c>
      <c r="N1058" s="69">
        <v>41948</v>
      </c>
      <c r="O1058">
        <v>540.5</v>
      </c>
      <c r="P1058">
        <v>533.29999999999995</v>
      </c>
      <c r="Q1058">
        <v>548.5</v>
      </c>
      <c r="R1058">
        <v>533</v>
      </c>
      <c r="S1058" s="3">
        <v>-5.9999999999999995E-4</v>
      </c>
      <c r="T1058">
        <f t="shared" si="33"/>
        <v>2014</v>
      </c>
      <c r="W1058" s="86">
        <v>42284</v>
      </c>
      <c r="X1058">
        <v>534.05999999999995</v>
      </c>
    </row>
    <row r="1059" spans="1:24">
      <c r="A1059" s="68">
        <v>34625</v>
      </c>
      <c r="B1059" s="32">
        <v>834.83</v>
      </c>
      <c r="C1059">
        <f t="shared" si="32"/>
        <v>1994</v>
      </c>
      <c r="H1059" s="85">
        <v>41964</v>
      </c>
      <c r="I1059">
        <v>2156.9299999999998</v>
      </c>
      <c r="N1059" s="69">
        <v>41947</v>
      </c>
      <c r="O1059">
        <v>540.79999999999995</v>
      </c>
      <c r="P1059">
        <v>533.20000000000005</v>
      </c>
      <c r="Q1059">
        <v>548.5</v>
      </c>
      <c r="R1059">
        <v>533.1</v>
      </c>
      <c r="S1059" s="3">
        <v>2.0000000000000001E-4</v>
      </c>
      <c r="T1059">
        <f t="shared" si="33"/>
        <v>2014</v>
      </c>
      <c r="W1059" s="86">
        <v>42285</v>
      </c>
      <c r="X1059">
        <v>533.87</v>
      </c>
    </row>
    <row r="1060" spans="1:24">
      <c r="A1060" s="68">
        <v>34626</v>
      </c>
      <c r="B1060" s="33">
        <v>835.33</v>
      </c>
      <c r="C1060">
        <f t="shared" si="32"/>
        <v>1994</v>
      </c>
      <c r="H1060" s="85">
        <v>41965</v>
      </c>
      <c r="I1060">
        <v>2142.02</v>
      </c>
      <c r="N1060" s="69">
        <v>41946</v>
      </c>
      <c r="O1060">
        <v>540.70000000000005</v>
      </c>
      <c r="P1060">
        <v>533.04999999999995</v>
      </c>
      <c r="Q1060">
        <v>548.5</v>
      </c>
      <c r="R1060">
        <v>533</v>
      </c>
      <c r="S1060" s="3">
        <v>2.9999999999999997E-4</v>
      </c>
      <c r="T1060">
        <f t="shared" si="33"/>
        <v>2014</v>
      </c>
      <c r="W1060" s="86">
        <v>42286</v>
      </c>
      <c r="X1060">
        <v>533.99</v>
      </c>
    </row>
    <row r="1061" spans="1:24">
      <c r="A1061" s="68">
        <v>34627</v>
      </c>
      <c r="B1061" s="32">
        <v>836.72</v>
      </c>
      <c r="C1061">
        <f t="shared" si="32"/>
        <v>1994</v>
      </c>
      <c r="H1061" s="85">
        <v>41966</v>
      </c>
      <c r="I1061">
        <v>2142.02</v>
      </c>
      <c r="N1061" s="69">
        <v>41943</v>
      </c>
      <c r="O1061">
        <v>540.54999999999995</v>
      </c>
      <c r="P1061">
        <v>533.20000000000005</v>
      </c>
      <c r="Q1061">
        <v>548.5</v>
      </c>
      <c r="R1061">
        <v>533.04999999999995</v>
      </c>
      <c r="S1061" s="3">
        <v>-2.9999999999999997E-4</v>
      </c>
      <c r="T1061">
        <f t="shared" si="33"/>
        <v>2014</v>
      </c>
      <c r="W1061" s="86">
        <v>42289</v>
      </c>
      <c r="X1061">
        <v>533.47</v>
      </c>
    </row>
    <row r="1062" spans="1:24">
      <c r="A1062" s="68">
        <v>34628</v>
      </c>
      <c r="B1062" s="33">
        <v>838.32</v>
      </c>
      <c r="C1062">
        <f t="shared" si="32"/>
        <v>1994</v>
      </c>
      <c r="H1062" s="85">
        <v>41967</v>
      </c>
      <c r="I1062">
        <v>2142.02</v>
      </c>
      <c r="N1062" s="69">
        <v>41942</v>
      </c>
      <c r="O1062">
        <v>540.70000000000005</v>
      </c>
      <c r="P1062">
        <v>533</v>
      </c>
      <c r="Q1062">
        <v>548.5</v>
      </c>
      <c r="R1062">
        <v>533</v>
      </c>
      <c r="S1062" s="3">
        <v>4.0000000000000002E-4</v>
      </c>
      <c r="T1062">
        <f t="shared" si="33"/>
        <v>2014</v>
      </c>
      <c r="W1062" s="86">
        <v>42290</v>
      </c>
      <c r="X1062">
        <v>535.65</v>
      </c>
    </row>
    <row r="1063" spans="1:24">
      <c r="A1063" s="68">
        <v>34629</v>
      </c>
      <c r="B1063" s="32">
        <v>841.41</v>
      </c>
      <c r="C1063">
        <f t="shared" si="32"/>
        <v>1994</v>
      </c>
      <c r="H1063" s="85">
        <v>41968</v>
      </c>
      <c r="I1063">
        <v>2158.12</v>
      </c>
      <c r="N1063" s="69">
        <v>41941</v>
      </c>
      <c r="O1063">
        <v>540.5</v>
      </c>
      <c r="P1063">
        <v>533.1</v>
      </c>
      <c r="Q1063">
        <v>548.5</v>
      </c>
      <c r="R1063">
        <v>533</v>
      </c>
      <c r="S1063" s="3">
        <v>-2.0000000000000001E-4</v>
      </c>
      <c r="T1063">
        <f t="shared" si="33"/>
        <v>2014</v>
      </c>
      <c r="W1063" s="86">
        <v>42291</v>
      </c>
      <c r="X1063">
        <v>533.41999999999996</v>
      </c>
    </row>
    <row r="1064" spans="1:24">
      <c r="A1064" s="68">
        <v>34630</v>
      </c>
      <c r="B1064" s="33">
        <v>841.41</v>
      </c>
      <c r="C1064">
        <f t="shared" si="32"/>
        <v>1994</v>
      </c>
      <c r="H1064" s="85">
        <v>41969</v>
      </c>
      <c r="I1064">
        <v>2162.15</v>
      </c>
      <c r="N1064" s="69">
        <v>41940</v>
      </c>
      <c r="O1064">
        <v>540.6</v>
      </c>
      <c r="P1064">
        <v>533.14</v>
      </c>
      <c r="Q1064">
        <v>548.5</v>
      </c>
      <c r="R1064">
        <v>533.1</v>
      </c>
      <c r="S1064" s="3">
        <v>-4.4000000000000003E-3</v>
      </c>
      <c r="T1064">
        <f t="shared" si="33"/>
        <v>2014</v>
      </c>
      <c r="W1064" s="86">
        <v>42292</v>
      </c>
      <c r="X1064">
        <v>536.11</v>
      </c>
    </row>
    <row r="1065" spans="1:24">
      <c r="A1065" s="68">
        <v>34631</v>
      </c>
      <c r="B1065" s="32">
        <v>841.41</v>
      </c>
      <c r="C1065">
        <f t="shared" si="32"/>
        <v>1994</v>
      </c>
      <c r="H1065" s="85">
        <v>41970</v>
      </c>
      <c r="I1065">
        <v>2165.15</v>
      </c>
      <c r="N1065" s="69">
        <v>41939</v>
      </c>
      <c r="O1065">
        <v>543.01</v>
      </c>
      <c r="P1065">
        <v>533.48</v>
      </c>
      <c r="Q1065">
        <v>543.01</v>
      </c>
      <c r="R1065">
        <v>533.48</v>
      </c>
      <c r="S1065" s="3">
        <v>6.3E-3</v>
      </c>
      <c r="T1065">
        <f t="shared" si="33"/>
        <v>2014</v>
      </c>
      <c r="W1065" s="86">
        <v>42293</v>
      </c>
      <c r="X1065">
        <v>535.1</v>
      </c>
    </row>
    <row r="1066" spans="1:24">
      <c r="A1066" s="68">
        <v>34632</v>
      </c>
      <c r="B1066" s="33">
        <v>842.6</v>
      </c>
      <c r="C1066">
        <f t="shared" si="32"/>
        <v>1994</v>
      </c>
      <c r="H1066" s="85">
        <v>41971</v>
      </c>
      <c r="I1066">
        <v>2165.15</v>
      </c>
      <c r="N1066" s="69">
        <v>41936</v>
      </c>
      <c r="O1066">
        <v>539.63</v>
      </c>
      <c r="P1066">
        <v>533.94000000000005</v>
      </c>
      <c r="Q1066">
        <v>539.75</v>
      </c>
      <c r="R1066">
        <v>533.82000000000005</v>
      </c>
      <c r="S1066" s="3">
        <v>-2.0000000000000001E-4</v>
      </c>
      <c r="T1066">
        <f t="shared" si="33"/>
        <v>2014</v>
      </c>
      <c r="W1066" s="86">
        <v>42296</v>
      </c>
      <c r="X1066">
        <v>533</v>
      </c>
    </row>
    <row r="1067" spans="1:24">
      <c r="A1067" s="68">
        <v>34633</v>
      </c>
      <c r="B1067" s="32">
        <v>843.48</v>
      </c>
      <c r="C1067">
        <f t="shared" si="32"/>
        <v>1994</v>
      </c>
      <c r="H1067" s="85">
        <v>41972</v>
      </c>
      <c r="I1067">
        <v>2206.19</v>
      </c>
      <c r="N1067" s="69">
        <v>41935</v>
      </c>
      <c r="O1067">
        <v>539.75</v>
      </c>
      <c r="P1067">
        <v>533.97</v>
      </c>
      <c r="Q1067">
        <v>539.75</v>
      </c>
      <c r="R1067">
        <v>533.97</v>
      </c>
      <c r="S1067" s="3">
        <v>0</v>
      </c>
      <c r="T1067">
        <f t="shared" si="33"/>
        <v>2014</v>
      </c>
      <c r="W1067" s="86">
        <v>42297</v>
      </c>
      <c r="X1067">
        <v>535.41999999999996</v>
      </c>
    </row>
    <row r="1068" spans="1:24">
      <c r="A1068" s="68">
        <v>34634</v>
      </c>
      <c r="B1068" s="33">
        <v>841.32</v>
      </c>
      <c r="C1068">
        <f t="shared" si="32"/>
        <v>1994</v>
      </c>
      <c r="H1068" s="85">
        <v>41973</v>
      </c>
      <c r="I1068">
        <v>2206.19</v>
      </c>
      <c r="N1068" s="69">
        <v>41934</v>
      </c>
      <c r="O1068">
        <v>539.75</v>
      </c>
      <c r="P1068">
        <v>533.97</v>
      </c>
      <c r="Q1068">
        <v>539.75</v>
      </c>
      <c r="R1068">
        <v>533.97</v>
      </c>
      <c r="S1068" s="3">
        <v>-6.4999999999999997E-3</v>
      </c>
      <c r="T1068">
        <f t="shared" si="33"/>
        <v>2014</v>
      </c>
      <c r="W1068" s="86">
        <v>42298</v>
      </c>
      <c r="X1068">
        <v>535.57000000000005</v>
      </c>
    </row>
    <row r="1069" spans="1:24">
      <c r="A1069" s="68">
        <v>34635</v>
      </c>
      <c r="B1069" s="32">
        <v>840.05</v>
      </c>
      <c r="C1069">
        <f t="shared" si="32"/>
        <v>1994</v>
      </c>
      <c r="H1069" s="85">
        <v>41974</v>
      </c>
      <c r="I1069">
        <v>2206.19</v>
      </c>
      <c r="N1069" s="69">
        <v>41933</v>
      </c>
      <c r="O1069">
        <v>543.26</v>
      </c>
      <c r="P1069">
        <v>534.02</v>
      </c>
      <c r="Q1069">
        <v>543.26</v>
      </c>
      <c r="R1069">
        <v>534.02</v>
      </c>
      <c r="S1069" s="3">
        <v>8.3000000000000001E-3</v>
      </c>
      <c r="T1069">
        <f t="shared" si="33"/>
        <v>2014</v>
      </c>
      <c r="W1069" s="86">
        <v>42299</v>
      </c>
      <c r="X1069">
        <v>535.53</v>
      </c>
    </row>
    <row r="1070" spans="1:24">
      <c r="A1070" s="68">
        <v>34636</v>
      </c>
      <c r="B1070" s="33">
        <v>838.55</v>
      </c>
      <c r="C1070">
        <f t="shared" si="32"/>
        <v>1994</v>
      </c>
      <c r="H1070" s="85">
        <v>41975</v>
      </c>
      <c r="I1070">
        <v>2252.36</v>
      </c>
      <c r="N1070" s="69">
        <v>41932</v>
      </c>
      <c r="O1070">
        <v>538.79</v>
      </c>
      <c r="P1070">
        <v>534</v>
      </c>
      <c r="Q1070">
        <v>540.79</v>
      </c>
      <c r="R1070">
        <v>532</v>
      </c>
      <c r="S1070" s="3">
        <v>0</v>
      </c>
      <c r="T1070">
        <f t="shared" si="33"/>
        <v>2014</v>
      </c>
      <c r="W1070" s="86">
        <v>42300</v>
      </c>
      <c r="X1070">
        <v>533.04999999999995</v>
      </c>
    </row>
    <row r="1071" spans="1:24">
      <c r="A1071" s="68">
        <v>34637</v>
      </c>
      <c r="B1071" s="32">
        <v>838.55</v>
      </c>
      <c r="C1071">
        <f t="shared" si="32"/>
        <v>1994</v>
      </c>
      <c r="H1071" s="85">
        <v>41976</v>
      </c>
      <c r="I1071">
        <v>2293.4699999999998</v>
      </c>
      <c r="N1071" s="69">
        <v>41929</v>
      </c>
      <c r="O1071">
        <v>538.79999999999995</v>
      </c>
      <c r="P1071">
        <v>533.99</v>
      </c>
      <c r="Q1071">
        <v>540.79</v>
      </c>
      <c r="R1071">
        <v>532</v>
      </c>
      <c r="S1071" s="3">
        <v>-1.8E-3</v>
      </c>
      <c r="T1071">
        <f t="shared" si="33"/>
        <v>2014</v>
      </c>
      <c r="W1071" s="86">
        <v>42303</v>
      </c>
      <c r="X1071">
        <v>535.48</v>
      </c>
    </row>
    <row r="1072" spans="1:24">
      <c r="A1072" s="68">
        <v>34638</v>
      </c>
      <c r="B1072" s="33">
        <v>838.55</v>
      </c>
      <c r="C1072">
        <f t="shared" si="32"/>
        <v>1994</v>
      </c>
      <c r="H1072" s="85">
        <v>41977</v>
      </c>
      <c r="I1072">
        <v>2286.0300000000002</v>
      </c>
      <c r="N1072" s="69">
        <v>41928</v>
      </c>
      <c r="O1072">
        <v>539.76</v>
      </c>
      <c r="P1072">
        <v>533.97</v>
      </c>
      <c r="Q1072">
        <v>539.76</v>
      </c>
      <c r="R1072">
        <v>533.97</v>
      </c>
      <c r="S1072" s="3">
        <v>1.8E-3</v>
      </c>
      <c r="T1072">
        <f t="shared" si="33"/>
        <v>2014</v>
      </c>
      <c r="W1072" s="86">
        <v>42304</v>
      </c>
      <c r="X1072">
        <v>533.1</v>
      </c>
    </row>
    <row r="1073" spans="1:24">
      <c r="A1073" s="68">
        <v>34639</v>
      </c>
      <c r="B1073" s="32">
        <v>837.62</v>
      </c>
      <c r="C1073">
        <f t="shared" si="32"/>
        <v>1994</v>
      </c>
      <c r="H1073" s="85">
        <v>41978</v>
      </c>
      <c r="I1073">
        <v>2284.2399999999998</v>
      </c>
      <c r="N1073" s="69">
        <v>41927</v>
      </c>
      <c r="O1073">
        <v>538.78</v>
      </c>
      <c r="P1073">
        <v>533.98</v>
      </c>
      <c r="Q1073">
        <v>540.76</v>
      </c>
      <c r="R1073">
        <v>532</v>
      </c>
      <c r="S1073" s="3">
        <v>-1.8E-3</v>
      </c>
      <c r="T1073">
        <f t="shared" si="33"/>
        <v>2014</v>
      </c>
      <c r="W1073" s="86">
        <v>42305</v>
      </c>
      <c r="X1073">
        <v>538.15</v>
      </c>
    </row>
    <row r="1074" spans="1:24">
      <c r="A1074" s="68">
        <v>34640</v>
      </c>
      <c r="B1074" s="33">
        <v>837.79</v>
      </c>
      <c r="C1074">
        <f t="shared" si="32"/>
        <v>1994</v>
      </c>
      <c r="H1074" s="85">
        <v>41979</v>
      </c>
      <c r="I1074">
        <v>2304.12</v>
      </c>
      <c r="N1074" s="69">
        <v>41926</v>
      </c>
      <c r="O1074">
        <v>539.76</v>
      </c>
      <c r="P1074">
        <v>534.03</v>
      </c>
      <c r="Q1074">
        <v>539.76</v>
      </c>
      <c r="R1074">
        <v>534.03</v>
      </c>
      <c r="S1074" s="3">
        <v>1E-4</v>
      </c>
      <c r="T1074">
        <f t="shared" si="33"/>
        <v>2014</v>
      </c>
      <c r="W1074" s="86">
        <v>42306</v>
      </c>
      <c r="X1074">
        <v>532.88</v>
      </c>
    </row>
    <row r="1075" spans="1:24">
      <c r="A1075" s="68">
        <v>34641</v>
      </c>
      <c r="B1075" s="32">
        <v>836.18</v>
      </c>
      <c r="C1075">
        <f t="shared" si="32"/>
        <v>1994</v>
      </c>
      <c r="H1075" s="85">
        <v>41980</v>
      </c>
      <c r="I1075">
        <v>2304.12</v>
      </c>
      <c r="N1075" s="69">
        <v>41925</v>
      </c>
      <c r="O1075">
        <v>539.73</v>
      </c>
      <c r="P1075">
        <v>533.98</v>
      </c>
      <c r="Q1075">
        <v>539.73</v>
      </c>
      <c r="R1075">
        <v>533.98</v>
      </c>
      <c r="S1075" s="3">
        <v>0</v>
      </c>
      <c r="T1075">
        <f t="shared" si="33"/>
        <v>2014</v>
      </c>
      <c r="W1075" s="86">
        <v>42307</v>
      </c>
      <c r="X1075">
        <v>536.25</v>
      </c>
    </row>
    <row r="1076" spans="1:24">
      <c r="A1076" s="68">
        <v>34642</v>
      </c>
      <c r="B1076" s="33">
        <v>833.19</v>
      </c>
      <c r="C1076">
        <f t="shared" si="32"/>
        <v>1994</v>
      </c>
      <c r="H1076" s="85">
        <v>41981</v>
      </c>
      <c r="I1076">
        <v>2304.12</v>
      </c>
      <c r="N1076" s="69">
        <v>41922</v>
      </c>
      <c r="O1076">
        <v>539.71</v>
      </c>
      <c r="P1076">
        <v>533.95000000000005</v>
      </c>
      <c r="Q1076">
        <v>539.71</v>
      </c>
      <c r="R1076">
        <v>533.95000000000005</v>
      </c>
      <c r="S1076" s="3">
        <v>0</v>
      </c>
      <c r="T1076">
        <f t="shared" si="33"/>
        <v>2014</v>
      </c>
      <c r="W1076" s="86">
        <v>42310</v>
      </c>
      <c r="X1076">
        <v>536.04999999999995</v>
      </c>
    </row>
    <row r="1077" spans="1:24">
      <c r="A1077" s="68">
        <v>34643</v>
      </c>
      <c r="B1077" s="32">
        <v>831.25</v>
      </c>
      <c r="C1077">
        <f t="shared" si="32"/>
        <v>1994</v>
      </c>
      <c r="H1077" s="85">
        <v>41982</v>
      </c>
      <c r="I1077">
        <v>2304.12</v>
      </c>
      <c r="N1077" s="69">
        <v>41921</v>
      </c>
      <c r="O1077">
        <v>539.73</v>
      </c>
      <c r="P1077">
        <v>533.97</v>
      </c>
      <c r="Q1077">
        <v>539.73</v>
      </c>
      <c r="R1077">
        <v>533.97</v>
      </c>
      <c r="S1077" s="3">
        <v>0</v>
      </c>
      <c r="T1077">
        <f t="shared" si="33"/>
        <v>2014</v>
      </c>
      <c r="W1077" s="86">
        <v>42311</v>
      </c>
      <c r="X1077">
        <v>535.9</v>
      </c>
    </row>
    <row r="1078" spans="1:24">
      <c r="A1078" s="68">
        <v>34644</v>
      </c>
      <c r="B1078" s="33">
        <v>831.25</v>
      </c>
      <c r="C1078">
        <f t="shared" si="32"/>
        <v>1994</v>
      </c>
      <c r="H1078" s="85">
        <v>41983</v>
      </c>
      <c r="I1078">
        <v>2350.0100000000002</v>
      </c>
      <c r="N1078" s="69">
        <v>41920</v>
      </c>
      <c r="O1078">
        <v>539.75</v>
      </c>
      <c r="P1078">
        <v>533.98</v>
      </c>
      <c r="Q1078">
        <v>539.75</v>
      </c>
      <c r="R1078">
        <v>533.98</v>
      </c>
      <c r="S1078" s="3">
        <v>-1E-4</v>
      </c>
      <c r="T1078">
        <f t="shared" si="33"/>
        <v>2014</v>
      </c>
      <c r="W1078" s="86">
        <v>42312</v>
      </c>
      <c r="X1078">
        <v>533.03</v>
      </c>
    </row>
    <row r="1079" spans="1:24">
      <c r="A1079" s="68">
        <v>34645</v>
      </c>
      <c r="B1079" s="32">
        <v>831.25</v>
      </c>
      <c r="C1079">
        <f t="shared" si="32"/>
        <v>1994</v>
      </c>
      <c r="H1079" s="85">
        <v>41984</v>
      </c>
      <c r="I1079">
        <v>2381.96</v>
      </c>
      <c r="N1079" s="69">
        <v>41919</v>
      </c>
      <c r="O1079">
        <v>539.79</v>
      </c>
      <c r="P1079">
        <v>534.03</v>
      </c>
      <c r="Q1079">
        <v>539.79</v>
      </c>
      <c r="R1079">
        <v>534.03</v>
      </c>
      <c r="S1079" s="3">
        <v>0</v>
      </c>
      <c r="T1079">
        <f t="shared" si="33"/>
        <v>2014</v>
      </c>
      <c r="W1079" s="86">
        <v>42313</v>
      </c>
      <c r="X1079">
        <v>535.95000000000005</v>
      </c>
    </row>
    <row r="1080" spans="1:24">
      <c r="A1080" s="68">
        <v>34646</v>
      </c>
      <c r="B1080" s="33">
        <v>831.25</v>
      </c>
      <c r="C1080">
        <f t="shared" si="32"/>
        <v>1994</v>
      </c>
      <c r="H1080" s="85">
        <v>41985</v>
      </c>
      <c r="I1080">
        <v>2423.56</v>
      </c>
      <c r="N1080" s="69">
        <v>41918</v>
      </c>
      <c r="O1080">
        <v>539.79999999999995</v>
      </c>
      <c r="P1080">
        <v>534.04</v>
      </c>
      <c r="Q1080">
        <v>539.79999999999995</v>
      </c>
      <c r="R1080">
        <v>534.04</v>
      </c>
      <c r="S1080" s="3">
        <v>0</v>
      </c>
      <c r="T1080">
        <f t="shared" si="33"/>
        <v>2014</v>
      </c>
      <c r="W1080" s="86">
        <v>42314</v>
      </c>
      <c r="X1080">
        <v>532.95000000000005</v>
      </c>
    </row>
    <row r="1081" spans="1:24">
      <c r="A1081" s="68">
        <v>34647</v>
      </c>
      <c r="B1081" s="32">
        <v>829.09</v>
      </c>
      <c r="C1081">
        <f t="shared" si="32"/>
        <v>1994</v>
      </c>
      <c r="H1081" s="85">
        <v>41986</v>
      </c>
      <c r="I1081">
        <v>2405.31</v>
      </c>
      <c r="N1081" s="69">
        <v>41915</v>
      </c>
      <c r="O1081">
        <v>539.79999999999995</v>
      </c>
      <c r="P1081">
        <v>532</v>
      </c>
      <c r="Q1081">
        <v>539.79999999999995</v>
      </c>
      <c r="R1081">
        <v>532</v>
      </c>
      <c r="S1081" s="3">
        <v>-1E-4</v>
      </c>
      <c r="T1081">
        <f t="shared" si="33"/>
        <v>2014</v>
      </c>
      <c r="W1081" s="86">
        <v>42317</v>
      </c>
      <c r="X1081">
        <v>532.9</v>
      </c>
    </row>
    <row r="1082" spans="1:24">
      <c r="A1082" s="68">
        <v>34648</v>
      </c>
      <c r="B1082" s="33">
        <v>826.84</v>
      </c>
      <c r="C1082">
        <f t="shared" si="32"/>
        <v>1994</v>
      </c>
      <c r="H1082" s="85">
        <v>41987</v>
      </c>
      <c r="I1082">
        <v>2405.31</v>
      </c>
      <c r="N1082" s="69">
        <v>41914</v>
      </c>
      <c r="O1082">
        <v>539.83000000000004</v>
      </c>
      <c r="P1082">
        <v>534.08000000000004</v>
      </c>
      <c r="Q1082">
        <v>539.83000000000004</v>
      </c>
      <c r="R1082">
        <v>534.08000000000004</v>
      </c>
      <c r="S1082" s="3">
        <v>2E-3</v>
      </c>
      <c r="T1082">
        <f t="shared" si="33"/>
        <v>2014</v>
      </c>
      <c r="W1082" s="86">
        <v>42318</v>
      </c>
      <c r="X1082">
        <v>532.88</v>
      </c>
    </row>
    <row r="1083" spans="1:24">
      <c r="A1083" s="68">
        <v>34649</v>
      </c>
      <c r="B1083" s="32">
        <v>825.17</v>
      </c>
      <c r="C1083">
        <f t="shared" si="32"/>
        <v>1994</v>
      </c>
      <c r="H1083" s="85">
        <v>41988</v>
      </c>
      <c r="I1083">
        <v>2405.31</v>
      </c>
      <c r="N1083" s="69">
        <v>41913</v>
      </c>
      <c r="O1083">
        <v>538.76</v>
      </c>
      <c r="P1083">
        <v>534.02</v>
      </c>
      <c r="Q1083">
        <v>540.78</v>
      </c>
      <c r="R1083">
        <v>532</v>
      </c>
      <c r="S1083" s="3">
        <v>0</v>
      </c>
      <c r="T1083">
        <f t="shared" si="33"/>
        <v>2014</v>
      </c>
      <c r="W1083" s="86">
        <v>42319</v>
      </c>
      <c r="X1083">
        <v>532.87</v>
      </c>
    </row>
    <row r="1084" spans="1:24">
      <c r="A1084" s="68">
        <v>34650</v>
      </c>
      <c r="B1084" s="33">
        <v>825.87</v>
      </c>
      <c r="C1084">
        <f t="shared" si="32"/>
        <v>1994</v>
      </c>
      <c r="H1084" s="85">
        <v>41989</v>
      </c>
      <c r="I1084">
        <v>2414.39</v>
      </c>
      <c r="N1084" s="69">
        <v>41912</v>
      </c>
      <c r="O1084">
        <v>538.76</v>
      </c>
      <c r="P1084">
        <v>534.02</v>
      </c>
      <c r="Q1084">
        <v>540.78</v>
      </c>
      <c r="R1084">
        <v>532</v>
      </c>
      <c r="S1084" s="3">
        <v>-1.8E-3</v>
      </c>
      <c r="T1084">
        <f t="shared" si="33"/>
        <v>2014</v>
      </c>
      <c r="W1084" s="86">
        <v>42320</v>
      </c>
      <c r="X1084">
        <v>532.88</v>
      </c>
    </row>
    <row r="1085" spans="1:24">
      <c r="A1085" s="68">
        <v>34651</v>
      </c>
      <c r="B1085" s="32">
        <v>825.87</v>
      </c>
      <c r="C1085">
        <f t="shared" si="32"/>
        <v>1994</v>
      </c>
      <c r="H1085" s="85">
        <v>41990</v>
      </c>
      <c r="I1085">
        <v>2446.35</v>
      </c>
      <c r="N1085" s="69">
        <v>41911</v>
      </c>
      <c r="O1085">
        <v>539.72</v>
      </c>
      <c r="P1085">
        <v>533.92999999999995</v>
      </c>
      <c r="Q1085">
        <v>539.72</v>
      </c>
      <c r="R1085">
        <v>533.92999999999995</v>
      </c>
      <c r="S1085" s="3">
        <v>1.8E-3</v>
      </c>
      <c r="T1085">
        <f t="shared" si="33"/>
        <v>2014</v>
      </c>
      <c r="W1085" s="86">
        <v>42321</v>
      </c>
      <c r="X1085">
        <v>532.91999999999996</v>
      </c>
    </row>
    <row r="1086" spans="1:24">
      <c r="A1086" s="68">
        <v>34652</v>
      </c>
      <c r="B1086" s="33">
        <v>825.87</v>
      </c>
      <c r="C1086">
        <f t="shared" si="32"/>
        <v>1994</v>
      </c>
      <c r="H1086" s="85">
        <v>41991</v>
      </c>
      <c r="I1086">
        <v>2412.79</v>
      </c>
      <c r="N1086" s="69">
        <v>41908</v>
      </c>
      <c r="O1086">
        <v>538.74</v>
      </c>
      <c r="P1086">
        <v>533.91999999999996</v>
      </c>
      <c r="Q1086">
        <v>540.66</v>
      </c>
      <c r="R1086">
        <v>532</v>
      </c>
      <c r="S1086" s="3">
        <v>0</v>
      </c>
      <c r="T1086">
        <f t="shared" si="33"/>
        <v>2014</v>
      </c>
      <c r="W1086" s="86">
        <v>42324</v>
      </c>
      <c r="X1086">
        <v>529.6</v>
      </c>
    </row>
    <row r="1087" spans="1:24">
      <c r="A1087" s="68">
        <v>34653</v>
      </c>
      <c r="B1087" s="32">
        <v>825.87</v>
      </c>
      <c r="C1087">
        <f t="shared" si="32"/>
        <v>1994</v>
      </c>
      <c r="H1087" s="85">
        <v>41992</v>
      </c>
      <c r="I1087">
        <v>2334.98</v>
      </c>
      <c r="N1087" s="69">
        <v>41907</v>
      </c>
      <c r="O1087">
        <v>538.76</v>
      </c>
      <c r="P1087">
        <v>534</v>
      </c>
      <c r="Q1087">
        <v>540.76</v>
      </c>
      <c r="R1087">
        <v>532</v>
      </c>
      <c r="S1087" s="3">
        <v>-1.9E-3</v>
      </c>
      <c r="T1087">
        <f t="shared" si="33"/>
        <v>2014</v>
      </c>
      <c r="W1087" s="86">
        <v>42325</v>
      </c>
      <c r="X1087">
        <v>531.91</v>
      </c>
    </row>
    <row r="1088" spans="1:24">
      <c r="A1088" s="68">
        <v>34654</v>
      </c>
      <c r="B1088" s="33">
        <v>826.45</v>
      </c>
      <c r="C1088">
        <f t="shared" si="32"/>
        <v>1994</v>
      </c>
      <c r="H1088" s="85">
        <v>41993</v>
      </c>
      <c r="I1088">
        <v>2297.14</v>
      </c>
      <c r="N1088" s="69">
        <v>41906</v>
      </c>
      <c r="O1088">
        <v>539.77</v>
      </c>
      <c r="P1088">
        <v>534.04</v>
      </c>
      <c r="Q1088">
        <v>539.77</v>
      </c>
      <c r="R1088">
        <v>534.04</v>
      </c>
      <c r="S1088" s="3">
        <v>-1E-4</v>
      </c>
      <c r="T1088">
        <f t="shared" si="33"/>
        <v>2014</v>
      </c>
      <c r="W1088" s="86">
        <v>42326</v>
      </c>
      <c r="X1088">
        <v>531.6</v>
      </c>
    </row>
    <row r="1089" spans="1:24">
      <c r="A1089" s="68">
        <v>34655</v>
      </c>
      <c r="B1089" s="32">
        <v>828.74</v>
      </c>
      <c r="C1089">
        <f t="shared" si="32"/>
        <v>1994</v>
      </c>
      <c r="H1089" s="85">
        <v>41994</v>
      </c>
      <c r="I1089">
        <v>2297.14</v>
      </c>
      <c r="N1089" s="69">
        <v>41905</v>
      </c>
      <c r="O1089">
        <v>539.83000000000004</v>
      </c>
      <c r="P1089">
        <v>534.12</v>
      </c>
      <c r="Q1089">
        <v>539.83000000000004</v>
      </c>
      <c r="R1089">
        <v>534.12</v>
      </c>
      <c r="S1089" s="3">
        <v>0</v>
      </c>
      <c r="T1089">
        <f t="shared" si="33"/>
        <v>2014</v>
      </c>
      <c r="W1089" s="86">
        <v>42327</v>
      </c>
      <c r="X1089">
        <v>531.58000000000004</v>
      </c>
    </row>
    <row r="1090" spans="1:24">
      <c r="A1090" s="68">
        <v>34656</v>
      </c>
      <c r="B1090" s="33">
        <v>830.49</v>
      </c>
      <c r="C1090">
        <f t="shared" si="32"/>
        <v>1994</v>
      </c>
      <c r="H1090" s="85">
        <v>41995</v>
      </c>
      <c r="I1090">
        <v>2297.14</v>
      </c>
      <c r="N1090" s="69">
        <v>41904</v>
      </c>
      <c r="O1090">
        <v>539.83000000000004</v>
      </c>
      <c r="P1090">
        <v>534.13</v>
      </c>
      <c r="Q1090">
        <v>539.83000000000004</v>
      </c>
      <c r="R1090">
        <v>534.13</v>
      </c>
      <c r="S1090" s="3">
        <v>0</v>
      </c>
      <c r="T1090">
        <f t="shared" si="33"/>
        <v>2014</v>
      </c>
      <c r="W1090" s="86">
        <v>42328</v>
      </c>
      <c r="X1090">
        <v>531.42999999999995</v>
      </c>
    </row>
    <row r="1091" spans="1:24">
      <c r="A1091" s="68">
        <v>34657</v>
      </c>
      <c r="B1091" s="32">
        <v>828.46</v>
      </c>
      <c r="C1091">
        <f t="shared" si="32"/>
        <v>1994</v>
      </c>
      <c r="H1091" s="85">
        <v>41996</v>
      </c>
      <c r="I1091">
        <v>2316.9299999999998</v>
      </c>
      <c r="N1091" s="69">
        <v>41901</v>
      </c>
      <c r="O1091">
        <v>539.83000000000004</v>
      </c>
      <c r="P1091">
        <v>534.14</v>
      </c>
      <c r="Q1091">
        <v>539.83000000000004</v>
      </c>
      <c r="R1091">
        <v>534.14</v>
      </c>
      <c r="S1091" s="3">
        <v>-1E-4</v>
      </c>
      <c r="T1091">
        <f t="shared" si="33"/>
        <v>2014</v>
      </c>
      <c r="W1091" s="86">
        <v>42331</v>
      </c>
      <c r="X1091">
        <v>531.4</v>
      </c>
    </row>
    <row r="1092" spans="1:24">
      <c r="A1092" s="68">
        <v>34658</v>
      </c>
      <c r="B1092" s="33">
        <v>828.46</v>
      </c>
      <c r="C1092">
        <f t="shared" ref="C1092:C1155" si="34">YEAR(A1092)</f>
        <v>1994</v>
      </c>
      <c r="H1092" s="85">
        <v>41997</v>
      </c>
      <c r="I1092">
        <v>2342.5700000000002</v>
      </c>
      <c r="N1092" s="69">
        <v>41900</v>
      </c>
      <c r="O1092">
        <v>539.89</v>
      </c>
      <c r="P1092">
        <v>534.22</v>
      </c>
      <c r="Q1092">
        <v>539.89</v>
      </c>
      <c r="R1092">
        <v>534.22</v>
      </c>
      <c r="S1092" s="3">
        <v>0</v>
      </c>
      <c r="T1092">
        <f t="shared" ref="T1092:T1155" si="35">YEAR(N1092)</f>
        <v>2014</v>
      </c>
      <c r="W1092" s="86">
        <v>42332</v>
      </c>
      <c r="X1092">
        <v>531.42999999999995</v>
      </c>
    </row>
    <row r="1093" spans="1:24">
      <c r="A1093" s="68">
        <v>34659</v>
      </c>
      <c r="B1093" s="32">
        <v>828.46</v>
      </c>
      <c r="C1093">
        <f t="shared" si="34"/>
        <v>1994</v>
      </c>
      <c r="H1093" s="85">
        <v>41998</v>
      </c>
      <c r="I1093">
        <v>2346.9</v>
      </c>
      <c r="N1093" s="69">
        <v>41899</v>
      </c>
      <c r="O1093">
        <v>539.87</v>
      </c>
      <c r="P1093">
        <v>534.49</v>
      </c>
      <c r="Q1093">
        <v>539.87</v>
      </c>
      <c r="R1093">
        <v>534.49</v>
      </c>
      <c r="S1093" s="3">
        <v>0</v>
      </c>
      <c r="T1093">
        <f t="shared" si="35"/>
        <v>2014</v>
      </c>
      <c r="W1093" s="86">
        <v>42333</v>
      </c>
      <c r="X1093">
        <v>531.4</v>
      </c>
    </row>
    <row r="1094" spans="1:24">
      <c r="A1094" s="68">
        <v>34660</v>
      </c>
      <c r="B1094" s="33">
        <v>829.08</v>
      </c>
      <c r="C1094">
        <f t="shared" si="34"/>
        <v>1994</v>
      </c>
      <c r="H1094" s="85">
        <v>41999</v>
      </c>
      <c r="I1094">
        <v>2346.9</v>
      </c>
      <c r="N1094" s="69">
        <v>41898</v>
      </c>
      <c r="O1094">
        <v>539.87</v>
      </c>
      <c r="P1094">
        <v>534.47</v>
      </c>
      <c r="Q1094">
        <v>539.87</v>
      </c>
      <c r="R1094">
        <v>534.47</v>
      </c>
      <c r="S1094" s="3">
        <v>0</v>
      </c>
      <c r="T1094">
        <f t="shared" si="35"/>
        <v>2014</v>
      </c>
      <c r="W1094" s="86">
        <v>42334</v>
      </c>
      <c r="X1094">
        <v>531.4</v>
      </c>
    </row>
    <row r="1095" spans="1:24">
      <c r="A1095" s="68">
        <v>34661</v>
      </c>
      <c r="B1095" s="32">
        <v>830.74</v>
      </c>
      <c r="C1095">
        <f t="shared" si="34"/>
        <v>1994</v>
      </c>
      <c r="H1095" s="85">
        <v>42000</v>
      </c>
      <c r="I1095">
        <v>2358.46</v>
      </c>
      <c r="N1095" s="69">
        <v>41897</v>
      </c>
      <c r="O1095">
        <v>539.87</v>
      </c>
      <c r="P1095">
        <v>534.47</v>
      </c>
      <c r="Q1095">
        <v>539.87</v>
      </c>
      <c r="R1095">
        <v>534.47</v>
      </c>
      <c r="S1095" s="3">
        <v>1E-4</v>
      </c>
      <c r="T1095">
        <f t="shared" si="35"/>
        <v>2014</v>
      </c>
      <c r="W1095" s="86">
        <v>42335</v>
      </c>
      <c r="X1095">
        <v>531.4</v>
      </c>
    </row>
    <row r="1096" spans="1:24">
      <c r="A1096" s="68">
        <v>34662</v>
      </c>
      <c r="B1096" s="33">
        <v>828.67</v>
      </c>
      <c r="C1096">
        <f t="shared" si="34"/>
        <v>1994</v>
      </c>
      <c r="H1096" s="85">
        <v>42001</v>
      </c>
      <c r="I1096">
        <v>2358.46</v>
      </c>
      <c r="N1096" s="69">
        <v>41894</v>
      </c>
      <c r="O1096">
        <v>539.82000000000005</v>
      </c>
      <c r="P1096">
        <v>534.36</v>
      </c>
      <c r="Q1096">
        <v>539.82000000000005</v>
      </c>
      <c r="R1096">
        <v>534.36</v>
      </c>
      <c r="S1096" s="3">
        <v>-1E-4</v>
      </c>
      <c r="T1096">
        <f t="shared" si="35"/>
        <v>2014</v>
      </c>
      <c r="W1096" s="86">
        <v>42338</v>
      </c>
      <c r="X1096">
        <v>531.04999999999995</v>
      </c>
    </row>
    <row r="1097" spans="1:24">
      <c r="A1097" s="68">
        <v>34663</v>
      </c>
      <c r="B1097" s="32">
        <v>828.76</v>
      </c>
      <c r="C1097">
        <f t="shared" si="34"/>
        <v>1994</v>
      </c>
      <c r="H1097" s="85">
        <v>42002</v>
      </c>
      <c r="I1097">
        <v>2358.46</v>
      </c>
      <c r="N1097" s="69">
        <v>41893</v>
      </c>
      <c r="O1097">
        <v>539.86</v>
      </c>
      <c r="P1097">
        <v>534.39</v>
      </c>
      <c r="Q1097">
        <v>539.86</v>
      </c>
      <c r="R1097">
        <v>534.39</v>
      </c>
      <c r="S1097" s="3">
        <v>-6.1000000000000004E-3</v>
      </c>
      <c r="T1097">
        <f t="shared" si="35"/>
        <v>2014</v>
      </c>
      <c r="W1097" s="86">
        <v>42339</v>
      </c>
      <c r="X1097">
        <v>533.13</v>
      </c>
    </row>
    <row r="1098" spans="1:24">
      <c r="A1098" s="68">
        <v>34664</v>
      </c>
      <c r="B1098" s="33">
        <v>828.42</v>
      </c>
      <c r="C1098">
        <f t="shared" si="34"/>
        <v>1994</v>
      </c>
      <c r="H1098" s="85">
        <v>42003</v>
      </c>
      <c r="I1098">
        <v>2378.56</v>
      </c>
      <c r="N1098" s="69">
        <v>41892</v>
      </c>
      <c r="O1098">
        <v>543.17999999999995</v>
      </c>
      <c r="P1098">
        <v>534.4</v>
      </c>
      <c r="Q1098">
        <v>543.17999999999995</v>
      </c>
      <c r="R1098">
        <v>534.4</v>
      </c>
      <c r="S1098" s="3">
        <v>0</v>
      </c>
      <c r="T1098">
        <f t="shared" si="35"/>
        <v>2014</v>
      </c>
      <c r="W1098" s="86">
        <v>42340</v>
      </c>
      <c r="X1098">
        <v>528.66999999999996</v>
      </c>
    </row>
    <row r="1099" spans="1:24">
      <c r="A1099" s="68">
        <v>34665</v>
      </c>
      <c r="B1099" s="32">
        <v>828.42</v>
      </c>
      <c r="C1099">
        <f t="shared" si="34"/>
        <v>1994</v>
      </c>
      <c r="H1099" s="85">
        <v>42004</v>
      </c>
      <c r="I1099">
        <v>2392.46</v>
      </c>
      <c r="N1099" s="69">
        <v>41891</v>
      </c>
      <c r="O1099">
        <v>543.16999999999996</v>
      </c>
      <c r="P1099">
        <v>534.44000000000005</v>
      </c>
      <c r="Q1099">
        <v>543.16999999999996</v>
      </c>
      <c r="R1099">
        <v>534.44000000000005</v>
      </c>
      <c r="S1099" s="3">
        <v>0</v>
      </c>
      <c r="T1099">
        <f t="shared" si="35"/>
        <v>2014</v>
      </c>
      <c r="W1099" s="86">
        <v>42341</v>
      </c>
      <c r="X1099">
        <v>528.58000000000004</v>
      </c>
    </row>
    <row r="1100" spans="1:24">
      <c r="A1100" s="68">
        <v>34666</v>
      </c>
      <c r="B1100" s="33">
        <v>828.42</v>
      </c>
      <c r="C1100">
        <f t="shared" si="34"/>
        <v>1994</v>
      </c>
      <c r="H1100" s="85">
        <v>42005</v>
      </c>
      <c r="I1100">
        <v>2392.46</v>
      </c>
      <c r="N1100" s="69">
        <v>41890</v>
      </c>
      <c r="O1100">
        <v>543.17999999999995</v>
      </c>
      <c r="P1100">
        <v>534.36</v>
      </c>
      <c r="Q1100">
        <v>543.17999999999995</v>
      </c>
      <c r="R1100">
        <v>534.36</v>
      </c>
      <c r="S1100" s="3">
        <v>6.1000000000000004E-3</v>
      </c>
      <c r="T1100">
        <f t="shared" si="35"/>
        <v>2014</v>
      </c>
      <c r="W1100" s="86">
        <v>42342</v>
      </c>
      <c r="X1100">
        <v>531.35</v>
      </c>
    </row>
    <row r="1101" spans="1:24">
      <c r="A1101" s="68">
        <v>34667</v>
      </c>
      <c r="B1101" s="32">
        <v>828.66</v>
      </c>
      <c r="C1101">
        <f t="shared" si="34"/>
        <v>1994</v>
      </c>
      <c r="H1101" s="85">
        <v>42006</v>
      </c>
      <c r="I1101">
        <v>2392.46</v>
      </c>
      <c r="N1101" s="69">
        <v>41887</v>
      </c>
      <c r="O1101">
        <v>539.89</v>
      </c>
      <c r="P1101">
        <v>534.45000000000005</v>
      </c>
      <c r="Q1101">
        <v>539.89</v>
      </c>
      <c r="R1101">
        <v>534.45000000000005</v>
      </c>
      <c r="S1101" s="3">
        <v>-6.0000000000000001E-3</v>
      </c>
      <c r="T1101">
        <f t="shared" si="35"/>
        <v>2014</v>
      </c>
      <c r="W1101" s="86">
        <v>42345</v>
      </c>
      <c r="X1101">
        <v>531</v>
      </c>
    </row>
    <row r="1102" spans="1:24">
      <c r="A1102" s="68">
        <v>34668</v>
      </c>
      <c r="B1102" s="33">
        <v>829.03</v>
      </c>
      <c r="C1102">
        <f t="shared" si="34"/>
        <v>1994</v>
      </c>
      <c r="H1102" s="85">
        <v>42007</v>
      </c>
      <c r="I1102">
        <v>2383.37</v>
      </c>
      <c r="N1102" s="69">
        <v>41886</v>
      </c>
      <c r="O1102">
        <v>543.16</v>
      </c>
      <c r="P1102">
        <v>534.44000000000005</v>
      </c>
      <c r="Q1102">
        <v>543.16</v>
      </c>
      <c r="R1102">
        <v>534.44000000000005</v>
      </c>
      <c r="S1102" s="3">
        <v>0</v>
      </c>
      <c r="T1102">
        <f t="shared" si="35"/>
        <v>2014</v>
      </c>
      <c r="W1102" s="86">
        <v>42346</v>
      </c>
      <c r="X1102">
        <v>530.91999999999996</v>
      </c>
    </row>
    <row r="1103" spans="1:24">
      <c r="A1103" s="68">
        <v>34669</v>
      </c>
      <c r="B1103" s="32">
        <v>829.29</v>
      </c>
      <c r="C1103">
        <f t="shared" si="34"/>
        <v>1994</v>
      </c>
      <c r="H1103" s="85">
        <v>42008</v>
      </c>
      <c r="I1103">
        <v>2383.37</v>
      </c>
      <c r="N1103" s="69">
        <v>41885</v>
      </c>
      <c r="O1103">
        <v>543.16999999999996</v>
      </c>
      <c r="P1103">
        <v>534.45000000000005</v>
      </c>
      <c r="Q1103">
        <v>543.16999999999996</v>
      </c>
      <c r="R1103">
        <v>534.45000000000005</v>
      </c>
      <c r="S1103" s="3">
        <v>0</v>
      </c>
      <c r="T1103">
        <f t="shared" si="35"/>
        <v>2014</v>
      </c>
      <c r="W1103" s="86">
        <v>42347</v>
      </c>
      <c r="X1103">
        <v>531.28</v>
      </c>
    </row>
    <row r="1104" spans="1:24">
      <c r="A1104" s="68">
        <v>34670</v>
      </c>
      <c r="B1104" s="33">
        <v>829.56</v>
      </c>
      <c r="C1104">
        <f t="shared" si="34"/>
        <v>1994</v>
      </c>
      <c r="H1104" s="85">
        <v>42009</v>
      </c>
      <c r="I1104">
        <v>2383.37</v>
      </c>
      <c r="N1104" s="69">
        <v>41884</v>
      </c>
      <c r="O1104">
        <v>543.16</v>
      </c>
      <c r="P1104">
        <v>541</v>
      </c>
      <c r="Q1104">
        <v>543.16</v>
      </c>
      <c r="R1104">
        <v>541</v>
      </c>
      <c r="S1104" s="3">
        <v>6.1999999999999998E-3</v>
      </c>
      <c r="T1104">
        <f t="shared" si="35"/>
        <v>2014</v>
      </c>
      <c r="W1104" s="86">
        <v>42348</v>
      </c>
      <c r="X1104">
        <v>525.65</v>
      </c>
    </row>
    <row r="1105" spans="1:24">
      <c r="A1105" s="68">
        <v>34671</v>
      </c>
      <c r="B1105" s="32">
        <v>830</v>
      </c>
      <c r="C1105">
        <f t="shared" si="34"/>
        <v>1994</v>
      </c>
      <c r="H1105" s="85">
        <v>42010</v>
      </c>
      <c r="I1105">
        <v>2412.8200000000002</v>
      </c>
      <c r="N1105" s="69">
        <v>41883</v>
      </c>
      <c r="O1105">
        <v>539.80999999999995</v>
      </c>
      <c r="P1105">
        <v>534.28</v>
      </c>
      <c r="Q1105">
        <v>539.80999999999995</v>
      </c>
      <c r="R1105">
        <v>534.28</v>
      </c>
      <c r="S1105" s="3">
        <v>-6.1999999999999998E-3</v>
      </c>
      <c r="T1105">
        <f t="shared" si="35"/>
        <v>2014</v>
      </c>
      <c r="W1105" s="86">
        <v>42349</v>
      </c>
      <c r="X1105">
        <v>531.25</v>
      </c>
    </row>
    <row r="1106" spans="1:24">
      <c r="A1106" s="68">
        <v>34672</v>
      </c>
      <c r="B1106" s="33">
        <v>830</v>
      </c>
      <c r="C1106">
        <f t="shared" si="34"/>
        <v>1994</v>
      </c>
      <c r="H1106" s="85">
        <v>42011</v>
      </c>
      <c r="I1106">
        <v>2452.11</v>
      </c>
      <c r="N1106" s="69">
        <v>41880</v>
      </c>
      <c r="O1106">
        <v>543.16</v>
      </c>
      <c r="P1106">
        <v>534.26</v>
      </c>
      <c r="Q1106">
        <v>543.16</v>
      </c>
      <c r="R1106">
        <v>534.26</v>
      </c>
      <c r="S1106" s="3">
        <v>6.1999999999999998E-3</v>
      </c>
      <c r="T1106">
        <f t="shared" si="35"/>
        <v>2014</v>
      </c>
      <c r="W1106" s="86">
        <v>42352</v>
      </c>
      <c r="X1106">
        <v>528.62</v>
      </c>
    </row>
    <row r="1107" spans="1:24">
      <c r="A1107" s="68">
        <v>34673</v>
      </c>
      <c r="B1107" s="32">
        <v>830</v>
      </c>
      <c r="C1107">
        <f t="shared" si="34"/>
        <v>1994</v>
      </c>
      <c r="H1107" s="85">
        <v>42012</v>
      </c>
      <c r="I1107">
        <v>2434.31</v>
      </c>
      <c r="N1107" s="69">
        <v>41879</v>
      </c>
      <c r="O1107">
        <v>539.80999999999995</v>
      </c>
      <c r="P1107">
        <v>534.27</v>
      </c>
      <c r="Q1107">
        <v>539.80999999999995</v>
      </c>
      <c r="R1107">
        <v>534.27</v>
      </c>
      <c r="S1107" s="3">
        <v>-6.1000000000000004E-3</v>
      </c>
      <c r="T1107">
        <f t="shared" si="35"/>
        <v>2014</v>
      </c>
      <c r="W1107" s="86">
        <v>42353</v>
      </c>
      <c r="X1107">
        <v>528.64</v>
      </c>
    </row>
    <row r="1108" spans="1:24">
      <c r="A1108" s="68">
        <v>34674</v>
      </c>
      <c r="B1108" s="33">
        <v>830.37</v>
      </c>
      <c r="C1108">
        <f t="shared" si="34"/>
        <v>1994</v>
      </c>
      <c r="H1108" s="85">
        <v>42013</v>
      </c>
      <c r="I1108">
        <v>2405.0300000000002</v>
      </c>
      <c r="N1108" s="69">
        <v>41878</v>
      </c>
      <c r="O1108">
        <v>543.15</v>
      </c>
      <c r="P1108">
        <v>534.33000000000004</v>
      </c>
      <c r="Q1108">
        <v>543.15</v>
      </c>
      <c r="R1108">
        <v>534.33000000000004</v>
      </c>
      <c r="S1108" s="3">
        <v>6.0000000000000001E-3</v>
      </c>
      <c r="T1108">
        <f t="shared" si="35"/>
        <v>2014</v>
      </c>
      <c r="W1108" s="86">
        <v>42354</v>
      </c>
      <c r="X1108">
        <v>531.17999999999995</v>
      </c>
    </row>
    <row r="1109" spans="1:24">
      <c r="A1109" s="68">
        <v>34675</v>
      </c>
      <c r="B1109" s="32">
        <v>830.85</v>
      </c>
      <c r="C1109">
        <f t="shared" si="34"/>
        <v>1994</v>
      </c>
      <c r="H1109" s="85">
        <v>42014</v>
      </c>
      <c r="I1109">
        <v>2406.71</v>
      </c>
      <c r="N1109" s="69">
        <v>41877</v>
      </c>
      <c r="O1109">
        <v>539.9</v>
      </c>
      <c r="P1109">
        <v>534.42999999999995</v>
      </c>
      <c r="Q1109">
        <v>539.9</v>
      </c>
      <c r="R1109">
        <v>534.42999999999995</v>
      </c>
      <c r="S1109" s="3">
        <v>-6.1000000000000004E-3</v>
      </c>
      <c r="T1109">
        <f t="shared" si="35"/>
        <v>2014</v>
      </c>
      <c r="W1109" s="86">
        <v>42355</v>
      </c>
      <c r="X1109">
        <v>531.20000000000005</v>
      </c>
    </row>
    <row r="1110" spans="1:24">
      <c r="A1110" s="68">
        <v>34676</v>
      </c>
      <c r="B1110" s="33">
        <v>831.1</v>
      </c>
      <c r="C1110">
        <f t="shared" si="34"/>
        <v>1994</v>
      </c>
      <c r="H1110" s="85">
        <v>42015</v>
      </c>
      <c r="I1110">
        <v>2406.71</v>
      </c>
      <c r="N1110" s="69">
        <v>41876</v>
      </c>
      <c r="O1110">
        <v>543.19000000000005</v>
      </c>
      <c r="P1110">
        <v>534.33000000000004</v>
      </c>
      <c r="Q1110">
        <v>543.19000000000005</v>
      </c>
      <c r="R1110">
        <v>534.33000000000004</v>
      </c>
      <c r="S1110" s="3">
        <v>0</v>
      </c>
      <c r="T1110">
        <f t="shared" si="35"/>
        <v>2014</v>
      </c>
      <c r="W1110" s="86">
        <v>42356</v>
      </c>
      <c r="X1110">
        <v>531.32000000000005</v>
      </c>
    </row>
    <row r="1111" spans="1:24">
      <c r="A1111" s="68">
        <v>34677</v>
      </c>
      <c r="B1111" s="32">
        <v>831.1</v>
      </c>
      <c r="C1111">
        <f t="shared" si="34"/>
        <v>1994</v>
      </c>
      <c r="H1111" s="85">
        <v>42016</v>
      </c>
      <c r="I1111">
        <v>2406.71</v>
      </c>
      <c r="N1111" s="69">
        <v>41873</v>
      </c>
      <c r="O1111">
        <v>543.16999999999996</v>
      </c>
      <c r="P1111">
        <v>534.41</v>
      </c>
      <c r="Q1111">
        <v>543.16999999999996</v>
      </c>
      <c r="R1111">
        <v>534.41</v>
      </c>
      <c r="S1111" s="3">
        <v>2.0000000000000001E-4</v>
      </c>
      <c r="T1111">
        <f t="shared" si="35"/>
        <v>2014</v>
      </c>
      <c r="W1111" s="86">
        <v>42359</v>
      </c>
      <c r="X1111">
        <v>533.4</v>
      </c>
    </row>
    <row r="1112" spans="1:24">
      <c r="A1112" s="68">
        <v>34678</v>
      </c>
      <c r="B1112" s="33">
        <v>831.49</v>
      </c>
      <c r="C1112">
        <f t="shared" si="34"/>
        <v>1994</v>
      </c>
      <c r="H1112" s="85">
        <v>42017</v>
      </c>
      <c r="I1112">
        <v>2406.71</v>
      </c>
      <c r="N1112" s="69">
        <v>41872</v>
      </c>
      <c r="O1112">
        <v>543.07000000000005</v>
      </c>
      <c r="P1112">
        <v>534.28</v>
      </c>
      <c r="Q1112">
        <v>543.07000000000005</v>
      </c>
      <c r="R1112">
        <v>534.28</v>
      </c>
      <c r="S1112" s="3">
        <v>6.3E-3</v>
      </c>
      <c r="T1112">
        <f t="shared" si="35"/>
        <v>2014</v>
      </c>
      <c r="W1112" s="86">
        <v>42360</v>
      </c>
      <c r="X1112">
        <v>535.04999999999995</v>
      </c>
    </row>
    <row r="1113" spans="1:24">
      <c r="A1113" s="68">
        <v>34679</v>
      </c>
      <c r="B1113" s="32">
        <v>831.49</v>
      </c>
      <c r="C1113">
        <f t="shared" si="34"/>
        <v>1994</v>
      </c>
      <c r="H1113" s="85">
        <v>42018</v>
      </c>
      <c r="I1113">
        <v>2442.0300000000002</v>
      </c>
      <c r="N1113" s="69">
        <v>41871</v>
      </c>
      <c r="O1113">
        <v>539.69000000000005</v>
      </c>
      <c r="P1113">
        <v>534.29999999999995</v>
      </c>
      <c r="Q1113">
        <v>539.69000000000005</v>
      </c>
      <c r="R1113">
        <v>534.29999999999995</v>
      </c>
      <c r="S1113" s="3">
        <v>-6.1999999999999998E-3</v>
      </c>
      <c r="T1113">
        <f t="shared" si="35"/>
        <v>2014</v>
      </c>
      <c r="W1113" s="86">
        <v>42361</v>
      </c>
      <c r="X1113">
        <v>535.25</v>
      </c>
    </row>
    <row r="1114" spans="1:24">
      <c r="A1114" s="68">
        <v>34680</v>
      </c>
      <c r="B1114" s="33">
        <v>831.49</v>
      </c>
      <c r="C1114">
        <f t="shared" si="34"/>
        <v>1994</v>
      </c>
      <c r="H1114" s="85">
        <v>42019</v>
      </c>
      <c r="I1114">
        <v>2438.79</v>
      </c>
      <c r="N1114" s="69">
        <v>41870</v>
      </c>
      <c r="O1114">
        <v>543.04999999999995</v>
      </c>
      <c r="P1114">
        <v>534.30999999999995</v>
      </c>
      <c r="Q1114">
        <v>543.04999999999995</v>
      </c>
      <c r="R1114">
        <v>534.30999999999995</v>
      </c>
      <c r="S1114" s="3">
        <v>0</v>
      </c>
      <c r="T1114">
        <f t="shared" si="35"/>
        <v>2014</v>
      </c>
      <c r="W1114" s="86">
        <v>42362</v>
      </c>
      <c r="X1114">
        <v>535.42999999999995</v>
      </c>
    </row>
    <row r="1115" spans="1:24">
      <c r="A1115" s="68">
        <v>34681</v>
      </c>
      <c r="B1115" s="32">
        <v>831.91</v>
      </c>
      <c r="C1115">
        <f t="shared" si="34"/>
        <v>1994</v>
      </c>
      <c r="H1115" s="85">
        <v>42020</v>
      </c>
      <c r="I1115">
        <v>2398.91</v>
      </c>
      <c r="N1115" s="69">
        <v>41869</v>
      </c>
      <c r="O1115">
        <v>543.04999999999995</v>
      </c>
      <c r="P1115">
        <v>534.34</v>
      </c>
      <c r="Q1115">
        <v>543.04999999999995</v>
      </c>
      <c r="R1115">
        <v>534.34</v>
      </c>
      <c r="S1115" s="3">
        <v>6.1999999999999998E-3</v>
      </c>
      <c r="T1115">
        <f t="shared" si="35"/>
        <v>2014</v>
      </c>
      <c r="W1115" s="86">
        <v>42363</v>
      </c>
      <c r="X1115">
        <v>535.42999999999995</v>
      </c>
    </row>
    <row r="1116" spans="1:24">
      <c r="A1116" s="68">
        <v>34682</v>
      </c>
      <c r="B1116" s="33">
        <v>824.68</v>
      </c>
      <c r="C1116">
        <f t="shared" si="34"/>
        <v>1994</v>
      </c>
      <c r="H1116" s="85">
        <v>42021</v>
      </c>
      <c r="I1116">
        <v>2383.91</v>
      </c>
      <c r="N1116" s="69">
        <v>41866</v>
      </c>
      <c r="O1116">
        <v>539.72</v>
      </c>
      <c r="P1116">
        <v>534.34</v>
      </c>
      <c r="Q1116">
        <v>539.72</v>
      </c>
      <c r="R1116">
        <v>534.34</v>
      </c>
      <c r="S1116" s="3">
        <v>1E-4</v>
      </c>
      <c r="T1116">
        <f t="shared" si="35"/>
        <v>2014</v>
      </c>
      <c r="W1116" s="86">
        <v>42366</v>
      </c>
      <c r="X1116">
        <v>536.29999999999995</v>
      </c>
    </row>
    <row r="1117" spans="1:24">
      <c r="A1117" s="68">
        <v>34683</v>
      </c>
      <c r="B1117" s="32">
        <v>825</v>
      </c>
      <c r="C1117">
        <f t="shared" si="34"/>
        <v>1994</v>
      </c>
      <c r="H1117" s="85">
        <v>42022</v>
      </c>
      <c r="I1117">
        <v>2383.91</v>
      </c>
      <c r="N1117" s="69">
        <v>41865</v>
      </c>
      <c r="O1117">
        <v>539.66</v>
      </c>
      <c r="P1117">
        <v>534.32000000000005</v>
      </c>
      <c r="Q1117">
        <v>539.66</v>
      </c>
      <c r="R1117">
        <v>534.32000000000005</v>
      </c>
      <c r="S1117" s="3">
        <v>0</v>
      </c>
      <c r="T1117">
        <f t="shared" si="35"/>
        <v>2014</v>
      </c>
      <c r="W1117" s="86">
        <v>42367</v>
      </c>
      <c r="X1117">
        <v>537.33000000000004</v>
      </c>
    </row>
    <row r="1118" spans="1:24">
      <c r="A1118" s="68">
        <v>34684</v>
      </c>
      <c r="B1118" s="33">
        <v>827.6</v>
      </c>
      <c r="C1118">
        <f t="shared" si="34"/>
        <v>1994</v>
      </c>
      <c r="H1118" s="85">
        <v>42023</v>
      </c>
      <c r="I1118">
        <v>2383.91</v>
      </c>
      <c r="N1118" s="69">
        <v>41864</v>
      </c>
      <c r="O1118">
        <v>539.65</v>
      </c>
      <c r="P1118">
        <v>534.27</v>
      </c>
      <c r="Q1118">
        <v>539.65</v>
      </c>
      <c r="R1118">
        <v>534.27</v>
      </c>
      <c r="S1118" s="3">
        <v>-1E-4</v>
      </c>
      <c r="T1118">
        <f t="shared" si="35"/>
        <v>2014</v>
      </c>
      <c r="W1118" s="86">
        <v>42368</v>
      </c>
      <c r="X1118">
        <v>537.29999999999995</v>
      </c>
    </row>
    <row r="1119" spans="1:24">
      <c r="A1119" s="68">
        <v>34685</v>
      </c>
      <c r="B1119" s="32">
        <v>829.72</v>
      </c>
      <c r="C1119">
        <f t="shared" si="34"/>
        <v>1994</v>
      </c>
      <c r="H1119" s="85">
        <v>42024</v>
      </c>
      <c r="I1119">
        <v>2383.91</v>
      </c>
      <c r="N1119" s="69">
        <v>41863</v>
      </c>
      <c r="O1119">
        <v>539.73</v>
      </c>
      <c r="P1119">
        <v>534.37</v>
      </c>
      <c r="Q1119">
        <v>539.73</v>
      </c>
      <c r="R1119">
        <v>534.37</v>
      </c>
      <c r="S1119" s="3">
        <v>-2.0000000000000001E-4</v>
      </c>
      <c r="T1119">
        <f t="shared" si="35"/>
        <v>2014</v>
      </c>
      <c r="W1119" s="86">
        <v>42369</v>
      </c>
      <c r="X1119">
        <v>537.29999999999995</v>
      </c>
    </row>
    <row r="1120" spans="1:24">
      <c r="A1120" s="68">
        <v>34686</v>
      </c>
      <c r="B1120" s="33">
        <v>829.72</v>
      </c>
      <c r="C1120">
        <f t="shared" si="34"/>
        <v>1994</v>
      </c>
      <c r="H1120" s="85">
        <v>42025</v>
      </c>
      <c r="I1120">
        <v>2373.44</v>
      </c>
      <c r="N1120" s="69">
        <v>41862</v>
      </c>
      <c r="O1120">
        <v>539.82000000000005</v>
      </c>
      <c r="P1120">
        <v>534.38</v>
      </c>
      <c r="Q1120">
        <v>539.82000000000005</v>
      </c>
      <c r="R1120">
        <v>534.38</v>
      </c>
      <c r="S1120" s="3">
        <v>-6.1999999999999998E-3</v>
      </c>
      <c r="T1120">
        <f t="shared" si="35"/>
        <v>2014</v>
      </c>
      <c r="W1120" s="86">
        <v>42370</v>
      </c>
      <c r="X1120">
        <v>538.4</v>
      </c>
    </row>
    <row r="1121" spans="1:24">
      <c r="A1121" s="68">
        <v>34687</v>
      </c>
      <c r="B1121" s="32">
        <v>829.72</v>
      </c>
      <c r="C1121">
        <f t="shared" si="34"/>
        <v>1994</v>
      </c>
      <c r="H1121" s="85">
        <v>42026</v>
      </c>
      <c r="I1121">
        <v>2361.54</v>
      </c>
      <c r="N1121" s="69">
        <v>41859</v>
      </c>
      <c r="O1121">
        <v>543.20000000000005</v>
      </c>
      <c r="P1121">
        <v>534.46</v>
      </c>
      <c r="Q1121">
        <v>543.20000000000005</v>
      </c>
      <c r="R1121">
        <v>534.46</v>
      </c>
      <c r="S1121" s="3">
        <v>5.8999999999999999E-3</v>
      </c>
      <c r="T1121">
        <f t="shared" si="35"/>
        <v>2014</v>
      </c>
      <c r="W1121" s="86">
        <v>42373</v>
      </c>
      <c r="X1121">
        <v>536.92999999999995</v>
      </c>
    </row>
    <row r="1122" spans="1:24">
      <c r="A1122" s="68">
        <v>34688</v>
      </c>
      <c r="B1122" s="33">
        <v>831.06</v>
      </c>
      <c r="C1122">
        <f t="shared" si="34"/>
        <v>1994</v>
      </c>
      <c r="H1122" s="85">
        <v>42027</v>
      </c>
      <c r="I1122">
        <v>2370.75</v>
      </c>
      <c r="N1122" s="69">
        <v>41858</v>
      </c>
      <c r="O1122">
        <v>540.03</v>
      </c>
      <c r="P1122">
        <v>534.54</v>
      </c>
      <c r="Q1122">
        <v>540.03</v>
      </c>
      <c r="R1122">
        <v>534.54</v>
      </c>
      <c r="S1122" s="3">
        <v>-5.5999999999999999E-3</v>
      </c>
      <c r="T1122">
        <f t="shared" si="35"/>
        <v>2014</v>
      </c>
      <c r="W1122" s="86">
        <v>42374</v>
      </c>
      <c r="X1122">
        <v>535.76</v>
      </c>
    </row>
    <row r="1123" spans="1:24">
      <c r="A1123" s="68">
        <v>34689</v>
      </c>
      <c r="B1123" s="32">
        <v>830.16</v>
      </c>
      <c r="C1123">
        <f t="shared" si="34"/>
        <v>1994</v>
      </c>
      <c r="H1123" s="85">
        <v>42028</v>
      </c>
      <c r="I1123">
        <v>2386.5</v>
      </c>
      <c r="N1123" s="69">
        <v>41857</v>
      </c>
      <c r="O1123">
        <v>543.09</v>
      </c>
      <c r="P1123">
        <v>534.26</v>
      </c>
      <c r="Q1123">
        <v>543.09</v>
      </c>
      <c r="R1123">
        <v>534.26</v>
      </c>
      <c r="S1123" s="3">
        <v>4.0000000000000002E-4</v>
      </c>
      <c r="T1123">
        <f t="shared" si="35"/>
        <v>2014</v>
      </c>
      <c r="W1123" s="86">
        <v>42375</v>
      </c>
      <c r="X1123">
        <v>535.25</v>
      </c>
    </row>
    <row r="1124" spans="1:24">
      <c r="A1124" s="68">
        <v>34690</v>
      </c>
      <c r="B1124" s="33">
        <v>827.95</v>
      </c>
      <c r="C1124">
        <f t="shared" si="34"/>
        <v>1994</v>
      </c>
      <c r="H1124" s="85">
        <v>42029</v>
      </c>
      <c r="I1124">
        <v>2386.5</v>
      </c>
      <c r="N1124" s="69">
        <v>41856</v>
      </c>
      <c r="O1124">
        <v>542.87</v>
      </c>
      <c r="P1124">
        <v>534.03</v>
      </c>
      <c r="Q1124">
        <v>542.87</v>
      </c>
      <c r="R1124">
        <v>534.03</v>
      </c>
      <c r="S1124" s="3">
        <v>6.9999999999999999E-4</v>
      </c>
      <c r="T1124">
        <f t="shared" si="35"/>
        <v>2014</v>
      </c>
      <c r="W1124" s="86">
        <v>42376</v>
      </c>
      <c r="X1124">
        <v>535.48</v>
      </c>
    </row>
    <row r="1125" spans="1:24">
      <c r="A1125" s="68">
        <v>34691</v>
      </c>
      <c r="B1125" s="32">
        <v>827.7</v>
      </c>
      <c r="C1125">
        <f t="shared" si="34"/>
        <v>1994</v>
      </c>
      <c r="H1125" s="85">
        <v>42030</v>
      </c>
      <c r="I1125">
        <v>2386.5</v>
      </c>
      <c r="N1125" s="69">
        <v>41855</v>
      </c>
      <c r="O1125">
        <v>542.48</v>
      </c>
      <c r="P1125">
        <v>533.12</v>
      </c>
      <c r="Q1125">
        <v>542.48</v>
      </c>
      <c r="R1125">
        <v>533.12</v>
      </c>
      <c r="S1125" s="3">
        <v>1E-4</v>
      </c>
      <c r="T1125">
        <f t="shared" si="35"/>
        <v>2014</v>
      </c>
      <c r="W1125" s="86">
        <v>42377</v>
      </c>
      <c r="X1125">
        <v>535.45000000000005</v>
      </c>
    </row>
    <row r="1126" spans="1:24">
      <c r="A1126" s="68">
        <v>34692</v>
      </c>
      <c r="B1126" s="33">
        <v>826.47</v>
      </c>
      <c r="C1126">
        <f t="shared" si="34"/>
        <v>1994</v>
      </c>
      <c r="H1126" s="85">
        <v>42031</v>
      </c>
      <c r="I1126">
        <v>2386.2800000000002</v>
      </c>
      <c r="N1126" s="69">
        <v>41852</v>
      </c>
      <c r="O1126">
        <v>542.42999999999995</v>
      </c>
      <c r="P1126">
        <v>533.07000000000005</v>
      </c>
      <c r="Q1126">
        <v>542.42999999999995</v>
      </c>
      <c r="R1126">
        <v>533.07000000000005</v>
      </c>
      <c r="S1126" s="3">
        <v>-1E-4</v>
      </c>
      <c r="T1126">
        <f t="shared" si="35"/>
        <v>2014</v>
      </c>
      <c r="W1126" s="86">
        <v>42380</v>
      </c>
      <c r="X1126">
        <v>534.75</v>
      </c>
    </row>
    <row r="1127" spans="1:24">
      <c r="A1127" s="68">
        <v>34693</v>
      </c>
      <c r="B1127" s="32">
        <v>826.47</v>
      </c>
      <c r="C1127">
        <f t="shared" si="34"/>
        <v>1994</v>
      </c>
      <c r="H1127" s="85">
        <v>42032</v>
      </c>
      <c r="I1127">
        <v>2381.11</v>
      </c>
      <c r="N1127" s="69">
        <v>41851</v>
      </c>
      <c r="O1127">
        <v>542.46</v>
      </c>
      <c r="P1127">
        <v>533</v>
      </c>
      <c r="Q1127">
        <v>542.46</v>
      </c>
      <c r="R1127">
        <v>533</v>
      </c>
      <c r="S1127" s="3">
        <v>7.1999999999999998E-3</v>
      </c>
      <c r="T1127">
        <f t="shared" si="35"/>
        <v>2014</v>
      </c>
      <c r="W1127" s="86">
        <v>42381</v>
      </c>
      <c r="X1127">
        <v>534.32000000000005</v>
      </c>
    </row>
    <row r="1128" spans="1:24">
      <c r="A1128" s="68">
        <v>34694</v>
      </c>
      <c r="B1128" s="33">
        <v>826.47</v>
      </c>
      <c r="C1128">
        <f t="shared" si="34"/>
        <v>1994</v>
      </c>
      <c r="H1128" s="85">
        <v>42033</v>
      </c>
      <c r="I1128">
        <v>2362.42</v>
      </c>
      <c r="N1128" s="69">
        <v>41850</v>
      </c>
      <c r="O1128">
        <v>538.58000000000004</v>
      </c>
      <c r="P1128">
        <v>533.16999999999996</v>
      </c>
      <c r="Q1128">
        <v>538.58000000000004</v>
      </c>
      <c r="R1128">
        <v>533.16999999999996</v>
      </c>
      <c r="S1128" s="3">
        <v>1.2999999999999999E-3</v>
      </c>
      <c r="T1128">
        <f t="shared" si="35"/>
        <v>2014</v>
      </c>
      <c r="W1128" s="86">
        <v>42382</v>
      </c>
      <c r="X1128">
        <v>533.70000000000005</v>
      </c>
    </row>
    <row r="1129" spans="1:24">
      <c r="A1129" s="68">
        <v>34695</v>
      </c>
      <c r="B1129" s="32">
        <v>827.33</v>
      </c>
      <c r="C1129">
        <f t="shared" si="34"/>
        <v>1994</v>
      </c>
      <c r="H1129" s="85">
        <v>42034</v>
      </c>
      <c r="I1129">
        <v>2397.35</v>
      </c>
      <c r="N1129" s="69">
        <v>41849</v>
      </c>
      <c r="O1129">
        <v>537.9</v>
      </c>
      <c r="P1129">
        <v>532.44000000000005</v>
      </c>
      <c r="Q1129">
        <v>537.9</v>
      </c>
      <c r="R1129">
        <v>532.44000000000005</v>
      </c>
      <c r="S1129" s="3">
        <v>0</v>
      </c>
      <c r="T1129">
        <f t="shared" si="35"/>
        <v>2014</v>
      </c>
      <c r="W1129" s="86">
        <v>42383</v>
      </c>
      <c r="X1129">
        <v>535.67999999999995</v>
      </c>
    </row>
    <row r="1130" spans="1:24">
      <c r="A1130" s="68">
        <v>34696</v>
      </c>
      <c r="B1130" s="33">
        <v>829.95</v>
      </c>
      <c r="C1130">
        <f t="shared" si="34"/>
        <v>1994</v>
      </c>
      <c r="H1130" s="85">
        <v>42035</v>
      </c>
      <c r="I1130">
        <v>2441.1</v>
      </c>
      <c r="N1130" s="69">
        <v>41848</v>
      </c>
      <c r="O1130">
        <v>537.9</v>
      </c>
      <c r="P1130">
        <v>532.41</v>
      </c>
      <c r="Q1130">
        <v>537.9</v>
      </c>
      <c r="R1130">
        <v>532.41</v>
      </c>
      <c r="S1130" s="3">
        <v>-1E-4</v>
      </c>
      <c r="T1130">
        <f t="shared" si="35"/>
        <v>2014</v>
      </c>
      <c r="W1130" s="86">
        <v>42384</v>
      </c>
      <c r="X1130">
        <v>533.74</v>
      </c>
    </row>
    <row r="1131" spans="1:24">
      <c r="A1131" s="68">
        <v>34697</v>
      </c>
      <c r="B1131" s="32">
        <v>831.6</v>
      </c>
      <c r="C1131">
        <f t="shared" si="34"/>
        <v>1994</v>
      </c>
      <c r="H1131" s="85">
        <v>42036</v>
      </c>
      <c r="I1131">
        <v>2441.1</v>
      </c>
      <c r="N1131" s="69">
        <v>41845</v>
      </c>
      <c r="O1131">
        <v>537.95000000000005</v>
      </c>
      <c r="P1131">
        <v>532.41</v>
      </c>
      <c r="Q1131">
        <v>537.95000000000005</v>
      </c>
      <c r="R1131">
        <v>532.41</v>
      </c>
      <c r="S1131" s="3">
        <v>0</v>
      </c>
      <c r="T1131">
        <f t="shared" si="35"/>
        <v>2014</v>
      </c>
      <c r="W1131" s="86">
        <v>42387</v>
      </c>
      <c r="X1131">
        <v>533.74</v>
      </c>
    </row>
    <row r="1132" spans="1:24">
      <c r="A1132" s="68">
        <v>34698</v>
      </c>
      <c r="B1132" s="33">
        <v>831.27</v>
      </c>
      <c r="C1132">
        <f t="shared" si="34"/>
        <v>1994</v>
      </c>
      <c r="H1132" s="85">
        <v>42037</v>
      </c>
      <c r="I1132">
        <v>2441.1</v>
      </c>
      <c r="N1132" s="69">
        <v>41844</v>
      </c>
      <c r="O1132">
        <v>537.97</v>
      </c>
      <c r="P1132">
        <v>532.52</v>
      </c>
      <c r="Q1132">
        <v>537.97</v>
      </c>
      <c r="R1132">
        <v>532.52</v>
      </c>
      <c r="S1132" s="3">
        <v>1.1999999999999999E-3</v>
      </c>
      <c r="T1132">
        <f t="shared" si="35"/>
        <v>2014</v>
      </c>
      <c r="W1132" s="86">
        <v>42388</v>
      </c>
      <c r="X1132">
        <v>533.79999999999995</v>
      </c>
    </row>
    <row r="1133" spans="1:24">
      <c r="A1133" s="68">
        <v>34699</v>
      </c>
      <c r="B1133" s="32">
        <v>831.27</v>
      </c>
      <c r="C1133">
        <f t="shared" si="34"/>
        <v>1994</v>
      </c>
      <c r="H1133" s="85">
        <v>42038</v>
      </c>
      <c r="I1133">
        <v>2407.29</v>
      </c>
      <c r="N1133" s="69">
        <v>41843</v>
      </c>
      <c r="O1133">
        <v>537.29999999999995</v>
      </c>
      <c r="P1133">
        <v>531.9</v>
      </c>
      <c r="Q1133">
        <v>537.29999999999995</v>
      </c>
      <c r="R1133">
        <v>531.9</v>
      </c>
      <c r="S1133" s="3">
        <v>-1E-4</v>
      </c>
      <c r="T1133">
        <f t="shared" si="35"/>
        <v>2014</v>
      </c>
      <c r="W1133" s="86">
        <v>42389</v>
      </c>
      <c r="X1133">
        <v>534</v>
      </c>
    </row>
    <row r="1134" spans="1:24">
      <c r="A1134" s="68">
        <v>34700</v>
      </c>
      <c r="B1134" s="33">
        <v>831.27</v>
      </c>
      <c r="C1134">
        <f t="shared" si="34"/>
        <v>1995</v>
      </c>
      <c r="H1134" s="85">
        <v>42039</v>
      </c>
      <c r="I1134">
        <v>2374.7199999999998</v>
      </c>
      <c r="N1134" s="69">
        <v>41842</v>
      </c>
      <c r="O1134">
        <v>537.37</v>
      </c>
      <c r="P1134">
        <v>532.03</v>
      </c>
      <c r="Q1134">
        <v>537.37</v>
      </c>
      <c r="R1134">
        <v>532.03</v>
      </c>
      <c r="S1134" s="3">
        <v>1E-4</v>
      </c>
      <c r="T1134">
        <f t="shared" si="35"/>
        <v>2014</v>
      </c>
      <c r="W1134" s="86">
        <v>42390</v>
      </c>
      <c r="X1134">
        <v>534</v>
      </c>
    </row>
    <row r="1135" spans="1:24">
      <c r="A1135" s="68">
        <v>34701</v>
      </c>
      <c r="B1135" s="32">
        <v>831.27</v>
      </c>
      <c r="C1135">
        <f t="shared" si="34"/>
        <v>1995</v>
      </c>
      <c r="H1135" s="85">
        <v>42040</v>
      </c>
      <c r="I1135">
        <v>2381.91</v>
      </c>
      <c r="N1135" s="69">
        <v>41841</v>
      </c>
      <c r="O1135">
        <v>537.32000000000005</v>
      </c>
      <c r="P1135">
        <v>531.97</v>
      </c>
      <c r="Q1135">
        <v>537.32000000000005</v>
      </c>
      <c r="R1135">
        <v>531.97</v>
      </c>
      <c r="S1135" s="3">
        <v>1E-4</v>
      </c>
      <c r="T1135">
        <f t="shared" si="35"/>
        <v>2014</v>
      </c>
      <c r="W1135" s="86">
        <v>42391</v>
      </c>
      <c r="X1135">
        <v>534.5</v>
      </c>
    </row>
    <row r="1136" spans="1:24">
      <c r="A1136" s="68">
        <v>34702</v>
      </c>
      <c r="B1136" s="33">
        <v>833.18</v>
      </c>
      <c r="C1136">
        <f t="shared" si="34"/>
        <v>1995</v>
      </c>
      <c r="H1136" s="85">
        <v>42041</v>
      </c>
      <c r="I1136">
        <v>2384.5300000000002</v>
      </c>
      <c r="N1136" s="69">
        <v>41838</v>
      </c>
      <c r="O1136">
        <v>537.24</v>
      </c>
      <c r="P1136">
        <v>531.79999999999995</v>
      </c>
      <c r="Q1136">
        <v>537.24</v>
      </c>
      <c r="R1136">
        <v>531.79999999999995</v>
      </c>
      <c r="S1136" s="3">
        <v>0</v>
      </c>
      <c r="T1136">
        <f t="shared" si="35"/>
        <v>2014</v>
      </c>
      <c r="W1136" s="86">
        <v>42394</v>
      </c>
      <c r="X1136">
        <v>534.77</v>
      </c>
    </row>
    <row r="1137" spans="1:24">
      <c r="A1137" s="68">
        <v>34703</v>
      </c>
      <c r="B1137" s="32">
        <v>835.38</v>
      </c>
      <c r="C1137">
        <f t="shared" si="34"/>
        <v>1995</v>
      </c>
      <c r="H1137" s="85">
        <v>42042</v>
      </c>
      <c r="I1137">
        <v>2384.7600000000002</v>
      </c>
      <c r="N1137" s="69">
        <v>41837</v>
      </c>
      <c r="O1137">
        <v>537.25</v>
      </c>
      <c r="P1137">
        <v>531.79999999999995</v>
      </c>
      <c r="Q1137">
        <v>537.25</v>
      </c>
      <c r="R1137">
        <v>531.79999999999995</v>
      </c>
      <c r="S1137" s="3">
        <v>-8.6999999999999994E-3</v>
      </c>
      <c r="T1137">
        <f t="shared" si="35"/>
        <v>2014</v>
      </c>
      <c r="W1137" s="86">
        <v>42395</v>
      </c>
      <c r="X1137">
        <v>534.89</v>
      </c>
    </row>
    <row r="1138" spans="1:24">
      <c r="A1138" s="68">
        <v>34704</v>
      </c>
      <c r="B1138" s="33">
        <v>838.33</v>
      </c>
      <c r="C1138">
        <f t="shared" si="34"/>
        <v>1995</v>
      </c>
      <c r="H1138" s="85">
        <v>42043</v>
      </c>
      <c r="I1138">
        <v>2384.7600000000002</v>
      </c>
      <c r="N1138" s="69">
        <v>41836</v>
      </c>
      <c r="O1138">
        <v>541.96</v>
      </c>
      <c r="P1138">
        <v>531.88</v>
      </c>
      <c r="Q1138">
        <v>541.96</v>
      </c>
      <c r="R1138">
        <v>531.88</v>
      </c>
      <c r="S1138" s="3">
        <v>8.6999999999999994E-3</v>
      </c>
      <c r="T1138">
        <f t="shared" si="35"/>
        <v>2014</v>
      </c>
      <c r="W1138" s="86">
        <v>42396</v>
      </c>
      <c r="X1138">
        <v>535.08000000000004</v>
      </c>
    </row>
    <row r="1139" spans="1:24">
      <c r="A1139" s="68">
        <v>34705</v>
      </c>
      <c r="B1139" s="32">
        <v>838.87</v>
      </c>
      <c r="C1139">
        <f t="shared" si="34"/>
        <v>1995</v>
      </c>
      <c r="H1139" s="85">
        <v>42044</v>
      </c>
      <c r="I1139">
        <v>2384.7600000000002</v>
      </c>
      <c r="N1139" s="69">
        <v>41835</v>
      </c>
      <c r="O1139">
        <v>537.28</v>
      </c>
      <c r="P1139">
        <v>531.92999999999995</v>
      </c>
      <c r="Q1139">
        <v>537.28</v>
      </c>
      <c r="R1139">
        <v>531.92999999999995</v>
      </c>
      <c r="S1139" s="3">
        <v>-7.7999999999999996E-3</v>
      </c>
      <c r="T1139">
        <f t="shared" si="35"/>
        <v>2014</v>
      </c>
      <c r="W1139" s="86">
        <v>42397</v>
      </c>
      <c r="X1139">
        <v>535.53</v>
      </c>
    </row>
    <row r="1140" spans="1:24">
      <c r="A1140" s="68">
        <v>34706</v>
      </c>
      <c r="B1140" s="33">
        <v>837.07</v>
      </c>
      <c r="C1140">
        <f t="shared" si="34"/>
        <v>1995</v>
      </c>
      <c r="H1140" s="85">
        <v>42045</v>
      </c>
      <c r="I1140">
        <v>2371.31</v>
      </c>
      <c r="N1140" s="69">
        <v>41834</v>
      </c>
      <c r="O1140">
        <v>541.5</v>
      </c>
      <c r="P1140">
        <v>538</v>
      </c>
      <c r="Q1140">
        <v>541.5</v>
      </c>
      <c r="R1140">
        <v>538</v>
      </c>
      <c r="S1140" s="3">
        <v>3.7000000000000002E-3</v>
      </c>
      <c r="T1140">
        <f t="shared" si="35"/>
        <v>2014</v>
      </c>
      <c r="W1140" s="86">
        <v>42398</v>
      </c>
      <c r="X1140">
        <v>536.29</v>
      </c>
    </row>
    <row r="1141" spans="1:24">
      <c r="A1141" s="68">
        <v>34707</v>
      </c>
      <c r="B1141" s="32">
        <v>837.07</v>
      </c>
      <c r="C1141">
        <f t="shared" si="34"/>
        <v>1995</v>
      </c>
      <c r="H1141" s="85">
        <v>42046</v>
      </c>
      <c r="I1141">
        <v>2380.79</v>
      </c>
      <c r="N1141" s="69">
        <v>41831</v>
      </c>
      <c r="O1141">
        <v>539.5</v>
      </c>
      <c r="P1141">
        <v>533.99</v>
      </c>
      <c r="Q1141">
        <v>539.5</v>
      </c>
      <c r="R1141">
        <v>533.99</v>
      </c>
      <c r="S1141" s="3">
        <v>0</v>
      </c>
      <c r="T1141">
        <f t="shared" si="35"/>
        <v>2014</v>
      </c>
      <c r="W1141" s="86">
        <v>42401</v>
      </c>
      <c r="X1141">
        <v>536.86</v>
      </c>
    </row>
    <row r="1142" spans="1:24">
      <c r="A1142" s="68">
        <v>34708</v>
      </c>
      <c r="B1142" s="33">
        <v>837.07</v>
      </c>
      <c r="C1142">
        <f t="shared" si="34"/>
        <v>1995</v>
      </c>
      <c r="H1142" s="85">
        <v>42047</v>
      </c>
      <c r="I1142">
        <v>2416.61</v>
      </c>
      <c r="N1142" s="69">
        <v>41830</v>
      </c>
      <c r="O1142">
        <v>539.5</v>
      </c>
      <c r="P1142">
        <v>533.99</v>
      </c>
      <c r="Q1142">
        <v>539.5</v>
      </c>
      <c r="R1142">
        <v>533.99</v>
      </c>
      <c r="S1142" s="3">
        <v>0</v>
      </c>
      <c r="T1142">
        <f t="shared" si="35"/>
        <v>2014</v>
      </c>
      <c r="W1142" s="86">
        <v>42402</v>
      </c>
      <c r="X1142">
        <v>536.99</v>
      </c>
    </row>
    <row r="1143" spans="1:24">
      <c r="A1143" s="68">
        <v>34709</v>
      </c>
      <c r="B1143" s="32">
        <v>837.07</v>
      </c>
      <c r="C1143">
        <f t="shared" si="34"/>
        <v>1995</v>
      </c>
      <c r="H1143" s="85">
        <v>42048</v>
      </c>
      <c r="I1143">
        <v>2401.0300000000002</v>
      </c>
      <c r="N1143" s="69">
        <v>41829</v>
      </c>
      <c r="O1143">
        <v>539.51</v>
      </c>
      <c r="P1143">
        <v>534.03</v>
      </c>
      <c r="Q1143">
        <v>539.51</v>
      </c>
      <c r="R1143">
        <v>534.03</v>
      </c>
      <c r="S1143" s="3">
        <v>-1E-4</v>
      </c>
      <c r="T1143">
        <f t="shared" si="35"/>
        <v>2014</v>
      </c>
      <c r="W1143" s="86">
        <v>42403</v>
      </c>
      <c r="X1143">
        <v>537.19000000000005</v>
      </c>
    </row>
    <row r="1144" spans="1:24">
      <c r="A1144" s="68">
        <v>34710</v>
      </c>
      <c r="B1144" s="33">
        <v>840.36</v>
      </c>
      <c r="C1144">
        <f t="shared" si="34"/>
        <v>1995</v>
      </c>
      <c r="H1144" s="85">
        <v>42049</v>
      </c>
      <c r="I1144">
        <v>2376.23</v>
      </c>
      <c r="N1144" s="69">
        <v>41828</v>
      </c>
      <c r="O1144">
        <v>539.58000000000004</v>
      </c>
      <c r="P1144">
        <v>534.11</v>
      </c>
      <c r="Q1144">
        <v>539.58000000000004</v>
      </c>
      <c r="R1144">
        <v>534.11</v>
      </c>
      <c r="S1144" s="3">
        <v>1E-4</v>
      </c>
      <c r="T1144">
        <f t="shared" si="35"/>
        <v>2014</v>
      </c>
      <c r="W1144" s="86">
        <v>42404</v>
      </c>
      <c r="X1144">
        <v>538.20000000000005</v>
      </c>
    </row>
    <row r="1145" spans="1:24">
      <c r="A1145" s="68">
        <v>34711</v>
      </c>
      <c r="B1145" s="32">
        <v>843.69</v>
      </c>
      <c r="C1145">
        <f t="shared" si="34"/>
        <v>1995</v>
      </c>
      <c r="H1145" s="85">
        <v>42050</v>
      </c>
      <c r="I1145">
        <v>2376.23</v>
      </c>
      <c r="N1145" s="69">
        <v>41827</v>
      </c>
      <c r="O1145">
        <v>539.52</v>
      </c>
      <c r="P1145">
        <v>534.08000000000004</v>
      </c>
      <c r="Q1145">
        <v>539.52</v>
      </c>
      <c r="R1145">
        <v>534.08000000000004</v>
      </c>
      <c r="S1145" s="3">
        <v>0</v>
      </c>
      <c r="T1145">
        <f t="shared" si="35"/>
        <v>2014</v>
      </c>
      <c r="W1145" s="86">
        <v>42405</v>
      </c>
      <c r="X1145">
        <v>537.22</v>
      </c>
    </row>
    <row r="1146" spans="1:24">
      <c r="A1146" s="68">
        <v>34712</v>
      </c>
      <c r="B1146" s="33">
        <v>841.52</v>
      </c>
      <c r="C1146">
        <f t="shared" si="34"/>
        <v>1995</v>
      </c>
      <c r="H1146" s="85">
        <v>42051</v>
      </c>
      <c r="I1146">
        <v>2376.23</v>
      </c>
      <c r="N1146" s="69">
        <v>41824</v>
      </c>
      <c r="O1146">
        <v>539.52</v>
      </c>
      <c r="P1146">
        <v>534.08000000000004</v>
      </c>
      <c r="Q1146">
        <v>539.52</v>
      </c>
      <c r="R1146">
        <v>534.08000000000004</v>
      </c>
      <c r="S1146" s="3">
        <v>-1.6000000000000001E-3</v>
      </c>
      <c r="T1146">
        <f t="shared" si="35"/>
        <v>2014</v>
      </c>
      <c r="W1146" s="86">
        <v>42408</v>
      </c>
      <c r="X1146">
        <v>537.08000000000004</v>
      </c>
    </row>
    <row r="1147" spans="1:24">
      <c r="A1147" s="68">
        <v>34713</v>
      </c>
      <c r="B1147" s="32">
        <v>843.7</v>
      </c>
      <c r="C1147">
        <f t="shared" si="34"/>
        <v>1995</v>
      </c>
      <c r="H1147" s="85">
        <v>42052</v>
      </c>
      <c r="I1147">
        <v>2376.23</v>
      </c>
      <c r="N1147" s="69">
        <v>41823</v>
      </c>
      <c r="O1147">
        <v>540.38</v>
      </c>
      <c r="P1147">
        <v>534.91999999999996</v>
      </c>
      <c r="Q1147">
        <v>540.38</v>
      </c>
      <c r="R1147">
        <v>534.91999999999996</v>
      </c>
      <c r="S1147" s="3">
        <v>-2.5000000000000001E-3</v>
      </c>
      <c r="T1147">
        <f t="shared" si="35"/>
        <v>2014</v>
      </c>
      <c r="W1147" s="86">
        <v>42409</v>
      </c>
      <c r="X1147">
        <v>536.97</v>
      </c>
    </row>
    <row r="1148" spans="1:24">
      <c r="A1148" s="68">
        <v>34714</v>
      </c>
      <c r="B1148" s="33">
        <v>843.7</v>
      </c>
      <c r="C1148">
        <f t="shared" si="34"/>
        <v>1995</v>
      </c>
      <c r="H1148" s="85">
        <v>42053</v>
      </c>
      <c r="I1148">
        <v>2416.37</v>
      </c>
      <c r="N1148" s="69">
        <v>41822</v>
      </c>
      <c r="O1148">
        <v>541.76</v>
      </c>
      <c r="P1148">
        <v>536.32000000000005</v>
      </c>
      <c r="Q1148">
        <v>541.76</v>
      </c>
      <c r="R1148">
        <v>536.32000000000005</v>
      </c>
      <c r="S1148" s="3">
        <v>-2.2000000000000001E-3</v>
      </c>
      <c r="T1148">
        <f t="shared" si="35"/>
        <v>2014</v>
      </c>
      <c r="W1148" s="86">
        <v>42410</v>
      </c>
      <c r="X1148">
        <v>536.44000000000005</v>
      </c>
    </row>
    <row r="1149" spans="1:24">
      <c r="A1149" s="68">
        <v>34715</v>
      </c>
      <c r="B1149" s="32">
        <v>843.7</v>
      </c>
      <c r="C1149">
        <f t="shared" si="34"/>
        <v>1995</v>
      </c>
      <c r="H1149" s="85">
        <v>42054</v>
      </c>
      <c r="I1149">
        <v>2429.71</v>
      </c>
      <c r="N1149" s="69">
        <v>41821</v>
      </c>
      <c r="O1149">
        <v>542.97</v>
      </c>
      <c r="P1149">
        <v>537.48</v>
      </c>
      <c r="Q1149">
        <v>542.97</v>
      </c>
      <c r="R1149">
        <v>537.48</v>
      </c>
      <c r="S1149" s="3">
        <v>-2.9999999999999997E-4</v>
      </c>
      <c r="T1149">
        <f t="shared" si="35"/>
        <v>2014</v>
      </c>
      <c r="W1149" s="86">
        <v>42411</v>
      </c>
      <c r="X1149">
        <v>536.16999999999996</v>
      </c>
    </row>
    <row r="1150" spans="1:24">
      <c r="A1150" s="68">
        <v>34716</v>
      </c>
      <c r="B1150" s="33">
        <v>846.61</v>
      </c>
      <c r="C1150">
        <f t="shared" si="34"/>
        <v>1995</v>
      </c>
      <c r="H1150" s="85">
        <v>42055</v>
      </c>
      <c r="I1150">
        <v>2445.16</v>
      </c>
      <c r="N1150" s="69">
        <v>41820</v>
      </c>
      <c r="O1150">
        <v>543.12</v>
      </c>
      <c r="P1150">
        <v>537.58000000000004</v>
      </c>
      <c r="Q1150">
        <v>543.12</v>
      </c>
      <c r="R1150">
        <v>537.58000000000004</v>
      </c>
      <c r="S1150" s="3">
        <v>-2.5999999999999999E-3</v>
      </c>
      <c r="T1150">
        <f t="shared" si="35"/>
        <v>2014</v>
      </c>
      <c r="W1150" s="86">
        <v>42412</v>
      </c>
      <c r="X1150">
        <v>535.22</v>
      </c>
    </row>
    <row r="1151" spans="1:24">
      <c r="A1151" s="68">
        <v>34717</v>
      </c>
      <c r="B1151" s="32">
        <v>847.61</v>
      </c>
      <c r="C1151">
        <f t="shared" si="34"/>
        <v>1995</v>
      </c>
      <c r="H1151" s="85">
        <v>42056</v>
      </c>
      <c r="I1151">
        <v>2455.54</v>
      </c>
      <c r="N1151" s="69">
        <v>41817</v>
      </c>
      <c r="O1151">
        <v>544.51</v>
      </c>
      <c r="P1151">
        <v>538</v>
      </c>
      <c r="Q1151">
        <v>544.51</v>
      </c>
      <c r="R1151">
        <v>538</v>
      </c>
      <c r="S1151" s="3">
        <v>0</v>
      </c>
      <c r="T1151">
        <f t="shared" si="35"/>
        <v>2014</v>
      </c>
      <c r="W1151" s="86">
        <v>42415</v>
      </c>
      <c r="X1151">
        <v>534.41</v>
      </c>
    </row>
    <row r="1152" spans="1:24">
      <c r="A1152" s="68">
        <v>34718</v>
      </c>
      <c r="B1152" s="33">
        <v>850.26</v>
      </c>
      <c r="C1152">
        <f t="shared" si="34"/>
        <v>1995</v>
      </c>
      <c r="H1152" s="85">
        <v>42057</v>
      </c>
      <c r="I1152">
        <v>2455.54</v>
      </c>
      <c r="N1152" s="69">
        <v>41816</v>
      </c>
      <c r="O1152">
        <v>544.51</v>
      </c>
      <c r="P1152">
        <v>540</v>
      </c>
      <c r="Q1152">
        <v>546.62</v>
      </c>
      <c r="R1152">
        <v>537</v>
      </c>
      <c r="S1152" s="3">
        <v>-5.4999999999999997E-3</v>
      </c>
      <c r="T1152">
        <f t="shared" si="35"/>
        <v>2014</v>
      </c>
      <c r="W1152" s="86">
        <v>42416</v>
      </c>
      <c r="X1152">
        <v>534.47</v>
      </c>
    </row>
    <row r="1153" spans="1:24">
      <c r="A1153" s="68">
        <v>34719</v>
      </c>
      <c r="B1153" s="32">
        <v>852.68</v>
      </c>
      <c r="C1153">
        <f t="shared" si="34"/>
        <v>1995</v>
      </c>
      <c r="H1153" s="85">
        <v>42058</v>
      </c>
      <c r="I1153">
        <v>2455.54</v>
      </c>
      <c r="N1153" s="69">
        <v>41815</v>
      </c>
      <c r="O1153">
        <v>547.5</v>
      </c>
      <c r="P1153">
        <v>540</v>
      </c>
      <c r="Q1153">
        <v>547.54</v>
      </c>
      <c r="R1153">
        <v>540</v>
      </c>
      <c r="S1153" s="3">
        <v>0</v>
      </c>
      <c r="T1153">
        <f t="shared" si="35"/>
        <v>2014</v>
      </c>
      <c r="W1153" s="86">
        <v>42417</v>
      </c>
      <c r="X1153">
        <v>534.36</v>
      </c>
    </row>
    <row r="1154" spans="1:24">
      <c r="A1154" s="68">
        <v>34720</v>
      </c>
      <c r="B1154" s="33">
        <v>855.54</v>
      </c>
      <c r="C1154">
        <f t="shared" si="34"/>
        <v>1995</v>
      </c>
      <c r="H1154" s="85">
        <v>42059</v>
      </c>
      <c r="I1154">
        <v>2489.81</v>
      </c>
      <c r="N1154" s="69">
        <v>41814</v>
      </c>
      <c r="O1154">
        <v>547.5</v>
      </c>
      <c r="P1154">
        <v>540.1</v>
      </c>
      <c r="Q1154">
        <v>547.6</v>
      </c>
      <c r="R1154">
        <v>539.94000000000005</v>
      </c>
      <c r="S1154" s="3">
        <v>-2.0000000000000001E-4</v>
      </c>
      <c r="T1154">
        <f t="shared" si="35"/>
        <v>2014</v>
      </c>
      <c r="W1154" s="86">
        <v>42418</v>
      </c>
      <c r="X1154">
        <v>534.58000000000004</v>
      </c>
    </row>
    <row r="1155" spans="1:24">
      <c r="A1155" s="68">
        <v>34721</v>
      </c>
      <c r="B1155" s="32">
        <v>855.54</v>
      </c>
      <c r="C1155">
        <f t="shared" si="34"/>
        <v>1995</v>
      </c>
      <c r="H1155" s="85">
        <v>42060</v>
      </c>
      <c r="I1155">
        <v>2500.59</v>
      </c>
      <c r="N1155" s="69">
        <v>41813</v>
      </c>
      <c r="O1155">
        <v>547.6</v>
      </c>
      <c r="P1155">
        <v>544.45000000000005</v>
      </c>
      <c r="Q1155">
        <v>551.95000000000005</v>
      </c>
      <c r="R1155">
        <v>540.1</v>
      </c>
      <c r="S1155" s="3">
        <v>-1.0200000000000001E-2</v>
      </c>
      <c r="T1155">
        <f t="shared" si="35"/>
        <v>2014</v>
      </c>
      <c r="W1155" s="86">
        <v>42419</v>
      </c>
      <c r="X1155">
        <v>534.45000000000005</v>
      </c>
    </row>
    <row r="1156" spans="1:24">
      <c r="A1156" s="68">
        <v>34722</v>
      </c>
      <c r="B1156" s="33">
        <v>855.54</v>
      </c>
      <c r="C1156">
        <f t="shared" ref="C1156:C1219" si="36">YEAR(A1156)</f>
        <v>1995</v>
      </c>
      <c r="H1156" s="85">
        <v>42061</v>
      </c>
      <c r="I1156">
        <v>2489.41</v>
      </c>
      <c r="N1156" s="69">
        <v>41810</v>
      </c>
      <c r="O1156">
        <v>553.23</v>
      </c>
      <c r="P1156">
        <v>546.1</v>
      </c>
      <c r="Q1156">
        <v>553.23</v>
      </c>
      <c r="R1156">
        <v>544.45000000000005</v>
      </c>
      <c r="S1156" s="3">
        <v>-6.9999999999999999E-4</v>
      </c>
      <c r="T1156">
        <f t="shared" ref="T1156:T1219" si="37">YEAR(N1156)</f>
        <v>2014</v>
      </c>
      <c r="W1156" s="86">
        <v>42422</v>
      </c>
      <c r="X1156">
        <v>536.51</v>
      </c>
    </row>
    <row r="1157" spans="1:24">
      <c r="A1157" s="68">
        <v>34723</v>
      </c>
      <c r="B1157" s="32">
        <v>855.49</v>
      </c>
      <c r="C1157">
        <f t="shared" si="36"/>
        <v>1995</v>
      </c>
      <c r="H1157" s="85">
        <v>42062</v>
      </c>
      <c r="I1157">
        <v>2484.58</v>
      </c>
      <c r="N1157" s="69">
        <v>41809</v>
      </c>
      <c r="O1157">
        <v>553.6</v>
      </c>
      <c r="P1157">
        <v>547.5</v>
      </c>
      <c r="Q1157">
        <v>555</v>
      </c>
      <c r="R1157">
        <v>546.1</v>
      </c>
      <c r="S1157" s="3">
        <v>-2.5000000000000001E-3</v>
      </c>
      <c r="T1157">
        <f t="shared" si="37"/>
        <v>2014</v>
      </c>
      <c r="W1157" s="86">
        <v>42423</v>
      </c>
      <c r="X1157">
        <v>534.28</v>
      </c>
    </row>
    <row r="1158" spans="1:24">
      <c r="A1158" s="68">
        <v>34724</v>
      </c>
      <c r="B1158" s="33">
        <v>856.65</v>
      </c>
      <c r="C1158">
        <f t="shared" si="36"/>
        <v>1995</v>
      </c>
      <c r="H1158" s="85">
        <v>42063</v>
      </c>
      <c r="I1158">
        <v>2496.9899999999998</v>
      </c>
      <c r="N1158" s="69">
        <v>41808</v>
      </c>
      <c r="O1158">
        <v>555</v>
      </c>
      <c r="P1158">
        <v>547.4</v>
      </c>
      <c r="Q1158">
        <v>555.15</v>
      </c>
      <c r="R1158">
        <v>546.95000000000005</v>
      </c>
      <c r="S1158" s="3">
        <v>2.0000000000000001E-4</v>
      </c>
      <c r="T1158">
        <f t="shared" si="37"/>
        <v>2014</v>
      </c>
      <c r="W1158" s="86">
        <v>42424</v>
      </c>
      <c r="X1158">
        <v>534.16</v>
      </c>
    </row>
    <row r="1159" spans="1:24">
      <c r="A1159" s="68">
        <v>34725</v>
      </c>
      <c r="B1159" s="32">
        <v>857.56</v>
      </c>
      <c r="C1159">
        <f t="shared" si="36"/>
        <v>1995</v>
      </c>
      <c r="H1159" s="85">
        <v>42064</v>
      </c>
      <c r="I1159">
        <v>2496.9899999999998</v>
      </c>
      <c r="N1159" s="69">
        <v>41807</v>
      </c>
      <c r="O1159">
        <v>554.9</v>
      </c>
      <c r="P1159">
        <v>549.75</v>
      </c>
      <c r="Q1159">
        <v>557.25</v>
      </c>
      <c r="R1159">
        <v>547.4</v>
      </c>
      <c r="S1159" s="3">
        <v>-4.1999999999999997E-3</v>
      </c>
      <c r="T1159">
        <f t="shared" si="37"/>
        <v>2014</v>
      </c>
      <c r="W1159" s="86">
        <v>42425</v>
      </c>
      <c r="X1159">
        <v>534.22</v>
      </c>
    </row>
    <row r="1160" spans="1:24">
      <c r="A1160" s="68">
        <v>34726</v>
      </c>
      <c r="B1160" s="33">
        <v>859.3</v>
      </c>
      <c r="C1160">
        <f t="shared" si="36"/>
        <v>1995</v>
      </c>
      <c r="H1160" s="85">
        <v>42065</v>
      </c>
      <c r="I1160">
        <v>2496.9899999999998</v>
      </c>
      <c r="N1160" s="69">
        <v>41806</v>
      </c>
      <c r="O1160">
        <v>557.25</v>
      </c>
      <c r="P1160">
        <v>549.79999999999995</v>
      </c>
      <c r="Q1160">
        <v>557.29999999999995</v>
      </c>
      <c r="R1160">
        <v>548.78</v>
      </c>
      <c r="S1160" s="3">
        <v>-1E-4</v>
      </c>
      <c r="T1160">
        <f t="shared" si="37"/>
        <v>2014</v>
      </c>
      <c r="W1160" s="86">
        <v>42426</v>
      </c>
      <c r="X1160">
        <v>534.22</v>
      </c>
    </row>
    <row r="1161" spans="1:24">
      <c r="A1161" s="68">
        <v>34727</v>
      </c>
      <c r="B1161" s="32">
        <v>857.83</v>
      </c>
      <c r="C1161">
        <f t="shared" si="36"/>
        <v>1995</v>
      </c>
      <c r="H1161" s="85">
        <v>42066</v>
      </c>
      <c r="I1161">
        <v>2522.0300000000002</v>
      </c>
      <c r="N1161" s="69">
        <v>41803</v>
      </c>
      <c r="O1161">
        <v>557.29999999999995</v>
      </c>
      <c r="P1161">
        <v>550.04999999999995</v>
      </c>
      <c r="Q1161">
        <v>557.54999999999995</v>
      </c>
      <c r="R1161">
        <v>549.79999999999995</v>
      </c>
      <c r="S1161" s="3">
        <v>-4.0000000000000002E-4</v>
      </c>
      <c r="T1161">
        <f t="shared" si="37"/>
        <v>2014</v>
      </c>
      <c r="W1161" s="86">
        <v>42429</v>
      </c>
      <c r="X1161">
        <v>538.24</v>
      </c>
    </row>
    <row r="1162" spans="1:24">
      <c r="A1162" s="68">
        <v>34728</v>
      </c>
      <c r="B1162" s="33">
        <v>857.83</v>
      </c>
      <c r="C1162">
        <f t="shared" si="36"/>
        <v>1995</v>
      </c>
      <c r="H1162" s="85">
        <v>42067</v>
      </c>
      <c r="I1162">
        <v>2555.08</v>
      </c>
      <c r="N1162" s="69">
        <v>41802</v>
      </c>
      <c r="O1162">
        <v>557.54999999999995</v>
      </c>
      <c r="P1162">
        <v>547.9</v>
      </c>
      <c r="Q1162">
        <v>557.57000000000005</v>
      </c>
      <c r="R1162">
        <v>547.85</v>
      </c>
      <c r="S1162" s="3">
        <v>3.8999999999999998E-3</v>
      </c>
      <c r="T1162">
        <f t="shared" si="37"/>
        <v>2014</v>
      </c>
      <c r="W1162" s="86">
        <v>42430</v>
      </c>
      <c r="X1162">
        <v>534.67999999999995</v>
      </c>
    </row>
    <row r="1163" spans="1:24">
      <c r="A1163" s="68">
        <v>34729</v>
      </c>
      <c r="B1163" s="32">
        <v>857.83</v>
      </c>
      <c r="C1163">
        <f t="shared" si="36"/>
        <v>1995</v>
      </c>
      <c r="H1163" s="85">
        <v>42068</v>
      </c>
      <c r="I1163">
        <v>2565.9</v>
      </c>
      <c r="N1163" s="69">
        <v>41801</v>
      </c>
      <c r="O1163">
        <v>555.4</v>
      </c>
      <c r="P1163">
        <v>547</v>
      </c>
      <c r="Q1163">
        <v>555.49</v>
      </c>
      <c r="R1163">
        <v>546.95000000000005</v>
      </c>
      <c r="S1163" s="3">
        <v>1.6000000000000001E-3</v>
      </c>
      <c r="T1163">
        <f t="shared" si="37"/>
        <v>2014</v>
      </c>
      <c r="W1163" s="86">
        <v>42431</v>
      </c>
      <c r="X1163">
        <v>534.58000000000004</v>
      </c>
    </row>
    <row r="1164" spans="1:24">
      <c r="A1164" s="68">
        <v>34730</v>
      </c>
      <c r="B1164" s="33">
        <v>856.41</v>
      </c>
      <c r="C1164">
        <f t="shared" si="36"/>
        <v>1995</v>
      </c>
      <c r="H1164" s="85">
        <v>42069</v>
      </c>
      <c r="I1164">
        <v>2543.4699999999998</v>
      </c>
      <c r="N1164" s="69">
        <v>41800</v>
      </c>
      <c r="O1164">
        <v>554.5</v>
      </c>
      <c r="P1164">
        <v>546.70000000000005</v>
      </c>
      <c r="Q1164">
        <v>554.59</v>
      </c>
      <c r="R1164">
        <v>546.6</v>
      </c>
      <c r="S1164" s="3">
        <v>5.0000000000000001E-4</v>
      </c>
      <c r="T1164">
        <f t="shared" si="37"/>
        <v>2014</v>
      </c>
      <c r="W1164" s="86">
        <v>42432</v>
      </c>
      <c r="X1164">
        <v>534.58000000000004</v>
      </c>
    </row>
    <row r="1165" spans="1:24">
      <c r="A1165" s="68">
        <v>34731</v>
      </c>
      <c r="B1165" s="32">
        <v>857.16</v>
      </c>
      <c r="C1165">
        <f t="shared" si="36"/>
        <v>1995</v>
      </c>
      <c r="H1165" s="85">
        <v>42070</v>
      </c>
      <c r="I1165">
        <v>2565.61</v>
      </c>
      <c r="N1165" s="69">
        <v>41799</v>
      </c>
      <c r="O1165">
        <v>554.20000000000005</v>
      </c>
      <c r="P1165">
        <v>546.79999999999995</v>
      </c>
      <c r="Q1165">
        <v>554.5</v>
      </c>
      <c r="R1165">
        <v>546.70000000000005</v>
      </c>
      <c r="S1165" s="3">
        <v>-2.0000000000000001E-4</v>
      </c>
      <c r="T1165">
        <f t="shared" si="37"/>
        <v>2014</v>
      </c>
      <c r="W1165" s="86">
        <v>42433</v>
      </c>
      <c r="X1165">
        <v>534.33000000000004</v>
      </c>
    </row>
    <row r="1166" spans="1:24">
      <c r="A1166" s="68">
        <v>34732</v>
      </c>
      <c r="B1166" s="33">
        <v>855.76</v>
      </c>
      <c r="C1166">
        <f t="shared" si="36"/>
        <v>1995</v>
      </c>
      <c r="H1166" s="85">
        <v>42071</v>
      </c>
      <c r="I1166">
        <v>2565.61</v>
      </c>
      <c r="N1166" s="69">
        <v>41796</v>
      </c>
      <c r="O1166">
        <v>554.29999999999995</v>
      </c>
      <c r="P1166">
        <v>546.95000000000005</v>
      </c>
      <c r="Q1166">
        <v>554.54999999999995</v>
      </c>
      <c r="R1166">
        <v>546.79999999999995</v>
      </c>
      <c r="S1166" s="3">
        <v>-2.9999999999999997E-4</v>
      </c>
      <c r="T1166">
        <f t="shared" si="37"/>
        <v>2014</v>
      </c>
      <c r="W1166" s="86">
        <v>42436</v>
      </c>
      <c r="X1166">
        <v>537.04</v>
      </c>
    </row>
    <row r="1167" spans="1:24">
      <c r="A1167" s="68">
        <v>34733</v>
      </c>
      <c r="B1167" s="32">
        <v>852.22</v>
      </c>
      <c r="C1167">
        <f t="shared" si="36"/>
        <v>1995</v>
      </c>
      <c r="H1167" s="85">
        <v>42072</v>
      </c>
      <c r="I1167">
        <v>2565.61</v>
      </c>
      <c r="N1167" s="69">
        <v>41795</v>
      </c>
      <c r="O1167">
        <v>554.45000000000005</v>
      </c>
      <c r="P1167">
        <v>546.79999999999995</v>
      </c>
      <c r="Q1167">
        <v>554.54</v>
      </c>
      <c r="R1167">
        <v>546.77</v>
      </c>
      <c r="S1167" s="3">
        <v>2.9999999999999997E-4</v>
      </c>
      <c r="T1167">
        <f t="shared" si="37"/>
        <v>2014</v>
      </c>
      <c r="W1167" s="86">
        <v>42437</v>
      </c>
      <c r="X1167">
        <v>534.52</v>
      </c>
    </row>
    <row r="1168" spans="1:24">
      <c r="A1168" s="68">
        <v>34734</v>
      </c>
      <c r="B1168" s="33">
        <v>848.82</v>
      </c>
      <c r="C1168">
        <f t="shared" si="36"/>
        <v>1995</v>
      </c>
      <c r="H1168" s="85">
        <v>42073</v>
      </c>
      <c r="I1168">
        <v>2592.86</v>
      </c>
      <c r="N1168" s="69">
        <v>41794</v>
      </c>
      <c r="O1168">
        <v>554.29999999999995</v>
      </c>
      <c r="P1168">
        <v>546.6</v>
      </c>
      <c r="Q1168">
        <v>554.37</v>
      </c>
      <c r="R1168">
        <v>546.5</v>
      </c>
      <c r="S1168" s="3">
        <v>4.0000000000000002E-4</v>
      </c>
      <c r="T1168">
        <f t="shared" si="37"/>
        <v>2014</v>
      </c>
      <c r="W1168" s="86">
        <v>42438</v>
      </c>
      <c r="X1168">
        <v>534.4</v>
      </c>
    </row>
    <row r="1169" spans="1:24">
      <c r="A1169" s="68">
        <v>34735</v>
      </c>
      <c r="B1169" s="32">
        <v>848.82</v>
      </c>
      <c r="C1169">
        <f t="shared" si="36"/>
        <v>1995</v>
      </c>
      <c r="H1169" s="85">
        <v>42074</v>
      </c>
      <c r="I1169">
        <v>2618.79</v>
      </c>
      <c r="N1169" s="69">
        <v>41793</v>
      </c>
      <c r="O1169">
        <v>554.1</v>
      </c>
      <c r="P1169">
        <v>545.45000000000005</v>
      </c>
      <c r="Q1169">
        <v>554.17999999999995</v>
      </c>
      <c r="R1169">
        <v>545.4</v>
      </c>
      <c r="S1169" s="3">
        <v>2.0999999999999999E-3</v>
      </c>
      <c r="T1169">
        <f t="shared" si="37"/>
        <v>2014</v>
      </c>
      <c r="W1169" s="86">
        <v>42439</v>
      </c>
      <c r="X1169">
        <v>534.42999999999995</v>
      </c>
    </row>
    <row r="1170" spans="1:24">
      <c r="A1170" s="68">
        <v>34736</v>
      </c>
      <c r="B1170" s="33">
        <v>848.82</v>
      </c>
      <c r="C1170">
        <f t="shared" si="36"/>
        <v>1995</v>
      </c>
      <c r="H1170" s="85">
        <v>42075</v>
      </c>
      <c r="I1170">
        <v>2633.65</v>
      </c>
      <c r="N1170" s="69">
        <v>41792</v>
      </c>
      <c r="O1170">
        <v>552.95000000000005</v>
      </c>
      <c r="P1170">
        <v>545.5</v>
      </c>
      <c r="Q1170">
        <v>553.85</v>
      </c>
      <c r="R1170">
        <v>545.45000000000005</v>
      </c>
      <c r="S1170" s="3">
        <v>-5.9999999999999995E-4</v>
      </c>
      <c r="T1170">
        <f t="shared" si="37"/>
        <v>2014</v>
      </c>
      <c r="W1170" s="86">
        <v>42440</v>
      </c>
      <c r="X1170">
        <v>534.07000000000005</v>
      </c>
    </row>
    <row r="1171" spans="1:24">
      <c r="A1171" s="68">
        <v>34737</v>
      </c>
      <c r="B1171" s="32">
        <v>848.27</v>
      </c>
      <c r="C1171">
        <f t="shared" si="36"/>
        <v>1995</v>
      </c>
      <c r="H1171" s="85">
        <v>42076</v>
      </c>
      <c r="I1171">
        <v>2610.08</v>
      </c>
      <c r="N1171" s="69">
        <v>41789</v>
      </c>
      <c r="O1171">
        <v>553.29999999999995</v>
      </c>
      <c r="P1171">
        <v>545</v>
      </c>
      <c r="Q1171">
        <v>553.35</v>
      </c>
      <c r="R1171">
        <v>545</v>
      </c>
      <c r="S1171" s="3">
        <v>1.4E-3</v>
      </c>
      <c r="T1171">
        <f t="shared" si="37"/>
        <v>2014</v>
      </c>
      <c r="W1171" s="86">
        <v>42443</v>
      </c>
      <c r="X1171">
        <v>534.08000000000004</v>
      </c>
    </row>
    <row r="1172" spans="1:24">
      <c r="A1172" s="68">
        <v>34738</v>
      </c>
      <c r="B1172" s="33">
        <v>848.43</v>
      </c>
      <c r="C1172">
        <f t="shared" si="36"/>
        <v>1995</v>
      </c>
      <c r="H1172" s="85">
        <v>42077</v>
      </c>
      <c r="I1172">
        <v>2661.52</v>
      </c>
      <c r="N1172" s="69">
        <v>41788</v>
      </c>
      <c r="O1172">
        <v>552.5</v>
      </c>
      <c r="P1172">
        <v>545</v>
      </c>
      <c r="Q1172">
        <v>555.5</v>
      </c>
      <c r="R1172">
        <v>545</v>
      </c>
      <c r="S1172" s="3">
        <v>0</v>
      </c>
      <c r="T1172">
        <f t="shared" si="37"/>
        <v>2014</v>
      </c>
      <c r="W1172" s="86">
        <v>42444</v>
      </c>
      <c r="X1172">
        <v>533.99</v>
      </c>
    </row>
    <row r="1173" spans="1:24">
      <c r="A1173" s="68">
        <v>34739</v>
      </c>
      <c r="B1173" s="32">
        <v>847.04</v>
      </c>
      <c r="C1173">
        <f t="shared" si="36"/>
        <v>1995</v>
      </c>
      <c r="H1173" s="85">
        <v>42078</v>
      </c>
      <c r="I1173">
        <v>2661.52</v>
      </c>
      <c r="N1173" s="69">
        <v>41787</v>
      </c>
      <c r="O1173">
        <v>552.5</v>
      </c>
      <c r="P1173">
        <v>545.20000000000005</v>
      </c>
      <c r="Q1173">
        <v>552.70000000000005</v>
      </c>
      <c r="R1173">
        <v>545</v>
      </c>
      <c r="S1173" s="3">
        <v>-4.0000000000000002E-4</v>
      </c>
      <c r="T1173">
        <f t="shared" si="37"/>
        <v>2014</v>
      </c>
      <c r="W1173" s="86">
        <v>42445</v>
      </c>
      <c r="X1173">
        <v>533.92999999999995</v>
      </c>
    </row>
    <row r="1174" spans="1:24">
      <c r="A1174" s="68">
        <v>34740</v>
      </c>
      <c r="B1174" s="33">
        <v>845.73</v>
      </c>
      <c r="C1174">
        <f t="shared" si="36"/>
        <v>1995</v>
      </c>
      <c r="H1174" s="85">
        <v>42079</v>
      </c>
      <c r="I1174">
        <v>2661.52</v>
      </c>
      <c r="N1174" s="69">
        <v>41786</v>
      </c>
      <c r="O1174">
        <v>552.70000000000005</v>
      </c>
      <c r="P1174">
        <v>545</v>
      </c>
      <c r="Q1174">
        <v>552.73</v>
      </c>
      <c r="R1174">
        <v>544.5</v>
      </c>
      <c r="S1174" s="3">
        <v>4.0000000000000002E-4</v>
      </c>
      <c r="T1174">
        <f t="shared" si="37"/>
        <v>2014</v>
      </c>
      <c r="W1174" s="86">
        <v>42446</v>
      </c>
      <c r="X1174">
        <v>533.94000000000005</v>
      </c>
    </row>
    <row r="1175" spans="1:24">
      <c r="A1175" s="68">
        <v>34741</v>
      </c>
      <c r="B1175" s="32">
        <v>845.37</v>
      </c>
      <c r="C1175">
        <f t="shared" si="36"/>
        <v>1995</v>
      </c>
      <c r="H1175" s="85">
        <v>42080</v>
      </c>
      <c r="I1175">
        <v>2675.08</v>
      </c>
      <c r="N1175" s="69">
        <v>41785</v>
      </c>
      <c r="O1175">
        <v>552.5</v>
      </c>
      <c r="P1175">
        <v>545</v>
      </c>
      <c r="Q1175">
        <v>553.64</v>
      </c>
      <c r="R1175">
        <v>545</v>
      </c>
      <c r="S1175" s="3">
        <v>0</v>
      </c>
      <c r="T1175">
        <f t="shared" si="37"/>
        <v>2014</v>
      </c>
      <c r="W1175" s="86">
        <v>42447</v>
      </c>
      <c r="X1175">
        <v>533.96</v>
      </c>
    </row>
    <row r="1176" spans="1:24">
      <c r="A1176" s="68">
        <v>34742</v>
      </c>
      <c r="B1176" s="33">
        <v>845.37</v>
      </c>
      <c r="C1176">
        <f t="shared" si="36"/>
        <v>1995</v>
      </c>
      <c r="H1176" s="85">
        <v>42081</v>
      </c>
      <c r="I1176">
        <v>2677.97</v>
      </c>
      <c r="N1176" s="69">
        <v>41782</v>
      </c>
      <c r="O1176">
        <v>552.5</v>
      </c>
      <c r="P1176">
        <v>545</v>
      </c>
      <c r="Q1176">
        <v>555.38</v>
      </c>
      <c r="R1176">
        <v>545</v>
      </c>
      <c r="S1176" s="3">
        <v>0</v>
      </c>
      <c r="T1176">
        <f t="shared" si="37"/>
        <v>2014</v>
      </c>
      <c r="W1176" s="86">
        <v>42450</v>
      </c>
      <c r="X1176">
        <v>533.88</v>
      </c>
    </row>
    <row r="1177" spans="1:24">
      <c r="A1177" s="68">
        <v>34743</v>
      </c>
      <c r="B1177" s="32">
        <v>845.37</v>
      </c>
      <c r="C1177">
        <f t="shared" si="36"/>
        <v>1995</v>
      </c>
      <c r="H1177" s="85">
        <v>42082</v>
      </c>
      <c r="I1177">
        <v>2651.49</v>
      </c>
      <c r="N1177" s="69">
        <v>41781</v>
      </c>
      <c r="O1177">
        <v>552.5</v>
      </c>
      <c r="P1177">
        <v>545.4</v>
      </c>
      <c r="Q1177">
        <v>554.67999999999995</v>
      </c>
      <c r="R1177">
        <v>545</v>
      </c>
      <c r="S1177" s="3">
        <v>-6.9999999999999999E-4</v>
      </c>
      <c r="T1177">
        <f t="shared" si="37"/>
        <v>2014</v>
      </c>
      <c r="W1177" s="86">
        <v>42451</v>
      </c>
      <c r="X1177">
        <v>533.95000000000005</v>
      </c>
    </row>
    <row r="1178" spans="1:24">
      <c r="A1178" s="68">
        <v>34744</v>
      </c>
      <c r="B1178" s="33">
        <v>846.2</v>
      </c>
      <c r="C1178">
        <f t="shared" si="36"/>
        <v>1995</v>
      </c>
      <c r="H1178" s="85">
        <v>42083</v>
      </c>
      <c r="I1178">
        <v>2613.38</v>
      </c>
      <c r="N1178" s="69">
        <v>41780</v>
      </c>
      <c r="O1178">
        <v>552.9</v>
      </c>
      <c r="P1178">
        <v>544.6</v>
      </c>
      <c r="Q1178">
        <v>552.91</v>
      </c>
      <c r="R1178">
        <v>544.5</v>
      </c>
      <c r="S1178" s="3">
        <v>1.4E-3</v>
      </c>
      <c r="T1178">
        <f t="shared" si="37"/>
        <v>2014</v>
      </c>
      <c r="W1178" s="86">
        <v>42452</v>
      </c>
      <c r="X1178">
        <v>533.86</v>
      </c>
    </row>
    <row r="1179" spans="1:24">
      <c r="A1179" s="68">
        <v>34745</v>
      </c>
      <c r="B1179" s="32">
        <v>848.15</v>
      </c>
      <c r="C1179">
        <f t="shared" si="36"/>
        <v>1995</v>
      </c>
      <c r="H1179" s="85">
        <v>42084</v>
      </c>
      <c r="I1179">
        <v>2587.71</v>
      </c>
      <c r="N1179" s="69">
        <v>41779</v>
      </c>
      <c r="O1179">
        <v>552.1</v>
      </c>
      <c r="P1179">
        <v>544.4</v>
      </c>
      <c r="Q1179">
        <v>552.23</v>
      </c>
      <c r="R1179">
        <v>544.29999999999995</v>
      </c>
      <c r="S1179" s="3">
        <v>4.0000000000000002E-4</v>
      </c>
      <c r="T1179">
        <f t="shared" si="37"/>
        <v>2014</v>
      </c>
      <c r="W1179" s="86">
        <v>42453</v>
      </c>
      <c r="X1179">
        <v>533.70000000000005</v>
      </c>
    </row>
    <row r="1180" spans="1:24">
      <c r="A1180" s="68">
        <v>34746</v>
      </c>
      <c r="B1180" s="33">
        <v>848.52</v>
      </c>
      <c r="C1180">
        <f t="shared" si="36"/>
        <v>1995</v>
      </c>
      <c r="H1180" s="85">
        <v>42085</v>
      </c>
      <c r="I1180">
        <v>2587.71</v>
      </c>
      <c r="N1180" s="69">
        <v>41778</v>
      </c>
      <c r="O1180">
        <v>551.9</v>
      </c>
      <c r="P1180">
        <v>544.29999999999995</v>
      </c>
      <c r="Q1180">
        <v>551.91999999999996</v>
      </c>
      <c r="R1180">
        <v>544.25</v>
      </c>
      <c r="S1180" s="3">
        <v>2.0000000000000001E-4</v>
      </c>
      <c r="T1180">
        <f t="shared" si="37"/>
        <v>2014</v>
      </c>
      <c r="W1180" s="86">
        <v>42454</v>
      </c>
      <c r="X1180">
        <v>533.70000000000005</v>
      </c>
    </row>
    <row r="1181" spans="1:24">
      <c r="A1181" s="68">
        <v>34747</v>
      </c>
      <c r="B1181" s="32">
        <v>848.9</v>
      </c>
      <c r="C1181">
        <f t="shared" si="36"/>
        <v>1995</v>
      </c>
      <c r="H1181" s="85">
        <v>42086</v>
      </c>
      <c r="I1181">
        <v>2587.71</v>
      </c>
      <c r="N1181" s="69">
        <v>41775</v>
      </c>
      <c r="O1181">
        <v>551.79999999999995</v>
      </c>
      <c r="P1181">
        <v>545.29999999999995</v>
      </c>
      <c r="Q1181">
        <v>552.79999999999995</v>
      </c>
      <c r="R1181">
        <v>544.29999999999995</v>
      </c>
      <c r="S1181" s="3">
        <v>-1.8E-3</v>
      </c>
      <c r="T1181">
        <f t="shared" si="37"/>
        <v>2014</v>
      </c>
      <c r="W1181" s="86">
        <v>42457</v>
      </c>
      <c r="X1181">
        <v>533.67999999999995</v>
      </c>
    </row>
    <row r="1182" spans="1:24">
      <c r="A1182" s="68">
        <v>34748</v>
      </c>
      <c r="B1182" s="33">
        <v>849.41</v>
      </c>
      <c r="C1182">
        <f t="shared" si="36"/>
        <v>1995</v>
      </c>
      <c r="H1182" s="85">
        <v>42087</v>
      </c>
      <c r="I1182">
        <v>2587.71</v>
      </c>
      <c r="N1182" s="69">
        <v>41774</v>
      </c>
      <c r="O1182">
        <v>552.79999999999995</v>
      </c>
      <c r="P1182">
        <v>545.6</v>
      </c>
      <c r="Q1182">
        <v>553.1</v>
      </c>
      <c r="R1182">
        <v>545.29999999999995</v>
      </c>
      <c r="S1182" s="3">
        <v>-5.0000000000000001E-4</v>
      </c>
      <c r="T1182">
        <f t="shared" si="37"/>
        <v>2014</v>
      </c>
      <c r="W1182" s="86">
        <v>42458</v>
      </c>
      <c r="X1182">
        <v>537.33000000000004</v>
      </c>
    </row>
    <row r="1183" spans="1:24">
      <c r="A1183" s="68">
        <v>34749</v>
      </c>
      <c r="B1183" s="32">
        <v>849.41</v>
      </c>
      <c r="C1183">
        <f t="shared" si="36"/>
        <v>1995</v>
      </c>
      <c r="H1183" s="85">
        <v>42088</v>
      </c>
      <c r="I1183">
        <v>2526.79</v>
      </c>
      <c r="N1183" s="69">
        <v>41773</v>
      </c>
      <c r="O1183">
        <v>553.1</v>
      </c>
      <c r="P1183">
        <v>546.6</v>
      </c>
      <c r="Q1183">
        <v>554.1</v>
      </c>
      <c r="R1183">
        <v>545.6</v>
      </c>
      <c r="S1183" s="3">
        <v>-1.8E-3</v>
      </c>
      <c r="T1183">
        <f t="shared" si="37"/>
        <v>2014</v>
      </c>
      <c r="W1183" s="86">
        <v>42459</v>
      </c>
      <c r="X1183">
        <v>537.4</v>
      </c>
    </row>
    <row r="1184" spans="1:24">
      <c r="A1184" s="68">
        <v>34750</v>
      </c>
      <c r="B1184" s="33">
        <v>849.41</v>
      </c>
      <c r="C1184">
        <f t="shared" si="36"/>
        <v>1995</v>
      </c>
      <c r="H1184" s="85">
        <v>42089</v>
      </c>
      <c r="I1184">
        <v>2535.5500000000002</v>
      </c>
      <c r="N1184" s="69">
        <v>41772</v>
      </c>
      <c r="O1184">
        <v>554.1</v>
      </c>
      <c r="P1184">
        <v>546.6</v>
      </c>
      <c r="Q1184">
        <v>557.6</v>
      </c>
      <c r="R1184">
        <v>546.6</v>
      </c>
      <c r="S1184" s="3">
        <v>0</v>
      </c>
      <c r="T1184">
        <f t="shared" si="37"/>
        <v>2014</v>
      </c>
      <c r="W1184" s="86">
        <v>42460</v>
      </c>
      <c r="X1184">
        <v>534.58000000000004</v>
      </c>
    </row>
    <row r="1185" spans="1:24">
      <c r="A1185" s="68">
        <v>34751</v>
      </c>
      <c r="B1185" s="32">
        <v>851.88</v>
      </c>
      <c r="C1185">
        <f t="shared" si="36"/>
        <v>1995</v>
      </c>
      <c r="H1185" s="85">
        <v>42090</v>
      </c>
      <c r="I1185">
        <v>2551.3000000000002</v>
      </c>
      <c r="N1185" s="69">
        <v>41771</v>
      </c>
      <c r="O1185">
        <v>554.1</v>
      </c>
      <c r="P1185">
        <v>546.6</v>
      </c>
      <c r="Q1185">
        <v>554.20000000000005</v>
      </c>
      <c r="R1185">
        <v>546.5</v>
      </c>
      <c r="S1185" s="3">
        <v>0</v>
      </c>
      <c r="T1185">
        <f t="shared" si="37"/>
        <v>2014</v>
      </c>
      <c r="W1185" s="86">
        <v>42461</v>
      </c>
      <c r="X1185">
        <v>534.6</v>
      </c>
    </row>
    <row r="1186" spans="1:24">
      <c r="A1186" s="68">
        <v>34752</v>
      </c>
      <c r="B1186" s="33">
        <v>853.63</v>
      </c>
      <c r="C1186">
        <f t="shared" si="36"/>
        <v>1995</v>
      </c>
      <c r="H1186" s="85">
        <v>42091</v>
      </c>
      <c r="I1186">
        <v>2556.85</v>
      </c>
      <c r="N1186" s="69">
        <v>41768</v>
      </c>
      <c r="O1186">
        <v>554.1</v>
      </c>
      <c r="P1186">
        <v>546.70000000000005</v>
      </c>
      <c r="Q1186">
        <v>554.20000000000005</v>
      </c>
      <c r="R1186">
        <v>546.6</v>
      </c>
      <c r="S1186" s="3">
        <v>-2.0000000000000001E-4</v>
      </c>
      <c r="T1186">
        <f t="shared" si="37"/>
        <v>2014</v>
      </c>
      <c r="W1186" s="86">
        <v>42464</v>
      </c>
      <c r="X1186">
        <v>534.6</v>
      </c>
    </row>
    <row r="1187" spans="1:24">
      <c r="A1187" s="68">
        <v>34753</v>
      </c>
      <c r="B1187" s="32">
        <v>855.32</v>
      </c>
      <c r="C1187">
        <f t="shared" si="36"/>
        <v>1995</v>
      </c>
      <c r="H1187" s="85">
        <v>42092</v>
      </c>
      <c r="I1187">
        <v>2556.85</v>
      </c>
      <c r="N1187" s="69">
        <v>41767</v>
      </c>
      <c r="O1187">
        <v>554.20000000000005</v>
      </c>
      <c r="P1187">
        <v>546.85</v>
      </c>
      <c r="Q1187">
        <v>554.39</v>
      </c>
      <c r="R1187">
        <v>546.70000000000005</v>
      </c>
      <c r="S1187" s="3">
        <v>-2.9999999999999997E-4</v>
      </c>
      <c r="T1187">
        <f t="shared" si="37"/>
        <v>2014</v>
      </c>
      <c r="W1187" s="86">
        <v>42465</v>
      </c>
      <c r="X1187">
        <v>534.95000000000005</v>
      </c>
    </row>
    <row r="1188" spans="1:24">
      <c r="A1188" s="68">
        <v>34754</v>
      </c>
      <c r="B1188" s="33">
        <v>855.48</v>
      </c>
      <c r="C1188">
        <f t="shared" si="36"/>
        <v>1995</v>
      </c>
      <c r="H1188" s="85">
        <v>42093</v>
      </c>
      <c r="I1188">
        <v>2556.85</v>
      </c>
      <c r="N1188" s="69">
        <v>41766</v>
      </c>
      <c r="O1188">
        <v>554.35</v>
      </c>
      <c r="P1188">
        <v>546.20000000000005</v>
      </c>
      <c r="Q1188">
        <v>554.39</v>
      </c>
      <c r="R1188">
        <v>546.1</v>
      </c>
      <c r="S1188" s="3">
        <v>1.1999999999999999E-3</v>
      </c>
      <c r="T1188">
        <f t="shared" si="37"/>
        <v>2014</v>
      </c>
      <c r="W1188" s="86">
        <v>42466</v>
      </c>
      <c r="X1188">
        <v>535.29999999999995</v>
      </c>
    </row>
    <row r="1189" spans="1:24">
      <c r="A1189" s="68">
        <v>34755</v>
      </c>
      <c r="B1189" s="32">
        <v>854.71</v>
      </c>
      <c r="C1189">
        <f t="shared" si="36"/>
        <v>1995</v>
      </c>
      <c r="H1189" s="85">
        <v>42094</v>
      </c>
      <c r="I1189">
        <v>2576.0500000000002</v>
      </c>
      <c r="N1189" s="69">
        <v>41765</v>
      </c>
      <c r="O1189">
        <v>553.70000000000005</v>
      </c>
      <c r="P1189">
        <v>544.79999999999995</v>
      </c>
      <c r="Q1189">
        <v>553.82000000000005</v>
      </c>
      <c r="R1189">
        <v>544.70000000000005</v>
      </c>
      <c r="S1189" s="3">
        <v>2.5000000000000001E-3</v>
      </c>
      <c r="T1189">
        <f t="shared" si="37"/>
        <v>2014</v>
      </c>
      <c r="W1189" s="86">
        <v>42467</v>
      </c>
      <c r="X1189">
        <v>535.25</v>
      </c>
    </row>
    <row r="1190" spans="1:24">
      <c r="A1190" s="68">
        <v>34756</v>
      </c>
      <c r="B1190" s="33">
        <v>854.71</v>
      </c>
      <c r="C1190">
        <f t="shared" si="36"/>
        <v>1995</v>
      </c>
      <c r="H1190" s="85">
        <v>42095</v>
      </c>
      <c r="I1190">
        <v>2598.36</v>
      </c>
      <c r="N1190" s="69">
        <v>41764</v>
      </c>
      <c r="O1190">
        <v>552.29999999999995</v>
      </c>
      <c r="P1190">
        <v>544.5</v>
      </c>
      <c r="Q1190">
        <v>552.32000000000005</v>
      </c>
      <c r="R1190">
        <v>544.45000000000005</v>
      </c>
      <c r="S1190" s="3">
        <v>5.0000000000000001E-4</v>
      </c>
      <c r="T1190">
        <f t="shared" si="37"/>
        <v>2014</v>
      </c>
      <c r="W1190" s="86">
        <v>42468</v>
      </c>
      <c r="X1190">
        <v>535.27</v>
      </c>
    </row>
    <row r="1191" spans="1:24">
      <c r="A1191" s="68">
        <v>34757</v>
      </c>
      <c r="B1191" s="32">
        <v>854.71</v>
      </c>
      <c r="C1191">
        <f t="shared" si="36"/>
        <v>1995</v>
      </c>
      <c r="H1191" s="85">
        <v>42096</v>
      </c>
      <c r="I1191">
        <v>2576.41</v>
      </c>
      <c r="N1191" s="69">
        <v>41761</v>
      </c>
      <c r="O1191">
        <v>552</v>
      </c>
      <c r="P1191">
        <v>544.65</v>
      </c>
      <c r="Q1191">
        <v>552.15</v>
      </c>
      <c r="R1191">
        <v>544.5</v>
      </c>
      <c r="S1191" s="3">
        <v>-2.9999999999999997E-4</v>
      </c>
      <c r="T1191">
        <f t="shared" si="37"/>
        <v>2014</v>
      </c>
      <c r="W1191" s="86">
        <v>42471</v>
      </c>
      <c r="X1191">
        <v>535.17999999999995</v>
      </c>
    </row>
    <row r="1192" spans="1:24">
      <c r="A1192" s="68">
        <v>34758</v>
      </c>
      <c r="B1192" s="33">
        <v>856.99</v>
      </c>
      <c r="C1192">
        <f t="shared" si="36"/>
        <v>1995</v>
      </c>
      <c r="H1192" s="85">
        <v>42097</v>
      </c>
      <c r="I1192">
        <v>2576.41</v>
      </c>
      <c r="N1192" s="69">
        <v>41760</v>
      </c>
      <c r="O1192">
        <v>552.15</v>
      </c>
      <c r="P1192">
        <v>540.5</v>
      </c>
      <c r="Q1192">
        <v>552.15</v>
      </c>
      <c r="R1192">
        <v>540.4</v>
      </c>
      <c r="S1192" s="3">
        <v>7.6E-3</v>
      </c>
      <c r="T1192">
        <f t="shared" si="37"/>
        <v>2014</v>
      </c>
      <c r="W1192" s="86">
        <v>42472</v>
      </c>
      <c r="X1192">
        <v>535.20000000000005</v>
      </c>
    </row>
    <row r="1193" spans="1:24">
      <c r="A1193" s="68">
        <v>34759</v>
      </c>
      <c r="B1193" s="32">
        <v>857.85</v>
      </c>
      <c r="C1193">
        <f t="shared" si="36"/>
        <v>1995</v>
      </c>
      <c r="H1193" s="85">
        <v>42098</v>
      </c>
      <c r="I1193">
        <v>2576.41</v>
      </c>
      <c r="N1193" s="69">
        <v>41759</v>
      </c>
      <c r="O1193">
        <v>548</v>
      </c>
      <c r="P1193">
        <v>540.54999999999995</v>
      </c>
      <c r="Q1193">
        <v>548.16999999999996</v>
      </c>
      <c r="R1193">
        <v>540.5</v>
      </c>
      <c r="S1193" s="3">
        <v>-1E-4</v>
      </c>
      <c r="T1193">
        <f t="shared" si="37"/>
        <v>2014</v>
      </c>
      <c r="W1193" s="86">
        <v>42473</v>
      </c>
      <c r="X1193">
        <v>537.51</v>
      </c>
    </row>
    <row r="1194" spans="1:24">
      <c r="A1194" s="68">
        <v>34760</v>
      </c>
      <c r="B1194" s="33">
        <v>858.87</v>
      </c>
      <c r="C1194">
        <f t="shared" si="36"/>
        <v>1995</v>
      </c>
      <c r="H1194" s="85">
        <v>42099</v>
      </c>
      <c r="I1194">
        <v>2576.41</v>
      </c>
      <c r="N1194" s="69">
        <v>41758</v>
      </c>
      <c r="O1194">
        <v>548.04999999999995</v>
      </c>
      <c r="P1194">
        <v>540.6</v>
      </c>
      <c r="Q1194">
        <v>548.33000000000004</v>
      </c>
      <c r="R1194">
        <v>540.54999999999995</v>
      </c>
      <c r="S1194" s="3">
        <v>-1E-4</v>
      </c>
      <c r="T1194">
        <f t="shared" si="37"/>
        <v>2014</v>
      </c>
      <c r="W1194" s="86">
        <v>42474</v>
      </c>
      <c r="X1194">
        <v>534.62</v>
      </c>
    </row>
    <row r="1195" spans="1:24">
      <c r="A1195" s="68">
        <v>34761</v>
      </c>
      <c r="B1195" s="32">
        <v>861.33</v>
      </c>
      <c r="C1195">
        <f t="shared" si="36"/>
        <v>1995</v>
      </c>
      <c r="H1195" s="85">
        <v>42100</v>
      </c>
      <c r="I1195">
        <v>2576.41</v>
      </c>
      <c r="N1195" s="69">
        <v>41757</v>
      </c>
      <c r="O1195">
        <v>548.1</v>
      </c>
      <c r="P1195">
        <v>541</v>
      </c>
      <c r="Q1195">
        <v>548.5</v>
      </c>
      <c r="R1195">
        <v>540.6</v>
      </c>
      <c r="S1195" s="3">
        <v>-6.9999999999999999E-4</v>
      </c>
      <c r="T1195">
        <f t="shared" si="37"/>
        <v>2014</v>
      </c>
      <c r="W1195" s="86">
        <v>42475</v>
      </c>
      <c r="X1195">
        <v>534.42999999999995</v>
      </c>
    </row>
    <row r="1196" spans="1:24">
      <c r="A1196" s="68">
        <v>34762</v>
      </c>
      <c r="B1196" s="33">
        <v>859.65</v>
      </c>
      <c r="C1196">
        <f t="shared" si="36"/>
        <v>1995</v>
      </c>
      <c r="H1196" s="85">
        <v>42101</v>
      </c>
      <c r="I1196">
        <v>2522.71</v>
      </c>
      <c r="N1196" s="69">
        <v>41754</v>
      </c>
      <c r="O1196">
        <v>548.5</v>
      </c>
      <c r="P1196">
        <v>541</v>
      </c>
      <c r="Q1196">
        <v>548.5</v>
      </c>
      <c r="R1196">
        <v>540.36</v>
      </c>
      <c r="S1196" s="3">
        <v>0</v>
      </c>
      <c r="T1196">
        <f t="shared" si="37"/>
        <v>2014</v>
      </c>
      <c r="W1196" s="86">
        <v>42478</v>
      </c>
      <c r="X1196">
        <v>537.37</v>
      </c>
    </row>
    <row r="1197" spans="1:24">
      <c r="A1197" s="68">
        <v>34763</v>
      </c>
      <c r="B1197" s="32">
        <v>859.65</v>
      </c>
      <c r="C1197">
        <f t="shared" si="36"/>
        <v>1995</v>
      </c>
      <c r="H1197" s="85">
        <v>42102</v>
      </c>
      <c r="I1197">
        <v>2518.0500000000002</v>
      </c>
      <c r="N1197" s="69">
        <v>41753</v>
      </c>
      <c r="O1197">
        <v>548.5</v>
      </c>
      <c r="P1197">
        <v>541</v>
      </c>
      <c r="Q1197">
        <v>548.5</v>
      </c>
      <c r="R1197">
        <v>540.65</v>
      </c>
      <c r="S1197" s="3">
        <v>0</v>
      </c>
      <c r="T1197">
        <f t="shared" si="37"/>
        <v>2014</v>
      </c>
      <c r="W1197" s="86">
        <v>42479</v>
      </c>
      <c r="X1197">
        <v>534.08000000000004</v>
      </c>
    </row>
    <row r="1198" spans="1:24">
      <c r="A1198" s="68">
        <v>34764</v>
      </c>
      <c r="B1198" s="33">
        <v>859.65</v>
      </c>
      <c r="C1198">
        <f t="shared" si="36"/>
        <v>1995</v>
      </c>
      <c r="H1198" s="85">
        <v>42103</v>
      </c>
      <c r="I1198">
        <v>2490.9</v>
      </c>
      <c r="N1198" s="69">
        <v>41752</v>
      </c>
      <c r="O1198">
        <v>548.5</v>
      </c>
      <c r="P1198">
        <v>541</v>
      </c>
      <c r="Q1198">
        <v>548.5</v>
      </c>
      <c r="R1198">
        <v>540.59</v>
      </c>
      <c r="S1198" s="3">
        <v>0</v>
      </c>
      <c r="T1198">
        <f t="shared" si="37"/>
        <v>2014</v>
      </c>
      <c r="W1198" s="86">
        <v>42480</v>
      </c>
      <c r="X1198">
        <v>534.33000000000004</v>
      </c>
    </row>
    <row r="1199" spans="1:24">
      <c r="A1199" s="68">
        <v>34765</v>
      </c>
      <c r="B1199" s="32">
        <v>858.95</v>
      </c>
      <c r="C1199">
        <f t="shared" si="36"/>
        <v>1995</v>
      </c>
      <c r="H1199" s="85">
        <v>42104</v>
      </c>
      <c r="I1199">
        <v>2494.77</v>
      </c>
      <c r="N1199" s="69">
        <v>41751</v>
      </c>
      <c r="O1199">
        <v>548.5</v>
      </c>
      <c r="P1199">
        <v>541.75</v>
      </c>
      <c r="Q1199">
        <v>549.25</v>
      </c>
      <c r="R1199">
        <v>537.5</v>
      </c>
      <c r="S1199" s="3">
        <v>-1.4E-3</v>
      </c>
      <c r="T1199">
        <f t="shared" si="37"/>
        <v>2014</v>
      </c>
      <c r="W1199" s="86">
        <v>42481</v>
      </c>
      <c r="X1199">
        <v>534.32000000000005</v>
      </c>
    </row>
    <row r="1200" spans="1:24">
      <c r="A1200" s="68">
        <v>34766</v>
      </c>
      <c r="B1200" s="33">
        <v>861.13</v>
      </c>
      <c r="C1200">
        <f t="shared" si="36"/>
        <v>1995</v>
      </c>
      <c r="H1200" s="85">
        <v>42105</v>
      </c>
      <c r="I1200">
        <v>2516.08</v>
      </c>
      <c r="N1200" s="69">
        <v>41750</v>
      </c>
      <c r="O1200">
        <v>549.25</v>
      </c>
      <c r="P1200">
        <v>541.79999999999995</v>
      </c>
      <c r="Q1200">
        <v>549.29999999999995</v>
      </c>
      <c r="R1200">
        <v>535.17999999999995</v>
      </c>
      <c r="S1200" s="3">
        <v>-1E-4</v>
      </c>
      <c r="T1200">
        <f t="shared" si="37"/>
        <v>2014</v>
      </c>
      <c r="W1200" s="86">
        <v>42482</v>
      </c>
      <c r="X1200">
        <v>534.98</v>
      </c>
    </row>
    <row r="1201" spans="1:24">
      <c r="A1201" s="68">
        <v>34767</v>
      </c>
      <c r="B1201" s="32">
        <v>862.41</v>
      </c>
      <c r="C1201">
        <f t="shared" si="36"/>
        <v>1995</v>
      </c>
      <c r="H1201" s="85">
        <v>42106</v>
      </c>
      <c r="I1201">
        <v>2516.08</v>
      </c>
      <c r="N1201" s="69">
        <v>41747</v>
      </c>
      <c r="O1201">
        <v>549.29999999999995</v>
      </c>
      <c r="P1201">
        <v>542</v>
      </c>
      <c r="Q1201">
        <v>549.5</v>
      </c>
      <c r="R1201">
        <v>535.17999999999995</v>
      </c>
      <c r="S1201" s="3">
        <v>-4.0000000000000002E-4</v>
      </c>
      <c r="T1201">
        <f t="shared" si="37"/>
        <v>2014</v>
      </c>
      <c r="W1201" s="86">
        <v>42485</v>
      </c>
      <c r="X1201">
        <v>534.23</v>
      </c>
    </row>
    <row r="1202" spans="1:24">
      <c r="A1202" s="68">
        <v>34768</v>
      </c>
      <c r="B1202" s="33">
        <v>863.06</v>
      </c>
      <c r="C1202">
        <f t="shared" si="36"/>
        <v>1995</v>
      </c>
      <c r="H1202" s="85">
        <v>42107</v>
      </c>
      <c r="I1202">
        <v>2516.08</v>
      </c>
      <c r="N1202" s="69">
        <v>41746</v>
      </c>
      <c r="O1202">
        <v>549.5</v>
      </c>
      <c r="P1202">
        <v>542</v>
      </c>
      <c r="Q1202">
        <v>549.5</v>
      </c>
      <c r="R1202">
        <v>535.17999999999995</v>
      </c>
      <c r="S1202" s="3">
        <v>0</v>
      </c>
      <c r="T1202">
        <f t="shared" si="37"/>
        <v>2014</v>
      </c>
      <c r="W1202" s="86">
        <v>42486</v>
      </c>
      <c r="X1202">
        <v>538.9</v>
      </c>
    </row>
    <row r="1203" spans="1:24">
      <c r="A1203" s="68">
        <v>34769</v>
      </c>
      <c r="B1203" s="32">
        <v>865.36</v>
      </c>
      <c r="C1203">
        <f t="shared" si="36"/>
        <v>1995</v>
      </c>
      <c r="H1203" s="85">
        <v>42108</v>
      </c>
      <c r="I1203">
        <v>2537.33</v>
      </c>
      <c r="N1203" s="69">
        <v>41745</v>
      </c>
      <c r="O1203">
        <v>549.5</v>
      </c>
      <c r="P1203">
        <v>542</v>
      </c>
      <c r="Q1203">
        <v>549.5</v>
      </c>
      <c r="R1203">
        <v>535.79</v>
      </c>
      <c r="S1203" s="3">
        <v>0</v>
      </c>
      <c r="T1203">
        <f t="shared" si="37"/>
        <v>2014</v>
      </c>
      <c r="W1203" s="86">
        <v>42487</v>
      </c>
      <c r="X1203">
        <v>535.01</v>
      </c>
    </row>
    <row r="1204" spans="1:24">
      <c r="A1204" s="68">
        <v>34770</v>
      </c>
      <c r="B1204" s="33">
        <v>865.36</v>
      </c>
      <c r="C1204">
        <f t="shared" si="36"/>
        <v>1995</v>
      </c>
      <c r="H1204" s="85">
        <v>42109</v>
      </c>
      <c r="I1204">
        <v>2550.83</v>
      </c>
      <c r="N1204" s="69">
        <v>41744</v>
      </c>
      <c r="O1204">
        <v>549.5</v>
      </c>
      <c r="P1204">
        <v>542</v>
      </c>
      <c r="Q1204">
        <v>549.5</v>
      </c>
      <c r="R1204">
        <v>536.29</v>
      </c>
      <c r="S1204" s="3">
        <v>0</v>
      </c>
      <c r="T1204">
        <f t="shared" si="37"/>
        <v>2014</v>
      </c>
      <c r="W1204" s="86">
        <v>42488</v>
      </c>
      <c r="X1204">
        <v>535.83000000000004</v>
      </c>
    </row>
    <row r="1205" spans="1:24">
      <c r="A1205" s="68">
        <v>34771</v>
      </c>
      <c r="B1205" s="32">
        <v>865.36</v>
      </c>
      <c r="C1205">
        <f t="shared" si="36"/>
        <v>1995</v>
      </c>
      <c r="H1205" s="85">
        <v>42110</v>
      </c>
      <c r="I1205">
        <v>2534.63</v>
      </c>
      <c r="N1205" s="69">
        <v>41743</v>
      </c>
      <c r="O1205">
        <v>549.5</v>
      </c>
      <c r="P1205">
        <v>542.1</v>
      </c>
      <c r="Q1205">
        <v>549.72</v>
      </c>
      <c r="R1205">
        <v>542</v>
      </c>
      <c r="S1205" s="3">
        <v>-2.0000000000000001E-4</v>
      </c>
      <c r="T1205">
        <f t="shared" si="37"/>
        <v>2014</v>
      </c>
      <c r="W1205" s="86">
        <v>42489</v>
      </c>
      <c r="X1205">
        <v>539.75</v>
      </c>
    </row>
    <row r="1206" spans="1:24">
      <c r="A1206" s="68">
        <v>34772</v>
      </c>
      <c r="B1206" s="33">
        <v>865.92</v>
      </c>
      <c r="C1206">
        <f t="shared" si="36"/>
        <v>1995</v>
      </c>
      <c r="H1206" s="85">
        <v>42111</v>
      </c>
      <c r="I1206">
        <v>2493.9299999999998</v>
      </c>
      <c r="N1206" s="69">
        <v>41740</v>
      </c>
      <c r="O1206">
        <v>549.6</v>
      </c>
      <c r="P1206">
        <v>542.4</v>
      </c>
      <c r="Q1206">
        <v>549.9</v>
      </c>
      <c r="R1206">
        <v>542.1</v>
      </c>
      <c r="S1206" s="3">
        <v>-5.0000000000000001E-4</v>
      </c>
      <c r="T1206">
        <f t="shared" si="37"/>
        <v>2014</v>
      </c>
      <c r="W1206" s="86">
        <v>42492</v>
      </c>
      <c r="X1206">
        <v>536.48</v>
      </c>
    </row>
    <row r="1207" spans="1:24">
      <c r="A1207" s="68">
        <v>34773</v>
      </c>
      <c r="B1207" s="32">
        <v>866.96</v>
      </c>
      <c r="C1207">
        <f t="shared" si="36"/>
        <v>1995</v>
      </c>
      <c r="H1207" s="85">
        <v>42112</v>
      </c>
      <c r="I1207">
        <v>2495.0100000000002</v>
      </c>
      <c r="N1207" s="69">
        <v>41739</v>
      </c>
      <c r="O1207">
        <v>549.9</v>
      </c>
      <c r="P1207">
        <v>542.5</v>
      </c>
      <c r="Q1207">
        <v>550.29999999999995</v>
      </c>
      <c r="R1207">
        <v>542.4</v>
      </c>
      <c r="S1207" s="3">
        <v>-2.0000000000000001E-4</v>
      </c>
      <c r="T1207">
        <f t="shared" si="37"/>
        <v>2014</v>
      </c>
      <c r="W1207" s="86">
        <v>42493</v>
      </c>
      <c r="X1207">
        <v>536.4</v>
      </c>
    </row>
    <row r="1208" spans="1:24">
      <c r="A1208" s="68">
        <v>34774</v>
      </c>
      <c r="B1208" s="33">
        <v>866.4</v>
      </c>
      <c r="C1208">
        <f t="shared" si="36"/>
        <v>1995</v>
      </c>
      <c r="H1208" s="85">
        <v>42113</v>
      </c>
      <c r="I1208">
        <v>2495.0100000000002</v>
      </c>
      <c r="N1208" s="69">
        <v>41738</v>
      </c>
      <c r="O1208">
        <v>550</v>
      </c>
      <c r="P1208">
        <v>544.29999999999995</v>
      </c>
      <c r="Q1208">
        <v>551.79999999999995</v>
      </c>
      <c r="R1208">
        <v>542.5</v>
      </c>
      <c r="S1208" s="3">
        <v>-3.3E-3</v>
      </c>
      <c r="T1208">
        <f t="shared" si="37"/>
        <v>2014</v>
      </c>
      <c r="W1208" s="86">
        <v>42494</v>
      </c>
      <c r="X1208">
        <v>536.17999999999995</v>
      </c>
    </row>
    <row r="1209" spans="1:24">
      <c r="A1209" s="68">
        <v>34775</v>
      </c>
      <c r="B1209" s="32">
        <v>865.63</v>
      </c>
      <c r="C1209">
        <f t="shared" si="36"/>
        <v>1995</v>
      </c>
      <c r="H1209" s="85">
        <v>42114</v>
      </c>
      <c r="I1209">
        <v>2495.0100000000002</v>
      </c>
      <c r="N1209" s="69">
        <v>41737</v>
      </c>
      <c r="O1209">
        <v>551.79999999999995</v>
      </c>
      <c r="P1209">
        <v>544.45000000000005</v>
      </c>
      <c r="Q1209">
        <v>551.95000000000005</v>
      </c>
      <c r="R1209">
        <v>542.89</v>
      </c>
      <c r="S1209" s="3">
        <v>-2.9999999999999997E-4</v>
      </c>
      <c r="T1209">
        <f t="shared" si="37"/>
        <v>2014</v>
      </c>
      <c r="W1209" s="86">
        <v>42495</v>
      </c>
      <c r="X1209">
        <v>535.94000000000005</v>
      </c>
    </row>
    <row r="1210" spans="1:24">
      <c r="A1210" s="68">
        <v>34776</v>
      </c>
      <c r="B1210" s="33">
        <v>863.77</v>
      </c>
      <c r="C1210">
        <f t="shared" si="36"/>
        <v>1995</v>
      </c>
      <c r="H1210" s="85">
        <v>42115</v>
      </c>
      <c r="I1210">
        <v>2487.0700000000002</v>
      </c>
      <c r="N1210" s="69">
        <v>41736</v>
      </c>
      <c r="O1210">
        <v>551.95000000000005</v>
      </c>
      <c r="P1210">
        <v>537.5</v>
      </c>
      <c r="Q1210">
        <v>552</v>
      </c>
      <c r="R1210">
        <v>537.5</v>
      </c>
      <c r="S1210" s="3">
        <v>1.2800000000000001E-2</v>
      </c>
      <c r="T1210">
        <f t="shared" si="37"/>
        <v>2014</v>
      </c>
      <c r="W1210" s="86">
        <v>42496</v>
      </c>
      <c r="X1210">
        <v>535.92999999999995</v>
      </c>
    </row>
    <row r="1211" spans="1:24">
      <c r="A1211" s="68">
        <v>34777</v>
      </c>
      <c r="B1211" s="32">
        <v>863.77</v>
      </c>
      <c r="C1211">
        <f t="shared" si="36"/>
        <v>1995</v>
      </c>
      <c r="H1211" s="85">
        <v>42116</v>
      </c>
      <c r="I1211">
        <v>2469.0300000000002</v>
      </c>
      <c r="N1211" s="69">
        <v>41733</v>
      </c>
      <c r="O1211">
        <v>545</v>
      </c>
      <c r="P1211">
        <v>537.9</v>
      </c>
      <c r="Q1211">
        <v>545.4</v>
      </c>
      <c r="R1211">
        <v>537.5</v>
      </c>
      <c r="S1211" s="3">
        <v>-6.9999999999999999E-4</v>
      </c>
      <c r="T1211">
        <f t="shared" si="37"/>
        <v>2014</v>
      </c>
      <c r="W1211" s="86">
        <v>42499</v>
      </c>
      <c r="X1211">
        <v>536.14</v>
      </c>
    </row>
    <row r="1212" spans="1:24">
      <c r="A1212" s="68">
        <v>34778</v>
      </c>
      <c r="B1212" s="33">
        <v>863.77</v>
      </c>
      <c r="C1212">
        <f t="shared" si="36"/>
        <v>1995</v>
      </c>
      <c r="H1212" s="85">
        <v>42117</v>
      </c>
      <c r="I1212">
        <v>2488.5</v>
      </c>
      <c r="N1212" s="69">
        <v>41732</v>
      </c>
      <c r="O1212">
        <v>545.4</v>
      </c>
      <c r="P1212">
        <v>538</v>
      </c>
      <c r="Q1212">
        <v>551.51</v>
      </c>
      <c r="R1212">
        <v>537.9</v>
      </c>
      <c r="S1212" s="3">
        <v>-2.0000000000000001E-4</v>
      </c>
      <c r="T1212">
        <f t="shared" si="37"/>
        <v>2014</v>
      </c>
      <c r="W1212" s="86">
        <v>42500</v>
      </c>
      <c r="X1212">
        <v>536.85</v>
      </c>
    </row>
    <row r="1213" spans="1:24">
      <c r="A1213" s="68">
        <v>34779</v>
      </c>
      <c r="B1213" s="32">
        <v>863.77</v>
      </c>
      <c r="C1213">
        <f t="shared" si="36"/>
        <v>1995</v>
      </c>
      <c r="H1213" s="85">
        <v>42118</v>
      </c>
      <c r="I1213">
        <v>2471.21</v>
      </c>
      <c r="N1213" s="69">
        <v>41731</v>
      </c>
      <c r="O1213">
        <v>545.5</v>
      </c>
      <c r="P1213">
        <v>538.1</v>
      </c>
      <c r="Q1213">
        <v>547.63</v>
      </c>
      <c r="R1213">
        <v>538</v>
      </c>
      <c r="S1213" s="3">
        <v>-2.0000000000000001E-4</v>
      </c>
      <c r="T1213">
        <f t="shared" si="37"/>
        <v>2014</v>
      </c>
      <c r="W1213" s="86">
        <v>42501</v>
      </c>
      <c r="X1213">
        <v>535.89</v>
      </c>
    </row>
    <row r="1214" spans="1:24">
      <c r="A1214" s="68">
        <v>34780</v>
      </c>
      <c r="B1214" s="33">
        <v>865.89</v>
      </c>
      <c r="C1214">
        <f t="shared" si="36"/>
        <v>1995</v>
      </c>
      <c r="H1214" s="85">
        <v>42119</v>
      </c>
      <c r="I1214">
        <v>2461.17</v>
      </c>
      <c r="N1214" s="69">
        <v>41730</v>
      </c>
      <c r="O1214">
        <v>545.6</v>
      </c>
      <c r="P1214">
        <v>538.29999999999995</v>
      </c>
      <c r="Q1214">
        <v>546.09</v>
      </c>
      <c r="R1214">
        <v>538.1</v>
      </c>
      <c r="S1214" s="3">
        <v>-4.0000000000000002E-4</v>
      </c>
      <c r="T1214">
        <f t="shared" si="37"/>
        <v>2014</v>
      </c>
      <c r="W1214" s="86">
        <v>42502</v>
      </c>
      <c r="X1214">
        <v>536.02</v>
      </c>
    </row>
    <row r="1215" spans="1:24">
      <c r="A1215" s="68">
        <v>34781</v>
      </c>
      <c r="B1215" s="32">
        <v>867.81</v>
      </c>
      <c r="C1215">
        <f t="shared" si="36"/>
        <v>1995</v>
      </c>
      <c r="H1215" s="85">
        <v>42120</v>
      </c>
      <c r="I1215">
        <v>2461.17</v>
      </c>
      <c r="N1215" s="69">
        <v>41729</v>
      </c>
      <c r="O1215">
        <v>545.79999999999995</v>
      </c>
      <c r="P1215">
        <v>538</v>
      </c>
      <c r="Q1215">
        <v>545.84</v>
      </c>
      <c r="R1215">
        <v>537.95000000000005</v>
      </c>
      <c r="S1215" s="3">
        <v>5.0000000000000001E-4</v>
      </c>
      <c r="T1215">
        <f t="shared" si="37"/>
        <v>2014</v>
      </c>
      <c r="W1215" s="86">
        <v>42503</v>
      </c>
      <c r="X1215">
        <v>535.80999999999995</v>
      </c>
    </row>
    <row r="1216" spans="1:24">
      <c r="A1216" s="68">
        <v>34782</v>
      </c>
      <c r="B1216" s="33">
        <v>868.95</v>
      </c>
      <c r="C1216">
        <f t="shared" si="36"/>
        <v>1995</v>
      </c>
      <c r="H1216" s="85">
        <v>42121</v>
      </c>
      <c r="I1216">
        <v>2461.17</v>
      </c>
      <c r="N1216" s="69">
        <v>41726</v>
      </c>
      <c r="O1216">
        <v>545.5</v>
      </c>
      <c r="P1216">
        <v>528.04999999999995</v>
      </c>
      <c r="Q1216">
        <v>545.94000000000005</v>
      </c>
      <c r="R1216">
        <v>528</v>
      </c>
      <c r="S1216" s="3">
        <v>1.8599999999999998E-2</v>
      </c>
      <c r="T1216">
        <f t="shared" si="37"/>
        <v>2014</v>
      </c>
      <c r="W1216" s="86">
        <v>42506</v>
      </c>
      <c r="X1216">
        <v>535.80999999999995</v>
      </c>
    </row>
    <row r="1217" spans="1:24">
      <c r="A1217" s="68">
        <v>34783</v>
      </c>
      <c r="B1217" s="32">
        <v>869.22</v>
      </c>
      <c r="C1217">
        <f t="shared" si="36"/>
        <v>1995</v>
      </c>
      <c r="H1217" s="85">
        <v>42122</v>
      </c>
      <c r="I1217">
        <v>2419.81</v>
      </c>
      <c r="N1217" s="69">
        <v>41725</v>
      </c>
      <c r="O1217">
        <v>535.54999999999995</v>
      </c>
      <c r="P1217">
        <v>528.20000000000005</v>
      </c>
      <c r="Q1217">
        <v>545.33000000000004</v>
      </c>
      <c r="R1217">
        <v>528.04999999999995</v>
      </c>
      <c r="S1217" s="3">
        <v>-2.9999999999999997E-4</v>
      </c>
      <c r="T1217">
        <f t="shared" si="37"/>
        <v>2014</v>
      </c>
      <c r="W1217" s="86">
        <v>42507</v>
      </c>
      <c r="X1217">
        <v>535.74</v>
      </c>
    </row>
    <row r="1218" spans="1:24">
      <c r="A1218" s="68">
        <v>34784</v>
      </c>
      <c r="B1218" s="33">
        <v>869.22</v>
      </c>
      <c r="C1218">
        <f t="shared" si="36"/>
        <v>1995</v>
      </c>
      <c r="H1218" s="85">
        <v>42123</v>
      </c>
      <c r="I1218">
        <v>2393.42</v>
      </c>
      <c r="N1218" s="69">
        <v>41724</v>
      </c>
      <c r="O1218">
        <v>535.70000000000005</v>
      </c>
      <c r="P1218">
        <v>528.4</v>
      </c>
      <c r="Q1218">
        <v>545.91999999999996</v>
      </c>
      <c r="R1218">
        <v>528.20000000000005</v>
      </c>
      <c r="S1218" s="3">
        <v>-4.0000000000000002E-4</v>
      </c>
      <c r="T1218">
        <f t="shared" si="37"/>
        <v>2014</v>
      </c>
      <c r="W1218" s="86">
        <v>42508</v>
      </c>
      <c r="X1218">
        <v>535.82000000000005</v>
      </c>
    </row>
    <row r="1219" spans="1:24">
      <c r="A1219" s="68">
        <v>34785</v>
      </c>
      <c r="B1219" s="32">
        <v>869.22</v>
      </c>
      <c r="C1219">
        <f t="shared" si="36"/>
        <v>1995</v>
      </c>
      <c r="H1219" s="85">
        <v>42124</v>
      </c>
      <c r="I1219">
        <v>2388.06</v>
      </c>
      <c r="N1219" s="69">
        <v>41723</v>
      </c>
      <c r="O1219">
        <v>535.9</v>
      </c>
      <c r="P1219">
        <v>529</v>
      </c>
      <c r="Q1219">
        <v>546.27</v>
      </c>
      <c r="R1219">
        <v>528.4</v>
      </c>
      <c r="S1219" s="3">
        <v>-1.1000000000000001E-3</v>
      </c>
      <c r="T1219">
        <f t="shared" si="37"/>
        <v>2014</v>
      </c>
      <c r="W1219" s="86">
        <v>42509</v>
      </c>
      <c r="X1219">
        <v>535.85</v>
      </c>
    </row>
    <row r="1220" spans="1:24">
      <c r="A1220" s="68">
        <v>34786</v>
      </c>
      <c r="B1220" s="33">
        <v>870.14</v>
      </c>
      <c r="C1220">
        <f t="shared" ref="C1220:C1283" si="38">YEAR(A1220)</f>
        <v>1995</v>
      </c>
      <c r="H1220" s="85">
        <v>42125</v>
      </c>
      <c r="I1220">
        <v>2393.58</v>
      </c>
      <c r="N1220" s="69">
        <v>41722</v>
      </c>
      <c r="O1220">
        <v>536.5</v>
      </c>
      <c r="P1220">
        <v>529.75</v>
      </c>
      <c r="Q1220">
        <v>537.25</v>
      </c>
      <c r="R1220">
        <v>529</v>
      </c>
      <c r="S1220" s="3">
        <v>-1.4E-3</v>
      </c>
      <c r="T1220">
        <f t="shared" ref="T1220:T1283" si="39">YEAR(N1220)</f>
        <v>2014</v>
      </c>
      <c r="W1220" s="86">
        <v>42510</v>
      </c>
      <c r="X1220">
        <v>539.28</v>
      </c>
    </row>
    <row r="1221" spans="1:24">
      <c r="A1221" s="68">
        <v>34787</v>
      </c>
      <c r="B1221" s="32">
        <v>872.57</v>
      </c>
      <c r="C1221">
        <f t="shared" si="38"/>
        <v>1995</v>
      </c>
      <c r="H1221" s="85">
        <v>42126</v>
      </c>
      <c r="I1221">
        <v>2393.58</v>
      </c>
      <c r="N1221" s="69">
        <v>41719</v>
      </c>
      <c r="O1221">
        <v>537.25</v>
      </c>
      <c r="P1221">
        <v>529.85</v>
      </c>
      <c r="Q1221">
        <v>542.88</v>
      </c>
      <c r="R1221">
        <v>529.75</v>
      </c>
      <c r="S1221" s="3">
        <v>-2.0000000000000001E-4</v>
      </c>
      <c r="T1221">
        <f t="shared" si="39"/>
        <v>2014</v>
      </c>
      <c r="W1221" s="86">
        <v>42513</v>
      </c>
      <c r="X1221">
        <v>539.80999999999995</v>
      </c>
    </row>
    <row r="1222" spans="1:24">
      <c r="A1222" s="68">
        <v>34788</v>
      </c>
      <c r="B1222" s="33">
        <v>876.21</v>
      </c>
      <c r="C1222">
        <f t="shared" si="38"/>
        <v>1995</v>
      </c>
      <c r="H1222" s="85">
        <v>42127</v>
      </c>
      <c r="I1222">
        <v>2393.58</v>
      </c>
      <c r="N1222" s="69">
        <v>41718</v>
      </c>
      <c r="O1222">
        <v>537.35</v>
      </c>
      <c r="P1222">
        <v>530</v>
      </c>
      <c r="Q1222">
        <v>540.54999999999995</v>
      </c>
      <c r="R1222">
        <v>529.85</v>
      </c>
      <c r="S1222" s="3">
        <v>-2.9999999999999997E-4</v>
      </c>
      <c r="T1222">
        <f t="shared" si="39"/>
        <v>2014</v>
      </c>
      <c r="W1222" s="86">
        <v>42514</v>
      </c>
      <c r="X1222">
        <v>540.05999999999995</v>
      </c>
    </row>
    <row r="1223" spans="1:24">
      <c r="A1223" s="68">
        <v>34789</v>
      </c>
      <c r="B1223" s="32">
        <v>880.23</v>
      </c>
      <c r="C1223">
        <f t="shared" si="38"/>
        <v>1995</v>
      </c>
      <c r="H1223" s="85">
        <v>42128</v>
      </c>
      <c r="I1223">
        <v>2393.58</v>
      </c>
      <c r="N1223" s="69">
        <v>41717</v>
      </c>
      <c r="O1223">
        <v>537.5</v>
      </c>
      <c r="P1223">
        <v>530</v>
      </c>
      <c r="Q1223">
        <v>537.5</v>
      </c>
      <c r="R1223">
        <v>530</v>
      </c>
      <c r="S1223" s="3">
        <v>0</v>
      </c>
      <c r="T1223">
        <f t="shared" si="39"/>
        <v>2014</v>
      </c>
      <c r="W1223" s="86">
        <v>42515</v>
      </c>
      <c r="X1223">
        <v>534.78</v>
      </c>
    </row>
    <row r="1224" spans="1:24">
      <c r="A1224" s="68">
        <v>34790</v>
      </c>
      <c r="B1224" s="33">
        <v>878.18</v>
      </c>
      <c r="C1224">
        <f t="shared" si="38"/>
        <v>1995</v>
      </c>
      <c r="H1224" s="85">
        <v>42129</v>
      </c>
      <c r="I1224">
        <v>2408.17</v>
      </c>
      <c r="N1224" s="69">
        <v>41716</v>
      </c>
      <c r="O1224">
        <v>537.5</v>
      </c>
      <c r="P1224">
        <v>531</v>
      </c>
      <c r="Q1224">
        <v>538.5</v>
      </c>
      <c r="R1224">
        <v>530</v>
      </c>
      <c r="S1224" s="3">
        <v>-1.9E-3</v>
      </c>
      <c r="T1224">
        <f t="shared" si="39"/>
        <v>2014</v>
      </c>
      <c r="W1224" s="86">
        <v>42516</v>
      </c>
      <c r="X1224">
        <v>537.04</v>
      </c>
    </row>
    <row r="1225" spans="1:24">
      <c r="A1225" s="68">
        <v>34791</v>
      </c>
      <c r="B1225" s="32">
        <v>878.18</v>
      </c>
      <c r="C1225">
        <f t="shared" si="38"/>
        <v>1995</v>
      </c>
      <c r="H1225" s="85">
        <v>42130</v>
      </c>
      <c r="I1225">
        <v>2386.7199999999998</v>
      </c>
      <c r="N1225" s="69">
        <v>41715</v>
      </c>
      <c r="O1225">
        <v>538.5</v>
      </c>
      <c r="P1225">
        <v>550.5</v>
      </c>
      <c r="Q1225">
        <v>558</v>
      </c>
      <c r="R1225">
        <v>531</v>
      </c>
      <c r="S1225" s="3">
        <v>-3.49E-2</v>
      </c>
      <c r="T1225">
        <f t="shared" si="39"/>
        <v>2014</v>
      </c>
      <c r="W1225" s="86">
        <v>42517</v>
      </c>
      <c r="X1225">
        <v>536.85</v>
      </c>
    </row>
    <row r="1226" spans="1:24">
      <c r="A1226" s="68">
        <v>34792</v>
      </c>
      <c r="B1226" s="33">
        <v>878.18</v>
      </c>
      <c r="C1226">
        <f t="shared" si="38"/>
        <v>1995</v>
      </c>
      <c r="H1226" s="85">
        <v>42131</v>
      </c>
      <c r="I1226">
        <v>2362.41</v>
      </c>
      <c r="N1226" s="69">
        <v>41712</v>
      </c>
      <c r="O1226">
        <v>558</v>
      </c>
      <c r="P1226">
        <v>550.6</v>
      </c>
      <c r="Q1226">
        <v>558.1</v>
      </c>
      <c r="R1226">
        <v>550.5</v>
      </c>
      <c r="S1226" s="3">
        <v>-2.0000000000000001E-4</v>
      </c>
      <c r="T1226">
        <f t="shared" si="39"/>
        <v>2014</v>
      </c>
      <c r="W1226" s="86">
        <v>42520</v>
      </c>
      <c r="X1226">
        <v>536.85</v>
      </c>
    </row>
    <row r="1227" spans="1:24">
      <c r="A1227" s="68">
        <v>34793</v>
      </c>
      <c r="B1227" s="32">
        <v>876</v>
      </c>
      <c r="C1227">
        <f t="shared" si="38"/>
        <v>1995</v>
      </c>
      <c r="H1227" s="85">
        <v>42132</v>
      </c>
      <c r="I1227">
        <v>2369.23</v>
      </c>
      <c r="N1227" s="69">
        <v>41711</v>
      </c>
      <c r="O1227">
        <v>558.1</v>
      </c>
      <c r="P1227">
        <v>550.79999999999995</v>
      </c>
      <c r="Q1227">
        <v>562.78</v>
      </c>
      <c r="R1227">
        <v>550.6</v>
      </c>
      <c r="S1227" s="3">
        <v>-4.0000000000000002E-4</v>
      </c>
      <c r="T1227">
        <f t="shared" si="39"/>
        <v>2014</v>
      </c>
      <c r="W1227" s="86">
        <v>42521</v>
      </c>
      <c r="X1227">
        <v>541.20000000000005</v>
      </c>
    </row>
    <row r="1228" spans="1:24">
      <c r="A1228" s="68">
        <v>34794</v>
      </c>
      <c r="B1228" s="33">
        <v>874.3</v>
      </c>
      <c r="C1228">
        <f t="shared" si="38"/>
        <v>1995</v>
      </c>
      <c r="H1228" s="85">
        <v>42133</v>
      </c>
      <c r="I1228">
        <v>2360.58</v>
      </c>
      <c r="N1228" s="69">
        <v>41710</v>
      </c>
      <c r="O1228">
        <v>558.29999999999995</v>
      </c>
      <c r="P1228">
        <v>551</v>
      </c>
      <c r="Q1228">
        <v>565.12</v>
      </c>
      <c r="R1228">
        <v>550.79999999999995</v>
      </c>
      <c r="S1228" s="3">
        <v>-4.0000000000000002E-4</v>
      </c>
      <c r="T1228">
        <f t="shared" si="39"/>
        <v>2014</v>
      </c>
      <c r="W1228" s="86">
        <v>42522</v>
      </c>
      <c r="X1228">
        <v>540.30999999999995</v>
      </c>
    </row>
    <row r="1229" spans="1:24">
      <c r="A1229" s="68">
        <v>34795</v>
      </c>
      <c r="B1229" s="32">
        <v>871.6</v>
      </c>
      <c r="C1229">
        <f t="shared" si="38"/>
        <v>1995</v>
      </c>
      <c r="H1229" s="85">
        <v>42134</v>
      </c>
      <c r="I1229">
        <v>2360.58</v>
      </c>
      <c r="N1229" s="69">
        <v>41709</v>
      </c>
      <c r="O1229">
        <v>558.5</v>
      </c>
      <c r="P1229">
        <v>552</v>
      </c>
      <c r="Q1229">
        <v>564.66</v>
      </c>
      <c r="R1229">
        <v>551</v>
      </c>
      <c r="S1229" s="3">
        <v>-1.8E-3</v>
      </c>
      <c r="T1229">
        <f t="shared" si="39"/>
        <v>2014</v>
      </c>
      <c r="W1229" s="86">
        <v>42523</v>
      </c>
      <c r="X1229">
        <v>537.12</v>
      </c>
    </row>
    <row r="1230" spans="1:24">
      <c r="A1230" s="68">
        <v>34796</v>
      </c>
      <c r="B1230" s="33">
        <v>868.96</v>
      </c>
      <c r="C1230">
        <f t="shared" si="38"/>
        <v>1995</v>
      </c>
      <c r="H1230" s="85">
        <v>42135</v>
      </c>
      <c r="I1230">
        <v>2360.58</v>
      </c>
      <c r="N1230" s="69">
        <v>41708</v>
      </c>
      <c r="O1230">
        <v>559.5</v>
      </c>
      <c r="P1230">
        <v>552</v>
      </c>
      <c r="Q1230">
        <v>559.5</v>
      </c>
      <c r="R1230">
        <v>552</v>
      </c>
      <c r="S1230" s="3">
        <v>9.9000000000000008E-3</v>
      </c>
      <c r="T1230">
        <f t="shared" si="39"/>
        <v>2014</v>
      </c>
      <c r="W1230" s="86">
        <v>42524</v>
      </c>
      <c r="X1230">
        <v>537.5</v>
      </c>
    </row>
    <row r="1231" spans="1:24">
      <c r="A1231" s="68">
        <v>34797</v>
      </c>
      <c r="B1231" s="32">
        <v>869.15</v>
      </c>
      <c r="C1231">
        <f t="shared" si="38"/>
        <v>1995</v>
      </c>
      <c r="H1231" s="85">
        <v>42136</v>
      </c>
      <c r="I1231">
        <v>2381.5300000000002</v>
      </c>
      <c r="N1231" s="69">
        <v>41705</v>
      </c>
      <c r="O1231">
        <v>554</v>
      </c>
      <c r="P1231">
        <v>552</v>
      </c>
      <c r="Q1231">
        <v>554</v>
      </c>
      <c r="R1231">
        <v>552</v>
      </c>
      <c r="S1231" s="3">
        <v>1.6500000000000001E-2</v>
      </c>
      <c r="T1231">
        <f t="shared" si="39"/>
        <v>2014</v>
      </c>
      <c r="W1231" s="86">
        <v>42527</v>
      </c>
      <c r="X1231">
        <v>539.33000000000004</v>
      </c>
    </row>
    <row r="1232" spans="1:24">
      <c r="A1232" s="68">
        <v>34798</v>
      </c>
      <c r="B1232" s="33">
        <v>869.15</v>
      </c>
      <c r="C1232">
        <f t="shared" si="38"/>
        <v>1995</v>
      </c>
      <c r="H1232" s="85">
        <v>42137</v>
      </c>
      <c r="I1232">
        <v>2386.77</v>
      </c>
      <c r="N1232" s="69">
        <v>41704</v>
      </c>
      <c r="O1232">
        <v>545</v>
      </c>
      <c r="P1232">
        <v>542</v>
      </c>
      <c r="Q1232">
        <v>545</v>
      </c>
      <c r="R1232">
        <v>542</v>
      </c>
      <c r="S1232" s="3">
        <v>0</v>
      </c>
      <c r="T1232">
        <f t="shared" si="39"/>
        <v>2014</v>
      </c>
      <c r="W1232" s="86">
        <v>42528</v>
      </c>
      <c r="X1232">
        <v>537.27</v>
      </c>
    </row>
    <row r="1233" spans="1:24">
      <c r="A1233" s="68">
        <v>34799</v>
      </c>
      <c r="B1233" s="32">
        <v>869.15</v>
      </c>
      <c r="C1233">
        <f t="shared" si="38"/>
        <v>1995</v>
      </c>
      <c r="H1233" s="85">
        <v>42138</v>
      </c>
      <c r="I1233">
        <v>2377.87</v>
      </c>
      <c r="N1233" s="69">
        <v>41703</v>
      </c>
      <c r="O1233">
        <v>545</v>
      </c>
      <c r="P1233">
        <v>542</v>
      </c>
      <c r="Q1233">
        <v>545</v>
      </c>
      <c r="R1233">
        <v>542</v>
      </c>
      <c r="S1233" s="3">
        <v>0</v>
      </c>
      <c r="T1233">
        <f t="shared" si="39"/>
        <v>2014</v>
      </c>
      <c r="W1233" s="86">
        <v>42529</v>
      </c>
      <c r="X1233">
        <v>540.87</v>
      </c>
    </row>
    <row r="1234" spans="1:24">
      <c r="A1234" s="68">
        <v>34800</v>
      </c>
      <c r="B1234" s="33">
        <v>866.78</v>
      </c>
      <c r="C1234">
        <f t="shared" si="38"/>
        <v>1995</v>
      </c>
      <c r="H1234" s="85">
        <v>42139</v>
      </c>
      <c r="I1234">
        <v>2389.4899999999998</v>
      </c>
      <c r="N1234" s="69">
        <v>41702</v>
      </c>
      <c r="O1234">
        <v>545</v>
      </c>
      <c r="P1234">
        <v>538</v>
      </c>
      <c r="Q1234">
        <v>545</v>
      </c>
      <c r="R1234">
        <v>537</v>
      </c>
      <c r="S1234" s="3">
        <v>2.8E-3</v>
      </c>
      <c r="T1234">
        <f t="shared" si="39"/>
        <v>2014</v>
      </c>
      <c r="W1234" s="86">
        <v>42530</v>
      </c>
      <c r="X1234">
        <v>545.95000000000005</v>
      </c>
    </row>
    <row r="1235" spans="1:24">
      <c r="A1235" s="68">
        <v>34801</v>
      </c>
      <c r="B1235" s="32">
        <v>868.8</v>
      </c>
      <c r="C1235">
        <f t="shared" si="38"/>
        <v>1995</v>
      </c>
      <c r="H1235" s="85">
        <v>42140</v>
      </c>
      <c r="I1235">
        <v>2417.0100000000002</v>
      </c>
      <c r="N1235" s="69">
        <v>41701</v>
      </c>
      <c r="O1235">
        <v>543.5</v>
      </c>
      <c r="P1235">
        <v>502</v>
      </c>
      <c r="Q1235">
        <v>544.5</v>
      </c>
      <c r="R1235">
        <v>501</v>
      </c>
      <c r="S1235" s="3">
        <v>7.0900000000000005E-2</v>
      </c>
      <c r="T1235">
        <f t="shared" si="39"/>
        <v>2014</v>
      </c>
      <c r="W1235" s="86">
        <v>42531</v>
      </c>
      <c r="X1235">
        <v>541.41999999999996</v>
      </c>
    </row>
    <row r="1236" spans="1:24">
      <c r="A1236" s="68">
        <v>34802</v>
      </c>
      <c r="B1236" s="33">
        <v>866.25</v>
      </c>
      <c r="C1236">
        <f t="shared" si="38"/>
        <v>1995</v>
      </c>
      <c r="H1236" s="85">
        <v>42141</v>
      </c>
      <c r="I1236">
        <v>2417.0100000000002</v>
      </c>
      <c r="N1236" s="69">
        <v>41698</v>
      </c>
      <c r="O1236">
        <v>507.5</v>
      </c>
      <c r="P1236">
        <v>502</v>
      </c>
      <c r="Q1236">
        <v>507.5</v>
      </c>
      <c r="R1236">
        <v>502</v>
      </c>
      <c r="S1236" s="3">
        <v>0</v>
      </c>
      <c r="T1236">
        <f t="shared" si="39"/>
        <v>2014</v>
      </c>
      <c r="W1236" s="86">
        <v>42534</v>
      </c>
      <c r="X1236">
        <v>541.26</v>
      </c>
    </row>
    <row r="1237" spans="1:24">
      <c r="A1237" s="68">
        <v>34803</v>
      </c>
      <c r="B1237" s="32">
        <v>866.25</v>
      </c>
      <c r="C1237">
        <f t="shared" si="38"/>
        <v>1995</v>
      </c>
      <c r="H1237" s="85">
        <v>42142</v>
      </c>
      <c r="I1237">
        <v>2417.0100000000002</v>
      </c>
      <c r="N1237" s="69">
        <v>41697</v>
      </c>
      <c r="O1237">
        <v>507.5</v>
      </c>
      <c r="P1237">
        <v>502</v>
      </c>
      <c r="Q1237">
        <v>507.5</v>
      </c>
      <c r="R1237">
        <v>502</v>
      </c>
      <c r="S1237" s="3">
        <v>0</v>
      </c>
      <c r="T1237">
        <f t="shared" si="39"/>
        <v>2014</v>
      </c>
      <c r="W1237" s="86">
        <v>42535</v>
      </c>
      <c r="X1237">
        <v>543.33000000000004</v>
      </c>
    </row>
    <row r="1238" spans="1:24">
      <c r="A1238" s="68">
        <v>34804</v>
      </c>
      <c r="B1238" s="33">
        <v>866.25</v>
      </c>
      <c r="C1238">
        <f t="shared" si="38"/>
        <v>1995</v>
      </c>
      <c r="H1238" s="85">
        <v>42143</v>
      </c>
      <c r="I1238">
        <v>2417.0100000000002</v>
      </c>
      <c r="N1238" s="69">
        <v>41696</v>
      </c>
      <c r="O1238">
        <v>507.5</v>
      </c>
      <c r="P1238">
        <v>502</v>
      </c>
      <c r="Q1238">
        <v>507.5</v>
      </c>
      <c r="R1238">
        <v>502</v>
      </c>
      <c r="S1238" s="3">
        <v>0</v>
      </c>
      <c r="T1238">
        <f t="shared" si="39"/>
        <v>2014</v>
      </c>
      <c r="W1238" s="86">
        <v>42536</v>
      </c>
      <c r="X1238">
        <v>540.61</v>
      </c>
    </row>
    <row r="1239" spans="1:24">
      <c r="A1239" s="68">
        <v>34805</v>
      </c>
      <c r="B1239" s="32">
        <v>866.25</v>
      </c>
      <c r="C1239">
        <f t="shared" si="38"/>
        <v>1995</v>
      </c>
      <c r="H1239" s="85">
        <v>42144</v>
      </c>
      <c r="I1239">
        <v>2475.4499999999998</v>
      </c>
      <c r="N1239" s="69">
        <v>41695</v>
      </c>
      <c r="O1239">
        <v>507.5</v>
      </c>
      <c r="P1239">
        <v>502</v>
      </c>
      <c r="Q1239">
        <v>507.5</v>
      </c>
      <c r="R1239">
        <v>502</v>
      </c>
      <c r="S1239" s="3">
        <v>0</v>
      </c>
      <c r="T1239">
        <f t="shared" si="39"/>
        <v>2014</v>
      </c>
      <c r="W1239" s="86">
        <v>42537</v>
      </c>
      <c r="X1239">
        <v>543.45000000000005</v>
      </c>
    </row>
    <row r="1240" spans="1:24">
      <c r="A1240" s="68">
        <v>34806</v>
      </c>
      <c r="B1240" s="33">
        <v>866.25</v>
      </c>
      <c r="C1240">
        <f t="shared" si="38"/>
        <v>1995</v>
      </c>
      <c r="H1240" s="85">
        <v>42145</v>
      </c>
      <c r="I1240">
        <v>2503.37</v>
      </c>
      <c r="N1240" s="69">
        <v>41694</v>
      </c>
      <c r="O1240">
        <v>507.5</v>
      </c>
      <c r="P1240">
        <v>502.2</v>
      </c>
      <c r="Q1240">
        <v>507.7</v>
      </c>
      <c r="R1240">
        <v>502</v>
      </c>
      <c r="S1240" s="3">
        <v>-4.0000000000000002E-4</v>
      </c>
      <c r="T1240">
        <f t="shared" si="39"/>
        <v>2014</v>
      </c>
      <c r="W1240" s="86">
        <v>42538</v>
      </c>
      <c r="X1240">
        <v>541.14</v>
      </c>
    </row>
    <row r="1241" spans="1:24">
      <c r="A1241" s="68">
        <v>34807</v>
      </c>
      <c r="B1241" s="32">
        <v>871.87</v>
      </c>
      <c r="C1241">
        <f t="shared" si="38"/>
        <v>1995</v>
      </c>
      <c r="H1241" s="85">
        <v>42146</v>
      </c>
      <c r="I1241">
        <v>2489.39</v>
      </c>
      <c r="N1241" s="69">
        <v>41691</v>
      </c>
      <c r="O1241">
        <v>507.7</v>
      </c>
      <c r="P1241">
        <v>502.5</v>
      </c>
      <c r="Q1241">
        <v>508</v>
      </c>
      <c r="R1241">
        <v>502.2</v>
      </c>
      <c r="S1241" s="3">
        <v>-5.9999999999999995E-4</v>
      </c>
      <c r="T1241">
        <f t="shared" si="39"/>
        <v>2014</v>
      </c>
      <c r="W1241" s="86">
        <v>42541</v>
      </c>
      <c r="X1241">
        <v>542.14</v>
      </c>
    </row>
    <row r="1242" spans="1:24">
      <c r="A1242" s="68">
        <v>34808</v>
      </c>
      <c r="B1242" s="33">
        <v>874.37</v>
      </c>
      <c r="C1242">
        <f t="shared" si="38"/>
        <v>1995</v>
      </c>
      <c r="H1242" s="85">
        <v>42147</v>
      </c>
      <c r="I1242">
        <v>2500.2199999999998</v>
      </c>
      <c r="N1242" s="69">
        <v>41690</v>
      </c>
      <c r="O1242">
        <v>508</v>
      </c>
      <c r="P1242">
        <v>502.8</v>
      </c>
      <c r="Q1242">
        <v>508.3</v>
      </c>
      <c r="R1242">
        <v>502.5</v>
      </c>
      <c r="S1242" s="3">
        <v>-5.9999999999999995E-4</v>
      </c>
      <c r="T1242">
        <f t="shared" si="39"/>
        <v>2014</v>
      </c>
      <c r="W1242" s="86">
        <v>42542</v>
      </c>
      <c r="X1242">
        <v>544.79999999999995</v>
      </c>
    </row>
    <row r="1243" spans="1:24">
      <c r="A1243" s="68">
        <v>34809</v>
      </c>
      <c r="B1243" s="32">
        <v>874.35</v>
      </c>
      <c r="C1243">
        <f t="shared" si="38"/>
        <v>1995</v>
      </c>
      <c r="H1243" s="85">
        <v>42148</v>
      </c>
      <c r="I1243">
        <v>2500.2199999999998</v>
      </c>
      <c r="N1243" s="69">
        <v>41689</v>
      </c>
      <c r="O1243">
        <v>508.3</v>
      </c>
      <c r="P1243">
        <v>502.95</v>
      </c>
      <c r="Q1243">
        <v>508.45</v>
      </c>
      <c r="R1243">
        <v>502.8</v>
      </c>
      <c r="S1243" s="3">
        <v>-2.9999999999999997E-4</v>
      </c>
      <c r="T1243">
        <f t="shared" si="39"/>
        <v>2014</v>
      </c>
      <c r="W1243" s="86">
        <v>42543</v>
      </c>
      <c r="X1243">
        <v>544.86</v>
      </c>
    </row>
    <row r="1244" spans="1:24">
      <c r="A1244" s="68">
        <v>34810</v>
      </c>
      <c r="B1244" s="33">
        <v>877.38</v>
      </c>
      <c r="C1244">
        <f t="shared" si="38"/>
        <v>1995</v>
      </c>
      <c r="H1244" s="85">
        <v>42149</v>
      </c>
      <c r="I1244">
        <v>2500.2199999999998</v>
      </c>
      <c r="N1244" s="69">
        <v>41688</v>
      </c>
      <c r="O1244">
        <v>508.45</v>
      </c>
      <c r="P1244">
        <v>503.2</v>
      </c>
      <c r="Q1244">
        <v>508.7</v>
      </c>
      <c r="R1244">
        <v>502.95</v>
      </c>
      <c r="S1244" s="3">
        <v>-5.0000000000000001E-4</v>
      </c>
      <c r="T1244">
        <f t="shared" si="39"/>
        <v>2014</v>
      </c>
      <c r="W1244" s="86">
        <v>42544</v>
      </c>
      <c r="X1244">
        <v>545.13</v>
      </c>
    </row>
    <row r="1245" spans="1:24">
      <c r="A1245" s="68">
        <v>34811</v>
      </c>
      <c r="B1245" s="32">
        <v>876.55</v>
      </c>
      <c r="C1245">
        <f t="shared" si="38"/>
        <v>1995</v>
      </c>
      <c r="H1245" s="85">
        <v>42150</v>
      </c>
      <c r="I1245">
        <v>2500.2199999999998</v>
      </c>
      <c r="N1245" s="69">
        <v>41687</v>
      </c>
      <c r="O1245">
        <v>508.7</v>
      </c>
      <c r="P1245">
        <v>503.4</v>
      </c>
      <c r="Q1245">
        <v>508.9</v>
      </c>
      <c r="R1245">
        <v>503.2</v>
      </c>
      <c r="S1245" s="3">
        <v>-4.0000000000000002E-4</v>
      </c>
      <c r="T1245">
        <f t="shared" si="39"/>
        <v>2014</v>
      </c>
      <c r="W1245" s="86">
        <v>42545</v>
      </c>
      <c r="X1245">
        <v>545.49</v>
      </c>
    </row>
    <row r="1246" spans="1:24">
      <c r="A1246" s="68">
        <v>34812</v>
      </c>
      <c r="B1246" s="33">
        <v>876.55</v>
      </c>
      <c r="C1246">
        <f t="shared" si="38"/>
        <v>1995</v>
      </c>
      <c r="H1246" s="85">
        <v>42151</v>
      </c>
      <c r="I1246">
        <v>2542.5300000000002</v>
      </c>
      <c r="N1246" s="69">
        <v>41684</v>
      </c>
      <c r="O1246">
        <v>508.9</v>
      </c>
      <c r="P1246">
        <v>503.45</v>
      </c>
      <c r="Q1246">
        <v>508.95</v>
      </c>
      <c r="R1246">
        <v>503.4</v>
      </c>
      <c r="S1246" s="3">
        <v>-1E-4</v>
      </c>
      <c r="T1246">
        <f t="shared" si="39"/>
        <v>2014</v>
      </c>
      <c r="W1246" s="86">
        <v>42548</v>
      </c>
      <c r="X1246">
        <v>545.33000000000004</v>
      </c>
    </row>
    <row r="1247" spans="1:24">
      <c r="A1247" s="68">
        <v>34813</v>
      </c>
      <c r="B1247" s="32">
        <v>876.55</v>
      </c>
      <c r="C1247">
        <f t="shared" si="38"/>
        <v>1995</v>
      </c>
      <c r="H1247" s="85">
        <v>42152</v>
      </c>
      <c r="I1247">
        <v>2548.13</v>
      </c>
      <c r="N1247" s="69">
        <v>41683</v>
      </c>
      <c r="O1247">
        <v>508.95</v>
      </c>
      <c r="P1247">
        <v>503.7</v>
      </c>
      <c r="Q1247">
        <v>509.2</v>
      </c>
      <c r="R1247">
        <v>503.45</v>
      </c>
      <c r="S1247" s="3">
        <v>-5.0000000000000001E-4</v>
      </c>
      <c r="T1247">
        <f t="shared" si="39"/>
        <v>2014</v>
      </c>
      <c r="W1247" s="86">
        <v>42549</v>
      </c>
      <c r="X1247">
        <v>545.47</v>
      </c>
    </row>
    <row r="1248" spans="1:24">
      <c r="A1248" s="68">
        <v>34814</v>
      </c>
      <c r="B1248" s="33">
        <v>878.2</v>
      </c>
      <c r="C1248">
        <f t="shared" si="38"/>
        <v>1995</v>
      </c>
      <c r="H1248" s="85">
        <v>42153</v>
      </c>
      <c r="I1248">
        <v>2549.9699999999998</v>
      </c>
      <c r="N1248" s="69">
        <v>41682</v>
      </c>
      <c r="O1248">
        <v>509.2</v>
      </c>
      <c r="P1248">
        <v>503.9</v>
      </c>
      <c r="Q1248">
        <v>509.4</v>
      </c>
      <c r="R1248">
        <v>503.7</v>
      </c>
      <c r="S1248" s="3">
        <v>-4.0000000000000002E-4</v>
      </c>
      <c r="T1248">
        <f t="shared" si="39"/>
        <v>2014</v>
      </c>
      <c r="W1248" s="86">
        <v>42550</v>
      </c>
      <c r="X1248">
        <v>546.63</v>
      </c>
    </row>
    <row r="1249" spans="1:24">
      <c r="A1249" s="68">
        <v>34815</v>
      </c>
      <c r="B1249" s="32">
        <v>876.32</v>
      </c>
      <c r="C1249">
        <f t="shared" si="38"/>
        <v>1995</v>
      </c>
      <c r="H1249" s="85">
        <v>42154</v>
      </c>
      <c r="I1249">
        <v>2533.79</v>
      </c>
      <c r="N1249" s="69">
        <v>41681</v>
      </c>
      <c r="O1249">
        <v>509.4</v>
      </c>
      <c r="P1249">
        <v>504</v>
      </c>
      <c r="Q1249">
        <v>509.5</v>
      </c>
      <c r="R1249">
        <v>503.9</v>
      </c>
      <c r="S1249" s="3">
        <v>-2.0000000000000001E-4</v>
      </c>
      <c r="T1249">
        <f t="shared" si="39"/>
        <v>2014</v>
      </c>
      <c r="W1249" s="86">
        <v>42551</v>
      </c>
      <c r="X1249">
        <v>546.66999999999996</v>
      </c>
    </row>
    <row r="1250" spans="1:24">
      <c r="A1250" s="68">
        <v>34816</v>
      </c>
      <c r="B1250" s="33">
        <v>875.78</v>
      </c>
      <c r="C1250">
        <f t="shared" si="38"/>
        <v>1995</v>
      </c>
      <c r="H1250" s="85">
        <v>42155</v>
      </c>
      <c r="I1250">
        <v>2533.79</v>
      </c>
      <c r="N1250" s="69">
        <v>41680</v>
      </c>
      <c r="O1250">
        <v>509.5</v>
      </c>
      <c r="P1250">
        <v>504.1</v>
      </c>
      <c r="Q1250">
        <v>509.6</v>
      </c>
      <c r="R1250">
        <v>504</v>
      </c>
      <c r="S1250" s="3">
        <v>-2.0000000000000001E-4</v>
      </c>
      <c r="T1250">
        <f t="shared" si="39"/>
        <v>2014</v>
      </c>
      <c r="W1250" s="86">
        <v>42552</v>
      </c>
      <c r="X1250">
        <v>546.59</v>
      </c>
    </row>
    <row r="1251" spans="1:24">
      <c r="A1251" s="68">
        <v>34817</v>
      </c>
      <c r="B1251" s="32">
        <v>876.21</v>
      </c>
      <c r="C1251">
        <f t="shared" si="38"/>
        <v>1995</v>
      </c>
      <c r="H1251" s="85">
        <v>42156</v>
      </c>
      <c r="I1251">
        <v>2533.79</v>
      </c>
      <c r="N1251" s="69">
        <v>41677</v>
      </c>
      <c r="O1251">
        <v>509.6</v>
      </c>
      <c r="P1251">
        <v>504.4</v>
      </c>
      <c r="Q1251">
        <v>509.9</v>
      </c>
      <c r="R1251">
        <v>504.1</v>
      </c>
      <c r="S1251" s="3">
        <v>-5.9999999999999995E-4</v>
      </c>
      <c r="T1251">
        <f t="shared" si="39"/>
        <v>2014</v>
      </c>
      <c r="W1251" s="86">
        <v>42555</v>
      </c>
      <c r="X1251">
        <v>546.59</v>
      </c>
    </row>
    <row r="1252" spans="1:24">
      <c r="A1252" s="68">
        <v>34818</v>
      </c>
      <c r="B1252" s="33">
        <v>877.9</v>
      </c>
      <c r="C1252">
        <f t="shared" si="38"/>
        <v>1995</v>
      </c>
      <c r="H1252" s="85">
        <v>42157</v>
      </c>
      <c r="I1252">
        <v>2549.29</v>
      </c>
      <c r="N1252" s="69">
        <v>41676</v>
      </c>
      <c r="O1252">
        <v>509.9</v>
      </c>
      <c r="P1252">
        <v>504.5</v>
      </c>
      <c r="Q1252">
        <v>510</v>
      </c>
      <c r="R1252">
        <v>504.4</v>
      </c>
      <c r="S1252" s="3">
        <v>-2.0000000000000001E-4</v>
      </c>
      <c r="T1252">
        <f t="shared" si="39"/>
        <v>2014</v>
      </c>
      <c r="W1252" s="86">
        <v>42556</v>
      </c>
      <c r="X1252">
        <v>546.58000000000004</v>
      </c>
    </row>
    <row r="1253" spans="1:24">
      <c r="A1253" s="68">
        <v>34819</v>
      </c>
      <c r="B1253" s="32">
        <v>877.9</v>
      </c>
      <c r="C1253">
        <f t="shared" si="38"/>
        <v>1995</v>
      </c>
      <c r="H1253" s="85">
        <v>42158</v>
      </c>
      <c r="I1253">
        <v>2554.44</v>
      </c>
      <c r="N1253" s="69">
        <v>41675</v>
      </c>
      <c r="O1253">
        <v>510</v>
      </c>
      <c r="P1253">
        <v>504.55</v>
      </c>
      <c r="Q1253">
        <v>510.05</v>
      </c>
      <c r="R1253">
        <v>504.5</v>
      </c>
      <c r="S1253" s="3">
        <v>-1E-4</v>
      </c>
      <c r="T1253">
        <f t="shared" si="39"/>
        <v>2014</v>
      </c>
      <c r="W1253" s="86">
        <v>42557</v>
      </c>
      <c r="X1253">
        <v>550.72</v>
      </c>
    </row>
    <row r="1254" spans="1:24">
      <c r="A1254" s="68">
        <v>34820</v>
      </c>
      <c r="B1254" s="33">
        <v>877.9</v>
      </c>
      <c r="C1254">
        <f t="shared" si="38"/>
        <v>1995</v>
      </c>
      <c r="H1254" s="85">
        <v>42159</v>
      </c>
      <c r="I1254">
        <v>2571.92</v>
      </c>
      <c r="N1254" s="69">
        <v>41674</v>
      </c>
      <c r="O1254">
        <v>510.05</v>
      </c>
      <c r="P1254">
        <v>504.7</v>
      </c>
      <c r="Q1254">
        <v>510.2</v>
      </c>
      <c r="R1254">
        <v>504.55</v>
      </c>
      <c r="S1254" s="3">
        <v>-2.9999999999999997E-4</v>
      </c>
      <c r="T1254">
        <f t="shared" si="39"/>
        <v>2014</v>
      </c>
      <c r="W1254" s="86">
        <v>42558</v>
      </c>
      <c r="X1254">
        <v>549.54</v>
      </c>
    </row>
    <row r="1255" spans="1:24">
      <c r="A1255" s="68">
        <v>34821</v>
      </c>
      <c r="B1255" s="32">
        <v>877.9</v>
      </c>
      <c r="C1255">
        <f t="shared" si="38"/>
        <v>1995</v>
      </c>
      <c r="H1255" s="85">
        <v>42160</v>
      </c>
      <c r="I1255">
        <v>2588.56</v>
      </c>
      <c r="N1255" s="69">
        <v>41673</v>
      </c>
      <c r="O1255">
        <v>510.2</v>
      </c>
      <c r="P1255">
        <v>504.8</v>
      </c>
      <c r="Q1255">
        <v>510.3</v>
      </c>
      <c r="R1255">
        <v>504.7</v>
      </c>
      <c r="S1255" s="3">
        <v>-2.0000000000000001E-4</v>
      </c>
      <c r="T1255">
        <f t="shared" si="39"/>
        <v>2014</v>
      </c>
      <c r="W1255" s="86">
        <v>42559</v>
      </c>
      <c r="X1255">
        <v>549.66</v>
      </c>
    </row>
    <row r="1256" spans="1:24">
      <c r="A1256" s="68">
        <v>34822</v>
      </c>
      <c r="B1256" s="33">
        <v>880.63</v>
      </c>
      <c r="C1256">
        <f t="shared" si="38"/>
        <v>1995</v>
      </c>
      <c r="H1256" s="85">
        <v>42161</v>
      </c>
      <c r="I1256">
        <v>2623.66</v>
      </c>
      <c r="N1256" s="69">
        <v>41670</v>
      </c>
      <c r="O1256">
        <v>510.3</v>
      </c>
      <c r="P1256">
        <v>505</v>
      </c>
      <c r="Q1256">
        <v>510.5</v>
      </c>
      <c r="R1256">
        <v>504.8</v>
      </c>
      <c r="S1256" s="3">
        <v>-4.0000000000000002E-4</v>
      </c>
      <c r="T1256">
        <f t="shared" si="39"/>
        <v>2014</v>
      </c>
      <c r="W1256" s="86">
        <v>42562</v>
      </c>
      <c r="X1256">
        <v>549.6</v>
      </c>
    </row>
    <row r="1257" spans="1:24">
      <c r="A1257" s="68">
        <v>34823</v>
      </c>
      <c r="B1257" s="32">
        <v>882.97</v>
      </c>
      <c r="C1257">
        <f t="shared" si="38"/>
        <v>1995</v>
      </c>
      <c r="H1257" s="85">
        <v>42162</v>
      </c>
      <c r="I1257">
        <v>2623.66</v>
      </c>
      <c r="N1257" s="69">
        <v>41669</v>
      </c>
      <c r="O1257">
        <v>510.5</v>
      </c>
      <c r="P1257">
        <v>498.5</v>
      </c>
      <c r="Q1257">
        <v>510.62</v>
      </c>
      <c r="R1257">
        <v>498.5</v>
      </c>
      <c r="S1257" s="3">
        <v>1.29E-2</v>
      </c>
      <c r="T1257">
        <f t="shared" si="39"/>
        <v>2014</v>
      </c>
      <c r="W1257" s="86">
        <v>42563</v>
      </c>
      <c r="X1257">
        <v>547.6</v>
      </c>
    </row>
    <row r="1258" spans="1:24">
      <c r="A1258" s="68">
        <v>34824</v>
      </c>
      <c r="B1258" s="33">
        <v>882.24</v>
      </c>
      <c r="C1258">
        <f t="shared" si="38"/>
        <v>1995</v>
      </c>
      <c r="H1258" s="85">
        <v>42163</v>
      </c>
      <c r="I1258">
        <v>2623.66</v>
      </c>
      <c r="N1258" s="69">
        <v>41668</v>
      </c>
      <c r="O1258">
        <v>504</v>
      </c>
      <c r="P1258">
        <v>497.6</v>
      </c>
      <c r="Q1258">
        <v>504.08</v>
      </c>
      <c r="R1258">
        <v>497.6</v>
      </c>
      <c r="S1258" s="3">
        <v>1.8E-3</v>
      </c>
      <c r="T1258">
        <f t="shared" si="39"/>
        <v>2014</v>
      </c>
      <c r="W1258" s="86">
        <v>42564</v>
      </c>
      <c r="X1258">
        <v>547.54999999999995</v>
      </c>
    </row>
    <row r="1259" spans="1:24">
      <c r="A1259" s="68">
        <v>34825</v>
      </c>
      <c r="B1259" s="32">
        <v>881.07</v>
      </c>
      <c r="C1259">
        <f t="shared" si="38"/>
        <v>1995</v>
      </c>
      <c r="H1259" s="85">
        <v>42164</v>
      </c>
      <c r="I1259">
        <v>2623.66</v>
      </c>
      <c r="N1259" s="69">
        <v>41667</v>
      </c>
      <c r="O1259">
        <v>503.1</v>
      </c>
      <c r="P1259">
        <v>497.9</v>
      </c>
      <c r="Q1259">
        <v>503.4</v>
      </c>
      <c r="R1259">
        <v>497.6</v>
      </c>
      <c r="S1259" s="3">
        <v>-5.9999999999999995E-4</v>
      </c>
      <c r="T1259">
        <f t="shared" si="39"/>
        <v>2014</v>
      </c>
      <c r="W1259" s="86">
        <v>42565</v>
      </c>
      <c r="X1259">
        <v>548.42999999999995</v>
      </c>
    </row>
    <row r="1260" spans="1:24">
      <c r="A1260" s="68">
        <v>34826</v>
      </c>
      <c r="B1260" s="33">
        <v>881.07</v>
      </c>
      <c r="C1260">
        <f t="shared" si="38"/>
        <v>1995</v>
      </c>
      <c r="H1260" s="85">
        <v>42165</v>
      </c>
      <c r="I1260">
        <v>2569.17</v>
      </c>
      <c r="N1260" s="69">
        <v>41666</v>
      </c>
      <c r="O1260">
        <v>503.4</v>
      </c>
      <c r="P1260">
        <v>495</v>
      </c>
      <c r="Q1260">
        <v>503.42</v>
      </c>
      <c r="R1260">
        <v>495</v>
      </c>
      <c r="S1260" s="3">
        <v>5.7999999999999996E-3</v>
      </c>
      <c r="T1260">
        <f t="shared" si="39"/>
        <v>2014</v>
      </c>
      <c r="W1260" s="86">
        <v>42566</v>
      </c>
      <c r="X1260">
        <v>548.38</v>
      </c>
    </row>
    <row r="1261" spans="1:24">
      <c r="A1261" s="68">
        <v>34827</v>
      </c>
      <c r="B1261" s="32">
        <v>881.07</v>
      </c>
      <c r="C1261">
        <f t="shared" si="38"/>
        <v>1995</v>
      </c>
      <c r="H1261" s="85">
        <v>42166</v>
      </c>
      <c r="I1261">
        <v>2523</v>
      </c>
      <c r="N1261" s="69">
        <v>41663</v>
      </c>
      <c r="O1261">
        <v>500.5</v>
      </c>
      <c r="P1261">
        <v>495.2</v>
      </c>
      <c r="Q1261">
        <v>503.42</v>
      </c>
      <c r="R1261">
        <v>495</v>
      </c>
      <c r="S1261" s="3">
        <v>-4.0000000000000002E-4</v>
      </c>
      <c r="T1261">
        <f t="shared" si="39"/>
        <v>2014</v>
      </c>
      <c r="W1261" s="86">
        <v>42569</v>
      </c>
      <c r="X1261">
        <v>546.4</v>
      </c>
    </row>
    <row r="1262" spans="1:24">
      <c r="A1262" s="68">
        <v>34828</v>
      </c>
      <c r="B1262" s="33">
        <v>881.33</v>
      </c>
      <c r="C1262">
        <f t="shared" si="38"/>
        <v>1995</v>
      </c>
      <c r="H1262" s="85">
        <v>42167</v>
      </c>
      <c r="I1262">
        <v>2538.5500000000002</v>
      </c>
      <c r="N1262" s="69">
        <v>41662</v>
      </c>
      <c r="O1262">
        <v>500.7</v>
      </c>
      <c r="P1262">
        <v>495.5</v>
      </c>
      <c r="Q1262">
        <v>503.03</v>
      </c>
      <c r="R1262">
        <v>495.2</v>
      </c>
      <c r="S1262" s="3">
        <v>-5.9999999999999995E-4</v>
      </c>
      <c r="T1262">
        <f t="shared" si="39"/>
        <v>2014</v>
      </c>
      <c r="W1262" s="86">
        <v>42570</v>
      </c>
      <c r="X1262">
        <v>546.48</v>
      </c>
    </row>
    <row r="1263" spans="1:24">
      <c r="A1263" s="68">
        <v>34829</v>
      </c>
      <c r="B1263" s="32">
        <v>878.87</v>
      </c>
      <c r="C1263">
        <f t="shared" si="38"/>
        <v>1995</v>
      </c>
      <c r="H1263" s="85">
        <v>42168</v>
      </c>
      <c r="I1263">
        <v>2535.91</v>
      </c>
      <c r="N1263" s="69">
        <v>41661</v>
      </c>
      <c r="O1263">
        <v>501.02</v>
      </c>
      <c r="P1263">
        <v>494.4</v>
      </c>
      <c r="Q1263">
        <v>501.05</v>
      </c>
      <c r="R1263">
        <v>494.4</v>
      </c>
      <c r="S1263" s="3">
        <v>2.2000000000000001E-3</v>
      </c>
      <c r="T1263">
        <f t="shared" si="39"/>
        <v>2014</v>
      </c>
      <c r="W1263" s="86">
        <v>42571</v>
      </c>
      <c r="X1263">
        <v>549.58000000000004</v>
      </c>
    </row>
    <row r="1264" spans="1:24">
      <c r="A1264" s="68">
        <v>34830</v>
      </c>
      <c r="B1264" s="33">
        <v>880.25</v>
      </c>
      <c r="C1264">
        <f t="shared" si="38"/>
        <v>1995</v>
      </c>
      <c r="H1264" s="85">
        <v>42169</v>
      </c>
      <c r="I1264">
        <v>2535.91</v>
      </c>
      <c r="N1264" s="69">
        <v>41660</v>
      </c>
      <c r="O1264">
        <v>499.9</v>
      </c>
      <c r="P1264">
        <v>494.7</v>
      </c>
      <c r="Q1264">
        <v>500.52</v>
      </c>
      <c r="R1264">
        <v>494.4</v>
      </c>
      <c r="S1264" s="3">
        <v>-5.9999999999999995E-4</v>
      </c>
      <c r="T1264">
        <f t="shared" si="39"/>
        <v>2014</v>
      </c>
      <c r="W1264" s="86">
        <v>42572</v>
      </c>
      <c r="X1264">
        <v>549.63</v>
      </c>
    </row>
    <row r="1265" spans="1:24">
      <c r="A1265" s="68">
        <v>34831</v>
      </c>
      <c r="B1265" s="32">
        <v>881.07</v>
      </c>
      <c r="C1265">
        <f t="shared" si="38"/>
        <v>1995</v>
      </c>
      <c r="H1265" s="85">
        <v>42170</v>
      </c>
      <c r="I1265">
        <v>2535.91</v>
      </c>
      <c r="N1265" s="69">
        <v>41659</v>
      </c>
      <c r="O1265">
        <v>500.2</v>
      </c>
      <c r="P1265">
        <v>493.5</v>
      </c>
      <c r="Q1265">
        <v>500.24</v>
      </c>
      <c r="R1265">
        <v>493.5</v>
      </c>
      <c r="S1265" s="3">
        <v>2.3999999999999998E-3</v>
      </c>
      <c r="T1265">
        <f t="shared" si="39"/>
        <v>2014</v>
      </c>
      <c r="W1265" s="86">
        <v>42573</v>
      </c>
      <c r="X1265">
        <v>546.41999999999996</v>
      </c>
    </row>
    <row r="1266" spans="1:24">
      <c r="A1266" s="68">
        <v>34832</v>
      </c>
      <c r="B1266" s="33">
        <v>879.35</v>
      </c>
      <c r="C1266">
        <f t="shared" si="38"/>
        <v>1995</v>
      </c>
      <c r="H1266" s="85">
        <v>42171</v>
      </c>
      <c r="I1266">
        <v>2535.91</v>
      </c>
      <c r="N1266" s="69">
        <v>41656</v>
      </c>
      <c r="O1266">
        <v>499</v>
      </c>
      <c r="P1266">
        <v>494</v>
      </c>
      <c r="Q1266">
        <v>500.35</v>
      </c>
      <c r="R1266">
        <v>493.5</v>
      </c>
      <c r="S1266" s="3">
        <v>-1E-3</v>
      </c>
      <c r="T1266">
        <f t="shared" si="39"/>
        <v>2014</v>
      </c>
      <c r="W1266" s="86">
        <v>42576</v>
      </c>
      <c r="X1266">
        <v>546.12</v>
      </c>
    </row>
    <row r="1267" spans="1:24">
      <c r="A1267" s="68">
        <v>34833</v>
      </c>
      <c r="B1267" s="32">
        <v>879.35</v>
      </c>
      <c r="C1267">
        <f t="shared" si="38"/>
        <v>1995</v>
      </c>
      <c r="H1267" s="85">
        <v>42172</v>
      </c>
      <c r="I1267">
        <v>2531.7199999999998</v>
      </c>
      <c r="N1267" s="69">
        <v>41655</v>
      </c>
      <c r="O1267">
        <v>499.5</v>
      </c>
      <c r="P1267">
        <v>494.1</v>
      </c>
      <c r="Q1267">
        <v>500.36</v>
      </c>
      <c r="R1267">
        <v>494</v>
      </c>
      <c r="S1267" s="3">
        <v>-2.0000000000000001E-4</v>
      </c>
      <c r="T1267">
        <f t="shared" si="39"/>
        <v>2014</v>
      </c>
      <c r="W1267" s="86">
        <v>42577</v>
      </c>
      <c r="X1267">
        <v>548.5</v>
      </c>
    </row>
    <row r="1268" spans="1:24">
      <c r="A1268" s="68">
        <v>34834</v>
      </c>
      <c r="B1268" s="33">
        <v>879.35</v>
      </c>
      <c r="C1268">
        <f t="shared" si="38"/>
        <v>1995</v>
      </c>
      <c r="H1268" s="85">
        <v>42173</v>
      </c>
      <c r="I1268">
        <v>2550.4299999999998</v>
      </c>
      <c r="N1268" s="69">
        <v>41654</v>
      </c>
      <c r="O1268">
        <v>499.6</v>
      </c>
      <c r="P1268">
        <v>494.3</v>
      </c>
      <c r="Q1268">
        <v>500.34</v>
      </c>
      <c r="R1268">
        <v>494.1</v>
      </c>
      <c r="S1268" s="3">
        <v>-4.0000000000000002E-4</v>
      </c>
      <c r="T1268">
        <f t="shared" si="39"/>
        <v>2014</v>
      </c>
      <c r="W1268" s="86">
        <v>42578</v>
      </c>
      <c r="X1268">
        <v>546.41999999999996</v>
      </c>
    </row>
    <row r="1269" spans="1:24">
      <c r="A1269" s="68">
        <v>34835</v>
      </c>
      <c r="B1269" s="32">
        <v>877.45</v>
      </c>
      <c r="C1269">
        <f t="shared" si="38"/>
        <v>1995</v>
      </c>
      <c r="H1269" s="85">
        <v>42174</v>
      </c>
      <c r="I1269">
        <v>2528.85</v>
      </c>
      <c r="N1269" s="69">
        <v>41653</v>
      </c>
      <c r="O1269">
        <v>499.8</v>
      </c>
      <c r="P1269">
        <v>494.5</v>
      </c>
      <c r="Q1269">
        <v>500</v>
      </c>
      <c r="R1269">
        <v>494.3</v>
      </c>
      <c r="S1269" s="3">
        <v>-4.0000000000000002E-4</v>
      </c>
      <c r="T1269">
        <f t="shared" si="39"/>
        <v>2014</v>
      </c>
      <c r="W1269" s="86">
        <v>42579</v>
      </c>
      <c r="X1269">
        <v>546.30999999999995</v>
      </c>
    </row>
    <row r="1270" spans="1:24">
      <c r="A1270" s="68">
        <v>34836</v>
      </c>
      <c r="B1270" s="33">
        <v>875.17</v>
      </c>
      <c r="C1270">
        <f t="shared" si="38"/>
        <v>1995</v>
      </c>
      <c r="H1270" s="85">
        <v>42175</v>
      </c>
      <c r="I1270">
        <v>2548.1999999999998</v>
      </c>
      <c r="N1270" s="69">
        <v>41652</v>
      </c>
      <c r="O1270">
        <v>500</v>
      </c>
      <c r="P1270">
        <v>494.7</v>
      </c>
      <c r="Q1270">
        <v>500.2</v>
      </c>
      <c r="R1270">
        <v>494.5</v>
      </c>
      <c r="S1270" s="3">
        <v>-5.9999999999999995E-4</v>
      </c>
      <c r="T1270">
        <f t="shared" si="39"/>
        <v>2014</v>
      </c>
      <c r="W1270" s="86">
        <v>42580</v>
      </c>
      <c r="X1270">
        <v>547.80999999999995</v>
      </c>
    </row>
    <row r="1271" spans="1:24">
      <c r="A1271" s="68">
        <v>34837</v>
      </c>
      <c r="B1271" s="32">
        <v>874.74</v>
      </c>
      <c r="C1271">
        <f t="shared" si="38"/>
        <v>1995</v>
      </c>
      <c r="H1271" s="85">
        <v>42176</v>
      </c>
      <c r="I1271">
        <v>2548.1999999999998</v>
      </c>
      <c r="N1271" s="69">
        <v>41649</v>
      </c>
      <c r="O1271">
        <v>500.3</v>
      </c>
      <c r="P1271">
        <v>494.9</v>
      </c>
      <c r="Q1271">
        <v>500.4</v>
      </c>
      <c r="R1271">
        <v>493.62</v>
      </c>
      <c r="S1271" s="3">
        <v>-2.0000000000000001E-4</v>
      </c>
      <c r="T1271">
        <f t="shared" si="39"/>
        <v>2014</v>
      </c>
      <c r="W1271" s="86">
        <v>42583</v>
      </c>
      <c r="X1271">
        <v>548.28</v>
      </c>
    </row>
    <row r="1272" spans="1:24">
      <c r="A1272" s="68">
        <v>34838</v>
      </c>
      <c r="B1272" s="33">
        <v>875.75</v>
      </c>
      <c r="C1272">
        <f t="shared" si="38"/>
        <v>1995</v>
      </c>
      <c r="H1272" s="85">
        <v>42177</v>
      </c>
      <c r="I1272">
        <v>2548.1999999999998</v>
      </c>
      <c r="N1272" s="69">
        <v>41648</v>
      </c>
      <c r="O1272">
        <v>500.4</v>
      </c>
      <c r="P1272">
        <v>495</v>
      </c>
      <c r="Q1272">
        <v>500.5</v>
      </c>
      <c r="R1272">
        <v>493.82</v>
      </c>
      <c r="S1272" s="3">
        <v>-2.0000000000000001E-4</v>
      </c>
      <c r="T1272">
        <f t="shared" si="39"/>
        <v>2014</v>
      </c>
      <c r="W1272" s="86">
        <v>42584</v>
      </c>
      <c r="X1272">
        <v>548.17999999999995</v>
      </c>
    </row>
    <row r="1273" spans="1:24">
      <c r="A1273" s="68">
        <v>34839</v>
      </c>
      <c r="B1273" s="32">
        <v>873.52</v>
      </c>
      <c r="C1273">
        <f t="shared" si="38"/>
        <v>1995</v>
      </c>
      <c r="H1273" s="85">
        <v>42178</v>
      </c>
      <c r="I1273">
        <v>2537.6799999999998</v>
      </c>
      <c r="N1273" s="69">
        <v>41647</v>
      </c>
      <c r="O1273">
        <v>500.5</v>
      </c>
      <c r="P1273">
        <v>495.1</v>
      </c>
      <c r="Q1273">
        <v>501.78</v>
      </c>
      <c r="R1273">
        <v>495</v>
      </c>
      <c r="S1273" s="3">
        <v>-2.0000000000000001E-4</v>
      </c>
      <c r="T1273">
        <f t="shared" si="39"/>
        <v>2014</v>
      </c>
      <c r="W1273" s="86">
        <v>42585</v>
      </c>
      <c r="X1273">
        <v>548.16999999999996</v>
      </c>
    </row>
    <row r="1274" spans="1:24">
      <c r="A1274" s="68">
        <v>34840</v>
      </c>
      <c r="B1274" s="33">
        <v>873.52</v>
      </c>
      <c r="C1274">
        <f t="shared" si="38"/>
        <v>1995</v>
      </c>
      <c r="H1274" s="85">
        <v>42179</v>
      </c>
      <c r="I1274">
        <v>2550.7399999999998</v>
      </c>
      <c r="N1274" s="69">
        <v>41646</v>
      </c>
      <c r="O1274">
        <v>500.6</v>
      </c>
      <c r="P1274">
        <v>495.3</v>
      </c>
      <c r="Q1274">
        <v>502.14</v>
      </c>
      <c r="R1274">
        <v>495.1</v>
      </c>
      <c r="S1274" s="3">
        <v>-4.0000000000000002E-4</v>
      </c>
      <c r="T1274">
        <f t="shared" si="39"/>
        <v>2014</v>
      </c>
      <c r="W1274" s="86">
        <v>42586</v>
      </c>
      <c r="X1274">
        <v>548.19000000000005</v>
      </c>
    </row>
    <row r="1275" spans="1:24">
      <c r="A1275" s="68">
        <v>34841</v>
      </c>
      <c r="B1275" s="32">
        <v>873.52</v>
      </c>
      <c r="C1275">
        <f t="shared" si="38"/>
        <v>1995</v>
      </c>
      <c r="H1275" s="85">
        <v>42180</v>
      </c>
      <c r="I1275">
        <v>2566.66</v>
      </c>
      <c r="N1275" s="69">
        <v>41645</v>
      </c>
      <c r="O1275">
        <v>500.8</v>
      </c>
      <c r="P1275">
        <v>494.8</v>
      </c>
      <c r="Q1275">
        <v>500.95</v>
      </c>
      <c r="R1275">
        <v>494.8</v>
      </c>
      <c r="S1275" s="3">
        <v>1E-3</v>
      </c>
      <c r="T1275">
        <f t="shared" si="39"/>
        <v>2014</v>
      </c>
      <c r="W1275" s="86">
        <v>42587</v>
      </c>
      <c r="X1275">
        <v>548.26</v>
      </c>
    </row>
    <row r="1276" spans="1:24">
      <c r="A1276" s="68">
        <v>34842</v>
      </c>
      <c r="B1276" s="33">
        <v>871.11</v>
      </c>
      <c r="C1276">
        <f t="shared" si="38"/>
        <v>1995</v>
      </c>
      <c r="H1276" s="85">
        <v>42181</v>
      </c>
      <c r="I1276">
        <v>2556.21</v>
      </c>
      <c r="N1276" s="69">
        <v>41642</v>
      </c>
      <c r="O1276">
        <v>500.3</v>
      </c>
      <c r="P1276">
        <v>495</v>
      </c>
      <c r="Q1276">
        <v>500.5</v>
      </c>
      <c r="R1276">
        <v>494.8</v>
      </c>
      <c r="S1276" s="3">
        <v>-4.0000000000000002E-4</v>
      </c>
      <c r="T1276">
        <f t="shared" si="39"/>
        <v>2014</v>
      </c>
      <c r="W1276" s="86">
        <v>42590</v>
      </c>
      <c r="X1276">
        <v>551.05999999999995</v>
      </c>
    </row>
    <row r="1277" spans="1:24">
      <c r="A1277" s="68">
        <v>34843</v>
      </c>
      <c r="B1277" s="32">
        <v>869.95</v>
      </c>
      <c r="C1277">
        <f t="shared" si="38"/>
        <v>1995</v>
      </c>
      <c r="H1277" s="85">
        <v>42182</v>
      </c>
      <c r="I1277">
        <v>2585.11</v>
      </c>
      <c r="N1277" s="69">
        <v>41641</v>
      </c>
      <c r="O1277">
        <v>500.5</v>
      </c>
      <c r="P1277">
        <v>495.15</v>
      </c>
      <c r="Q1277">
        <v>500.65</v>
      </c>
      <c r="R1277">
        <v>495</v>
      </c>
      <c r="S1277" s="3">
        <v>-2.9999999999999997E-4</v>
      </c>
      <c r="T1277">
        <f t="shared" si="39"/>
        <v>2014</v>
      </c>
      <c r="W1277" s="86">
        <v>42591</v>
      </c>
      <c r="X1277">
        <v>548.22</v>
      </c>
    </row>
    <row r="1278" spans="1:24">
      <c r="A1278" s="68">
        <v>34844</v>
      </c>
      <c r="B1278" s="33">
        <v>870.55</v>
      </c>
      <c r="C1278">
        <f t="shared" si="38"/>
        <v>1995</v>
      </c>
      <c r="H1278" s="85">
        <v>42183</v>
      </c>
      <c r="I1278">
        <v>2585.11</v>
      </c>
      <c r="N1278" s="69">
        <v>41640</v>
      </c>
      <c r="O1278">
        <v>500.65</v>
      </c>
      <c r="P1278">
        <v>495.15</v>
      </c>
      <c r="Q1278">
        <v>500.65</v>
      </c>
      <c r="R1278">
        <v>495.15</v>
      </c>
      <c r="S1278" s="3">
        <v>0</v>
      </c>
      <c r="T1278">
        <f t="shared" si="39"/>
        <v>2014</v>
      </c>
      <c r="W1278" s="86">
        <v>42592</v>
      </c>
      <c r="X1278">
        <v>548.59</v>
      </c>
    </row>
    <row r="1279" spans="1:24">
      <c r="A1279" s="68">
        <v>34845</v>
      </c>
      <c r="B1279" s="32">
        <v>872.96</v>
      </c>
      <c r="C1279">
        <f t="shared" si="38"/>
        <v>1995</v>
      </c>
      <c r="H1279" s="85">
        <v>42184</v>
      </c>
      <c r="I1279">
        <v>2585.11</v>
      </c>
      <c r="N1279" s="69">
        <v>41639</v>
      </c>
      <c r="O1279">
        <v>500.65</v>
      </c>
      <c r="P1279">
        <v>495.2</v>
      </c>
      <c r="Q1279">
        <v>500.7</v>
      </c>
      <c r="R1279">
        <v>495.15</v>
      </c>
      <c r="S1279" s="3">
        <v>-1E-4</v>
      </c>
      <c r="T1279">
        <f t="shared" si="39"/>
        <v>2013</v>
      </c>
      <c r="U1279" s="141">
        <f>(O1279-O1539)/O1539</f>
        <v>-2.3312524385485846E-2</v>
      </c>
      <c r="W1279" s="86">
        <v>42593</v>
      </c>
      <c r="X1279">
        <v>551.61</v>
      </c>
    </row>
    <row r="1280" spans="1:24">
      <c r="A1280" s="68">
        <v>34846</v>
      </c>
      <c r="B1280" s="33">
        <v>872.66</v>
      </c>
      <c r="C1280">
        <f t="shared" si="38"/>
        <v>1995</v>
      </c>
      <c r="H1280" s="85">
        <v>42185</v>
      </c>
      <c r="I1280">
        <v>2585.11</v>
      </c>
      <c r="N1280" s="69">
        <v>41638</v>
      </c>
      <c r="O1280">
        <v>500.7</v>
      </c>
      <c r="P1280">
        <v>495.25</v>
      </c>
      <c r="Q1280">
        <v>500.75</v>
      </c>
      <c r="R1280">
        <v>494.92</v>
      </c>
      <c r="S1280" s="3">
        <v>-1E-4</v>
      </c>
      <c r="T1280">
        <f t="shared" si="39"/>
        <v>2013</v>
      </c>
      <c r="W1280" s="86">
        <v>42594</v>
      </c>
      <c r="X1280">
        <v>550.5</v>
      </c>
    </row>
    <row r="1281" spans="1:24">
      <c r="A1281" s="68">
        <v>34847</v>
      </c>
      <c r="B1281" s="32">
        <v>872.66</v>
      </c>
      <c r="C1281">
        <f t="shared" si="38"/>
        <v>1995</v>
      </c>
      <c r="H1281" s="85">
        <v>42186</v>
      </c>
      <c r="I1281">
        <v>2598.6799999999998</v>
      </c>
      <c r="N1281" s="69">
        <v>41635</v>
      </c>
      <c r="O1281">
        <v>500.75</v>
      </c>
      <c r="P1281">
        <v>495.4</v>
      </c>
      <c r="Q1281">
        <v>501.09</v>
      </c>
      <c r="R1281">
        <v>495.25</v>
      </c>
      <c r="S1281" s="3">
        <v>-2.9999999999999997E-4</v>
      </c>
      <c r="T1281">
        <f t="shared" si="39"/>
        <v>2013</v>
      </c>
      <c r="W1281" s="86">
        <v>42597</v>
      </c>
      <c r="X1281">
        <v>551.14</v>
      </c>
    </row>
    <row r="1282" spans="1:24">
      <c r="A1282" s="68">
        <v>34848</v>
      </c>
      <c r="B1282" s="33">
        <v>872.66</v>
      </c>
      <c r="C1282">
        <f t="shared" si="38"/>
        <v>1995</v>
      </c>
      <c r="H1282" s="85">
        <v>42187</v>
      </c>
      <c r="I1282">
        <v>2626.8</v>
      </c>
      <c r="N1282" s="69">
        <v>41634</v>
      </c>
      <c r="O1282">
        <v>500.9</v>
      </c>
      <c r="P1282">
        <v>490.4</v>
      </c>
      <c r="Q1282">
        <v>500.95</v>
      </c>
      <c r="R1282">
        <v>490.4</v>
      </c>
      <c r="S1282" s="3">
        <v>1.01E-2</v>
      </c>
      <c r="T1282">
        <f t="shared" si="39"/>
        <v>2013</v>
      </c>
      <c r="W1282" s="86">
        <v>42598</v>
      </c>
      <c r="X1282">
        <v>548.5</v>
      </c>
    </row>
    <row r="1283" spans="1:24">
      <c r="A1283" s="68">
        <v>34849</v>
      </c>
      <c r="B1283" s="32">
        <v>872.66</v>
      </c>
      <c r="C1283">
        <f t="shared" si="38"/>
        <v>1995</v>
      </c>
      <c r="H1283" s="85">
        <v>42188</v>
      </c>
      <c r="I1283">
        <v>2623.91</v>
      </c>
      <c r="N1283" s="69">
        <v>41633</v>
      </c>
      <c r="O1283">
        <v>495.9</v>
      </c>
      <c r="P1283">
        <v>490.4</v>
      </c>
      <c r="Q1283">
        <v>500.95</v>
      </c>
      <c r="R1283">
        <v>490.4</v>
      </c>
      <c r="S1283" s="3">
        <v>0</v>
      </c>
      <c r="T1283">
        <f t="shared" si="39"/>
        <v>2013</v>
      </c>
      <c r="W1283" s="86">
        <v>42599</v>
      </c>
      <c r="X1283">
        <v>551.96</v>
      </c>
    </row>
    <row r="1284" spans="1:24">
      <c r="A1284" s="68">
        <v>34850</v>
      </c>
      <c r="B1284" s="33">
        <v>876.36</v>
      </c>
      <c r="C1284">
        <f t="shared" ref="C1284:C1347" si="40">YEAR(A1284)</f>
        <v>1995</v>
      </c>
      <c r="H1284" s="85">
        <v>42189</v>
      </c>
      <c r="I1284">
        <v>2642.97</v>
      </c>
      <c r="N1284" s="69">
        <v>41632</v>
      </c>
      <c r="O1284">
        <v>495.9</v>
      </c>
      <c r="P1284">
        <v>494.46</v>
      </c>
      <c r="Q1284">
        <v>499.96</v>
      </c>
      <c r="R1284">
        <v>490.4</v>
      </c>
      <c r="S1284" s="3">
        <v>-2.0000000000000001E-4</v>
      </c>
      <c r="T1284">
        <f t="shared" ref="T1284:T1347" si="41">YEAR(N1284)</f>
        <v>2013</v>
      </c>
      <c r="W1284" s="86">
        <v>42600</v>
      </c>
      <c r="X1284">
        <v>548.97</v>
      </c>
    </row>
    <row r="1285" spans="1:24">
      <c r="A1285" s="68">
        <v>34851</v>
      </c>
      <c r="B1285" s="32">
        <v>876.62</v>
      </c>
      <c r="C1285">
        <f t="shared" si="40"/>
        <v>1995</v>
      </c>
      <c r="H1285" s="85">
        <v>42190</v>
      </c>
      <c r="I1285">
        <v>2642.97</v>
      </c>
      <c r="N1285" s="69">
        <v>41631</v>
      </c>
      <c r="O1285">
        <v>496</v>
      </c>
      <c r="P1285">
        <v>490.7</v>
      </c>
      <c r="Q1285">
        <v>498.99</v>
      </c>
      <c r="R1285">
        <v>490.5</v>
      </c>
      <c r="S1285" s="3">
        <v>-4.0000000000000002E-4</v>
      </c>
      <c r="T1285">
        <f t="shared" si="41"/>
        <v>2013</v>
      </c>
      <c r="W1285" s="86">
        <v>42601</v>
      </c>
      <c r="X1285">
        <v>549.66</v>
      </c>
    </row>
    <row r="1286" spans="1:24">
      <c r="A1286" s="68">
        <v>34852</v>
      </c>
      <c r="B1286" s="33">
        <v>877.22</v>
      </c>
      <c r="C1286">
        <f t="shared" si="40"/>
        <v>1995</v>
      </c>
      <c r="H1286" s="85">
        <v>42191</v>
      </c>
      <c r="I1286">
        <v>2642.97</v>
      </c>
      <c r="N1286" s="69">
        <v>41628</v>
      </c>
      <c r="O1286">
        <v>496.2</v>
      </c>
      <c r="P1286">
        <v>490.9</v>
      </c>
      <c r="Q1286">
        <v>498.79</v>
      </c>
      <c r="R1286">
        <v>490.7</v>
      </c>
      <c r="S1286" s="3">
        <v>-4.0000000000000002E-4</v>
      </c>
      <c r="T1286">
        <f t="shared" si="41"/>
        <v>2013</v>
      </c>
      <c r="W1286" s="86">
        <v>42604</v>
      </c>
      <c r="X1286">
        <v>550.11</v>
      </c>
    </row>
    <row r="1287" spans="1:24">
      <c r="A1287" s="68">
        <v>34853</v>
      </c>
      <c r="B1287" s="32">
        <v>875.99</v>
      </c>
      <c r="C1287">
        <f t="shared" si="40"/>
        <v>1995</v>
      </c>
      <c r="H1287" s="85">
        <v>42192</v>
      </c>
      <c r="I1287">
        <v>2665.41</v>
      </c>
      <c r="N1287" s="69">
        <v>41627</v>
      </c>
      <c r="O1287">
        <v>496.4</v>
      </c>
      <c r="P1287">
        <v>491.05</v>
      </c>
      <c r="Q1287">
        <v>498.8</v>
      </c>
      <c r="R1287">
        <v>490.9</v>
      </c>
      <c r="S1287" s="3">
        <v>-2.9999999999999997E-4</v>
      </c>
      <c r="T1287">
        <f t="shared" si="41"/>
        <v>2013</v>
      </c>
      <c r="W1287" s="86">
        <v>42605</v>
      </c>
      <c r="X1287">
        <v>551.57000000000005</v>
      </c>
    </row>
    <row r="1288" spans="1:24">
      <c r="A1288" s="68">
        <v>34854</v>
      </c>
      <c r="B1288" s="33">
        <v>875.99</v>
      </c>
      <c r="C1288">
        <f t="shared" si="40"/>
        <v>1995</v>
      </c>
      <c r="H1288" s="85">
        <v>42193</v>
      </c>
      <c r="I1288">
        <v>2690.15</v>
      </c>
      <c r="N1288" s="69">
        <v>41626</v>
      </c>
      <c r="O1288">
        <v>496.55</v>
      </c>
      <c r="P1288">
        <v>491.3</v>
      </c>
      <c r="Q1288">
        <v>498.78</v>
      </c>
      <c r="R1288">
        <v>491.05</v>
      </c>
      <c r="S1288" s="3">
        <v>-5.0000000000000001E-4</v>
      </c>
      <c r="T1288">
        <f t="shared" si="41"/>
        <v>2013</v>
      </c>
      <c r="W1288" s="86">
        <v>42606</v>
      </c>
      <c r="X1288">
        <v>550.02</v>
      </c>
    </row>
    <row r="1289" spans="1:24">
      <c r="A1289" s="68">
        <v>34855</v>
      </c>
      <c r="B1289" s="32">
        <v>875.99</v>
      </c>
      <c r="C1289">
        <f t="shared" si="40"/>
        <v>1995</v>
      </c>
      <c r="H1289" s="85">
        <v>42194</v>
      </c>
      <c r="I1289">
        <v>2690.79</v>
      </c>
      <c r="N1289" s="69">
        <v>41625</v>
      </c>
      <c r="O1289">
        <v>496.8</v>
      </c>
      <c r="P1289">
        <v>491.38</v>
      </c>
      <c r="Q1289">
        <v>498.22</v>
      </c>
      <c r="R1289">
        <v>491.3</v>
      </c>
      <c r="S1289" s="3">
        <v>-2.0000000000000001E-4</v>
      </c>
      <c r="T1289">
        <f t="shared" si="41"/>
        <v>2013</v>
      </c>
      <c r="W1289" s="86">
        <v>42607</v>
      </c>
      <c r="X1289">
        <v>550.02</v>
      </c>
    </row>
    <row r="1290" spans="1:24">
      <c r="A1290" s="68">
        <v>34856</v>
      </c>
      <c r="B1290" s="33">
        <v>874.81</v>
      </c>
      <c r="C1290">
        <f t="shared" si="40"/>
        <v>1995</v>
      </c>
      <c r="H1290" s="85">
        <v>42195</v>
      </c>
      <c r="I1290">
        <v>2670.79</v>
      </c>
      <c r="N1290" s="69">
        <v>41624</v>
      </c>
      <c r="O1290">
        <v>496.88</v>
      </c>
      <c r="P1290">
        <v>491.5</v>
      </c>
      <c r="Q1290">
        <v>498.12</v>
      </c>
      <c r="R1290">
        <v>491.38</v>
      </c>
      <c r="S1290" s="3">
        <v>-2.0000000000000001E-4</v>
      </c>
      <c r="T1290">
        <f t="shared" si="41"/>
        <v>2013</v>
      </c>
      <c r="W1290" s="86">
        <v>42608</v>
      </c>
      <c r="X1290">
        <v>551.02</v>
      </c>
    </row>
    <row r="1291" spans="1:24">
      <c r="A1291" s="68">
        <v>34857</v>
      </c>
      <c r="B1291" s="32">
        <v>873.06</v>
      </c>
      <c r="C1291">
        <f t="shared" si="40"/>
        <v>1995</v>
      </c>
      <c r="H1291" s="85">
        <v>42196</v>
      </c>
      <c r="I1291">
        <v>2667.37</v>
      </c>
      <c r="N1291" s="69">
        <v>41621</v>
      </c>
      <c r="O1291">
        <v>497</v>
      </c>
      <c r="P1291">
        <v>491.7</v>
      </c>
      <c r="Q1291">
        <v>498.12</v>
      </c>
      <c r="R1291">
        <v>491.5</v>
      </c>
      <c r="S1291" s="3">
        <v>-4.0000000000000002E-4</v>
      </c>
      <c r="T1291">
        <f t="shared" si="41"/>
        <v>2013</v>
      </c>
      <c r="W1291" s="86">
        <v>42611</v>
      </c>
      <c r="X1291">
        <v>551.11</v>
      </c>
    </row>
    <row r="1292" spans="1:24">
      <c r="A1292" s="68">
        <v>34858</v>
      </c>
      <c r="B1292" s="33">
        <v>871.02</v>
      </c>
      <c r="C1292">
        <f t="shared" si="40"/>
        <v>1995</v>
      </c>
      <c r="H1292" s="85">
        <v>42197</v>
      </c>
      <c r="I1292">
        <v>2667.37</v>
      </c>
      <c r="N1292" s="69">
        <v>41620</v>
      </c>
      <c r="O1292">
        <v>497.2</v>
      </c>
      <c r="P1292">
        <v>492.63</v>
      </c>
      <c r="Q1292">
        <v>498.13</v>
      </c>
      <c r="R1292">
        <v>491.7</v>
      </c>
      <c r="S1292" s="3">
        <v>-2.0000000000000001E-4</v>
      </c>
      <c r="T1292">
        <f t="shared" si="41"/>
        <v>2013</v>
      </c>
      <c r="W1292" s="86">
        <v>42612</v>
      </c>
      <c r="X1292">
        <v>551</v>
      </c>
    </row>
    <row r="1293" spans="1:24">
      <c r="A1293" s="68">
        <v>34859</v>
      </c>
      <c r="B1293" s="32">
        <v>871.93</v>
      </c>
      <c r="C1293">
        <f t="shared" si="40"/>
        <v>1995</v>
      </c>
      <c r="H1293" s="85">
        <v>42198</v>
      </c>
      <c r="I1293">
        <v>2667.37</v>
      </c>
      <c r="N1293" s="69">
        <v>41619</v>
      </c>
      <c r="O1293">
        <v>497.3</v>
      </c>
      <c r="P1293">
        <v>492</v>
      </c>
      <c r="Q1293">
        <v>498.33</v>
      </c>
      <c r="R1293">
        <v>491.8</v>
      </c>
      <c r="S1293" s="3">
        <v>-4.0000000000000002E-4</v>
      </c>
      <c r="T1293">
        <f t="shared" si="41"/>
        <v>2013</v>
      </c>
      <c r="W1293" s="86">
        <v>42613</v>
      </c>
      <c r="X1293">
        <v>550.98</v>
      </c>
    </row>
    <row r="1294" spans="1:24">
      <c r="A1294" s="68">
        <v>34860</v>
      </c>
      <c r="B1294" s="33">
        <v>871.94</v>
      </c>
      <c r="C1294">
        <f t="shared" si="40"/>
        <v>1995</v>
      </c>
      <c r="H1294" s="85">
        <v>42199</v>
      </c>
      <c r="I1294">
        <v>2693.54</v>
      </c>
      <c r="N1294" s="69">
        <v>41618</v>
      </c>
      <c r="O1294">
        <v>497.5</v>
      </c>
      <c r="P1294">
        <v>492.05</v>
      </c>
      <c r="Q1294">
        <v>497.55</v>
      </c>
      <c r="R1294">
        <v>492</v>
      </c>
      <c r="S1294" s="3">
        <v>-1E-4</v>
      </c>
      <c r="T1294">
        <f t="shared" si="41"/>
        <v>2013</v>
      </c>
      <c r="W1294" s="86">
        <v>42614</v>
      </c>
      <c r="X1294">
        <v>552.25</v>
      </c>
    </row>
    <row r="1295" spans="1:24">
      <c r="A1295" s="68">
        <v>34861</v>
      </c>
      <c r="B1295" s="32">
        <v>871.94</v>
      </c>
      <c r="C1295">
        <f t="shared" si="40"/>
        <v>1995</v>
      </c>
      <c r="H1295" s="85">
        <v>42200</v>
      </c>
      <c r="I1295">
        <v>2688.2</v>
      </c>
      <c r="N1295" s="69">
        <v>41617</v>
      </c>
      <c r="O1295">
        <v>497.55</v>
      </c>
      <c r="P1295">
        <v>492.2</v>
      </c>
      <c r="Q1295">
        <v>498.35</v>
      </c>
      <c r="R1295">
        <v>492.05</v>
      </c>
      <c r="S1295" s="3">
        <v>-1E-4</v>
      </c>
      <c r="T1295">
        <f t="shared" si="41"/>
        <v>2013</v>
      </c>
      <c r="W1295" s="86">
        <v>42615</v>
      </c>
      <c r="X1295">
        <v>550.99</v>
      </c>
    </row>
    <row r="1296" spans="1:24">
      <c r="A1296" s="68">
        <v>34862</v>
      </c>
      <c r="B1296" s="33">
        <v>871.94</v>
      </c>
      <c r="C1296">
        <f t="shared" si="40"/>
        <v>1995</v>
      </c>
      <c r="H1296" s="85">
        <v>42201</v>
      </c>
      <c r="I1296">
        <v>2713.04</v>
      </c>
      <c r="N1296" s="69">
        <v>41614</v>
      </c>
      <c r="O1296">
        <v>497.6</v>
      </c>
      <c r="P1296">
        <v>492.3</v>
      </c>
      <c r="Q1296">
        <v>498.38</v>
      </c>
      <c r="R1296">
        <v>492.1</v>
      </c>
      <c r="S1296" s="3">
        <v>-4.0000000000000002E-4</v>
      </c>
      <c r="T1296">
        <f t="shared" si="41"/>
        <v>2013</v>
      </c>
      <c r="W1296" s="86">
        <v>42618</v>
      </c>
      <c r="X1296">
        <v>550.99</v>
      </c>
    </row>
    <row r="1297" spans="1:24">
      <c r="A1297" s="68">
        <v>34863</v>
      </c>
      <c r="B1297" s="32">
        <v>873.74</v>
      </c>
      <c r="C1297">
        <f t="shared" si="40"/>
        <v>1995</v>
      </c>
      <c r="H1297" s="85">
        <v>42202</v>
      </c>
      <c r="I1297">
        <v>2727.23</v>
      </c>
      <c r="N1297" s="69">
        <v>41613</v>
      </c>
      <c r="O1297">
        <v>497.8</v>
      </c>
      <c r="P1297">
        <v>492.5</v>
      </c>
      <c r="Q1297">
        <v>498.37</v>
      </c>
      <c r="R1297">
        <v>492.3</v>
      </c>
      <c r="S1297" s="3">
        <v>-4.0000000000000002E-4</v>
      </c>
      <c r="T1297">
        <f t="shared" si="41"/>
        <v>2013</v>
      </c>
      <c r="W1297" s="86">
        <v>42619</v>
      </c>
      <c r="X1297">
        <v>553.5</v>
      </c>
    </row>
    <row r="1298" spans="1:24">
      <c r="A1298" s="68">
        <v>34864</v>
      </c>
      <c r="B1298" s="33">
        <v>875.28</v>
      </c>
      <c r="C1298">
        <f t="shared" si="40"/>
        <v>1995</v>
      </c>
      <c r="H1298" s="85">
        <v>42203</v>
      </c>
      <c r="I1298">
        <v>2751.88</v>
      </c>
      <c r="N1298" s="69">
        <v>41612</v>
      </c>
      <c r="O1298">
        <v>498</v>
      </c>
      <c r="P1298">
        <v>492.75</v>
      </c>
      <c r="Q1298">
        <v>498.42</v>
      </c>
      <c r="R1298">
        <v>492.5</v>
      </c>
      <c r="S1298" s="3">
        <v>-5.0000000000000001E-4</v>
      </c>
      <c r="T1298">
        <f t="shared" si="41"/>
        <v>2013</v>
      </c>
      <c r="W1298" s="86">
        <v>42620</v>
      </c>
      <c r="X1298">
        <v>550.92999999999995</v>
      </c>
    </row>
    <row r="1299" spans="1:24">
      <c r="A1299" s="68">
        <v>34865</v>
      </c>
      <c r="B1299" s="32">
        <v>873.78</v>
      </c>
      <c r="C1299">
        <f t="shared" si="40"/>
        <v>1995</v>
      </c>
      <c r="H1299" s="85">
        <v>42204</v>
      </c>
      <c r="I1299">
        <v>2751.88</v>
      </c>
      <c r="N1299" s="69">
        <v>41611</v>
      </c>
      <c r="O1299">
        <v>498.25</v>
      </c>
      <c r="P1299">
        <v>492.8</v>
      </c>
      <c r="Q1299">
        <v>498.5</v>
      </c>
      <c r="R1299">
        <v>492.75</v>
      </c>
      <c r="S1299" s="3">
        <v>-1E-4</v>
      </c>
      <c r="T1299">
        <f t="shared" si="41"/>
        <v>2013</v>
      </c>
      <c r="W1299" s="86">
        <v>42621</v>
      </c>
      <c r="X1299">
        <v>553.97</v>
      </c>
    </row>
    <row r="1300" spans="1:24">
      <c r="A1300" s="68">
        <v>34866</v>
      </c>
      <c r="B1300" s="33">
        <v>872.54</v>
      </c>
      <c r="C1300">
        <f t="shared" si="40"/>
        <v>1995</v>
      </c>
      <c r="H1300" s="85">
        <v>42205</v>
      </c>
      <c r="I1300">
        <v>2751.88</v>
      </c>
      <c r="N1300" s="69">
        <v>41610</v>
      </c>
      <c r="O1300">
        <v>498.3</v>
      </c>
      <c r="P1300">
        <v>492.9</v>
      </c>
      <c r="Q1300">
        <v>498.4</v>
      </c>
      <c r="R1300">
        <v>492.8</v>
      </c>
      <c r="S1300" s="3">
        <v>-2.0000000000000001E-4</v>
      </c>
      <c r="T1300">
        <f t="shared" si="41"/>
        <v>2013</v>
      </c>
      <c r="W1300" s="86">
        <v>42622</v>
      </c>
      <c r="X1300">
        <v>551.35</v>
      </c>
    </row>
    <row r="1301" spans="1:24">
      <c r="A1301" s="68">
        <v>34867</v>
      </c>
      <c r="B1301" s="32">
        <v>873.91</v>
      </c>
      <c r="C1301">
        <f t="shared" si="40"/>
        <v>1995</v>
      </c>
      <c r="H1301" s="85">
        <v>42206</v>
      </c>
      <c r="I1301">
        <v>2751.88</v>
      </c>
      <c r="N1301" s="69">
        <v>41607</v>
      </c>
      <c r="O1301">
        <v>498.4</v>
      </c>
      <c r="P1301">
        <v>492.96</v>
      </c>
      <c r="Q1301">
        <v>498.46</v>
      </c>
      <c r="R1301">
        <v>492.9</v>
      </c>
      <c r="S1301" s="3">
        <v>1.9300000000000001E-2</v>
      </c>
      <c r="T1301">
        <f t="shared" si="41"/>
        <v>2013</v>
      </c>
      <c r="W1301" s="86">
        <v>42625</v>
      </c>
      <c r="X1301">
        <v>551.37</v>
      </c>
    </row>
    <row r="1302" spans="1:24">
      <c r="A1302" s="68">
        <v>34868</v>
      </c>
      <c r="B1302" s="33">
        <v>873.91</v>
      </c>
      <c r="C1302">
        <f t="shared" si="40"/>
        <v>1995</v>
      </c>
      <c r="H1302" s="85">
        <v>42207</v>
      </c>
      <c r="I1302">
        <v>2765.1</v>
      </c>
      <c r="N1302" s="69">
        <v>41606</v>
      </c>
      <c r="O1302">
        <v>488.95</v>
      </c>
      <c r="P1302">
        <v>493.14</v>
      </c>
      <c r="Q1302">
        <v>498.64</v>
      </c>
      <c r="R1302">
        <v>483.45</v>
      </c>
      <c r="S1302" s="3">
        <v>-1.9699999999999999E-2</v>
      </c>
      <c r="T1302">
        <f t="shared" si="41"/>
        <v>2013</v>
      </c>
      <c r="W1302" s="86">
        <v>42626</v>
      </c>
      <c r="X1302">
        <v>551.5</v>
      </c>
    </row>
    <row r="1303" spans="1:24">
      <c r="A1303" s="68">
        <v>34869</v>
      </c>
      <c r="B1303" s="32">
        <v>873.91</v>
      </c>
      <c r="C1303">
        <f t="shared" si="40"/>
        <v>1995</v>
      </c>
      <c r="H1303" s="85">
        <v>42208</v>
      </c>
      <c r="I1303">
        <v>2790.26</v>
      </c>
      <c r="N1303" s="69">
        <v>41605</v>
      </c>
      <c r="O1303">
        <v>498.8</v>
      </c>
      <c r="P1303">
        <v>492.8</v>
      </c>
      <c r="Q1303">
        <v>498.85</v>
      </c>
      <c r="R1303">
        <v>492.8</v>
      </c>
      <c r="S1303" s="3">
        <v>1E-3</v>
      </c>
      <c r="T1303">
        <f t="shared" si="41"/>
        <v>2013</v>
      </c>
      <c r="W1303" s="86">
        <v>42627</v>
      </c>
      <c r="X1303">
        <v>552.86</v>
      </c>
    </row>
    <row r="1304" spans="1:24">
      <c r="A1304" s="68">
        <v>34870</v>
      </c>
      <c r="B1304" s="33">
        <v>873.91</v>
      </c>
      <c r="C1304">
        <f t="shared" si="40"/>
        <v>1995</v>
      </c>
      <c r="H1304" s="85">
        <v>42209</v>
      </c>
      <c r="I1304">
        <v>2807.36</v>
      </c>
      <c r="N1304" s="69">
        <v>41604</v>
      </c>
      <c r="O1304">
        <v>498.3</v>
      </c>
      <c r="P1304">
        <v>492.9</v>
      </c>
      <c r="Q1304">
        <v>498.95</v>
      </c>
      <c r="R1304">
        <v>492.8</v>
      </c>
      <c r="S1304" s="3">
        <v>-2.0000000000000001E-4</v>
      </c>
      <c r="T1304">
        <f t="shared" si="41"/>
        <v>2013</v>
      </c>
      <c r="W1304" s="86">
        <v>42628</v>
      </c>
      <c r="X1304">
        <v>550.49</v>
      </c>
    </row>
    <row r="1305" spans="1:24">
      <c r="A1305" s="68">
        <v>34871</v>
      </c>
      <c r="B1305" s="32">
        <v>875.59</v>
      </c>
      <c r="C1305">
        <f t="shared" si="40"/>
        <v>1995</v>
      </c>
      <c r="H1305" s="85">
        <v>42210</v>
      </c>
      <c r="I1305">
        <v>2857.46</v>
      </c>
      <c r="N1305" s="69">
        <v>41603</v>
      </c>
      <c r="O1305">
        <v>498.4</v>
      </c>
      <c r="P1305">
        <v>493</v>
      </c>
      <c r="Q1305">
        <v>498.84</v>
      </c>
      <c r="R1305">
        <v>492.9</v>
      </c>
      <c r="S1305" s="3">
        <v>-2.0000000000000001E-4</v>
      </c>
      <c r="T1305">
        <f t="shared" si="41"/>
        <v>2013</v>
      </c>
      <c r="W1305" s="86">
        <v>42629</v>
      </c>
      <c r="X1305">
        <v>550.49</v>
      </c>
    </row>
    <row r="1306" spans="1:24">
      <c r="A1306" s="68">
        <v>34872</v>
      </c>
      <c r="B1306" s="33">
        <v>875.32</v>
      </c>
      <c r="C1306">
        <f t="shared" si="40"/>
        <v>1995</v>
      </c>
      <c r="H1306" s="85">
        <v>42211</v>
      </c>
      <c r="I1306">
        <v>2857.46</v>
      </c>
      <c r="N1306" s="69">
        <v>41600</v>
      </c>
      <c r="O1306">
        <v>498.5</v>
      </c>
      <c r="P1306">
        <v>493.1</v>
      </c>
      <c r="Q1306">
        <v>498.6</v>
      </c>
      <c r="R1306">
        <v>492.86</v>
      </c>
      <c r="S1306" s="3">
        <v>-2.0000000000000001E-4</v>
      </c>
      <c r="T1306">
        <f t="shared" si="41"/>
        <v>2013</v>
      </c>
      <c r="W1306" s="86">
        <v>42632</v>
      </c>
      <c r="X1306">
        <v>550.25</v>
      </c>
    </row>
    <row r="1307" spans="1:24">
      <c r="A1307" s="68">
        <v>34873</v>
      </c>
      <c r="B1307" s="32">
        <v>874.81</v>
      </c>
      <c r="C1307">
        <f t="shared" si="40"/>
        <v>1995</v>
      </c>
      <c r="H1307" s="85">
        <v>42212</v>
      </c>
      <c r="I1307">
        <v>2857.46</v>
      </c>
      <c r="N1307" s="69">
        <v>41599</v>
      </c>
      <c r="O1307">
        <v>498.6</v>
      </c>
      <c r="P1307">
        <v>493.3</v>
      </c>
      <c r="Q1307">
        <v>498.8</v>
      </c>
      <c r="R1307">
        <v>493.1</v>
      </c>
      <c r="S1307" s="3">
        <v>-4.0000000000000002E-4</v>
      </c>
      <c r="T1307">
        <f t="shared" si="41"/>
        <v>2013</v>
      </c>
      <c r="W1307" s="86">
        <v>42633</v>
      </c>
      <c r="X1307">
        <v>550.1</v>
      </c>
    </row>
    <row r="1308" spans="1:24">
      <c r="A1308" s="68">
        <v>34874</v>
      </c>
      <c r="B1308" s="33">
        <v>873.64</v>
      </c>
      <c r="C1308">
        <f t="shared" si="40"/>
        <v>1995</v>
      </c>
      <c r="H1308" s="85">
        <v>42213</v>
      </c>
      <c r="I1308">
        <v>2854.13</v>
      </c>
      <c r="N1308" s="69">
        <v>41598</v>
      </c>
      <c r="O1308">
        <v>498.8</v>
      </c>
      <c r="P1308">
        <v>493.4</v>
      </c>
      <c r="Q1308">
        <v>499.13</v>
      </c>
      <c r="R1308">
        <v>493.3</v>
      </c>
      <c r="S1308" s="3">
        <v>-2.0000000000000001E-4</v>
      </c>
      <c r="T1308">
        <f t="shared" si="41"/>
        <v>2013</v>
      </c>
      <c r="W1308" s="86">
        <v>42634</v>
      </c>
      <c r="X1308">
        <v>553.83000000000004</v>
      </c>
    </row>
    <row r="1309" spans="1:24">
      <c r="A1309" s="68">
        <v>34875</v>
      </c>
      <c r="B1309" s="32">
        <v>873.64</v>
      </c>
      <c r="C1309">
        <f t="shared" si="40"/>
        <v>1995</v>
      </c>
      <c r="H1309" s="85">
        <v>42214</v>
      </c>
      <c r="I1309">
        <v>2855.44</v>
      </c>
      <c r="N1309" s="69">
        <v>41597</v>
      </c>
      <c r="O1309">
        <v>498.9</v>
      </c>
      <c r="P1309">
        <v>492.2</v>
      </c>
      <c r="Q1309">
        <v>499.2</v>
      </c>
      <c r="R1309">
        <v>492.2</v>
      </c>
      <c r="S1309" s="3">
        <v>2.3999999999999998E-3</v>
      </c>
      <c r="T1309">
        <f t="shared" si="41"/>
        <v>2013</v>
      </c>
      <c r="W1309" s="86">
        <v>42635</v>
      </c>
      <c r="X1309">
        <v>553.99</v>
      </c>
    </row>
    <row r="1310" spans="1:24">
      <c r="A1310" s="68">
        <v>34876</v>
      </c>
      <c r="B1310" s="33">
        <v>873.64</v>
      </c>
      <c r="C1310">
        <f t="shared" si="40"/>
        <v>1995</v>
      </c>
      <c r="H1310" s="85">
        <v>42215</v>
      </c>
      <c r="I1310">
        <v>2855.32</v>
      </c>
      <c r="N1310" s="69">
        <v>41596</v>
      </c>
      <c r="O1310">
        <v>497.7</v>
      </c>
      <c r="P1310">
        <v>492.4</v>
      </c>
      <c r="Q1310">
        <v>499.11</v>
      </c>
      <c r="R1310">
        <v>492.2</v>
      </c>
      <c r="S1310" s="3">
        <v>-4.0000000000000002E-4</v>
      </c>
      <c r="T1310">
        <f t="shared" si="41"/>
        <v>2013</v>
      </c>
      <c r="W1310" s="86">
        <v>42636</v>
      </c>
      <c r="X1310">
        <v>550.91999999999996</v>
      </c>
    </row>
    <row r="1311" spans="1:24">
      <c r="A1311" s="68">
        <v>34877</v>
      </c>
      <c r="B1311" s="32">
        <v>873.64</v>
      </c>
      <c r="C1311">
        <f t="shared" si="40"/>
        <v>1995</v>
      </c>
      <c r="H1311" s="85">
        <v>42216</v>
      </c>
      <c r="I1311">
        <v>2866.04</v>
      </c>
      <c r="N1311" s="69">
        <v>41593</v>
      </c>
      <c r="O1311">
        <v>497.9</v>
      </c>
      <c r="P1311">
        <v>499</v>
      </c>
      <c r="Q1311">
        <v>504.5</v>
      </c>
      <c r="R1311">
        <v>492.4</v>
      </c>
      <c r="S1311" s="3">
        <v>-1.3100000000000001E-2</v>
      </c>
      <c r="T1311">
        <f t="shared" si="41"/>
        <v>2013</v>
      </c>
      <c r="W1311" s="86">
        <v>42639</v>
      </c>
      <c r="X1311">
        <v>550.91999999999996</v>
      </c>
    </row>
    <row r="1312" spans="1:24">
      <c r="A1312" s="68">
        <v>34878</v>
      </c>
      <c r="B1312" s="33">
        <v>875.95</v>
      </c>
      <c r="C1312">
        <f t="shared" si="40"/>
        <v>1995</v>
      </c>
      <c r="H1312" s="85">
        <v>42217</v>
      </c>
      <c r="I1312">
        <v>2862.51</v>
      </c>
      <c r="N1312" s="69">
        <v>41592</v>
      </c>
      <c r="O1312">
        <v>504.5</v>
      </c>
      <c r="P1312">
        <v>499</v>
      </c>
      <c r="Q1312">
        <v>504.5</v>
      </c>
      <c r="R1312">
        <v>499</v>
      </c>
      <c r="S1312" s="3">
        <v>0</v>
      </c>
      <c r="T1312">
        <f t="shared" si="41"/>
        <v>2013</v>
      </c>
      <c r="W1312" s="86">
        <v>42640</v>
      </c>
      <c r="X1312">
        <v>550.97</v>
      </c>
    </row>
    <row r="1313" spans="1:24">
      <c r="A1313" s="68">
        <v>34879</v>
      </c>
      <c r="B1313" s="32">
        <v>878.8</v>
      </c>
      <c r="C1313">
        <f t="shared" si="40"/>
        <v>1995</v>
      </c>
      <c r="H1313" s="85">
        <v>42218</v>
      </c>
      <c r="I1313">
        <v>2862.51</v>
      </c>
      <c r="N1313" s="69">
        <v>41591</v>
      </c>
      <c r="O1313">
        <v>504.5</v>
      </c>
      <c r="P1313">
        <v>499</v>
      </c>
      <c r="Q1313">
        <v>504.5</v>
      </c>
      <c r="R1313">
        <v>493.61</v>
      </c>
      <c r="S1313" s="3">
        <v>8.9999999999999993E-3</v>
      </c>
      <c r="T1313">
        <f t="shared" si="41"/>
        <v>2013</v>
      </c>
      <c r="W1313" s="86">
        <v>42641</v>
      </c>
      <c r="X1313">
        <v>550.91999999999996</v>
      </c>
    </row>
    <row r="1314" spans="1:24">
      <c r="A1314" s="68">
        <v>34880</v>
      </c>
      <c r="B1314" s="33">
        <v>881.23</v>
      </c>
      <c r="C1314">
        <f t="shared" si="40"/>
        <v>1995</v>
      </c>
      <c r="H1314" s="85">
        <v>42219</v>
      </c>
      <c r="I1314">
        <v>2862.51</v>
      </c>
      <c r="N1314" s="69">
        <v>41590</v>
      </c>
      <c r="O1314">
        <v>500</v>
      </c>
      <c r="P1314">
        <v>499</v>
      </c>
      <c r="Q1314">
        <v>500</v>
      </c>
      <c r="R1314">
        <v>499</v>
      </c>
      <c r="S1314" s="3">
        <v>-8.8999999999999999E-3</v>
      </c>
      <c r="T1314">
        <f t="shared" si="41"/>
        <v>2013</v>
      </c>
      <c r="W1314" s="86">
        <v>42642</v>
      </c>
      <c r="X1314">
        <v>554.84</v>
      </c>
    </row>
    <row r="1315" spans="1:24">
      <c r="A1315" s="68">
        <v>34881</v>
      </c>
      <c r="B1315" s="32">
        <v>880.49</v>
      </c>
      <c r="C1315">
        <f t="shared" si="40"/>
        <v>1995</v>
      </c>
      <c r="H1315" s="85">
        <v>42220</v>
      </c>
      <c r="I1315">
        <v>2902.98</v>
      </c>
      <c r="N1315" s="69">
        <v>41589</v>
      </c>
      <c r="O1315">
        <v>504.5</v>
      </c>
      <c r="P1315">
        <v>499</v>
      </c>
      <c r="Q1315">
        <v>504.5</v>
      </c>
      <c r="R1315">
        <v>494.07</v>
      </c>
      <c r="S1315" s="3">
        <v>0</v>
      </c>
      <c r="T1315">
        <f t="shared" si="41"/>
        <v>2013</v>
      </c>
      <c r="W1315" s="86">
        <v>42643</v>
      </c>
      <c r="X1315">
        <v>551.33000000000004</v>
      </c>
    </row>
    <row r="1316" spans="1:24">
      <c r="A1316" s="68">
        <v>34882</v>
      </c>
      <c r="B1316" s="33">
        <v>880.49</v>
      </c>
      <c r="C1316">
        <f t="shared" si="40"/>
        <v>1995</v>
      </c>
      <c r="H1316" s="85">
        <v>42221</v>
      </c>
      <c r="I1316">
        <v>2906.95</v>
      </c>
      <c r="N1316" s="69">
        <v>41586</v>
      </c>
      <c r="O1316">
        <v>504.5</v>
      </c>
      <c r="P1316">
        <v>499.05</v>
      </c>
      <c r="Q1316">
        <v>504.55</v>
      </c>
      <c r="R1316">
        <v>494.43</v>
      </c>
      <c r="S1316" s="3">
        <v>-1E-4</v>
      </c>
      <c r="T1316">
        <f t="shared" si="41"/>
        <v>2013</v>
      </c>
      <c r="W1316" s="86">
        <v>42646</v>
      </c>
      <c r="X1316">
        <v>551.35</v>
      </c>
    </row>
    <row r="1317" spans="1:24">
      <c r="A1317" s="68">
        <v>34883</v>
      </c>
      <c r="B1317" s="32">
        <v>880.49</v>
      </c>
      <c r="C1317">
        <f t="shared" si="40"/>
        <v>1995</v>
      </c>
      <c r="H1317" s="85">
        <v>42222</v>
      </c>
      <c r="I1317">
        <v>2945.97</v>
      </c>
      <c r="N1317" s="69">
        <v>41585</v>
      </c>
      <c r="O1317">
        <v>504.55</v>
      </c>
      <c r="P1317">
        <v>499.2</v>
      </c>
      <c r="Q1317">
        <v>504.7</v>
      </c>
      <c r="R1317">
        <v>499.05</v>
      </c>
      <c r="S1317" s="3">
        <v>-2.9999999999999997E-4</v>
      </c>
      <c r="T1317">
        <f t="shared" si="41"/>
        <v>2013</v>
      </c>
      <c r="W1317" s="86">
        <v>42647</v>
      </c>
      <c r="X1317">
        <v>554.57000000000005</v>
      </c>
    </row>
    <row r="1318" spans="1:24">
      <c r="A1318" s="68">
        <v>34884</v>
      </c>
      <c r="B1318" s="33">
        <v>880.49</v>
      </c>
      <c r="C1318">
        <f t="shared" si="40"/>
        <v>1995</v>
      </c>
      <c r="H1318" s="85">
        <v>42223</v>
      </c>
      <c r="I1318">
        <v>2955.31</v>
      </c>
      <c r="N1318" s="69">
        <v>41584</v>
      </c>
      <c r="O1318">
        <v>504.7</v>
      </c>
      <c r="P1318">
        <v>499.3</v>
      </c>
      <c r="Q1318">
        <v>504.8</v>
      </c>
      <c r="R1318">
        <v>494.23</v>
      </c>
      <c r="S1318" s="3">
        <v>-2.0000000000000001E-4</v>
      </c>
      <c r="T1318">
        <f t="shared" si="41"/>
        <v>2013</v>
      </c>
      <c r="W1318" s="86">
        <v>42648</v>
      </c>
      <c r="X1318">
        <v>551.91</v>
      </c>
    </row>
    <row r="1319" spans="1:24">
      <c r="A1319" s="68">
        <v>34885</v>
      </c>
      <c r="B1319" s="32">
        <v>883.81</v>
      </c>
      <c r="C1319">
        <f t="shared" si="40"/>
        <v>1995</v>
      </c>
      <c r="H1319" s="85">
        <v>42224</v>
      </c>
      <c r="I1319">
        <v>2955.31</v>
      </c>
      <c r="N1319" s="69">
        <v>41583</v>
      </c>
      <c r="O1319">
        <v>504.8</v>
      </c>
      <c r="P1319">
        <v>499.5</v>
      </c>
      <c r="Q1319">
        <v>505</v>
      </c>
      <c r="R1319">
        <v>494.15</v>
      </c>
      <c r="S1319" s="3">
        <v>-4.0000000000000002E-4</v>
      </c>
      <c r="T1319">
        <f t="shared" si="41"/>
        <v>2013</v>
      </c>
      <c r="W1319" s="86">
        <v>42649</v>
      </c>
      <c r="X1319">
        <v>552.23</v>
      </c>
    </row>
    <row r="1320" spans="1:24">
      <c r="A1320" s="68">
        <v>34886</v>
      </c>
      <c r="B1320" s="33">
        <v>887.3</v>
      </c>
      <c r="C1320">
        <f t="shared" si="40"/>
        <v>1995</v>
      </c>
      <c r="H1320" s="85">
        <v>42225</v>
      </c>
      <c r="I1320">
        <v>2955.31</v>
      </c>
      <c r="N1320" s="69">
        <v>41582</v>
      </c>
      <c r="O1320">
        <v>505</v>
      </c>
      <c r="P1320">
        <v>499.5</v>
      </c>
      <c r="Q1320">
        <v>505.2</v>
      </c>
      <c r="R1320">
        <v>499.5</v>
      </c>
      <c r="S1320" s="3">
        <v>0</v>
      </c>
      <c r="T1320">
        <f t="shared" si="41"/>
        <v>2013</v>
      </c>
      <c r="W1320" s="86">
        <v>42650</v>
      </c>
      <c r="X1320">
        <v>552.23</v>
      </c>
    </row>
    <row r="1321" spans="1:24">
      <c r="A1321" s="68">
        <v>34887</v>
      </c>
      <c r="B1321" s="32">
        <v>891.28</v>
      </c>
      <c r="C1321">
        <f t="shared" si="40"/>
        <v>1995</v>
      </c>
      <c r="H1321" s="85">
        <v>42226</v>
      </c>
      <c r="I1321">
        <v>2955.31</v>
      </c>
      <c r="N1321" s="69">
        <v>41579</v>
      </c>
      <c r="O1321">
        <v>505</v>
      </c>
      <c r="P1321">
        <v>499.6</v>
      </c>
      <c r="Q1321">
        <v>505.2</v>
      </c>
      <c r="R1321">
        <v>499.5</v>
      </c>
      <c r="S1321" s="3">
        <v>-2.0000000000000001E-4</v>
      </c>
      <c r="T1321">
        <f t="shared" si="41"/>
        <v>2013</v>
      </c>
      <c r="W1321" s="86">
        <v>42653</v>
      </c>
      <c r="X1321">
        <v>552.21</v>
      </c>
    </row>
    <row r="1322" spans="1:24">
      <c r="A1322" s="68">
        <v>34888</v>
      </c>
      <c r="B1322" s="33">
        <v>891.44</v>
      </c>
      <c r="C1322">
        <f t="shared" si="40"/>
        <v>1995</v>
      </c>
      <c r="H1322" s="85">
        <v>42227</v>
      </c>
      <c r="I1322">
        <v>2913.45</v>
      </c>
      <c r="N1322" s="69">
        <v>41578</v>
      </c>
      <c r="O1322">
        <v>505.1</v>
      </c>
      <c r="P1322">
        <v>499</v>
      </c>
      <c r="Q1322">
        <v>505.2</v>
      </c>
      <c r="R1322">
        <v>493.64</v>
      </c>
      <c r="S1322" s="3">
        <v>1.1999999999999999E-3</v>
      </c>
      <c r="T1322">
        <f t="shared" si="41"/>
        <v>2013</v>
      </c>
      <c r="W1322" s="86">
        <v>42654</v>
      </c>
      <c r="X1322">
        <v>552.22</v>
      </c>
    </row>
    <row r="1323" spans="1:24">
      <c r="A1323" s="68">
        <v>34889</v>
      </c>
      <c r="B1323" s="32">
        <v>891.44</v>
      </c>
      <c r="C1323">
        <f t="shared" si="40"/>
        <v>1995</v>
      </c>
      <c r="H1323" s="85">
        <v>42228</v>
      </c>
      <c r="I1323">
        <v>2943.97</v>
      </c>
      <c r="N1323" s="69">
        <v>41577</v>
      </c>
      <c r="O1323">
        <v>504.5</v>
      </c>
      <c r="P1323">
        <v>499</v>
      </c>
      <c r="Q1323">
        <v>505.2</v>
      </c>
      <c r="R1323">
        <v>493.61</v>
      </c>
      <c r="S1323" s="3">
        <v>0</v>
      </c>
      <c r="T1323">
        <f t="shared" si="41"/>
        <v>2013</v>
      </c>
      <c r="W1323" s="86">
        <v>42655</v>
      </c>
      <c r="X1323">
        <v>554.95000000000005</v>
      </c>
    </row>
    <row r="1324" spans="1:24">
      <c r="A1324" s="68">
        <v>34890</v>
      </c>
      <c r="B1324" s="33">
        <v>891.44</v>
      </c>
      <c r="C1324">
        <f t="shared" si="40"/>
        <v>1995</v>
      </c>
      <c r="H1324" s="85">
        <v>42229</v>
      </c>
      <c r="I1324">
        <v>2937.63</v>
      </c>
      <c r="N1324" s="69">
        <v>41576</v>
      </c>
      <c r="O1324">
        <v>504.5</v>
      </c>
      <c r="P1324">
        <v>499.2</v>
      </c>
      <c r="Q1324">
        <v>504.7</v>
      </c>
      <c r="R1324">
        <v>493.71</v>
      </c>
      <c r="S1324" s="3">
        <v>-4.0000000000000002E-4</v>
      </c>
      <c r="T1324">
        <f t="shared" si="41"/>
        <v>2013</v>
      </c>
      <c r="W1324" s="86">
        <v>42656</v>
      </c>
      <c r="X1324">
        <v>554.86</v>
      </c>
    </row>
    <row r="1325" spans="1:24">
      <c r="A1325" s="68">
        <v>34891</v>
      </c>
      <c r="B1325" s="32">
        <v>897.12</v>
      </c>
      <c r="C1325">
        <f t="shared" si="40"/>
        <v>1995</v>
      </c>
      <c r="H1325" s="85">
        <v>42230</v>
      </c>
      <c r="I1325">
        <v>2966.12</v>
      </c>
      <c r="N1325" s="69">
        <v>41575</v>
      </c>
      <c r="O1325">
        <v>504.7</v>
      </c>
      <c r="P1325">
        <v>499.3</v>
      </c>
      <c r="Q1325">
        <v>505.2</v>
      </c>
      <c r="R1325">
        <v>493.6</v>
      </c>
      <c r="S1325" s="3">
        <v>-2.0000000000000001E-4</v>
      </c>
      <c r="T1325">
        <f t="shared" si="41"/>
        <v>2013</v>
      </c>
      <c r="W1325" s="86">
        <v>42657</v>
      </c>
      <c r="X1325">
        <v>552.24</v>
      </c>
    </row>
    <row r="1326" spans="1:24">
      <c r="A1326" s="68">
        <v>34892</v>
      </c>
      <c r="B1326" s="33">
        <v>897.51</v>
      </c>
      <c r="C1326">
        <f t="shared" si="40"/>
        <v>1995</v>
      </c>
      <c r="H1326" s="85">
        <v>42231</v>
      </c>
      <c r="I1326">
        <v>2983.12</v>
      </c>
      <c r="N1326" s="69">
        <v>41572</v>
      </c>
      <c r="O1326">
        <v>504.8</v>
      </c>
      <c r="P1326">
        <v>499.5</v>
      </c>
      <c r="Q1326">
        <v>505</v>
      </c>
      <c r="R1326">
        <v>493.7</v>
      </c>
      <c r="S1326" s="3">
        <v>-4.0000000000000002E-4</v>
      </c>
      <c r="T1326">
        <f t="shared" si="41"/>
        <v>2013</v>
      </c>
      <c r="W1326" s="86">
        <v>42660</v>
      </c>
      <c r="X1326">
        <v>552.26</v>
      </c>
    </row>
    <row r="1327" spans="1:24">
      <c r="A1327" s="68">
        <v>34893</v>
      </c>
      <c r="B1327" s="32">
        <v>895.84</v>
      </c>
      <c r="C1327">
        <f t="shared" si="40"/>
        <v>1995</v>
      </c>
      <c r="H1327" s="85">
        <v>42232</v>
      </c>
      <c r="I1327">
        <v>2983.12</v>
      </c>
      <c r="N1327" s="69">
        <v>41571</v>
      </c>
      <c r="O1327">
        <v>505</v>
      </c>
      <c r="P1327">
        <v>499.5</v>
      </c>
      <c r="Q1327">
        <v>505</v>
      </c>
      <c r="R1327">
        <v>499.5</v>
      </c>
      <c r="S1327" s="3">
        <v>0</v>
      </c>
      <c r="T1327">
        <f t="shared" si="41"/>
        <v>2013</v>
      </c>
      <c r="W1327" s="86">
        <v>42661</v>
      </c>
      <c r="X1327">
        <v>552.26</v>
      </c>
    </row>
    <row r="1328" spans="1:24">
      <c r="A1328" s="68">
        <v>34894</v>
      </c>
      <c r="B1328" s="33">
        <v>892.82</v>
      </c>
      <c r="C1328">
        <f t="shared" si="40"/>
        <v>1995</v>
      </c>
      <c r="H1328" s="85">
        <v>42233</v>
      </c>
      <c r="I1328">
        <v>2983.12</v>
      </c>
      <c r="N1328" s="69">
        <v>41570</v>
      </c>
      <c r="O1328">
        <v>505</v>
      </c>
      <c r="P1328">
        <v>499.5</v>
      </c>
      <c r="Q1328">
        <v>505.2</v>
      </c>
      <c r="R1328">
        <v>493.86</v>
      </c>
      <c r="S1328" s="3">
        <v>0</v>
      </c>
      <c r="T1328">
        <f t="shared" si="41"/>
        <v>2013</v>
      </c>
      <c r="W1328" s="86">
        <v>42662</v>
      </c>
      <c r="X1328">
        <v>553.75</v>
      </c>
    </row>
    <row r="1329" spans="1:24">
      <c r="A1329" s="68">
        <v>34895</v>
      </c>
      <c r="B1329" s="32">
        <v>893.36</v>
      </c>
      <c r="C1329">
        <f t="shared" si="40"/>
        <v>1995</v>
      </c>
      <c r="H1329" s="85">
        <v>42234</v>
      </c>
      <c r="I1329">
        <v>2983.12</v>
      </c>
      <c r="N1329" s="69">
        <v>41569</v>
      </c>
      <c r="O1329">
        <v>505</v>
      </c>
      <c r="P1329">
        <v>493</v>
      </c>
      <c r="Q1329">
        <v>505.2</v>
      </c>
      <c r="R1329">
        <v>493</v>
      </c>
      <c r="S1329" s="3">
        <v>1.2999999999999999E-2</v>
      </c>
      <c r="T1329">
        <f t="shared" si="41"/>
        <v>2013</v>
      </c>
      <c r="W1329" s="86">
        <v>42663</v>
      </c>
      <c r="X1329">
        <v>552.26</v>
      </c>
    </row>
    <row r="1330" spans="1:24">
      <c r="A1330" s="68">
        <v>34896</v>
      </c>
      <c r="B1330" s="33">
        <v>893.36</v>
      </c>
      <c r="C1330">
        <f t="shared" si="40"/>
        <v>1995</v>
      </c>
      <c r="H1330" s="85">
        <v>42235</v>
      </c>
      <c r="I1330">
        <v>3003.35</v>
      </c>
      <c r="N1330" s="69">
        <v>41568</v>
      </c>
      <c r="O1330">
        <v>498.5</v>
      </c>
      <c r="P1330">
        <v>493.4</v>
      </c>
      <c r="Q1330">
        <v>507.2</v>
      </c>
      <c r="R1330">
        <v>493</v>
      </c>
      <c r="S1330" s="3">
        <v>-8.0000000000000004E-4</v>
      </c>
      <c r="T1330">
        <f t="shared" si="41"/>
        <v>2013</v>
      </c>
      <c r="W1330" s="86">
        <v>42664</v>
      </c>
      <c r="X1330">
        <v>552.25</v>
      </c>
    </row>
    <row r="1331" spans="1:24">
      <c r="A1331" s="68">
        <v>34897</v>
      </c>
      <c r="B1331" s="32">
        <v>893.36</v>
      </c>
      <c r="C1331">
        <f t="shared" si="40"/>
        <v>1995</v>
      </c>
      <c r="H1331" s="85">
        <v>42236</v>
      </c>
      <c r="I1331">
        <v>3027.2</v>
      </c>
      <c r="N1331" s="69">
        <v>41565</v>
      </c>
      <c r="O1331">
        <v>498.9</v>
      </c>
      <c r="P1331">
        <v>493.5</v>
      </c>
      <c r="Q1331">
        <v>499.42</v>
      </c>
      <c r="R1331">
        <v>493.4</v>
      </c>
      <c r="S1331" s="3">
        <v>-2.0000000000000001E-4</v>
      </c>
      <c r="T1331">
        <f t="shared" si="41"/>
        <v>2013</v>
      </c>
      <c r="W1331" s="86">
        <v>42667</v>
      </c>
      <c r="X1331">
        <v>552.23</v>
      </c>
    </row>
    <row r="1332" spans="1:24">
      <c r="A1332" s="68">
        <v>34898</v>
      </c>
      <c r="B1332" s="33">
        <v>891.76</v>
      </c>
      <c r="C1332">
        <f t="shared" si="40"/>
        <v>1995</v>
      </c>
      <c r="H1332" s="85">
        <v>42237</v>
      </c>
      <c r="I1332">
        <v>3053.65</v>
      </c>
      <c r="N1332" s="69">
        <v>41564</v>
      </c>
      <c r="O1332">
        <v>499</v>
      </c>
      <c r="P1332">
        <v>493.5</v>
      </c>
      <c r="Q1332">
        <v>499.44</v>
      </c>
      <c r="R1332">
        <v>493.5</v>
      </c>
      <c r="S1332" s="3">
        <v>0</v>
      </c>
      <c r="T1332">
        <f t="shared" si="41"/>
        <v>2013</v>
      </c>
      <c r="W1332" s="86">
        <v>42668</v>
      </c>
      <c r="X1332">
        <v>552.83000000000004</v>
      </c>
    </row>
    <row r="1333" spans="1:24">
      <c r="A1333" s="68">
        <v>34899</v>
      </c>
      <c r="B1333" s="32">
        <v>894.03</v>
      </c>
      <c r="C1333">
        <f t="shared" si="40"/>
        <v>1995</v>
      </c>
      <c r="H1333" s="85">
        <v>42238</v>
      </c>
      <c r="I1333">
        <v>3102.6</v>
      </c>
      <c r="N1333" s="69">
        <v>41563</v>
      </c>
      <c r="O1333">
        <v>499</v>
      </c>
      <c r="P1333">
        <v>493.85</v>
      </c>
      <c r="Q1333">
        <v>499.35</v>
      </c>
      <c r="R1333">
        <v>493.5</v>
      </c>
      <c r="S1333" s="3">
        <v>-6.9999999999999999E-4</v>
      </c>
      <c r="T1333">
        <f t="shared" si="41"/>
        <v>2013</v>
      </c>
      <c r="W1333" s="86">
        <v>42669</v>
      </c>
      <c r="X1333">
        <v>555.65</v>
      </c>
    </row>
    <row r="1334" spans="1:24">
      <c r="A1334" s="68">
        <v>34900</v>
      </c>
      <c r="B1334" s="33">
        <v>894.5</v>
      </c>
      <c r="C1334">
        <f t="shared" si="40"/>
        <v>1995</v>
      </c>
      <c r="H1334" s="85">
        <v>42239</v>
      </c>
      <c r="I1334">
        <v>3102.6</v>
      </c>
      <c r="N1334" s="69">
        <v>41562</v>
      </c>
      <c r="O1334">
        <v>499.35</v>
      </c>
      <c r="P1334">
        <v>501.5</v>
      </c>
      <c r="Q1334">
        <v>507</v>
      </c>
      <c r="R1334">
        <v>493</v>
      </c>
      <c r="S1334" s="3">
        <v>-2.8E-3</v>
      </c>
      <c r="T1334">
        <f t="shared" si="41"/>
        <v>2013</v>
      </c>
      <c r="W1334" s="86">
        <v>42670</v>
      </c>
      <c r="X1334">
        <v>552.4</v>
      </c>
    </row>
    <row r="1335" spans="1:24">
      <c r="A1335" s="68">
        <v>34901</v>
      </c>
      <c r="B1335" s="32">
        <v>894.5</v>
      </c>
      <c r="C1335">
        <f t="shared" si="40"/>
        <v>1995</v>
      </c>
      <c r="H1335" s="85">
        <v>42240</v>
      </c>
      <c r="I1335">
        <v>3102.6</v>
      </c>
      <c r="N1335" s="69">
        <v>41561</v>
      </c>
      <c r="O1335">
        <v>500.76</v>
      </c>
      <c r="P1335">
        <v>501.6</v>
      </c>
      <c r="Q1335">
        <v>507.65</v>
      </c>
      <c r="R1335">
        <v>494.71</v>
      </c>
      <c r="S1335" s="3">
        <v>-1.2500000000000001E-2</v>
      </c>
      <c r="T1335">
        <f t="shared" si="41"/>
        <v>2013</v>
      </c>
      <c r="W1335" s="86">
        <v>42671</v>
      </c>
      <c r="X1335">
        <v>552.54999999999995</v>
      </c>
    </row>
    <row r="1336" spans="1:24">
      <c r="A1336" s="68">
        <v>34902</v>
      </c>
      <c r="B1336" s="33">
        <v>894.98</v>
      </c>
      <c r="C1336">
        <f t="shared" si="40"/>
        <v>1995</v>
      </c>
      <c r="H1336" s="85">
        <v>42241</v>
      </c>
      <c r="I1336">
        <v>3208.37</v>
      </c>
      <c r="N1336" s="69">
        <v>41558</v>
      </c>
      <c r="O1336">
        <v>507.1</v>
      </c>
      <c r="P1336">
        <v>501.5</v>
      </c>
      <c r="Q1336">
        <v>507.2</v>
      </c>
      <c r="R1336">
        <v>494.72</v>
      </c>
      <c r="S1336" s="3">
        <v>2.0000000000000001E-4</v>
      </c>
      <c r="T1336">
        <f t="shared" si="41"/>
        <v>2013</v>
      </c>
      <c r="W1336" s="86">
        <v>42674</v>
      </c>
      <c r="X1336">
        <v>552.27</v>
      </c>
    </row>
    <row r="1337" spans="1:24">
      <c r="A1337" s="68">
        <v>34903</v>
      </c>
      <c r="B1337" s="32">
        <v>894.98</v>
      </c>
      <c r="C1337">
        <f t="shared" si="40"/>
        <v>1995</v>
      </c>
      <c r="H1337" s="85">
        <v>42242</v>
      </c>
      <c r="I1337">
        <v>3194.24</v>
      </c>
      <c r="N1337" s="69">
        <v>41557</v>
      </c>
      <c r="O1337">
        <v>507</v>
      </c>
      <c r="P1337">
        <v>501.6</v>
      </c>
      <c r="Q1337">
        <v>507.2</v>
      </c>
      <c r="R1337">
        <v>494.79</v>
      </c>
      <c r="S1337" s="3">
        <v>-2.0000000000000001E-4</v>
      </c>
      <c r="T1337">
        <f t="shared" si="41"/>
        <v>2013</v>
      </c>
      <c r="W1337" s="86">
        <v>42675</v>
      </c>
      <c r="X1337">
        <v>555.49</v>
      </c>
    </row>
    <row r="1338" spans="1:24">
      <c r="A1338" s="68">
        <v>34904</v>
      </c>
      <c r="B1338" s="33">
        <v>894.98</v>
      </c>
      <c r="C1338">
        <f t="shared" si="40"/>
        <v>1995</v>
      </c>
      <c r="H1338" s="85">
        <v>42243</v>
      </c>
      <c r="I1338">
        <v>3238.51</v>
      </c>
      <c r="N1338" s="69">
        <v>41556</v>
      </c>
      <c r="O1338">
        <v>507.1</v>
      </c>
      <c r="P1338">
        <v>501.7</v>
      </c>
      <c r="Q1338">
        <v>507.2</v>
      </c>
      <c r="R1338">
        <v>494.99</v>
      </c>
      <c r="S1338" s="3">
        <v>8.3000000000000001E-3</v>
      </c>
      <c r="T1338">
        <f t="shared" si="41"/>
        <v>2013</v>
      </c>
      <c r="W1338" s="86">
        <v>42676</v>
      </c>
      <c r="X1338">
        <v>552.47</v>
      </c>
    </row>
    <row r="1339" spans="1:24">
      <c r="A1339" s="68">
        <v>34905</v>
      </c>
      <c r="B1339" s="32">
        <v>896.68</v>
      </c>
      <c r="C1339">
        <f t="shared" si="40"/>
        <v>1995</v>
      </c>
      <c r="H1339" s="85">
        <v>42244</v>
      </c>
      <c r="I1339">
        <v>3195.47</v>
      </c>
      <c r="N1339" s="69">
        <v>41555</v>
      </c>
      <c r="O1339">
        <v>502.95</v>
      </c>
      <c r="P1339">
        <v>493.5</v>
      </c>
      <c r="Q1339">
        <v>502.95</v>
      </c>
      <c r="R1339">
        <v>493.5</v>
      </c>
      <c r="S1339" s="3">
        <v>7.9000000000000008E-3</v>
      </c>
      <c r="T1339">
        <f t="shared" si="41"/>
        <v>2013</v>
      </c>
      <c r="W1339" s="86">
        <v>42677</v>
      </c>
      <c r="X1339">
        <v>555.96</v>
      </c>
    </row>
    <row r="1340" spans="1:24">
      <c r="A1340" s="68">
        <v>34906</v>
      </c>
      <c r="B1340" s="33">
        <v>897.32</v>
      </c>
      <c r="C1340">
        <f t="shared" si="40"/>
        <v>1995</v>
      </c>
      <c r="H1340" s="85">
        <v>42245</v>
      </c>
      <c r="I1340">
        <v>3101.1</v>
      </c>
      <c r="N1340" s="69">
        <v>41554</v>
      </c>
      <c r="O1340">
        <v>499</v>
      </c>
      <c r="P1340">
        <v>499.5</v>
      </c>
      <c r="Q1340">
        <v>505</v>
      </c>
      <c r="R1340">
        <v>493.5</v>
      </c>
      <c r="S1340" s="3">
        <v>-1.1900000000000001E-2</v>
      </c>
      <c r="T1340">
        <f t="shared" si="41"/>
        <v>2013</v>
      </c>
      <c r="W1340" s="86">
        <v>42678</v>
      </c>
      <c r="X1340">
        <v>552.85</v>
      </c>
    </row>
    <row r="1341" spans="1:24">
      <c r="A1341" s="68">
        <v>34907</v>
      </c>
      <c r="B1341" s="32">
        <v>897.77</v>
      </c>
      <c r="C1341">
        <f t="shared" si="40"/>
        <v>1995</v>
      </c>
      <c r="H1341" s="85">
        <v>42246</v>
      </c>
      <c r="I1341">
        <v>3101.1</v>
      </c>
      <c r="N1341" s="69">
        <v>41551</v>
      </c>
      <c r="O1341">
        <v>505</v>
      </c>
      <c r="P1341">
        <v>500.5</v>
      </c>
      <c r="Q1341">
        <v>506</v>
      </c>
      <c r="R1341">
        <v>499.2</v>
      </c>
      <c r="S1341" s="3">
        <v>7.0000000000000001E-3</v>
      </c>
      <c r="T1341">
        <f t="shared" si="41"/>
        <v>2013</v>
      </c>
      <c r="W1341" s="86">
        <v>42681</v>
      </c>
      <c r="X1341">
        <v>556.61</v>
      </c>
    </row>
    <row r="1342" spans="1:24">
      <c r="A1342" s="68">
        <v>34908</v>
      </c>
      <c r="B1342" s="33">
        <v>895.56</v>
      </c>
      <c r="C1342">
        <f t="shared" si="40"/>
        <v>1995</v>
      </c>
      <c r="H1342" s="85">
        <v>42247</v>
      </c>
      <c r="I1342">
        <v>3101.1</v>
      </c>
      <c r="N1342" s="69">
        <v>41550</v>
      </c>
      <c r="O1342">
        <v>501.5</v>
      </c>
      <c r="P1342">
        <v>500.6</v>
      </c>
      <c r="Q1342">
        <v>501.7</v>
      </c>
      <c r="R1342">
        <v>493.69</v>
      </c>
      <c r="S1342" s="3">
        <v>-9.1000000000000004E-3</v>
      </c>
      <c r="T1342">
        <f t="shared" si="41"/>
        <v>2013</v>
      </c>
      <c r="W1342" s="86">
        <v>42682</v>
      </c>
      <c r="X1342">
        <v>553.67999999999995</v>
      </c>
    </row>
    <row r="1343" spans="1:24">
      <c r="A1343" s="68">
        <v>34909</v>
      </c>
      <c r="B1343" s="32">
        <v>897.63</v>
      </c>
      <c r="C1343">
        <f t="shared" si="40"/>
        <v>1995</v>
      </c>
      <c r="H1343" s="85">
        <v>42248</v>
      </c>
      <c r="I1343">
        <v>3079.97</v>
      </c>
      <c r="N1343" s="69">
        <v>41549</v>
      </c>
      <c r="O1343">
        <v>506.1</v>
      </c>
      <c r="P1343">
        <v>499.05</v>
      </c>
      <c r="Q1343">
        <v>506.2</v>
      </c>
      <c r="R1343">
        <v>493.48</v>
      </c>
      <c r="S1343" s="3">
        <v>3.0999999999999999E-3</v>
      </c>
      <c r="T1343">
        <f t="shared" si="41"/>
        <v>2013</v>
      </c>
      <c r="W1343" s="86">
        <v>42683</v>
      </c>
      <c r="X1343">
        <v>553.46</v>
      </c>
    </row>
    <row r="1344" spans="1:24">
      <c r="A1344" s="68">
        <v>34910</v>
      </c>
      <c r="B1344" s="33">
        <v>897.63</v>
      </c>
      <c r="C1344">
        <f t="shared" si="40"/>
        <v>1995</v>
      </c>
      <c r="H1344" s="85">
        <v>42249</v>
      </c>
      <c r="I1344">
        <v>3093.64</v>
      </c>
      <c r="N1344" s="69">
        <v>41548</v>
      </c>
      <c r="O1344">
        <v>504.55</v>
      </c>
      <c r="P1344">
        <v>499.05</v>
      </c>
      <c r="Q1344">
        <v>504.7</v>
      </c>
      <c r="R1344">
        <v>493.57</v>
      </c>
      <c r="S1344" s="3">
        <v>0</v>
      </c>
      <c r="T1344">
        <f t="shared" si="41"/>
        <v>2013</v>
      </c>
      <c r="W1344" s="86">
        <v>42684</v>
      </c>
      <c r="X1344">
        <v>553.78</v>
      </c>
    </row>
    <row r="1345" spans="1:24">
      <c r="A1345" s="68">
        <v>34911</v>
      </c>
      <c r="B1345" s="32">
        <v>897.63</v>
      </c>
      <c r="C1345">
        <f t="shared" si="40"/>
        <v>1995</v>
      </c>
      <c r="H1345" s="85">
        <v>42250</v>
      </c>
      <c r="I1345">
        <v>3142.34</v>
      </c>
      <c r="N1345" s="69">
        <v>41547</v>
      </c>
      <c r="O1345">
        <v>504.55</v>
      </c>
      <c r="P1345">
        <v>499.1</v>
      </c>
      <c r="Q1345">
        <v>504.7</v>
      </c>
      <c r="R1345">
        <v>493.51</v>
      </c>
      <c r="S1345" s="3">
        <v>-1E-4</v>
      </c>
      <c r="T1345">
        <f t="shared" si="41"/>
        <v>2013</v>
      </c>
      <c r="W1345" s="86">
        <v>42685</v>
      </c>
      <c r="X1345">
        <v>554.33000000000004</v>
      </c>
    </row>
    <row r="1346" spans="1:24">
      <c r="A1346" s="68">
        <v>34912</v>
      </c>
      <c r="B1346" s="33">
        <v>898.35</v>
      </c>
      <c r="C1346">
        <f t="shared" si="40"/>
        <v>1995</v>
      </c>
      <c r="H1346" s="85">
        <v>42251</v>
      </c>
      <c r="I1346">
        <v>3119.93</v>
      </c>
      <c r="N1346" s="69">
        <v>41544</v>
      </c>
      <c r="O1346">
        <v>504.6</v>
      </c>
      <c r="P1346">
        <v>499.05</v>
      </c>
      <c r="Q1346">
        <v>504.7</v>
      </c>
      <c r="R1346">
        <v>499.05</v>
      </c>
      <c r="S1346" s="3">
        <v>1E-4</v>
      </c>
      <c r="T1346">
        <f t="shared" si="41"/>
        <v>2013</v>
      </c>
      <c r="W1346" s="86">
        <v>42688</v>
      </c>
      <c r="X1346">
        <v>553.87</v>
      </c>
    </row>
    <row r="1347" spans="1:24">
      <c r="A1347" s="68">
        <v>34913</v>
      </c>
      <c r="B1347" s="32">
        <v>900.78</v>
      </c>
      <c r="C1347">
        <f t="shared" si="40"/>
        <v>1995</v>
      </c>
      <c r="H1347" s="85">
        <v>42252</v>
      </c>
      <c r="I1347">
        <v>3113.55</v>
      </c>
      <c r="N1347" s="69">
        <v>41543</v>
      </c>
      <c r="O1347">
        <v>504.55</v>
      </c>
      <c r="P1347">
        <v>501.1</v>
      </c>
      <c r="Q1347">
        <v>506.6</v>
      </c>
      <c r="R1347">
        <v>494.32</v>
      </c>
      <c r="S1347" s="3">
        <v>-4.0000000000000001E-3</v>
      </c>
      <c r="T1347">
        <f t="shared" si="41"/>
        <v>2013</v>
      </c>
      <c r="W1347" s="86">
        <v>42689</v>
      </c>
      <c r="X1347">
        <v>551.47</v>
      </c>
    </row>
    <row r="1348" spans="1:24">
      <c r="A1348" s="68">
        <v>34914</v>
      </c>
      <c r="B1348" s="33">
        <v>905.53</v>
      </c>
      <c r="C1348">
        <f t="shared" ref="C1348:C1411" si="42">YEAR(A1348)</f>
        <v>1995</v>
      </c>
      <c r="H1348" s="85">
        <v>42253</v>
      </c>
      <c r="I1348">
        <v>3113.55</v>
      </c>
      <c r="N1348" s="69">
        <v>41542</v>
      </c>
      <c r="O1348">
        <v>506.6</v>
      </c>
      <c r="P1348">
        <v>498.8</v>
      </c>
      <c r="Q1348">
        <v>506.7</v>
      </c>
      <c r="R1348">
        <v>494.52</v>
      </c>
      <c r="S1348" s="3">
        <v>4.5999999999999999E-3</v>
      </c>
      <c r="T1348">
        <f t="shared" ref="T1348:T1411" si="43">YEAR(N1348)</f>
        <v>2013</v>
      </c>
      <c r="W1348" s="86">
        <v>42690</v>
      </c>
      <c r="X1348">
        <v>553.97</v>
      </c>
    </row>
    <row r="1349" spans="1:24">
      <c r="A1349" s="68">
        <v>34915</v>
      </c>
      <c r="B1349" s="32">
        <v>917.53</v>
      </c>
      <c r="C1349">
        <f t="shared" si="42"/>
        <v>1995</v>
      </c>
      <c r="H1349" s="85">
        <v>42254</v>
      </c>
      <c r="I1349">
        <v>3113.55</v>
      </c>
      <c r="N1349" s="69">
        <v>41541</v>
      </c>
      <c r="O1349">
        <v>504.3</v>
      </c>
      <c r="P1349">
        <v>498.9</v>
      </c>
      <c r="Q1349">
        <v>506.7</v>
      </c>
      <c r="R1349">
        <v>494.43</v>
      </c>
      <c r="S1349" s="3">
        <v>-2.0000000000000001E-4</v>
      </c>
      <c r="T1349">
        <f t="shared" si="43"/>
        <v>2013</v>
      </c>
      <c r="W1349" s="86">
        <v>42691</v>
      </c>
      <c r="X1349">
        <v>556.04999999999995</v>
      </c>
    </row>
    <row r="1350" spans="1:24">
      <c r="A1350" s="68">
        <v>34916</v>
      </c>
      <c r="B1350" s="33">
        <v>916.14</v>
      </c>
      <c r="C1350">
        <f t="shared" si="42"/>
        <v>1995</v>
      </c>
      <c r="H1350" s="85">
        <v>42255</v>
      </c>
      <c r="I1350">
        <v>3113.55</v>
      </c>
      <c r="N1350" s="69">
        <v>41540</v>
      </c>
      <c r="O1350">
        <v>504.4</v>
      </c>
      <c r="P1350">
        <v>493.75</v>
      </c>
      <c r="Q1350">
        <v>504.45</v>
      </c>
      <c r="R1350">
        <v>493.75</v>
      </c>
      <c r="S1350" s="3">
        <v>9.1999999999999998E-3</v>
      </c>
      <c r="T1350">
        <f t="shared" si="43"/>
        <v>2013</v>
      </c>
      <c r="W1350" s="86">
        <v>42692</v>
      </c>
      <c r="X1350">
        <v>551.33000000000004</v>
      </c>
    </row>
    <row r="1351" spans="1:24">
      <c r="A1351" s="68">
        <v>34917</v>
      </c>
      <c r="B1351" s="32">
        <v>916.14</v>
      </c>
      <c r="C1351">
        <f t="shared" si="42"/>
        <v>1995</v>
      </c>
      <c r="H1351" s="85">
        <v>42256</v>
      </c>
      <c r="I1351">
        <v>3138.46</v>
      </c>
      <c r="N1351" s="69">
        <v>41537</v>
      </c>
      <c r="O1351">
        <v>499.82</v>
      </c>
      <c r="P1351">
        <v>499.6</v>
      </c>
      <c r="Q1351">
        <v>505.66</v>
      </c>
      <c r="R1351">
        <v>493.76</v>
      </c>
      <c r="S1351" s="3">
        <v>-1.0500000000000001E-2</v>
      </c>
      <c r="T1351">
        <f t="shared" si="43"/>
        <v>2013</v>
      </c>
      <c r="W1351" s="86">
        <v>42695</v>
      </c>
      <c r="X1351">
        <v>553.03</v>
      </c>
    </row>
    <row r="1352" spans="1:24">
      <c r="A1352" s="68">
        <v>34918</v>
      </c>
      <c r="B1352" s="33">
        <v>916.14</v>
      </c>
      <c r="C1352">
        <f t="shared" si="42"/>
        <v>1995</v>
      </c>
      <c r="H1352" s="85">
        <v>42257</v>
      </c>
      <c r="I1352">
        <v>3105.4</v>
      </c>
      <c r="N1352" s="69">
        <v>41536</v>
      </c>
      <c r="O1352">
        <v>505.1</v>
      </c>
      <c r="P1352">
        <v>495.8</v>
      </c>
      <c r="Q1352">
        <v>505.2</v>
      </c>
      <c r="R1352">
        <v>495.35</v>
      </c>
      <c r="S1352" s="3">
        <v>7.6E-3</v>
      </c>
      <c r="T1352">
        <f t="shared" si="43"/>
        <v>2013</v>
      </c>
      <c r="W1352" s="86">
        <v>42696</v>
      </c>
      <c r="X1352">
        <v>554.39</v>
      </c>
    </row>
    <row r="1353" spans="1:24">
      <c r="A1353" s="68">
        <v>34919</v>
      </c>
      <c r="B1353" s="32">
        <v>916.14</v>
      </c>
      <c r="C1353">
        <f t="shared" si="42"/>
        <v>1995</v>
      </c>
      <c r="H1353" s="85">
        <v>42258</v>
      </c>
      <c r="I1353">
        <v>3080.57</v>
      </c>
      <c r="N1353" s="69">
        <v>41535</v>
      </c>
      <c r="O1353">
        <v>501.3</v>
      </c>
      <c r="P1353">
        <v>499</v>
      </c>
      <c r="Q1353">
        <v>509.2</v>
      </c>
      <c r="R1353">
        <v>495.8</v>
      </c>
      <c r="S1353" s="3">
        <v>-6.3E-3</v>
      </c>
      <c r="T1353">
        <f t="shared" si="43"/>
        <v>2013</v>
      </c>
      <c r="W1353" s="86">
        <v>42697</v>
      </c>
      <c r="X1353">
        <v>551.5</v>
      </c>
    </row>
    <row r="1354" spans="1:24">
      <c r="A1354" s="68">
        <v>34920</v>
      </c>
      <c r="B1354" s="33">
        <v>920.1</v>
      </c>
      <c r="C1354">
        <f t="shared" si="42"/>
        <v>1995</v>
      </c>
      <c r="H1354" s="85">
        <v>42259</v>
      </c>
      <c r="I1354">
        <v>3012.96</v>
      </c>
      <c r="N1354" s="69">
        <v>41534</v>
      </c>
      <c r="O1354">
        <v>504.5</v>
      </c>
      <c r="P1354">
        <v>499.1</v>
      </c>
      <c r="Q1354">
        <v>507.2</v>
      </c>
      <c r="R1354">
        <v>494.16</v>
      </c>
      <c r="S1354" s="3">
        <v>-2.0000000000000001E-4</v>
      </c>
      <c r="T1354">
        <f t="shared" si="43"/>
        <v>2013</v>
      </c>
      <c r="W1354" s="86">
        <v>42698</v>
      </c>
      <c r="X1354">
        <v>551.45000000000005</v>
      </c>
    </row>
    <row r="1355" spans="1:24">
      <c r="A1355" s="68">
        <v>34921</v>
      </c>
      <c r="B1355" s="32">
        <v>919.32</v>
      </c>
      <c r="C1355">
        <f t="shared" si="42"/>
        <v>1995</v>
      </c>
      <c r="H1355" s="85">
        <v>42260</v>
      </c>
      <c r="I1355">
        <v>3012.96</v>
      </c>
      <c r="N1355" s="69">
        <v>41533</v>
      </c>
      <c r="O1355">
        <v>504.6</v>
      </c>
      <c r="P1355">
        <v>494.95</v>
      </c>
      <c r="Q1355">
        <v>504.95</v>
      </c>
      <c r="R1355">
        <v>494.82</v>
      </c>
      <c r="S1355" s="3">
        <v>6.8999999999999999E-3</v>
      </c>
      <c r="T1355">
        <f t="shared" si="43"/>
        <v>2013</v>
      </c>
      <c r="W1355" s="86">
        <v>42699</v>
      </c>
      <c r="X1355">
        <v>552.04999999999995</v>
      </c>
    </row>
    <row r="1356" spans="1:24">
      <c r="A1356" s="68">
        <v>34922</v>
      </c>
      <c r="B1356" s="33">
        <v>917.13</v>
      </c>
      <c r="C1356">
        <f t="shared" si="42"/>
        <v>1995</v>
      </c>
      <c r="H1356" s="85">
        <v>42261</v>
      </c>
      <c r="I1356">
        <v>3012.96</v>
      </c>
      <c r="N1356" s="69">
        <v>41530</v>
      </c>
      <c r="O1356">
        <v>501.12</v>
      </c>
      <c r="P1356">
        <v>499.1</v>
      </c>
      <c r="Q1356">
        <v>505.35</v>
      </c>
      <c r="R1356">
        <v>494.97</v>
      </c>
      <c r="S1356" s="3">
        <v>-6.8999999999999999E-3</v>
      </c>
      <c r="T1356">
        <f t="shared" si="43"/>
        <v>2013</v>
      </c>
      <c r="W1356" s="86">
        <v>42702</v>
      </c>
      <c r="X1356">
        <v>551.78</v>
      </c>
    </row>
    <row r="1357" spans="1:24">
      <c r="A1357" s="68">
        <v>34923</v>
      </c>
      <c r="B1357" s="32">
        <v>919.13</v>
      </c>
      <c r="C1357">
        <f t="shared" si="42"/>
        <v>1995</v>
      </c>
      <c r="H1357" s="85">
        <v>42262</v>
      </c>
      <c r="I1357">
        <v>3032.59</v>
      </c>
      <c r="N1357" s="69">
        <v>41529</v>
      </c>
      <c r="O1357">
        <v>504.6</v>
      </c>
      <c r="P1357">
        <v>501.5</v>
      </c>
      <c r="Q1357">
        <v>507</v>
      </c>
      <c r="R1357">
        <v>495.12</v>
      </c>
      <c r="S1357" s="3">
        <v>-4.7000000000000002E-3</v>
      </c>
      <c r="T1357">
        <f t="shared" si="43"/>
        <v>2013</v>
      </c>
      <c r="W1357" s="86">
        <v>42703</v>
      </c>
      <c r="X1357">
        <v>552.75</v>
      </c>
    </row>
    <row r="1358" spans="1:24">
      <c r="A1358" s="68">
        <v>34924</v>
      </c>
      <c r="B1358" s="33">
        <v>919.13</v>
      </c>
      <c r="C1358">
        <f t="shared" si="42"/>
        <v>1995</v>
      </c>
      <c r="H1358" s="85">
        <v>42263</v>
      </c>
      <c r="I1358">
        <v>3025.28</v>
      </c>
      <c r="N1358" s="69">
        <v>41528</v>
      </c>
      <c r="O1358">
        <v>507</v>
      </c>
      <c r="P1358">
        <v>501.6</v>
      </c>
      <c r="Q1358">
        <v>507.2</v>
      </c>
      <c r="R1358">
        <v>499.2</v>
      </c>
      <c r="S1358" s="3">
        <v>-2.0000000000000001E-4</v>
      </c>
      <c r="T1358">
        <f t="shared" si="43"/>
        <v>2013</v>
      </c>
      <c r="W1358" s="86">
        <v>42704</v>
      </c>
      <c r="X1358">
        <v>552.29999999999995</v>
      </c>
    </row>
    <row r="1359" spans="1:24">
      <c r="A1359" s="68">
        <v>34925</v>
      </c>
      <c r="B1359" s="32">
        <v>919.13</v>
      </c>
      <c r="C1359">
        <f t="shared" si="42"/>
        <v>1995</v>
      </c>
      <c r="H1359" s="85">
        <v>42264</v>
      </c>
      <c r="I1359">
        <v>2989.04</v>
      </c>
      <c r="N1359" s="69">
        <v>41527</v>
      </c>
      <c r="O1359">
        <v>507.1</v>
      </c>
      <c r="P1359">
        <v>507.2</v>
      </c>
      <c r="Q1359">
        <v>512.70000000000005</v>
      </c>
      <c r="R1359">
        <v>501.6</v>
      </c>
      <c r="S1359" s="3">
        <v>-1.09E-2</v>
      </c>
      <c r="T1359">
        <f t="shared" si="43"/>
        <v>2013</v>
      </c>
      <c r="W1359" s="86">
        <v>42705</v>
      </c>
      <c r="X1359">
        <v>550.25</v>
      </c>
    </row>
    <row r="1360" spans="1:24">
      <c r="A1360" s="68">
        <v>34926</v>
      </c>
      <c r="B1360" s="33">
        <v>922.21</v>
      </c>
      <c r="C1360">
        <f t="shared" si="42"/>
        <v>1995</v>
      </c>
      <c r="H1360" s="85">
        <v>42265</v>
      </c>
      <c r="I1360">
        <v>2975.13</v>
      </c>
      <c r="N1360" s="69">
        <v>41526</v>
      </c>
      <c r="O1360">
        <v>512.70000000000005</v>
      </c>
      <c r="P1360">
        <v>501.5</v>
      </c>
      <c r="Q1360">
        <v>512.79999999999995</v>
      </c>
      <c r="R1360">
        <v>501.5</v>
      </c>
      <c r="S1360" s="3">
        <v>1.12E-2</v>
      </c>
      <c r="T1360">
        <f t="shared" si="43"/>
        <v>2013</v>
      </c>
      <c r="W1360" s="86">
        <v>42706</v>
      </c>
      <c r="X1360">
        <v>550.15</v>
      </c>
    </row>
    <row r="1361" spans="1:24">
      <c r="A1361" s="68">
        <v>34927</v>
      </c>
      <c r="B1361" s="32">
        <v>928.25</v>
      </c>
      <c r="C1361">
        <f t="shared" si="42"/>
        <v>1995</v>
      </c>
      <c r="H1361" s="85">
        <v>42266</v>
      </c>
      <c r="I1361">
        <v>2984.9</v>
      </c>
      <c r="N1361" s="69">
        <v>41523</v>
      </c>
      <c r="O1361">
        <v>507</v>
      </c>
      <c r="P1361">
        <v>503</v>
      </c>
      <c r="Q1361">
        <v>508.5</v>
      </c>
      <c r="R1361">
        <v>501.5</v>
      </c>
      <c r="S1361" s="3">
        <v>-2.8999999999999998E-3</v>
      </c>
      <c r="T1361">
        <f t="shared" si="43"/>
        <v>2013</v>
      </c>
      <c r="W1361" s="86">
        <v>42709</v>
      </c>
      <c r="X1361">
        <v>552.83000000000004</v>
      </c>
    </row>
    <row r="1362" spans="1:24">
      <c r="A1362" s="68">
        <v>34928</v>
      </c>
      <c r="B1362" s="33">
        <v>944.55</v>
      </c>
      <c r="C1362">
        <f t="shared" si="42"/>
        <v>1995</v>
      </c>
      <c r="H1362" s="85">
        <v>42267</v>
      </c>
      <c r="I1362">
        <v>2984.9</v>
      </c>
      <c r="N1362" s="69">
        <v>41522</v>
      </c>
      <c r="O1362">
        <v>508.5</v>
      </c>
      <c r="P1362">
        <v>503</v>
      </c>
      <c r="Q1362">
        <v>508.5</v>
      </c>
      <c r="R1362">
        <v>495.58</v>
      </c>
      <c r="S1362" s="3">
        <v>8.3999999999999995E-3</v>
      </c>
      <c r="T1362">
        <f t="shared" si="43"/>
        <v>2013</v>
      </c>
      <c r="W1362" s="86">
        <v>42710</v>
      </c>
      <c r="X1362">
        <v>550.20000000000005</v>
      </c>
    </row>
    <row r="1363" spans="1:24">
      <c r="A1363" s="68">
        <v>34929</v>
      </c>
      <c r="B1363" s="32">
        <v>947.22</v>
      </c>
      <c r="C1363">
        <f t="shared" si="42"/>
        <v>1995</v>
      </c>
      <c r="H1363" s="85">
        <v>42268</v>
      </c>
      <c r="I1363">
        <v>2984.9</v>
      </c>
      <c r="N1363" s="69">
        <v>41521</v>
      </c>
      <c r="O1363">
        <v>504.25</v>
      </c>
      <c r="P1363">
        <v>505.5</v>
      </c>
      <c r="Q1363">
        <v>510.6</v>
      </c>
      <c r="R1363">
        <v>495.24</v>
      </c>
      <c r="S1363" s="3">
        <v>-1.32E-2</v>
      </c>
      <c r="T1363">
        <f t="shared" si="43"/>
        <v>2013</v>
      </c>
      <c r="W1363" s="86">
        <v>42711</v>
      </c>
      <c r="X1363">
        <v>550.11</v>
      </c>
    </row>
    <row r="1364" spans="1:24">
      <c r="A1364" s="68">
        <v>34930</v>
      </c>
      <c r="B1364" s="33">
        <v>946.83</v>
      </c>
      <c r="C1364">
        <f t="shared" si="42"/>
        <v>1995</v>
      </c>
      <c r="H1364" s="85">
        <v>42269</v>
      </c>
      <c r="I1364">
        <v>3001.68</v>
      </c>
      <c r="N1364" s="69">
        <v>41520</v>
      </c>
      <c r="O1364">
        <v>511</v>
      </c>
      <c r="P1364">
        <v>501.8</v>
      </c>
      <c r="Q1364">
        <v>511.2</v>
      </c>
      <c r="R1364">
        <v>497.2</v>
      </c>
      <c r="S1364" s="3">
        <v>7.3000000000000001E-3</v>
      </c>
      <c r="T1364">
        <f t="shared" si="43"/>
        <v>2013</v>
      </c>
      <c r="W1364" s="86">
        <v>42712</v>
      </c>
      <c r="X1364">
        <v>552.83000000000004</v>
      </c>
    </row>
    <row r="1365" spans="1:24">
      <c r="A1365" s="68">
        <v>34931</v>
      </c>
      <c r="B1365" s="32">
        <v>946.83</v>
      </c>
      <c r="C1365">
        <f t="shared" si="42"/>
        <v>1995</v>
      </c>
      <c r="H1365" s="85">
        <v>42270</v>
      </c>
      <c r="I1365">
        <v>3065.74</v>
      </c>
      <c r="N1365" s="69">
        <v>41519</v>
      </c>
      <c r="O1365">
        <v>507.3</v>
      </c>
      <c r="P1365">
        <v>501.7</v>
      </c>
      <c r="Q1365">
        <v>507.4</v>
      </c>
      <c r="R1365">
        <v>497.14</v>
      </c>
      <c r="S1365" s="3">
        <v>2.0000000000000001E-4</v>
      </c>
      <c r="T1365">
        <f t="shared" si="43"/>
        <v>2013</v>
      </c>
      <c r="W1365" s="86">
        <v>42713</v>
      </c>
      <c r="X1365">
        <v>550.03</v>
      </c>
    </row>
    <row r="1366" spans="1:24">
      <c r="A1366" s="68">
        <v>34932</v>
      </c>
      <c r="B1366" s="33">
        <v>946.83</v>
      </c>
      <c r="C1366">
        <f t="shared" si="42"/>
        <v>1995</v>
      </c>
      <c r="H1366" s="85">
        <v>42271</v>
      </c>
      <c r="I1366">
        <v>3099.28</v>
      </c>
      <c r="N1366" s="69">
        <v>41516</v>
      </c>
      <c r="O1366">
        <v>507.2</v>
      </c>
      <c r="P1366">
        <v>501.5</v>
      </c>
      <c r="Q1366">
        <v>508.95</v>
      </c>
      <c r="R1366">
        <v>494.56</v>
      </c>
      <c r="S1366" s="3">
        <v>4.0000000000000002E-4</v>
      </c>
      <c r="T1366">
        <f t="shared" si="43"/>
        <v>2013</v>
      </c>
      <c r="W1366" s="86">
        <v>42716</v>
      </c>
      <c r="X1366">
        <v>550</v>
      </c>
    </row>
    <row r="1367" spans="1:24">
      <c r="A1367" s="68">
        <v>34933</v>
      </c>
      <c r="B1367" s="32">
        <v>946.83</v>
      </c>
      <c r="C1367">
        <f t="shared" si="42"/>
        <v>1995</v>
      </c>
      <c r="H1367" s="85">
        <v>42272</v>
      </c>
      <c r="I1367">
        <v>3135.17</v>
      </c>
      <c r="N1367" s="69">
        <v>41515</v>
      </c>
      <c r="O1367">
        <v>507</v>
      </c>
      <c r="P1367">
        <v>499</v>
      </c>
      <c r="Q1367">
        <v>507.4</v>
      </c>
      <c r="R1367">
        <v>493</v>
      </c>
      <c r="S1367" s="3">
        <v>5.0000000000000001E-3</v>
      </c>
      <c r="T1367">
        <f t="shared" si="43"/>
        <v>2013</v>
      </c>
      <c r="W1367" s="86">
        <v>42717</v>
      </c>
      <c r="X1367">
        <v>552.83000000000004</v>
      </c>
    </row>
    <row r="1368" spans="1:24">
      <c r="A1368" s="68">
        <v>34934</v>
      </c>
      <c r="B1368" s="33">
        <v>949.51</v>
      </c>
      <c r="C1368">
        <f t="shared" si="42"/>
        <v>1995</v>
      </c>
      <c r="H1368" s="85">
        <v>42273</v>
      </c>
      <c r="I1368">
        <v>3080.44</v>
      </c>
      <c r="N1368" s="69">
        <v>41514</v>
      </c>
      <c r="O1368">
        <v>504.5</v>
      </c>
      <c r="P1368">
        <v>499.1</v>
      </c>
      <c r="Q1368">
        <v>504.7</v>
      </c>
      <c r="R1368">
        <v>492.96</v>
      </c>
      <c r="S1368" s="3">
        <v>-2.0000000000000001E-4</v>
      </c>
      <c r="T1368">
        <f t="shared" si="43"/>
        <v>2013</v>
      </c>
      <c r="W1368" s="86">
        <v>42718</v>
      </c>
      <c r="X1368">
        <v>550.05999999999995</v>
      </c>
    </row>
    <row r="1369" spans="1:24">
      <c r="A1369" s="68">
        <v>34935</v>
      </c>
      <c r="B1369" s="32">
        <v>955.12</v>
      </c>
      <c r="C1369">
        <f t="shared" si="42"/>
        <v>1995</v>
      </c>
      <c r="H1369" s="85">
        <v>42274</v>
      </c>
      <c r="I1369">
        <v>3080.44</v>
      </c>
      <c r="N1369" s="69">
        <v>41513</v>
      </c>
      <c r="O1369">
        <v>504.6</v>
      </c>
      <c r="P1369">
        <v>499.1</v>
      </c>
      <c r="Q1369">
        <v>504.7</v>
      </c>
      <c r="R1369">
        <v>492.99</v>
      </c>
      <c r="S1369" s="3">
        <v>0</v>
      </c>
      <c r="T1369">
        <f t="shared" si="43"/>
        <v>2013</v>
      </c>
      <c r="W1369" s="86">
        <v>42719</v>
      </c>
      <c r="X1369">
        <v>550.02</v>
      </c>
    </row>
    <row r="1370" spans="1:24">
      <c r="A1370" s="68">
        <v>34936</v>
      </c>
      <c r="B1370" s="33">
        <v>962.6</v>
      </c>
      <c r="C1370">
        <f t="shared" si="42"/>
        <v>1995</v>
      </c>
      <c r="H1370" s="85">
        <v>42275</v>
      </c>
      <c r="I1370">
        <v>3080.44</v>
      </c>
      <c r="N1370" s="69">
        <v>41512</v>
      </c>
      <c r="O1370">
        <v>504.6</v>
      </c>
      <c r="P1370">
        <v>499.1</v>
      </c>
      <c r="Q1370">
        <v>504.7</v>
      </c>
      <c r="R1370">
        <v>493.03</v>
      </c>
      <c r="S1370" s="3">
        <v>8.3000000000000001E-3</v>
      </c>
      <c r="T1370">
        <f t="shared" si="43"/>
        <v>2013</v>
      </c>
      <c r="W1370" s="86">
        <v>42720</v>
      </c>
      <c r="X1370">
        <v>550.08000000000004</v>
      </c>
    </row>
    <row r="1371" spans="1:24">
      <c r="A1371" s="68">
        <v>34937</v>
      </c>
      <c r="B1371" s="32">
        <v>970.65</v>
      </c>
      <c r="C1371">
        <f t="shared" si="42"/>
        <v>1995</v>
      </c>
      <c r="H1371" s="85">
        <v>42276</v>
      </c>
      <c r="I1371">
        <v>3096.98</v>
      </c>
      <c r="N1371" s="69">
        <v>41509</v>
      </c>
      <c r="O1371">
        <v>500.45</v>
      </c>
      <c r="P1371">
        <v>499.05</v>
      </c>
      <c r="Q1371">
        <v>500.45</v>
      </c>
      <c r="R1371">
        <v>492.94</v>
      </c>
      <c r="S1371" s="3">
        <v>-8.0999999999999996E-3</v>
      </c>
      <c r="T1371">
        <f t="shared" si="43"/>
        <v>2013</v>
      </c>
      <c r="W1371" s="86">
        <v>42723</v>
      </c>
      <c r="X1371">
        <v>550.05999999999995</v>
      </c>
    </row>
    <row r="1372" spans="1:24">
      <c r="A1372" s="68">
        <v>34938</v>
      </c>
      <c r="B1372" s="33">
        <v>970.65</v>
      </c>
      <c r="C1372">
        <f t="shared" si="42"/>
        <v>1995</v>
      </c>
      <c r="H1372" s="85">
        <v>42277</v>
      </c>
      <c r="I1372">
        <v>3121.94</v>
      </c>
      <c r="N1372" s="69">
        <v>41508</v>
      </c>
      <c r="O1372">
        <v>504.55</v>
      </c>
      <c r="P1372">
        <v>499</v>
      </c>
      <c r="Q1372">
        <v>504.7</v>
      </c>
      <c r="R1372">
        <v>499</v>
      </c>
      <c r="S1372" s="3">
        <v>1E-4</v>
      </c>
      <c r="T1372">
        <f t="shared" si="43"/>
        <v>2013</v>
      </c>
      <c r="W1372" s="86">
        <v>42724</v>
      </c>
      <c r="X1372">
        <v>550.45000000000005</v>
      </c>
    </row>
    <row r="1373" spans="1:24">
      <c r="A1373" s="68">
        <v>34939</v>
      </c>
      <c r="B1373" s="32">
        <v>970.65</v>
      </c>
      <c r="C1373">
        <f t="shared" si="42"/>
        <v>1995</v>
      </c>
      <c r="H1373" s="85">
        <v>42278</v>
      </c>
      <c r="I1373">
        <v>3086.75</v>
      </c>
      <c r="N1373" s="69">
        <v>41507</v>
      </c>
      <c r="O1373">
        <v>504.5</v>
      </c>
      <c r="P1373">
        <v>499.1</v>
      </c>
      <c r="Q1373">
        <v>504.7</v>
      </c>
      <c r="R1373">
        <v>492.94</v>
      </c>
      <c r="S1373" s="3">
        <v>-2.0000000000000001E-4</v>
      </c>
      <c r="T1373">
        <f t="shared" si="43"/>
        <v>2013</v>
      </c>
      <c r="W1373" s="86">
        <v>42725</v>
      </c>
      <c r="X1373">
        <v>551.4</v>
      </c>
    </row>
    <row r="1374" spans="1:24">
      <c r="A1374" s="68">
        <v>34940</v>
      </c>
      <c r="B1374" s="33">
        <v>972.03</v>
      </c>
      <c r="C1374">
        <f t="shared" si="42"/>
        <v>1995</v>
      </c>
      <c r="H1374" s="85">
        <v>42279</v>
      </c>
      <c r="I1374">
        <v>3061.85</v>
      </c>
      <c r="N1374" s="69">
        <v>41506</v>
      </c>
      <c r="O1374">
        <v>504.6</v>
      </c>
      <c r="P1374">
        <v>499.1</v>
      </c>
      <c r="Q1374">
        <v>504.7</v>
      </c>
      <c r="R1374">
        <v>492.93</v>
      </c>
      <c r="S1374" s="3">
        <v>0</v>
      </c>
      <c r="T1374">
        <f t="shared" si="43"/>
        <v>2013</v>
      </c>
      <c r="W1374" s="86">
        <v>42726</v>
      </c>
      <c r="X1374">
        <v>553.29999999999995</v>
      </c>
    </row>
    <row r="1375" spans="1:24">
      <c r="A1375" s="68">
        <v>34941</v>
      </c>
      <c r="B1375" s="32">
        <v>963.93</v>
      </c>
      <c r="C1375">
        <f t="shared" si="42"/>
        <v>1995</v>
      </c>
      <c r="H1375" s="85">
        <v>42280</v>
      </c>
      <c r="I1375">
        <v>3034.9</v>
      </c>
      <c r="N1375" s="69">
        <v>41505</v>
      </c>
      <c r="O1375">
        <v>504.6</v>
      </c>
      <c r="P1375">
        <v>499.1</v>
      </c>
      <c r="Q1375">
        <v>504.7</v>
      </c>
      <c r="R1375">
        <v>492.96</v>
      </c>
      <c r="S1375" s="3">
        <v>0</v>
      </c>
      <c r="T1375">
        <f t="shared" si="43"/>
        <v>2013</v>
      </c>
      <c r="W1375" s="86">
        <v>42727</v>
      </c>
      <c r="X1375">
        <v>554.04999999999995</v>
      </c>
    </row>
    <row r="1376" spans="1:24">
      <c r="A1376" s="68">
        <v>34942</v>
      </c>
      <c r="B1376" s="33">
        <v>960.19</v>
      </c>
      <c r="C1376">
        <f t="shared" si="42"/>
        <v>1995</v>
      </c>
      <c r="H1376" s="85">
        <v>42281</v>
      </c>
      <c r="I1376">
        <v>3034.9</v>
      </c>
      <c r="N1376" s="69">
        <v>41502</v>
      </c>
      <c r="O1376">
        <v>504.6</v>
      </c>
      <c r="P1376">
        <v>499</v>
      </c>
      <c r="Q1376">
        <v>504.7</v>
      </c>
      <c r="R1376">
        <v>492.94</v>
      </c>
      <c r="S1376" s="3">
        <v>2.0000000000000001E-4</v>
      </c>
      <c r="T1376">
        <f t="shared" si="43"/>
        <v>2013</v>
      </c>
      <c r="W1376" s="86">
        <v>42730</v>
      </c>
      <c r="X1376">
        <v>553.05999999999995</v>
      </c>
    </row>
    <row r="1377" spans="1:24">
      <c r="A1377" s="68">
        <v>34943</v>
      </c>
      <c r="B1377" s="32">
        <v>949.35</v>
      </c>
      <c r="C1377">
        <f t="shared" si="42"/>
        <v>1995</v>
      </c>
      <c r="H1377" s="85">
        <v>42282</v>
      </c>
      <c r="I1377">
        <v>3034.9</v>
      </c>
      <c r="N1377" s="69">
        <v>41501</v>
      </c>
      <c r="O1377">
        <v>504.5</v>
      </c>
      <c r="P1377">
        <v>492.8</v>
      </c>
      <c r="Q1377">
        <v>504.7</v>
      </c>
      <c r="R1377">
        <v>492.8</v>
      </c>
      <c r="S1377" s="3">
        <v>1.24E-2</v>
      </c>
      <c r="T1377">
        <f t="shared" si="43"/>
        <v>2013</v>
      </c>
      <c r="W1377" s="86">
        <v>42731</v>
      </c>
      <c r="X1377">
        <v>551</v>
      </c>
    </row>
    <row r="1378" spans="1:24">
      <c r="A1378" s="68">
        <v>34944</v>
      </c>
      <c r="B1378" s="33">
        <v>948.23</v>
      </c>
      <c r="C1378">
        <f t="shared" si="42"/>
        <v>1995</v>
      </c>
      <c r="H1378" s="85">
        <v>42283</v>
      </c>
      <c r="I1378">
        <v>2971.15</v>
      </c>
      <c r="N1378" s="69">
        <v>41500</v>
      </c>
      <c r="O1378">
        <v>498.3</v>
      </c>
      <c r="P1378">
        <v>493</v>
      </c>
      <c r="Q1378">
        <v>504.7</v>
      </c>
      <c r="R1378">
        <v>492.8</v>
      </c>
      <c r="S1378" s="3">
        <v>-4.0000000000000002E-4</v>
      </c>
      <c r="T1378">
        <f t="shared" si="43"/>
        <v>2013</v>
      </c>
      <c r="W1378" s="86">
        <v>42732</v>
      </c>
      <c r="X1378">
        <v>553.29999999999995</v>
      </c>
    </row>
    <row r="1379" spans="1:24">
      <c r="A1379" s="68">
        <v>34945</v>
      </c>
      <c r="B1379" s="32">
        <v>948.23</v>
      </c>
      <c r="C1379">
        <f t="shared" si="42"/>
        <v>1995</v>
      </c>
      <c r="H1379" s="85">
        <v>42284</v>
      </c>
      <c r="I1379">
        <v>2913.74</v>
      </c>
      <c r="N1379" s="69">
        <v>41499</v>
      </c>
      <c r="O1379">
        <v>498.5</v>
      </c>
      <c r="P1379">
        <v>499</v>
      </c>
      <c r="Q1379">
        <v>504.7</v>
      </c>
      <c r="R1379">
        <v>493</v>
      </c>
      <c r="S1379" s="3">
        <v>-1.09E-2</v>
      </c>
      <c r="T1379">
        <f t="shared" si="43"/>
        <v>2013</v>
      </c>
      <c r="W1379" s="86">
        <v>42733</v>
      </c>
      <c r="X1379">
        <v>553.26</v>
      </c>
    </row>
    <row r="1380" spans="1:24">
      <c r="A1380" s="68">
        <v>34946</v>
      </c>
      <c r="B1380" s="33">
        <v>948.23</v>
      </c>
      <c r="C1380">
        <f t="shared" si="42"/>
        <v>1995</v>
      </c>
      <c r="H1380" s="85">
        <v>42285</v>
      </c>
      <c r="I1380">
        <v>2891.91</v>
      </c>
      <c r="N1380" s="69">
        <v>41498</v>
      </c>
      <c r="O1380">
        <v>504</v>
      </c>
      <c r="P1380">
        <v>499.1</v>
      </c>
      <c r="Q1380">
        <v>504.2</v>
      </c>
      <c r="R1380">
        <v>492.89</v>
      </c>
      <c r="S1380" s="3">
        <v>-2.0000000000000001E-4</v>
      </c>
      <c r="T1380">
        <f t="shared" si="43"/>
        <v>2013</v>
      </c>
      <c r="W1380" s="86">
        <v>42734</v>
      </c>
      <c r="X1380">
        <v>553.16999999999996</v>
      </c>
    </row>
    <row r="1381" spans="1:24">
      <c r="A1381" s="68">
        <v>34947</v>
      </c>
      <c r="B1381" s="32">
        <v>957.54</v>
      </c>
      <c r="C1381">
        <f t="shared" si="42"/>
        <v>1995</v>
      </c>
      <c r="H1381" s="85">
        <v>42286</v>
      </c>
      <c r="I1381">
        <v>2887.21</v>
      </c>
      <c r="N1381" s="69">
        <v>41495</v>
      </c>
      <c r="O1381">
        <v>504.1</v>
      </c>
      <c r="P1381">
        <v>498.4</v>
      </c>
      <c r="Q1381">
        <v>504.2</v>
      </c>
      <c r="R1381">
        <v>492.89</v>
      </c>
      <c r="S1381" s="3">
        <v>1.4E-3</v>
      </c>
      <c r="T1381">
        <f t="shared" si="43"/>
        <v>2013</v>
      </c>
      <c r="W1381" s="86">
        <v>42737</v>
      </c>
      <c r="X1381">
        <v>553.17999999999995</v>
      </c>
    </row>
    <row r="1382" spans="1:24">
      <c r="A1382" s="68">
        <v>34948</v>
      </c>
      <c r="B1382" s="33">
        <v>958.46</v>
      </c>
      <c r="C1382">
        <f t="shared" si="42"/>
        <v>1995</v>
      </c>
      <c r="H1382" s="85">
        <v>42287</v>
      </c>
      <c r="I1382">
        <v>2855.74</v>
      </c>
      <c r="N1382" s="69">
        <v>41494</v>
      </c>
      <c r="O1382">
        <v>503.4</v>
      </c>
      <c r="P1382">
        <v>498.5</v>
      </c>
      <c r="Q1382">
        <v>503.5</v>
      </c>
      <c r="R1382">
        <v>492.9</v>
      </c>
      <c r="S1382" s="3">
        <v>-2.0000000000000001E-4</v>
      </c>
      <c r="T1382">
        <f t="shared" si="43"/>
        <v>2013</v>
      </c>
      <c r="W1382" s="86">
        <v>42738</v>
      </c>
      <c r="X1382">
        <v>552.83000000000004</v>
      </c>
    </row>
    <row r="1383" spans="1:24">
      <c r="A1383" s="68">
        <v>34949</v>
      </c>
      <c r="B1383" s="32">
        <v>953.63</v>
      </c>
      <c r="C1383">
        <f t="shared" si="42"/>
        <v>1995</v>
      </c>
      <c r="H1383" s="85">
        <v>42288</v>
      </c>
      <c r="I1383">
        <v>2855.74</v>
      </c>
      <c r="N1383" s="69">
        <v>41493</v>
      </c>
      <c r="O1383">
        <v>503.5</v>
      </c>
      <c r="P1383">
        <v>498.8</v>
      </c>
      <c r="Q1383">
        <v>503.8</v>
      </c>
      <c r="R1383">
        <v>492.9</v>
      </c>
      <c r="S1383" s="3">
        <v>-5.9999999999999995E-4</v>
      </c>
      <c r="T1383">
        <f t="shared" si="43"/>
        <v>2013</v>
      </c>
      <c r="W1383" s="86">
        <v>42739</v>
      </c>
      <c r="X1383">
        <v>552.9</v>
      </c>
    </row>
    <row r="1384" spans="1:24">
      <c r="A1384" s="68">
        <v>34950</v>
      </c>
      <c r="B1384" s="33">
        <v>954.64</v>
      </c>
      <c r="C1384">
        <f t="shared" si="42"/>
        <v>1995</v>
      </c>
      <c r="H1384" s="85">
        <v>42289</v>
      </c>
      <c r="I1384">
        <v>2855.74</v>
      </c>
      <c r="N1384" s="69">
        <v>41492</v>
      </c>
      <c r="O1384">
        <v>503.8</v>
      </c>
      <c r="P1384">
        <v>499</v>
      </c>
      <c r="Q1384">
        <v>504</v>
      </c>
      <c r="R1384">
        <v>492.98</v>
      </c>
      <c r="S1384" s="3">
        <v>-4.0000000000000002E-4</v>
      </c>
      <c r="T1384">
        <f t="shared" si="43"/>
        <v>2013</v>
      </c>
      <c r="W1384" s="86">
        <v>42740</v>
      </c>
      <c r="X1384">
        <v>553.78</v>
      </c>
    </row>
    <row r="1385" spans="1:24">
      <c r="A1385" s="68">
        <v>34951</v>
      </c>
      <c r="B1385" s="32">
        <v>958.31</v>
      </c>
      <c r="C1385">
        <f t="shared" si="42"/>
        <v>1995</v>
      </c>
      <c r="H1385" s="85">
        <v>42290</v>
      </c>
      <c r="I1385">
        <v>2855.74</v>
      </c>
      <c r="N1385" s="69">
        <v>41491</v>
      </c>
      <c r="O1385">
        <v>504</v>
      </c>
      <c r="P1385">
        <v>498.6</v>
      </c>
      <c r="Q1385">
        <v>504.2</v>
      </c>
      <c r="R1385">
        <v>492.98</v>
      </c>
      <c r="S1385" s="3">
        <v>8.0000000000000004E-4</v>
      </c>
      <c r="T1385">
        <f t="shared" si="43"/>
        <v>2013</v>
      </c>
      <c r="W1385" s="86">
        <v>42741</v>
      </c>
      <c r="X1385">
        <v>551</v>
      </c>
    </row>
    <row r="1386" spans="1:24">
      <c r="A1386" s="68">
        <v>34952</v>
      </c>
      <c r="B1386" s="33">
        <v>958.31</v>
      </c>
      <c r="C1386">
        <f t="shared" si="42"/>
        <v>1995</v>
      </c>
      <c r="H1386" s="85">
        <v>42291</v>
      </c>
      <c r="I1386">
        <v>2910.7</v>
      </c>
      <c r="N1386" s="69">
        <v>41488</v>
      </c>
      <c r="O1386">
        <v>503.6</v>
      </c>
      <c r="P1386">
        <v>498.8</v>
      </c>
      <c r="Q1386">
        <v>503.8</v>
      </c>
      <c r="R1386">
        <v>492.98</v>
      </c>
      <c r="S1386" s="3">
        <v>-4.0000000000000002E-4</v>
      </c>
      <c r="T1386">
        <f t="shared" si="43"/>
        <v>2013</v>
      </c>
      <c r="W1386" s="86">
        <v>42744</v>
      </c>
      <c r="X1386">
        <v>556.78</v>
      </c>
    </row>
    <row r="1387" spans="1:24">
      <c r="A1387" s="68">
        <v>34953</v>
      </c>
      <c r="B1387" s="32">
        <v>958.31</v>
      </c>
      <c r="C1387">
        <f t="shared" si="42"/>
        <v>1995</v>
      </c>
      <c r="H1387" s="85">
        <v>42292</v>
      </c>
      <c r="I1387">
        <v>2928.69</v>
      </c>
      <c r="N1387" s="69">
        <v>41487</v>
      </c>
      <c r="O1387">
        <v>503.8</v>
      </c>
      <c r="P1387">
        <v>498.9</v>
      </c>
      <c r="Q1387">
        <v>503.9</v>
      </c>
      <c r="R1387">
        <v>492.99</v>
      </c>
      <c r="S1387" s="3">
        <v>-2.0000000000000001E-4</v>
      </c>
      <c r="T1387">
        <f t="shared" si="43"/>
        <v>2013</v>
      </c>
      <c r="W1387" s="86">
        <v>42745</v>
      </c>
      <c r="X1387">
        <v>556.58000000000004</v>
      </c>
    </row>
    <row r="1388" spans="1:24">
      <c r="A1388" s="68">
        <v>34954</v>
      </c>
      <c r="B1388" s="33">
        <v>958.59</v>
      </c>
      <c r="C1388">
        <f t="shared" si="42"/>
        <v>1995</v>
      </c>
      <c r="H1388" s="85">
        <v>42293</v>
      </c>
      <c r="I1388">
        <v>2908.87</v>
      </c>
      <c r="N1388" s="69">
        <v>41486</v>
      </c>
      <c r="O1388">
        <v>503.9</v>
      </c>
      <c r="P1388">
        <v>499</v>
      </c>
      <c r="Q1388">
        <v>504</v>
      </c>
      <c r="R1388">
        <v>498.9</v>
      </c>
      <c r="S1388" s="3">
        <v>-2.0000000000000001E-4</v>
      </c>
      <c r="T1388">
        <f t="shared" si="43"/>
        <v>2013</v>
      </c>
      <c r="W1388" s="86">
        <v>42746</v>
      </c>
      <c r="X1388">
        <v>554.32000000000005</v>
      </c>
    </row>
    <row r="1389" spans="1:24">
      <c r="A1389" s="68">
        <v>34955</v>
      </c>
      <c r="B1389" s="32">
        <v>959.18</v>
      </c>
      <c r="C1389">
        <f t="shared" si="42"/>
        <v>1995</v>
      </c>
      <c r="H1389" s="85">
        <v>42294</v>
      </c>
      <c r="I1389">
        <v>2879.89</v>
      </c>
      <c r="N1389" s="69">
        <v>41485</v>
      </c>
      <c r="O1389">
        <v>504</v>
      </c>
      <c r="P1389">
        <v>499.1</v>
      </c>
      <c r="Q1389">
        <v>504.1</v>
      </c>
      <c r="R1389">
        <v>499</v>
      </c>
      <c r="S1389" s="3">
        <v>-2.0000000000000001E-4</v>
      </c>
      <c r="T1389">
        <f t="shared" si="43"/>
        <v>2013</v>
      </c>
      <c r="W1389" s="86">
        <v>42747</v>
      </c>
      <c r="X1389">
        <v>554.1</v>
      </c>
    </row>
    <row r="1390" spans="1:24">
      <c r="A1390" s="68">
        <v>34956</v>
      </c>
      <c r="B1390" s="33">
        <v>959.15</v>
      </c>
      <c r="C1390">
        <f t="shared" si="42"/>
        <v>1995</v>
      </c>
      <c r="H1390" s="85">
        <v>42295</v>
      </c>
      <c r="I1390">
        <v>2879.89</v>
      </c>
      <c r="N1390" s="69">
        <v>41484</v>
      </c>
      <c r="O1390">
        <v>504.1</v>
      </c>
      <c r="P1390">
        <v>499.1</v>
      </c>
      <c r="Q1390">
        <v>504.2</v>
      </c>
      <c r="R1390">
        <v>499.1</v>
      </c>
      <c r="S1390" s="3">
        <v>0</v>
      </c>
      <c r="T1390">
        <f t="shared" si="43"/>
        <v>2013</v>
      </c>
      <c r="W1390" s="86">
        <v>42748</v>
      </c>
      <c r="X1390">
        <v>553.6</v>
      </c>
    </row>
    <row r="1391" spans="1:24">
      <c r="A1391" s="68">
        <v>34957</v>
      </c>
      <c r="B1391" s="32">
        <v>960.25</v>
      </c>
      <c r="C1391">
        <f t="shared" si="42"/>
        <v>1995</v>
      </c>
      <c r="H1391" s="85">
        <v>42296</v>
      </c>
      <c r="I1391">
        <v>2879.89</v>
      </c>
      <c r="N1391" s="69">
        <v>41481</v>
      </c>
      <c r="O1391">
        <v>504.1</v>
      </c>
      <c r="P1391">
        <v>499.1</v>
      </c>
      <c r="Q1391">
        <v>504.2</v>
      </c>
      <c r="R1391">
        <v>499.1</v>
      </c>
      <c r="S1391" s="3">
        <v>0</v>
      </c>
      <c r="T1391">
        <f t="shared" si="43"/>
        <v>2013</v>
      </c>
      <c r="W1391" s="86">
        <v>42751</v>
      </c>
      <c r="X1391">
        <v>553.1</v>
      </c>
    </row>
    <row r="1392" spans="1:24">
      <c r="A1392" s="68">
        <v>34958</v>
      </c>
      <c r="B1392" s="33">
        <v>960.91</v>
      </c>
      <c r="C1392">
        <f t="shared" si="42"/>
        <v>1995</v>
      </c>
      <c r="H1392" s="85">
        <v>42297</v>
      </c>
      <c r="I1392">
        <v>2912.99</v>
      </c>
      <c r="N1392" s="69">
        <v>41480</v>
      </c>
      <c r="O1392">
        <v>504.1</v>
      </c>
      <c r="P1392">
        <v>499.2</v>
      </c>
      <c r="Q1392">
        <v>504.2</v>
      </c>
      <c r="R1392">
        <v>499.1</v>
      </c>
      <c r="S1392" s="3">
        <v>7.3000000000000001E-3</v>
      </c>
      <c r="T1392">
        <f t="shared" si="43"/>
        <v>2013</v>
      </c>
      <c r="W1392" s="86">
        <v>42752</v>
      </c>
      <c r="X1392">
        <v>553.08000000000004</v>
      </c>
    </row>
    <row r="1393" spans="1:24">
      <c r="A1393" s="68">
        <v>34959</v>
      </c>
      <c r="B1393" s="32">
        <v>960.91</v>
      </c>
      <c r="C1393">
        <f t="shared" si="42"/>
        <v>1995</v>
      </c>
      <c r="H1393" s="85">
        <v>42298</v>
      </c>
      <c r="I1393">
        <v>2929.19</v>
      </c>
      <c r="N1393" s="69">
        <v>41479</v>
      </c>
      <c r="O1393">
        <v>500.45</v>
      </c>
      <c r="P1393">
        <v>499.2</v>
      </c>
      <c r="Q1393">
        <v>500.45</v>
      </c>
      <c r="R1393">
        <v>499.2</v>
      </c>
      <c r="S1393" s="3">
        <v>0</v>
      </c>
      <c r="T1393">
        <f t="shared" si="43"/>
        <v>2013</v>
      </c>
      <c r="W1393" s="86">
        <v>42753</v>
      </c>
      <c r="X1393">
        <v>549.66999999999996</v>
      </c>
    </row>
    <row r="1394" spans="1:24">
      <c r="A1394" s="68">
        <v>34960</v>
      </c>
      <c r="B1394" s="33">
        <v>960.91</v>
      </c>
      <c r="C1394">
        <f t="shared" si="42"/>
        <v>1995</v>
      </c>
      <c r="H1394" s="85">
        <v>42299</v>
      </c>
      <c r="I1394">
        <v>2966.68</v>
      </c>
      <c r="N1394" s="69">
        <v>41478</v>
      </c>
      <c r="O1394">
        <v>500.45</v>
      </c>
      <c r="P1394">
        <v>499.2</v>
      </c>
      <c r="Q1394">
        <v>500.45</v>
      </c>
      <c r="R1394">
        <v>499.2</v>
      </c>
      <c r="S1394" s="3">
        <v>0</v>
      </c>
      <c r="T1394">
        <f t="shared" si="43"/>
        <v>2013</v>
      </c>
      <c r="W1394" s="86">
        <v>42754</v>
      </c>
      <c r="X1394">
        <v>552.92999999999995</v>
      </c>
    </row>
    <row r="1395" spans="1:24">
      <c r="A1395" s="68">
        <v>34961</v>
      </c>
      <c r="B1395" s="32">
        <v>962.5</v>
      </c>
      <c r="C1395">
        <f t="shared" si="42"/>
        <v>1995</v>
      </c>
      <c r="H1395" s="85">
        <v>42300</v>
      </c>
      <c r="I1395">
        <v>2925.36</v>
      </c>
      <c r="N1395" s="69">
        <v>41477</v>
      </c>
      <c r="O1395">
        <v>500.45</v>
      </c>
      <c r="P1395">
        <v>499.2</v>
      </c>
      <c r="Q1395">
        <v>500.45</v>
      </c>
      <c r="R1395">
        <v>496.7</v>
      </c>
      <c r="S1395" s="3">
        <v>0</v>
      </c>
      <c r="T1395">
        <f t="shared" si="43"/>
        <v>2013</v>
      </c>
      <c r="W1395" s="86">
        <v>42755</v>
      </c>
      <c r="X1395">
        <v>553</v>
      </c>
    </row>
    <row r="1396" spans="1:24">
      <c r="A1396" s="68">
        <v>34962</v>
      </c>
      <c r="B1396" s="33">
        <v>970.08</v>
      </c>
      <c r="C1396">
        <f t="shared" si="42"/>
        <v>1995</v>
      </c>
      <c r="H1396" s="85">
        <v>42301</v>
      </c>
      <c r="I1396">
        <v>2912.08</v>
      </c>
      <c r="N1396" s="69">
        <v>41474</v>
      </c>
      <c r="O1396">
        <v>500.45</v>
      </c>
      <c r="P1396">
        <v>499.2</v>
      </c>
      <c r="Q1396">
        <v>500.45</v>
      </c>
      <c r="R1396">
        <v>499.2</v>
      </c>
      <c r="S1396" s="3">
        <v>0</v>
      </c>
      <c r="T1396">
        <f t="shared" si="43"/>
        <v>2013</v>
      </c>
      <c r="W1396" s="86">
        <v>42758</v>
      </c>
      <c r="X1396">
        <v>551</v>
      </c>
    </row>
    <row r="1397" spans="1:24">
      <c r="A1397" s="68">
        <v>34963</v>
      </c>
      <c r="B1397" s="32">
        <v>974.88</v>
      </c>
      <c r="C1397">
        <f t="shared" si="42"/>
        <v>1995</v>
      </c>
      <c r="H1397" s="85">
        <v>42302</v>
      </c>
      <c r="I1397">
        <v>2912.08</v>
      </c>
      <c r="N1397" s="69">
        <v>41473</v>
      </c>
      <c r="O1397">
        <v>500.45</v>
      </c>
      <c r="P1397">
        <v>499.2</v>
      </c>
      <c r="Q1397">
        <v>500.45</v>
      </c>
      <c r="R1397">
        <v>499.2</v>
      </c>
      <c r="S1397" s="3">
        <v>5.0000000000000001E-4</v>
      </c>
      <c r="T1397">
        <f t="shared" si="43"/>
        <v>2013</v>
      </c>
      <c r="W1397" s="86">
        <v>42759</v>
      </c>
      <c r="X1397">
        <v>552.77</v>
      </c>
    </row>
    <row r="1398" spans="1:24">
      <c r="A1398" s="68">
        <v>34964</v>
      </c>
      <c r="B1398" s="33">
        <v>974.23</v>
      </c>
      <c r="C1398">
        <f t="shared" si="42"/>
        <v>1995</v>
      </c>
      <c r="H1398" s="85">
        <v>42303</v>
      </c>
      <c r="I1398">
        <v>2912.08</v>
      </c>
      <c r="N1398" s="69">
        <v>41472</v>
      </c>
      <c r="O1398">
        <v>500.2</v>
      </c>
      <c r="P1398">
        <v>499.2</v>
      </c>
      <c r="Q1398">
        <v>500.2</v>
      </c>
      <c r="R1398">
        <v>499.2</v>
      </c>
      <c r="S1398" s="3">
        <v>0</v>
      </c>
      <c r="T1398">
        <f t="shared" si="43"/>
        <v>2013</v>
      </c>
      <c r="W1398" s="86">
        <v>42760</v>
      </c>
      <c r="X1398">
        <v>552.77</v>
      </c>
    </row>
    <row r="1399" spans="1:24">
      <c r="A1399" s="68">
        <v>34965</v>
      </c>
      <c r="B1399" s="32">
        <v>975.9</v>
      </c>
      <c r="C1399">
        <f t="shared" si="42"/>
        <v>1995</v>
      </c>
      <c r="H1399" s="85">
        <v>42304</v>
      </c>
      <c r="I1399">
        <v>2918.21</v>
      </c>
      <c r="N1399" s="69">
        <v>41471</v>
      </c>
      <c r="O1399">
        <v>500.2</v>
      </c>
      <c r="P1399">
        <v>499.1</v>
      </c>
      <c r="Q1399">
        <v>500.2</v>
      </c>
      <c r="R1399">
        <v>499.1</v>
      </c>
      <c r="S1399" s="3">
        <v>2.0000000000000001E-4</v>
      </c>
      <c r="T1399">
        <f t="shared" si="43"/>
        <v>2013</v>
      </c>
      <c r="W1399" s="86">
        <v>42761</v>
      </c>
      <c r="X1399">
        <v>552.77</v>
      </c>
    </row>
    <row r="1400" spans="1:24">
      <c r="A1400" s="68">
        <v>34966</v>
      </c>
      <c r="B1400" s="33">
        <v>975.9</v>
      </c>
      <c r="C1400">
        <f t="shared" si="42"/>
        <v>1995</v>
      </c>
      <c r="H1400" s="85">
        <v>42305</v>
      </c>
      <c r="I1400">
        <v>2950.87</v>
      </c>
      <c r="N1400" s="69">
        <v>41470</v>
      </c>
      <c r="O1400">
        <v>500.1</v>
      </c>
      <c r="P1400">
        <v>499.1</v>
      </c>
      <c r="Q1400">
        <v>500.2</v>
      </c>
      <c r="R1400">
        <v>499.1</v>
      </c>
      <c r="S1400" s="3">
        <v>0</v>
      </c>
      <c r="T1400">
        <f t="shared" si="43"/>
        <v>2013</v>
      </c>
      <c r="W1400" s="86">
        <v>42762</v>
      </c>
      <c r="X1400">
        <v>553.22</v>
      </c>
    </row>
    <row r="1401" spans="1:24">
      <c r="A1401" s="68">
        <v>34967</v>
      </c>
      <c r="B1401" s="32">
        <v>975.9</v>
      </c>
      <c r="C1401">
        <f t="shared" si="42"/>
        <v>1995</v>
      </c>
      <c r="H1401" s="85">
        <v>42306</v>
      </c>
      <c r="I1401">
        <v>2926.75</v>
      </c>
      <c r="N1401" s="69">
        <v>41467</v>
      </c>
      <c r="O1401">
        <v>500.1</v>
      </c>
      <c r="P1401">
        <v>499</v>
      </c>
      <c r="Q1401">
        <v>500.2</v>
      </c>
      <c r="R1401">
        <v>499</v>
      </c>
      <c r="S1401" s="3">
        <v>2.0000000000000001E-4</v>
      </c>
      <c r="T1401">
        <f t="shared" si="43"/>
        <v>2013</v>
      </c>
      <c r="W1401" s="86">
        <v>42765</v>
      </c>
      <c r="X1401">
        <v>557.15</v>
      </c>
    </row>
    <row r="1402" spans="1:24">
      <c r="A1402" s="68">
        <v>34968</v>
      </c>
      <c r="B1402" s="33">
        <v>977.35</v>
      </c>
      <c r="C1402">
        <f t="shared" si="42"/>
        <v>1995</v>
      </c>
      <c r="H1402" s="85">
        <v>42307</v>
      </c>
      <c r="I1402">
        <v>2921.32</v>
      </c>
      <c r="N1402" s="69">
        <v>41466</v>
      </c>
      <c r="O1402">
        <v>500</v>
      </c>
      <c r="P1402">
        <v>499.1</v>
      </c>
      <c r="Q1402">
        <v>500.2</v>
      </c>
      <c r="R1402">
        <v>499</v>
      </c>
      <c r="S1402" s="3">
        <v>-2.0000000000000001E-4</v>
      </c>
      <c r="T1402">
        <f t="shared" si="43"/>
        <v>2013</v>
      </c>
      <c r="W1402" s="86">
        <v>42766</v>
      </c>
      <c r="X1402">
        <v>553.74</v>
      </c>
    </row>
    <row r="1403" spans="1:24">
      <c r="A1403" s="68">
        <v>34969</v>
      </c>
      <c r="B1403" s="32">
        <v>980.54</v>
      </c>
      <c r="C1403">
        <f t="shared" si="42"/>
        <v>1995</v>
      </c>
      <c r="H1403" s="85">
        <v>42308</v>
      </c>
      <c r="I1403">
        <v>2897.83</v>
      </c>
      <c r="N1403" s="69">
        <v>41465</v>
      </c>
      <c r="O1403">
        <v>500.1</v>
      </c>
      <c r="P1403">
        <v>499.1</v>
      </c>
      <c r="Q1403">
        <v>500.2</v>
      </c>
      <c r="R1403">
        <v>499.1</v>
      </c>
      <c r="S1403" s="3">
        <v>-6.9999999999999999E-4</v>
      </c>
      <c r="T1403">
        <f t="shared" si="43"/>
        <v>2013</v>
      </c>
      <c r="W1403" s="86">
        <v>42767</v>
      </c>
      <c r="X1403">
        <v>555.07000000000005</v>
      </c>
    </row>
    <row r="1404" spans="1:24">
      <c r="A1404" s="68">
        <v>34970</v>
      </c>
      <c r="B1404" s="33">
        <v>981.09</v>
      </c>
      <c r="C1404">
        <f t="shared" si="42"/>
        <v>1995</v>
      </c>
      <c r="H1404" s="85">
        <v>42309</v>
      </c>
      <c r="I1404">
        <v>2897.83</v>
      </c>
      <c r="N1404" s="69">
        <v>41464</v>
      </c>
      <c r="O1404">
        <v>500.45</v>
      </c>
      <c r="P1404">
        <v>499</v>
      </c>
      <c r="Q1404">
        <v>500.45</v>
      </c>
      <c r="R1404">
        <v>499</v>
      </c>
      <c r="S1404" s="3">
        <v>8.9999999999999998E-4</v>
      </c>
      <c r="T1404">
        <f t="shared" si="43"/>
        <v>2013</v>
      </c>
      <c r="W1404" s="86">
        <v>42768</v>
      </c>
      <c r="X1404">
        <v>555.13</v>
      </c>
    </row>
    <row r="1405" spans="1:24">
      <c r="A1405" s="68">
        <v>34971</v>
      </c>
      <c r="B1405" s="32">
        <v>972.8</v>
      </c>
      <c r="C1405">
        <f t="shared" si="42"/>
        <v>1995</v>
      </c>
      <c r="H1405" s="85">
        <v>42310</v>
      </c>
      <c r="I1405">
        <v>2897.83</v>
      </c>
      <c r="N1405" s="69">
        <v>41463</v>
      </c>
      <c r="O1405">
        <v>500</v>
      </c>
      <c r="P1405">
        <v>499.6</v>
      </c>
      <c r="Q1405">
        <v>500.6</v>
      </c>
      <c r="R1405">
        <v>499</v>
      </c>
      <c r="S1405" s="3">
        <v>-8.9999999999999998E-4</v>
      </c>
      <c r="T1405">
        <f t="shared" si="43"/>
        <v>2013</v>
      </c>
      <c r="W1405" s="86">
        <v>42769</v>
      </c>
      <c r="X1405">
        <v>555.98</v>
      </c>
    </row>
    <row r="1406" spans="1:24">
      <c r="A1406" s="68">
        <v>34972</v>
      </c>
      <c r="B1406" s="33">
        <v>966.78</v>
      </c>
      <c r="C1406">
        <f t="shared" si="42"/>
        <v>1995</v>
      </c>
      <c r="H1406" s="85">
        <v>42311</v>
      </c>
      <c r="I1406">
        <v>2897.83</v>
      </c>
      <c r="N1406" s="69">
        <v>41460</v>
      </c>
      <c r="O1406">
        <v>500.45</v>
      </c>
      <c r="P1406">
        <v>499.7</v>
      </c>
      <c r="Q1406">
        <v>500.95</v>
      </c>
      <c r="R1406">
        <v>499.2</v>
      </c>
      <c r="S1406" s="3">
        <v>-1E-4</v>
      </c>
      <c r="T1406">
        <f t="shared" si="43"/>
        <v>2013</v>
      </c>
      <c r="W1406" s="86">
        <v>42772</v>
      </c>
      <c r="X1406">
        <v>551</v>
      </c>
    </row>
    <row r="1407" spans="1:24">
      <c r="A1407" s="68">
        <v>34973</v>
      </c>
      <c r="B1407" s="32">
        <v>966.78</v>
      </c>
      <c r="C1407">
        <f t="shared" si="42"/>
        <v>1995</v>
      </c>
      <c r="H1407" s="85">
        <v>42312</v>
      </c>
      <c r="I1407">
        <v>2825.25</v>
      </c>
      <c r="N1407" s="69">
        <v>41459</v>
      </c>
      <c r="O1407">
        <v>500.5</v>
      </c>
      <c r="P1407">
        <v>499.5</v>
      </c>
      <c r="Q1407">
        <v>500.5</v>
      </c>
      <c r="R1407">
        <v>499.5</v>
      </c>
      <c r="S1407" s="3">
        <v>0</v>
      </c>
      <c r="T1407">
        <f t="shared" si="43"/>
        <v>2013</v>
      </c>
      <c r="W1407" s="86">
        <v>42773</v>
      </c>
      <c r="X1407">
        <v>556.91999999999996</v>
      </c>
    </row>
    <row r="1408" spans="1:24">
      <c r="A1408" s="68">
        <v>34974</v>
      </c>
      <c r="B1408" s="33">
        <v>966.78</v>
      </c>
      <c r="C1408">
        <f t="shared" si="42"/>
        <v>1995</v>
      </c>
      <c r="H1408" s="85">
        <v>42313</v>
      </c>
      <c r="I1408">
        <v>2819.63</v>
      </c>
      <c r="N1408" s="69">
        <v>41458</v>
      </c>
      <c r="O1408">
        <v>500.5</v>
      </c>
      <c r="P1408">
        <v>498.9</v>
      </c>
      <c r="Q1408">
        <v>500.7</v>
      </c>
      <c r="R1408">
        <v>498.9</v>
      </c>
      <c r="S1408" s="3">
        <v>1.1999999999999999E-3</v>
      </c>
      <c r="T1408">
        <f t="shared" si="43"/>
        <v>2013</v>
      </c>
      <c r="W1408" s="86">
        <v>42774</v>
      </c>
      <c r="X1408">
        <v>557.87</v>
      </c>
    </row>
    <row r="1409" spans="1:24">
      <c r="A1409" s="68">
        <v>34975</v>
      </c>
      <c r="B1409" s="32">
        <v>971.22</v>
      </c>
      <c r="C1409">
        <f t="shared" si="42"/>
        <v>1995</v>
      </c>
      <c r="H1409" s="85">
        <v>42314</v>
      </c>
      <c r="I1409">
        <v>2853.32</v>
      </c>
      <c r="N1409" s="69">
        <v>41457</v>
      </c>
      <c r="O1409">
        <v>499.9</v>
      </c>
      <c r="P1409">
        <v>498.8</v>
      </c>
      <c r="Q1409">
        <v>500.7</v>
      </c>
      <c r="R1409">
        <v>498.8</v>
      </c>
      <c r="S1409" s="3">
        <v>2.0000000000000001E-4</v>
      </c>
      <c r="T1409">
        <f t="shared" si="43"/>
        <v>2013</v>
      </c>
      <c r="W1409" s="86">
        <v>42775</v>
      </c>
      <c r="X1409">
        <v>558.54999999999995</v>
      </c>
    </row>
    <row r="1410" spans="1:24">
      <c r="A1410" s="68">
        <v>34976</v>
      </c>
      <c r="B1410" s="33">
        <v>976.76</v>
      </c>
      <c r="C1410">
        <f t="shared" si="42"/>
        <v>1995</v>
      </c>
      <c r="H1410" s="85">
        <v>42315</v>
      </c>
      <c r="I1410">
        <v>2896.19</v>
      </c>
      <c r="N1410" s="69">
        <v>41456</v>
      </c>
      <c r="O1410">
        <v>499.8</v>
      </c>
      <c r="P1410">
        <v>498.5</v>
      </c>
      <c r="Q1410">
        <v>499.95</v>
      </c>
      <c r="R1410">
        <v>498.5</v>
      </c>
      <c r="S1410" s="3">
        <v>5.9999999999999995E-4</v>
      </c>
      <c r="T1410">
        <f t="shared" si="43"/>
        <v>2013</v>
      </c>
      <c r="W1410" s="86">
        <v>42776</v>
      </c>
      <c r="X1410">
        <v>558.63</v>
      </c>
    </row>
    <row r="1411" spans="1:24">
      <c r="A1411" s="68">
        <v>34977</v>
      </c>
      <c r="B1411" s="32">
        <v>972.75</v>
      </c>
      <c r="C1411">
        <f t="shared" si="42"/>
        <v>1995</v>
      </c>
      <c r="H1411" s="85">
        <v>42316</v>
      </c>
      <c r="I1411">
        <v>2896.19</v>
      </c>
      <c r="N1411" s="69">
        <v>41453</v>
      </c>
      <c r="O1411">
        <v>499.5</v>
      </c>
      <c r="P1411">
        <v>498.7</v>
      </c>
      <c r="Q1411">
        <v>499.7</v>
      </c>
      <c r="R1411">
        <v>498.5</v>
      </c>
      <c r="S1411" s="3">
        <v>-4.0000000000000002E-4</v>
      </c>
      <c r="T1411">
        <f t="shared" si="43"/>
        <v>2013</v>
      </c>
      <c r="W1411" s="86">
        <v>42779</v>
      </c>
      <c r="X1411">
        <v>563.41</v>
      </c>
    </row>
    <row r="1412" spans="1:24">
      <c r="A1412" s="68">
        <v>34978</v>
      </c>
      <c r="B1412" s="33">
        <v>972.93</v>
      </c>
      <c r="C1412">
        <f t="shared" ref="C1412:C1475" si="44">YEAR(A1412)</f>
        <v>1995</v>
      </c>
      <c r="H1412" s="85">
        <v>42317</v>
      </c>
      <c r="I1412">
        <v>2896.19</v>
      </c>
      <c r="N1412" s="69">
        <v>41452</v>
      </c>
      <c r="O1412">
        <v>499.7</v>
      </c>
      <c r="P1412">
        <v>498.4</v>
      </c>
      <c r="Q1412">
        <v>499.95</v>
      </c>
      <c r="R1412">
        <v>498.4</v>
      </c>
      <c r="S1412" s="3">
        <v>5.9999999999999995E-4</v>
      </c>
      <c r="T1412">
        <f t="shared" ref="T1412:T1475" si="45">YEAR(N1412)</f>
        <v>2013</v>
      </c>
      <c r="W1412" s="86">
        <v>42780</v>
      </c>
      <c r="X1412">
        <v>563.73</v>
      </c>
    </row>
    <row r="1413" spans="1:24">
      <c r="A1413" s="68">
        <v>34979</v>
      </c>
      <c r="B1413" s="32">
        <v>979.16</v>
      </c>
      <c r="C1413">
        <f t="shared" si="44"/>
        <v>1995</v>
      </c>
      <c r="H1413" s="85">
        <v>42318</v>
      </c>
      <c r="I1413">
        <v>2921.15</v>
      </c>
      <c r="N1413" s="69">
        <v>41451</v>
      </c>
      <c r="O1413">
        <v>499.4</v>
      </c>
      <c r="P1413">
        <v>499.5</v>
      </c>
      <c r="Q1413">
        <v>500.95</v>
      </c>
      <c r="R1413">
        <v>498.4</v>
      </c>
      <c r="S1413" s="3">
        <v>-2.2000000000000001E-3</v>
      </c>
      <c r="T1413">
        <f t="shared" si="45"/>
        <v>2013</v>
      </c>
      <c r="W1413" s="86">
        <v>42781</v>
      </c>
      <c r="X1413">
        <v>558.94000000000005</v>
      </c>
    </row>
    <row r="1414" spans="1:24">
      <c r="A1414" s="68">
        <v>34980</v>
      </c>
      <c r="B1414" s="33">
        <v>979.16</v>
      </c>
      <c r="C1414">
        <f t="shared" si="44"/>
        <v>1995</v>
      </c>
      <c r="H1414" s="85">
        <v>42319</v>
      </c>
      <c r="I1414">
        <v>2935.86</v>
      </c>
      <c r="N1414" s="69">
        <v>41450</v>
      </c>
      <c r="O1414">
        <v>500.5</v>
      </c>
      <c r="P1414">
        <v>499.2</v>
      </c>
      <c r="Q1414">
        <v>500.95</v>
      </c>
      <c r="R1414">
        <v>499</v>
      </c>
      <c r="S1414" s="3">
        <v>5.9999999999999995E-4</v>
      </c>
      <c r="T1414">
        <f t="shared" si="45"/>
        <v>2013</v>
      </c>
      <c r="W1414" s="86">
        <v>42782</v>
      </c>
      <c r="X1414">
        <v>559.47</v>
      </c>
    </row>
    <row r="1415" spans="1:24">
      <c r="A1415" s="68">
        <v>34981</v>
      </c>
      <c r="B1415" s="32">
        <v>979.16</v>
      </c>
      <c r="C1415">
        <f t="shared" si="44"/>
        <v>1995</v>
      </c>
      <c r="H1415" s="85">
        <v>42320</v>
      </c>
      <c r="I1415">
        <v>2935.86</v>
      </c>
      <c r="N1415" s="69">
        <v>41449</v>
      </c>
      <c r="O1415">
        <v>500.2</v>
      </c>
      <c r="P1415">
        <v>499.3</v>
      </c>
      <c r="Q1415">
        <v>500.45</v>
      </c>
      <c r="R1415">
        <v>499.2</v>
      </c>
      <c r="S1415" s="3">
        <v>-2.0000000000000001E-4</v>
      </c>
      <c r="T1415">
        <f t="shared" si="45"/>
        <v>2013</v>
      </c>
      <c r="W1415" s="86">
        <v>42783</v>
      </c>
      <c r="X1415">
        <v>560.79999999999995</v>
      </c>
    </row>
    <row r="1416" spans="1:24">
      <c r="A1416" s="68">
        <v>34982</v>
      </c>
      <c r="B1416" s="33">
        <v>982.84</v>
      </c>
      <c r="C1416">
        <f t="shared" si="44"/>
        <v>1995</v>
      </c>
      <c r="H1416" s="85">
        <v>42321</v>
      </c>
      <c r="I1416">
        <v>3009.36</v>
      </c>
      <c r="N1416" s="69">
        <v>41446</v>
      </c>
      <c r="O1416">
        <v>500.3</v>
      </c>
      <c r="P1416">
        <v>499.4</v>
      </c>
      <c r="Q1416">
        <v>500.45</v>
      </c>
      <c r="R1416">
        <v>499.3</v>
      </c>
      <c r="S1416" s="3">
        <v>-2.0000000000000001E-4</v>
      </c>
      <c r="T1416">
        <f t="shared" si="45"/>
        <v>2013</v>
      </c>
      <c r="W1416" s="86">
        <v>42786</v>
      </c>
      <c r="X1416">
        <v>560.98</v>
      </c>
    </row>
    <row r="1417" spans="1:24">
      <c r="A1417" s="68">
        <v>34983</v>
      </c>
      <c r="B1417" s="32">
        <v>981.45</v>
      </c>
      <c r="C1417">
        <f t="shared" si="44"/>
        <v>1995</v>
      </c>
      <c r="H1417" s="85">
        <v>42322</v>
      </c>
      <c r="I1417">
        <v>3073.23</v>
      </c>
      <c r="N1417" s="69">
        <v>41445</v>
      </c>
      <c r="O1417">
        <v>500.4</v>
      </c>
      <c r="P1417">
        <v>498.6</v>
      </c>
      <c r="Q1417">
        <v>500.45</v>
      </c>
      <c r="R1417">
        <v>498.6</v>
      </c>
      <c r="S1417" s="3">
        <v>1.6000000000000001E-3</v>
      </c>
      <c r="T1417">
        <f t="shared" si="45"/>
        <v>2013</v>
      </c>
      <c r="W1417" s="86">
        <v>42787</v>
      </c>
      <c r="X1417">
        <v>561.04999999999995</v>
      </c>
    </row>
    <row r="1418" spans="1:24">
      <c r="A1418" s="68">
        <v>34984</v>
      </c>
      <c r="B1418" s="33">
        <v>981.26</v>
      </c>
      <c r="C1418">
        <f t="shared" si="44"/>
        <v>1995</v>
      </c>
      <c r="H1418" s="85">
        <v>42323</v>
      </c>
      <c r="I1418">
        <v>3073.23</v>
      </c>
      <c r="N1418" s="69">
        <v>41444</v>
      </c>
      <c r="O1418">
        <v>499.6</v>
      </c>
      <c r="P1418">
        <v>498.5</v>
      </c>
      <c r="Q1418">
        <v>499.7</v>
      </c>
      <c r="R1418">
        <v>498.5</v>
      </c>
      <c r="S1418" s="3">
        <v>2.0000000000000001E-4</v>
      </c>
      <c r="T1418">
        <f t="shared" si="45"/>
        <v>2013</v>
      </c>
      <c r="W1418" s="86">
        <v>42788</v>
      </c>
      <c r="X1418">
        <v>563.36</v>
      </c>
    </row>
    <row r="1419" spans="1:24">
      <c r="A1419" s="68">
        <v>34985</v>
      </c>
      <c r="B1419" s="32">
        <v>984.88</v>
      </c>
      <c r="C1419">
        <f t="shared" si="44"/>
        <v>1995</v>
      </c>
      <c r="H1419" s="85">
        <v>42324</v>
      </c>
      <c r="I1419">
        <v>3073.23</v>
      </c>
      <c r="N1419" s="69">
        <v>41443</v>
      </c>
      <c r="O1419">
        <v>499.5</v>
      </c>
      <c r="P1419">
        <v>498.4</v>
      </c>
      <c r="Q1419">
        <v>499.7</v>
      </c>
      <c r="R1419">
        <v>498.4</v>
      </c>
      <c r="S1419" s="3">
        <v>2.0000000000000001E-4</v>
      </c>
      <c r="T1419">
        <f t="shared" si="45"/>
        <v>2013</v>
      </c>
      <c r="W1419" s="86">
        <v>42789</v>
      </c>
      <c r="X1419">
        <v>560.91999999999996</v>
      </c>
    </row>
    <row r="1420" spans="1:24">
      <c r="A1420" s="68">
        <v>34986</v>
      </c>
      <c r="B1420" s="33">
        <v>987</v>
      </c>
      <c r="C1420">
        <f t="shared" si="44"/>
        <v>1995</v>
      </c>
      <c r="H1420" s="85">
        <v>42325</v>
      </c>
      <c r="I1420">
        <v>3073.23</v>
      </c>
      <c r="N1420" s="69">
        <v>41442</v>
      </c>
      <c r="O1420">
        <v>499.4</v>
      </c>
      <c r="P1420">
        <v>499.8</v>
      </c>
      <c r="Q1420">
        <v>500.8</v>
      </c>
      <c r="R1420">
        <v>498.4</v>
      </c>
      <c r="S1420" s="3">
        <v>-2.8E-3</v>
      </c>
      <c r="T1420">
        <f t="shared" si="45"/>
        <v>2013</v>
      </c>
      <c r="W1420" s="86">
        <v>42790</v>
      </c>
      <c r="X1420">
        <v>560.75</v>
      </c>
    </row>
    <row r="1421" spans="1:24">
      <c r="A1421" s="68">
        <v>34987</v>
      </c>
      <c r="B1421" s="32">
        <v>987</v>
      </c>
      <c r="C1421">
        <f t="shared" si="44"/>
        <v>1995</v>
      </c>
      <c r="H1421" s="85">
        <v>42326</v>
      </c>
      <c r="I1421">
        <v>3069.24</v>
      </c>
      <c r="N1421" s="69">
        <v>41439</v>
      </c>
      <c r="O1421">
        <v>500.8</v>
      </c>
      <c r="P1421">
        <v>499.9</v>
      </c>
      <c r="Q1421">
        <v>500.95</v>
      </c>
      <c r="R1421">
        <v>498.7</v>
      </c>
      <c r="S1421" s="3">
        <v>-2.0000000000000001E-4</v>
      </c>
      <c r="T1421">
        <f t="shared" si="45"/>
        <v>2013</v>
      </c>
      <c r="W1421" s="86">
        <v>42793</v>
      </c>
      <c r="X1421">
        <v>560.28</v>
      </c>
    </row>
    <row r="1422" spans="1:24">
      <c r="A1422" s="68">
        <v>34988</v>
      </c>
      <c r="B1422" s="33">
        <v>987</v>
      </c>
      <c r="C1422">
        <f t="shared" si="44"/>
        <v>1995</v>
      </c>
      <c r="H1422" s="85">
        <v>42327</v>
      </c>
      <c r="I1422">
        <v>3108.7</v>
      </c>
      <c r="N1422" s="69">
        <v>41438</v>
      </c>
      <c r="O1422">
        <v>500.9</v>
      </c>
      <c r="P1422">
        <v>499.8</v>
      </c>
      <c r="Q1422">
        <v>500.95</v>
      </c>
      <c r="R1422">
        <v>499.8</v>
      </c>
      <c r="S1422" s="3">
        <v>2.0000000000000001E-4</v>
      </c>
      <c r="T1422">
        <f t="shared" si="45"/>
        <v>2013</v>
      </c>
      <c r="W1422" s="86">
        <v>42794</v>
      </c>
      <c r="X1422">
        <v>560.16999999999996</v>
      </c>
    </row>
    <row r="1423" spans="1:24">
      <c r="A1423" s="68">
        <v>34989</v>
      </c>
      <c r="B1423" s="32">
        <v>987</v>
      </c>
      <c r="C1423">
        <f t="shared" si="44"/>
        <v>1995</v>
      </c>
      <c r="H1423" s="85">
        <v>42328</v>
      </c>
      <c r="I1423">
        <v>3082.04</v>
      </c>
      <c r="N1423" s="69">
        <v>41437</v>
      </c>
      <c r="O1423">
        <v>500.8</v>
      </c>
      <c r="P1423">
        <v>500</v>
      </c>
      <c r="Q1423">
        <v>501</v>
      </c>
      <c r="R1423">
        <v>499.8</v>
      </c>
      <c r="S1423" s="3">
        <v>-8.0000000000000004E-4</v>
      </c>
      <c r="T1423">
        <f t="shared" si="45"/>
        <v>2013</v>
      </c>
      <c r="W1423" s="86">
        <v>42795</v>
      </c>
      <c r="X1423">
        <v>559.92999999999995</v>
      </c>
    </row>
    <row r="1424" spans="1:24">
      <c r="A1424" s="68">
        <v>34990</v>
      </c>
      <c r="B1424" s="33">
        <v>990.52</v>
      </c>
      <c r="C1424">
        <f t="shared" si="44"/>
        <v>1995</v>
      </c>
      <c r="H1424" s="85">
        <v>42329</v>
      </c>
      <c r="I1424">
        <v>3047.31</v>
      </c>
      <c r="N1424" s="69">
        <v>41436</v>
      </c>
      <c r="O1424">
        <v>501.2</v>
      </c>
      <c r="P1424">
        <v>500.05</v>
      </c>
      <c r="Q1424">
        <v>501.3</v>
      </c>
      <c r="R1424">
        <v>499.45</v>
      </c>
      <c r="S1424" s="3">
        <v>2.0000000000000001E-4</v>
      </c>
      <c r="T1424">
        <f t="shared" si="45"/>
        <v>2013</v>
      </c>
      <c r="W1424" s="86">
        <v>42796</v>
      </c>
      <c r="X1424">
        <v>563.36</v>
      </c>
    </row>
    <row r="1425" spans="1:24">
      <c r="A1425" s="68">
        <v>34991</v>
      </c>
      <c r="B1425" s="32">
        <v>991.22</v>
      </c>
      <c r="C1425">
        <f t="shared" si="44"/>
        <v>1995</v>
      </c>
      <c r="H1425" s="85">
        <v>42330</v>
      </c>
      <c r="I1425">
        <v>3047.31</v>
      </c>
      <c r="N1425" s="69">
        <v>41435</v>
      </c>
      <c r="O1425">
        <v>501.08</v>
      </c>
      <c r="P1425">
        <v>500.1</v>
      </c>
      <c r="Q1425">
        <v>501.23</v>
      </c>
      <c r="R1425">
        <v>500.05</v>
      </c>
      <c r="S1425" s="3">
        <v>-6.9999999999999999E-4</v>
      </c>
      <c r="T1425">
        <f t="shared" si="45"/>
        <v>2013</v>
      </c>
      <c r="W1425" s="86">
        <v>42797</v>
      </c>
      <c r="X1425">
        <v>559.54999999999995</v>
      </c>
    </row>
    <row r="1426" spans="1:24">
      <c r="A1426" s="68">
        <v>34992</v>
      </c>
      <c r="B1426" s="33">
        <v>991.52</v>
      </c>
      <c r="C1426">
        <f t="shared" si="44"/>
        <v>1995</v>
      </c>
      <c r="H1426" s="85">
        <v>42331</v>
      </c>
      <c r="I1426">
        <v>3047.31</v>
      </c>
      <c r="N1426" s="69">
        <v>41432</v>
      </c>
      <c r="O1426">
        <v>501.45</v>
      </c>
      <c r="P1426">
        <v>499.1</v>
      </c>
      <c r="Q1426">
        <v>501.45</v>
      </c>
      <c r="R1426">
        <v>499.1</v>
      </c>
      <c r="S1426" s="3">
        <v>2.7000000000000001E-3</v>
      </c>
      <c r="T1426">
        <f t="shared" si="45"/>
        <v>2013</v>
      </c>
      <c r="W1426" s="86">
        <v>42800</v>
      </c>
      <c r="X1426">
        <v>563.5</v>
      </c>
    </row>
    <row r="1427" spans="1:24">
      <c r="A1427" s="68">
        <v>34993</v>
      </c>
      <c r="B1427" s="32">
        <v>988.96</v>
      </c>
      <c r="C1427">
        <f t="shared" si="44"/>
        <v>1995</v>
      </c>
      <c r="H1427" s="85">
        <v>42332</v>
      </c>
      <c r="I1427">
        <v>3086.82</v>
      </c>
      <c r="N1427" s="69">
        <v>41431</v>
      </c>
      <c r="O1427">
        <v>500.1</v>
      </c>
      <c r="P1427">
        <v>499.2</v>
      </c>
      <c r="Q1427">
        <v>501.2</v>
      </c>
      <c r="R1427">
        <v>499.1</v>
      </c>
      <c r="S1427" s="3">
        <v>-2.0000000000000001E-4</v>
      </c>
      <c r="T1427">
        <f t="shared" si="45"/>
        <v>2013</v>
      </c>
      <c r="W1427" s="86">
        <v>42801</v>
      </c>
      <c r="X1427">
        <v>564.20000000000005</v>
      </c>
    </row>
    <row r="1428" spans="1:24">
      <c r="A1428" s="68">
        <v>34994</v>
      </c>
      <c r="B1428" s="33">
        <v>988.96</v>
      </c>
      <c r="C1428">
        <f t="shared" si="44"/>
        <v>1995</v>
      </c>
      <c r="H1428" s="85">
        <v>42333</v>
      </c>
      <c r="I1428">
        <v>3074.35</v>
      </c>
      <c r="N1428" s="69">
        <v>41430</v>
      </c>
      <c r="O1428">
        <v>500.2</v>
      </c>
      <c r="P1428">
        <v>499.2</v>
      </c>
      <c r="Q1428">
        <v>500.3</v>
      </c>
      <c r="R1428">
        <v>499.2</v>
      </c>
      <c r="S1428" s="3">
        <v>0</v>
      </c>
      <c r="T1428">
        <f t="shared" si="45"/>
        <v>2013</v>
      </c>
      <c r="W1428" s="86">
        <v>42802</v>
      </c>
      <c r="X1428">
        <v>559.79999999999995</v>
      </c>
    </row>
    <row r="1429" spans="1:24">
      <c r="A1429" s="68">
        <v>34995</v>
      </c>
      <c r="B1429" s="32">
        <v>988.96</v>
      </c>
      <c r="C1429">
        <f t="shared" si="44"/>
        <v>1995</v>
      </c>
      <c r="H1429" s="85">
        <v>42334</v>
      </c>
      <c r="I1429">
        <v>3099.75</v>
      </c>
      <c r="N1429" s="69">
        <v>41429</v>
      </c>
      <c r="O1429">
        <v>500.2</v>
      </c>
      <c r="P1429">
        <v>498</v>
      </c>
      <c r="Q1429">
        <v>500.3</v>
      </c>
      <c r="R1429">
        <v>498</v>
      </c>
      <c r="S1429" s="3">
        <v>2.3999999999999998E-3</v>
      </c>
      <c r="T1429">
        <f t="shared" si="45"/>
        <v>2013</v>
      </c>
      <c r="W1429" s="86">
        <v>42803</v>
      </c>
      <c r="X1429">
        <v>564.46</v>
      </c>
    </row>
    <row r="1430" spans="1:24">
      <c r="A1430" s="68">
        <v>34996</v>
      </c>
      <c r="B1430" s="33">
        <v>991.98</v>
      </c>
      <c r="C1430">
        <f t="shared" si="44"/>
        <v>1995</v>
      </c>
      <c r="H1430" s="85">
        <v>42335</v>
      </c>
      <c r="I1430">
        <v>3099.75</v>
      </c>
      <c r="N1430" s="69">
        <v>41428</v>
      </c>
      <c r="O1430">
        <v>499</v>
      </c>
      <c r="P1430">
        <v>498</v>
      </c>
      <c r="Q1430">
        <v>500.3</v>
      </c>
      <c r="R1430">
        <v>498</v>
      </c>
      <c r="S1430" s="3">
        <v>0</v>
      </c>
      <c r="T1430">
        <f t="shared" si="45"/>
        <v>2013</v>
      </c>
      <c r="W1430" s="86">
        <v>42804</v>
      </c>
      <c r="X1430">
        <v>560.38</v>
      </c>
    </row>
    <row r="1431" spans="1:24">
      <c r="A1431" s="68">
        <v>34997</v>
      </c>
      <c r="B1431" s="32">
        <v>993.68</v>
      </c>
      <c r="C1431">
        <f t="shared" si="44"/>
        <v>1995</v>
      </c>
      <c r="H1431" s="85">
        <v>42336</v>
      </c>
      <c r="I1431">
        <v>3101.1</v>
      </c>
      <c r="N1431" s="69">
        <v>41425</v>
      </c>
      <c r="O1431">
        <v>499</v>
      </c>
      <c r="P1431">
        <v>498.9</v>
      </c>
      <c r="Q1431">
        <v>500.3</v>
      </c>
      <c r="R1431">
        <v>498</v>
      </c>
      <c r="S1431" s="3">
        <v>-3.0999999999999999E-3</v>
      </c>
      <c r="T1431">
        <f t="shared" si="45"/>
        <v>2013</v>
      </c>
      <c r="W1431" s="86">
        <v>42807</v>
      </c>
      <c r="X1431">
        <v>560.08000000000004</v>
      </c>
    </row>
    <row r="1432" spans="1:24">
      <c r="A1432" s="68">
        <v>34998</v>
      </c>
      <c r="B1432" s="33">
        <v>994.77</v>
      </c>
      <c r="C1432">
        <f t="shared" si="44"/>
        <v>1995</v>
      </c>
      <c r="H1432" s="85">
        <v>42337</v>
      </c>
      <c r="I1432">
        <v>3101.1</v>
      </c>
      <c r="N1432" s="69">
        <v>41424</v>
      </c>
      <c r="O1432">
        <v>500.55</v>
      </c>
      <c r="P1432">
        <v>498.5</v>
      </c>
      <c r="Q1432">
        <v>500.55</v>
      </c>
      <c r="R1432">
        <v>498.5</v>
      </c>
      <c r="S1432" s="3">
        <v>1.6999999999999999E-3</v>
      </c>
      <c r="T1432">
        <f t="shared" si="45"/>
        <v>2013</v>
      </c>
      <c r="W1432" s="86">
        <v>42808</v>
      </c>
      <c r="X1432">
        <v>560</v>
      </c>
    </row>
    <row r="1433" spans="1:24">
      <c r="A1433" s="68">
        <v>34999</v>
      </c>
      <c r="B1433" s="32">
        <v>995.01</v>
      </c>
      <c r="C1433">
        <f t="shared" si="44"/>
        <v>1995</v>
      </c>
      <c r="H1433" s="85">
        <v>42338</v>
      </c>
      <c r="I1433">
        <v>3101.1</v>
      </c>
      <c r="N1433" s="69">
        <v>41423</v>
      </c>
      <c r="O1433">
        <v>499.7</v>
      </c>
      <c r="P1433">
        <v>498.9</v>
      </c>
      <c r="Q1433">
        <v>500.15</v>
      </c>
      <c r="R1433">
        <v>498.5</v>
      </c>
      <c r="S1433" s="3">
        <v>-4.0000000000000002E-4</v>
      </c>
      <c r="T1433">
        <f t="shared" si="45"/>
        <v>2013</v>
      </c>
      <c r="W1433" s="86">
        <v>42809</v>
      </c>
      <c r="X1433">
        <v>560.62</v>
      </c>
    </row>
    <row r="1434" spans="1:24">
      <c r="A1434" s="68">
        <v>35000</v>
      </c>
      <c r="B1434" s="33">
        <v>994.99</v>
      </c>
      <c r="C1434">
        <f t="shared" si="44"/>
        <v>1995</v>
      </c>
      <c r="H1434" s="85">
        <v>42339</v>
      </c>
      <c r="I1434">
        <v>3142.11</v>
      </c>
      <c r="N1434" s="69">
        <v>41422</v>
      </c>
      <c r="O1434">
        <v>499.9</v>
      </c>
      <c r="P1434">
        <v>498.9</v>
      </c>
      <c r="Q1434">
        <v>499.95</v>
      </c>
      <c r="R1434">
        <v>498.9</v>
      </c>
      <c r="S1434" s="3">
        <v>0</v>
      </c>
      <c r="T1434">
        <f t="shared" si="45"/>
        <v>2013</v>
      </c>
      <c r="W1434" s="86">
        <v>42810</v>
      </c>
      <c r="X1434">
        <v>558.54</v>
      </c>
    </row>
    <row r="1435" spans="1:24">
      <c r="A1435" s="68">
        <v>35001</v>
      </c>
      <c r="B1435" s="32">
        <v>994.99</v>
      </c>
      <c r="C1435">
        <f t="shared" si="44"/>
        <v>1995</v>
      </c>
      <c r="H1435" s="85">
        <v>42340</v>
      </c>
      <c r="I1435">
        <v>3131.95</v>
      </c>
      <c r="N1435" s="69">
        <v>41421</v>
      </c>
      <c r="O1435">
        <v>499.9</v>
      </c>
      <c r="P1435">
        <v>498.8</v>
      </c>
      <c r="Q1435">
        <v>499.95</v>
      </c>
      <c r="R1435">
        <v>498.8</v>
      </c>
      <c r="S1435" s="3">
        <v>2.0000000000000001E-4</v>
      </c>
      <c r="T1435">
        <f t="shared" si="45"/>
        <v>2013</v>
      </c>
      <c r="W1435" s="86">
        <v>42811</v>
      </c>
      <c r="X1435">
        <v>557.88</v>
      </c>
    </row>
    <row r="1436" spans="1:24">
      <c r="A1436" s="68">
        <v>35002</v>
      </c>
      <c r="B1436" s="33">
        <v>994.99</v>
      </c>
      <c r="C1436">
        <f t="shared" si="44"/>
        <v>1995</v>
      </c>
      <c r="H1436" s="85">
        <v>42341</v>
      </c>
      <c r="I1436">
        <v>3166.67</v>
      </c>
      <c r="N1436" s="69">
        <v>41418</v>
      </c>
      <c r="O1436">
        <v>499.8</v>
      </c>
      <c r="P1436">
        <v>498.9</v>
      </c>
      <c r="Q1436">
        <v>499.95</v>
      </c>
      <c r="R1436">
        <v>498.8</v>
      </c>
      <c r="S1436" s="3">
        <v>-2.0000000000000001E-4</v>
      </c>
      <c r="T1436">
        <f t="shared" si="45"/>
        <v>2013</v>
      </c>
      <c r="W1436" s="86">
        <v>42814</v>
      </c>
      <c r="X1436">
        <v>556.79999999999995</v>
      </c>
    </row>
    <row r="1437" spans="1:24">
      <c r="A1437" s="68">
        <v>35003</v>
      </c>
      <c r="B1437" s="32">
        <v>994.5</v>
      </c>
      <c r="C1437">
        <f t="shared" si="44"/>
        <v>1995</v>
      </c>
      <c r="H1437" s="85">
        <v>42342</v>
      </c>
      <c r="I1437">
        <v>3149.12</v>
      </c>
      <c r="N1437" s="69">
        <v>41417</v>
      </c>
      <c r="O1437">
        <v>499.9</v>
      </c>
      <c r="P1437">
        <v>498.9</v>
      </c>
      <c r="Q1437">
        <v>499.95</v>
      </c>
      <c r="R1437">
        <v>498.9</v>
      </c>
      <c r="S1437" s="3">
        <v>0</v>
      </c>
      <c r="T1437">
        <f t="shared" si="45"/>
        <v>2013</v>
      </c>
      <c r="W1437" s="86">
        <v>42815</v>
      </c>
      <c r="X1437">
        <v>556.54999999999995</v>
      </c>
    </row>
    <row r="1438" spans="1:24">
      <c r="A1438" s="68">
        <v>35004</v>
      </c>
      <c r="B1438" s="33">
        <v>996.76</v>
      </c>
      <c r="C1438">
        <f t="shared" si="44"/>
        <v>1995</v>
      </c>
      <c r="H1438" s="85">
        <v>42343</v>
      </c>
      <c r="I1438">
        <v>3179.22</v>
      </c>
      <c r="N1438" s="69">
        <v>41416</v>
      </c>
      <c r="O1438">
        <v>499.9</v>
      </c>
      <c r="P1438">
        <v>498.4</v>
      </c>
      <c r="Q1438">
        <v>499.95</v>
      </c>
      <c r="R1438">
        <v>498.4</v>
      </c>
      <c r="S1438" s="3">
        <v>1E-3</v>
      </c>
      <c r="T1438">
        <f t="shared" si="45"/>
        <v>2013</v>
      </c>
      <c r="W1438" s="86">
        <v>42816</v>
      </c>
      <c r="X1438">
        <v>556.42999999999995</v>
      </c>
    </row>
    <row r="1439" spans="1:24">
      <c r="A1439" s="68">
        <v>35005</v>
      </c>
      <c r="B1439" s="32">
        <v>996.96</v>
      </c>
      <c r="C1439">
        <f t="shared" si="44"/>
        <v>1995</v>
      </c>
      <c r="H1439" s="85">
        <v>42344</v>
      </c>
      <c r="I1439">
        <v>3179.22</v>
      </c>
      <c r="N1439" s="69">
        <v>41415</v>
      </c>
      <c r="O1439">
        <v>499.4</v>
      </c>
      <c r="P1439">
        <v>498.6</v>
      </c>
      <c r="Q1439">
        <v>499.95</v>
      </c>
      <c r="R1439">
        <v>498.4</v>
      </c>
      <c r="S1439" s="3">
        <v>-4.0000000000000002E-4</v>
      </c>
      <c r="T1439">
        <f t="shared" si="45"/>
        <v>2013</v>
      </c>
      <c r="W1439" s="86">
        <v>42817</v>
      </c>
      <c r="X1439">
        <v>560.45000000000005</v>
      </c>
    </row>
    <row r="1440" spans="1:24">
      <c r="A1440" s="68">
        <v>35006</v>
      </c>
      <c r="B1440" s="33">
        <v>998.18</v>
      </c>
      <c r="C1440">
        <f t="shared" si="44"/>
        <v>1995</v>
      </c>
      <c r="H1440" s="85">
        <v>42345</v>
      </c>
      <c r="I1440">
        <v>3179.22</v>
      </c>
      <c r="N1440" s="69">
        <v>41414</v>
      </c>
      <c r="O1440">
        <v>499.6</v>
      </c>
      <c r="P1440">
        <v>498.7</v>
      </c>
      <c r="Q1440">
        <v>499.8</v>
      </c>
      <c r="R1440">
        <v>498.6</v>
      </c>
      <c r="S1440" s="3">
        <v>-2.0000000000000001E-4</v>
      </c>
      <c r="T1440">
        <f t="shared" si="45"/>
        <v>2013</v>
      </c>
      <c r="W1440" s="86">
        <v>42818</v>
      </c>
      <c r="X1440">
        <v>557.1</v>
      </c>
    </row>
    <row r="1441" spans="1:24">
      <c r="A1441" s="68">
        <v>35007</v>
      </c>
      <c r="B1441" s="32">
        <v>998.49</v>
      </c>
      <c r="C1441">
        <f t="shared" si="44"/>
        <v>1995</v>
      </c>
      <c r="H1441" s="85">
        <v>42346</v>
      </c>
      <c r="I1441">
        <v>3287.03</v>
      </c>
      <c r="N1441" s="69">
        <v>41411</v>
      </c>
      <c r="O1441">
        <v>499.7</v>
      </c>
      <c r="P1441">
        <v>498.6</v>
      </c>
      <c r="Q1441">
        <v>499.8</v>
      </c>
      <c r="R1441">
        <v>498.6</v>
      </c>
      <c r="S1441" s="3">
        <v>2.0000000000000001E-4</v>
      </c>
      <c r="T1441">
        <f t="shared" si="45"/>
        <v>2013</v>
      </c>
      <c r="W1441" s="86">
        <v>42821</v>
      </c>
      <c r="X1441">
        <v>558.26</v>
      </c>
    </row>
    <row r="1442" spans="1:24">
      <c r="A1442" s="68">
        <v>35008</v>
      </c>
      <c r="B1442" s="33">
        <v>998.49</v>
      </c>
      <c r="C1442">
        <f t="shared" si="44"/>
        <v>1995</v>
      </c>
      <c r="H1442" s="85">
        <v>42347</v>
      </c>
      <c r="I1442">
        <v>3287.03</v>
      </c>
      <c r="N1442" s="69">
        <v>41410</v>
      </c>
      <c r="O1442">
        <v>499.6</v>
      </c>
      <c r="P1442">
        <v>498.5</v>
      </c>
      <c r="Q1442">
        <v>499.8</v>
      </c>
      <c r="R1442">
        <v>498.5</v>
      </c>
      <c r="S1442" s="3">
        <v>2.0000000000000001E-4</v>
      </c>
      <c r="T1442">
        <f t="shared" si="45"/>
        <v>2013</v>
      </c>
      <c r="W1442" s="86">
        <v>42822</v>
      </c>
      <c r="X1442">
        <v>557.45000000000005</v>
      </c>
    </row>
    <row r="1443" spans="1:24">
      <c r="A1443" s="68">
        <v>35009</v>
      </c>
      <c r="B1443" s="32">
        <v>998.49</v>
      </c>
      <c r="C1443">
        <f t="shared" si="44"/>
        <v>1995</v>
      </c>
      <c r="H1443" s="85">
        <v>42348</v>
      </c>
      <c r="I1443">
        <v>3294.02</v>
      </c>
      <c r="N1443" s="69">
        <v>41409</v>
      </c>
      <c r="O1443">
        <v>499.5</v>
      </c>
      <c r="P1443">
        <v>498.3</v>
      </c>
      <c r="Q1443">
        <v>499.8</v>
      </c>
      <c r="R1443">
        <v>498.3</v>
      </c>
      <c r="S1443" s="3">
        <v>4.0000000000000002E-4</v>
      </c>
      <c r="T1443">
        <f t="shared" si="45"/>
        <v>2013</v>
      </c>
      <c r="W1443" s="86">
        <v>42823</v>
      </c>
      <c r="X1443">
        <v>557.65</v>
      </c>
    </row>
    <row r="1444" spans="1:24">
      <c r="A1444" s="68">
        <v>35010</v>
      </c>
      <c r="B1444" s="33">
        <v>998.49</v>
      </c>
      <c r="C1444">
        <f t="shared" si="44"/>
        <v>1995</v>
      </c>
      <c r="H1444" s="85">
        <v>42349</v>
      </c>
      <c r="I1444">
        <v>3259.56</v>
      </c>
      <c r="N1444" s="69">
        <v>41408</v>
      </c>
      <c r="O1444">
        <v>499.3</v>
      </c>
      <c r="P1444">
        <v>494</v>
      </c>
      <c r="Q1444">
        <v>499.8</v>
      </c>
      <c r="R1444">
        <v>494</v>
      </c>
      <c r="S1444" s="3">
        <v>3.5999999999999999E-3</v>
      </c>
      <c r="T1444">
        <f t="shared" si="45"/>
        <v>2013</v>
      </c>
      <c r="W1444" s="86">
        <v>42824</v>
      </c>
      <c r="X1444">
        <v>558.25</v>
      </c>
    </row>
    <row r="1445" spans="1:24">
      <c r="A1445" s="68">
        <v>35011</v>
      </c>
      <c r="B1445" s="32">
        <v>999.51</v>
      </c>
      <c r="C1445">
        <f t="shared" si="44"/>
        <v>1995</v>
      </c>
      <c r="H1445" s="85">
        <v>42350</v>
      </c>
      <c r="I1445">
        <v>3299.36</v>
      </c>
      <c r="N1445" s="69">
        <v>41407</v>
      </c>
      <c r="O1445">
        <v>497.5</v>
      </c>
      <c r="P1445">
        <v>499.4</v>
      </c>
      <c r="Q1445">
        <v>502.9</v>
      </c>
      <c r="R1445">
        <v>494</v>
      </c>
      <c r="S1445" s="3">
        <v>-6.0000000000000001E-3</v>
      </c>
      <c r="T1445">
        <f t="shared" si="45"/>
        <v>2013</v>
      </c>
      <c r="W1445" s="86">
        <v>42825</v>
      </c>
      <c r="X1445">
        <v>559.41999999999996</v>
      </c>
    </row>
    <row r="1446" spans="1:24">
      <c r="A1446" s="68">
        <v>35012</v>
      </c>
      <c r="B1446" s="33">
        <v>999.73</v>
      </c>
      <c r="C1446">
        <f t="shared" si="44"/>
        <v>1995</v>
      </c>
      <c r="H1446" s="85">
        <v>42351</v>
      </c>
      <c r="I1446">
        <v>3299.36</v>
      </c>
      <c r="N1446" s="69">
        <v>41404</v>
      </c>
      <c r="O1446">
        <v>500.5</v>
      </c>
      <c r="P1446">
        <v>499.3</v>
      </c>
      <c r="Q1446">
        <v>500.5</v>
      </c>
      <c r="R1446">
        <v>498.8</v>
      </c>
      <c r="S1446" s="3">
        <v>4.0000000000000002E-4</v>
      </c>
      <c r="T1446">
        <f t="shared" si="45"/>
        <v>2013</v>
      </c>
      <c r="W1446" s="86">
        <v>42828</v>
      </c>
      <c r="X1446">
        <v>562.96</v>
      </c>
    </row>
    <row r="1447" spans="1:24">
      <c r="A1447" s="68">
        <v>35013</v>
      </c>
      <c r="B1447" s="32">
        <v>1000.13</v>
      </c>
      <c r="C1447">
        <f t="shared" si="44"/>
        <v>1995</v>
      </c>
      <c r="H1447" s="85">
        <v>42352</v>
      </c>
      <c r="I1447">
        <v>3299.36</v>
      </c>
      <c r="N1447" s="69">
        <v>41403</v>
      </c>
      <c r="O1447">
        <v>500.3</v>
      </c>
      <c r="P1447">
        <v>500.2</v>
      </c>
      <c r="Q1447">
        <v>501.2</v>
      </c>
      <c r="R1447">
        <v>499.3</v>
      </c>
      <c r="S1447" s="3">
        <v>-1.8E-3</v>
      </c>
      <c r="T1447">
        <f t="shared" si="45"/>
        <v>2013</v>
      </c>
      <c r="W1447" s="86">
        <v>42829</v>
      </c>
      <c r="X1447">
        <v>563.70000000000005</v>
      </c>
    </row>
    <row r="1448" spans="1:24">
      <c r="A1448" s="68">
        <v>35014</v>
      </c>
      <c r="B1448" s="33">
        <v>999.77</v>
      </c>
      <c r="C1448">
        <f t="shared" si="44"/>
        <v>1995</v>
      </c>
      <c r="H1448" s="85">
        <v>42353</v>
      </c>
      <c r="I1448">
        <v>3356</v>
      </c>
      <c r="N1448" s="69">
        <v>41402</v>
      </c>
      <c r="O1448">
        <v>501.2</v>
      </c>
      <c r="P1448">
        <v>500.4</v>
      </c>
      <c r="Q1448">
        <v>501.45</v>
      </c>
      <c r="R1448">
        <v>499.45</v>
      </c>
      <c r="S1448" s="3">
        <v>-1E-3</v>
      </c>
      <c r="T1448">
        <f t="shared" si="45"/>
        <v>2013</v>
      </c>
      <c r="W1448" s="86">
        <v>42830</v>
      </c>
      <c r="X1448">
        <v>555.13</v>
      </c>
    </row>
    <row r="1449" spans="1:24">
      <c r="A1449" s="68">
        <v>35015</v>
      </c>
      <c r="B1449" s="32">
        <v>999.77</v>
      </c>
      <c r="C1449">
        <f t="shared" si="44"/>
        <v>1995</v>
      </c>
      <c r="H1449" s="85">
        <v>42354</v>
      </c>
      <c r="I1449">
        <v>3328.08</v>
      </c>
      <c r="N1449" s="69">
        <v>41401</v>
      </c>
      <c r="O1449">
        <v>501.7</v>
      </c>
      <c r="P1449">
        <v>499</v>
      </c>
      <c r="Q1449">
        <v>501.7</v>
      </c>
      <c r="R1449">
        <v>499</v>
      </c>
      <c r="S1449" s="3">
        <v>3.3999999999999998E-3</v>
      </c>
      <c r="T1449">
        <f t="shared" si="45"/>
        <v>2013</v>
      </c>
      <c r="W1449" s="86">
        <v>42831</v>
      </c>
      <c r="X1449">
        <v>562.22</v>
      </c>
    </row>
    <row r="1450" spans="1:24">
      <c r="A1450" s="68">
        <v>35016</v>
      </c>
      <c r="B1450" s="33">
        <v>999.77</v>
      </c>
      <c r="C1450">
        <f t="shared" si="44"/>
        <v>1995</v>
      </c>
      <c r="H1450" s="85">
        <v>42355</v>
      </c>
      <c r="I1450">
        <v>3317.72</v>
      </c>
      <c r="N1450" s="69">
        <v>41400</v>
      </c>
      <c r="O1450">
        <v>500</v>
      </c>
      <c r="P1450">
        <v>499.15</v>
      </c>
      <c r="Q1450">
        <v>500.2</v>
      </c>
      <c r="R1450">
        <v>499</v>
      </c>
      <c r="S1450" s="3">
        <v>-2.9999999999999997E-4</v>
      </c>
      <c r="T1450">
        <f t="shared" si="45"/>
        <v>2013</v>
      </c>
      <c r="W1450" s="86">
        <v>42832</v>
      </c>
      <c r="X1450">
        <v>557.29999999999995</v>
      </c>
    </row>
    <row r="1451" spans="1:24">
      <c r="A1451" s="68">
        <v>35017</v>
      </c>
      <c r="B1451" s="32">
        <v>999.77</v>
      </c>
      <c r="C1451">
        <f t="shared" si="44"/>
        <v>1995</v>
      </c>
      <c r="H1451" s="85">
        <v>42356</v>
      </c>
      <c r="I1451">
        <v>3333.37</v>
      </c>
      <c r="N1451" s="69">
        <v>41397</v>
      </c>
      <c r="O1451">
        <v>500.15</v>
      </c>
      <c r="P1451">
        <v>499.1</v>
      </c>
      <c r="Q1451">
        <v>500.2</v>
      </c>
      <c r="R1451">
        <v>499.1</v>
      </c>
      <c r="S1451" s="3">
        <v>1E-4</v>
      </c>
      <c r="T1451">
        <f t="shared" si="45"/>
        <v>2013</v>
      </c>
      <c r="W1451" s="86">
        <v>42835</v>
      </c>
      <c r="X1451">
        <v>561.5</v>
      </c>
    </row>
    <row r="1452" spans="1:24">
      <c r="A1452" s="68">
        <v>35018</v>
      </c>
      <c r="B1452" s="33">
        <v>1001.14</v>
      </c>
      <c r="C1452">
        <f t="shared" si="44"/>
        <v>1995</v>
      </c>
      <c r="H1452" s="85">
        <v>42357</v>
      </c>
      <c r="I1452">
        <v>3337.68</v>
      </c>
      <c r="N1452" s="69">
        <v>41396</v>
      </c>
      <c r="O1452">
        <v>500.1</v>
      </c>
      <c r="P1452">
        <v>499.05</v>
      </c>
      <c r="Q1452">
        <v>500.2</v>
      </c>
      <c r="R1452">
        <v>499.05</v>
      </c>
      <c r="S1452" s="3">
        <v>1E-4</v>
      </c>
      <c r="T1452">
        <f t="shared" si="45"/>
        <v>2013</v>
      </c>
      <c r="W1452" s="86">
        <v>42836</v>
      </c>
      <c r="X1452">
        <v>562.66999999999996</v>
      </c>
    </row>
    <row r="1453" spans="1:24">
      <c r="A1453" s="68">
        <v>35019</v>
      </c>
      <c r="B1453" s="32">
        <v>1001.62</v>
      </c>
      <c r="C1453">
        <f t="shared" si="44"/>
        <v>1995</v>
      </c>
      <c r="H1453" s="85">
        <v>42358</v>
      </c>
      <c r="I1453">
        <v>3337.68</v>
      </c>
      <c r="N1453" s="69">
        <v>41395</v>
      </c>
      <c r="O1453">
        <v>500.05</v>
      </c>
      <c r="P1453">
        <v>498.5</v>
      </c>
      <c r="Q1453">
        <v>500.2</v>
      </c>
      <c r="R1453">
        <v>498.5</v>
      </c>
      <c r="S1453" s="3">
        <v>1.1000000000000001E-3</v>
      </c>
      <c r="T1453">
        <f t="shared" si="45"/>
        <v>2013</v>
      </c>
      <c r="W1453" s="86">
        <v>42837</v>
      </c>
      <c r="X1453">
        <v>561.54999999999995</v>
      </c>
    </row>
    <row r="1454" spans="1:24">
      <c r="A1454" s="68">
        <v>35020</v>
      </c>
      <c r="B1454" s="33">
        <v>1002.25</v>
      </c>
      <c r="C1454">
        <f t="shared" si="44"/>
        <v>1995</v>
      </c>
      <c r="H1454" s="85">
        <v>42359</v>
      </c>
      <c r="I1454">
        <v>3337.68</v>
      </c>
      <c r="N1454" s="69">
        <v>41394</v>
      </c>
      <c r="O1454">
        <v>499.5</v>
      </c>
      <c r="P1454">
        <v>498.6</v>
      </c>
      <c r="Q1454">
        <v>500.2</v>
      </c>
      <c r="R1454">
        <v>498.5</v>
      </c>
      <c r="S1454" s="3">
        <v>-2.0000000000000001E-4</v>
      </c>
      <c r="T1454">
        <f t="shared" si="45"/>
        <v>2013</v>
      </c>
      <c r="W1454" s="86">
        <v>42838</v>
      </c>
      <c r="X1454">
        <v>561.55999999999995</v>
      </c>
    </row>
    <row r="1455" spans="1:24">
      <c r="A1455" s="68">
        <v>35021</v>
      </c>
      <c r="B1455" s="32">
        <v>1002.63</v>
      </c>
      <c r="C1455">
        <f t="shared" si="44"/>
        <v>1995</v>
      </c>
      <c r="H1455" s="85">
        <v>42360</v>
      </c>
      <c r="I1455">
        <v>3332.7</v>
      </c>
      <c r="N1455" s="69">
        <v>41393</v>
      </c>
      <c r="O1455">
        <v>499.6</v>
      </c>
      <c r="P1455">
        <v>498.5</v>
      </c>
      <c r="Q1455">
        <v>499.7</v>
      </c>
      <c r="R1455">
        <v>498.5</v>
      </c>
      <c r="S1455" s="3">
        <v>2.0000000000000001E-4</v>
      </c>
      <c r="T1455">
        <f t="shared" si="45"/>
        <v>2013</v>
      </c>
      <c r="W1455" s="86">
        <v>42839</v>
      </c>
      <c r="X1455">
        <v>560.35</v>
      </c>
    </row>
    <row r="1456" spans="1:24">
      <c r="A1456" s="68">
        <v>35022</v>
      </c>
      <c r="B1456" s="33">
        <v>1002.63</v>
      </c>
      <c r="C1456">
        <f t="shared" si="44"/>
        <v>1995</v>
      </c>
      <c r="H1456" s="85">
        <v>42361</v>
      </c>
      <c r="I1456">
        <v>3307.24</v>
      </c>
      <c r="N1456" s="69">
        <v>41390</v>
      </c>
      <c r="O1456">
        <v>499.5</v>
      </c>
      <c r="P1456">
        <v>498.4</v>
      </c>
      <c r="Q1456">
        <v>499.7</v>
      </c>
      <c r="R1456">
        <v>498.4</v>
      </c>
      <c r="S1456" s="3">
        <v>2.0000000000000001E-4</v>
      </c>
      <c r="T1456">
        <f t="shared" si="45"/>
        <v>2013</v>
      </c>
      <c r="W1456" s="86">
        <v>42842</v>
      </c>
      <c r="X1456">
        <v>558.35</v>
      </c>
    </row>
    <row r="1457" spans="1:24">
      <c r="A1457" s="68">
        <v>35023</v>
      </c>
      <c r="B1457" s="32">
        <v>1002.63</v>
      </c>
      <c r="C1457">
        <f t="shared" si="44"/>
        <v>1995</v>
      </c>
      <c r="H1457" s="85">
        <v>42362</v>
      </c>
      <c r="I1457">
        <v>3255.19</v>
      </c>
      <c r="N1457" s="69">
        <v>41389</v>
      </c>
      <c r="O1457">
        <v>499.4</v>
      </c>
      <c r="P1457">
        <v>498.4</v>
      </c>
      <c r="Q1457">
        <v>499.7</v>
      </c>
      <c r="R1457">
        <v>498.4</v>
      </c>
      <c r="S1457" s="3">
        <v>0</v>
      </c>
      <c r="T1457">
        <f t="shared" si="45"/>
        <v>2013</v>
      </c>
      <c r="W1457" s="86">
        <v>42843</v>
      </c>
      <c r="X1457">
        <v>560.9</v>
      </c>
    </row>
    <row r="1458" spans="1:24">
      <c r="A1458" s="68">
        <v>35024</v>
      </c>
      <c r="B1458" s="33">
        <v>1003.44</v>
      </c>
      <c r="C1458">
        <f t="shared" si="44"/>
        <v>1995</v>
      </c>
      <c r="H1458" s="85">
        <v>42363</v>
      </c>
      <c r="I1458">
        <v>3172.03</v>
      </c>
      <c r="N1458" s="69">
        <v>41388</v>
      </c>
      <c r="O1458">
        <v>499.4</v>
      </c>
      <c r="P1458">
        <v>498.6</v>
      </c>
      <c r="Q1458">
        <v>499.6</v>
      </c>
      <c r="R1458">
        <v>498.4</v>
      </c>
      <c r="S1458" s="3">
        <v>-4.0000000000000002E-4</v>
      </c>
      <c r="T1458">
        <f t="shared" si="45"/>
        <v>2013</v>
      </c>
      <c r="W1458" s="86">
        <v>42844</v>
      </c>
      <c r="X1458">
        <v>561</v>
      </c>
    </row>
    <row r="1459" spans="1:24">
      <c r="A1459" s="68">
        <v>35025</v>
      </c>
      <c r="B1459" s="32">
        <v>1003.47</v>
      </c>
      <c r="C1459">
        <f t="shared" si="44"/>
        <v>1995</v>
      </c>
      <c r="H1459" s="85">
        <v>42364</v>
      </c>
      <c r="I1459">
        <v>3172.03</v>
      </c>
      <c r="N1459" s="69">
        <v>41387</v>
      </c>
      <c r="O1459">
        <v>499.6</v>
      </c>
      <c r="P1459">
        <v>498.4</v>
      </c>
      <c r="Q1459">
        <v>499.7</v>
      </c>
      <c r="R1459">
        <v>498.4</v>
      </c>
      <c r="S1459" s="3">
        <v>4.0000000000000002E-4</v>
      </c>
      <c r="T1459">
        <f t="shared" si="45"/>
        <v>2013</v>
      </c>
      <c r="W1459" s="86">
        <v>42845</v>
      </c>
      <c r="X1459">
        <v>559.78</v>
      </c>
    </row>
    <row r="1460" spans="1:24">
      <c r="A1460" s="68">
        <v>35026</v>
      </c>
      <c r="B1460" s="33">
        <v>1002.49</v>
      </c>
      <c r="C1460">
        <f t="shared" si="44"/>
        <v>1995</v>
      </c>
      <c r="H1460" s="85">
        <v>42365</v>
      </c>
      <c r="I1460">
        <v>3172.03</v>
      </c>
      <c r="N1460" s="69">
        <v>41386</v>
      </c>
      <c r="O1460">
        <v>499.4</v>
      </c>
      <c r="P1460">
        <v>498.5</v>
      </c>
      <c r="Q1460">
        <v>499.7</v>
      </c>
      <c r="R1460">
        <v>498.4</v>
      </c>
      <c r="S1460" s="3">
        <v>-2.0000000000000001E-4</v>
      </c>
      <c r="T1460">
        <f t="shared" si="45"/>
        <v>2013</v>
      </c>
      <c r="W1460" s="86">
        <v>42846</v>
      </c>
      <c r="X1460">
        <v>555.54999999999995</v>
      </c>
    </row>
    <row r="1461" spans="1:24">
      <c r="A1461" s="68">
        <v>35027</v>
      </c>
      <c r="B1461" s="32">
        <v>1001.23</v>
      </c>
      <c r="C1461">
        <f t="shared" si="44"/>
        <v>1995</v>
      </c>
      <c r="H1461" s="85">
        <v>42366</v>
      </c>
      <c r="I1461">
        <v>3172.03</v>
      </c>
      <c r="N1461" s="69">
        <v>41383</v>
      </c>
      <c r="O1461">
        <v>499.5</v>
      </c>
      <c r="P1461">
        <v>498</v>
      </c>
      <c r="Q1461">
        <v>499.7</v>
      </c>
      <c r="R1461">
        <v>498</v>
      </c>
      <c r="S1461" s="3">
        <v>1E-3</v>
      </c>
      <c r="T1461">
        <f t="shared" si="45"/>
        <v>2013</v>
      </c>
      <c r="W1461" s="86">
        <v>42849</v>
      </c>
      <c r="X1461">
        <v>556.25</v>
      </c>
    </row>
    <row r="1462" spans="1:24">
      <c r="A1462" s="68">
        <v>35028</v>
      </c>
      <c r="B1462" s="33">
        <v>1000.69</v>
      </c>
      <c r="C1462">
        <f t="shared" si="44"/>
        <v>1995</v>
      </c>
      <c r="H1462" s="85">
        <v>42367</v>
      </c>
      <c r="I1462">
        <v>3180.87</v>
      </c>
      <c r="N1462" s="69">
        <v>41382</v>
      </c>
      <c r="O1462">
        <v>499</v>
      </c>
      <c r="P1462">
        <v>498.4</v>
      </c>
      <c r="Q1462">
        <v>499.7</v>
      </c>
      <c r="R1462">
        <v>498</v>
      </c>
      <c r="S1462" s="3">
        <v>-8.0000000000000004E-4</v>
      </c>
      <c r="T1462">
        <f t="shared" si="45"/>
        <v>2013</v>
      </c>
      <c r="W1462" s="86">
        <v>42850</v>
      </c>
      <c r="X1462">
        <v>557</v>
      </c>
    </row>
    <row r="1463" spans="1:24">
      <c r="A1463" s="68">
        <v>35029</v>
      </c>
      <c r="B1463" s="32">
        <v>1000.69</v>
      </c>
      <c r="C1463">
        <f t="shared" si="44"/>
        <v>1995</v>
      </c>
      <c r="H1463" s="85">
        <v>42368</v>
      </c>
      <c r="I1463">
        <v>3155.22</v>
      </c>
      <c r="N1463" s="69">
        <v>41381</v>
      </c>
      <c r="O1463">
        <v>499.4</v>
      </c>
      <c r="P1463">
        <v>498.5</v>
      </c>
      <c r="Q1463">
        <v>499.7</v>
      </c>
      <c r="R1463">
        <v>498.4</v>
      </c>
      <c r="S1463" s="3">
        <v>-2.0000000000000001E-4</v>
      </c>
      <c r="T1463">
        <f t="shared" si="45"/>
        <v>2013</v>
      </c>
      <c r="W1463" s="86">
        <v>42851</v>
      </c>
      <c r="X1463">
        <v>560.75</v>
      </c>
    </row>
    <row r="1464" spans="1:24">
      <c r="A1464" s="68">
        <v>35030</v>
      </c>
      <c r="B1464" s="33">
        <v>1000.69</v>
      </c>
      <c r="C1464">
        <f t="shared" si="44"/>
        <v>1995</v>
      </c>
      <c r="H1464" s="85">
        <v>42369</v>
      </c>
      <c r="I1464">
        <v>3149.47</v>
      </c>
      <c r="N1464" s="69">
        <v>41380</v>
      </c>
      <c r="O1464">
        <v>499.5</v>
      </c>
      <c r="P1464">
        <v>498.4</v>
      </c>
      <c r="Q1464">
        <v>499.7</v>
      </c>
      <c r="R1464">
        <v>498.4</v>
      </c>
      <c r="S1464" s="3">
        <v>2.0000000000000001E-4</v>
      </c>
      <c r="T1464">
        <f t="shared" si="45"/>
        <v>2013</v>
      </c>
      <c r="W1464" s="86">
        <v>42852</v>
      </c>
      <c r="X1464">
        <v>556.07000000000005</v>
      </c>
    </row>
    <row r="1465" spans="1:24">
      <c r="A1465" s="68">
        <v>35031</v>
      </c>
      <c r="B1465" s="32">
        <v>1003.24</v>
      </c>
      <c r="C1465">
        <f t="shared" si="44"/>
        <v>1995</v>
      </c>
      <c r="H1465" s="85">
        <v>42370</v>
      </c>
      <c r="I1465">
        <v>3149.47</v>
      </c>
      <c r="N1465" s="69">
        <v>41379</v>
      </c>
      <c r="O1465">
        <v>499.4</v>
      </c>
      <c r="P1465">
        <v>498.5</v>
      </c>
      <c r="Q1465">
        <v>499.7</v>
      </c>
      <c r="R1465">
        <v>498.4</v>
      </c>
      <c r="S1465" s="3">
        <v>-2.0000000000000001E-4</v>
      </c>
      <c r="T1465">
        <f t="shared" si="45"/>
        <v>2013</v>
      </c>
      <c r="W1465" s="86">
        <v>42853</v>
      </c>
      <c r="X1465">
        <v>558.5</v>
      </c>
    </row>
    <row r="1466" spans="1:24">
      <c r="A1466" s="68">
        <v>35032</v>
      </c>
      <c r="B1466" s="33">
        <v>1001.73</v>
      </c>
      <c r="C1466">
        <f t="shared" si="44"/>
        <v>1995</v>
      </c>
      <c r="H1466" s="85">
        <v>42371</v>
      </c>
      <c r="I1466">
        <v>3149.47</v>
      </c>
      <c r="N1466" s="69">
        <v>41376</v>
      </c>
      <c r="O1466">
        <v>499.5</v>
      </c>
      <c r="P1466">
        <v>498.5</v>
      </c>
      <c r="Q1466">
        <v>499.7</v>
      </c>
      <c r="R1466">
        <v>498.5</v>
      </c>
      <c r="S1466" s="3">
        <v>0</v>
      </c>
      <c r="T1466">
        <f t="shared" si="45"/>
        <v>2013</v>
      </c>
      <c r="W1466" s="86">
        <v>42856</v>
      </c>
      <c r="X1466">
        <v>562.88</v>
      </c>
    </row>
    <row r="1467" spans="1:24">
      <c r="A1467" s="68">
        <v>35033</v>
      </c>
      <c r="B1467" s="32">
        <v>998.16</v>
      </c>
      <c r="C1467">
        <f t="shared" si="44"/>
        <v>1995</v>
      </c>
      <c r="H1467" s="85">
        <v>42372</v>
      </c>
      <c r="I1467">
        <v>3149.47</v>
      </c>
      <c r="N1467" s="69">
        <v>41375</v>
      </c>
      <c r="O1467">
        <v>499.5</v>
      </c>
      <c r="P1467">
        <v>499</v>
      </c>
      <c r="Q1467">
        <v>500</v>
      </c>
      <c r="R1467">
        <v>498.5</v>
      </c>
      <c r="S1467" s="3">
        <v>-1E-3</v>
      </c>
      <c r="T1467">
        <f t="shared" si="45"/>
        <v>2013</v>
      </c>
      <c r="W1467" s="86">
        <v>42857</v>
      </c>
      <c r="X1467">
        <v>562.88</v>
      </c>
    </row>
    <row r="1468" spans="1:24">
      <c r="A1468" s="68">
        <v>35034</v>
      </c>
      <c r="B1468" s="33">
        <v>998.15</v>
      </c>
      <c r="C1468">
        <f t="shared" si="44"/>
        <v>1995</v>
      </c>
      <c r="H1468" s="85">
        <v>42373</v>
      </c>
      <c r="I1468">
        <v>3149.47</v>
      </c>
      <c r="N1468" s="69">
        <v>41374</v>
      </c>
      <c r="O1468">
        <v>500</v>
      </c>
      <c r="P1468">
        <v>499</v>
      </c>
      <c r="Q1468">
        <v>500.3</v>
      </c>
      <c r="R1468">
        <v>498.7</v>
      </c>
      <c r="S1468" s="3">
        <v>0</v>
      </c>
      <c r="T1468">
        <f t="shared" si="45"/>
        <v>2013</v>
      </c>
      <c r="W1468" s="86">
        <v>42858</v>
      </c>
      <c r="X1468">
        <v>564.57000000000005</v>
      </c>
    </row>
    <row r="1469" spans="1:24">
      <c r="A1469" s="68">
        <v>35035</v>
      </c>
      <c r="B1469" s="32">
        <v>997.87</v>
      </c>
      <c r="C1469">
        <f t="shared" si="44"/>
        <v>1995</v>
      </c>
      <c r="H1469" s="85">
        <v>42374</v>
      </c>
      <c r="I1469">
        <v>3213.24</v>
      </c>
      <c r="N1469" s="69">
        <v>41373</v>
      </c>
      <c r="O1469">
        <v>500</v>
      </c>
      <c r="P1469">
        <v>500</v>
      </c>
      <c r="Q1469">
        <v>501</v>
      </c>
      <c r="R1469">
        <v>499</v>
      </c>
      <c r="S1469" s="3">
        <v>-2E-3</v>
      </c>
      <c r="T1469">
        <f t="shared" si="45"/>
        <v>2013</v>
      </c>
      <c r="W1469" s="86">
        <v>42859</v>
      </c>
      <c r="X1469">
        <v>563.83000000000004</v>
      </c>
    </row>
    <row r="1470" spans="1:24">
      <c r="A1470" s="68">
        <v>35036</v>
      </c>
      <c r="B1470" s="33">
        <v>997.87</v>
      </c>
      <c r="C1470">
        <f t="shared" si="44"/>
        <v>1995</v>
      </c>
      <c r="H1470" s="85">
        <v>42375</v>
      </c>
      <c r="I1470">
        <v>3203.86</v>
      </c>
      <c r="N1470" s="69">
        <v>41372</v>
      </c>
      <c r="O1470">
        <v>501</v>
      </c>
      <c r="P1470">
        <v>500.1</v>
      </c>
      <c r="Q1470">
        <v>501.2</v>
      </c>
      <c r="R1470">
        <v>499.3</v>
      </c>
      <c r="S1470" s="3">
        <v>-2.0000000000000001E-4</v>
      </c>
      <c r="T1470">
        <f t="shared" si="45"/>
        <v>2013</v>
      </c>
      <c r="W1470" s="86">
        <v>42860</v>
      </c>
      <c r="X1470">
        <v>569.25</v>
      </c>
    </row>
    <row r="1471" spans="1:24">
      <c r="A1471" s="68">
        <v>35037</v>
      </c>
      <c r="B1471" s="32">
        <v>997.87</v>
      </c>
      <c r="C1471">
        <f t="shared" si="44"/>
        <v>1995</v>
      </c>
      <c r="H1471" s="85">
        <v>42376</v>
      </c>
      <c r="I1471">
        <v>3250.69</v>
      </c>
      <c r="N1471" s="69">
        <v>41369</v>
      </c>
      <c r="O1471">
        <v>501.1</v>
      </c>
      <c r="P1471">
        <v>500.5</v>
      </c>
      <c r="Q1471">
        <v>501.5</v>
      </c>
      <c r="R1471">
        <v>500.1</v>
      </c>
      <c r="S1471" s="3">
        <v>-8.0000000000000004E-4</v>
      </c>
      <c r="T1471">
        <f t="shared" si="45"/>
        <v>2013</v>
      </c>
      <c r="W1471" s="86">
        <v>42863</v>
      </c>
      <c r="X1471">
        <v>558.67999999999995</v>
      </c>
    </row>
    <row r="1472" spans="1:24">
      <c r="A1472" s="68">
        <v>35038</v>
      </c>
      <c r="B1472" s="33">
        <v>995.93</v>
      </c>
      <c r="C1472">
        <f t="shared" si="44"/>
        <v>1995</v>
      </c>
      <c r="H1472" s="85">
        <v>42377</v>
      </c>
      <c r="I1472">
        <v>3287.28</v>
      </c>
      <c r="N1472" s="69">
        <v>41368</v>
      </c>
      <c r="O1472">
        <v>501.5</v>
      </c>
      <c r="P1472">
        <v>498.4</v>
      </c>
      <c r="Q1472">
        <v>501.7</v>
      </c>
      <c r="R1472">
        <v>498.4</v>
      </c>
      <c r="S1472" s="3">
        <v>4.1999999999999997E-3</v>
      </c>
      <c r="T1472">
        <f t="shared" si="45"/>
        <v>2013</v>
      </c>
      <c r="W1472" s="86">
        <v>42864</v>
      </c>
      <c r="X1472">
        <v>566.84</v>
      </c>
    </row>
    <row r="1473" spans="1:24">
      <c r="A1473" s="68">
        <v>35039</v>
      </c>
      <c r="B1473" s="32">
        <v>990.16</v>
      </c>
      <c r="C1473">
        <f t="shared" si="44"/>
        <v>1995</v>
      </c>
      <c r="H1473" s="85">
        <v>42378</v>
      </c>
      <c r="I1473">
        <v>3268.37</v>
      </c>
      <c r="N1473" s="69">
        <v>41367</v>
      </c>
      <c r="O1473">
        <v>499.4</v>
      </c>
      <c r="P1473">
        <v>498.5</v>
      </c>
      <c r="Q1473">
        <v>501.7</v>
      </c>
      <c r="R1473">
        <v>498.4</v>
      </c>
      <c r="S1473" s="3">
        <v>-2.0000000000000001E-4</v>
      </c>
      <c r="T1473">
        <f t="shared" si="45"/>
        <v>2013</v>
      </c>
      <c r="W1473" s="86">
        <v>42865</v>
      </c>
      <c r="X1473">
        <v>563</v>
      </c>
    </row>
    <row r="1474" spans="1:24">
      <c r="A1474" s="68">
        <v>35040</v>
      </c>
      <c r="B1474" s="33">
        <v>983.29</v>
      </c>
      <c r="C1474">
        <f t="shared" si="44"/>
        <v>1995</v>
      </c>
      <c r="H1474" s="85">
        <v>42379</v>
      </c>
      <c r="I1474">
        <v>3268.37</v>
      </c>
      <c r="N1474" s="69">
        <v>41366</v>
      </c>
      <c r="O1474">
        <v>499.5</v>
      </c>
      <c r="P1474">
        <v>498.4</v>
      </c>
      <c r="Q1474">
        <v>499.7</v>
      </c>
      <c r="R1474">
        <v>498.4</v>
      </c>
      <c r="S1474" s="3">
        <v>2.0000000000000001E-4</v>
      </c>
      <c r="T1474">
        <f t="shared" si="45"/>
        <v>2013</v>
      </c>
      <c r="W1474" s="86">
        <v>42866</v>
      </c>
      <c r="X1474">
        <v>569.16999999999996</v>
      </c>
    </row>
    <row r="1475" spans="1:24">
      <c r="A1475" s="68">
        <v>35041</v>
      </c>
      <c r="B1475" s="32">
        <v>974.04</v>
      </c>
      <c r="C1475">
        <f t="shared" si="44"/>
        <v>1995</v>
      </c>
      <c r="H1475" s="85">
        <v>42380</v>
      </c>
      <c r="I1475">
        <v>3268.37</v>
      </c>
      <c r="N1475" s="69">
        <v>41365</v>
      </c>
      <c r="O1475">
        <v>499.4</v>
      </c>
      <c r="P1475">
        <v>498.4</v>
      </c>
      <c r="Q1475">
        <v>499.7</v>
      </c>
      <c r="R1475">
        <v>498.4</v>
      </c>
      <c r="S1475" s="3">
        <v>0</v>
      </c>
      <c r="T1475">
        <f t="shared" si="45"/>
        <v>2013</v>
      </c>
      <c r="W1475" s="86">
        <v>42867</v>
      </c>
      <c r="X1475">
        <v>569.13</v>
      </c>
    </row>
    <row r="1476" spans="1:24">
      <c r="A1476" s="68">
        <v>35042</v>
      </c>
      <c r="B1476" s="33">
        <v>974.04</v>
      </c>
      <c r="C1476">
        <f t="shared" ref="C1476:C1539" si="46">YEAR(A1476)</f>
        <v>1995</v>
      </c>
      <c r="H1476" s="85">
        <v>42381</v>
      </c>
      <c r="I1476">
        <v>3268.37</v>
      </c>
      <c r="N1476" s="69">
        <v>41362</v>
      </c>
      <c r="O1476">
        <v>499.4</v>
      </c>
      <c r="P1476">
        <v>498.6</v>
      </c>
      <c r="Q1476">
        <v>499.7</v>
      </c>
      <c r="R1476">
        <v>498.4</v>
      </c>
      <c r="S1476" s="3">
        <v>-4.0000000000000002E-4</v>
      </c>
      <c r="T1476">
        <f t="shared" ref="T1476:T1539" si="47">YEAR(N1476)</f>
        <v>2013</v>
      </c>
      <c r="W1476" s="86">
        <v>42870</v>
      </c>
      <c r="X1476">
        <v>569.41999999999996</v>
      </c>
    </row>
    <row r="1477" spans="1:24">
      <c r="A1477" s="68">
        <v>35043</v>
      </c>
      <c r="B1477" s="32">
        <v>974.04</v>
      </c>
      <c r="C1477">
        <f t="shared" si="46"/>
        <v>1995</v>
      </c>
      <c r="H1477" s="85">
        <v>42382</v>
      </c>
      <c r="I1477">
        <v>3246.51</v>
      </c>
      <c r="N1477" s="69">
        <v>41361</v>
      </c>
      <c r="O1477">
        <v>499.6</v>
      </c>
      <c r="P1477">
        <v>498.5</v>
      </c>
      <c r="Q1477">
        <v>499.7</v>
      </c>
      <c r="R1477">
        <v>498.5</v>
      </c>
      <c r="S1477" s="3">
        <v>2.0000000000000001E-4</v>
      </c>
      <c r="T1477">
        <f t="shared" si="47"/>
        <v>2013</v>
      </c>
      <c r="W1477" s="86">
        <v>42871</v>
      </c>
      <c r="X1477">
        <v>575.95000000000005</v>
      </c>
    </row>
    <row r="1478" spans="1:24">
      <c r="A1478" s="68">
        <v>35044</v>
      </c>
      <c r="B1478" s="33">
        <v>974.04</v>
      </c>
      <c r="C1478">
        <f t="shared" si="46"/>
        <v>1995</v>
      </c>
      <c r="H1478" s="85">
        <v>42383</v>
      </c>
      <c r="I1478">
        <v>3235.45</v>
      </c>
      <c r="N1478" s="69">
        <v>41360</v>
      </c>
      <c r="O1478">
        <v>499.5</v>
      </c>
      <c r="P1478">
        <v>498.4</v>
      </c>
      <c r="Q1478">
        <v>499.7</v>
      </c>
      <c r="R1478">
        <v>498.4</v>
      </c>
      <c r="S1478" s="3">
        <v>2.0000000000000001E-4</v>
      </c>
      <c r="T1478">
        <f t="shared" si="47"/>
        <v>2013</v>
      </c>
      <c r="W1478" s="86">
        <v>42872</v>
      </c>
      <c r="X1478">
        <v>571.29999999999995</v>
      </c>
    </row>
    <row r="1479" spans="1:24">
      <c r="A1479" s="68">
        <v>35045</v>
      </c>
      <c r="B1479" s="32">
        <v>979.87</v>
      </c>
      <c r="C1479">
        <f t="shared" si="46"/>
        <v>1995</v>
      </c>
      <c r="H1479" s="85">
        <v>42384</v>
      </c>
      <c r="I1479">
        <v>3240.71</v>
      </c>
      <c r="N1479" s="69">
        <v>41359</v>
      </c>
      <c r="O1479">
        <v>499.4</v>
      </c>
      <c r="P1479">
        <v>498</v>
      </c>
      <c r="Q1479">
        <v>499.7</v>
      </c>
      <c r="R1479">
        <v>498</v>
      </c>
      <c r="S1479" s="3">
        <v>8.0000000000000004E-4</v>
      </c>
      <c r="T1479">
        <f t="shared" si="47"/>
        <v>2013</v>
      </c>
      <c r="W1479" s="86">
        <v>42873</v>
      </c>
      <c r="X1479">
        <v>568.65</v>
      </c>
    </row>
    <row r="1480" spans="1:24">
      <c r="A1480" s="68">
        <v>35046</v>
      </c>
      <c r="B1480" s="33">
        <v>986.17</v>
      </c>
      <c r="C1480">
        <f t="shared" si="46"/>
        <v>1995</v>
      </c>
      <c r="H1480" s="85">
        <v>42385</v>
      </c>
      <c r="I1480">
        <v>3293.94</v>
      </c>
      <c r="N1480" s="69">
        <v>41358</v>
      </c>
      <c r="O1480">
        <v>499</v>
      </c>
      <c r="P1480">
        <v>498.5</v>
      </c>
      <c r="Q1480">
        <v>499.7</v>
      </c>
      <c r="R1480">
        <v>498</v>
      </c>
      <c r="S1480" s="3">
        <v>-1E-3</v>
      </c>
      <c r="T1480">
        <f t="shared" si="47"/>
        <v>2013</v>
      </c>
      <c r="W1480" s="86">
        <v>42874</v>
      </c>
      <c r="X1480">
        <v>575.70000000000005</v>
      </c>
    </row>
    <row r="1481" spans="1:24">
      <c r="A1481" s="68">
        <v>35047</v>
      </c>
      <c r="B1481" s="32">
        <v>994.57</v>
      </c>
      <c r="C1481">
        <f t="shared" si="46"/>
        <v>1995</v>
      </c>
      <c r="H1481" s="85">
        <v>42386</v>
      </c>
      <c r="I1481">
        <v>3293.94</v>
      </c>
      <c r="N1481" s="69">
        <v>41355</v>
      </c>
      <c r="O1481">
        <v>499.5</v>
      </c>
      <c r="P1481">
        <v>498.6</v>
      </c>
      <c r="Q1481">
        <v>499.7</v>
      </c>
      <c r="R1481">
        <v>498.5</v>
      </c>
      <c r="S1481" s="3">
        <v>-2.0000000000000001E-4</v>
      </c>
      <c r="T1481">
        <f t="shared" si="47"/>
        <v>2013</v>
      </c>
      <c r="W1481" s="86">
        <v>42877</v>
      </c>
      <c r="X1481">
        <v>579.87</v>
      </c>
    </row>
    <row r="1482" spans="1:24">
      <c r="A1482" s="68">
        <v>35048</v>
      </c>
      <c r="B1482" s="33">
        <v>992.88</v>
      </c>
      <c r="C1482">
        <f t="shared" si="46"/>
        <v>1995</v>
      </c>
      <c r="H1482" s="85">
        <v>42387</v>
      </c>
      <c r="I1482">
        <v>3293.94</v>
      </c>
      <c r="N1482" s="69">
        <v>41354</v>
      </c>
      <c r="O1482">
        <v>499.6</v>
      </c>
      <c r="P1482">
        <v>498.5</v>
      </c>
      <c r="Q1482">
        <v>499.7</v>
      </c>
      <c r="R1482">
        <v>498.5</v>
      </c>
      <c r="S1482" s="3">
        <v>2.0000000000000001E-4</v>
      </c>
      <c r="T1482">
        <f t="shared" si="47"/>
        <v>2013</v>
      </c>
      <c r="W1482" s="86">
        <v>42878</v>
      </c>
      <c r="X1482">
        <v>582.98</v>
      </c>
    </row>
    <row r="1483" spans="1:24">
      <c r="A1483" s="68">
        <v>35049</v>
      </c>
      <c r="B1483" s="32">
        <v>988.94</v>
      </c>
      <c r="C1483">
        <f t="shared" si="46"/>
        <v>1995</v>
      </c>
      <c r="H1483" s="85">
        <v>42388</v>
      </c>
      <c r="I1483">
        <v>3293.94</v>
      </c>
      <c r="N1483" s="69">
        <v>41353</v>
      </c>
      <c r="O1483">
        <v>499.5</v>
      </c>
      <c r="P1483">
        <v>498.6</v>
      </c>
      <c r="Q1483">
        <v>499.7</v>
      </c>
      <c r="R1483">
        <v>498.5</v>
      </c>
      <c r="S1483" s="3">
        <v>-2.0000000000000001E-4</v>
      </c>
      <c r="T1483">
        <f t="shared" si="47"/>
        <v>2013</v>
      </c>
      <c r="W1483" s="86">
        <v>42879</v>
      </c>
      <c r="X1483">
        <v>590.17999999999995</v>
      </c>
    </row>
    <row r="1484" spans="1:24">
      <c r="A1484" s="68">
        <v>35050</v>
      </c>
      <c r="B1484" s="33">
        <v>988.94</v>
      </c>
      <c r="C1484">
        <f t="shared" si="46"/>
        <v>1995</v>
      </c>
      <c r="H1484" s="85">
        <v>42389</v>
      </c>
      <c r="I1484">
        <v>3297.46</v>
      </c>
      <c r="N1484" s="69">
        <v>41352</v>
      </c>
      <c r="O1484">
        <v>499.6</v>
      </c>
      <c r="P1484">
        <v>498.4</v>
      </c>
      <c r="Q1484">
        <v>499.7</v>
      </c>
      <c r="R1484">
        <v>498.4</v>
      </c>
      <c r="S1484" s="3">
        <v>4.0000000000000002E-4</v>
      </c>
      <c r="T1484">
        <f t="shared" si="47"/>
        <v>2013</v>
      </c>
      <c r="W1484" s="86">
        <v>42880</v>
      </c>
      <c r="X1484">
        <v>590.55999999999995</v>
      </c>
    </row>
    <row r="1485" spans="1:24">
      <c r="A1485" s="68">
        <v>35051</v>
      </c>
      <c r="B1485" s="32">
        <v>988.94</v>
      </c>
      <c r="C1485">
        <f t="shared" si="46"/>
        <v>1995</v>
      </c>
      <c r="H1485" s="85">
        <v>42390</v>
      </c>
      <c r="I1485">
        <v>3357.67</v>
      </c>
      <c r="N1485" s="69">
        <v>41351</v>
      </c>
      <c r="O1485">
        <v>499.4</v>
      </c>
      <c r="P1485">
        <v>498.4</v>
      </c>
      <c r="Q1485">
        <v>499.7</v>
      </c>
      <c r="R1485">
        <v>498.4</v>
      </c>
      <c r="S1485" s="3">
        <v>0</v>
      </c>
      <c r="T1485">
        <f t="shared" si="47"/>
        <v>2013</v>
      </c>
      <c r="W1485" s="86">
        <v>42881</v>
      </c>
      <c r="X1485">
        <v>586.70000000000005</v>
      </c>
    </row>
    <row r="1486" spans="1:24">
      <c r="A1486" s="68">
        <v>35052</v>
      </c>
      <c r="B1486" s="33">
        <v>986.71</v>
      </c>
      <c r="C1486">
        <f t="shared" si="46"/>
        <v>1995</v>
      </c>
      <c r="H1486" s="85">
        <v>42391</v>
      </c>
      <c r="I1486">
        <v>3368.49</v>
      </c>
      <c r="N1486" s="69">
        <v>41348</v>
      </c>
      <c r="O1486">
        <v>499.4</v>
      </c>
      <c r="P1486">
        <v>498.4</v>
      </c>
      <c r="Q1486">
        <v>499.7</v>
      </c>
      <c r="R1486">
        <v>498.4</v>
      </c>
      <c r="S1486" s="3">
        <v>0</v>
      </c>
      <c r="T1486">
        <f t="shared" si="47"/>
        <v>2013</v>
      </c>
      <c r="W1486" s="86">
        <v>42884</v>
      </c>
      <c r="X1486">
        <v>586.70000000000005</v>
      </c>
    </row>
    <row r="1487" spans="1:24">
      <c r="A1487" s="68">
        <v>35053</v>
      </c>
      <c r="B1487" s="32">
        <v>987.22</v>
      </c>
      <c r="C1487">
        <f t="shared" si="46"/>
        <v>1995</v>
      </c>
      <c r="H1487" s="85">
        <v>42392</v>
      </c>
      <c r="I1487">
        <v>3281.74</v>
      </c>
      <c r="N1487" s="69">
        <v>41347</v>
      </c>
      <c r="O1487">
        <v>499.4</v>
      </c>
      <c r="P1487">
        <v>498.4</v>
      </c>
      <c r="Q1487">
        <v>499.7</v>
      </c>
      <c r="R1487">
        <v>498.4</v>
      </c>
      <c r="S1487" s="3">
        <v>0</v>
      </c>
      <c r="T1487">
        <f t="shared" si="47"/>
        <v>2013</v>
      </c>
      <c r="W1487" s="86">
        <v>42885</v>
      </c>
      <c r="X1487">
        <v>573.35</v>
      </c>
    </row>
    <row r="1488" spans="1:24">
      <c r="A1488" s="68">
        <v>35054</v>
      </c>
      <c r="B1488" s="33">
        <v>985.39</v>
      </c>
      <c r="C1488">
        <f t="shared" si="46"/>
        <v>1995</v>
      </c>
      <c r="H1488" s="85">
        <v>42393</v>
      </c>
      <c r="I1488">
        <v>3281.74</v>
      </c>
      <c r="N1488" s="69">
        <v>41346</v>
      </c>
      <c r="O1488">
        <v>499.4</v>
      </c>
      <c r="P1488">
        <v>498.2</v>
      </c>
      <c r="Q1488">
        <v>499.7</v>
      </c>
      <c r="R1488">
        <v>498.2</v>
      </c>
      <c r="S1488" s="3">
        <v>4.0000000000000002E-4</v>
      </c>
      <c r="T1488">
        <f t="shared" si="47"/>
        <v>2013</v>
      </c>
      <c r="W1488" s="86">
        <v>42886</v>
      </c>
      <c r="X1488">
        <v>572.35</v>
      </c>
    </row>
    <row r="1489" spans="1:24">
      <c r="A1489" s="68">
        <v>35055</v>
      </c>
      <c r="B1489" s="32">
        <v>984.06</v>
      </c>
      <c r="C1489">
        <f t="shared" si="46"/>
        <v>1995</v>
      </c>
      <c r="H1489" s="85">
        <v>42394</v>
      </c>
      <c r="I1489">
        <v>3281.74</v>
      </c>
      <c r="N1489" s="69">
        <v>41345</v>
      </c>
      <c r="O1489">
        <v>499.2</v>
      </c>
      <c r="P1489">
        <v>498.5</v>
      </c>
      <c r="Q1489">
        <v>499.5</v>
      </c>
      <c r="R1489">
        <v>498.2</v>
      </c>
      <c r="S1489" s="3">
        <v>-5.9999999999999995E-4</v>
      </c>
      <c r="T1489">
        <f t="shared" si="47"/>
        <v>2013</v>
      </c>
      <c r="W1489" s="86">
        <v>42887</v>
      </c>
      <c r="X1489">
        <v>569.65</v>
      </c>
    </row>
    <row r="1490" spans="1:24">
      <c r="A1490" s="68">
        <v>35056</v>
      </c>
      <c r="B1490" s="33">
        <v>984.96</v>
      </c>
      <c r="C1490">
        <f t="shared" si="46"/>
        <v>1995</v>
      </c>
      <c r="H1490" s="85">
        <v>42395</v>
      </c>
      <c r="I1490">
        <v>3362.38</v>
      </c>
      <c r="N1490" s="69">
        <v>41344</v>
      </c>
      <c r="O1490">
        <v>499.5</v>
      </c>
      <c r="P1490">
        <v>498.2</v>
      </c>
      <c r="Q1490">
        <v>499.7</v>
      </c>
      <c r="R1490">
        <v>498.2</v>
      </c>
      <c r="S1490" s="3">
        <v>5.9999999999999995E-4</v>
      </c>
      <c r="T1490">
        <f t="shared" si="47"/>
        <v>2013</v>
      </c>
      <c r="W1490" s="86">
        <v>42888</v>
      </c>
      <c r="X1490">
        <v>567.75</v>
      </c>
    </row>
    <row r="1491" spans="1:24">
      <c r="A1491" s="68">
        <v>35057</v>
      </c>
      <c r="B1491" s="32">
        <v>984.96</v>
      </c>
      <c r="C1491">
        <f t="shared" si="46"/>
        <v>1995</v>
      </c>
      <c r="H1491" s="85">
        <v>42396</v>
      </c>
      <c r="I1491">
        <v>3375.8</v>
      </c>
      <c r="N1491" s="69">
        <v>41341</v>
      </c>
      <c r="O1491">
        <v>499.2</v>
      </c>
      <c r="P1491">
        <v>498.3</v>
      </c>
      <c r="Q1491">
        <v>499.7</v>
      </c>
      <c r="R1491">
        <v>498.2</v>
      </c>
      <c r="S1491" s="3">
        <v>-2.0000000000000001E-4</v>
      </c>
      <c r="T1491">
        <f t="shared" si="47"/>
        <v>2013</v>
      </c>
      <c r="W1491" s="86">
        <v>42891</v>
      </c>
      <c r="X1491">
        <v>567.73</v>
      </c>
    </row>
    <row r="1492" spans="1:24">
      <c r="A1492" s="68">
        <v>35058</v>
      </c>
      <c r="B1492" s="33">
        <v>984.96</v>
      </c>
      <c r="C1492">
        <f t="shared" si="46"/>
        <v>1995</v>
      </c>
      <c r="H1492" s="85">
        <v>42397</v>
      </c>
      <c r="I1492">
        <v>3366.63</v>
      </c>
      <c r="N1492" s="69">
        <v>41340</v>
      </c>
      <c r="O1492">
        <v>499.3</v>
      </c>
      <c r="P1492">
        <v>498.3</v>
      </c>
      <c r="Q1492">
        <v>499.7</v>
      </c>
      <c r="R1492">
        <v>498.3</v>
      </c>
      <c r="S1492" s="3">
        <v>0</v>
      </c>
      <c r="T1492">
        <f t="shared" si="47"/>
        <v>2013</v>
      </c>
      <c r="W1492" s="86">
        <v>42892</v>
      </c>
      <c r="X1492">
        <v>567.78</v>
      </c>
    </row>
    <row r="1493" spans="1:24">
      <c r="A1493" s="68">
        <v>35059</v>
      </c>
      <c r="B1493" s="32">
        <v>984.96</v>
      </c>
      <c r="C1493">
        <f t="shared" si="46"/>
        <v>1995</v>
      </c>
      <c r="H1493" s="85">
        <v>42398</v>
      </c>
      <c r="I1493">
        <v>3302.92</v>
      </c>
      <c r="N1493" s="69">
        <v>41339</v>
      </c>
      <c r="O1493">
        <v>499.3</v>
      </c>
      <c r="P1493">
        <v>498.2</v>
      </c>
      <c r="Q1493">
        <v>499.7</v>
      </c>
      <c r="R1493">
        <v>498.2</v>
      </c>
      <c r="S1493" s="3">
        <v>-5.9999999999999995E-4</v>
      </c>
      <c r="T1493">
        <f t="shared" si="47"/>
        <v>2013</v>
      </c>
      <c r="W1493" s="86">
        <v>42893</v>
      </c>
      <c r="X1493">
        <v>567.76</v>
      </c>
    </row>
    <row r="1494" spans="1:24">
      <c r="A1494" s="68">
        <v>35060</v>
      </c>
      <c r="B1494" s="33">
        <v>990.1</v>
      </c>
      <c r="C1494">
        <f t="shared" si="46"/>
        <v>1995</v>
      </c>
      <c r="H1494" s="85">
        <v>42399</v>
      </c>
      <c r="I1494">
        <v>3287.31</v>
      </c>
      <c r="N1494" s="69">
        <v>41338</v>
      </c>
      <c r="O1494">
        <v>499.6</v>
      </c>
      <c r="P1494">
        <v>498.5</v>
      </c>
      <c r="Q1494">
        <v>499.7</v>
      </c>
      <c r="R1494">
        <v>498.5</v>
      </c>
      <c r="S1494" s="3">
        <v>2.0000000000000001E-4</v>
      </c>
      <c r="T1494">
        <f t="shared" si="47"/>
        <v>2013</v>
      </c>
      <c r="W1494" s="86">
        <v>42894</v>
      </c>
      <c r="X1494">
        <v>567.87</v>
      </c>
    </row>
    <row r="1495" spans="1:24">
      <c r="A1495" s="68">
        <v>35061</v>
      </c>
      <c r="B1495" s="32">
        <v>986.96</v>
      </c>
      <c r="C1495">
        <f t="shared" si="46"/>
        <v>1995</v>
      </c>
      <c r="H1495" s="85">
        <v>42400</v>
      </c>
      <c r="I1495">
        <v>3287.31</v>
      </c>
      <c r="N1495" s="69">
        <v>41337</v>
      </c>
      <c r="O1495">
        <v>499.5</v>
      </c>
      <c r="P1495">
        <v>498</v>
      </c>
      <c r="Q1495">
        <v>499.7</v>
      </c>
      <c r="R1495">
        <v>498</v>
      </c>
      <c r="S1495" s="3">
        <v>1E-3</v>
      </c>
      <c r="T1495">
        <f t="shared" si="47"/>
        <v>2013</v>
      </c>
      <c r="W1495" s="86">
        <v>42895</v>
      </c>
      <c r="X1495">
        <v>568.62</v>
      </c>
    </row>
    <row r="1496" spans="1:24">
      <c r="A1496" s="68">
        <v>35062</v>
      </c>
      <c r="B1496" s="33">
        <v>987.65</v>
      </c>
      <c r="C1496">
        <f t="shared" si="46"/>
        <v>1995</v>
      </c>
      <c r="H1496" s="85">
        <v>42401</v>
      </c>
      <c r="I1496">
        <v>3287.31</v>
      </c>
      <c r="N1496" s="69">
        <v>41334</v>
      </c>
      <c r="O1496">
        <v>499</v>
      </c>
      <c r="P1496">
        <v>498.1</v>
      </c>
      <c r="Q1496">
        <v>499.1</v>
      </c>
      <c r="R1496">
        <v>498</v>
      </c>
      <c r="S1496" s="3">
        <v>-2.0000000000000001E-4</v>
      </c>
      <c r="T1496">
        <f t="shared" si="47"/>
        <v>2013</v>
      </c>
      <c r="W1496" s="86">
        <v>42898</v>
      </c>
      <c r="X1496">
        <v>572.5</v>
      </c>
    </row>
    <row r="1497" spans="1:24">
      <c r="A1497" s="68">
        <v>35063</v>
      </c>
      <c r="B1497" s="32">
        <v>987.65</v>
      </c>
      <c r="C1497">
        <f t="shared" si="46"/>
        <v>1995</v>
      </c>
      <c r="H1497" s="85">
        <v>42402</v>
      </c>
      <c r="I1497">
        <v>3326.82</v>
      </c>
      <c r="N1497" s="69">
        <v>41333</v>
      </c>
      <c r="O1497">
        <v>499.1</v>
      </c>
      <c r="P1497">
        <v>498.2</v>
      </c>
      <c r="Q1497">
        <v>499.2</v>
      </c>
      <c r="R1497">
        <v>498.1</v>
      </c>
      <c r="S1497" s="3">
        <v>-2.0000000000000001E-4</v>
      </c>
      <c r="T1497">
        <f t="shared" si="47"/>
        <v>2013</v>
      </c>
      <c r="W1497" s="86">
        <v>42899</v>
      </c>
      <c r="X1497">
        <v>568.08000000000004</v>
      </c>
    </row>
    <row r="1498" spans="1:24">
      <c r="A1498" s="68">
        <v>35064</v>
      </c>
      <c r="B1498" s="33">
        <v>987.65</v>
      </c>
      <c r="C1498">
        <f t="shared" si="46"/>
        <v>1995</v>
      </c>
      <c r="H1498" s="85">
        <v>42403</v>
      </c>
      <c r="I1498">
        <v>3387.69</v>
      </c>
      <c r="N1498" s="69">
        <v>41332</v>
      </c>
      <c r="O1498">
        <v>499.2</v>
      </c>
      <c r="P1498">
        <v>498.3</v>
      </c>
      <c r="Q1498">
        <v>499.3</v>
      </c>
      <c r="R1498">
        <v>498.2</v>
      </c>
      <c r="S1498" s="3">
        <v>-2.0000000000000001E-4</v>
      </c>
      <c r="T1498">
        <f t="shared" si="47"/>
        <v>2013</v>
      </c>
      <c r="W1498" s="86">
        <v>42900</v>
      </c>
      <c r="X1498">
        <v>570.98</v>
      </c>
    </row>
    <row r="1499" spans="1:24">
      <c r="A1499" s="68">
        <v>35065</v>
      </c>
      <c r="B1499" s="32">
        <v>987.65</v>
      </c>
      <c r="C1499">
        <f t="shared" si="46"/>
        <v>1996</v>
      </c>
      <c r="H1499" s="85">
        <v>42404</v>
      </c>
      <c r="I1499">
        <v>3382.2</v>
      </c>
      <c r="N1499" s="69">
        <v>41331</v>
      </c>
      <c r="O1499">
        <v>499.3</v>
      </c>
      <c r="P1499">
        <v>498.4</v>
      </c>
      <c r="Q1499">
        <v>499.4</v>
      </c>
      <c r="R1499">
        <v>498.3</v>
      </c>
      <c r="S1499" s="3">
        <v>-2.0000000000000001E-4</v>
      </c>
      <c r="T1499">
        <f t="shared" si="47"/>
        <v>2013</v>
      </c>
      <c r="W1499" s="86">
        <v>42901</v>
      </c>
      <c r="X1499">
        <v>571.99</v>
      </c>
    </row>
    <row r="1500" spans="1:24">
      <c r="A1500" s="68">
        <v>35066</v>
      </c>
      <c r="B1500" s="33">
        <v>987.65</v>
      </c>
      <c r="C1500">
        <f t="shared" si="46"/>
        <v>1996</v>
      </c>
      <c r="H1500" s="85">
        <v>42405</v>
      </c>
      <c r="I1500">
        <v>3315.75</v>
      </c>
      <c r="N1500" s="69">
        <v>41330</v>
      </c>
      <c r="O1500">
        <v>499.4</v>
      </c>
      <c r="P1500">
        <v>498.4</v>
      </c>
      <c r="Q1500">
        <v>499.7</v>
      </c>
      <c r="R1500">
        <v>498.4</v>
      </c>
      <c r="S1500" s="3">
        <v>0</v>
      </c>
      <c r="T1500">
        <f t="shared" si="47"/>
        <v>2013</v>
      </c>
      <c r="W1500" s="86">
        <v>42902</v>
      </c>
      <c r="X1500">
        <v>569.66999999999996</v>
      </c>
    </row>
    <row r="1501" spans="1:24">
      <c r="A1501" s="68">
        <v>35067</v>
      </c>
      <c r="B1501" s="32">
        <v>994.31</v>
      </c>
      <c r="C1501">
        <f t="shared" si="46"/>
        <v>1996</v>
      </c>
      <c r="H1501" s="85">
        <v>42406</v>
      </c>
      <c r="I1501">
        <v>3320.49</v>
      </c>
      <c r="N1501" s="69">
        <v>41327</v>
      </c>
      <c r="O1501">
        <v>499.4</v>
      </c>
      <c r="P1501">
        <v>498.5</v>
      </c>
      <c r="Q1501">
        <v>499.5</v>
      </c>
      <c r="R1501">
        <v>498.4</v>
      </c>
      <c r="S1501" s="3">
        <v>-2.0000000000000001E-4</v>
      </c>
      <c r="T1501">
        <f t="shared" si="47"/>
        <v>2013</v>
      </c>
      <c r="W1501" s="86">
        <v>42905</v>
      </c>
      <c r="X1501">
        <v>570.20000000000005</v>
      </c>
    </row>
    <row r="1502" spans="1:24">
      <c r="A1502" s="68">
        <v>35068</v>
      </c>
      <c r="B1502" s="33">
        <v>994.5</v>
      </c>
      <c r="C1502">
        <f t="shared" si="46"/>
        <v>1996</v>
      </c>
      <c r="H1502" s="85">
        <v>42407</v>
      </c>
      <c r="I1502">
        <v>3320.49</v>
      </c>
      <c r="N1502" s="69">
        <v>41326</v>
      </c>
      <c r="O1502">
        <v>499.5</v>
      </c>
      <c r="P1502">
        <v>498.6</v>
      </c>
      <c r="Q1502">
        <v>499.6</v>
      </c>
      <c r="R1502">
        <v>498.5</v>
      </c>
      <c r="S1502" s="3">
        <v>-2.0000000000000001E-4</v>
      </c>
      <c r="T1502">
        <f t="shared" si="47"/>
        <v>2013</v>
      </c>
      <c r="W1502" s="86">
        <v>42906</v>
      </c>
      <c r="X1502">
        <v>569.16999999999996</v>
      </c>
    </row>
    <row r="1503" spans="1:24">
      <c r="A1503" s="68">
        <v>35069</v>
      </c>
      <c r="B1503" s="32">
        <v>998.68</v>
      </c>
      <c r="C1503">
        <f t="shared" si="46"/>
        <v>1996</v>
      </c>
      <c r="H1503" s="85">
        <v>42408</v>
      </c>
      <c r="I1503">
        <v>3320.49</v>
      </c>
      <c r="N1503" s="69">
        <v>41325</v>
      </c>
      <c r="O1503">
        <v>499.6</v>
      </c>
      <c r="P1503">
        <v>498.58</v>
      </c>
      <c r="Q1503">
        <v>499.7</v>
      </c>
      <c r="R1503">
        <v>498.58</v>
      </c>
      <c r="S1503" s="3">
        <v>0</v>
      </c>
      <c r="T1503">
        <f t="shared" si="47"/>
        <v>2013</v>
      </c>
      <c r="W1503" s="86">
        <v>42907</v>
      </c>
      <c r="X1503">
        <v>569.6</v>
      </c>
    </row>
    <row r="1504" spans="1:24">
      <c r="A1504" s="68">
        <v>35070</v>
      </c>
      <c r="B1504" s="33">
        <v>997.06</v>
      </c>
      <c r="C1504">
        <f t="shared" si="46"/>
        <v>1996</v>
      </c>
      <c r="H1504" s="85">
        <v>42409</v>
      </c>
      <c r="I1504">
        <v>3367.02</v>
      </c>
      <c r="N1504" s="69">
        <v>41324</v>
      </c>
      <c r="O1504">
        <v>499.58</v>
      </c>
      <c r="P1504">
        <v>498.5</v>
      </c>
      <c r="Q1504">
        <v>499.7</v>
      </c>
      <c r="R1504">
        <v>498.5</v>
      </c>
      <c r="S1504" s="3">
        <v>2.0000000000000001E-4</v>
      </c>
      <c r="T1504">
        <f t="shared" si="47"/>
        <v>2013</v>
      </c>
      <c r="W1504" s="86">
        <v>42908</v>
      </c>
      <c r="X1504">
        <v>573.02</v>
      </c>
    </row>
    <row r="1505" spans="1:24">
      <c r="A1505" s="68">
        <v>35071</v>
      </c>
      <c r="B1505" s="32">
        <v>997.06</v>
      </c>
      <c r="C1505">
        <f t="shared" si="46"/>
        <v>1996</v>
      </c>
      <c r="H1505" s="85">
        <v>42410</v>
      </c>
      <c r="I1505">
        <v>3391.93</v>
      </c>
      <c r="N1505" s="69">
        <v>41323</v>
      </c>
      <c r="O1505">
        <v>499.5</v>
      </c>
      <c r="P1505">
        <v>499.5</v>
      </c>
      <c r="Q1505">
        <v>500.5</v>
      </c>
      <c r="R1505">
        <v>498.5</v>
      </c>
      <c r="S1505" s="3">
        <v>0</v>
      </c>
      <c r="T1505">
        <f t="shared" si="47"/>
        <v>2013</v>
      </c>
      <c r="W1505" s="86">
        <v>42909</v>
      </c>
      <c r="X1505">
        <v>569.6</v>
      </c>
    </row>
    <row r="1506" spans="1:24">
      <c r="A1506" s="68">
        <v>35072</v>
      </c>
      <c r="B1506" s="33">
        <v>997.06</v>
      </c>
      <c r="C1506">
        <f t="shared" si="46"/>
        <v>1996</v>
      </c>
      <c r="H1506" s="85">
        <v>42411</v>
      </c>
      <c r="I1506">
        <v>3385.65</v>
      </c>
      <c r="N1506" s="69">
        <v>41320</v>
      </c>
      <c r="O1506">
        <v>499.5</v>
      </c>
      <c r="P1506">
        <v>499.5</v>
      </c>
      <c r="Q1506">
        <v>500.5</v>
      </c>
      <c r="R1506">
        <v>497.2</v>
      </c>
      <c r="S1506" s="3">
        <v>-2E-3</v>
      </c>
      <c r="T1506">
        <f t="shared" si="47"/>
        <v>2013</v>
      </c>
      <c r="W1506" s="86">
        <v>42912</v>
      </c>
      <c r="X1506">
        <v>571.83000000000004</v>
      </c>
    </row>
    <row r="1507" spans="1:24">
      <c r="A1507" s="68">
        <v>35073</v>
      </c>
      <c r="B1507" s="32">
        <v>997.06</v>
      </c>
      <c r="C1507">
        <f t="shared" si="46"/>
        <v>1996</v>
      </c>
      <c r="H1507" s="85">
        <v>42412</v>
      </c>
      <c r="I1507">
        <v>3434.89</v>
      </c>
      <c r="N1507" s="69">
        <v>41319</v>
      </c>
      <c r="O1507">
        <v>500.5</v>
      </c>
      <c r="P1507">
        <v>499.6</v>
      </c>
      <c r="Q1507">
        <v>500.7</v>
      </c>
      <c r="R1507">
        <v>498.7</v>
      </c>
      <c r="S1507" s="3">
        <v>-2.0000000000000001E-4</v>
      </c>
      <c r="T1507">
        <f t="shared" si="47"/>
        <v>2013</v>
      </c>
      <c r="W1507" s="86">
        <v>42913</v>
      </c>
      <c r="X1507">
        <v>571.39</v>
      </c>
    </row>
    <row r="1508" spans="1:24">
      <c r="A1508" s="68">
        <v>35074</v>
      </c>
      <c r="B1508" s="33">
        <v>1003.44</v>
      </c>
      <c r="C1508">
        <f t="shared" si="46"/>
        <v>1996</v>
      </c>
      <c r="H1508" s="85">
        <v>42413</v>
      </c>
      <c r="I1508">
        <v>3409.82</v>
      </c>
      <c r="N1508" s="69">
        <v>41318</v>
      </c>
      <c r="O1508">
        <v>500.6</v>
      </c>
      <c r="P1508">
        <v>498.4</v>
      </c>
      <c r="Q1508">
        <v>500.7</v>
      </c>
      <c r="R1508">
        <v>498.4</v>
      </c>
      <c r="S1508" s="3">
        <v>2.3999999999999998E-3</v>
      </c>
      <c r="T1508">
        <f t="shared" si="47"/>
        <v>2013</v>
      </c>
      <c r="W1508" s="86">
        <v>42914</v>
      </c>
      <c r="X1508">
        <v>569.54</v>
      </c>
    </row>
    <row r="1509" spans="1:24">
      <c r="A1509" s="68">
        <v>35075</v>
      </c>
      <c r="B1509" s="32">
        <v>1003.86</v>
      </c>
      <c r="C1509">
        <f t="shared" si="46"/>
        <v>1996</v>
      </c>
      <c r="H1509" s="85">
        <v>42414</v>
      </c>
      <c r="I1509">
        <v>3409.82</v>
      </c>
      <c r="N1509" s="69">
        <v>41317</v>
      </c>
      <c r="O1509">
        <v>499.4</v>
      </c>
      <c r="P1509">
        <v>498.5</v>
      </c>
      <c r="Q1509">
        <v>500.7</v>
      </c>
      <c r="R1509">
        <v>498.4</v>
      </c>
      <c r="S1509" s="3">
        <v>-2.0000000000000001E-4</v>
      </c>
      <c r="T1509">
        <f t="shared" si="47"/>
        <v>2013</v>
      </c>
      <c r="W1509" s="86">
        <v>42915</v>
      </c>
      <c r="X1509">
        <v>569.76</v>
      </c>
    </row>
    <row r="1510" spans="1:24">
      <c r="A1510" s="68">
        <v>35076</v>
      </c>
      <c r="B1510" s="33">
        <v>1002.59</v>
      </c>
      <c r="C1510">
        <f t="shared" si="46"/>
        <v>1996</v>
      </c>
      <c r="H1510" s="85">
        <v>42415</v>
      </c>
      <c r="I1510">
        <v>3409.82</v>
      </c>
      <c r="N1510" s="69">
        <v>41316</v>
      </c>
      <c r="O1510">
        <v>499.5</v>
      </c>
      <c r="P1510">
        <v>498</v>
      </c>
      <c r="Q1510">
        <v>500.6</v>
      </c>
      <c r="R1510">
        <v>498</v>
      </c>
      <c r="S1510" s="3">
        <v>1E-3</v>
      </c>
      <c r="T1510">
        <f t="shared" si="47"/>
        <v>2013</v>
      </c>
      <c r="W1510" s="86">
        <v>42916</v>
      </c>
      <c r="X1510">
        <v>572.08000000000004</v>
      </c>
    </row>
    <row r="1511" spans="1:24">
      <c r="A1511" s="68">
        <v>35077</v>
      </c>
      <c r="B1511" s="32">
        <v>1005.63</v>
      </c>
      <c r="C1511">
        <f t="shared" si="46"/>
        <v>1996</v>
      </c>
      <c r="H1511" s="85">
        <v>42416</v>
      </c>
      <c r="I1511">
        <v>3409.82</v>
      </c>
      <c r="N1511" s="69">
        <v>41313</v>
      </c>
      <c r="O1511">
        <v>499</v>
      </c>
      <c r="P1511">
        <v>498.2</v>
      </c>
      <c r="Q1511">
        <v>499.2</v>
      </c>
      <c r="R1511">
        <v>498</v>
      </c>
      <c r="S1511" s="3">
        <v>-4.0000000000000002E-4</v>
      </c>
      <c r="T1511">
        <f t="shared" si="47"/>
        <v>2013</v>
      </c>
      <c r="W1511" s="86">
        <v>42919</v>
      </c>
      <c r="X1511">
        <v>567.63</v>
      </c>
    </row>
    <row r="1512" spans="1:24">
      <c r="A1512" s="68">
        <v>35078</v>
      </c>
      <c r="B1512" s="33">
        <v>1005.63</v>
      </c>
      <c r="C1512">
        <f t="shared" si="46"/>
        <v>1996</v>
      </c>
      <c r="H1512" s="85">
        <v>42417</v>
      </c>
      <c r="I1512">
        <v>3406.87</v>
      </c>
      <c r="N1512" s="69">
        <v>41312</v>
      </c>
      <c r="O1512">
        <v>499.2</v>
      </c>
      <c r="P1512">
        <v>500</v>
      </c>
      <c r="Q1512">
        <v>501</v>
      </c>
      <c r="R1512">
        <v>498.2</v>
      </c>
      <c r="S1512" s="3">
        <v>-3.5999999999999999E-3</v>
      </c>
      <c r="T1512">
        <f t="shared" si="47"/>
        <v>2013</v>
      </c>
      <c r="W1512" s="86">
        <v>42920</v>
      </c>
      <c r="X1512">
        <v>573.30999999999995</v>
      </c>
    </row>
    <row r="1513" spans="1:24">
      <c r="A1513" s="68">
        <v>35079</v>
      </c>
      <c r="B1513" s="32">
        <v>1005.63</v>
      </c>
      <c r="C1513">
        <f t="shared" si="46"/>
        <v>1996</v>
      </c>
      <c r="H1513" s="85">
        <v>42418</v>
      </c>
      <c r="I1513">
        <v>3391.87</v>
      </c>
      <c r="N1513" s="69">
        <v>41311</v>
      </c>
      <c r="O1513">
        <v>501</v>
      </c>
      <c r="P1513">
        <v>499.2</v>
      </c>
      <c r="Q1513">
        <v>501.2</v>
      </c>
      <c r="R1513">
        <v>499.2</v>
      </c>
      <c r="S1513" s="3">
        <v>1.6000000000000001E-3</v>
      </c>
      <c r="T1513">
        <f t="shared" si="47"/>
        <v>2013</v>
      </c>
      <c r="W1513" s="86">
        <v>42921</v>
      </c>
      <c r="X1513">
        <v>572.83000000000004</v>
      </c>
    </row>
    <row r="1514" spans="1:24">
      <c r="A1514" s="68">
        <v>35080</v>
      </c>
      <c r="B1514" s="33">
        <v>1011.59</v>
      </c>
      <c r="C1514">
        <f t="shared" si="46"/>
        <v>1996</v>
      </c>
      <c r="H1514" s="85">
        <v>42419</v>
      </c>
      <c r="I1514">
        <v>3338.03</v>
      </c>
      <c r="N1514" s="69">
        <v>41310</v>
      </c>
      <c r="O1514">
        <v>500.2</v>
      </c>
      <c r="P1514">
        <v>499.3</v>
      </c>
      <c r="Q1514">
        <v>501.2</v>
      </c>
      <c r="R1514">
        <v>499.2</v>
      </c>
      <c r="S1514" s="3">
        <v>-2.0000000000000001E-4</v>
      </c>
      <c r="T1514">
        <f t="shared" si="47"/>
        <v>2013</v>
      </c>
      <c r="W1514" s="86">
        <v>42922</v>
      </c>
      <c r="X1514">
        <v>574.66999999999996</v>
      </c>
    </row>
    <row r="1515" spans="1:24">
      <c r="A1515" s="68">
        <v>35081</v>
      </c>
      <c r="B1515" s="32">
        <v>1011.72</v>
      </c>
      <c r="C1515">
        <f t="shared" si="46"/>
        <v>1996</v>
      </c>
      <c r="H1515" s="85">
        <v>42420</v>
      </c>
      <c r="I1515">
        <v>3356.78</v>
      </c>
      <c r="N1515" s="69">
        <v>41309</v>
      </c>
      <c r="O1515">
        <v>500.3</v>
      </c>
      <c r="P1515">
        <v>500.3</v>
      </c>
      <c r="Q1515">
        <v>501.3</v>
      </c>
      <c r="R1515">
        <v>499.3</v>
      </c>
      <c r="S1515" s="3">
        <v>-2.8E-3</v>
      </c>
      <c r="T1515">
        <f t="shared" si="47"/>
        <v>2013</v>
      </c>
      <c r="W1515" s="86">
        <v>42923</v>
      </c>
      <c r="X1515">
        <v>573.99</v>
      </c>
    </row>
    <row r="1516" spans="1:24">
      <c r="A1516" s="68">
        <v>35082</v>
      </c>
      <c r="B1516" s="33">
        <v>1010.34</v>
      </c>
      <c r="C1516">
        <f t="shared" si="46"/>
        <v>1996</v>
      </c>
      <c r="H1516" s="85">
        <v>42421</v>
      </c>
      <c r="I1516">
        <v>3356.78</v>
      </c>
      <c r="N1516" s="69">
        <v>41306</v>
      </c>
      <c r="O1516">
        <v>501.7</v>
      </c>
      <c r="P1516">
        <v>500.5</v>
      </c>
      <c r="Q1516">
        <v>502</v>
      </c>
      <c r="R1516">
        <v>499.45</v>
      </c>
      <c r="S1516" s="3">
        <v>4.0000000000000002E-4</v>
      </c>
      <c r="T1516">
        <f t="shared" si="47"/>
        <v>2013</v>
      </c>
      <c r="W1516" s="86">
        <v>42926</v>
      </c>
      <c r="X1516">
        <v>574.29</v>
      </c>
    </row>
    <row r="1517" spans="1:24">
      <c r="A1517" s="68">
        <v>35083</v>
      </c>
      <c r="B1517" s="32">
        <v>1015.1</v>
      </c>
      <c r="C1517">
        <f t="shared" si="46"/>
        <v>1996</v>
      </c>
      <c r="H1517" s="85">
        <v>42422</v>
      </c>
      <c r="I1517">
        <v>3356.78</v>
      </c>
      <c r="N1517" s="69">
        <v>41305</v>
      </c>
      <c r="O1517">
        <v>501.5</v>
      </c>
      <c r="P1517">
        <v>498.2</v>
      </c>
      <c r="Q1517">
        <v>503.2</v>
      </c>
      <c r="R1517">
        <v>498.2</v>
      </c>
      <c r="S1517" s="3">
        <v>4.5999999999999999E-3</v>
      </c>
      <c r="T1517">
        <f t="shared" si="47"/>
        <v>2013</v>
      </c>
      <c r="W1517" s="86">
        <v>42927</v>
      </c>
      <c r="X1517">
        <v>574.01</v>
      </c>
    </row>
    <row r="1518" spans="1:24">
      <c r="A1518" s="68">
        <v>35084</v>
      </c>
      <c r="B1518" s="33">
        <v>1018.99</v>
      </c>
      <c r="C1518">
        <f t="shared" si="46"/>
        <v>1996</v>
      </c>
      <c r="H1518" s="85">
        <v>42423</v>
      </c>
      <c r="I1518">
        <v>3314.24</v>
      </c>
      <c r="N1518" s="69">
        <v>41304</v>
      </c>
      <c r="O1518">
        <v>499.2</v>
      </c>
      <c r="P1518">
        <v>499</v>
      </c>
      <c r="Q1518">
        <v>502.7</v>
      </c>
      <c r="R1518">
        <v>498.2</v>
      </c>
      <c r="S1518" s="3">
        <v>-1.6000000000000001E-3</v>
      </c>
      <c r="T1518">
        <f t="shared" si="47"/>
        <v>2013</v>
      </c>
      <c r="W1518" s="86">
        <v>42928</v>
      </c>
      <c r="X1518">
        <v>574.98</v>
      </c>
    </row>
    <row r="1519" spans="1:24">
      <c r="A1519" s="68">
        <v>35085</v>
      </c>
      <c r="B1519" s="32">
        <v>1018.99</v>
      </c>
      <c r="C1519">
        <f t="shared" si="46"/>
        <v>1996</v>
      </c>
      <c r="H1519" s="85">
        <v>42424</v>
      </c>
      <c r="I1519">
        <v>3322.54</v>
      </c>
      <c r="N1519" s="69">
        <v>41303</v>
      </c>
      <c r="O1519">
        <v>500</v>
      </c>
      <c r="P1519">
        <v>497.2</v>
      </c>
      <c r="Q1519">
        <v>500.1</v>
      </c>
      <c r="R1519">
        <v>497.2</v>
      </c>
      <c r="S1519" s="3">
        <v>3.5999999999999999E-3</v>
      </c>
      <c r="T1519">
        <f t="shared" si="47"/>
        <v>2013</v>
      </c>
      <c r="W1519" s="86">
        <v>42929</v>
      </c>
      <c r="X1519">
        <v>574.82000000000005</v>
      </c>
    </row>
    <row r="1520" spans="1:24">
      <c r="A1520" s="68">
        <v>35086</v>
      </c>
      <c r="B1520" s="33">
        <v>1018.99</v>
      </c>
      <c r="C1520">
        <f t="shared" si="46"/>
        <v>1996</v>
      </c>
      <c r="H1520" s="85">
        <v>42425</v>
      </c>
      <c r="I1520">
        <v>3341.69</v>
      </c>
      <c r="N1520" s="69">
        <v>41302</v>
      </c>
      <c r="O1520">
        <v>498.2</v>
      </c>
      <c r="P1520">
        <v>502.4</v>
      </c>
      <c r="Q1520">
        <v>503.4</v>
      </c>
      <c r="R1520">
        <v>497.2</v>
      </c>
      <c r="S1520" s="3">
        <v>-1.03E-2</v>
      </c>
      <c r="T1520">
        <f t="shared" si="47"/>
        <v>2013</v>
      </c>
      <c r="W1520" s="86">
        <v>42930</v>
      </c>
      <c r="X1520">
        <v>573.25</v>
      </c>
    </row>
    <row r="1521" spans="1:24">
      <c r="A1521" s="68">
        <v>35087</v>
      </c>
      <c r="B1521" s="32">
        <v>1019.17</v>
      </c>
      <c r="C1521">
        <f t="shared" si="46"/>
        <v>1996</v>
      </c>
      <c r="H1521" s="85">
        <v>42426</v>
      </c>
      <c r="I1521">
        <v>3310.16</v>
      </c>
      <c r="N1521" s="69">
        <v>41299</v>
      </c>
      <c r="O1521">
        <v>503.4</v>
      </c>
      <c r="P1521">
        <v>503.1</v>
      </c>
      <c r="Q1521">
        <v>504.1</v>
      </c>
      <c r="R1521">
        <v>497.7</v>
      </c>
      <c r="S1521" s="3">
        <v>-1.4E-3</v>
      </c>
      <c r="T1521">
        <f t="shared" si="47"/>
        <v>2013</v>
      </c>
      <c r="W1521" s="86">
        <v>42933</v>
      </c>
      <c r="X1521">
        <v>573.17999999999995</v>
      </c>
    </row>
    <row r="1522" spans="1:24">
      <c r="A1522" s="68">
        <v>35088</v>
      </c>
      <c r="B1522" s="33">
        <v>1024.8900000000001</v>
      </c>
      <c r="C1522">
        <f t="shared" si="46"/>
        <v>1996</v>
      </c>
      <c r="H1522" s="85">
        <v>42427</v>
      </c>
      <c r="I1522">
        <v>3306</v>
      </c>
      <c r="N1522" s="69">
        <v>41298</v>
      </c>
      <c r="O1522">
        <v>504.1</v>
      </c>
      <c r="P1522">
        <v>500</v>
      </c>
      <c r="Q1522">
        <v>504.2</v>
      </c>
      <c r="R1522">
        <v>500</v>
      </c>
      <c r="S1522" s="3">
        <v>6.1999999999999998E-3</v>
      </c>
      <c r="T1522">
        <f t="shared" si="47"/>
        <v>2013</v>
      </c>
      <c r="W1522" s="86">
        <v>42934</v>
      </c>
      <c r="X1522">
        <v>573.39</v>
      </c>
    </row>
    <row r="1523" spans="1:24">
      <c r="A1523" s="68">
        <v>35089</v>
      </c>
      <c r="B1523" s="32">
        <v>1026.08</v>
      </c>
      <c r="C1523">
        <f t="shared" si="46"/>
        <v>1996</v>
      </c>
      <c r="H1523" s="85">
        <v>42428</v>
      </c>
      <c r="I1523">
        <v>3306</v>
      </c>
      <c r="N1523" s="69">
        <v>41297</v>
      </c>
      <c r="O1523">
        <v>501</v>
      </c>
      <c r="P1523">
        <v>497.5</v>
      </c>
      <c r="Q1523">
        <v>504.2</v>
      </c>
      <c r="R1523">
        <v>497.5</v>
      </c>
      <c r="S1523" s="3">
        <v>5.0000000000000001E-3</v>
      </c>
      <c r="T1523">
        <f t="shared" si="47"/>
        <v>2013</v>
      </c>
      <c r="W1523" s="86">
        <v>42935</v>
      </c>
      <c r="X1523">
        <v>574.41</v>
      </c>
    </row>
    <row r="1524" spans="1:24">
      <c r="A1524" s="68">
        <v>35090</v>
      </c>
      <c r="B1524" s="33">
        <v>1026.78</v>
      </c>
      <c r="C1524">
        <f t="shared" si="46"/>
        <v>1996</v>
      </c>
      <c r="H1524" s="85">
        <v>42429</v>
      </c>
      <c r="I1524">
        <v>3306</v>
      </c>
      <c r="N1524" s="69">
        <v>41296</v>
      </c>
      <c r="O1524">
        <v>498.5</v>
      </c>
      <c r="P1524">
        <v>499.2</v>
      </c>
      <c r="Q1524">
        <v>501.2</v>
      </c>
      <c r="R1524">
        <v>497.5</v>
      </c>
      <c r="S1524" s="3">
        <v>-3.3999999999999998E-3</v>
      </c>
      <c r="T1524">
        <f t="shared" si="47"/>
        <v>2013</v>
      </c>
      <c r="W1524" s="86">
        <v>42936</v>
      </c>
      <c r="X1524">
        <v>574.46</v>
      </c>
    </row>
    <row r="1525" spans="1:24">
      <c r="A1525" s="68">
        <v>35091</v>
      </c>
      <c r="B1525" s="32">
        <v>1026.8900000000001</v>
      </c>
      <c r="C1525">
        <f t="shared" si="46"/>
        <v>1996</v>
      </c>
      <c r="H1525" s="85">
        <v>42430</v>
      </c>
      <c r="I1525">
        <v>3319.8</v>
      </c>
      <c r="N1525" s="69">
        <v>41295</v>
      </c>
      <c r="O1525">
        <v>500.2</v>
      </c>
      <c r="P1525">
        <v>497.6</v>
      </c>
      <c r="Q1525">
        <v>500.5</v>
      </c>
      <c r="R1525">
        <v>497.6</v>
      </c>
      <c r="S1525" s="3">
        <v>3.2000000000000002E-3</v>
      </c>
      <c r="T1525">
        <f t="shared" si="47"/>
        <v>2013</v>
      </c>
      <c r="W1525" s="86">
        <v>42937</v>
      </c>
      <c r="X1525">
        <v>574.72</v>
      </c>
    </row>
    <row r="1526" spans="1:24">
      <c r="A1526" s="68">
        <v>35092</v>
      </c>
      <c r="B1526" s="33">
        <v>1026.8900000000001</v>
      </c>
      <c r="C1526">
        <f t="shared" si="46"/>
        <v>1996</v>
      </c>
      <c r="H1526" s="85">
        <v>42431</v>
      </c>
      <c r="I1526">
        <v>3268.86</v>
      </c>
      <c r="N1526" s="69">
        <v>41292</v>
      </c>
      <c r="O1526">
        <v>498.6</v>
      </c>
      <c r="P1526">
        <v>497.5</v>
      </c>
      <c r="Q1526">
        <v>498.7</v>
      </c>
      <c r="R1526">
        <v>497.5</v>
      </c>
      <c r="S1526" s="3">
        <v>2.0000000000000001E-4</v>
      </c>
      <c r="T1526">
        <f t="shared" si="47"/>
        <v>2013</v>
      </c>
      <c r="W1526" s="86">
        <v>42940</v>
      </c>
      <c r="X1526">
        <v>573.99</v>
      </c>
    </row>
    <row r="1527" spans="1:24">
      <c r="A1527" s="68">
        <v>35093</v>
      </c>
      <c r="B1527" s="32">
        <v>1026.8900000000001</v>
      </c>
      <c r="C1527">
        <f t="shared" si="46"/>
        <v>1996</v>
      </c>
      <c r="H1527" s="85">
        <v>42432</v>
      </c>
      <c r="I1527">
        <v>3205.6</v>
      </c>
      <c r="N1527" s="69">
        <v>41291</v>
      </c>
      <c r="O1527">
        <v>498.5</v>
      </c>
      <c r="P1527">
        <v>497.5</v>
      </c>
      <c r="Q1527">
        <v>498.7</v>
      </c>
      <c r="R1527">
        <v>497.5</v>
      </c>
      <c r="S1527" s="3">
        <v>0</v>
      </c>
      <c r="T1527">
        <f t="shared" si="47"/>
        <v>2013</v>
      </c>
      <c r="W1527" s="86">
        <v>42941</v>
      </c>
      <c r="X1527">
        <v>573.59</v>
      </c>
    </row>
    <row r="1528" spans="1:24">
      <c r="A1528" s="68">
        <v>35094</v>
      </c>
      <c r="B1528" s="33">
        <v>1027.6099999999999</v>
      </c>
      <c r="C1528">
        <f t="shared" si="46"/>
        <v>1996</v>
      </c>
      <c r="H1528" s="85">
        <v>42433</v>
      </c>
      <c r="I1528">
        <v>3203.03</v>
      </c>
      <c r="N1528" s="69">
        <v>41290</v>
      </c>
      <c r="O1528">
        <v>498.5</v>
      </c>
      <c r="P1528">
        <v>497.6</v>
      </c>
      <c r="Q1528">
        <v>498.7</v>
      </c>
      <c r="R1528">
        <v>497.5</v>
      </c>
      <c r="S1528" s="3">
        <v>-2.0000000000000001E-4</v>
      </c>
      <c r="T1528">
        <f t="shared" si="47"/>
        <v>2013</v>
      </c>
      <c r="W1528" s="86">
        <v>42942</v>
      </c>
      <c r="X1528">
        <v>573.91999999999996</v>
      </c>
    </row>
    <row r="1529" spans="1:24">
      <c r="A1529" s="68">
        <v>35095</v>
      </c>
      <c r="B1529" s="32">
        <v>1028.1400000000001</v>
      </c>
      <c r="C1529">
        <f t="shared" si="46"/>
        <v>1996</v>
      </c>
      <c r="H1529" s="85">
        <v>42434</v>
      </c>
      <c r="I1529">
        <v>3163.25</v>
      </c>
      <c r="N1529" s="69">
        <v>41289</v>
      </c>
      <c r="O1529">
        <v>498.6</v>
      </c>
      <c r="P1529">
        <v>497.6</v>
      </c>
      <c r="Q1529">
        <v>498.7</v>
      </c>
      <c r="R1529">
        <v>497.6</v>
      </c>
      <c r="S1529" s="3">
        <v>0</v>
      </c>
      <c r="T1529">
        <f t="shared" si="47"/>
        <v>2013</v>
      </c>
      <c r="W1529" s="86">
        <v>42943</v>
      </c>
      <c r="X1529">
        <v>573.95000000000005</v>
      </c>
    </row>
    <row r="1530" spans="1:24">
      <c r="A1530" s="68">
        <v>35096</v>
      </c>
      <c r="B1530" s="33">
        <v>1026.3</v>
      </c>
      <c r="C1530">
        <f t="shared" si="46"/>
        <v>1996</v>
      </c>
      <c r="H1530" s="85">
        <v>42435</v>
      </c>
      <c r="I1530">
        <v>3163.25</v>
      </c>
      <c r="N1530" s="69">
        <v>41288</v>
      </c>
      <c r="O1530">
        <v>498.6</v>
      </c>
      <c r="P1530">
        <v>497.6</v>
      </c>
      <c r="Q1530">
        <v>498.7</v>
      </c>
      <c r="R1530">
        <v>497.6</v>
      </c>
      <c r="S1530" s="3">
        <v>0</v>
      </c>
      <c r="T1530">
        <f t="shared" si="47"/>
        <v>2013</v>
      </c>
      <c r="W1530" s="86">
        <v>42944</v>
      </c>
      <c r="X1530">
        <v>574.66999999999996</v>
      </c>
    </row>
    <row r="1531" spans="1:24">
      <c r="A1531" s="68">
        <v>35097</v>
      </c>
      <c r="B1531" s="32">
        <v>1024.8900000000001</v>
      </c>
      <c r="C1531">
        <f t="shared" si="46"/>
        <v>1996</v>
      </c>
      <c r="H1531" s="85">
        <v>42436</v>
      </c>
      <c r="I1531">
        <v>3163.25</v>
      </c>
      <c r="N1531" s="69">
        <v>41285</v>
      </c>
      <c r="O1531">
        <v>498.6</v>
      </c>
      <c r="P1531">
        <v>497.6</v>
      </c>
      <c r="Q1531">
        <v>498.7</v>
      </c>
      <c r="R1531">
        <v>497.6</v>
      </c>
      <c r="S1531" s="3">
        <v>0</v>
      </c>
      <c r="T1531">
        <f t="shared" si="47"/>
        <v>2013</v>
      </c>
      <c r="W1531" s="86">
        <v>42947</v>
      </c>
      <c r="X1531">
        <v>573.86</v>
      </c>
    </row>
    <row r="1532" spans="1:24">
      <c r="A1532" s="68">
        <v>35098</v>
      </c>
      <c r="B1532" s="33">
        <v>1021.29</v>
      </c>
      <c r="C1532">
        <f t="shared" si="46"/>
        <v>1996</v>
      </c>
      <c r="H1532" s="85">
        <v>42437</v>
      </c>
      <c r="I1532">
        <v>3135.28</v>
      </c>
      <c r="N1532" s="69">
        <v>41284</v>
      </c>
      <c r="O1532">
        <v>498.6</v>
      </c>
      <c r="P1532">
        <v>497.5</v>
      </c>
      <c r="Q1532">
        <v>498.7</v>
      </c>
      <c r="R1532">
        <v>497.5</v>
      </c>
      <c r="S1532" s="3">
        <v>2.0000000000000001E-4</v>
      </c>
      <c r="T1532">
        <f t="shared" si="47"/>
        <v>2013</v>
      </c>
      <c r="W1532" s="86">
        <v>42948</v>
      </c>
      <c r="X1532">
        <v>573.94000000000005</v>
      </c>
    </row>
    <row r="1533" spans="1:24">
      <c r="A1533" s="68">
        <v>35099</v>
      </c>
      <c r="B1533" s="32">
        <v>1021.29</v>
      </c>
      <c r="C1533">
        <f t="shared" si="46"/>
        <v>1996</v>
      </c>
      <c r="H1533" s="85">
        <v>42438</v>
      </c>
      <c r="I1533">
        <v>3155.9</v>
      </c>
      <c r="N1533" s="69">
        <v>41283</v>
      </c>
      <c r="O1533">
        <v>498.5</v>
      </c>
      <c r="P1533">
        <v>498.7</v>
      </c>
      <c r="Q1533">
        <v>499.7</v>
      </c>
      <c r="R1533">
        <v>497.5</v>
      </c>
      <c r="S1533" s="3">
        <v>-2.3999999999999998E-3</v>
      </c>
      <c r="T1533">
        <f t="shared" si="47"/>
        <v>2013</v>
      </c>
      <c r="W1533" s="86">
        <v>42949</v>
      </c>
      <c r="X1533">
        <v>575.33000000000004</v>
      </c>
    </row>
    <row r="1534" spans="1:24">
      <c r="A1534" s="68">
        <v>35100</v>
      </c>
      <c r="B1534" s="33">
        <v>1021.29</v>
      </c>
      <c r="C1534">
        <f t="shared" si="46"/>
        <v>1996</v>
      </c>
      <c r="H1534" s="85">
        <v>42439</v>
      </c>
      <c r="I1534">
        <v>3192.49</v>
      </c>
      <c r="N1534" s="69">
        <v>41282</v>
      </c>
      <c r="O1534">
        <v>499.7</v>
      </c>
      <c r="P1534">
        <v>498.5</v>
      </c>
      <c r="Q1534">
        <v>499.7</v>
      </c>
      <c r="R1534">
        <v>497.7</v>
      </c>
      <c r="S1534" s="3">
        <v>4.0000000000000002E-4</v>
      </c>
      <c r="T1534">
        <f t="shared" si="47"/>
        <v>2013</v>
      </c>
      <c r="W1534" s="86">
        <v>42950</v>
      </c>
      <c r="X1534">
        <v>576.12</v>
      </c>
    </row>
    <row r="1535" spans="1:24">
      <c r="A1535" s="68">
        <v>35101</v>
      </c>
      <c r="B1535" s="32">
        <v>1022.93</v>
      </c>
      <c r="C1535">
        <f t="shared" si="46"/>
        <v>1996</v>
      </c>
      <c r="H1535" s="85">
        <v>42440</v>
      </c>
      <c r="I1535">
        <v>3204.27</v>
      </c>
      <c r="N1535" s="69">
        <v>41281</v>
      </c>
      <c r="O1535">
        <v>499.5</v>
      </c>
      <c r="P1535">
        <v>500.4</v>
      </c>
      <c r="Q1535">
        <v>504.2</v>
      </c>
      <c r="R1535">
        <v>498.5</v>
      </c>
      <c r="S1535" s="3">
        <v>-3.8E-3</v>
      </c>
      <c r="T1535">
        <f t="shared" si="47"/>
        <v>2013</v>
      </c>
      <c r="W1535" s="86">
        <v>42951</v>
      </c>
      <c r="X1535">
        <v>576.54</v>
      </c>
    </row>
    <row r="1536" spans="1:24">
      <c r="A1536" s="68">
        <v>35102</v>
      </c>
      <c r="B1536" s="33">
        <v>1021.3</v>
      </c>
      <c r="C1536">
        <f t="shared" si="46"/>
        <v>1996</v>
      </c>
      <c r="H1536" s="85">
        <v>42441</v>
      </c>
      <c r="I1536">
        <v>3164.12</v>
      </c>
      <c r="N1536" s="69">
        <v>41278</v>
      </c>
      <c r="O1536">
        <v>501.4</v>
      </c>
      <c r="P1536">
        <v>500.5</v>
      </c>
      <c r="Q1536">
        <v>504.2</v>
      </c>
      <c r="R1536">
        <v>500.4</v>
      </c>
      <c r="S1536" s="3">
        <v>-2.0000000000000001E-4</v>
      </c>
      <c r="T1536">
        <f t="shared" si="47"/>
        <v>2013</v>
      </c>
      <c r="W1536" s="86">
        <v>42954</v>
      </c>
      <c r="X1536">
        <v>576.48</v>
      </c>
    </row>
    <row r="1537" spans="1:24">
      <c r="A1537" s="68">
        <v>35103</v>
      </c>
      <c r="B1537" s="32">
        <v>1022.28</v>
      </c>
      <c r="C1537">
        <f t="shared" si="46"/>
        <v>1996</v>
      </c>
      <c r="H1537" s="85">
        <v>42442</v>
      </c>
      <c r="I1537">
        <v>3164.12</v>
      </c>
      <c r="N1537" s="69">
        <v>41277</v>
      </c>
      <c r="O1537">
        <v>501.5</v>
      </c>
      <c r="P1537">
        <v>500.6</v>
      </c>
      <c r="Q1537">
        <v>501.7</v>
      </c>
      <c r="R1537">
        <v>499.2</v>
      </c>
      <c r="S1537" s="3">
        <v>-2.0000000000000001E-4</v>
      </c>
      <c r="T1537">
        <f t="shared" si="47"/>
        <v>2013</v>
      </c>
      <c r="W1537" s="86">
        <v>42955</v>
      </c>
      <c r="X1537">
        <v>577.08000000000004</v>
      </c>
    </row>
    <row r="1538" spans="1:24">
      <c r="A1538" s="68">
        <v>35104</v>
      </c>
      <c r="B1538" s="33">
        <v>1024.17</v>
      </c>
      <c r="C1538">
        <f t="shared" si="46"/>
        <v>1996</v>
      </c>
      <c r="H1538" s="85">
        <v>42443</v>
      </c>
      <c r="I1538">
        <v>3164.12</v>
      </c>
      <c r="N1538" s="69">
        <v>41276</v>
      </c>
      <c r="O1538">
        <v>501.6</v>
      </c>
      <c r="P1538">
        <v>511.5</v>
      </c>
      <c r="Q1538">
        <v>512.70000000000005</v>
      </c>
      <c r="R1538">
        <v>497.7</v>
      </c>
      <c r="S1538" s="3">
        <v>-2.1499999999999998E-2</v>
      </c>
      <c r="T1538">
        <f t="shared" si="47"/>
        <v>2013</v>
      </c>
      <c r="W1538" s="86">
        <v>42956</v>
      </c>
      <c r="X1538">
        <v>577.25</v>
      </c>
    </row>
    <row r="1539" spans="1:24">
      <c r="A1539" s="68">
        <v>35105</v>
      </c>
      <c r="B1539" s="32">
        <v>1023.07</v>
      </c>
      <c r="C1539">
        <f t="shared" si="46"/>
        <v>1996</v>
      </c>
      <c r="H1539" s="85">
        <v>42444</v>
      </c>
      <c r="I1539">
        <v>3175.95</v>
      </c>
      <c r="N1539" s="69">
        <v>41275</v>
      </c>
      <c r="O1539">
        <v>512.6</v>
      </c>
      <c r="P1539">
        <v>511.6</v>
      </c>
      <c r="Q1539">
        <v>512.6</v>
      </c>
      <c r="R1539">
        <v>511.6</v>
      </c>
      <c r="S1539" s="3">
        <v>0</v>
      </c>
      <c r="T1539">
        <f t="shared" si="47"/>
        <v>2013</v>
      </c>
      <c r="U1539" t="s">
        <v>808</v>
      </c>
      <c r="W1539" s="86">
        <v>42957</v>
      </c>
      <c r="X1539">
        <v>578.69000000000005</v>
      </c>
    </row>
    <row r="1540" spans="1:24">
      <c r="A1540" s="68">
        <v>35106</v>
      </c>
      <c r="B1540" s="33">
        <v>1023.07</v>
      </c>
      <c r="C1540">
        <f t="shared" ref="C1540:C1603" si="48">YEAR(A1540)</f>
        <v>1996</v>
      </c>
      <c r="H1540" s="85">
        <v>42445</v>
      </c>
      <c r="I1540">
        <v>3175.88</v>
      </c>
      <c r="N1540" s="69">
        <v>41274</v>
      </c>
      <c r="O1540">
        <v>512.6</v>
      </c>
      <c r="P1540">
        <v>509.7</v>
      </c>
      <c r="Q1540">
        <v>512.70000000000005</v>
      </c>
      <c r="R1540">
        <v>509.7</v>
      </c>
      <c r="S1540" s="3">
        <v>3.7000000000000002E-3</v>
      </c>
      <c r="T1540">
        <f t="shared" ref="T1540:T1603" si="49">YEAR(N1540)</f>
        <v>2012</v>
      </c>
      <c r="W1540" s="86">
        <v>42958</v>
      </c>
      <c r="X1540">
        <v>578.53</v>
      </c>
    </row>
    <row r="1541" spans="1:24">
      <c r="A1541" s="68">
        <v>35107</v>
      </c>
      <c r="B1541" s="32">
        <v>1023.07</v>
      </c>
      <c r="C1541">
        <f t="shared" si="48"/>
        <v>1996</v>
      </c>
      <c r="H1541" s="85">
        <v>42446</v>
      </c>
      <c r="I1541">
        <v>3155.9</v>
      </c>
      <c r="N1541" s="69">
        <v>41271</v>
      </c>
      <c r="O1541">
        <v>510.7</v>
      </c>
      <c r="P1541">
        <v>506.5</v>
      </c>
      <c r="Q1541">
        <v>512.70000000000005</v>
      </c>
      <c r="R1541">
        <v>505.7</v>
      </c>
      <c r="S1541" s="3">
        <v>6.3E-3</v>
      </c>
      <c r="T1541">
        <f t="shared" si="49"/>
        <v>2012</v>
      </c>
      <c r="W1541" s="86">
        <v>42961</v>
      </c>
      <c r="X1541">
        <v>576.57000000000005</v>
      </c>
    </row>
    <row r="1542" spans="1:24">
      <c r="A1542" s="68">
        <v>35108</v>
      </c>
      <c r="B1542" s="33">
        <v>1027.54</v>
      </c>
      <c r="C1542">
        <f t="shared" si="48"/>
        <v>1996</v>
      </c>
      <c r="H1542" s="85">
        <v>42447</v>
      </c>
      <c r="I1542">
        <v>3087.39</v>
      </c>
      <c r="N1542" s="69">
        <v>41270</v>
      </c>
      <c r="O1542">
        <v>507.5</v>
      </c>
      <c r="P1542">
        <v>503</v>
      </c>
      <c r="Q1542">
        <v>510.7</v>
      </c>
      <c r="R1542">
        <v>503</v>
      </c>
      <c r="S1542" s="3">
        <v>6.8999999999999999E-3</v>
      </c>
      <c r="T1542">
        <f t="shared" si="49"/>
        <v>2012</v>
      </c>
      <c r="W1542" s="86">
        <v>42962</v>
      </c>
      <c r="X1542">
        <v>577.87</v>
      </c>
    </row>
    <row r="1543" spans="1:24">
      <c r="A1543" s="68">
        <v>35109</v>
      </c>
      <c r="B1543" s="32">
        <v>1028.58</v>
      </c>
      <c r="C1543">
        <f t="shared" si="48"/>
        <v>1996</v>
      </c>
      <c r="H1543" s="85">
        <v>42448</v>
      </c>
      <c r="I1543">
        <v>3065.79</v>
      </c>
      <c r="N1543" s="69">
        <v>41269</v>
      </c>
      <c r="O1543">
        <v>504</v>
      </c>
      <c r="P1543">
        <v>501.2</v>
      </c>
      <c r="Q1543">
        <v>505.7</v>
      </c>
      <c r="R1543">
        <v>501.2</v>
      </c>
      <c r="S1543" s="3">
        <v>8.2000000000000007E-3</v>
      </c>
      <c r="T1543">
        <f t="shared" si="49"/>
        <v>2012</v>
      </c>
      <c r="W1543" s="86">
        <v>42963</v>
      </c>
      <c r="X1543">
        <v>576.66999999999996</v>
      </c>
    </row>
    <row r="1544" spans="1:24">
      <c r="A1544" s="68">
        <v>35110</v>
      </c>
      <c r="B1544" s="33">
        <v>1027.57</v>
      </c>
      <c r="C1544">
        <f t="shared" si="48"/>
        <v>1996</v>
      </c>
      <c r="H1544" s="85">
        <v>42449</v>
      </c>
      <c r="I1544">
        <v>3065.79</v>
      </c>
      <c r="N1544" s="69">
        <v>41268</v>
      </c>
      <c r="O1544">
        <v>499.9</v>
      </c>
      <c r="P1544">
        <v>498.9</v>
      </c>
      <c r="Q1544">
        <v>499.9</v>
      </c>
      <c r="R1544">
        <v>498.9</v>
      </c>
      <c r="S1544" s="3">
        <v>0</v>
      </c>
      <c r="T1544">
        <f t="shared" si="49"/>
        <v>2012</v>
      </c>
      <c r="W1544" s="86">
        <v>42964</v>
      </c>
      <c r="X1544">
        <v>576</v>
      </c>
    </row>
    <row r="1545" spans="1:24">
      <c r="A1545" s="68">
        <v>35111</v>
      </c>
      <c r="B1545" s="32">
        <v>1030.67</v>
      </c>
      <c r="C1545">
        <f t="shared" si="48"/>
        <v>1996</v>
      </c>
      <c r="H1545" s="85">
        <v>42450</v>
      </c>
      <c r="I1545">
        <v>3065.79</v>
      </c>
      <c r="N1545" s="69">
        <v>41267</v>
      </c>
      <c r="O1545">
        <v>499.9</v>
      </c>
      <c r="P1545">
        <v>498.5</v>
      </c>
      <c r="Q1545">
        <v>499.95</v>
      </c>
      <c r="R1545">
        <v>498.5</v>
      </c>
      <c r="S1545" s="3">
        <v>0</v>
      </c>
      <c r="T1545">
        <f t="shared" si="49"/>
        <v>2012</v>
      </c>
      <c r="W1545" s="86">
        <v>42965</v>
      </c>
      <c r="X1545">
        <v>576.04999999999995</v>
      </c>
    </row>
    <row r="1546" spans="1:24">
      <c r="A1546" s="68">
        <v>35112</v>
      </c>
      <c r="B1546" s="33">
        <v>1029.5</v>
      </c>
      <c r="C1546">
        <f t="shared" si="48"/>
        <v>1996</v>
      </c>
      <c r="H1546" s="85">
        <v>42451</v>
      </c>
      <c r="I1546">
        <v>3065.79</v>
      </c>
      <c r="N1546" s="69">
        <v>41264</v>
      </c>
      <c r="O1546">
        <v>499.9</v>
      </c>
      <c r="P1546">
        <v>498.9</v>
      </c>
      <c r="Q1546">
        <v>499.9</v>
      </c>
      <c r="R1546">
        <v>498.9</v>
      </c>
      <c r="S1546" s="3">
        <v>0</v>
      </c>
      <c r="T1546">
        <f t="shared" si="49"/>
        <v>2012</v>
      </c>
      <c r="W1546" s="86">
        <v>42968</v>
      </c>
      <c r="X1546">
        <v>576.36</v>
      </c>
    </row>
    <row r="1547" spans="1:24">
      <c r="A1547" s="68">
        <v>35113</v>
      </c>
      <c r="B1547" s="32">
        <v>1029.5</v>
      </c>
      <c r="C1547">
        <f t="shared" si="48"/>
        <v>1996</v>
      </c>
      <c r="H1547" s="85">
        <v>42452</v>
      </c>
      <c r="I1547">
        <v>3050.31</v>
      </c>
      <c r="N1547" s="69">
        <v>41263</v>
      </c>
      <c r="O1547">
        <v>499.9</v>
      </c>
      <c r="P1547">
        <v>498.4</v>
      </c>
      <c r="Q1547">
        <v>499.95</v>
      </c>
      <c r="R1547">
        <v>498.4</v>
      </c>
      <c r="S1547" s="3">
        <v>1E-3</v>
      </c>
      <c r="T1547">
        <f t="shared" si="49"/>
        <v>2012</v>
      </c>
      <c r="W1547" s="86">
        <v>42969</v>
      </c>
      <c r="X1547">
        <v>576.22</v>
      </c>
    </row>
    <row r="1548" spans="1:24">
      <c r="A1548" s="68">
        <v>35114</v>
      </c>
      <c r="B1548" s="33">
        <v>1029.5</v>
      </c>
      <c r="C1548">
        <f t="shared" si="48"/>
        <v>1996</v>
      </c>
      <c r="H1548" s="85">
        <v>42453</v>
      </c>
      <c r="I1548">
        <v>3058.8</v>
      </c>
      <c r="N1548" s="69">
        <v>41262</v>
      </c>
      <c r="O1548">
        <v>499.4</v>
      </c>
      <c r="P1548">
        <v>499.2</v>
      </c>
      <c r="Q1548">
        <v>500.2</v>
      </c>
      <c r="R1548">
        <v>498.4</v>
      </c>
      <c r="S1548" s="3">
        <v>-1.6000000000000001E-3</v>
      </c>
      <c r="T1548">
        <f t="shared" si="49"/>
        <v>2012</v>
      </c>
      <c r="W1548" s="86">
        <v>42970</v>
      </c>
      <c r="X1548">
        <v>576.52</v>
      </c>
    </row>
    <row r="1549" spans="1:24">
      <c r="A1549" s="68">
        <v>35115</v>
      </c>
      <c r="B1549" s="32">
        <v>1033.4100000000001</v>
      </c>
      <c r="C1549">
        <f t="shared" si="48"/>
        <v>1996</v>
      </c>
      <c r="H1549" s="85">
        <v>42454</v>
      </c>
      <c r="I1549">
        <v>3058.8</v>
      </c>
      <c r="N1549" s="69">
        <v>41261</v>
      </c>
      <c r="O1549">
        <v>500.2</v>
      </c>
      <c r="P1549">
        <v>499.2</v>
      </c>
      <c r="Q1549">
        <v>500.45</v>
      </c>
      <c r="R1549">
        <v>498.95</v>
      </c>
      <c r="S1549" s="3">
        <v>0</v>
      </c>
      <c r="T1549">
        <f t="shared" si="49"/>
        <v>2012</v>
      </c>
      <c r="W1549" s="86">
        <v>42971</v>
      </c>
      <c r="X1549">
        <v>577.65</v>
      </c>
    </row>
    <row r="1550" spans="1:24">
      <c r="A1550" s="68">
        <v>35116</v>
      </c>
      <c r="B1550" s="33">
        <v>1034.3399999999999</v>
      </c>
      <c r="C1550">
        <f t="shared" si="48"/>
        <v>1996</v>
      </c>
      <c r="H1550" s="85">
        <v>42455</v>
      </c>
      <c r="I1550">
        <v>3058.8</v>
      </c>
      <c r="N1550" s="69">
        <v>41260</v>
      </c>
      <c r="O1550">
        <v>500.2</v>
      </c>
      <c r="P1550">
        <v>498.5</v>
      </c>
      <c r="Q1550">
        <v>500.25</v>
      </c>
      <c r="R1550">
        <v>498.5</v>
      </c>
      <c r="S1550" s="3">
        <v>1.4E-3</v>
      </c>
      <c r="T1550">
        <f t="shared" si="49"/>
        <v>2012</v>
      </c>
      <c r="W1550" s="86">
        <v>42972</v>
      </c>
      <c r="X1550">
        <v>576.80999999999995</v>
      </c>
    </row>
    <row r="1551" spans="1:24">
      <c r="A1551" s="68">
        <v>35117</v>
      </c>
      <c r="B1551" s="32">
        <v>1035.43</v>
      </c>
      <c r="C1551">
        <f t="shared" si="48"/>
        <v>1996</v>
      </c>
      <c r="H1551" s="85">
        <v>42456</v>
      </c>
      <c r="I1551">
        <v>3058.8</v>
      </c>
      <c r="N1551" s="69">
        <v>41257</v>
      </c>
      <c r="O1551">
        <v>499.5</v>
      </c>
      <c r="P1551">
        <v>498.5</v>
      </c>
      <c r="Q1551">
        <v>500.25</v>
      </c>
      <c r="R1551">
        <v>498.5</v>
      </c>
      <c r="S1551" s="3">
        <v>0</v>
      </c>
      <c r="T1551">
        <f t="shared" si="49"/>
        <v>2012</v>
      </c>
      <c r="W1551" s="86">
        <v>42975</v>
      </c>
      <c r="X1551">
        <v>576.38</v>
      </c>
    </row>
    <row r="1552" spans="1:24">
      <c r="A1552" s="68">
        <v>35118</v>
      </c>
      <c r="B1552" s="33">
        <v>1035.04</v>
      </c>
      <c r="C1552">
        <f t="shared" si="48"/>
        <v>1996</v>
      </c>
      <c r="H1552" s="85">
        <v>42457</v>
      </c>
      <c r="I1552">
        <v>3058.8</v>
      </c>
      <c r="N1552" s="69">
        <v>41256</v>
      </c>
      <c r="O1552">
        <v>499.5</v>
      </c>
      <c r="P1552">
        <v>498.9</v>
      </c>
      <c r="Q1552">
        <v>499.9</v>
      </c>
      <c r="R1552">
        <v>498.5</v>
      </c>
      <c r="S1552" s="3">
        <v>-8.0000000000000004E-4</v>
      </c>
      <c r="T1552">
        <f t="shared" si="49"/>
        <v>2012</v>
      </c>
      <c r="W1552" s="86">
        <v>42976</v>
      </c>
      <c r="X1552">
        <v>576.05999999999995</v>
      </c>
    </row>
    <row r="1553" spans="1:24">
      <c r="A1553" s="68">
        <v>35119</v>
      </c>
      <c r="B1553" s="32">
        <v>1036.71</v>
      </c>
      <c r="C1553">
        <f t="shared" si="48"/>
        <v>1996</v>
      </c>
      <c r="H1553" s="85">
        <v>42458</v>
      </c>
      <c r="I1553">
        <v>3047.85</v>
      </c>
      <c r="N1553" s="69">
        <v>41255</v>
      </c>
      <c r="O1553">
        <v>499.9</v>
      </c>
      <c r="P1553">
        <v>498.9</v>
      </c>
      <c r="Q1553">
        <v>500.35</v>
      </c>
      <c r="R1553">
        <v>498.9</v>
      </c>
      <c r="S1553" s="3">
        <v>0</v>
      </c>
      <c r="T1553">
        <f t="shared" si="49"/>
        <v>2012</v>
      </c>
      <c r="W1553" s="86">
        <v>42977</v>
      </c>
      <c r="X1553">
        <v>576.25</v>
      </c>
    </row>
    <row r="1554" spans="1:24">
      <c r="A1554" s="68">
        <v>35120</v>
      </c>
      <c r="B1554" s="33">
        <v>1036.71</v>
      </c>
      <c r="C1554">
        <f t="shared" si="48"/>
        <v>1996</v>
      </c>
      <c r="H1554" s="85">
        <v>42459</v>
      </c>
      <c r="I1554">
        <v>3052.33</v>
      </c>
      <c r="N1554" s="69">
        <v>41254</v>
      </c>
      <c r="O1554">
        <v>499.9</v>
      </c>
      <c r="P1554">
        <v>498.9</v>
      </c>
      <c r="Q1554">
        <v>499.95</v>
      </c>
      <c r="R1554">
        <v>498.9</v>
      </c>
      <c r="S1554" s="3">
        <v>0</v>
      </c>
      <c r="T1554">
        <f t="shared" si="49"/>
        <v>2012</v>
      </c>
      <c r="W1554" s="86">
        <v>42978</v>
      </c>
      <c r="X1554">
        <v>577.07000000000005</v>
      </c>
    </row>
    <row r="1555" spans="1:24">
      <c r="A1555" s="68">
        <v>35121</v>
      </c>
      <c r="B1555" s="32">
        <v>1036.71</v>
      </c>
      <c r="C1555">
        <f t="shared" si="48"/>
        <v>1996</v>
      </c>
      <c r="H1555" s="85">
        <v>42460</v>
      </c>
      <c r="I1555">
        <v>3022.35</v>
      </c>
      <c r="N1555" s="69">
        <v>41253</v>
      </c>
      <c r="O1555">
        <v>499.9</v>
      </c>
      <c r="P1555">
        <v>498.5</v>
      </c>
      <c r="Q1555">
        <v>499.95</v>
      </c>
      <c r="R1555">
        <v>498.5</v>
      </c>
      <c r="S1555" s="3">
        <v>8.0000000000000004E-4</v>
      </c>
      <c r="T1555">
        <f t="shared" si="49"/>
        <v>2012</v>
      </c>
      <c r="W1555" s="86">
        <v>42979</v>
      </c>
      <c r="X1555">
        <v>577.80999999999995</v>
      </c>
    </row>
    <row r="1556" spans="1:24">
      <c r="A1556" s="68">
        <v>35122</v>
      </c>
      <c r="B1556" s="33">
        <v>1038.49</v>
      </c>
      <c r="C1556">
        <f t="shared" si="48"/>
        <v>1996</v>
      </c>
      <c r="H1556" s="85">
        <v>42461</v>
      </c>
      <c r="I1556">
        <v>3000.63</v>
      </c>
      <c r="N1556" s="69">
        <v>41250</v>
      </c>
      <c r="O1556">
        <v>499.5</v>
      </c>
      <c r="P1556">
        <v>498.6</v>
      </c>
      <c r="Q1556">
        <v>499.95</v>
      </c>
      <c r="R1556">
        <v>498.5</v>
      </c>
      <c r="S1556" s="3">
        <v>-2.0000000000000001E-4</v>
      </c>
      <c r="T1556">
        <f t="shared" si="49"/>
        <v>2012</v>
      </c>
      <c r="W1556" s="86">
        <v>42982</v>
      </c>
      <c r="X1556">
        <v>577.70000000000005</v>
      </c>
    </row>
    <row r="1557" spans="1:24">
      <c r="A1557" s="68">
        <v>35123</v>
      </c>
      <c r="B1557" s="32">
        <v>1039.06</v>
      </c>
      <c r="C1557">
        <f t="shared" si="48"/>
        <v>1996</v>
      </c>
      <c r="H1557" s="85">
        <v>42462</v>
      </c>
      <c r="I1557">
        <v>3038.48</v>
      </c>
      <c r="N1557" s="69">
        <v>41249</v>
      </c>
      <c r="O1557">
        <v>499.6</v>
      </c>
      <c r="P1557">
        <v>498.6</v>
      </c>
      <c r="Q1557">
        <v>499.95</v>
      </c>
      <c r="R1557">
        <v>498.6</v>
      </c>
      <c r="S1557" s="3">
        <v>0</v>
      </c>
      <c r="T1557">
        <f t="shared" si="49"/>
        <v>2012</v>
      </c>
      <c r="W1557" s="86">
        <v>42983</v>
      </c>
      <c r="X1557">
        <v>578.16999999999996</v>
      </c>
    </row>
    <row r="1558" spans="1:24">
      <c r="A1558" s="68">
        <v>35124</v>
      </c>
      <c r="B1558" s="33">
        <v>1039.81</v>
      </c>
      <c r="C1558">
        <f t="shared" si="48"/>
        <v>1996</v>
      </c>
      <c r="H1558" s="85">
        <v>42463</v>
      </c>
      <c r="I1558">
        <v>3038.48</v>
      </c>
      <c r="N1558" s="69">
        <v>41248</v>
      </c>
      <c r="O1558">
        <v>499.6</v>
      </c>
      <c r="P1558">
        <v>498.6</v>
      </c>
      <c r="Q1558">
        <v>499.95</v>
      </c>
      <c r="R1558">
        <v>498.6</v>
      </c>
      <c r="S1558" s="3">
        <v>0</v>
      </c>
      <c r="T1558">
        <f t="shared" si="49"/>
        <v>2012</v>
      </c>
      <c r="W1558" s="86">
        <v>42984</v>
      </c>
      <c r="X1558">
        <v>579.41999999999996</v>
      </c>
    </row>
    <row r="1559" spans="1:24">
      <c r="A1559" s="68">
        <v>35125</v>
      </c>
      <c r="B1559" s="32">
        <v>1039.9000000000001</v>
      </c>
      <c r="C1559">
        <f t="shared" si="48"/>
        <v>1996</v>
      </c>
      <c r="H1559" s="85">
        <v>42464</v>
      </c>
      <c r="I1559">
        <v>3038.48</v>
      </c>
      <c r="N1559" s="69">
        <v>41247</v>
      </c>
      <c r="O1559">
        <v>499.6</v>
      </c>
      <c r="P1559">
        <v>498.6</v>
      </c>
      <c r="Q1559">
        <v>499.7</v>
      </c>
      <c r="R1559">
        <v>498.6</v>
      </c>
      <c r="S1559" s="3">
        <v>0</v>
      </c>
      <c r="T1559">
        <f t="shared" si="49"/>
        <v>2012</v>
      </c>
      <c r="W1559" s="86">
        <v>42985</v>
      </c>
      <c r="X1559">
        <v>579.11</v>
      </c>
    </row>
    <row r="1560" spans="1:24">
      <c r="A1560" s="68">
        <v>35126</v>
      </c>
      <c r="B1560" s="33">
        <v>1040.7</v>
      </c>
      <c r="C1560">
        <f t="shared" si="48"/>
        <v>1996</v>
      </c>
      <c r="H1560" s="85">
        <v>42465</v>
      </c>
      <c r="I1560">
        <v>3066.94</v>
      </c>
      <c r="N1560" s="69">
        <v>41246</v>
      </c>
      <c r="O1560">
        <v>499.6</v>
      </c>
      <c r="P1560">
        <v>498.6</v>
      </c>
      <c r="Q1560">
        <v>499.7</v>
      </c>
      <c r="R1560">
        <v>498.6</v>
      </c>
      <c r="S1560" s="3">
        <v>0</v>
      </c>
      <c r="T1560">
        <f t="shared" si="49"/>
        <v>2012</v>
      </c>
      <c r="W1560" s="86">
        <v>42986</v>
      </c>
      <c r="X1560">
        <v>581.15</v>
      </c>
    </row>
    <row r="1561" spans="1:24">
      <c r="A1561" s="68">
        <v>35127</v>
      </c>
      <c r="B1561" s="32">
        <v>1040.7</v>
      </c>
      <c r="C1561">
        <f t="shared" si="48"/>
        <v>1996</v>
      </c>
      <c r="H1561" s="85">
        <v>42466</v>
      </c>
      <c r="I1561">
        <v>3085.82</v>
      </c>
      <c r="N1561" s="69">
        <v>41243</v>
      </c>
      <c r="O1561">
        <v>499.6</v>
      </c>
      <c r="P1561">
        <v>498.7</v>
      </c>
      <c r="Q1561">
        <v>499.7</v>
      </c>
      <c r="R1561">
        <v>498.6</v>
      </c>
      <c r="S1561" s="3">
        <v>-2.0000000000000001E-4</v>
      </c>
      <c r="T1561">
        <f t="shared" si="49"/>
        <v>2012</v>
      </c>
      <c r="W1561" s="86">
        <v>42989</v>
      </c>
      <c r="X1561">
        <v>579.28</v>
      </c>
    </row>
    <row r="1562" spans="1:24">
      <c r="A1562" s="68">
        <v>35128</v>
      </c>
      <c r="B1562" s="33">
        <v>1040.7</v>
      </c>
      <c r="C1562">
        <f t="shared" si="48"/>
        <v>1996</v>
      </c>
      <c r="H1562" s="85">
        <v>42467</v>
      </c>
      <c r="I1562">
        <v>3081.39</v>
      </c>
      <c r="N1562" s="69">
        <v>41242</v>
      </c>
      <c r="O1562">
        <v>499.7</v>
      </c>
      <c r="P1562">
        <v>498.7</v>
      </c>
      <c r="Q1562">
        <v>499.7</v>
      </c>
      <c r="R1562">
        <v>498.7</v>
      </c>
      <c r="S1562" s="3">
        <v>0</v>
      </c>
      <c r="T1562">
        <f t="shared" si="49"/>
        <v>2012</v>
      </c>
      <c r="W1562" s="86">
        <v>42990</v>
      </c>
      <c r="X1562">
        <v>580.63</v>
      </c>
    </row>
    <row r="1563" spans="1:24">
      <c r="A1563" s="68">
        <v>35129</v>
      </c>
      <c r="B1563" s="32">
        <v>1041.28</v>
      </c>
      <c r="C1563">
        <f t="shared" si="48"/>
        <v>1996</v>
      </c>
      <c r="H1563" s="85">
        <v>42468</v>
      </c>
      <c r="I1563">
        <v>3109.6</v>
      </c>
      <c r="N1563" s="69">
        <v>41241</v>
      </c>
      <c r="O1563">
        <v>499.7</v>
      </c>
      <c r="P1563">
        <v>498.5</v>
      </c>
      <c r="Q1563">
        <v>499.7</v>
      </c>
      <c r="R1563">
        <v>498.5</v>
      </c>
      <c r="S1563" s="3">
        <v>-1.5E-3</v>
      </c>
      <c r="T1563">
        <f t="shared" si="49"/>
        <v>2012</v>
      </c>
      <c r="W1563" s="86">
        <v>42991</v>
      </c>
      <c r="X1563">
        <v>580.1</v>
      </c>
    </row>
    <row r="1564" spans="1:24">
      <c r="A1564" s="68">
        <v>35130</v>
      </c>
      <c r="B1564" s="33">
        <v>1041.83</v>
      </c>
      <c r="C1564">
        <f t="shared" si="48"/>
        <v>1996</v>
      </c>
      <c r="H1564" s="85">
        <v>42469</v>
      </c>
      <c r="I1564">
        <v>3076.29</v>
      </c>
      <c r="N1564" s="69">
        <v>41240</v>
      </c>
      <c r="O1564">
        <v>500.45</v>
      </c>
      <c r="P1564">
        <v>498.6</v>
      </c>
      <c r="Q1564">
        <v>500.45</v>
      </c>
      <c r="R1564">
        <v>498.5</v>
      </c>
      <c r="S1564" s="3">
        <v>1.6999999999999999E-3</v>
      </c>
      <c r="T1564">
        <f t="shared" si="49"/>
        <v>2012</v>
      </c>
      <c r="W1564" s="86">
        <v>42992</v>
      </c>
      <c r="X1564">
        <v>579.91999999999996</v>
      </c>
    </row>
    <row r="1565" spans="1:24">
      <c r="A1565" s="68">
        <v>35131</v>
      </c>
      <c r="B1565" s="32">
        <v>1042.03</v>
      </c>
      <c r="C1565">
        <f t="shared" si="48"/>
        <v>1996</v>
      </c>
      <c r="H1565" s="85">
        <v>42470</v>
      </c>
      <c r="I1565">
        <v>3076.29</v>
      </c>
      <c r="N1565" s="69">
        <v>41239</v>
      </c>
      <c r="O1565">
        <v>499.6</v>
      </c>
      <c r="P1565">
        <v>498.5</v>
      </c>
      <c r="Q1565">
        <v>499.7</v>
      </c>
      <c r="R1565">
        <v>498.5</v>
      </c>
      <c r="S1565" s="3">
        <v>2.0000000000000001E-4</v>
      </c>
      <c r="T1565">
        <f t="shared" si="49"/>
        <v>2012</v>
      </c>
      <c r="W1565" s="86">
        <v>42993</v>
      </c>
      <c r="X1565">
        <v>579.20000000000005</v>
      </c>
    </row>
    <row r="1566" spans="1:24">
      <c r="A1566" s="68">
        <v>35132</v>
      </c>
      <c r="B1566" s="33">
        <v>1042.6099999999999</v>
      </c>
      <c r="C1566">
        <f t="shared" si="48"/>
        <v>1996</v>
      </c>
      <c r="H1566" s="85">
        <v>42471</v>
      </c>
      <c r="I1566">
        <v>3076.29</v>
      </c>
      <c r="N1566" s="69">
        <v>41236</v>
      </c>
      <c r="O1566">
        <v>499.5</v>
      </c>
      <c r="P1566">
        <v>498.5</v>
      </c>
      <c r="Q1566">
        <v>499.7</v>
      </c>
      <c r="R1566">
        <v>498.5</v>
      </c>
      <c r="S1566" s="3">
        <v>0</v>
      </c>
      <c r="T1566">
        <f t="shared" si="49"/>
        <v>2012</v>
      </c>
      <c r="W1566" s="86">
        <v>42996</v>
      </c>
      <c r="X1566">
        <v>579.20000000000005</v>
      </c>
    </row>
    <row r="1567" spans="1:24">
      <c r="A1567" s="68">
        <v>35133</v>
      </c>
      <c r="B1567" s="32">
        <v>1042.42</v>
      </c>
      <c r="C1567">
        <f t="shared" si="48"/>
        <v>1996</v>
      </c>
      <c r="H1567" s="85">
        <v>42472</v>
      </c>
      <c r="I1567">
        <v>3057.96</v>
      </c>
      <c r="N1567" s="69">
        <v>41235</v>
      </c>
      <c r="O1567">
        <v>499.5</v>
      </c>
      <c r="P1567">
        <v>498.5</v>
      </c>
      <c r="Q1567">
        <v>499.5</v>
      </c>
      <c r="R1567">
        <v>498.5</v>
      </c>
      <c r="S1567" s="3">
        <v>0</v>
      </c>
      <c r="T1567">
        <f t="shared" si="49"/>
        <v>2012</v>
      </c>
      <c r="W1567" s="86">
        <v>42997</v>
      </c>
      <c r="X1567">
        <v>578.5</v>
      </c>
    </row>
    <row r="1568" spans="1:24">
      <c r="A1568" s="68">
        <v>35134</v>
      </c>
      <c r="B1568" s="33">
        <v>1042.42</v>
      </c>
      <c r="C1568">
        <f t="shared" si="48"/>
        <v>1996</v>
      </c>
      <c r="H1568" s="85">
        <v>42473</v>
      </c>
      <c r="I1568">
        <v>3036.57</v>
      </c>
      <c r="N1568" s="69">
        <v>41234</v>
      </c>
      <c r="O1568">
        <v>499.5</v>
      </c>
      <c r="P1568">
        <v>498.5</v>
      </c>
      <c r="Q1568">
        <v>499.7</v>
      </c>
      <c r="R1568">
        <v>498.5</v>
      </c>
      <c r="S1568" s="3">
        <v>0</v>
      </c>
      <c r="T1568">
        <f t="shared" si="49"/>
        <v>2012</v>
      </c>
      <c r="W1568" s="86">
        <v>42998</v>
      </c>
      <c r="X1568">
        <v>578.41999999999996</v>
      </c>
    </row>
    <row r="1569" spans="1:24">
      <c r="A1569" s="68">
        <v>35135</v>
      </c>
      <c r="B1569" s="32">
        <v>1042.42</v>
      </c>
      <c r="C1569">
        <f t="shared" si="48"/>
        <v>1996</v>
      </c>
      <c r="H1569" s="85">
        <v>42474</v>
      </c>
      <c r="I1569">
        <v>3006.35</v>
      </c>
      <c r="N1569" s="69">
        <v>41233</v>
      </c>
      <c r="O1569">
        <v>499.5</v>
      </c>
      <c r="P1569">
        <v>498.4</v>
      </c>
      <c r="Q1569">
        <v>499.7</v>
      </c>
      <c r="R1569">
        <v>498.4</v>
      </c>
      <c r="S1569" s="3">
        <v>2.0000000000000001E-4</v>
      </c>
      <c r="T1569">
        <f t="shared" si="49"/>
        <v>2012</v>
      </c>
      <c r="W1569" s="86">
        <v>42999</v>
      </c>
      <c r="X1569">
        <v>577.9</v>
      </c>
    </row>
    <row r="1570" spans="1:24">
      <c r="A1570" s="68">
        <v>35136</v>
      </c>
      <c r="B1570" s="33">
        <v>1043.5</v>
      </c>
      <c r="C1570">
        <f t="shared" si="48"/>
        <v>1996</v>
      </c>
      <c r="H1570" s="85">
        <v>42475</v>
      </c>
      <c r="I1570">
        <v>3000.78</v>
      </c>
      <c r="N1570" s="69">
        <v>41232</v>
      </c>
      <c r="O1570">
        <v>499.4</v>
      </c>
      <c r="P1570">
        <v>498.5</v>
      </c>
      <c r="Q1570">
        <v>499.5</v>
      </c>
      <c r="R1570">
        <v>498.4</v>
      </c>
      <c r="S1570" s="3">
        <v>-2.0000000000000001E-4</v>
      </c>
      <c r="T1570">
        <f t="shared" si="49"/>
        <v>2012</v>
      </c>
      <c r="W1570" s="86">
        <v>43000</v>
      </c>
      <c r="X1570">
        <v>577.54999999999995</v>
      </c>
    </row>
    <row r="1571" spans="1:24">
      <c r="A1571" s="68">
        <v>35137</v>
      </c>
      <c r="B1571" s="32">
        <v>1044.07</v>
      </c>
      <c r="C1571">
        <f t="shared" si="48"/>
        <v>1996</v>
      </c>
      <c r="H1571" s="85">
        <v>42476</v>
      </c>
      <c r="I1571">
        <v>2999.38</v>
      </c>
      <c r="N1571" s="69">
        <v>41229</v>
      </c>
      <c r="O1571">
        <v>499.5</v>
      </c>
      <c r="P1571">
        <v>498.5</v>
      </c>
      <c r="Q1571">
        <v>499.7</v>
      </c>
      <c r="R1571">
        <v>498.5</v>
      </c>
      <c r="S1571" s="3">
        <v>0</v>
      </c>
      <c r="T1571">
        <f t="shared" si="49"/>
        <v>2012</v>
      </c>
      <c r="W1571" s="86">
        <v>43003</v>
      </c>
      <c r="X1571">
        <v>576.20000000000005</v>
      </c>
    </row>
    <row r="1572" spans="1:24">
      <c r="A1572" s="68">
        <v>35138</v>
      </c>
      <c r="B1572" s="33">
        <v>1044.99</v>
      </c>
      <c r="C1572">
        <f t="shared" si="48"/>
        <v>1996</v>
      </c>
      <c r="H1572" s="85">
        <v>42477</v>
      </c>
      <c r="I1572">
        <v>2999.38</v>
      </c>
      <c r="N1572" s="69">
        <v>41228</v>
      </c>
      <c r="O1572">
        <v>499.5</v>
      </c>
      <c r="P1572">
        <v>498.7</v>
      </c>
      <c r="Q1572">
        <v>499.7</v>
      </c>
      <c r="R1572">
        <v>498.5</v>
      </c>
      <c r="S1572" s="3">
        <v>-4.0000000000000002E-4</v>
      </c>
      <c r="T1572">
        <f t="shared" si="49"/>
        <v>2012</v>
      </c>
      <c r="W1572" s="86">
        <v>43004</v>
      </c>
      <c r="X1572">
        <v>577.15</v>
      </c>
    </row>
    <row r="1573" spans="1:24">
      <c r="A1573" s="68">
        <v>35139</v>
      </c>
      <c r="B1573" s="32">
        <v>1045.44</v>
      </c>
      <c r="C1573">
        <f t="shared" si="48"/>
        <v>1996</v>
      </c>
      <c r="H1573" s="85">
        <v>42478</v>
      </c>
      <c r="I1573">
        <v>2999.38</v>
      </c>
      <c r="N1573" s="69">
        <v>41227</v>
      </c>
      <c r="O1573">
        <v>499.7</v>
      </c>
      <c r="P1573">
        <v>498.6</v>
      </c>
      <c r="Q1573">
        <v>499.7</v>
      </c>
      <c r="R1573">
        <v>498.6</v>
      </c>
      <c r="S1573" s="3">
        <v>2.0000000000000001E-4</v>
      </c>
      <c r="T1573">
        <f t="shared" si="49"/>
        <v>2012</v>
      </c>
      <c r="W1573" s="86">
        <v>43005</v>
      </c>
      <c r="X1573">
        <v>575.73</v>
      </c>
    </row>
    <row r="1574" spans="1:24">
      <c r="A1574" s="68">
        <v>35140</v>
      </c>
      <c r="B1574" s="33">
        <v>1046.0899999999999</v>
      </c>
      <c r="C1574">
        <f t="shared" si="48"/>
        <v>1996</v>
      </c>
      <c r="H1574" s="85">
        <v>42479</v>
      </c>
      <c r="I1574">
        <v>2995.86</v>
      </c>
      <c r="N1574" s="69">
        <v>41226</v>
      </c>
      <c r="O1574">
        <v>499.6</v>
      </c>
      <c r="P1574">
        <v>498.6</v>
      </c>
      <c r="Q1574">
        <v>499.7</v>
      </c>
      <c r="R1574">
        <v>498.6</v>
      </c>
      <c r="S1574" s="3">
        <v>0</v>
      </c>
      <c r="T1574">
        <f t="shared" si="49"/>
        <v>2012</v>
      </c>
      <c r="W1574" s="86">
        <v>43006</v>
      </c>
      <c r="X1574">
        <v>575.52</v>
      </c>
    </row>
    <row r="1575" spans="1:24">
      <c r="A1575" s="68">
        <v>35141</v>
      </c>
      <c r="B1575" s="32">
        <v>1046.0899999999999</v>
      </c>
      <c r="C1575">
        <f t="shared" si="48"/>
        <v>1996</v>
      </c>
      <c r="H1575" s="85">
        <v>42480</v>
      </c>
      <c r="I1575">
        <v>2912.2</v>
      </c>
      <c r="N1575" s="69">
        <v>41225</v>
      </c>
      <c r="O1575">
        <v>499.6</v>
      </c>
      <c r="P1575">
        <v>498.6</v>
      </c>
      <c r="Q1575">
        <v>499.7</v>
      </c>
      <c r="R1575">
        <v>498.6</v>
      </c>
      <c r="S1575" s="3">
        <v>0</v>
      </c>
      <c r="T1575">
        <f t="shared" si="49"/>
        <v>2012</v>
      </c>
      <c r="W1575" s="86">
        <v>43007</v>
      </c>
      <c r="X1575">
        <v>574.38</v>
      </c>
    </row>
    <row r="1576" spans="1:24">
      <c r="A1576" s="68">
        <v>35142</v>
      </c>
      <c r="B1576" s="33">
        <v>1046.0899999999999</v>
      </c>
      <c r="C1576">
        <f t="shared" si="48"/>
        <v>1996</v>
      </c>
      <c r="H1576" s="85">
        <v>42481</v>
      </c>
      <c r="I1576">
        <v>2899.92</v>
      </c>
      <c r="N1576" s="69">
        <v>41222</v>
      </c>
      <c r="O1576">
        <v>499.6</v>
      </c>
      <c r="P1576">
        <v>498.6</v>
      </c>
      <c r="Q1576">
        <v>499.7</v>
      </c>
      <c r="R1576">
        <v>498.6</v>
      </c>
      <c r="S1576" s="3">
        <v>0</v>
      </c>
      <c r="T1576">
        <f t="shared" si="49"/>
        <v>2012</v>
      </c>
      <c r="W1576" s="86">
        <v>43010</v>
      </c>
      <c r="X1576">
        <v>573.32000000000005</v>
      </c>
    </row>
    <row r="1577" spans="1:24">
      <c r="A1577" s="68">
        <v>35143</v>
      </c>
      <c r="B1577" s="32">
        <v>1046.76</v>
      </c>
      <c r="C1577">
        <f t="shared" si="48"/>
        <v>1996</v>
      </c>
      <c r="H1577" s="85">
        <v>42482</v>
      </c>
      <c r="I1577">
        <v>2928.7</v>
      </c>
      <c r="N1577" s="69">
        <v>41221</v>
      </c>
      <c r="O1577">
        <v>499.6</v>
      </c>
      <c r="P1577">
        <v>498.6</v>
      </c>
      <c r="Q1577">
        <v>499.7</v>
      </c>
      <c r="R1577">
        <v>498.6</v>
      </c>
      <c r="S1577" s="3">
        <v>0</v>
      </c>
      <c r="T1577">
        <f t="shared" si="49"/>
        <v>2012</v>
      </c>
      <c r="W1577" s="86">
        <v>43011</v>
      </c>
      <c r="X1577">
        <v>577.15</v>
      </c>
    </row>
    <row r="1578" spans="1:24">
      <c r="A1578" s="68">
        <v>35144</v>
      </c>
      <c r="B1578" s="33">
        <v>1047.24</v>
      </c>
      <c r="C1578">
        <f t="shared" si="48"/>
        <v>1996</v>
      </c>
      <c r="H1578" s="85">
        <v>42483</v>
      </c>
      <c r="I1578">
        <v>2939.7</v>
      </c>
      <c r="N1578" s="69">
        <v>41220</v>
      </c>
      <c r="O1578">
        <v>499.6</v>
      </c>
      <c r="P1578">
        <v>498.7</v>
      </c>
      <c r="Q1578">
        <v>500.7</v>
      </c>
      <c r="R1578">
        <v>498.6</v>
      </c>
      <c r="S1578" s="3">
        <v>-2.0000000000000001E-4</v>
      </c>
      <c r="T1578">
        <f t="shared" si="49"/>
        <v>2012</v>
      </c>
      <c r="W1578" s="86">
        <v>43012</v>
      </c>
      <c r="X1578">
        <v>573.34</v>
      </c>
    </row>
    <row r="1579" spans="1:24">
      <c r="A1579" s="68">
        <v>35145</v>
      </c>
      <c r="B1579" s="32">
        <v>1047.6500000000001</v>
      </c>
      <c r="C1579">
        <f t="shared" si="48"/>
        <v>1996</v>
      </c>
      <c r="H1579" s="85">
        <v>42484</v>
      </c>
      <c r="I1579">
        <v>2939.7</v>
      </c>
      <c r="N1579" s="69">
        <v>41219</v>
      </c>
      <c r="O1579">
        <v>499.7</v>
      </c>
      <c r="P1579">
        <v>498.7</v>
      </c>
      <c r="Q1579">
        <v>499.7</v>
      </c>
      <c r="R1579">
        <v>498.7</v>
      </c>
      <c r="S1579" s="3">
        <v>0</v>
      </c>
      <c r="T1579">
        <f t="shared" si="49"/>
        <v>2012</v>
      </c>
      <c r="W1579" s="86">
        <v>43013</v>
      </c>
      <c r="X1579">
        <v>575.6</v>
      </c>
    </row>
    <row r="1580" spans="1:24">
      <c r="A1580" s="68">
        <v>35146</v>
      </c>
      <c r="B1580" s="33">
        <v>1048.4000000000001</v>
      </c>
      <c r="C1580">
        <f t="shared" si="48"/>
        <v>1996</v>
      </c>
      <c r="H1580" s="85">
        <v>42485</v>
      </c>
      <c r="I1580">
        <v>2939.7</v>
      </c>
      <c r="N1580" s="69">
        <v>41218</v>
      </c>
      <c r="O1580">
        <v>499.7</v>
      </c>
      <c r="P1580">
        <v>498.6</v>
      </c>
      <c r="Q1580">
        <v>499.7</v>
      </c>
      <c r="R1580">
        <v>498.6</v>
      </c>
      <c r="S1580" s="3">
        <v>2.0000000000000001E-4</v>
      </c>
      <c r="T1580">
        <f t="shared" si="49"/>
        <v>2012</v>
      </c>
      <c r="W1580" s="86">
        <v>43014</v>
      </c>
      <c r="X1580">
        <v>576.72</v>
      </c>
    </row>
    <row r="1581" spans="1:24">
      <c r="A1581" s="68">
        <v>35147</v>
      </c>
      <c r="B1581" s="32">
        <v>1048</v>
      </c>
      <c r="C1581">
        <f t="shared" si="48"/>
        <v>1996</v>
      </c>
      <c r="H1581" s="85">
        <v>42486</v>
      </c>
      <c r="I1581">
        <v>2962.08</v>
      </c>
      <c r="N1581" s="69">
        <v>41215</v>
      </c>
      <c r="O1581">
        <v>499.6</v>
      </c>
      <c r="P1581">
        <v>498.5</v>
      </c>
      <c r="Q1581">
        <v>499.7</v>
      </c>
      <c r="R1581">
        <v>498.5</v>
      </c>
      <c r="S1581" s="3">
        <v>2.0000000000000001E-4</v>
      </c>
      <c r="T1581">
        <f t="shared" si="49"/>
        <v>2012</v>
      </c>
      <c r="W1581" s="86">
        <v>43017</v>
      </c>
      <c r="X1581">
        <v>576.27</v>
      </c>
    </row>
    <row r="1582" spans="1:24">
      <c r="A1582" s="68">
        <v>35148</v>
      </c>
      <c r="B1582" s="33">
        <v>1048</v>
      </c>
      <c r="C1582">
        <f t="shared" si="48"/>
        <v>1996</v>
      </c>
      <c r="H1582" s="85">
        <v>42487</v>
      </c>
      <c r="I1582">
        <v>2945.37</v>
      </c>
      <c r="N1582" s="69">
        <v>41214</v>
      </c>
      <c r="O1582">
        <v>499.5</v>
      </c>
      <c r="P1582">
        <v>498.2</v>
      </c>
      <c r="Q1582">
        <v>499.7</v>
      </c>
      <c r="R1582">
        <v>498.2</v>
      </c>
      <c r="S1582" s="3">
        <v>5.9999999999999995E-4</v>
      </c>
      <c r="T1582">
        <f t="shared" si="49"/>
        <v>2012</v>
      </c>
      <c r="W1582" s="86">
        <v>43018</v>
      </c>
      <c r="X1582">
        <v>575.17999999999995</v>
      </c>
    </row>
    <row r="1583" spans="1:24">
      <c r="A1583" s="68">
        <v>35149</v>
      </c>
      <c r="B1583" s="32">
        <v>1048</v>
      </c>
      <c r="C1583">
        <f t="shared" si="48"/>
        <v>1996</v>
      </c>
      <c r="H1583" s="85">
        <v>42488</v>
      </c>
      <c r="I1583">
        <v>2943.23</v>
      </c>
      <c r="N1583" s="69">
        <v>41213</v>
      </c>
      <c r="O1583">
        <v>499.2</v>
      </c>
      <c r="P1583">
        <v>498.4</v>
      </c>
      <c r="Q1583">
        <v>499.4</v>
      </c>
      <c r="R1583">
        <v>498.2</v>
      </c>
      <c r="S1583" s="3">
        <v>-4.0000000000000002E-4</v>
      </c>
      <c r="T1583">
        <f t="shared" si="49"/>
        <v>2012</v>
      </c>
      <c r="W1583" s="86">
        <v>43019</v>
      </c>
      <c r="X1583">
        <v>576.67999999999995</v>
      </c>
    </row>
    <row r="1584" spans="1:24">
      <c r="A1584" s="68">
        <v>35150</v>
      </c>
      <c r="B1584" s="33">
        <v>1048</v>
      </c>
      <c r="C1584">
        <f t="shared" si="48"/>
        <v>1996</v>
      </c>
      <c r="H1584" s="85">
        <v>42489</v>
      </c>
      <c r="I1584">
        <v>2885.72</v>
      </c>
      <c r="N1584" s="69">
        <v>41212</v>
      </c>
      <c r="O1584">
        <v>499.4</v>
      </c>
      <c r="P1584">
        <v>498.4</v>
      </c>
      <c r="Q1584">
        <v>499.4</v>
      </c>
      <c r="R1584">
        <v>498.4</v>
      </c>
      <c r="S1584" s="3">
        <v>0</v>
      </c>
      <c r="T1584">
        <f t="shared" si="49"/>
        <v>2012</v>
      </c>
      <c r="W1584" s="86">
        <v>43020</v>
      </c>
      <c r="X1584">
        <v>576.32000000000005</v>
      </c>
    </row>
    <row r="1585" spans="1:24">
      <c r="A1585" s="68">
        <v>35151</v>
      </c>
      <c r="B1585" s="32">
        <v>1049.08</v>
      </c>
      <c r="C1585">
        <f t="shared" si="48"/>
        <v>1996</v>
      </c>
      <c r="H1585" s="85">
        <v>42490</v>
      </c>
      <c r="I1585">
        <v>2851.14</v>
      </c>
      <c r="N1585" s="69">
        <v>41211</v>
      </c>
      <c r="O1585">
        <v>499.4</v>
      </c>
      <c r="P1585">
        <v>498.5</v>
      </c>
      <c r="Q1585">
        <v>499.5</v>
      </c>
      <c r="R1585">
        <v>498.4</v>
      </c>
      <c r="S1585" s="3">
        <v>-2.0000000000000001E-4</v>
      </c>
      <c r="T1585">
        <f t="shared" si="49"/>
        <v>2012</v>
      </c>
      <c r="W1585" s="86">
        <v>43021</v>
      </c>
      <c r="X1585">
        <v>575.4</v>
      </c>
    </row>
    <row r="1586" spans="1:24">
      <c r="A1586" s="68">
        <v>35152</v>
      </c>
      <c r="B1586" s="33">
        <v>1049.22</v>
      </c>
      <c r="C1586">
        <f t="shared" si="48"/>
        <v>1996</v>
      </c>
      <c r="H1586" s="85">
        <v>42491</v>
      </c>
      <c r="I1586">
        <v>2851.14</v>
      </c>
      <c r="N1586" s="69">
        <v>41208</v>
      </c>
      <c r="O1586">
        <v>499.5</v>
      </c>
      <c r="P1586">
        <v>498.5</v>
      </c>
      <c r="Q1586">
        <v>499.7</v>
      </c>
      <c r="R1586">
        <v>498.5</v>
      </c>
      <c r="S1586" s="3">
        <v>0</v>
      </c>
      <c r="T1586">
        <f t="shared" si="49"/>
        <v>2012</v>
      </c>
      <c r="W1586" s="86">
        <v>43024</v>
      </c>
      <c r="X1586">
        <v>573.12</v>
      </c>
    </row>
    <row r="1587" spans="1:24">
      <c r="A1587" s="68">
        <v>35153</v>
      </c>
      <c r="B1587" s="32">
        <v>1048.42</v>
      </c>
      <c r="C1587">
        <f t="shared" si="48"/>
        <v>1996</v>
      </c>
      <c r="H1587" s="85">
        <v>42492</v>
      </c>
      <c r="I1587">
        <v>2851.14</v>
      </c>
      <c r="N1587" s="69">
        <v>41207</v>
      </c>
      <c r="O1587">
        <v>499.5</v>
      </c>
      <c r="P1587">
        <v>498.5</v>
      </c>
      <c r="Q1587">
        <v>499.7</v>
      </c>
      <c r="R1587">
        <v>498.5</v>
      </c>
      <c r="S1587" s="3">
        <v>0</v>
      </c>
      <c r="T1587">
        <f t="shared" si="49"/>
        <v>2012</v>
      </c>
      <c r="W1587" s="86">
        <v>43025</v>
      </c>
      <c r="X1587">
        <v>573.12</v>
      </c>
    </row>
    <row r="1588" spans="1:24">
      <c r="A1588" s="68">
        <v>35154</v>
      </c>
      <c r="B1588" s="33">
        <v>1046</v>
      </c>
      <c r="C1588">
        <f t="shared" si="48"/>
        <v>1996</v>
      </c>
      <c r="H1588" s="85">
        <v>42493</v>
      </c>
      <c r="I1588">
        <v>2833.78</v>
      </c>
      <c r="N1588" s="69">
        <v>41206</v>
      </c>
      <c r="O1588">
        <v>499.5</v>
      </c>
      <c r="P1588">
        <v>498.5</v>
      </c>
      <c r="Q1588">
        <v>499.7</v>
      </c>
      <c r="R1588">
        <v>498.5</v>
      </c>
      <c r="S1588" s="3">
        <v>0</v>
      </c>
      <c r="T1588">
        <f t="shared" si="49"/>
        <v>2012</v>
      </c>
      <c r="W1588" s="86">
        <v>43026</v>
      </c>
      <c r="X1588">
        <v>571.67999999999995</v>
      </c>
    </row>
    <row r="1589" spans="1:24">
      <c r="A1589" s="68">
        <v>35155</v>
      </c>
      <c r="B1589" s="32">
        <v>1046</v>
      </c>
      <c r="C1589">
        <f t="shared" si="48"/>
        <v>1996</v>
      </c>
      <c r="H1589" s="85">
        <v>42494</v>
      </c>
      <c r="I1589">
        <v>2895.51</v>
      </c>
      <c r="N1589" s="69">
        <v>41205</v>
      </c>
      <c r="O1589">
        <v>499.5</v>
      </c>
      <c r="P1589">
        <v>498.5</v>
      </c>
      <c r="Q1589">
        <v>499.7</v>
      </c>
      <c r="R1589">
        <v>498.5</v>
      </c>
      <c r="S1589" s="3">
        <v>0</v>
      </c>
      <c r="T1589">
        <f t="shared" si="49"/>
        <v>2012</v>
      </c>
      <c r="W1589" s="86">
        <v>43027</v>
      </c>
      <c r="X1589">
        <v>568.41999999999996</v>
      </c>
    </row>
    <row r="1590" spans="1:24">
      <c r="A1590" s="68">
        <v>35156</v>
      </c>
      <c r="B1590" s="33">
        <v>1046</v>
      </c>
      <c r="C1590">
        <f t="shared" si="48"/>
        <v>1996</v>
      </c>
      <c r="H1590" s="85">
        <v>42495</v>
      </c>
      <c r="I1590">
        <v>2942.16</v>
      </c>
      <c r="N1590" s="69">
        <v>41204</v>
      </c>
      <c r="O1590">
        <v>499.5</v>
      </c>
      <c r="P1590">
        <v>498.5</v>
      </c>
      <c r="Q1590">
        <v>499.7</v>
      </c>
      <c r="R1590">
        <v>498.5</v>
      </c>
      <c r="S1590" s="3">
        <v>0</v>
      </c>
      <c r="T1590">
        <f t="shared" si="49"/>
        <v>2012</v>
      </c>
      <c r="W1590" s="86">
        <v>43028</v>
      </c>
      <c r="X1590">
        <v>572.29</v>
      </c>
    </row>
    <row r="1591" spans="1:24">
      <c r="A1591" s="68">
        <v>35157</v>
      </c>
      <c r="B1591" s="32">
        <v>1042.2</v>
      </c>
      <c r="C1591">
        <f t="shared" si="48"/>
        <v>1996</v>
      </c>
      <c r="H1591" s="85">
        <v>42496</v>
      </c>
      <c r="I1591">
        <v>2952.37</v>
      </c>
      <c r="N1591" s="69">
        <v>41201</v>
      </c>
      <c r="O1591">
        <v>499.5</v>
      </c>
      <c r="P1591">
        <v>498.5</v>
      </c>
      <c r="Q1591">
        <v>499.7</v>
      </c>
      <c r="R1591">
        <v>498.5</v>
      </c>
      <c r="S1591" s="3">
        <v>0</v>
      </c>
      <c r="T1591">
        <f t="shared" si="49"/>
        <v>2012</v>
      </c>
      <c r="W1591" s="86">
        <v>43031</v>
      </c>
      <c r="X1591">
        <v>572.12</v>
      </c>
    </row>
    <row r="1592" spans="1:24">
      <c r="A1592" s="68">
        <v>35158</v>
      </c>
      <c r="B1592" s="33">
        <v>1045.23</v>
      </c>
      <c r="C1592">
        <f t="shared" si="48"/>
        <v>1996</v>
      </c>
      <c r="H1592" s="85">
        <v>42497</v>
      </c>
      <c r="I1592">
        <v>2969.62</v>
      </c>
      <c r="N1592" s="69">
        <v>41200</v>
      </c>
      <c r="O1592">
        <v>499.5</v>
      </c>
      <c r="P1592">
        <v>498.5</v>
      </c>
      <c r="Q1592">
        <v>499.7</v>
      </c>
      <c r="R1592">
        <v>498.5</v>
      </c>
      <c r="S1592" s="3">
        <v>0</v>
      </c>
      <c r="T1592">
        <f t="shared" si="49"/>
        <v>2012</v>
      </c>
      <c r="W1592" s="86">
        <v>43032</v>
      </c>
      <c r="X1592">
        <v>569.87</v>
      </c>
    </row>
    <row r="1593" spans="1:24">
      <c r="A1593" s="68">
        <v>35159</v>
      </c>
      <c r="B1593" s="32">
        <v>1046.92</v>
      </c>
      <c r="C1593">
        <f t="shared" si="48"/>
        <v>1996</v>
      </c>
      <c r="H1593" s="85">
        <v>42498</v>
      </c>
      <c r="I1593">
        <v>2969.62</v>
      </c>
      <c r="N1593" s="69">
        <v>41199</v>
      </c>
      <c r="O1593">
        <v>499.5</v>
      </c>
      <c r="P1593">
        <v>498.5</v>
      </c>
      <c r="Q1593">
        <v>499.7</v>
      </c>
      <c r="R1593">
        <v>498.5</v>
      </c>
      <c r="S1593" s="3">
        <v>0</v>
      </c>
      <c r="T1593">
        <f t="shared" si="49"/>
        <v>2012</v>
      </c>
      <c r="W1593" s="86">
        <v>43033</v>
      </c>
      <c r="X1593">
        <v>569.62</v>
      </c>
    </row>
    <row r="1594" spans="1:24">
      <c r="A1594" s="68">
        <v>35160</v>
      </c>
      <c r="B1594" s="33">
        <v>1046.92</v>
      </c>
      <c r="C1594">
        <f t="shared" si="48"/>
        <v>1996</v>
      </c>
      <c r="H1594" s="85">
        <v>42499</v>
      </c>
      <c r="I1594">
        <v>2969.62</v>
      </c>
      <c r="N1594" s="69">
        <v>41198</v>
      </c>
      <c r="O1594">
        <v>499.5</v>
      </c>
      <c r="P1594">
        <v>498.5</v>
      </c>
      <c r="Q1594">
        <v>499.7</v>
      </c>
      <c r="R1594">
        <v>498.5</v>
      </c>
      <c r="S1594" s="3">
        <v>0</v>
      </c>
      <c r="T1594">
        <f t="shared" si="49"/>
        <v>2012</v>
      </c>
      <c r="W1594" s="86">
        <v>43034</v>
      </c>
      <c r="X1594">
        <v>572.20000000000005</v>
      </c>
    </row>
    <row r="1595" spans="1:24">
      <c r="A1595" s="68">
        <v>35161</v>
      </c>
      <c r="B1595" s="32">
        <v>1046.92</v>
      </c>
      <c r="C1595">
        <f t="shared" si="48"/>
        <v>1996</v>
      </c>
      <c r="H1595" s="85">
        <v>42500</v>
      </c>
      <c r="I1595">
        <v>2969.62</v>
      </c>
      <c r="N1595" s="69">
        <v>41197</v>
      </c>
      <c r="O1595">
        <v>499.5</v>
      </c>
      <c r="P1595">
        <v>498.5</v>
      </c>
      <c r="Q1595">
        <v>499.7</v>
      </c>
      <c r="R1595">
        <v>498.5</v>
      </c>
      <c r="S1595" s="3">
        <v>0</v>
      </c>
      <c r="T1595">
        <f t="shared" si="49"/>
        <v>2012</v>
      </c>
      <c r="W1595" s="86">
        <v>43035</v>
      </c>
      <c r="X1595">
        <v>571.82000000000005</v>
      </c>
    </row>
    <row r="1596" spans="1:24">
      <c r="A1596" s="68">
        <v>35162</v>
      </c>
      <c r="B1596" s="33">
        <v>1046.92</v>
      </c>
      <c r="C1596">
        <f t="shared" si="48"/>
        <v>1996</v>
      </c>
      <c r="H1596" s="85">
        <v>42501</v>
      </c>
      <c r="I1596">
        <v>2979.54</v>
      </c>
      <c r="N1596" s="69">
        <v>41194</v>
      </c>
      <c r="O1596">
        <v>499.5</v>
      </c>
      <c r="P1596">
        <v>498.5</v>
      </c>
      <c r="Q1596">
        <v>499.7</v>
      </c>
      <c r="R1596">
        <v>498.5</v>
      </c>
      <c r="S1596" s="3">
        <v>0</v>
      </c>
      <c r="T1596">
        <f t="shared" si="49"/>
        <v>2012</v>
      </c>
      <c r="W1596" s="86">
        <v>43038</v>
      </c>
      <c r="X1596">
        <v>569.84</v>
      </c>
    </row>
    <row r="1597" spans="1:24">
      <c r="A1597" s="68">
        <v>35163</v>
      </c>
      <c r="B1597" s="32">
        <v>1046.92</v>
      </c>
      <c r="C1597">
        <f t="shared" si="48"/>
        <v>1996</v>
      </c>
      <c r="H1597" s="85">
        <v>42502</v>
      </c>
      <c r="I1597">
        <v>2956.82</v>
      </c>
      <c r="N1597" s="69">
        <v>41193</v>
      </c>
      <c r="O1597">
        <v>499.5</v>
      </c>
      <c r="P1597">
        <v>498</v>
      </c>
      <c r="Q1597">
        <v>499.7</v>
      </c>
      <c r="R1597">
        <v>498</v>
      </c>
      <c r="S1597" s="3">
        <v>1E-3</v>
      </c>
      <c r="T1597">
        <f t="shared" si="49"/>
        <v>2012</v>
      </c>
      <c r="W1597" s="86">
        <v>43039</v>
      </c>
      <c r="X1597">
        <v>569.75</v>
      </c>
    </row>
    <row r="1598" spans="1:24">
      <c r="A1598" s="68">
        <v>35164</v>
      </c>
      <c r="B1598" s="33">
        <v>1050.1199999999999</v>
      </c>
      <c r="C1598">
        <f t="shared" si="48"/>
        <v>1996</v>
      </c>
      <c r="H1598" s="85">
        <v>42503</v>
      </c>
      <c r="I1598">
        <v>2934.88</v>
      </c>
      <c r="N1598" s="69">
        <v>41192</v>
      </c>
      <c r="O1598">
        <v>499</v>
      </c>
      <c r="P1598">
        <v>498</v>
      </c>
      <c r="Q1598">
        <v>499.7</v>
      </c>
      <c r="R1598">
        <v>498</v>
      </c>
      <c r="S1598" s="3">
        <v>0</v>
      </c>
      <c r="T1598">
        <f t="shared" si="49"/>
        <v>2012</v>
      </c>
      <c r="W1598" s="86">
        <v>43040</v>
      </c>
      <c r="X1598">
        <v>571.22</v>
      </c>
    </row>
    <row r="1599" spans="1:24">
      <c r="A1599" s="68">
        <v>35165</v>
      </c>
      <c r="B1599" s="32">
        <v>1047.3499999999999</v>
      </c>
      <c r="C1599">
        <f t="shared" si="48"/>
        <v>1996</v>
      </c>
      <c r="H1599" s="85">
        <v>42504</v>
      </c>
      <c r="I1599">
        <v>2983.82</v>
      </c>
      <c r="N1599" s="69">
        <v>41191</v>
      </c>
      <c r="O1599">
        <v>499</v>
      </c>
      <c r="P1599">
        <v>498.5</v>
      </c>
      <c r="Q1599">
        <v>499.5</v>
      </c>
      <c r="R1599">
        <v>498</v>
      </c>
      <c r="S1599" s="3">
        <v>-1E-3</v>
      </c>
      <c r="T1599">
        <f t="shared" si="49"/>
        <v>2012</v>
      </c>
      <c r="W1599" s="86">
        <v>43041</v>
      </c>
      <c r="X1599">
        <v>569.27</v>
      </c>
    </row>
    <row r="1600" spans="1:24">
      <c r="A1600" s="68">
        <v>35166</v>
      </c>
      <c r="B1600" s="33">
        <v>1046.55</v>
      </c>
      <c r="C1600">
        <f t="shared" si="48"/>
        <v>1996</v>
      </c>
      <c r="H1600" s="85">
        <v>42505</v>
      </c>
      <c r="I1600">
        <v>2983.82</v>
      </c>
      <c r="N1600" s="69">
        <v>41190</v>
      </c>
      <c r="O1600">
        <v>499.5</v>
      </c>
      <c r="P1600">
        <v>498.5</v>
      </c>
      <c r="Q1600">
        <v>500.7</v>
      </c>
      <c r="R1600">
        <v>498.5</v>
      </c>
      <c r="S1600" s="3">
        <v>0</v>
      </c>
      <c r="T1600">
        <f t="shared" si="49"/>
        <v>2012</v>
      </c>
      <c r="W1600" s="86">
        <v>43042</v>
      </c>
      <c r="X1600">
        <v>572.64</v>
      </c>
    </row>
    <row r="1601" spans="1:24">
      <c r="A1601" s="68">
        <v>35167</v>
      </c>
      <c r="B1601" s="32">
        <v>1047.48</v>
      </c>
      <c r="C1601">
        <f t="shared" si="48"/>
        <v>1996</v>
      </c>
      <c r="H1601" s="85">
        <v>42506</v>
      </c>
      <c r="I1601">
        <v>2983.82</v>
      </c>
      <c r="N1601" s="69">
        <v>41187</v>
      </c>
      <c r="O1601">
        <v>499.5</v>
      </c>
      <c r="P1601">
        <v>498.5</v>
      </c>
      <c r="Q1601">
        <v>499.7</v>
      </c>
      <c r="R1601">
        <v>498.5</v>
      </c>
      <c r="S1601" s="3">
        <v>0</v>
      </c>
      <c r="T1601">
        <f t="shared" si="49"/>
        <v>2012</v>
      </c>
      <c r="W1601" s="86">
        <v>43045</v>
      </c>
      <c r="X1601">
        <v>571.35</v>
      </c>
    </row>
    <row r="1602" spans="1:24">
      <c r="A1602" s="68">
        <v>35168</v>
      </c>
      <c r="B1602" s="33">
        <v>1048.8900000000001</v>
      </c>
      <c r="C1602">
        <f t="shared" si="48"/>
        <v>1996</v>
      </c>
      <c r="H1602" s="85">
        <v>42507</v>
      </c>
      <c r="I1602">
        <v>3007.74</v>
      </c>
      <c r="N1602" s="69">
        <v>41186</v>
      </c>
      <c r="O1602">
        <v>499.5</v>
      </c>
      <c r="P1602">
        <v>498.5</v>
      </c>
      <c r="Q1602">
        <v>499.7</v>
      </c>
      <c r="R1602">
        <v>498.5</v>
      </c>
      <c r="S1602" s="3">
        <v>0</v>
      </c>
      <c r="T1602">
        <f t="shared" si="49"/>
        <v>2012</v>
      </c>
      <c r="W1602" s="86">
        <v>43046</v>
      </c>
      <c r="X1602">
        <v>570.30999999999995</v>
      </c>
    </row>
    <row r="1603" spans="1:24">
      <c r="A1603" s="68">
        <v>35169</v>
      </c>
      <c r="B1603" s="32">
        <v>1048.8900000000001</v>
      </c>
      <c r="C1603">
        <f t="shared" si="48"/>
        <v>1996</v>
      </c>
      <c r="H1603" s="85">
        <v>42508</v>
      </c>
      <c r="I1603">
        <v>3020.89</v>
      </c>
      <c r="N1603" s="69">
        <v>41185</v>
      </c>
      <c r="O1603">
        <v>499.5</v>
      </c>
      <c r="P1603">
        <v>498.5</v>
      </c>
      <c r="Q1603">
        <v>499.7</v>
      </c>
      <c r="R1603">
        <v>498.5</v>
      </c>
      <c r="S1603" s="3">
        <v>0</v>
      </c>
      <c r="T1603">
        <f t="shared" si="49"/>
        <v>2012</v>
      </c>
      <c r="W1603" s="86">
        <v>43047</v>
      </c>
      <c r="X1603">
        <v>571.9</v>
      </c>
    </row>
    <row r="1604" spans="1:24">
      <c r="A1604" s="68">
        <v>35170</v>
      </c>
      <c r="B1604" s="33">
        <v>1048.8900000000001</v>
      </c>
      <c r="C1604">
        <f t="shared" ref="C1604:C1667" si="50">YEAR(A1604)</f>
        <v>1996</v>
      </c>
      <c r="H1604" s="85">
        <v>42509</v>
      </c>
      <c r="I1604">
        <v>3031.48</v>
      </c>
      <c r="N1604" s="69">
        <v>41184</v>
      </c>
      <c r="O1604">
        <v>499.5</v>
      </c>
      <c r="P1604">
        <v>498.5</v>
      </c>
      <c r="Q1604">
        <v>499.7</v>
      </c>
      <c r="R1604">
        <v>498.5</v>
      </c>
      <c r="S1604" s="3">
        <v>0</v>
      </c>
      <c r="T1604">
        <f t="shared" ref="T1604:T1667" si="51">YEAR(N1604)</f>
        <v>2012</v>
      </c>
      <c r="W1604" s="86">
        <v>43048</v>
      </c>
      <c r="X1604">
        <v>570.03</v>
      </c>
    </row>
    <row r="1605" spans="1:24">
      <c r="A1605" s="68">
        <v>35171</v>
      </c>
      <c r="B1605" s="32">
        <v>1050.73</v>
      </c>
      <c r="C1605">
        <f t="shared" si="50"/>
        <v>1996</v>
      </c>
      <c r="H1605" s="85">
        <v>42510</v>
      </c>
      <c r="I1605">
        <v>3056.06</v>
      </c>
      <c r="N1605" s="69">
        <v>41183</v>
      </c>
      <c r="O1605">
        <v>499.5</v>
      </c>
      <c r="P1605">
        <v>498.5</v>
      </c>
      <c r="Q1605">
        <v>499.7</v>
      </c>
      <c r="R1605">
        <v>498.5</v>
      </c>
      <c r="S1605" s="3">
        <v>0</v>
      </c>
      <c r="T1605">
        <f t="shared" si="51"/>
        <v>2012</v>
      </c>
      <c r="W1605" s="86">
        <v>43049</v>
      </c>
      <c r="X1605">
        <v>572.4</v>
      </c>
    </row>
    <row r="1606" spans="1:24">
      <c r="A1606" s="68">
        <v>35172</v>
      </c>
      <c r="B1606" s="33">
        <v>1054.4100000000001</v>
      </c>
      <c r="C1606">
        <f t="shared" si="50"/>
        <v>1996</v>
      </c>
      <c r="H1606" s="85">
        <v>42511</v>
      </c>
      <c r="I1606">
        <v>3047.99</v>
      </c>
      <c r="N1606" s="69">
        <v>41180</v>
      </c>
      <c r="O1606">
        <v>499.5</v>
      </c>
      <c r="P1606">
        <v>498.5</v>
      </c>
      <c r="Q1606">
        <v>499.7</v>
      </c>
      <c r="R1606">
        <v>498.5</v>
      </c>
      <c r="S1606" s="3">
        <v>0</v>
      </c>
      <c r="T1606">
        <f t="shared" si="51"/>
        <v>2012</v>
      </c>
      <c r="W1606" s="86">
        <v>43052</v>
      </c>
      <c r="X1606">
        <v>571.9</v>
      </c>
    </row>
    <row r="1607" spans="1:24">
      <c r="A1607" s="68">
        <v>35173</v>
      </c>
      <c r="B1607" s="32">
        <v>1054.03</v>
      </c>
      <c r="C1607">
        <f t="shared" si="50"/>
        <v>1996</v>
      </c>
      <c r="H1607" s="85">
        <v>42512</v>
      </c>
      <c r="I1607">
        <v>3047.99</v>
      </c>
      <c r="N1607" s="69">
        <v>41179</v>
      </c>
      <c r="O1607">
        <v>499.5</v>
      </c>
      <c r="P1607">
        <v>498.7</v>
      </c>
      <c r="Q1607">
        <v>499.7</v>
      </c>
      <c r="R1607">
        <v>498.5</v>
      </c>
      <c r="S1607" s="3">
        <v>-4.0000000000000002E-4</v>
      </c>
      <c r="T1607">
        <f t="shared" si="51"/>
        <v>2012</v>
      </c>
      <c r="W1607" s="86">
        <v>43053</v>
      </c>
      <c r="X1607">
        <v>569.38</v>
      </c>
    </row>
    <row r="1608" spans="1:24">
      <c r="A1608" s="68">
        <v>35174</v>
      </c>
      <c r="B1608" s="33">
        <v>1052.9000000000001</v>
      </c>
      <c r="C1608">
        <f t="shared" si="50"/>
        <v>1996</v>
      </c>
      <c r="H1608" s="85">
        <v>42513</v>
      </c>
      <c r="I1608">
        <v>3047.99</v>
      </c>
      <c r="N1608" s="69">
        <v>41178</v>
      </c>
      <c r="O1608">
        <v>499.7</v>
      </c>
      <c r="P1608">
        <v>498.7</v>
      </c>
      <c r="Q1608">
        <v>499.7</v>
      </c>
      <c r="R1608">
        <v>498.5</v>
      </c>
      <c r="S1608" s="3">
        <v>4.0000000000000002E-4</v>
      </c>
      <c r="T1608">
        <f t="shared" si="51"/>
        <v>2012</v>
      </c>
      <c r="W1608" s="86">
        <v>43054</v>
      </c>
      <c r="X1608">
        <v>568.9</v>
      </c>
    </row>
    <row r="1609" spans="1:24">
      <c r="A1609" s="68">
        <v>35175</v>
      </c>
      <c r="B1609" s="32">
        <v>1053.5899999999999</v>
      </c>
      <c r="C1609">
        <f t="shared" si="50"/>
        <v>1996</v>
      </c>
      <c r="H1609" s="85">
        <v>42514</v>
      </c>
      <c r="I1609">
        <v>3058.25</v>
      </c>
      <c r="N1609" s="69">
        <v>41177</v>
      </c>
      <c r="O1609">
        <v>499.5</v>
      </c>
      <c r="P1609">
        <v>498.5</v>
      </c>
      <c r="Q1609">
        <v>499.5</v>
      </c>
      <c r="R1609">
        <v>498.5</v>
      </c>
      <c r="S1609" s="3">
        <v>0</v>
      </c>
      <c r="T1609">
        <f t="shared" si="51"/>
        <v>2012</v>
      </c>
      <c r="W1609" s="86">
        <v>43055</v>
      </c>
      <c r="X1609">
        <v>570.28</v>
      </c>
    </row>
    <row r="1610" spans="1:24">
      <c r="A1610" s="68">
        <v>35176</v>
      </c>
      <c r="B1610" s="33">
        <v>1053.5899999999999</v>
      </c>
      <c r="C1610">
        <f t="shared" si="50"/>
        <v>1996</v>
      </c>
      <c r="H1610" s="85">
        <v>42515</v>
      </c>
      <c r="I1610">
        <v>3059.92</v>
      </c>
      <c r="N1610" s="69">
        <v>41176</v>
      </c>
      <c r="O1610">
        <v>499.5</v>
      </c>
      <c r="P1610">
        <v>498.5</v>
      </c>
      <c r="Q1610">
        <v>499.7</v>
      </c>
      <c r="R1610">
        <v>498.5</v>
      </c>
      <c r="S1610" s="3">
        <v>0</v>
      </c>
      <c r="T1610">
        <f t="shared" si="51"/>
        <v>2012</v>
      </c>
      <c r="W1610" s="86">
        <v>43056</v>
      </c>
      <c r="X1610">
        <v>569.75</v>
      </c>
    </row>
    <row r="1611" spans="1:24">
      <c r="A1611" s="68">
        <v>35177</v>
      </c>
      <c r="B1611" s="32">
        <v>1053.5899999999999</v>
      </c>
      <c r="C1611">
        <f t="shared" si="50"/>
        <v>1996</v>
      </c>
      <c r="H1611" s="85">
        <v>42516</v>
      </c>
      <c r="I1611">
        <v>3061.89</v>
      </c>
      <c r="N1611" s="69">
        <v>41173</v>
      </c>
      <c r="O1611">
        <v>499.5</v>
      </c>
      <c r="P1611">
        <v>498.5</v>
      </c>
      <c r="Q1611">
        <v>499.7</v>
      </c>
      <c r="R1611">
        <v>498.5</v>
      </c>
      <c r="S1611" s="3">
        <v>0</v>
      </c>
      <c r="T1611">
        <f t="shared" si="51"/>
        <v>2012</v>
      </c>
      <c r="W1611" s="86">
        <v>43059</v>
      </c>
      <c r="X1611">
        <v>568.45000000000005</v>
      </c>
    </row>
    <row r="1612" spans="1:24">
      <c r="A1612" s="68">
        <v>35178</v>
      </c>
      <c r="B1612" s="33">
        <v>1054.43</v>
      </c>
      <c r="C1612">
        <f t="shared" si="50"/>
        <v>1996</v>
      </c>
      <c r="H1612" s="85">
        <v>42517</v>
      </c>
      <c r="I1612">
        <v>3054.6</v>
      </c>
      <c r="N1612" s="69">
        <v>41172</v>
      </c>
      <c r="O1612">
        <v>499.5</v>
      </c>
      <c r="P1612">
        <v>498.5</v>
      </c>
      <c r="Q1612">
        <v>499.5</v>
      </c>
      <c r="R1612">
        <v>498.5</v>
      </c>
      <c r="S1612" s="3">
        <v>0</v>
      </c>
      <c r="T1612">
        <f t="shared" si="51"/>
        <v>2012</v>
      </c>
      <c r="W1612" s="86">
        <v>43060</v>
      </c>
      <c r="X1612">
        <v>565.27</v>
      </c>
    </row>
    <row r="1613" spans="1:24">
      <c r="A1613" s="68">
        <v>35179</v>
      </c>
      <c r="B1613" s="32">
        <v>1055.31</v>
      </c>
      <c r="C1613">
        <f t="shared" si="50"/>
        <v>1996</v>
      </c>
      <c r="H1613" s="85">
        <v>42518</v>
      </c>
      <c r="I1613">
        <v>3069.17</v>
      </c>
      <c r="N1613" s="69">
        <v>41171</v>
      </c>
      <c r="O1613">
        <v>499.5</v>
      </c>
      <c r="P1613">
        <v>498.5</v>
      </c>
      <c r="Q1613">
        <v>499.7</v>
      </c>
      <c r="R1613">
        <v>498.5</v>
      </c>
      <c r="S1613" s="3">
        <v>0</v>
      </c>
      <c r="T1613">
        <f t="shared" si="51"/>
        <v>2012</v>
      </c>
      <c r="W1613" s="86">
        <v>43061</v>
      </c>
      <c r="X1613">
        <v>565.57000000000005</v>
      </c>
    </row>
    <row r="1614" spans="1:24">
      <c r="A1614" s="68">
        <v>35180</v>
      </c>
      <c r="B1614" s="33">
        <v>1054.53</v>
      </c>
      <c r="C1614">
        <f t="shared" si="50"/>
        <v>1996</v>
      </c>
      <c r="H1614" s="85">
        <v>42519</v>
      </c>
      <c r="I1614">
        <v>3069.17</v>
      </c>
      <c r="N1614" s="69">
        <v>41170</v>
      </c>
      <c r="O1614">
        <v>499.5</v>
      </c>
      <c r="P1614">
        <v>498.5</v>
      </c>
      <c r="Q1614">
        <v>499.7</v>
      </c>
      <c r="R1614">
        <v>498.5</v>
      </c>
      <c r="S1614" s="3">
        <v>0</v>
      </c>
      <c r="T1614">
        <f t="shared" si="51"/>
        <v>2012</v>
      </c>
      <c r="W1614" s="86">
        <v>43062</v>
      </c>
      <c r="X1614">
        <v>565.54</v>
      </c>
    </row>
    <row r="1615" spans="1:24">
      <c r="A1615" s="68">
        <v>35181</v>
      </c>
      <c r="B1615" s="32">
        <v>1054.29</v>
      </c>
      <c r="C1615">
        <f t="shared" si="50"/>
        <v>1996</v>
      </c>
      <c r="H1615" s="85">
        <v>42520</v>
      </c>
      <c r="I1615">
        <v>3069.17</v>
      </c>
      <c r="N1615" s="69">
        <v>41169</v>
      </c>
      <c r="O1615">
        <v>499.5</v>
      </c>
      <c r="P1615">
        <v>498.5</v>
      </c>
      <c r="Q1615">
        <v>499.7</v>
      </c>
      <c r="R1615">
        <v>498.5</v>
      </c>
      <c r="S1615" s="3">
        <v>0</v>
      </c>
      <c r="T1615">
        <f t="shared" si="51"/>
        <v>2012</v>
      </c>
      <c r="W1615" s="86">
        <v>43063</v>
      </c>
      <c r="X1615">
        <v>567.63</v>
      </c>
    </row>
    <row r="1616" spans="1:24">
      <c r="A1616" s="68">
        <v>35182</v>
      </c>
      <c r="B1616" s="33">
        <v>1054.8</v>
      </c>
      <c r="C1616">
        <f t="shared" si="50"/>
        <v>1996</v>
      </c>
      <c r="H1616" s="85">
        <v>42521</v>
      </c>
      <c r="I1616">
        <v>3069.17</v>
      </c>
      <c r="N1616" s="69">
        <v>41166</v>
      </c>
      <c r="O1616">
        <v>499.5</v>
      </c>
      <c r="P1616">
        <v>498</v>
      </c>
      <c r="Q1616">
        <v>499.7</v>
      </c>
      <c r="R1616">
        <v>498</v>
      </c>
      <c r="S1616" s="3">
        <v>1E-3</v>
      </c>
      <c r="T1616">
        <f t="shared" si="51"/>
        <v>2012</v>
      </c>
      <c r="W1616" s="86">
        <v>43066</v>
      </c>
      <c r="X1616">
        <v>568.6</v>
      </c>
    </row>
    <row r="1617" spans="1:24">
      <c r="A1617" s="68">
        <v>35183</v>
      </c>
      <c r="B1617" s="32">
        <v>1054.8</v>
      </c>
      <c r="C1617">
        <f t="shared" si="50"/>
        <v>1996</v>
      </c>
      <c r="H1617" s="85">
        <v>42522</v>
      </c>
      <c r="I1617">
        <v>3089.65</v>
      </c>
      <c r="N1617" s="69">
        <v>41165</v>
      </c>
      <c r="O1617">
        <v>499</v>
      </c>
      <c r="P1617">
        <v>498.5</v>
      </c>
      <c r="Q1617">
        <v>499.7</v>
      </c>
      <c r="R1617">
        <v>498</v>
      </c>
      <c r="S1617" s="3">
        <v>-1E-3</v>
      </c>
      <c r="T1617">
        <f t="shared" si="51"/>
        <v>2012</v>
      </c>
      <c r="W1617" s="86">
        <v>43067</v>
      </c>
      <c r="X1617">
        <v>568.11</v>
      </c>
    </row>
    <row r="1618" spans="1:24">
      <c r="A1618" s="68">
        <v>35184</v>
      </c>
      <c r="B1618" s="33">
        <v>1054.8</v>
      </c>
      <c r="C1618">
        <f t="shared" si="50"/>
        <v>1996</v>
      </c>
      <c r="H1618" s="85">
        <v>42523</v>
      </c>
      <c r="I1618">
        <v>3117.83</v>
      </c>
      <c r="N1618" s="69">
        <v>41164</v>
      </c>
      <c r="O1618">
        <v>499.5</v>
      </c>
      <c r="P1618">
        <v>498.5</v>
      </c>
      <c r="Q1618">
        <v>499.7</v>
      </c>
      <c r="R1618">
        <v>498.5</v>
      </c>
      <c r="S1618" s="3">
        <v>0</v>
      </c>
      <c r="T1618">
        <f t="shared" si="51"/>
        <v>2012</v>
      </c>
      <c r="W1618" s="86">
        <v>43068</v>
      </c>
      <c r="X1618">
        <v>568.07000000000005</v>
      </c>
    </row>
    <row r="1619" spans="1:24">
      <c r="A1619" s="68">
        <v>35185</v>
      </c>
      <c r="B1619" s="32">
        <v>1058.9000000000001</v>
      </c>
      <c r="C1619">
        <f t="shared" si="50"/>
        <v>1996</v>
      </c>
      <c r="H1619" s="85">
        <v>42524</v>
      </c>
      <c r="I1619">
        <v>3110.88</v>
      </c>
      <c r="N1619" s="69">
        <v>41163</v>
      </c>
      <c r="O1619">
        <v>499.5</v>
      </c>
      <c r="P1619">
        <v>501.7</v>
      </c>
      <c r="Q1619">
        <v>502.7</v>
      </c>
      <c r="R1619">
        <v>498.5</v>
      </c>
      <c r="S1619" s="3">
        <v>-6.4000000000000003E-3</v>
      </c>
      <c r="T1619">
        <f t="shared" si="51"/>
        <v>2012</v>
      </c>
      <c r="W1619" s="86">
        <v>43069</v>
      </c>
      <c r="X1619">
        <v>568.29999999999995</v>
      </c>
    </row>
    <row r="1620" spans="1:24">
      <c r="A1620" s="68">
        <v>35186</v>
      </c>
      <c r="B1620" s="33">
        <v>1061.55</v>
      </c>
      <c r="C1620">
        <f t="shared" si="50"/>
        <v>1996</v>
      </c>
      <c r="H1620" s="85">
        <v>42525</v>
      </c>
      <c r="I1620">
        <v>3017.71</v>
      </c>
      <c r="N1620" s="69">
        <v>41162</v>
      </c>
      <c r="O1620">
        <v>502.7</v>
      </c>
      <c r="P1620">
        <v>498.5</v>
      </c>
      <c r="Q1620">
        <v>502.7</v>
      </c>
      <c r="R1620">
        <v>498.5</v>
      </c>
      <c r="S1620" s="3">
        <v>6.4000000000000003E-3</v>
      </c>
      <c r="T1620">
        <f t="shared" si="51"/>
        <v>2012</v>
      </c>
      <c r="W1620" s="86">
        <v>43070</v>
      </c>
      <c r="X1620">
        <v>568.4</v>
      </c>
    </row>
    <row r="1621" spans="1:24">
      <c r="A1621" s="68">
        <v>35187</v>
      </c>
      <c r="B1621" s="32">
        <v>1061.55</v>
      </c>
      <c r="C1621">
        <f t="shared" si="50"/>
        <v>1996</v>
      </c>
      <c r="H1621" s="85">
        <v>42526</v>
      </c>
      <c r="I1621">
        <v>3017.71</v>
      </c>
      <c r="N1621" s="69">
        <v>41159</v>
      </c>
      <c r="O1621">
        <v>499.5</v>
      </c>
      <c r="P1621">
        <v>498.5</v>
      </c>
      <c r="Q1621">
        <v>499.7</v>
      </c>
      <c r="R1621">
        <v>498.5</v>
      </c>
      <c r="S1621" s="3">
        <v>0</v>
      </c>
      <c r="T1621">
        <f t="shared" si="51"/>
        <v>2012</v>
      </c>
      <c r="W1621" s="86">
        <v>43073</v>
      </c>
      <c r="X1621">
        <v>566.33000000000004</v>
      </c>
    </row>
    <row r="1622" spans="1:24">
      <c r="A1622" s="68">
        <v>35188</v>
      </c>
      <c r="B1622" s="33">
        <v>1062.56</v>
      </c>
      <c r="C1622">
        <f t="shared" si="50"/>
        <v>1996</v>
      </c>
      <c r="H1622" s="85">
        <v>42527</v>
      </c>
      <c r="I1622">
        <v>3017.71</v>
      </c>
      <c r="N1622" s="69">
        <v>41158</v>
      </c>
      <c r="O1622">
        <v>499.5</v>
      </c>
      <c r="P1622">
        <v>498.7</v>
      </c>
      <c r="Q1622">
        <v>499.7</v>
      </c>
      <c r="R1622">
        <v>498.5</v>
      </c>
      <c r="S1622" s="3">
        <v>0</v>
      </c>
      <c r="T1622">
        <f t="shared" si="51"/>
        <v>2012</v>
      </c>
      <c r="W1622" s="86">
        <v>43074</v>
      </c>
      <c r="X1622">
        <v>568.1</v>
      </c>
    </row>
    <row r="1623" spans="1:24">
      <c r="A1623" s="68">
        <v>35189</v>
      </c>
      <c r="B1623" s="32">
        <v>1062.4000000000001</v>
      </c>
      <c r="C1623">
        <f t="shared" si="50"/>
        <v>1996</v>
      </c>
      <c r="H1623" s="85">
        <v>42528</v>
      </c>
      <c r="I1623">
        <v>3017.71</v>
      </c>
      <c r="N1623" s="69">
        <v>41157</v>
      </c>
      <c r="O1623">
        <v>499.5</v>
      </c>
      <c r="P1623">
        <v>498.5</v>
      </c>
      <c r="Q1623">
        <v>499.7</v>
      </c>
      <c r="R1623">
        <v>498.5</v>
      </c>
      <c r="S1623" s="3">
        <v>0</v>
      </c>
      <c r="T1623">
        <f t="shared" si="51"/>
        <v>2012</v>
      </c>
      <c r="W1623" s="86">
        <v>43075</v>
      </c>
      <c r="X1623">
        <v>568.13</v>
      </c>
    </row>
    <row r="1624" spans="1:24">
      <c r="A1624" s="68">
        <v>35190</v>
      </c>
      <c r="B1624" s="33">
        <v>1062.4000000000001</v>
      </c>
      <c r="C1624">
        <f t="shared" si="50"/>
        <v>1996</v>
      </c>
      <c r="H1624" s="85">
        <v>42529</v>
      </c>
      <c r="I1624">
        <v>2950.95</v>
      </c>
      <c r="N1624" s="69">
        <v>41156</v>
      </c>
      <c r="O1624">
        <v>499.5</v>
      </c>
      <c r="P1624">
        <v>498.7</v>
      </c>
      <c r="Q1624">
        <v>499.7</v>
      </c>
      <c r="R1624">
        <v>498.5</v>
      </c>
      <c r="S1624" s="3">
        <v>-4.0000000000000002E-4</v>
      </c>
      <c r="T1624">
        <f t="shared" si="51"/>
        <v>2012</v>
      </c>
      <c r="W1624" s="86">
        <v>43076</v>
      </c>
      <c r="X1624">
        <v>568.52</v>
      </c>
    </row>
    <row r="1625" spans="1:24">
      <c r="A1625" s="68">
        <v>35191</v>
      </c>
      <c r="B1625" s="32">
        <v>1062.4000000000001</v>
      </c>
      <c r="C1625">
        <f t="shared" si="50"/>
        <v>1996</v>
      </c>
      <c r="H1625" s="85">
        <v>42530</v>
      </c>
      <c r="I1625">
        <v>2905.23</v>
      </c>
      <c r="N1625" s="69">
        <v>41155</v>
      </c>
      <c r="O1625">
        <v>499.7</v>
      </c>
      <c r="P1625">
        <v>498.5</v>
      </c>
      <c r="Q1625">
        <v>499.7</v>
      </c>
      <c r="R1625">
        <v>498.5</v>
      </c>
      <c r="S1625" s="3">
        <v>4.0000000000000002E-4</v>
      </c>
      <c r="T1625">
        <f t="shared" si="51"/>
        <v>2012</v>
      </c>
      <c r="W1625" s="86">
        <v>43077</v>
      </c>
      <c r="X1625">
        <v>568.82000000000005</v>
      </c>
    </row>
    <row r="1626" spans="1:24">
      <c r="A1626" s="68">
        <v>35192</v>
      </c>
      <c r="B1626" s="33">
        <v>1063.4100000000001</v>
      </c>
      <c r="C1626">
        <f t="shared" si="50"/>
        <v>1996</v>
      </c>
      <c r="H1626" s="85">
        <v>42531</v>
      </c>
      <c r="I1626">
        <v>2942.13</v>
      </c>
      <c r="N1626" s="69">
        <v>41152</v>
      </c>
      <c r="O1626">
        <v>499.5</v>
      </c>
      <c r="P1626">
        <v>498.5</v>
      </c>
      <c r="Q1626">
        <v>499.7</v>
      </c>
      <c r="R1626">
        <v>498.5</v>
      </c>
      <c r="S1626" s="3">
        <v>0</v>
      </c>
      <c r="T1626">
        <f t="shared" si="51"/>
        <v>2012</v>
      </c>
      <c r="W1626" s="86">
        <v>43080</v>
      </c>
      <c r="X1626">
        <v>567.33000000000004</v>
      </c>
    </row>
    <row r="1627" spans="1:24">
      <c r="A1627" s="68">
        <v>35193</v>
      </c>
      <c r="B1627" s="32">
        <v>1063.53</v>
      </c>
      <c r="C1627">
        <f t="shared" si="50"/>
        <v>1996</v>
      </c>
      <c r="H1627" s="85">
        <v>42532</v>
      </c>
      <c r="I1627">
        <v>2969.83</v>
      </c>
      <c r="N1627" s="69">
        <v>41151</v>
      </c>
      <c r="O1627">
        <v>499.5</v>
      </c>
      <c r="P1627">
        <v>498.5</v>
      </c>
      <c r="Q1627">
        <v>499.7</v>
      </c>
      <c r="R1627">
        <v>498.5</v>
      </c>
      <c r="S1627" s="3">
        <v>0</v>
      </c>
      <c r="T1627">
        <f t="shared" si="51"/>
        <v>2012</v>
      </c>
      <c r="W1627" s="86">
        <v>43081</v>
      </c>
      <c r="X1627">
        <v>567.72</v>
      </c>
    </row>
    <row r="1628" spans="1:24">
      <c r="A1628" s="68">
        <v>35194</v>
      </c>
      <c r="B1628" s="33">
        <v>1061.6300000000001</v>
      </c>
      <c r="C1628">
        <f t="shared" si="50"/>
        <v>1996</v>
      </c>
      <c r="H1628" s="85">
        <v>42533</v>
      </c>
      <c r="I1628">
        <v>2969.83</v>
      </c>
      <c r="N1628" s="69">
        <v>41150</v>
      </c>
      <c r="O1628">
        <v>499.5</v>
      </c>
      <c r="P1628">
        <v>498.5</v>
      </c>
      <c r="Q1628">
        <v>499.7</v>
      </c>
      <c r="R1628">
        <v>498.5</v>
      </c>
      <c r="S1628" s="3">
        <v>0</v>
      </c>
      <c r="T1628">
        <f t="shared" si="51"/>
        <v>2012</v>
      </c>
      <c r="W1628" s="86">
        <v>43082</v>
      </c>
      <c r="X1628">
        <v>567.88</v>
      </c>
    </row>
    <row r="1629" spans="1:24">
      <c r="A1629" s="68">
        <v>35195</v>
      </c>
      <c r="B1629" s="32">
        <v>1061.0999999999999</v>
      </c>
      <c r="C1629">
        <f t="shared" si="50"/>
        <v>1996</v>
      </c>
      <c r="H1629" s="85">
        <v>42534</v>
      </c>
      <c r="I1629">
        <v>2969.83</v>
      </c>
      <c r="N1629" s="69">
        <v>41149</v>
      </c>
      <c r="O1629">
        <v>499.5</v>
      </c>
      <c r="P1629">
        <v>498</v>
      </c>
      <c r="Q1629">
        <v>499.7</v>
      </c>
      <c r="R1629">
        <v>498</v>
      </c>
      <c r="S1629" s="3">
        <v>1E-3</v>
      </c>
      <c r="T1629">
        <f t="shared" si="51"/>
        <v>2012</v>
      </c>
      <c r="W1629" s="86">
        <v>43083</v>
      </c>
      <c r="X1629">
        <v>567.13</v>
      </c>
    </row>
    <row r="1630" spans="1:24">
      <c r="A1630" s="68">
        <v>35196</v>
      </c>
      <c r="B1630" s="33">
        <v>1062.08</v>
      </c>
      <c r="C1630">
        <f t="shared" si="50"/>
        <v>1996</v>
      </c>
      <c r="H1630" s="85">
        <v>42535</v>
      </c>
      <c r="I1630">
        <v>2990.35</v>
      </c>
      <c r="N1630" s="69">
        <v>41148</v>
      </c>
      <c r="O1630">
        <v>499</v>
      </c>
      <c r="P1630">
        <v>498.5</v>
      </c>
      <c r="Q1630">
        <v>499.7</v>
      </c>
      <c r="R1630">
        <v>498</v>
      </c>
      <c r="S1630" s="3">
        <v>-1E-3</v>
      </c>
      <c r="T1630">
        <f t="shared" si="51"/>
        <v>2012</v>
      </c>
      <c r="W1630" s="86">
        <v>43084</v>
      </c>
      <c r="X1630">
        <v>568.70000000000005</v>
      </c>
    </row>
    <row r="1631" spans="1:24">
      <c r="A1631" s="68">
        <v>35197</v>
      </c>
      <c r="B1631" s="32">
        <v>1062.08</v>
      </c>
      <c r="C1631">
        <f t="shared" si="50"/>
        <v>1996</v>
      </c>
      <c r="H1631" s="85">
        <v>42536</v>
      </c>
      <c r="I1631">
        <v>3003.28</v>
      </c>
      <c r="N1631" s="69">
        <v>41145</v>
      </c>
      <c r="O1631">
        <v>499.5</v>
      </c>
      <c r="P1631">
        <v>498.6</v>
      </c>
      <c r="Q1631">
        <v>499.7</v>
      </c>
      <c r="R1631">
        <v>498.5</v>
      </c>
      <c r="S1631" s="3">
        <v>-2.0000000000000001E-4</v>
      </c>
      <c r="T1631">
        <f t="shared" si="51"/>
        <v>2012</v>
      </c>
      <c r="W1631" s="86">
        <v>43087</v>
      </c>
      <c r="X1631">
        <v>565.79999999999995</v>
      </c>
    </row>
    <row r="1632" spans="1:24">
      <c r="A1632" s="68">
        <v>35198</v>
      </c>
      <c r="B1632" s="33">
        <v>1062.08</v>
      </c>
      <c r="C1632">
        <f t="shared" si="50"/>
        <v>1996</v>
      </c>
      <c r="H1632" s="85">
        <v>42537</v>
      </c>
      <c r="I1632">
        <v>2989.56</v>
      </c>
      <c r="N1632" s="69">
        <v>41144</v>
      </c>
      <c r="O1632">
        <v>499.6</v>
      </c>
      <c r="P1632">
        <v>498.7</v>
      </c>
      <c r="Q1632">
        <v>499.7</v>
      </c>
      <c r="R1632">
        <v>498.6</v>
      </c>
      <c r="S1632" s="3">
        <v>-2.0000000000000001E-4</v>
      </c>
      <c r="T1632">
        <f t="shared" si="51"/>
        <v>2012</v>
      </c>
      <c r="W1632" s="86">
        <v>43088</v>
      </c>
      <c r="X1632">
        <v>565.54999999999995</v>
      </c>
    </row>
    <row r="1633" spans="1:24">
      <c r="A1633" s="68">
        <v>35199</v>
      </c>
      <c r="B1633" s="32">
        <v>1065.78</v>
      </c>
      <c r="C1633">
        <f t="shared" si="50"/>
        <v>1996</v>
      </c>
      <c r="H1633" s="85">
        <v>42538</v>
      </c>
      <c r="I1633">
        <v>3019.12</v>
      </c>
      <c r="N1633" s="69">
        <v>41143</v>
      </c>
      <c r="O1633">
        <v>499.7</v>
      </c>
      <c r="P1633">
        <v>498.5</v>
      </c>
      <c r="Q1633">
        <v>499.7</v>
      </c>
      <c r="R1633">
        <v>498.5</v>
      </c>
      <c r="S1633" s="3">
        <v>4.0000000000000002E-4</v>
      </c>
      <c r="T1633">
        <f t="shared" si="51"/>
        <v>2012</v>
      </c>
      <c r="W1633" s="86">
        <v>43089</v>
      </c>
      <c r="X1633">
        <v>568.15</v>
      </c>
    </row>
    <row r="1634" spans="1:24">
      <c r="A1634" s="68">
        <v>35200</v>
      </c>
      <c r="B1634" s="33">
        <v>1066.24</v>
      </c>
      <c r="C1634">
        <f t="shared" si="50"/>
        <v>1996</v>
      </c>
      <c r="H1634" s="85">
        <v>42539</v>
      </c>
      <c r="I1634">
        <v>3010.91</v>
      </c>
      <c r="N1634" s="69">
        <v>41142</v>
      </c>
      <c r="O1634">
        <v>499.5</v>
      </c>
      <c r="P1634">
        <v>498.6</v>
      </c>
      <c r="Q1634">
        <v>499.7</v>
      </c>
      <c r="R1634">
        <v>498.5</v>
      </c>
      <c r="S1634" s="3">
        <v>-2.0000000000000001E-4</v>
      </c>
      <c r="T1634">
        <f t="shared" si="51"/>
        <v>2012</v>
      </c>
      <c r="W1634" s="86">
        <v>43090</v>
      </c>
      <c r="X1634">
        <v>565.79999999999995</v>
      </c>
    </row>
    <row r="1635" spans="1:24">
      <c r="A1635" s="68">
        <v>35201</v>
      </c>
      <c r="B1635" s="32">
        <v>1066.6099999999999</v>
      </c>
      <c r="C1635">
        <f t="shared" si="50"/>
        <v>1996</v>
      </c>
      <c r="H1635" s="85">
        <v>42540</v>
      </c>
      <c r="I1635">
        <v>3010.91</v>
      </c>
      <c r="N1635" s="69">
        <v>41141</v>
      </c>
      <c r="O1635">
        <v>499.6</v>
      </c>
      <c r="P1635">
        <v>498.5</v>
      </c>
      <c r="Q1635">
        <v>499.7</v>
      </c>
      <c r="R1635">
        <v>498.5</v>
      </c>
      <c r="S1635" s="3">
        <v>2.0000000000000001E-4</v>
      </c>
      <c r="T1635">
        <f t="shared" si="51"/>
        <v>2012</v>
      </c>
      <c r="W1635" s="86">
        <v>43091</v>
      </c>
      <c r="X1635">
        <v>570</v>
      </c>
    </row>
    <row r="1636" spans="1:24">
      <c r="A1636" s="68">
        <v>35202</v>
      </c>
      <c r="B1636" s="33">
        <v>1065.8800000000001</v>
      </c>
      <c r="C1636">
        <f t="shared" si="50"/>
        <v>1996</v>
      </c>
      <c r="H1636" s="85">
        <v>42541</v>
      </c>
      <c r="I1636">
        <v>3010.91</v>
      </c>
      <c r="N1636" s="69">
        <v>41138</v>
      </c>
      <c r="O1636">
        <v>499.5</v>
      </c>
      <c r="P1636">
        <v>498.5</v>
      </c>
      <c r="Q1636">
        <v>499.7</v>
      </c>
      <c r="R1636">
        <v>498.5</v>
      </c>
      <c r="S1636" s="3">
        <v>0</v>
      </c>
      <c r="T1636">
        <f t="shared" si="51"/>
        <v>2012</v>
      </c>
      <c r="W1636" s="86">
        <v>43094</v>
      </c>
      <c r="X1636">
        <v>570</v>
      </c>
    </row>
    <row r="1637" spans="1:24">
      <c r="A1637" s="68">
        <v>35203</v>
      </c>
      <c r="B1637" s="32">
        <v>1066.47</v>
      </c>
      <c r="C1637">
        <f t="shared" si="50"/>
        <v>1996</v>
      </c>
      <c r="H1637" s="85">
        <v>42542</v>
      </c>
      <c r="I1637">
        <v>2972.97</v>
      </c>
      <c r="N1637" s="69">
        <v>41137</v>
      </c>
      <c r="O1637">
        <v>499.5</v>
      </c>
      <c r="P1637">
        <v>498.4</v>
      </c>
      <c r="Q1637">
        <v>499.7</v>
      </c>
      <c r="R1637">
        <v>498.4</v>
      </c>
      <c r="S1637" s="3">
        <v>2.0000000000000001E-4</v>
      </c>
      <c r="T1637">
        <f t="shared" si="51"/>
        <v>2012</v>
      </c>
      <c r="W1637" s="86">
        <v>43095</v>
      </c>
      <c r="X1637">
        <v>565.79999999999995</v>
      </c>
    </row>
    <row r="1638" spans="1:24">
      <c r="A1638" s="68">
        <v>35204</v>
      </c>
      <c r="B1638" s="33">
        <v>1066.47</v>
      </c>
      <c r="C1638">
        <f t="shared" si="50"/>
        <v>1996</v>
      </c>
      <c r="H1638" s="85">
        <v>42543</v>
      </c>
      <c r="I1638">
        <v>2976.29</v>
      </c>
      <c r="N1638" s="69">
        <v>41136</v>
      </c>
      <c r="O1638">
        <v>499.4</v>
      </c>
      <c r="P1638">
        <v>498.5</v>
      </c>
      <c r="Q1638">
        <v>499.7</v>
      </c>
      <c r="R1638">
        <v>498.4</v>
      </c>
      <c r="S1638" s="3">
        <v>-2.0000000000000001E-4</v>
      </c>
      <c r="T1638">
        <f t="shared" si="51"/>
        <v>2012</v>
      </c>
      <c r="W1638" s="86">
        <v>43096</v>
      </c>
      <c r="X1638">
        <v>570.25</v>
      </c>
    </row>
    <row r="1639" spans="1:24">
      <c r="A1639" s="68">
        <v>35205</v>
      </c>
      <c r="B1639" s="32">
        <v>1066.47</v>
      </c>
      <c r="C1639">
        <f t="shared" si="50"/>
        <v>1996</v>
      </c>
      <c r="H1639" s="85">
        <v>42544</v>
      </c>
      <c r="I1639">
        <v>2944.06</v>
      </c>
      <c r="N1639" s="69">
        <v>41135</v>
      </c>
      <c r="O1639">
        <v>499.5</v>
      </c>
      <c r="P1639">
        <v>498.6</v>
      </c>
      <c r="Q1639">
        <v>499.7</v>
      </c>
      <c r="R1639">
        <v>498.5</v>
      </c>
      <c r="S1639" s="3">
        <v>-2.0000000000000001E-4</v>
      </c>
      <c r="T1639">
        <f t="shared" si="51"/>
        <v>2012</v>
      </c>
      <c r="W1639" s="86">
        <v>43097</v>
      </c>
      <c r="X1639">
        <v>566.29999999999995</v>
      </c>
    </row>
    <row r="1640" spans="1:24">
      <c r="A1640" s="68">
        <v>35206</v>
      </c>
      <c r="B1640" s="33">
        <v>1066.47</v>
      </c>
      <c r="C1640">
        <f t="shared" si="50"/>
        <v>1996</v>
      </c>
      <c r="H1640" s="85">
        <v>42545</v>
      </c>
      <c r="I1640">
        <v>2897.53</v>
      </c>
      <c r="N1640" s="69">
        <v>41134</v>
      </c>
      <c r="O1640">
        <v>499.6</v>
      </c>
      <c r="P1640">
        <v>498</v>
      </c>
      <c r="Q1640">
        <v>499.7</v>
      </c>
      <c r="R1640">
        <v>498</v>
      </c>
      <c r="S1640" s="3">
        <v>1.1999999999999999E-3</v>
      </c>
      <c r="T1640">
        <f t="shared" si="51"/>
        <v>2012</v>
      </c>
      <c r="W1640" s="86">
        <v>43098</v>
      </c>
      <c r="X1640">
        <v>571.4</v>
      </c>
    </row>
    <row r="1641" spans="1:24">
      <c r="A1641" s="68">
        <v>35207</v>
      </c>
      <c r="B1641" s="32">
        <v>1068.18</v>
      </c>
      <c r="C1641">
        <f t="shared" si="50"/>
        <v>1996</v>
      </c>
      <c r="H1641" s="85">
        <v>42546</v>
      </c>
      <c r="I1641">
        <v>2972.92</v>
      </c>
      <c r="N1641" s="69">
        <v>41131</v>
      </c>
      <c r="O1641">
        <v>499</v>
      </c>
      <c r="P1641">
        <v>498.5</v>
      </c>
      <c r="Q1641">
        <v>499.7</v>
      </c>
      <c r="R1641">
        <v>498</v>
      </c>
      <c r="S1641" s="3">
        <v>-1E-3</v>
      </c>
      <c r="T1641">
        <f t="shared" si="51"/>
        <v>2012</v>
      </c>
      <c r="W1641" s="86">
        <v>43101</v>
      </c>
      <c r="X1641">
        <v>571.4</v>
      </c>
    </row>
    <row r="1642" spans="1:24">
      <c r="A1642" s="68">
        <v>35208</v>
      </c>
      <c r="B1642" s="33">
        <v>1068.9100000000001</v>
      </c>
      <c r="C1642">
        <f t="shared" si="50"/>
        <v>1996</v>
      </c>
      <c r="H1642" s="85">
        <v>42547</v>
      </c>
      <c r="I1642">
        <v>2972.92</v>
      </c>
      <c r="N1642" s="69">
        <v>41130</v>
      </c>
      <c r="O1642">
        <v>499.5</v>
      </c>
      <c r="P1642">
        <v>500.5</v>
      </c>
      <c r="Q1642">
        <v>501.5</v>
      </c>
      <c r="R1642">
        <v>498.5</v>
      </c>
      <c r="S1642" s="3">
        <v>-4.0000000000000001E-3</v>
      </c>
      <c r="T1642">
        <f t="shared" si="51"/>
        <v>2012</v>
      </c>
      <c r="W1642" s="86">
        <v>43102</v>
      </c>
      <c r="X1642">
        <v>566.79999999999995</v>
      </c>
    </row>
    <row r="1643" spans="1:24">
      <c r="A1643" s="68">
        <v>35209</v>
      </c>
      <c r="B1643" s="32">
        <v>1069.47</v>
      </c>
      <c r="C1643">
        <f t="shared" si="50"/>
        <v>1996</v>
      </c>
      <c r="H1643" s="85">
        <v>42548</v>
      </c>
      <c r="I1643">
        <v>2972.92</v>
      </c>
      <c r="N1643" s="69">
        <v>41129</v>
      </c>
      <c r="O1643">
        <v>501.5</v>
      </c>
      <c r="P1643">
        <v>500.6</v>
      </c>
      <c r="Q1643">
        <v>501.7</v>
      </c>
      <c r="R1643">
        <v>498.7</v>
      </c>
      <c r="S1643" s="3">
        <v>-2.0000000000000001E-4</v>
      </c>
      <c r="T1643">
        <f t="shared" si="51"/>
        <v>2012</v>
      </c>
      <c r="W1643" s="86">
        <v>43103</v>
      </c>
      <c r="X1643">
        <v>566.79999999999995</v>
      </c>
    </row>
    <row r="1644" spans="1:24">
      <c r="A1644" s="68">
        <v>35210</v>
      </c>
      <c r="B1644" s="33">
        <v>1068.94</v>
      </c>
      <c r="C1644">
        <f t="shared" si="50"/>
        <v>1996</v>
      </c>
      <c r="H1644" s="85">
        <v>42549</v>
      </c>
      <c r="I1644">
        <v>3022.78</v>
      </c>
      <c r="N1644" s="69">
        <v>41128</v>
      </c>
      <c r="O1644">
        <v>501.6</v>
      </c>
      <c r="P1644">
        <v>500.7</v>
      </c>
      <c r="Q1644">
        <v>501.7</v>
      </c>
      <c r="R1644">
        <v>500.6</v>
      </c>
      <c r="S1644" s="3">
        <v>5.1999999999999998E-3</v>
      </c>
      <c r="T1644">
        <f t="shared" si="51"/>
        <v>2012</v>
      </c>
      <c r="W1644" s="86">
        <v>43104</v>
      </c>
      <c r="X1644">
        <v>566.79999999999995</v>
      </c>
    </row>
    <row r="1645" spans="1:24">
      <c r="A1645" s="68">
        <v>35211</v>
      </c>
      <c r="B1645" s="32">
        <v>1068.94</v>
      </c>
      <c r="C1645">
        <f t="shared" si="50"/>
        <v>1996</v>
      </c>
      <c r="H1645" s="85">
        <v>42550</v>
      </c>
      <c r="I1645">
        <v>3005.18</v>
      </c>
      <c r="N1645" s="69">
        <v>41127</v>
      </c>
      <c r="O1645">
        <v>499</v>
      </c>
      <c r="P1645">
        <v>498</v>
      </c>
      <c r="Q1645">
        <v>501.7</v>
      </c>
      <c r="R1645">
        <v>498</v>
      </c>
      <c r="S1645" s="3">
        <v>0</v>
      </c>
      <c r="T1645">
        <f t="shared" si="51"/>
        <v>2012</v>
      </c>
      <c r="W1645" s="86">
        <v>43105</v>
      </c>
      <c r="X1645">
        <v>571.67999999999995</v>
      </c>
    </row>
    <row r="1646" spans="1:24">
      <c r="A1646" s="68">
        <v>35212</v>
      </c>
      <c r="B1646" s="33">
        <v>1068.94</v>
      </c>
      <c r="C1646">
        <f t="shared" si="50"/>
        <v>1996</v>
      </c>
      <c r="H1646" s="85">
        <v>42551</v>
      </c>
      <c r="I1646">
        <v>2916.15</v>
      </c>
      <c r="N1646" s="69">
        <v>41124</v>
      </c>
      <c r="O1646">
        <v>499</v>
      </c>
      <c r="P1646">
        <v>498</v>
      </c>
      <c r="Q1646">
        <v>499.7</v>
      </c>
      <c r="R1646">
        <v>498</v>
      </c>
      <c r="S1646" s="3">
        <v>0</v>
      </c>
      <c r="T1646">
        <f t="shared" si="51"/>
        <v>2012</v>
      </c>
      <c r="W1646" s="86">
        <v>43108</v>
      </c>
      <c r="X1646">
        <v>566.79999999999995</v>
      </c>
    </row>
    <row r="1647" spans="1:24">
      <c r="A1647" s="68">
        <v>35213</v>
      </c>
      <c r="B1647" s="32">
        <v>1069.8</v>
      </c>
      <c r="C1647">
        <f t="shared" si="50"/>
        <v>1996</v>
      </c>
      <c r="H1647" s="85">
        <v>42552</v>
      </c>
      <c r="I1647">
        <v>2919.01</v>
      </c>
      <c r="N1647" s="69">
        <v>41123</v>
      </c>
      <c r="O1647">
        <v>499</v>
      </c>
      <c r="P1647">
        <v>498.4</v>
      </c>
      <c r="Q1647">
        <v>499.7</v>
      </c>
      <c r="R1647">
        <v>498</v>
      </c>
      <c r="S1647" s="3">
        <v>-8.0000000000000004E-4</v>
      </c>
      <c r="T1647">
        <f t="shared" si="51"/>
        <v>2012</v>
      </c>
      <c r="W1647" s="86">
        <v>43109</v>
      </c>
      <c r="X1647">
        <v>566.79999999999995</v>
      </c>
    </row>
    <row r="1648" spans="1:24">
      <c r="A1648" s="68">
        <v>35214</v>
      </c>
      <c r="B1648" s="33">
        <v>1071.19</v>
      </c>
      <c r="C1648">
        <f t="shared" si="50"/>
        <v>1996</v>
      </c>
      <c r="H1648" s="85">
        <v>42553</v>
      </c>
      <c r="I1648">
        <v>2914.38</v>
      </c>
      <c r="N1648" s="69">
        <v>41122</v>
      </c>
      <c r="O1648">
        <v>499.4</v>
      </c>
      <c r="P1648">
        <v>498.5</v>
      </c>
      <c r="Q1648">
        <v>499.7</v>
      </c>
      <c r="R1648">
        <v>498.4</v>
      </c>
      <c r="S1648" s="3">
        <v>-2.0000000000000001E-4</v>
      </c>
      <c r="T1648">
        <f t="shared" si="51"/>
        <v>2012</v>
      </c>
      <c r="W1648" s="86">
        <v>43110</v>
      </c>
      <c r="X1648">
        <v>571.98</v>
      </c>
    </row>
    <row r="1649" spans="1:24">
      <c r="A1649" s="68">
        <v>35215</v>
      </c>
      <c r="B1649" s="32">
        <v>1072.24</v>
      </c>
      <c r="C1649">
        <f t="shared" si="50"/>
        <v>1996</v>
      </c>
      <c r="H1649" s="85">
        <v>42554</v>
      </c>
      <c r="I1649">
        <v>2914.38</v>
      </c>
      <c r="N1649" s="69">
        <v>41121</v>
      </c>
      <c r="O1649">
        <v>499.5</v>
      </c>
      <c r="P1649">
        <v>499</v>
      </c>
      <c r="Q1649">
        <v>500</v>
      </c>
      <c r="R1649">
        <v>498.5</v>
      </c>
      <c r="S1649" s="3">
        <v>-2.8999999999999998E-3</v>
      </c>
      <c r="T1649">
        <f t="shared" si="51"/>
        <v>2012</v>
      </c>
      <c r="W1649" s="86">
        <v>43111</v>
      </c>
      <c r="X1649">
        <v>571.85</v>
      </c>
    </row>
    <row r="1650" spans="1:24">
      <c r="A1650" s="68">
        <v>35216</v>
      </c>
      <c r="B1650" s="33">
        <v>1073.06</v>
      </c>
      <c r="C1650">
        <f t="shared" si="50"/>
        <v>1996</v>
      </c>
      <c r="H1650" s="85">
        <v>42555</v>
      </c>
      <c r="I1650">
        <v>2914.38</v>
      </c>
      <c r="N1650" s="69">
        <v>41120</v>
      </c>
      <c r="O1650">
        <v>500.95</v>
      </c>
      <c r="P1650">
        <v>498.7</v>
      </c>
      <c r="Q1650">
        <v>500.95</v>
      </c>
      <c r="R1650">
        <v>498.7</v>
      </c>
      <c r="S1650" s="3">
        <v>1E-3</v>
      </c>
      <c r="T1650">
        <f t="shared" si="51"/>
        <v>2012</v>
      </c>
      <c r="W1650" s="86">
        <v>43112</v>
      </c>
      <c r="X1650">
        <v>571.78</v>
      </c>
    </row>
    <row r="1651" spans="1:24">
      <c r="A1651" s="68">
        <v>35217</v>
      </c>
      <c r="B1651" s="32">
        <v>1072.5899999999999</v>
      </c>
      <c r="C1651">
        <f t="shared" si="50"/>
        <v>1996</v>
      </c>
      <c r="H1651" s="85">
        <v>42556</v>
      </c>
      <c r="I1651">
        <v>2914.38</v>
      </c>
      <c r="N1651" s="69">
        <v>41117</v>
      </c>
      <c r="O1651">
        <v>500.45</v>
      </c>
      <c r="P1651">
        <v>498.6</v>
      </c>
      <c r="Q1651">
        <v>502.45</v>
      </c>
      <c r="R1651">
        <v>498.6</v>
      </c>
      <c r="S1651" s="3">
        <v>1.6999999999999999E-3</v>
      </c>
      <c r="T1651">
        <f t="shared" si="51"/>
        <v>2012</v>
      </c>
      <c r="W1651" s="86">
        <v>43115</v>
      </c>
      <c r="X1651">
        <v>571</v>
      </c>
    </row>
    <row r="1652" spans="1:24">
      <c r="A1652" s="68">
        <v>35218</v>
      </c>
      <c r="B1652" s="33">
        <v>1072.5899999999999</v>
      </c>
      <c r="C1652">
        <f t="shared" si="50"/>
        <v>1996</v>
      </c>
      <c r="H1652" s="85">
        <v>42557</v>
      </c>
      <c r="I1652">
        <v>2966.87</v>
      </c>
      <c r="N1652" s="69">
        <v>41116</v>
      </c>
      <c r="O1652">
        <v>499.6</v>
      </c>
      <c r="P1652">
        <v>498.6</v>
      </c>
      <c r="Q1652">
        <v>502.7</v>
      </c>
      <c r="R1652">
        <v>498.6</v>
      </c>
      <c r="S1652" s="3">
        <v>0</v>
      </c>
      <c r="T1652">
        <f t="shared" si="51"/>
        <v>2012</v>
      </c>
      <c r="W1652" s="86">
        <v>43116</v>
      </c>
      <c r="X1652">
        <v>570.28</v>
      </c>
    </row>
    <row r="1653" spans="1:24">
      <c r="A1653" s="68">
        <v>35219</v>
      </c>
      <c r="B1653" s="32">
        <v>1072.5899999999999</v>
      </c>
      <c r="C1653">
        <f t="shared" si="50"/>
        <v>1996</v>
      </c>
      <c r="H1653" s="85">
        <v>42558</v>
      </c>
      <c r="I1653">
        <v>3003.2</v>
      </c>
      <c r="N1653" s="69">
        <v>41115</v>
      </c>
      <c r="O1653">
        <v>499.6</v>
      </c>
      <c r="P1653">
        <v>498.6</v>
      </c>
      <c r="Q1653">
        <v>502.7</v>
      </c>
      <c r="R1653">
        <v>498.6</v>
      </c>
      <c r="S1653" s="3">
        <v>0</v>
      </c>
      <c r="T1653">
        <f t="shared" si="51"/>
        <v>2012</v>
      </c>
      <c r="W1653" s="86">
        <v>43117</v>
      </c>
      <c r="X1653">
        <v>569.77</v>
      </c>
    </row>
    <row r="1654" spans="1:24">
      <c r="A1654" s="68">
        <v>35220</v>
      </c>
      <c r="B1654" s="33">
        <v>1074.7</v>
      </c>
      <c r="C1654">
        <f t="shared" si="50"/>
        <v>1996</v>
      </c>
      <c r="H1654" s="85">
        <v>42559</v>
      </c>
      <c r="I1654">
        <v>2986.49</v>
      </c>
      <c r="N1654" s="69">
        <v>41114</v>
      </c>
      <c r="O1654">
        <v>499.6</v>
      </c>
      <c r="P1654">
        <v>498.6</v>
      </c>
      <c r="Q1654">
        <v>502.7</v>
      </c>
      <c r="R1654">
        <v>498.6</v>
      </c>
      <c r="S1654" s="3">
        <v>0</v>
      </c>
      <c r="T1654">
        <f t="shared" si="51"/>
        <v>2012</v>
      </c>
      <c r="W1654" s="86">
        <v>43118</v>
      </c>
      <c r="X1654">
        <v>566.79999999999995</v>
      </c>
    </row>
    <row r="1655" spans="1:24">
      <c r="A1655" s="68">
        <v>35221</v>
      </c>
      <c r="B1655" s="32">
        <v>1074.72</v>
      </c>
      <c r="C1655">
        <f t="shared" si="50"/>
        <v>1996</v>
      </c>
      <c r="H1655" s="85">
        <v>42560</v>
      </c>
      <c r="I1655">
        <v>2952.64</v>
      </c>
      <c r="N1655" s="69">
        <v>41113</v>
      </c>
      <c r="O1655">
        <v>499.6</v>
      </c>
      <c r="P1655">
        <v>498.6</v>
      </c>
      <c r="Q1655">
        <v>501.7</v>
      </c>
      <c r="R1655">
        <v>498.6</v>
      </c>
      <c r="S1655" s="3">
        <v>0</v>
      </c>
      <c r="T1655">
        <f t="shared" si="51"/>
        <v>2012</v>
      </c>
      <c r="W1655" s="86">
        <v>43119</v>
      </c>
      <c r="X1655">
        <v>570.88</v>
      </c>
    </row>
    <row r="1656" spans="1:24">
      <c r="A1656" s="68">
        <v>35222</v>
      </c>
      <c r="B1656" s="33">
        <v>1074.27</v>
      </c>
      <c r="C1656">
        <f t="shared" si="50"/>
        <v>1996</v>
      </c>
      <c r="H1656" s="85">
        <v>42561</v>
      </c>
      <c r="I1656">
        <v>2952.64</v>
      </c>
      <c r="N1656" s="69">
        <v>41110</v>
      </c>
      <c r="O1656">
        <v>499.6</v>
      </c>
      <c r="P1656">
        <v>498.6</v>
      </c>
      <c r="Q1656">
        <v>500.7</v>
      </c>
      <c r="R1656">
        <v>498.6</v>
      </c>
      <c r="S1656" s="3">
        <v>0</v>
      </c>
      <c r="T1656">
        <f t="shared" si="51"/>
        <v>2012</v>
      </c>
      <c r="W1656" s="86">
        <v>43122</v>
      </c>
      <c r="X1656">
        <v>566.79999999999995</v>
      </c>
    </row>
    <row r="1657" spans="1:24">
      <c r="A1657" s="68">
        <v>35223</v>
      </c>
      <c r="B1657" s="32">
        <v>1072.95</v>
      </c>
      <c r="C1657">
        <f t="shared" si="50"/>
        <v>1996</v>
      </c>
      <c r="H1657" s="85">
        <v>42562</v>
      </c>
      <c r="I1657">
        <v>2952.64</v>
      </c>
      <c r="N1657" s="69">
        <v>41109</v>
      </c>
      <c r="O1657">
        <v>499.6</v>
      </c>
      <c r="P1657">
        <v>498.6</v>
      </c>
      <c r="Q1657">
        <v>499.7</v>
      </c>
      <c r="R1657">
        <v>498.6</v>
      </c>
      <c r="S1657" s="3">
        <v>0</v>
      </c>
      <c r="T1657">
        <f t="shared" si="51"/>
        <v>2012</v>
      </c>
      <c r="W1657" s="86">
        <v>43123</v>
      </c>
      <c r="X1657">
        <v>570.71</v>
      </c>
    </row>
    <row r="1658" spans="1:24">
      <c r="A1658" s="68">
        <v>35224</v>
      </c>
      <c r="B1658" s="33">
        <v>1073.06</v>
      </c>
      <c r="C1658">
        <f t="shared" si="50"/>
        <v>1996</v>
      </c>
      <c r="H1658" s="85">
        <v>42563</v>
      </c>
      <c r="I1658">
        <v>2929.81</v>
      </c>
      <c r="N1658" s="69">
        <v>41108</v>
      </c>
      <c r="O1658">
        <v>499.6</v>
      </c>
      <c r="P1658">
        <v>498.6</v>
      </c>
      <c r="Q1658">
        <v>499.7</v>
      </c>
      <c r="R1658">
        <v>498.6</v>
      </c>
      <c r="S1658" s="3">
        <v>0</v>
      </c>
      <c r="T1658">
        <f t="shared" si="51"/>
        <v>2012</v>
      </c>
      <c r="W1658" s="86">
        <v>43124</v>
      </c>
      <c r="X1658">
        <v>571.22</v>
      </c>
    </row>
    <row r="1659" spans="1:24">
      <c r="A1659" s="68">
        <v>35225</v>
      </c>
      <c r="B1659" s="32">
        <v>1073.06</v>
      </c>
      <c r="C1659">
        <f t="shared" si="50"/>
        <v>1996</v>
      </c>
      <c r="H1659" s="85">
        <v>42564</v>
      </c>
      <c r="I1659">
        <v>2911.91</v>
      </c>
      <c r="N1659" s="69">
        <v>41107</v>
      </c>
      <c r="O1659">
        <v>499.6</v>
      </c>
      <c r="P1659">
        <v>498.6</v>
      </c>
      <c r="Q1659">
        <v>499.7</v>
      </c>
      <c r="R1659">
        <v>498.6</v>
      </c>
      <c r="S1659" s="3">
        <v>0</v>
      </c>
      <c r="T1659">
        <f t="shared" si="51"/>
        <v>2012</v>
      </c>
      <c r="W1659" s="86">
        <v>43125</v>
      </c>
      <c r="X1659">
        <v>570.6</v>
      </c>
    </row>
    <row r="1660" spans="1:24">
      <c r="A1660" s="68">
        <v>35226</v>
      </c>
      <c r="B1660" s="33">
        <v>1073.06</v>
      </c>
      <c r="C1660">
        <f t="shared" si="50"/>
        <v>1996</v>
      </c>
      <c r="H1660" s="85">
        <v>42565</v>
      </c>
      <c r="I1660">
        <v>2936.53</v>
      </c>
      <c r="N1660" s="69">
        <v>41106</v>
      </c>
      <c r="O1660">
        <v>499.6</v>
      </c>
      <c r="P1660">
        <v>498.6</v>
      </c>
      <c r="Q1660">
        <v>499.7</v>
      </c>
      <c r="R1660">
        <v>498.6</v>
      </c>
      <c r="S1660" s="3">
        <v>0</v>
      </c>
      <c r="T1660">
        <f t="shared" si="51"/>
        <v>2012</v>
      </c>
      <c r="W1660" s="86">
        <v>43126</v>
      </c>
      <c r="X1660">
        <v>571</v>
      </c>
    </row>
    <row r="1661" spans="1:24">
      <c r="A1661" s="68">
        <v>35227</v>
      </c>
      <c r="B1661" s="32">
        <v>1073.06</v>
      </c>
      <c r="C1661">
        <f t="shared" si="50"/>
        <v>1996</v>
      </c>
      <c r="H1661" s="85">
        <v>42566</v>
      </c>
      <c r="I1661">
        <v>2923.07</v>
      </c>
      <c r="N1661" s="69">
        <v>41103</v>
      </c>
      <c r="O1661">
        <v>499.6</v>
      </c>
      <c r="P1661">
        <v>498.5</v>
      </c>
      <c r="Q1661">
        <v>499.7</v>
      </c>
      <c r="R1661">
        <v>498.5</v>
      </c>
      <c r="S1661" s="3">
        <v>2.0000000000000001E-4</v>
      </c>
      <c r="T1661">
        <f t="shared" si="51"/>
        <v>2012</v>
      </c>
      <c r="W1661" s="86">
        <v>43129</v>
      </c>
      <c r="X1661">
        <v>571.03</v>
      </c>
    </row>
    <row r="1662" spans="1:24">
      <c r="A1662" s="68">
        <v>35228</v>
      </c>
      <c r="B1662" s="33">
        <v>1073.6500000000001</v>
      </c>
      <c r="C1662">
        <f t="shared" si="50"/>
        <v>1996</v>
      </c>
      <c r="H1662" s="85">
        <v>42567</v>
      </c>
      <c r="I1662">
        <v>2923.46</v>
      </c>
      <c r="N1662" s="69">
        <v>41102</v>
      </c>
      <c r="O1662">
        <v>499.5</v>
      </c>
      <c r="P1662">
        <v>503.05</v>
      </c>
      <c r="Q1662">
        <v>504.05</v>
      </c>
      <c r="R1662">
        <v>498.5</v>
      </c>
      <c r="S1662" s="3">
        <v>-8.9999999999999993E-3</v>
      </c>
      <c r="T1662">
        <f t="shared" si="51"/>
        <v>2012</v>
      </c>
      <c r="W1662" s="86">
        <v>43130</v>
      </c>
      <c r="X1662">
        <v>570.45000000000005</v>
      </c>
    </row>
    <row r="1663" spans="1:24">
      <c r="A1663" s="68">
        <v>35229</v>
      </c>
      <c r="B1663" s="32">
        <v>1070.8</v>
      </c>
      <c r="C1663">
        <f t="shared" si="50"/>
        <v>1996</v>
      </c>
      <c r="H1663" s="85">
        <v>42568</v>
      </c>
      <c r="I1663">
        <v>2923.46</v>
      </c>
      <c r="N1663" s="69">
        <v>41101</v>
      </c>
      <c r="O1663">
        <v>504.05</v>
      </c>
      <c r="P1663">
        <v>503.1</v>
      </c>
      <c r="Q1663">
        <v>504.1</v>
      </c>
      <c r="R1663">
        <v>498.7</v>
      </c>
      <c r="S1663" s="3">
        <v>-1E-4</v>
      </c>
      <c r="T1663">
        <f t="shared" si="51"/>
        <v>2012</v>
      </c>
      <c r="W1663" s="86">
        <v>43131</v>
      </c>
      <c r="X1663">
        <v>571.38</v>
      </c>
    </row>
    <row r="1664" spans="1:24">
      <c r="A1664" s="68">
        <v>35230</v>
      </c>
      <c r="B1664" s="33">
        <v>1072.3399999999999</v>
      </c>
      <c r="C1664">
        <f t="shared" si="50"/>
        <v>1996</v>
      </c>
      <c r="H1664" s="85">
        <v>42569</v>
      </c>
      <c r="I1664">
        <v>2923.46</v>
      </c>
      <c r="N1664" s="69">
        <v>41100</v>
      </c>
      <c r="O1664">
        <v>504.1</v>
      </c>
      <c r="P1664">
        <v>503.6</v>
      </c>
      <c r="Q1664">
        <v>505.2</v>
      </c>
      <c r="R1664">
        <v>498.7</v>
      </c>
      <c r="S1664" s="3">
        <v>-1E-3</v>
      </c>
      <c r="T1664">
        <f t="shared" si="51"/>
        <v>2012</v>
      </c>
      <c r="W1664" s="86">
        <v>43132</v>
      </c>
      <c r="X1664">
        <v>571.29999999999995</v>
      </c>
    </row>
    <row r="1665" spans="1:24">
      <c r="A1665" s="68">
        <v>35231</v>
      </c>
      <c r="B1665" s="32">
        <v>1071.3499999999999</v>
      </c>
      <c r="C1665">
        <f t="shared" si="50"/>
        <v>1996</v>
      </c>
      <c r="H1665" s="85">
        <v>42570</v>
      </c>
      <c r="I1665">
        <v>2928.3</v>
      </c>
      <c r="N1665" s="69">
        <v>41099</v>
      </c>
      <c r="O1665">
        <v>504.6</v>
      </c>
      <c r="P1665">
        <v>502.5</v>
      </c>
      <c r="Q1665">
        <v>505.2</v>
      </c>
      <c r="R1665">
        <v>502.5</v>
      </c>
      <c r="S1665" s="3">
        <v>2.2000000000000001E-3</v>
      </c>
      <c r="T1665">
        <f t="shared" si="51"/>
        <v>2012</v>
      </c>
      <c r="W1665" s="86">
        <v>43133</v>
      </c>
      <c r="X1665">
        <v>572.98</v>
      </c>
    </row>
    <row r="1666" spans="1:24">
      <c r="A1666" s="68">
        <v>35232</v>
      </c>
      <c r="B1666" s="33">
        <v>1071.3499999999999</v>
      </c>
      <c r="C1666">
        <f t="shared" si="50"/>
        <v>1996</v>
      </c>
      <c r="H1666" s="85">
        <v>42571</v>
      </c>
      <c r="I1666">
        <v>2931.08</v>
      </c>
      <c r="N1666" s="69">
        <v>41096</v>
      </c>
      <c r="O1666">
        <v>503.5</v>
      </c>
      <c r="P1666">
        <v>498.6</v>
      </c>
      <c r="Q1666">
        <v>503.7</v>
      </c>
      <c r="R1666">
        <v>498.6</v>
      </c>
      <c r="S1666" s="3">
        <v>7.7999999999999996E-3</v>
      </c>
      <c r="T1666">
        <f t="shared" si="51"/>
        <v>2012</v>
      </c>
      <c r="W1666" s="86">
        <v>43136</v>
      </c>
      <c r="X1666">
        <v>571.73</v>
      </c>
    </row>
    <row r="1667" spans="1:24">
      <c r="A1667" s="68">
        <v>35233</v>
      </c>
      <c r="B1667" s="32">
        <v>1071.3499999999999</v>
      </c>
      <c r="C1667">
        <f t="shared" si="50"/>
        <v>1996</v>
      </c>
      <c r="H1667" s="85">
        <v>42572</v>
      </c>
      <c r="I1667">
        <v>2931.08</v>
      </c>
      <c r="N1667" s="69">
        <v>41095</v>
      </c>
      <c r="O1667">
        <v>499.6</v>
      </c>
      <c r="P1667">
        <v>498.6</v>
      </c>
      <c r="Q1667">
        <v>503.7</v>
      </c>
      <c r="R1667">
        <v>498.6</v>
      </c>
      <c r="S1667" s="3">
        <v>0</v>
      </c>
      <c r="T1667">
        <f t="shared" si="51"/>
        <v>2012</v>
      </c>
      <c r="W1667" s="86">
        <v>43137</v>
      </c>
      <c r="X1667">
        <v>574.72</v>
      </c>
    </row>
    <row r="1668" spans="1:24">
      <c r="A1668" s="68">
        <v>35234</v>
      </c>
      <c r="B1668" s="33">
        <v>1071.3499999999999</v>
      </c>
      <c r="C1668">
        <f t="shared" ref="C1668:C1731" si="52">YEAR(A1668)</f>
        <v>1996</v>
      </c>
      <c r="H1668" s="85">
        <v>42573</v>
      </c>
      <c r="I1668">
        <v>2928.67</v>
      </c>
      <c r="N1668" s="69">
        <v>41094</v>
      </c>
      <c r="O1668">
        <v>499.6</v>
      </c>
      <c r="P1668">
        <v>498.7</v>
      </c>
      <c r="Q1668">
        <v>499.7</v>
      </c>
      <c r="R1668">
        <v>498.6</v>
      </c>
      <c r="S1668" s="3">
        <v>-2.0000000000000001E-4</v>
      </c>
      <c r="T1668">
        <f t="shared" ref="T1668:T1731" si="53">YEAR(N1668)</f>
        <v>2012</v>
      </c>
      <c r="W1668" s="86">
        <v>43138</v>
      </c>
      <c r="X1668">
        <v>573</v>
      </c>
    </row>
    <row r="1669" spans="1:24">
      <c r="A1669" s="68">
        <v>35235</v>
      </c>
      <c r="B1669" s="32">
        <v>1072.74</v>
      </c>
      <c r="C1669">
        <f t="shared" si="52"/>
        <v>1996</v>
      </c>
      <c r="H1669" s="85">
        <v>42574</v>
      </c>
      <c r="I1669">
        <v>2942.65</v>
      </c>
      <c r="N1669" s="69">
        <v>41093</v>
      </c>
      <c r="O1669">
        <v>499.7</v>
      </c>
      <c r="P1669">
        <v>498.7</v>
      </c>
      <c r="Q1669">
        <v>499.7</v>
      </c>
      <c r="R1669">
        <v>498.7</v>
      </c>
      <c r="S1669" s="3">
        <v>0</v>
      </c>
      <c r="T1669">
        <f t="shared" si="53"/>
        <v>2012</v>
      </c>
      <c r="W1669" s="86">
        <v>43139</v>
      </c>
      <c r="X1669">
        <v>573.08000000000004</v>
      </c>
    </row>
    <row r="1670" spans="1:24">
      <c r="A1670" s="68">
        <v>35236</v>
      </c>
      <c r="B1670" s="33">
        <v>1070.94</v>
      </c>
      <c r="C1670">
        <f t="shared" si="52"/>
        <v>1996</v>
      </c>
      <c r="H1670" s="85">
        <v>42575</v>
      </c>
      <c r="I1670">
        <v>2942.65</v>
      </c>
      <c r="N1670" s="69">
        <v>41092</v>
      </c>
      <c r="O1670">
        <v>499.7</v>
      </c>
      <c r="P1670">
        <v>498.7</v>
      </c>
      <c r="Q1670">
        <v>499.7</v>
      </c>
      <c r="R1670">
        <v>498.7</v>
      </c>
      <c r="S1670" s="3">
        <v>0</v>
      </c>
      <c r="T1670">
        <f t="shared" si="53"/>
        <v>2012</v>
      </c>
      <c r="W1670" s="86">
        <v>43140</v>
      </c>
      <c r="X1670">
        <v>576.45000000000005</v>
      </c>
    </row>
    <row r="1671" spans="1:24">
      <c r="A1671" s="68">
        <v>35237</v>
      </c>
      <c r="B1671" s="32">
        <v>1070.8599999999999</v>
      </c>
      <c r="C1671">
        <f t="shared" si="52"/>
        <v>1996</v>
      </c>
      <c r="H1671" s="85">
        <v>42576</v>
      </c>
      <c r="I1671">
        <v>2942.65</v>
      </c>
      <c r="N1671" s="69">
        <v>41089</v>
      </c>
      <c r="O1671">
        <v>499.7</v>
      </c>
      <c r="P1671">
        <v>498.5</v>
      </c>
      <c r="Q1671">
        <v>499.7</v>
      </c>
      <c r="R1671">
        <v>498.5</v>
      </c>
      <c r="S1671" s="3">
        <v>4.0000000000000002E-4</v>
      </c>
      <c r="T1671">
        <f t="shared" si="53"/>
        <v>2012</v>
      </c>
      <c r="W1671" s="86">
        <v>43143</v>
      </c>
      <c r="X1671">
        <v>574.41999999999996</v>
      </c>
    </row>
    <row r="1672" spans="1:24">
      <c r="A1672" s="68">
        <v>35238</v>
      </c>
      <c r="B1672" s="33">
        <v>1068.2</v>
      </c>
      <c r="C1672">
        <f t="shared" si="52"/>
        <v>1996</v>
      </c>
      <c r="H1672" s="85">
        <v>42577</v>
      </c>
      <c r="I1672">
        <v>2997.25</v>
      </c>
      <c r="N1672" s="69">
        <v>41088</v>
      </c>
      <c r="O1672">
        <v>499.5</v>
      </c>
      <c r="P1672">
        <v>498.5</v>
      </c>
      <c r="Q1672">
        <v>499.7</v>
      </c>
      <c r="R1672">
        <v>498.5</v>
      </c>
      <c r="S1672" s="3">
        <v>0</v>
      </c>
      <c r="T1672">
        <f t="shared" si="53"/>
        <v>2012</v>
      </c>
      <c r="W1672" s="86">
        <v>43144</v>
      </c>
      <c r="X1672">
        <v>571.02</v>
      </c>
    </row>
    <row r="1673" spans="1:24">
      <c r="A1673" s="68">
        <v>35239</v>
      </c>
      <c r="B1673" s="32">
        <v>1068.2</v>
      </c>
      <c r="C1673">
        <f t="shared" si="52"/>
        <v>1996</v>
      </c>
      <c r="H1673" s="85">
        <v>42578</v>
      </c>
      <c r="I1673">
        <v>3055.15</v>
      </c>
      <c r="N1673" s="69">
        <v>41087</v>
      </c>
      <c r="O1673">
        <v>499.5</v>
      </c>
      <c r="P1673">
        <v>498.5</v>
      </c>
      <c r="Q1673">
        <v>499.7</v>
      </c>
      <c r="R1673">
        <v>498.5</v>
      </c>
      <c r="S1673" s="3">
        <v>0</v>
      </c>
      <c r="T1673">
        <f t="shared" si="53"/>
        <v>2012</v>
      </c>
      <c r="W1673" s="86">
        <v>43145</v>
      </c>
      <c r="X1673">
        <v>570.52</v>
      </c>
    </row>
    <row r="1674" spans="1:24">
      <c r="A1674" s="68">
        <v>35240</v>
      </c>
      <c r="B1674" s="33">
        <v>1068.2</v>
      </c>
      <c r="C1674">
        <f t="shared" si="52"/>
        <v>1996</v>
      </c>
      <c r="H1674" s="85">
        <v>42579</v>
      </c>
      <c r="I1674">
        <v>3073.52</v>
      </c>
      <c r="N1674" s="69">
        <v>41086</v>
      </c>
      <c r="O1674">
        <v>499.5</v>
      </c>
      <c r="P1674">
        <v>498.6</v>
      </c>
      <c r="Q1674">
        <v>499.7</v>
      </c>
      <c r="R1674">
        <v>498.5</v>
      </c>
      <c r="S1674" s="3">
        <v>-2.0000000000000001E-4</v>
      </c>
      <c r="T1674">
        <f t="shared" si="53"/>
        <v>2012</v>
      </c>
      <c r="W1674" s="86">
        <v>43146</v>
      </c>
      <c r="X1674">
        <v>570.38</v>
      </c>
    </row>
    <row r="1675" spans="1:24">
      <c r="A1675" s="68">
        <v>35241</v>
      </c>
      <c r="B1675" s="32">
        <v>1070.25</v>
      </c>
      <c r="C1675">
        <f t="shared" si="52"/>
        <v>1996</v>
      </c>
      <c r="H1675" s="85">
        <v>42580</v>
      </c>
      <c r="I1675">
        <v>3091.78</v>
      </c>
      <c r="N1675" s="69">
        <v>41085</v>
      </c>
      <c r="O1675">
        <v>499.6</v>
      </c>
      <c r="P1675">
        <v>498.1</v>
      </c>
      <c r="Q1675">
        <v>499.7</v>
      </c>
      <c r="R1675">
        <v>498.05</v>
      </c>
      <c r="S1675" s="3">
        <v>1E-3</v>
      </c>
      <c r="T1675">
        <f t="shared" si="53"/>
        <v>2012</v>
      </c>
      <c r="W1675" s="86">
        <v>43147</v>
      </c>
      <c r="X1675">
        <v>571.83000000000004</v>
      </c>
    </row>
    <row r="1676" spans="1:24">
      <c r="A1676" s="68">
        <v>35242</v>
      </c>
      <c r="B1676" s="33">
        <v>1069.81</v>
      </c>
      <c r="C1676">
        <f t="shared" si="52"/>
        <v>1996</v>
      </c>
      <c r="H1676" s="85">
        <v>42581</v>
      </c>
      <c r="I1676">
        <v>3081.75</v>
      </c>
      <c r="N1676" s="69">
        <v>41082</v>
      </c>
      <c r="O1676">
        <v>499.1</v>
      </c>
      <c r="P1676">
        <v>498.1</v>
      </c>
      <c r="Q1676">
        <v>499.2</v>
      </c>
      <c r="R1676">
        <v>498.1</v>
      </c>
      <c r="S1676" s="3">
        <v>0</v>
      </c>
      <c r="T1676">
        <f t="shared" si="53"/>
        <v>2012</v>
      </c>
      <c r="W1676" s="86">
        <v>43150</v>
      </c>
      <c r="X1676">
        <v>571.63</v>
      </c>
    </row>
    <row r="1677" spans="1:24">
      <c r="A1677" s="68">
        <v>35243</v>
      </c>
      <c r="B1677" s="32">
        <v>1072.3699999999999</v>
      </c>
      <c r="C1677">
        <f t="shared" si="52"/>
        <v>1996</v>
      </c>
      <c r="H1677" s="85">
        <v>42582</v>
      </c>
      <c r="I1677">
        <v>3081.75</v>
      </c>
      <c r="N1677" s="69">
        <v>41081</v>
      </c>
      <c r="O1677">
        <v>499.1</v>
      </c>
      <c r="P1677">
        <v>498.1</v>
      </c>
      <c r="Q1677">
        <v>499.2</v>
      </c>
      <c r="R1677">
        <v>498.1</v>
      </c>
      <c r="S1677" s="3">
        <v>0</v>
      </c>
      <c r="T1677">
        <f t="shared" si="53"/>
        <v>2012</v>
      </c>
      <c r="W1677" s="86">
        <v>43151</v>
      </c>
      <c r="X1677">
        <v>570.08000000000004</v>
      </c>
    </row>
    <row r="1678" spans="1:24">
      <c r="A1678" s="68">
        <v>35244</v>
      </c>
      <c r="B1678" s="33">
        <v>1069.73</v>
      </c>
      <c r="C1678">
        <f t="shared" si="52"/>
        <v>1996</v>
      </c>
      <c r="H1678" s="85">
        <v>42583</v>
      </c>
      <c r="I1678">
        <v>3081.75</v>
      </c>
      <c r="N1678" s="69">
        <v>41080</v>
      </c>
      <c r="O1678">
        <v>499.1</v>
      </c>
      <c r="P1678">
        <v>497.2</v>
      </c>
      <c r="Q1678">
        <v>499.2</v>
      </c>
      <c r="R1678">
        <v>497.2</v>
      </c>
      <c r="S1678" s="3">
        <v>-5.9999999999999995E-4</v>
      </c>
      <c r="T1678">
        <f t="shared" si="53"/>
        <v>2012</v>
      </c>
      <c r="W1678" s="86">
        <v>43152</v>
      </c>
      <c r="X1678">
        <v>570.46</v>
      </c>
    </row>
    <row r="1679" spans="1:24">
      <c r="A1679" s="68">
        <v>35245</v>
      </c>
      <c r="B1679" s="32">
        <v>1069.1099999999999</v>
      </c>
      <c r="C1679">
        <f t="shared" si="52"/>
        <v>1996</v>
      </c>
      <c r="H1679" s="85">
        <v>42584</v>
      </c>
      <c r="I1679">
        <v>3090.28</v>
      </c>
      <c r="N1679" s="69">
        <v>41079</v>
      </c>
      <c r="O1679">
        <v>499.4</v>
      </c>
      <c r="P1679">
        <v>497</v>
      </c>
      <c r="Q1679">
        <v>499.7</v>
      </c>
      <c r="R1679">
        <v>497</v>
      </c>
      <c r="S1679" s="3">
        <v>2.8E-3</v>
      </c>
      <c r="T1679">
        <f t="shared" si="53"/>
        <v>2012</v>
      </c>
      <c r="W1679" s="86">
        <v>43153</v>
      </c>
      <c r="X1679">
        <v>570.15</v>
      </c>
    </row>
    <row r="1680" spans="1:24">
      <c r="A1680" s="68">
        <v>35246</v>
      </c>
      <c r="B1680" s="33">
        <v>1069.1099999999999</v>
      </c>
      <c r="C1680">
        <f t="shared" si="52"/>
        <v>1996</v>
      </c>
      <c r="H1680" s="85">
        <v>42585</v>
      </c>
      <c r="I1680">
        <v>3084.81</v>
      </c>
      <c r="N1680" s="69">
        <v>41078</v>
      </c>
      <c r="O1680">
        <v>498</v>
      </c>
      <c r="P1680">
        <v>497</v>
      </c>
      <c r="Q1680">
        <v>499.7</v>
      </c>
      <c r="R1680">
        <v>497</v>
      </c>
      <c r="S1680" s="3">
        <v>0</v>
      </c>
      <c r="T1680">
        <f t="shared" si="53"/>
        <v>2012</v>
      </c>
      <c r="W1680" s="86">
        <v>43154</v>
      </c>
      <c r="X1680">
        <v>571.82000000000005</v>
      </c>
    </row>
    <row r="1681" spans="1:24">
      <c r="A1681" s="68">
        <v>35247</v>
      </c>
      <c r="B1681" s="32">
        <v>1069.1099999999999</v>
      </c>
      <c r="C1681">
        <f t="shared" si="52"/>
        <v>1996</v>
      </c>
      <c r="H1681" s="85">
        <v>42586</v>
      </c>
      <c r="I1681">
        <v>3110.43</v>
      </c>
      <c r="N1681" s="69">
        <v>41075</v>
      </c>
      <c r="O1681">
        <v>498</v>
      </c>
      <c r="P1681">
        <v>497</v>
      </c>
      <c r="Q1681">
        <v>498.2</v>
      </c>
      <c r="R1681">
        <v>497</v>
      </c>
      <c r="S1681" s="3">
        <v>0</v>
      </c>
      <c r="T1681">
        <f t="shared" si="53"/>
        <v>2012</v>
      </c>
      <c r="W1681" s="86">
        <v>43157</v>
      </c>
      <c r="X1681">
        <v>571.54999999999995</v>
      </c>
    </row>
    <row r="1682" spans="1:24">
      <c r="A1682" s="68">
        <v>35248</v>
      </c>
      <c r="B1682" s="33">
        <v>1069.1099999999999</v>
      </c>
      <c r="C1682">
        <f t="shared" si="52"/>
        <v>1996</v>
      </c>
      <c r="H1682" s="85">
        <v>42587</v>
      </c>
      <c r="I1682">
        <v>3079.83</v>
      </c>
      <c r="N1682" s="69">
        <v>41074</v>
      </c>
      <c r="O1682">
        <v>498</v>
      </c>
      <c r="P1682">
        <v>500.6</v>
      </c>
      <c r="Q1682">
        <v>501.6</v>
      </c>
      <c r="R1682">
        <v>497</v>
      </c>
      <c r="S1682" s="3">
        <v>-7.1999999999999998E-3</v>
      </c>
      <c r="T1682">
        <f t="shared" si="53"/>
        <v>2012</v>
      </c>
      <c r="W1682" s="86">
        <v>43158</v>
      </c>
      <c r="X1682">
        <v>570</v>
      </c>
    </row>
    <row r="1683" spans="1:24">
      <c r="A1683" s="68">
        <v>35249</v>
      </c>
      <c r="B1683" s="32">
        <v>1070.55</v>
      </c>
      <c r="C1683">
        <f t="shared" si="52"/>
        <v>1996</v>
      </c>
      <c r="H1683" s="85">
        <v>42588</v>
      </c>
      <c r="I1683">
        <v>3052.8</v>
      </c>
      <c r="N1683" s="69">
        <v>41073</v>
      </c>
      <c r="O1683">
        <v>501.6</v>
      </c>
      <c r="P1683">
        <v>500.6</v>
      </c>
      <c r="Q1683">
        <v>501.7</v>
      </c>
      <c r="R1683">
        <v>497.2</v>
      </c>
      <c r="S1683" s="3">
        <v>0</v>
      </c>
      <c r="T1683">
        <f t="shared" si="53"/>
        <v>2012</v>
      </c>
      <c r="W1683" s="86">
        <v>43159</v>
      </c>
      <c r="X1683">
        <v>570.13</v>
      </c>
    </row>
    <row r="1684" spans="1:24">
      <c r="A1684" s="68">
        <v>35250</v>
      </c>
      <c r="B1684" s="33">
        <v>1068.1199999999999</v>
      </c>
      <c r="C1684">
        <f t="shared" si="52"/>
        <v>1996</v>
      </c>
      <c r="H1684" s="85">
        <v>42589</v>
      </c>
      <c r="I1684">
        <v>3052.8</v>
      </c>
      <c r="N1684" s="69">
        <v>41072</v>
      </c>
      <c r="O1684">
        <v>501.6</v>
      </c>
      <c r="P1684">
        <v>502.1</v>
      </c>
      <c r="Q1684">
        <v>503.1</v>
      </c>
      <c r="R1684">
        <v>500.6</v>
      </c>
      <c r="S1684" s="3">
        <v>-3.0000000000000001E-3</v>
      </c>
      <c r="T1684">
        <f t="shared" si="53"/>
        <v>2012</v>
      </c>
      <c r="W1684" s="86">
        <v>43160</v>
      </c>
      <c r="X1684">
        <v>571.6</v>
      </c>
    </row>
    <row r="1685" spans="1:24">
      <c r="A1685" s="68">
        <v>35251</v>
      </c>
      <c r="B1685" s="32">
        <v>1068.3</v>
      </c>
      <c r="C1685">
        <f t="shared" si="52"/>
        <v>1996</v>
      </c>
      <c r="H1685" s="85">
        <v>42590</v>
      </c>
      <c r="I1685">
        <v>3052.8</v>
      </c>
      <c r="N1685" s="69">
        <v>41071</v>
      </c>
      <c r="O1685">
        <v>503.1</v>
      </c>
      <c r="P1685">
        <v>502.1</v>
      </c>
      <c r="Q1685">
        <v>503.2</v>
      </c>
      <c r="R1685">
        <v>500.7</v>
      </c>
      <c r="S1685" s="3">
        <v>0</v>
      </c>
      <c r="T1685">
        <f t="shared" si="53"/>
        <v>2012</v>
      </c>
      <c r="W1685" s="86">
        <v>43161</v>
      </c>
      <c r="X1685">
        <v>569.86</v>
      </c>
    </row>
    <row r="1686" spans="1:24">
      <c r="A1686" s="68">
        <v>35252</v>
      </c>
      <c r="B1686" s="33">
        <v>1067.3499999999999</v>
      </c>
      <c r="C1686">
        <f t="shared" si="52"/>
        <v>1996</v>
      </c>
      <c r="H1686" s="85">
        <v>42591</v>
      </c>
      <c r="I1686">
        <v>2992.5</v>
      </c>
      <c r="N1686" s="69">
        <v>41068</v>
      </c>
      <c r="O1686">
        <v>503.1</v>
      </c>
      <c r="P1686">
        <v>503.6</v>
      </c>
      <c r="Q1686">
        <v>504.6</v>
      </c>
      <c r="R1686">
        <v>502.1</v>
      </c>
      <c r="S1686" s="3">
        <v>-1.6999999999999999E-3</v>
      </c>
      <c r="T1686">
        <f t="shared" si="53"/>
        <v>2012</v>
      </c>
      <c r="W1686" s="86">
        <v>43164</v>
      </c>
      <c r="X1686">
        <v>569.9</v>
      </c>
    </row>
    <row r="1687" spans="1:24">
      <c r="A1687" s="68">
        <v>35253</v>
      </c>
      <c r="B1687" s="32">
        <v>1067.3499999999999</v>
      </c>
      <c r="C1687">
        <f t="shared" si="52"/>
        <v>1996</v>
      </c>
      <c r="H1687" s="85">
        <v>42592</v>
      </c>
      <c r="I1687">
        <v>2974.31</v>
      </c>
      <c r="N1687" s="69">
        <v>41067</v>
      </c>
      <c r="O1687">
        <v>503.95</v>
      </c>
      <c r="P1687">
        <v>503.5</v>
      </c>
      <c r="Q1687">
        <v>505.45</v>
      </c>
      <c r="R1687">
        <v>502.2</v>
      </c>
      <c r="S1687" s="3">
        <v>-1.1000000000000001E-3</v>
      </c>
      <c r="T1687">
        <f t="shared" si="53"/>
        <v>2012</v>
      </c>
      <c r="W1687" s="86">
        <v>43165</v>
      </c>
      <c r="X1687">
        <v>569.88</v>
      </c>
    </row>
    <row r="1688" spans="1:24">
      <c r="A1688" s="68">
        <v>35254</v>
      </c>
      <c r="B1688" s="33">
        <v>1067.3499999999999</v>
      </c>
      <c r="C1688">
        <f t="shared" si="52"/>
        <v>1996</v>
      </c>
      <c r="H1688" s="85">
        <v>42593</v>
      </c>
      <c r="I1688">
        <v>2954.9</v>
      </c>
      <c r="N1688" s="69">
        <v>41066</v>
      </c>
      <c r="O1688">
        <v>504.5</v>
      </c>
      <c r="P1688">
        <v>500.5</v>
      </c>
      <c r="Q1688">
        <v>504.7</v>
      </c>
      <c r="R1688">
        <v>500.5</v>
      </c>
      <c r="S1688" s="3">
        <v>6.0000000000000001E-3</v>
      </c>
      <c r="T1688">
        <f t="shared" si="53"/>
        <v>2012</v>
      </c>
      <c r="W1688" s="86">
        <v>43166</v>
      </c>
      <c r="X1688">
        <v>569.88</v>
      </c>
    </row>
    <row r="1689" spans="1:24">
      <c r="A1689" s="68">
        <v>35255</v>
      </c>
      <c r="B1689" s="32">
        <v>1068.17</v>
      </c>
      <c r="C1689">
        <f t="shared" si="52"/>
        <v>1996</v>
      </c>
      <c r="H1689" s="85">
        <v>42594</v>
      </c>
      <c r="I1689">
        <v>2911.26</v>
      </c>
      <c r="N1689" s="69">
        <v>41065</v>
      </c>
      <c r="O1689">
        <v>501.5</v>
      </c>
      <c r="P1689">
        <v>500.6</v>
      </c>
      <c r="Q1689">
        <v>504.7</v>
      </c>
      <c r="R1689">
        <v>500.5</v>
      </c>
      <c r="S1689" s="3">
        <v>-2.0000000000000001E-4</v>
      </c>
      <c r="T1689">
        <f t="shared" si="53"/>
        <v>2012</v>
      </c>
      <c r="W1689" s="86">
        <v>43167</v>
      </c>
      <c r="X1689">
        <v>569.88</v>
      </c>
    </row>
    <row r="1690" spans="1:24">
      <c r="A1690" s="68">
        <v>35256</v>
      </c>
      <c r="B1690" s="33">
        <v>1067.97</v>
      </c>
      <c r="C1690">
        <f t="shared" si="52"/>
        <v>1996</v>
      </c>
      <c r="H1690" s="85">
        <v>42595</v>
      </c>
      <c r="I1690">
        <v>2908.67</v>
      </c>
      <c r="N1690" s="69">
        <v>41064</v>
      </c>
      <c r="O1690">
        <v>501.6</v>
      </c>
      <c r="P1690">
        <v>500.6</v>
      </c>
      <c r="Q1690">
        <v>503.7</v>
      </c>
      <c r="R1690">
        <v>500.6</v>
      </c>
      <c r="S1690" s="3">
        <v>0</v>
      </c>
      <c r="T1690">
        <f t="shared" si="53"/>
        <v>2012</v>
      </c>
      <c r="W1690" s="86">
        <v>43168</v>
      </c>
      <c r="X1690">
        <v>569.78</v>
      </c>
    </row>
    <row r="1691" spans="1:24">
      <c r="A1691" s="68">
        <v>35257</v>
      </c>
      <c r="B1691" s="32">
        <v>1065.6500000000001</v>
      </c>
      <c r="C1691">
        <f t="shared" si="52"/>
        <v>1996</v>
      </c>
      <c r="H1691" s="85">
        <v>42596</v>
      </c>
      <c r="I1691">
        <v>2908.67</v>
      </c>
      <c r="N1691" s="69">
        <v>41061</v>
      </c>
      <c r="O1691">
        <v>501.6</v>
      </c>
      <c r="P1691">
        <v>500.7</v>
      </c>
      <c r="Q1691">
        <v>501.7</v>
      </c>
      <c r="R1691">
        <v>500.6</v>
      </c>
      <c r="S1691" s="3">
        <v>-2.0000000000000001E-4</v>
      </c>
      <c r="T1691">
        <f t="shared" si="53"/>
        <v>2012</v>
      </c>
      <c r="W1691" s="86">
        <v>43171</v>
      </c>
      <c r="X1691">
        <v>569.78</v>
      </c>
    </row>
    <row r="1692" spans="1:24">
      <c r="A1692" s="68">
        <v>35258</v>
      </c>
      <c r="B1692" s="33">
        <v>1061.79</v>
      </c>
      <c r="C1692">
        <f t="shared" si="52"/>
        <v>1996</v>
      </c>
      <c r="H1692" s="85">
        <v>42597</v>
      </c>
      <c r="I1692">
        <v>2908.67</v>
      </c>
      <c r="N1692" s="69">
        <v>41060</v>
      </c>
      <c r="O1692">
        <v>501.7</v>
      </c>
      <c r="P1692">
        <v>499.4</v>
      </c>
      <c r="Q1692">
        <v>501.7</v>
      </c>
      <c r="R1692">
        <v>499.4</v>
      </c>
      <c r="S1692" s="3">
        <v>2.5999999999999999E-3</v>
      </c>
      <c r="T1692">
        <f t="shared" si="53"/>
        <v>2012</v>
      </c>
      <c r="W1692" s="86">
        <v>43172</v>
      </c>
      <c r="X1692">
        <v>570.82000000000005</v>
      </c>
    </row>
    <row r="1693" spans="1:24">
      <c r="A1693" s="68">
        <v>35259</v>
      </c>
      <c r="B1693" s="32">
        <v>1061.99</v>
      </c>
      <c r="C1693">
        <f t="shared" si="52"/>
        <v>1996</v>
      </c>
      <c r="H1693" s="85">
        <v>42598</v>
      </c>
      <c r="I1693">
        <v>2908.67</v>
      </c>
      <c r="N1693" s="69">
        <v>41059</v>
      </c>
      <c r="O1693">
        <v>500.4</v>
      </c>
      <c r="P1693">
        <v>501.5</v>
      </c>
      <c r="Q1693">
        <v>502.5</v>
      </c>
      <c r="R1693">
        <v>499.4</v>
      </c>
      <c r="S1693" s="3">
        <v>-4.1999999999999997E-3</v>
      </c>
      <c r="T1693">
        <f t="shared" si="53"/>
        <v>2012</v>
      </c>
      <c r="W1693" s="86">
        <v>43173</v>
      </c>
      <c r="X1693">
        <v>569.4</v>
      </c>
    </row>
    <row r="1694" spans="1:24">
      <c r="A1694" s="68">
        <v>35260</v>
      </c>
      <c r="B1694" s="33">
        <v>1061.99</v>
      </c>
      <c r="C1694">
        <f t="shared" si="52"/>
        <v>1996</v>
      </c>
      <c r="H1694" s="85">
        <v>42599</v>
      </c>
      <c r="I1694">
        <v>2905.3</v>
      </c>
      <c r="N1694" s="69">
        <v>41058</v>
      </c>
      <c r="O1694">
        <v>502.5</v>
      </c>
      <c r="P1694">
        <v>504.1</v>
      </c>
      <c r="Q1694">
        <v>505.1</v>
      </c>
      <c r="R1694">
        <v>499.7</v>
      </c>
      <c r="S1694" s="3">
        <v>-5.1000000000000004E-3</v>
      </c>
      <c r="T1694">
        <f t="shared" si="53"/>
        <v>2012</v>
      </c>
      <c r="W1694" s="86">
        <v>43174</v>
      </c>
      <c r="X1694">
        <v>568.9</v>
      </c>
    </row>
    <row r="1695" spans="1:24">
      <c r="A1695" s="68">
        <v>35261</v>
      </c>
      <c r="B1695" s="32">
        <v>1061.99</v>
      </c>
      <c r="C1695">
        <f t="shared" si="52"/>
        <v>1996</v>
      </c>
      <c r="H1695" s="85">
        <v>42600</v>
      </c>
      <c r="I1695">
        <v>2918.07</v>
      </c>
      <c r="N1695" s="69">
        <v>41057</v>
      </c>
      <c r="O1695">
        <v>505.1</v>
      </c>
      <c r="P1695">
        <v>504.1</v>
      </c>
      <c r="Q1695">
        <v>505.2</v>
      </c>
      <c r="R1695">
        <v>504.1</v>
      </c>
      <c r="S1695" s="3">
        <v>0</v>
      </c>
      <c r="T1695">
        <f t="shared" si="53"/>
        <v>2012</v>
      </c>
      <c r="W1695" s="86">
        <v>43175</v>
      </c>
      <c r="X1695">
        <v>568.03</v>
      </c>
    </row>
    <row r="1696" spans="1:24">
      <c r="A1696" s="68">
        <v>35262</v>
      </c>
      <c r="B1696" s="33">
        <v>1065.58</v>
      </c>
      <c r="C1696">
        <f t="shared" si="52"/>
        <v>1996</v>
      </c>
      <c r="H1696" s="85">
        <v>42601</v>
      </c>
      <c r="I1696">
        <v>2884.02</v>
      </c>
      <c r="N1696" s="69">
        <v>41054</v>
      </c>
      <c r="O1696">
        <v>505.1</v>
      </c>
      <c r="P1696">
        <v>504.1</v>
      </c>
      <c r="Q1696">
        <v>505.2</v>
      </c>
      <c r="R1696">
        <v>504.1</v>
      </c>
      <c r="S1696" s="3">
        <v>0</v>
      </c>
      <c r="T1696">
        <f t="shared" si="53"/>
        <v>2012</v>
      </c>
      <c r="W1696" s="86">
        <v>43178</v>
      </c>
      <c r="X1696">
        <v>567.92999999999995</v>
      </c>
    </row>
    <row r="1697" spans="1:24">
      <c r="A1697" s="68">
        <v>35263</v>
      </c>
      <c r="B1697" s="32">
        <v>1064.82</v>
      </c>
      <c r="C1697">
        <f t="shared" si="52"/>
        <v>1996</v>
      </c>
      <c r="H1697" s="85">
        <v>42602</v>
      </c>
      <c r="I1697">
        <v>2867.37</v>
      </c>
      <c r="N1697" s="69">
        <v>41053</v>
      </c>
      <c r="O1697">
        <v>505.1</v>
      </c>
      <c r="P1697">
        <v>501.6</v>
      </c>
      <c r="Q1697">
        <v>505.2</v>
      </c>
      <c r="R1697">
        <v>501.6</v>
      </c>
      <c r="S1697" s="3">
        <v>5.0000000000000001E-3</v>
      </c>
      <c r="T1697">
        <f t="shared" si="53"/>
        <v>2012</v>
      </c>
      <c r="W1697" s="86">
        <v>43179</v>
      </c>
      <c r="X1697">
        <v>566.98</v>
      </c>
    </row>
    <row r="1698" spans="1:24">
      <c r="A1698" s="68">
        <v>35264</v>
      </c>
      <c r="B1698" s="33">
        <v>1062.8599999999999</v>
      </c>
      <c r="C1698">
        <f t="shared" si="52"/>
        <v>1996</v>
      </c>
      <c r="H1698" s="85">
        <v>42603</v>
      </c>
      <c r="I1698">
        <v>2867.37</v>
      </c>
      <c r="N1698" s="69">
        <v>41052</v>
      </c>
      <c r="O1698">
        <v>502.6</v>
      </c>
      <c r="P1698">
        <v>503.2</v>
      </c>
      <c r="Q1698">
        <v>504.2</v>
      </c>
      <c r="R1698">
        <v>501.6</v>
      </c>
      <c r="S1698" s="3">
        <v>-3.2000000000000002E-3</v>
      </c>
      <c r="T1698">
        <f t="shared" si="53"/>
        <v>2012</v>
      </c>
      <c r="W1698" s="86">
        <v>43180</v>
      </c>
      <c r="X1698">
        <v>566.91999999999996</v>
      </c>
    </row>
    <row r="1699" spans="1:24">
      <c r="A1699" s="68">
        <v>35265</v>
      </c>
      <c r="B1699" s="32">
        <v>1058.92</v>
      </c>
      <c r="C1699">
        <f t="shared" si="52"/>
        <v>1996</v>
      </c>
      <c r="H1699" s="85">
        <v>42604</v>
      </c>
      <c r="I1699">
        <v>2867.37</v>
      </c>
      <c r="N1699" s="69">
        <v>41051</v>
      </c>
      <c r="O1699">
        <v>504.2</v>
      </c>
      <c r="P1699">
        <v>501.6</v>
      </c>
      <c r="Q1699">
        <v>504.2</v>
      </c>
      <c r="R1699">
        <v>501.6</v>
      </c>
      <c r="S1699" s="3">
        <v>3.2000000000000002E-3</v>
      </c>
      <c r="T1699">
        <f t="shared" si="53"/>
        <v>2012</v>
      </c>
      <c r="W1699" s="86">
        <v>43181</v>
      </c>
      <c r="X1699">
        <v>566.9</v>
      </c>
    </row>
    <row r="1700" spans="1:24">
      <c r="A1700" s="68">
        <v>35266</v>
      </c>
      <c r="B1700" s="33">
        <v>1061.02</v>
      </c>
      <c r="C1700">
        <f t="shared" si="52"/>
        <v>1996</v>
      </c>
      <c r="H1700" s="85">
        <v>42605</v>
      </c>
      <c r="I1700">
        <v>2883.89</v>
      </c>
      <c r="N1700" s="69">
        <v>41050</v>
      </c>
      <c r="O1700">
        <v>502.6</v>
      </c>
      <c r="P1700">
        <v>501.6</v>
      </c>
      <c r="Q1700">
        <v>504.2</v>
      </c>
      <c r="R1700">
        <v>501.6</v>
      </c>
      <c r="S1700" s="3">
        <v>0</v>
      </c>
      <c r="T1700">
        <f t="shared" si="53"/>
        <v>2012</v>
      </c>
      <c r="W1700" s="86">
        <v>43182</v>
      </c>
      <c r="X1700">
        <v>566.77</v>
      </c>
    </row>
    <row r="1701" spans="1:24">
      <c r="A1701" s="68">
        <v>35267</v>
      </c>
      <c r="B1701" s="32">
        <v>1061.02</v>
      </c>
      <c r="C1701">
        <f t="shared" si="52"/>
        <v>1996</v>
      </c>
      <c r="H1701" s="85">
        <v>42606</v>
      </c>
      <c r="I1701">
        <v>2909.1</v>
      </c>
      <c r="N1701" s="69">
        <v>41047</v>
      </c>
      <c r="O1701">
        <v>502.6</v>
      </c>
      <c r="P1701">
        <v>501.6</v>
      </c>
      <c r="Q1701">
        <v>504.2</v>
      </c>
      <c r="R1701">
        <v>501.6</v>
      </c>
      <c r="S1701" s="3">
        <v>0</v>
      </c>
      <c r="T1701">
        <f t="shared" si="53"/>
        <v>2012</v>
      </c>
      <c r="W1701" s="86">
        <v>43185</v>
      </c>
      <c r="X1701">
        <v>567.1</v>
      </c>
    </row>
    <row r="1702" spans="1:24">
      <c r="A1702" s="68">
        <v>35268</v>
      </c>
      <c r="B1702" s="33">
        <v>1061.02</v>
      </c>
      <c r="C1702">
        <f t="shared" si="52"/>
        <v>1996</v>
      </c>
      <c r="H1702" s="85">
        <v>42607</v>
      </c>
      <c r="I1702">
        <v>2938.28</v>
      </c>
      <c r="N1702" s="69">
        <v>41046</v>
      </c>
      <c r="O1702">
        <v>502.6</v>
      </c>
      <c r="P1702">
        <v>502.6</v>
      </c>
      <c r="Q1702">
        <v>503.6</v>
      </c>
      <c r="R1702">
        <v>501.6</v>
      </c>
      <c r="S1702" s="3">
        <v>-2E-3</v>
      </c>
      <c r="T1702">
        <f t="shared" si="53"/>
        <v>2012</v>
      </c>
      <c r="W1702" s="86">
        <v>43186</v>
      </c>
      <c r="X1702">
        <v>567.08000000000004</v>
      </c>
    </row>
    <row r="1703" spans="1:24">
      <c r="A1703" s="68">
        <v>35269</v>
      </c>
      <c r="B1703" s="32">
        <v>1063.53</v>
      </c>
      <c r="C1703">
        <f t="shared" si="52"/>
        <v>1996</v>
      </c>
      <c r="H1703" s="85">
        <v>42608</v>
      </c>
      <c r="I1703">
        <v>2915.67</v>
      </c>
      <c r="N1703" s="69">
        <v>41045</v>
      </c>
      <c r="O1703">
        <v>503.6</v>
      </c>
      <c r="P1703">
        <v>502.6</v>
      </c>
      <c r="Q1703">
        <v>505.2</v>
      </c>
      <c r="R1703">
        <v>501.7</v>
      </c>
      <c r="S1703" s="3">
        <v>0</v>
      </c>
      <c r="T1703">
        <f t="shared" si="53"/>
        <v>2012</v>
      </c>
      <c r="W1703" s="86">
        <v>43187</v>
      </c>
      <c r="X1703">
        <v>567.08000000000004</v>
      </c>
    </row>
    <row r="1704" spans="1:24">
      <c r="A1704" s="68">
        <v>35270</v>
      </c>
      <c r="B1704" s="33">
        <v>1064.56</v>
      </c>
      <c r="C1704">
        <f t="shared" si="52"/>
        <v>1996</v>
      </c>
      <c r="H1704" s="85">
        <v>42609</v>
      </c>
      <c r="I1704">
        <v>2882.69</v>
      </c>
      <c r="N1704" s="69">
        <v>41044</v>
      </c>
      <c r="O1704">
        <v>503.6</v>
      </c>
      <c r="P1704">
        <v>502.6</v>
      </c>
      <c r="Q1704">
        <v>505.2</v>
      </c>
      <c r="R1704">
        <v>502.6</v>
      </c>
      <c r="S1704" s="3">
        <v>0</v>
      </c>
      <c r="T1704">
        <f t="shared" si="53"/>
        <v>2012</v>
      </c>
      <c r="W1704" s="86">
        <v>43188</v>
      </c>
      <c r="X1704">
        <v>567.08000000000004</v>
      </c>
    </row>
    <row r="1705" spans="1:24">
      <c r="A1705" s="68">
        <v>35271</v>
      </c>
      <c r="B1705" s="32">
        <v>1061.46</v>
      </c>
      <c r="C1705">
        <f t="shared" si="52"/>
        <v>1996</v>
      </c>
      <c r="H1705" s="85">
        <v>42610</v>
      </c>
      <c r="I1705">
        <v>2882.69</v>
      </c>
      <c r="N1705" s="69">
        <v>41043</v>
      </c>
      <c r="O1705">
        <v>503.6</v>
      </c>
      <c r="P1705">
        <v>502.6</v>
      </c>
      <c r="Q1705">
        <v>503.7</v>
      </c>
      <c r="R1705">
        <v>502.6</v>
      </c>
      <c r="S1705" s="3">
        <v>0</v>
      </c>
      <c r="T1705">
        <f t="shared" si="53"/>
        <v>2012</v>
      </c>
      <c r="W1705" s="86">
        <v>43189</v>
      </c>
      <c r="X1705">
        <v>567.08000000000004</v>
      </c>
    </row>
    <row r="1706" spans="1:24">
      <c r="A1706" s="68">
        <v>35272</v>
      </c>
      <c r="B1706" s="33">
        <v>1061.03</v>
      </c>
      <c r="C1706">
        <f t="shared" si="52"/>
        <v>1996</v>
      </c>
      <c r="H1706" s="85">
        <v>42611</v>
      </c>
      <c r="I1706">
        <v>2882.69</v>
      </c>
      <c r="N1706" s="69">
        <v>41040</v>
      </c>
      <c r="O1706">
        <v>503.6</v>
      </c>
      <c r="P1706">
        <v>502.7</v>
      </c>
      <c r="Q1706">
        <v>503.7</v>
      </c>
      <c r="R1706">
        <v>502.6</v>
      </c>
      <c r="S1706" s="3">
        <v>-2.0000000000000001E-4</v>
      </c>
      <c r="T1706">
        <f t="shared" si="53"/>
        <v>2012</v>
      </c>
      <c r="W1706" s="86">
        <v>43192</v>
      </c>
      <c r="X1706">
        <v>567.08000000000004</v>
      </c>
    </row>
    <row r="1707" spans="1:24">
      <c r="A1707" s="68">
        <v>35273</v>
      </c>
      <c r="B1707" s="32">
        <v>1061.48</v>
      </c>
      <c r="C1707">
        <f t="shared" si="52"/>
        <v>1996</v>
      </c>
      <c r="H1707" s="85">
        <v>42612</v>
      </c>
      <c r="I1707">
        <v>2924.29</v>
      </c>
      <c r="N1707" s="69">
        <v>41039</v>
      </c>
      <c r="O1707">
        <v>503.7</v>
      </c>
      <c r="P1707">
        <v>509</v>
      </c>
      <c r="Q1707">
        <v>510</v>
      </c>
      <c r="R1707">
        <v>502.7</v>
      </c>
      <c r="S1707" s="3">
        <v>-1.24E-2</v>
      </c>
      <c r="T1707">
        <f t="shared" si="53"/>
        <v>2012</v>
      </c>
      <c r="W1707" s="86">
        <v>43193</v>
      </c>
      <c r="X1707">
        <v>566.79999999999995</v>
      </c>
    </row>
    <row r="1708" spans="1:24">
      <c r="A1708" s="68">
        <v>35274</v>
      </c>
      <c r="B1708" s="33">
        <v>1061.48</v>
      </c>
      <c r="C1708">
        <f t="shared" si="52"/>
        <v>1996</v>
      </c>
      <c r="H1708" s="85">
        <v>42613</v>
      </c>
      <c r="I1708">
        <v>2933.82</v>
      </c>
      <c r="N1708" s="69">
        <v>41038</v>
      </c>
      <c r="O1708">
        <v>510</v>
      </c>
      <c r="P1708">
        <v>507.6</v>
      </c>
      <c r="Q1708">
        <v>510.2</v>
      </c>
      <c r="R1708">
        <v>502.7</v>
      </c>
      <c r="S1708" s="3">
        <v>2.8E-3</v>
      </c>
      <c r="T1708">
        <f t="shared" si="53"/>
        <v>2012</v>
      </c>
      <c r="W1708" s="86">
        <v>43194</v>
      </c>
      <c r="X1708">
        <v>567.1</v>
      </c>
    </row>
    <row r="1709" spans="1:24">
      <c r="A1709" s="68">
        <v>35275</v>
      </c>
      <c r="B1709" s="32">
        <v>1061.48</v>
      </c>
      <c r="C1709">
        <f t="shared" si="52"/>
        <v>1996</v>
      </c>
      <c r="H1709" s="85">
        <v>42614</v>
      </c>
      <c r="I1709">
        <v>2956.53</v>
      </c>
      <c r="N1709" s="69">
        <v>41037</v>
      </c>
      <c r="O1709">
        <v>508.6</v>
      </c>
      <c r="P1709">
        <v>506.1</v>
      </c>
      <c r="Q1709">
        <v>508.7</v>
      </c>
      <c r="R1709">
        <v>505.7</v>
      </c>
      <c r="S1709" s="3">
        <v>3.0000000000000001E-3</v>
      </c>
      <c r="T1709">
        <f t="shared" si="53"/>
        <v>2012</v>
      </c>
      <c r="W1709" s="86">
        <v>43195</v>
      </c>
      <c r="X1709">
        <v>567.45000000000005</v>
      </c>
    </row>
    <row r="1710" spans="1:24">
      <c r="A1710" s="68">
        <v>35276</v>
      </c>
      <c r="B1710" s="33">
        <v>1059.18</v>
      </c>
      <c r="C1710">
        <f t="shared" si="52"/>
        <v>1996</v>
      </c>
      <c r="H1710" s="85">
        <v>42615</v>
      </c>
      <c r="I1710">
        <v>2986.36</v>
      </c>
      <c r="N1710" s="69">
        <v>41036</v>
      </c>
      <c r="O1710">
        <v>507.1</v>
      </c>
      <c r="P1710">
        <v>506.5</v>
      </c>
      <c r="Q1710">
        <v>509.2</v>
      </c>
      <c r="R1710">
        <v>506.1</v>
      </c>
      <c r="S1710" s="3">
        <v>-8.0000000000000004E-4</v>
      </c>
      <c r="T1710">
        <f t="shared" si="53"/>
        <v>2012</v>
      </c>
      <c r="W1710" s="86">
        <v>43196</v>
      </c>
      <c r="X1710">
        <v>567.95000000000005</v>
      </c>
    </row>
    <row r="1711" spans="1:24">
      <c r="A1711" s="68">
        <v>35277</v>
      </c>
      <c r="B1711" s="32">
        <v>1056.74</v>
      </c>
      <c r="C1711">
        <f t="shared" si="52"/>
        <v>1996</v>
      </c>
      <c r="H1711" s="85">
        <v>42616</v>
      </c>
      <c r="I1711">
        <v>2957.56</v>
      </c>
      <c r="N1711" s="69">
        <v>41033</v>
      </c>
      <c r="O1711">
        <v>507.5</v>
      </c>
      <c r="P1711">
        <v>506.7</v>
      </c>
      <c r="Q1711">
        <v>509.2</v>
      </c>
      <c r="R1711">
        <v>505.7</v>
      </c>
      <c r="S1711" s="3">
        <v>-4.0000000000000002E-4</v>
      </c>
      <c r="T1711">
        <f t="shared" si="53"/>
        <v>2012</v>
      </c>
      <c r="W1711" s="86">
        <v>43199</v>
      </c>
      <c r="X1711">
        <v>567.6</v>
      </c>
    </row>
    <row r="1712" spans="1:24">
      <c r="A1712" s="68">
        <v>35278</v>
      </c>
      <c r="B1712" s="33">
        <v>1057.47</v>
      </c>
      <c r="C1712">
        <f t="shared" si="52"/>
        <v>1996</v>
      </c>
      <c r="H1712" s="85">
        <v>42617</v>
      </c>
      <c r="I1712">
        <v>2957.56</v>
      </c>
      <c r="N1712" s="69">
        <v>41032</v>
      </c>
      <c r="O1712">
        <v>507.7</v>
      </c>
      <c r="P1712">
        <v>503.7</v>
      </c>
      <c r="Q1712">
        <v>507.7</v>
      </c>
      <c r="R1712">
        <v>503.7</v>
      </c>
      <c r="S1712" s="3">
        <v>5.8999999999999999E-3</v>
      </c>
      <c r="T1712">
        <f t="shared" si="53"/>
        <v>2012</v>
      </c>
      <c r="W1712" s="86">
        <v>43200</v>
      </c>
      <c r="X1712">
        <v>567.12</v>
      </c>
    </row>
    <row r="1713" spans="1:24">
      <c r="A1713" s="68">
        <v>35279</v>
      </c>
      <c r="B1713" s="32">
        <v>1054.8699999999999</v>
      </c>
      <c r="C1713">
        <f t="shared" si="52"/>
        <v>1996</v>
      </c>
      <c r="H1713" s="85">
        <v>42618</v>
      </c>
      <c r="I1713">
        <v>2957.56</v>
      </c>
      <c r="N1713" s="69">
        <v>41031</v>
      </c>
      <c r="O1713">
        <v>504.7</v>
      </c>
      <c r="P1713">
        <v>503.7</v>
      </c>
      <c r="Q1713">
        <v>504.7</v>
      </c>
      <c r="R1713">
        <v>503.7</v>
      </c>
      <c r="S1713" s="3">
        <v>0</v>
      </c>
      <c r="T1713">
        <f t="shared" si="53"/>
        <v>2012</v>
      </c>
      <c r="W1713" s="86">
        <v>43201</v>
      </c>
      <c r="X1713">
        <v>567.12</v>
      </c>
    </row>
    <row r="1714" spans="1:24">
      <c r="A1714" s="68">
        <v>35280</v>
      </c>
      <c r="B1714" s="33">
        <v>1054.0999999999999</v>
      </c>
      <c r="C1714">
        <f t="shared" si="52"/>
        <v>1996</v>
      </c>
      <c r="H1714" s="85">
        <v>42619</v>
      </c>
      <c r="I1714">
        <v>2957.56</v>
      </c>
      <c r="N1714" s="69">
        <v>41030</v>
      </c>
      <c r="O1714">
        <v>504.7</v>
      </c>
      <c r="P1714">
        <v>503.5</v>
      </c>
      <c r="Q1714">
        <v>504.7</v>
      </c>
      <c r="R1714">
        <v>503.5</v>
      </c>
      <c r="S1714" s="3">
        <v>4.0000000000000002E-4</v>
      </c>
      <c r="T1714">
        <f t="shared" si="53"/>
        <v>2012</v>
      </c>
      <c r="W1714" s="86">
        <v>43202</v>
      </c>
      <c r="X1714">
        <v>566.85</v>
      </c>
    </row>
    <row r="1715" spans="1:24">
      <c r="A1715" s="68">
        <v>35281</v>
      </c>
      <c r="B1715" s="32">
        <v>1054.0999999999999</v>
      </c>
      <c r="C1715">
        <f t="shared" si="52"/>
        <v>1996</v>
      </c>
      <c r="H1715" s="85">
        <v>42620</v>
      </c>
      <c r="I1715">
        <v>2887.64</v>
      </c>
      <c r="N1715" s="69">
        <v>41029</v>
      </c>
      <c r="O1715">
        <v>504.5</v>
      </c>
      <c r="P1715">
        <v>503.6</v>
      </c>
      <c r="Q1715">
        <v>504.7</v>
      </c>
      <c r="R1715">
        <v>503.5</v>
      </c>
      <c r="S1715" s="3">
        <v>-2.0000000000000001E-4</v>
      </c>
      <c r="T1715">
        <f t="shared" si="53"/>
        <v>2012</v>
      </c>
      <c r="W1715" s="86">
        <v>43203</v>
      </c>
      <c r="X1715">
        <v>565.5</v>
      </c>
    </row>
    <row r="1716" spans="1:24">
      <c r="A1716" s="68">
        <v>35282</v>
      </c>
      <c r="B1716" s="33">
        <v>1054.0999999999999</v>
      </c>
      <c r="C1716">
        <f t="shared" si="52"/>
        <v>1996</v>
      </c>
      <c r="H1716" s="85">
        <v>42621</v>
      </c>
      <c r="I1716">
        <v>2840.38</v>
      </c>
      <c r="N1716" s="69">
        <v>41026</v>
      </c>
      <c r="O1716">
        <v>504.6</v>
      </c>
      <c r="P1716">
        <v>503.7</v>
      </c>
      <c r="Q1716">
        <v>504.7</v>
      </c>
      <c r="R1716">
        <v>503.6</v>
      </c>
      <c r="S1716" s="3">
        <v>-2.0000000000000001E-4</v>
      </c>
      <c r="T1716">
        <f t="shared" si="53"/>
        <v>2012</v>
      </c>
      <c r="W1716" s="86">
        <v>43206</v>
      </c>
      <c r="X1716">
        <v>565.75</v>
      </c>
    </row>
    <row r="1717" spans="1:24">
      <c r="A1717" s="68">
        <v>35283</v>
      </c>
      <c r="B1717" s="32">
        <v>1051.6099999999999</v>
      </c>
      <c r="C1717">
        <f t="shared" si="52"/>
        <v>1996</v>
      </c>
      <c r="H1717" s="85">
        <v>42622</v>
      </c>
      <c r="I1717">
        <v>2846.13</v>
      </c>
      <c r="N1717" s="69">
        <v>41025</v>
      </c>
      <c r="O1717">
        <v>504.7</v>
      </c>
      <c r="P1717">
        <v>504.7</v>
      </c>
      <c r="Q1717">
        <v>505.7</v>
      </c>
      <c r="R1717">
        <v>503.7</v>
      </c>
      <c r="S1717" s="3">
        <v>-2E-3</v>
      </c>
      <c r="T1717">
        <f t="shared" si="53"/>
        <v>2012</v>
      </c>
      <c r="W1717" s="86">
        <v>43207</v>
      </c>
      <c r="X1717">
        <v>565.12</v>
      </c>
    </row>
    <row r="1718" spans="1:24">
      <c r="A1718" s="68">
        <v>35284</v>
      </c>
      <c r="B1718" s="33">
        <v>1049.3699999999999</v>
      </c>
      <c r="C1718">
        <f t="shared" si="52"/>
        <v>1996</v>
      </c>
      <c r="H1718" s="85">
        <v>42623</v>
      </c>
      <c r="I1718">
        <v>2899.29</v>
      </c>
      <c r="N1718" s="69">
        <v>41024</v>
      </c>
      <c r="O1718">
        <v>505.7</v>
      </c>
      <c r="P1718">
        <v>504.6</v>
      </c>
      <c r="Q1718">
        <v>505.7</v>
      </c>
      <c r="R1718">
        <v>503.7</v>
      </c>
      <c r="S1718" s="3">
        <v>2.0000000000000001E-4</v>
      </c>
      <c r="T1718">
        <f t="shared" si="53"/>
        <v>2012</v>
      </c>
      <c r="W1718" s="86">
        <v>43208</v>
      </c>
      <c r="X1718">
        <v>565.1</v>
      </c>
    </row>
    <row r="1719" spans="1:24">
      <c r="A1719" s="68">
        <v>35285</v>
      </c>
      <c r="B1719" s="32">
        <v>1049.3699999999999</v>
      </c>
      <c r="C1719">
        <f t="shared" si="52"/>
        <v>1996</v>
      </c>
      <c r="H1719" s="85">
        <v>42624</v>
      </c>
      <c r="I1719">
        <v>2899.29</v>
      </c>
      <c r="N1719" s="69">
        <v>41023</v>
      </c>
      <c r="O1719">
        <v>505.6</v>
      </c>
      <c r="P1719">
        <v>500.7</v>
      </c>
      <c r="Q1719">
        <v>505.7</v>
      </c>
      <c r="R1719">
        <v>500.7</v>
      </c>
      <c r="S1719" s="3">
        <v>7.7999999999999996E-3</v>
      </c>
      <c r="T1719">
        <f t="shared" si="53"/>
        <v>2012</v>
      </c>
      <c r="W1719" s="86">
        <v>43209</v>
      </c>
      <c r="X1719">
        <v>565.20000000000005</v>
      </c>
    </row>
    <row r="1720" spans="1:24">
      <c r="A1720" s="68">
        <v>35286</v>
      </c>
      <c r="B1720" s="33">
        <v>1044.9000000000001</v>
      </c>
      <c r="C1720">
        <f t="shared" si="52"/>
        <v>1996</v>
      </c>
      <c r="H1720" s="85">
        <v>42625</v>
      </c>
      <c r="I1720">
        <v>2899.29</v>
      </c>
      <c r="N1720" s="69">
        <v>41022</v>
      </c>
      <c r="O1720">
        <v>501.7</v>
      </c>
      <c r="P1720">
        <v>500.7</v>
      </c>
      <c r="Q1720">
        <v>502.7</v>
      </c>
      <c r="R1720">
        <v>500.7</v>
      </c>
      <c r="S1720" s="3">
        <v>-1.5E-3</v>
      </c>
      <c r="T1720">
        <f t="shared" si="53"/>
        <v>2012</v>
      </c>
      <c r="W1720" s="86">
        <v>43210</v>
      </c>
      <c r="X1720">
        <v>565.25</v>
      </c>
    </row>
    <row r="1721" spans="1:24">
      <c r="A1721" s="68">
        <v>35287</v>
      </c>
      <c r="B1721" s="32">
        <v>1040.68</v>
      </c>
      <c r="C1721">
        <f t="shared" si="52"/>
        <v>1996</v>
      </c>
      <c r="H1721" s="85">
        <v>42626</v>
      </c>
      <c r="I1721">
        <v>2942.29</v>
      </c>
      <c r="N1721" s="69">
        <v>41019</v>
      </c>
      <c r="O1721">
        <v>502.45</v>
      </c>
      <c r="P1721">
        <v>502.6</v>
      </c>
      <c r="Q1721">
        <v>504.45</v>
      </c>
      <c r="R1721">
        <v>500.7</v>
      </c>
      <c r="S1721" s="3">
        <v>-2.3E-3</v>
      </c>
      <c r="T1721">
        <f t="shared" si="53"/>
        <v>2012</v>
      </c>
      <c r="W1721" s="86">
        <v>43213</v>
      </c>
      <c r="X1721">
        <v>565.58000000000004</v>
      </c>
    </row>
    <row r="1722" spans="1:24">
      <c r="A1722" s="68">
        <v>35288</v>
      </c>
      <c r="B1722" s="33">
        <v>1040.68</v>
      </c>
      <c r="C1722">
        <f t="shared" si="52"/>
        <v>1996</v>
      </c>
      <c r="H1722" s="85">
        <v>42627</v>
      </c>
      <c r="I1722">
        <v>2976.19</v>
      </c>
      <c r="N1722" s="69">
        <v>41018</v>
      </c>
      <c r="O1722">
        <v>503.6</v>
      </c>
      <c r="P1722">
        <v>501</v>
      </c>
      <c r="Q1722">
        <v>503.7</v>
      </c>
      <c r="R1722">
        <v>501</v>
      </c>
      <c r="S1722" s="3">
        <v>3.2000000000000002E-3</v>
      </c>
      <c r="T1722">
        <f t="shared" si="53"/>
        <v>2012</v>
      </c>
      <c r="W1722" s="86">
        <v>43214</v>
      </c>
      <c r="X1722">
        <v>565.41999999999996</v>
      </c>
    </row>
    <row r="1723" spans="1:24">
      <c r="A1723" s="68">
        <v>35289</v>
      </c>
      <c r="B1723" s="32">
        <v>1040.68</v>
      </c>
      <c r="C1723">
        <f t="shared" si="52"/>
        <v>1996</v>
      </c>
      <c r="H1723" s="85">
        <v>42628</v>
      </c>
      <c r="I1723">
        <v>2972.65</v>
      </c>
      <c r="N1723" s="69">
        <v>41017</v>
      </c>
      <c r="O1723">
        <v>502</v>
      </c>
      <c r="P1723">
        <v>503.6</v>
      </c>
      <c r="Q1723">
        <v>504.7</v>
      </c>
      <c r="R1723">
        <v>501</v>
      </c>
      <c r="S1723" s="3">
        <v>-5.1999999999999998E-3</v>
      </c>
      <c r="T1723">
        <f t="shared" si="53"/>
        <v>2012</v>
      </c>
      <c r="W1723" s="86">
        <v>43215</v>
      </c>
      <c r="X1723">
        <v>565.35</v>
      </c>
    </row>
    <row r="1724" spans="1:24">
      <c r="A1724" s="68">
        <v>35290</v>
      </c>
      <c r="B1724" s="33">
        <v>1035.79</v>
      </c>
      <c r="C1724">
        <f t="shared" si="52"/>
        <v>1996</v>
      </c>
      <c r="H1724" s="85">
        <v>42629</v>
      </c>
      <c r="I1724">
        <v>2938.5</v>
      </c>
      <c r="N1724" s="69">
        <v>41016</v>
      </c>
      <c r="O1724">
        <v>504.6</v>
      </c>
      <c r="P1724">
        <v>503.6</v>
      </c>
      <c r="Q1724">
        <v>504.7</v>
      </c>
      <c r="R1724">
        <v>503.6</v>
      </c>
      <c r="S1724" s="3">
        <v>0</v>
      </c>
      <c r="T1724">
        <f t="shared" si="53"/>
        <v>2012</v>
      </c>
      <c r="W1724" s="86">
        <v>43216</v>
      </c>
      <c r="X1724">
        <v>565.48</v>
      </c>
    </row>
    <row r="1725" spans="1:24">
      <c r="A1725" s="68">
        <v>35291</v>
      </c>
      <c r="B1725" s="32">
        <v>1029.46</v>
      </c>
      <c r="C1725">
        <f t="shared" si="52"/>
        <v>1996</v>
      </c>
      <c r="H1725" s="85">
        <v>42630</v>
      </c>
      <c r="I1725">
        <v>2956.58</v>
      </c>
      <c r="N1725" s="69">
        <v>41015</v>
      </c>
      <c r="O1725">
        <v>504.6</v>
      </c>
      <c r="P1725">
        <v>503.6</v>
      </c>
      <c r="Q1725">
        <v>504.7</v>
      </c>
      <c r="R1725">
        <v>503.6</v>
      </c>
      <c r="S1725" s="3">
        <v>0</v>
      </c>
      <c r="T1725">
        <f t="shared" si="53"/>
        <v>2012</v>
      </c>
      <c r="W1725" s="86">
        <v>43217</v>
      </c>
      <c r="X1725">
        <v>565.5</v>
      </c>
    </row>
    <row r="1726" spans="1:24">
      <c r="A1726" s="68">
        <v>35292</v>
      </c>
      <c r="B1726" s="33">
        <v>1041.76</v>
      </c>
      <c r="C1726">
        <f t="shared" si="52"/>
        <v>1996</v>
      </c>
      <c r="H1726" s="85">
        <v>42631</v>
      </c>
      <c r="I1726">
        <v>2956.58</v>
      </c>
      <c r="N1726" s="69">
        <v>41012</v>
      </c>
      <c r="O1726">
        <v>504.6</v>
      </c>
      <c r="P1726">
        <v>506.6</v>
      </c>
      <c r="Q1726">
        <v>507.6</v>
      </c>
      <c r="R1726">
        <v>503.6</v>
      </c>
      <c r="S1726" s="3">
        <v>-5.8999999999999999E-3</v>
      </c>
      <c r="T1726">
        <f t="shared" si="53"/>
        <v>2012</v>
      </c>
      <c r="W1726" s="86">
        <v>43220</v>
      </c>
      <c r="X1726">
        <v>565.38</v>
      </c>
    </row>
    <row r="1727" spans="1:24">
      <c r="A1727" s="68">
        <v>35293</v>
      </c>
      <c r="B1727" s="32">
        <v>1051.82</v>
      </c>
      <c r="C1727">
        <f t="shared" si="52"/>
        <v>1996</v>
      </c>
      <c r="H1727" s="85">
        <v>42632</v>
      </c>
      <c r="I1727">
        <v>2956.58</v>
      </c>
      <c r="N1727" s="69">
        <v>41011</v>
      </c>
      <c r="O1727">
        <v>507.6</v>
      </c>
      <c r="P1727">
        <v>506.6</v>
      </c>
      <c r="Q1727">
        <v>507.7</v>
      </c>
      <c r="R1727">
        <v>503.7</v>
      </c>
      <c r="S1727" s="3">
        <v>0</v>
      </c>
      <c r="T1727">
        <f t="shared" si="53"/>
        <v>2012</v>
      </c>
      <c r="W1727" s="86">
        <v>43221</v>
      </c>
      <c r="X1727">
        <v>565.38</v>
      </c>
    </row>
    <row r="1728" spans="1:24">
      <c r="A1728" s="68">
        <v>35294</v>
      </c>
      <c r="B1728" s="33">
        <v>1047.9000000000001</v>
      </c>
      <c r="C1728">
        <f t="shared" si="52"/>
        <v>1996</v>
      </c>
      <c r="H1728" s="85">
        <v>42633</v>
      </c>
      <c r="I1728">
        <v>2928.18</v>
      </c>
      <c r="N1728" s="69">
        <v>41010</v>
      </c>
      <c r="O1728">
        <v>507.6</v>
      </c>
      <c r="P1728">
        <v>507.6</v>
      </c>
      <c r="Q1728">
        <v>508.6</v>
      </c>
      <c r="R1728">
        <v>506.6</v>
      </c>
      <c r="S1728" s="3">
        <v>-2E-3</v>
      </c>
      <c r="T1728">
        <f t="shared" si="53"/>
        <v>2012</v>
      </c>
      <c r="W1728" s="86">
        <v>43222</v>
      </c>
      <c r="X1728">
        <v>565.95000000000005</v>
      </c>
    </row>
    <row r="1729" spans="1:24">
      <c r="A1729" s="68">
        <v>35295</v>
      </c>
      <c r="B1729" s="32">
        <v>1047.9000000000001</v>
      </c>
      <c r="C1729">
        <f t="shared" si="52"/>
        <v>1996</v>
      </c>
      <c r="H1729" s="85">
        <v>42634</v>
      </c>
      <c r="I1729">
        <v>2911.11</v>
      </c>
      <c r="N1729" s="69">
        <v>41009</v>
      </c>
      <c r="O1729">
        <v>508.6</v>
      </c>
      <c r="P1729">
        <v>504.6</v>
      </c>
      <c r="Q1729">
        <v>508.7</v>
      </c>
      <c r="R1729">
        <v>504.6</v>
      </c>
      <c r="S1729" s="3">
        <v>5.8999999999999999E-3</v>
      </c>
      <c r="T1729">
        <f t="shared" si="53"/>
        <v>2012</v>
      </c>
      <c r="W1729" s="86">
        <v>43223</v>
      </c>
      <c r="X1729">
        <v>566</v>
      </c>
    </row>
    <row r="1730" spans="1:24">
      <c r="A1730" s="68">
        <v>35296</v>
      </c>
      <c r="B1730" s="33">
        <v>1047.9000000000001</v>
      </c>
      <c r="C1730">
        <f t="shared" si="52"/>
        <v>1996</v>
      </c>
      <c r="H1730" s="85">
        <v>42635</v>
      </c>
      <c r="I1730">
        <v>2894.15</v>
      </c>
      <c r="N1730" s="69">
        <v>41008</v>
      </c>
      <c r="O1730">
        <v>505.6</v>
      </c>
      <c r="P1730">
        <v>504.5</v>
      </c>
      <c r="Q1730">
        <v>505.7</v>
      </c>
      <c r="R1730">
        <v>504.5</v>
      </c>
      <c r="S1730" s="3">
        <v>2.0000000000000001E-4</v>
      </c>
      <c r="T1730">
        <f t="shared" si="53"/>
        <v>2012</v>
      </c>
      <c r="W1730" s="86">
        <v>43224</v>
      </c>
      <c r="X1730">
        <v>566.12</v>
      </c>
    </row>
    <row r="1731" spans="1:24">
      <c r="A1731" s="68">
        <v>35297</v>
      </c>
      <c r="B1731" s="32">
        <v>1047.9000000000001</v>
      </c>
      <c r="C1731">
        <f t="shared" si="52"/>
        <v>1996</v>
      </c>
      <c r="H1731" s="85">
        <v>42636</v>
      </c>
      <c r="I1731">
        <v>2862.52</v>
      </c>
      <c r="N1731" s="69">
        <v>41005</v>
      </c>
      <c r="O1731">
        <v>505.5</v>
      </c>
      <c r="P1731">
        <v>504.5</v>
      </c>
      <c r="Q1731">
        <v>505.7</v>
      </c>
      <c r="R1731">
        <v>504.5</v>
      </c>
      <c r="S1731" s="3">
        <v>0</v>
      </c>
      <c r="T1731">
        <f t="shared" si="53"/>
        <v>2012</v>
      </c>
      <c r="W1731" s="86">
        <v>43227</v>
      </c>
      <c r="X1731">
        <v>565.83000000000004</v>
      </c>
    </row>
    <row r="1732" spans="1:24">
      <c r="A1732" s="68">
        <v>35298</v>
      </c>
      <c r="B1732" s="33">
        <v>1044.54</v>
      </c>
      <c r="C1732">
        <f t="shared" ref="C1732:C1795" si="54">YEAR(A1732)</f>
        <v>1996</v>
      </c>
      <c r="H1732" s="85">
        <v>42637</v>
      </c>
      <c r="I1732">
        <v>2917.95</v>
      </c>
      <c r="N1732" s="69">
        <v>41004</v>
      </c>
      <c r="O1732">
        <v>505.5</v>
      </c>
      <c r="P1732">
        <v>506</v>
      </c>
      <c r="Q1732">
        <v>507.4</v>
      </c>
      <c r="R1732">
        <v>504.5</v>
      </c>
      <c r="S1732" s="3">
        <v>-3.0000000000000001E-3</v>
      </c>
      <c r="T1732">
        <f t="shared" ref="T1732:T1795" si="55">YEAR(N1732)</f>
        <v>2012</v>
      </c>
      <c r="W1732" s="86">
        <v>43228</v>
      </c>
      <c r="X1732">
        <v>566.38</v>
      </c>
    </row>
    <row r="1733" spans="1:24">
      <c r="A1733" s="68">
        <v>35299</v>
      </c>
      <c r="B1733" s="32">
        <v>1037.43</v>
      </c>
      <c r="C1733">
        <f t="shared" si="54"/>
        <v>1996</v>
      </c>
      <c r="H1733" s="85">
        <v>42638</v>
      </c>
      <c r="I1733">
        <v>2917.95</v>
      </c>
      <c r="N1733" s="69">
        <v>41003</v>
      </c>
      <c r="O1733">
        <v>507</v>
      </c>
      <c r="P1733">
        <v>506.6</v>
      </c>
      <c r="Q1733">
        <v>507.6</v>
      </c>
      <c r="R1733">
        <v>504.2</v>
      </c>
      <c r="S1733" s="3">
        <v>-1.1999999999999999E-3</v>
      </c>
      <c r="T1733">
        <f t="shared" si="55"/>
        <v>2012</v>
      </c>
      <c r="W1733" s="86">
        <v>43229</v>
      </c>
      <c r="X1733">
        <v>566.38</v>
      </c>
    </row>
    <row r="1734" spans="1:24">
      <c r="A1734" s="68">
        <v>35300</v>
      </c>
      <c r="B1734" s="33">
        <v>1040.1500000000001</v>
      </c>
      <c r="C1734">
        <f t="shared" si="54"/>
        <v>1996</v>
      </c>
      <c r="H1734" s="85">
        <v>42639</v>
      </c>
      <c r="I1734">
        <v>2917.95</v>
      </c>
      <c r="N1734" s="69">
        <v>41002</v>
      </c>
      <c r="O1734">
        <v>507.6</v>
      </c>
      <c r="P1734">
        <v>505</v>
      </c>
      <c r="Q1734">
        <v>507.7</v>
      </c>
      <c r="R1734">
        <v>503.2</v>
      </c>
      <c r="S1734" s="3">
        <v>3.2000000000000002E-3</v>
      </c>
      <c r="T1734">
        <f t="shared" si="55"/>
        <v>2012</v>
      </c>
      <c r="W1734" s="86">
        <v>43230</v>
      </c>
      <c r="X1734">
        <v>566.38</v>
      </c>
    </row>
    <row r="1735" spans="1:24">
      <c r="A1735" s="68">
        <v>35301</v>
      </c>
      <c r="B1735" s="32">
        <v>1037.0999999999999</v>
      </c>
      <c r="C1735">
        <f t="shared" si="54"/>
        <v>1996</v>
      </c>
      <c r="H1735" s="85">
        <v>42640</v>
      </c>
      <c r="I1735">
        <v>2917.58</v>
      </c>
      <c r="N1735" s="69">
        <v>41001</v>
      </c>
      <c r="O1735">
        <v>506</v>
      </c>
      <c r="P1735">
        <v>505</v>
      </c>
      <c r="Q1735">
        <v>506</v>
      </c>
      <c r="R1735">
        <v>503.2</v>
      </c>
      <c r="S1735" s="3">
        <v>-2.0000000000000001E-4</v>
      </c>
      <c r="T1735">
        <f t="shared" si="55"/>
        <v>2012</v>
      </c>
      <c r="W1735" s="86">
        <v>43231</v>
      </c>
      <c r="X1735">
        <v>566.38</v>
      </c>
    </row>
    <row r="1736" spans="1:24">
      <c r="A1736" s="68">
        <v>35302</v>
      </c>
      <c r="B1736" s="33">
        <v>1037.0999999999999</v>
      </c>
      <c r="C1736">
        <f t="shared" si="54"/>
        <v>1996</v>
      </c>
      <c r="H1736" s="85">
        <v>42641</v>
      </c>
      <c r="I1736">
        <v>2921.99</v>
      </c>
      <c r="N1736" s="69">
        <v>40998</v>
      </c>
      <c r="O1736">
        <v>506.1</v>
      </c>
      <c r="P1736">
        <v>502.6</v>
      </c>
      <c r="Q1736">
        <v>506.2</v>
      </c>
      <c r="R1736">
        <v>502.6</v>
      </c>
      <c r="S1736" s="3">
        <v>5.0000000000000001E-3</v>
      </c>
      <c r="T1736">
        <f t="shared" si="55"/>
        <v>2012</v>
      </c>
      <c r="W1736" s="86">
        <v>43234</v>
      </c>
      <c r="X1736">
        <v>565.83000000000004</v>
      </c>
    </row>
    <row r="1737" spans="1:24">
      <c r="A1737" s="68">
        <v>35303</v>
      </c>
      <c r="B1737" s="32">
        <v>1037.0999999999999</v>
      </c>
      <c r="C1737">
        <f t="shared" si="54"/>
        <v>1996</v>
      </c>
      <c r="H1737" s="85">
        <v>42642</v>
      </c>
      <c r="I1737">
        <v>2914.11</v>
      </c>
      <c r="N1737" s="69">
        <v>40997</v>
      </c>
      <c r="O1737">
        <v>503.6</v>
      </c>
      <c r="P1737">
        <v>505</v>
      </c>
      <c r="Q1737">
        <v>506.2</v>
      </c>
      <c r="R1737">
        <v>502.6</v>
      </c>
      <c r="S1737" s="3">
        <v>-4.7000000000000002E-3</v>
      </c>
      <c r="T1737">
        <f t="shared" si="55"/>
        <v>2012</v>
      </c>
      <c r="W1737" s="86">
        <v>43235</v>
      </c>
      <c r="X1737">
        <v>565.36</v>
      </c>
    </row>
    <row r="1738" spans="1:24">
      <c r="A1738" s="68">
        <v>35304</v>
      </c>
      <c r="B1738" s="33">
        <v>1041.6400000000001</v>
      </c>
      <c r="C1738">
        <f t="shared" si="54"/>
        <v>1996</v>
      </c>
      <c r="H1738" s="85">
        <v>42643</v>
      </c>
      <c r="I1738">
        <v>2879.95</v>
      </c>
      <c r="N1738" s="69">
        <v>40996</v>
      </c>
      <c r="O1738">
        <v>506</v>
      </c>
      <c r="P1738">
        <v>509.2</v>
      </c>
      <c r="Q1738">
        <v>510.2</v>
      </c>
      <c r="R1738">
        <v>502.7</v>
      </c>
      <c r="S1738" s="3">
        <v>2.8E-3</v>
      </c>
      <c r="T1738">
        <f t="shared" si="55"/>
        <v>2012</v>
      </c>
      <c r="W1738" s="86">
        <v>43236</v>
      </c>
      <c r="X1738">
        <v>566</v>
      </c>
    </row>
    <row r="1739" spans="1:24">
      <c r="A1739" s="68">
        <v>35305</v>
      </c>
      <c r="B1739" s="32">
        <v>1044.54</v>
      </c>
      <c r="C1739">
        <f t="shared" si="54"/>
        <v>1996</v>
      </c>
      <c r="H1739" s="85">
        <v>42644</v>
      </c>
      <c r="I1739">
        <v>2880.08</v>
      </c>
      <c r="N1739" s="69">
        <v>40995</v>
      </c>
      <c r="O1739">
        <v>504.6</v>
      </c>
      <c r="P1739">
        <v>503.5</v>
      </c>
      <c r="Q1739">
        <v>506.2</v>
      </c>
      <c r="R1739">
        <v>503.5</v>
      </c>
      <c r="S1739" s="3">
        <v>2.0000000000000001E-4</v>
      </c>
      <c r="T1739">
        <f t="shared" si="55"/>
        <v>2012</v>
      </c>
      <c r="W1739" s="86">
        <v>43237</v>
      </c>
      <c r="X1739">
        <v>565.33000000000004</v>
      </c>
    </row>
    <row r="1740" spans="1:24">
      <c r="A1740" s="68">
        <v>35306</v>
      </c>
      <c r="B1740" s="33">
        <v>1046.7</v>
      </c>
      <c r="C1740">
        <f t="shared" si="54"/>
        <v>1996</v>
      </c>
      <c r="H1740" s="85">
        <v>42645</v>
      </c>
      <c r="I1740">
        <v>2880.08</v>
      </c>
      <c r="N1740" s="69">
        <v>40994</v>
      </c>
      <c r="O1740">
        <v>504.5</v>
      </c>
      <c r="P1740">
        <v>504.7</v>
      </c>
      <c r="Q1740">
        <v>505.7</v>
      </c>
      <c r="R1740">
        <v>503.5</v>
      </c>
      <c r="S1740" s="3">
        <v>-2.3999999999999998E-3</v>
      </c>
      <c r="T1740">
        <f t="shared" si="55"/>
        <v>2012</v>
      </c>
      <c r="W1740" s="86">
        <v>43238</v>
      </c>
      <c r="X1740">
        <v>565.25</v>
      </c>
    </row>
    <row r="1741" spans="1:24">
      <c r="A1741" s="68">
        <v>35307</v>
      </c>
      <c r="B1741" s="32">
        <v>1045.02</v>
      </c>
      <c r="C1741">
        <f t="shared" si="54"/>
        <v>1996</v>
      </c>
      <c r="H1741" s="85">
        <v>42646</v>
      </c>
      <c r="I1741">
        <v>2880.08</v>
      </c>
      <c r="N1741" s="69">
        <v>40991</v>
      </c>
      <c r="O1741">
        <v>505.7</v>
      </c>
      <c r="P1741">
        <v>509.2</v>
      </c>
      <c r="Q1741">
        <v>510.2</v>
      </c>
      <c r="R1741">
        <v>503.7</v>
      </c>
      <c r="S1741" s="3">
        <v>-8.8000000000000005E-3</v>
      </c>
      <c r="T1741">
        <f t="shared" si="55"/>
        <v>2012</v>
      </c>
      <c r="W1741" s="86">
        <v>43241</v>
      </c>
      <c r="X1741">
        <v>565.25</v>
      </c>
    </row>
    <row r="1742" spans="1:24">
      <c r="A1742" s="68">
        <v>35308</v>
      </c>
      <c r="B1742" s="33">
        <v>1042.32</v>
      </c>
      <c r="C1742">
        <f t="shared" si="54"/>
        <v>1996</v>
      </c>
      <c r="H1742" s="85">
        <v>42647</v>
      </c>
      <c r="I1742">
        <v>2937.23</v>
      </c>
      <c r="N1742" s="69">
        <v>40990</v>
      </c>
      <c r="O1742">
        <v>510.2</v>
      </c>
      <c r="P1742">
        <v>508</v>
      </c>
      <c r="Q1742">
        <v>510.2</v>
      </c>
      <c r="R1742">
        <v>504.7</v>
      </c>
      <c r="S1742" s="3">
        <v>2.3999999999999998E-3</v>
      </c>
      <c r="T1742">
        <f t="shared" si="55"/>
        <v>2012</v>
      </c>
      <c r="W1742" s="86">
        <v>43242</v>
      </c>
      <c r="X1742">
        <v>564.16</v>
      </c>
    </row>
    <row r="1743" spans="1:24">
      <c r="A1743" s="68">
        <v>35309</v>
      </c>
      <c r="B1743" s="32">
        <v>1042.32</v>
      </c>
      <c r="C1743">
        <f t="shared" si="54"/>
        <v>1996</v>
      </c>
      <c r="H1743" s="85">
        <v>42648</v>
      </c>
      <c r="I1743">
        <v>2963.06</v>
      </c>
      <c r="N1743" s="69">
        <v>40989</v>
      </c>
      <c r="O1743">
        <v>509</v>
      </c>
      <c r="P1743">
        <v>505.5</v>
      </c>
      <c r="Q1743">
        <v>509.2</v>
      </c>
      <c r="R1743">
        <v>505.5</v>
      </c>
      <c r="S1743" s="3">
        <v>4.8999999999999998E-3</v>
      </c>
      <c r="T1743">
        <f t="shared" si="55"/>
        <v>2012</v>
      </c>
      <c r="W1743" s="86">
        <v>43243</v>
      </c>
      <c r="X1743">
        <v>565.12</v>
      </c>
    </row>
    <row r="1744" spans="1:24">
      <c r="A1744" s="68">
        <v>35310</v>
      </c>
      <c r="B1744" s="33">
        <v>1042.32</v>
      </c>
      <c r="C1744">
        <f t="shared" si="54"/>
        <v>1996</v>
      </c>
      <c r="H1744" s="85">
        <v>42649</v>
      </c>
      <c r="I1744">
        <v>2964.93</v>
      </c>
      <c r="N1744" s="69">
        <v>40988</v>
      </c>
      <c r="O1744">
        <v>506.5</v>
      </c>
      <c r="P1744">
        <v>505.5</v>
      </c>
      <c r="Q1744">
        <v>509.2</v>
      </c>
      <c r="R1744">
        <v>505.5</v>
      </c>
      <c r="S1744" s="3">
        <v>0</v>
      </c>
      <c r="T1744">
        <f t="shared" si="55"/>
        <v>2012</v>
      </c>
      <c r="W1744" s="86">
        <v>43244</v>
      </c>
      <c r="X1744">
        <v>565.54999999999995</v>
      </c>
    </row>
    <row r="1745" spans="1:24">
      <c r="A1745" s="68">
        <v>35311</v>
      </c>
      <c r="B1745" s="32">
        <v>1044.3800000000001</v>
      </c>
      <c r="C1745">
        <f t="shared" si="54"/>
        <v>1996</v>
      </c>
      <c r="H1745" s="85">
        <v>42650</v>
      </c>
      <c r="I1745">
        <v>2924.8</v>
      </c>
      <c r="N1745" s="69">
        <v>40987</v>
      </c>
      <c r="O1745">
        <v>506.5</v>
      </c>
      <c r="P1745">
        <v>506.6</v>
      </c>
      <c r="Q1745">
        <v>507.6</v>
      </c>
      <c r="R1745">
        <v>504.7</v>
      </c>
      <c r="S1745" s="3">
        <v>-2.2000000000000001E-3</v>
      </c>
      <c r="T1745">
        <f t="shared" si="55"/>
        <v>2012</v>
      </c>
      <c r="W1745" s="86">
        <v>43245</v>
      </c>
      <c r="X1745">
        <v>565</v>
      </c>
    </row>
    <row r="1746" spans="1:24">
      <c r="A1746" s="68">
        <v>35312</v>
      </c>
      <c r="B1746" s="33">
        <v>1045.27</v>
      </c>
      <c r="C1746">
        <f t="shared" si="54"/>
        <v>1996</v>
      </c>
      <c r="H1746" s="85">
        <v>42651</v>
      </c>
      <c r="I1746">
        <v>2913.96</v>
      </c>
      <c r="N1746" s="69">
        <v>40984</v>
      </c>
      <c r="O1746">
        <v>507.6</v>
      </c>
      <c r="P1746">
        <v>506.6</v>
      </c>
      <c r="Q1746">
        <v>507.7</v>
      </c>
      <c r="R1746">
        <v>504.7</v>
      </c>
      <c r="S1746" s="3">
        <v>0</v>
      </c>
      <c r="T1746">
        <f t="shared" si="55"/>
        <v>2012</v>
      </c>
      <c r="W1746" s="86">
        <v>43247</v>
      </c>
      <c r="X1746">
        <v>565.74</v>
      </c>
    </row>
    <row r="1747" spans="1:24">
      <c r="A1747" s="68">
        <v>35313</v>
      </c>
      <c r="B1747" s="32">
        <v>1044.0899999999999</v>
      </c>
      <c r="C1747">
        <f t="shared" si="54"/>
        <v>1996</v>
      </c>
      <c r="H1747" s="85">
        <v>42652</v>
      </c>
      <c r="I1747">
        <v>2913.96</v>
      </c>
      <c r="N1747" s="69">
        <v>40983</v>
      </c>
      <c r="O1747">
        <v>507.6</v>
      </c>
      <c r="P1747">
        <v>506.05</v>
      </c>
      <c r="Q1747">
        <v>507.7</v>
      </c>
      <c r="R1747">
        <v>506.05</v>
      </c>
      <c r="S1747" s="3">
        <v>1.1000000000000001E-3</v>
      </c>
      <c r="T1747">
        <f t="shared" si="55"/>
        <v>2012</v>
      </c>
      <c r="W1747" s="86">
        <v>43248</v>
      </c>
      <c r="X1747">
        <v>565.75</v>
      </c>
    </row>
    <row r="1748" spans="1:24">
      <c r="A1748" s="68">
        <v>35314</v>
      </c>
      <c r="B1748" s="33">
        <v>1043.93</v>
      </c>
      <c r="C1748">
        <f t="shared" si="54"/>
        <v>1996</v>
      </c>
      <c r="H1748" s="85">
        <v>42653</v>
      </c>
      <c r="I1748">
        <v>2913.96</v>
      </c>
      <c r="N1748" s="69">
        <v>40982</v>
      </c>
      <c r="O1748">
        <v>507.05</v>
      </c>
      <c r="P1748">
        <v>506.1</v>
      </c>
      <c r="Q1748">
        <v>507.1</v>
      </c>
      <c r="R1748">
        <v>506.05</v>
      </c>
      <c r="S1748" s="3">
        <v>-1E-4</v>
      </c>
      <c r="T1748">
        <f t="shared" si="55"/>
        <v>2012</v>
      </c>
      <c r="W1748" s="86">
        <v>43249</v>
      </c>
      <c r="X1748">
        <v>566.33000000000004</v>
      </c>
    </row>
    <row r="1749" spans="1:24">
      <c r="A1749" s="68">
        <v>35315</v>
      </c>
      <c r="B1749" s="32">
        <v>1045.8699999999999</v>
      </c>
      <c r="C1749">
        <f t="shared" si="54"/>
        <v>1996</v>
      </c>
      <c r="H1749" s="85">
        <v>42654</v>
      </c>
      <c r="I1749">
        <v>2913.96</v>
      </c>
      <c r="N1749" s="69">
        <v>40981</v>
      </c>
      <c r="O1749">
        <v>507.1</v>
      </c>
      <c r="P1749">
        <v>509</v>
      </c>
      <c r="Q1749">
        <v>510</v>
      </c>
      <c r="R1749">
        <v>506.1</v>
      </c>
      <c r="S1749" s="3">
        <v>-5.7000000000000002E-3</v>
      </c>
      <c r="T1749">
        <f t="shared" si="55"/>
        <v>2012</v>
      </c>
      <c r="W1749" s="86">
        <v>43250</v>
      </c>
      <c r="X1749">
        <v>564.65</v>
      </c>
    </row>
    <row r="1750" spans="1:24">
      <c r="A1750" s="68">
        <v>35316</v>
      </c>
      <c r="B1750" s="33">
        <v>1045.8699999999999</v>
      </c>
      <c r="C1750">
        <f t="shared" si="54"/>
        <v>1996</v>
      </c>
      <c r="H1750" s="85">
        <v>42655</v>
      </c>
      <c r="I1750">
        <v>2919.51</v>
      </c>
      <c r="N1750" s="69">
        <v>40980</v>
      </c>
      <c r="O1750">
        <v>510</v>
      </c>
      <c r="P1750">
        <v>509.05</v>
      </c>
      <c r="Q1750">
        <v>510.2</v>
      </c>
      <c r="R1750">
        <v>506.2</v>
      </c>
      <c r="S1750" s="3">
        <v>-1E-4</v>
      </c>
      <c r="T1750">
        <f t="shared" si="55"/>
        <v>2012</v>
      </c>
      <c r="W1750" s="86">
        <v>43251</v>
      </c>
      <c r="X1750">
        <v>566.48</v>
      </c>
    </row>
    <row r="1751" spans="1:24">
      <c r="A1751" s="68">
        <v>35317</v>
      </c>
      <c r="B1751" s="32">
        <v>1045.8699999999999</v>
      </c>
      <c r="C1751">
        <f t="shared" si="54"/>
        <v>1996</v>
      </c>
      <c r="H1751" s="85">
        <v>42656</v>
      </c>
      <c r="I1751">
        <v>2919.18</v>
      </c>
      <c r="N1751" s="69">
        <v>40977</v>
      </c>
      <c r="O1751">
        <v>510.05</v>
      </c>
      <c r="P1751">
        <v>509.1</v>
      </c>
      <c r="Q1751">
        <v>510.2</v>
      </c>
      <c r="R1751">
        <v>509.05</v>
      </c>
      <c r="S1751" s="3">
        <v>-1E-4</v>
      </c>
      <c r="T1751">
        <f t="shared" si="55"/>
        <v>2012</v>
      </c>
      <c r="W1751" s="86">
        <v>43252</v>
      </c>
      <c r="X1751">
        <v>567.70000000000005</v>
      </c>
    </row>
    <row r="1752" spans="1:24">
      <c r="A1752" s="68">
        <v>35318</v>
      </c>
      <c r="B1752" s="33">
        <v>1047.95</v>
      </c>
      <c r="C1752">
        <f t="shared" si="54"/>
        <v>1996</v>
      </c>
      <c r="H1752" s="85">
        <v>42657</v>
      </c>
      <c r="I1752">
        <v>2930.78</v>
      </c>
      <c r="N1752" s="69">
        <v>40976</v>
      </c>
      <c r="O1752">
        <v>510.1</v>
      </c>
      <c r="P1752">
        <v>511.6</v>
      </c>
      <c r="Q1752">
        <v>512.6</v>
      </c>
      <c r="R1752">
        <v>509.1</v>
      </c>
      <c r="S1752" s="3">
        <v>-4.8999999999999998E-3</v>
      </c>
      <c r="T1752">
        <f t="shared" si="55"/>
        <v>2012</v>
      </c>
      <c r="W1752" s="86">
        <v>43254</v>
      </c>
      <c r="X1752">
        <v>568.42999999999995</v>
      </c>
    </row>
    <row r="1753" spans="1:24">
      <c r="A1753" s="68">
        <v>35319</v>
      </c>
      <c r="B1753" s="32">
        <v>1051.6400000000001</v>
      </c>
      <c r="C1753">
        <f t="shared" si="54"/>
        <v>1996</v>
      </c>
      <c r="H1753" s="85">
        <v>42658</v>
      </c>
      <c r="I1753">
        <v>2915.67</v>
      </c>
      <c r="N1753" s="69">
        <v>40975</v>
      </c>
      <c r="O1753">
        <v>512.6</v>
      </c>
      <c r="P1753">
        <v>511.6</v>
      </c>
      <c r="Q1753">
        <v>512.70000000000005</v>
      </c>
      <c r="R1753">
        <v>511.6</v>
      </c>
      <c r="S1753" s="3">
        <v>0</v>
      </c>
      <c r="T1753">
        <f t="shared" si="55"/>
        <v>2012</v>
      </c>
      <c r="W1753" s="86">
        <v>43255</v>
      </c>
      <c r="X1753">
        <v>567.12</v>
      </c>
    </row>
    <row r="1754" spans="1:24">
      <c r="A1754" s="68">
        <v>35320</v>
      </c>
      <c r="B1754" s="33">
        <v>1047.26</v>
      </c>
      <c r="C1754">
        <f t="shared" si="54"/>
        <v>1996</v>
      </c>
      <c r="H1754" s="85">
        <v>42659</v>
      </c>
      <c r="I1754">
        <v>2915.67</v>
      </c>
      <c r="N1754" s="69">
        <v>40974</v>
      </c>
      <c r="O1754">
        <v>512.6</v>
      </c>
      <c r="P1754">
        <v>511.6</v>
      </c>
      <c r="Q1754">
        <v>512.70000000000005</v>
      </c>
      <c r="R1754">
        <v>511.6</v>
      </c>
      <c r="S1754" s="3">
        <v>0</v>
      </c>
      <c r="T1754">
        <f t="shared" si="55"/>
        <v>2012</v>
      </c>
      <c r="W1754" s="86">
        <v>43256</v>
      </c>
      <c r="X1754">
        <v>567</v>
      </c>
    </row>
    <row r="1755" spans="1:24">
      <c r="A1755" s="68">
        <v>35321</v>
      </c>
      <c r="B1755" s="32">
        <v>1047.6600000000001</v>
      </c>
      <c r="C1755">
        <f t="shared" si="54"/>
        <v>1996</v>
      </c>
      <c r="H1755" s="85">
        <v>42660</v>
      </c>
      <c r="I1755">
        <v>2915.67</v>
      </c>
      <c r="N1755" s="69">
        <v>40973</v>
      </c>
      <c r="O1755">
        <v>512.6</v>
      </c>
      <c r="P1755">
        <v>511.7</v>
      </c>
      <c r="Q1755">
        <v>512.70000000000005</v>
      </c>
      <c r="R1755">
        <v>511.6</v>
      </c>
      <c r="S1755" s="3">
        <v>-2.0000000000000001E-4</v>
      </c>
      <c r="T1755">
        <f t="shared" si="55"/>
        <v>2012</v>
      </c>
      <c r="W1755" s="86">
        <v>43257</v>
      </c>
      <c r="X1755">
        <v>565.82000000000005</v>
      </c>
    </row>
    <row r="1756" spans="1:24">
      <c r="A1756" s="68">
        <v>35322</v>
      </c>
      <c r="B1756" s="33">
        <v>1043.8900000000001</v>
      </c>
      <c r="C1756">
        <f t="shared" si="54"/>
        <v>1996</v>
      </c>
      <c r="H1756" s="85">
        <v>42661</v>
      </c>
      <c r="I1756">
        <v>2915.67</v>
      </c>
      <c r="N1756" s="69">
        <v>40970</v>
      </c>
      <c r="O1756">
        <v>512.70000000000005</v>
      </c>
      <c r="P1756">
        <v>511.6</v>
      </c>
      <c r="Q1756">
        <v>512.70000000000005</v>
      </c>
      <c r="R1756">
        <v>511.6</v>
      </c>
      <c r="S1756" s="3">
        <v>2.0000000000000001E-4</v>
      </c>
      <c r="T1756">
        <f t="shared" si="55"/>
        <v>2012</v>
      </c>
      <c r="W1756" s="86">
        <v>43258</v>
      </c>
      <c r="X1756">
        <v>567.38</v>
      </c>
    </row>
    <row r="1757" spans="1:24">
      <c r="A1757" s="68">
        <v>35323</v>
      </c>
      <c r="B1757" s="32">
        <v>1043.8900000000001</v>
      </c>
      <c r="C1757">
        <f t="shared" si="54"/>
        <v>1996</v>
      </c>
      <c r="H1757" s="85">
        <v>42662</v>
      </c>
      <c r="I1757">
        <v>2905.93</v>
      </c>
      <c r="N1757" s="69">
        <v>40969</v>
      </c>
      <c r="O1757">
        <v>512.6</v>
      </c>
      <c r="P1757">
        <v>511.6</v>
      </c>
      <c r="Q1757">
        <v>512.70000000000005</v>
      </c>
      <c r="R1757">
        <v>511.6</v>
      </c>
      <c r="S1757" s="3">
        <v>0</v>
      </c>
      <c r="T1757">
        <f t="shared" si="55"/>
        <v>2012</v>
      </c>
      <c r="W1757" s="86">
        <v>43259</v>
      </c>
      <c r="X1757">
        <v>567.65</v>
      </c>
    </row>
    <row r="1758" spans="1:24">
      <c r="A1758" s="68">
        <v>35324</v>
      </c>
      <c r="B1758" s="33">
        <v>1043.8900000000001</v>
      </c>
      <c r="C1758">
        <f t="shared" si="54"/>
        <v>1996</v>
      </c>
      <c r="H1758" s="85">
        <v>42663</v>
      </c>
      <c r="I1758">
        <v>2914.15</v>
      </c>
      <c r="N1758" s="69">
        <v>40968</v>
      </c>
      <c r="O1758">
        <v>512.6</v>
      </c>
      <c r="P1758">
        <v>511.7</v>
      </c>
      <c r="Q1758">
        <v>512.70000000000005</v>
      </c>
      <c r="R1758">
        <v>511.6</v>
      </c>
      <c r="S1758" s="3">
        <v>-2.0000000000000001E-4</v>
      </c>
      <c r="T1758">
        <f t="shared" si="55"/>
        <v>2012</v>
      </c>
      <c r="W1758" s="86">
        <v>43261</v>
      </c>
      <c r="X1758">
        <v>565.21</v>
      </c>
    </row>
    <row r="1759" spans="1:24">
      <c r="A1759" s="68">
        <v>35325</v>
      </c>
      <c r="B1759" s="32">
        <v>1042.8</v>
      </c>
      <c r="C1759">
        <f t="shared" si="54"/>
        <v>1996</v>
      </c>
      <c r="H1759" s="85">
        <v>42664</v>
      </c>
      <c r="I1759">
        <v>2934.03</v>
      </c>
      <c r="N1759" s="69">
        <v>40967</v>
      </c>
      <c r="O1759">
        <v>512.70000000000005</v>
      </c>
      <c r="P1759">
        <v>511.65</v>
      </c>
      <c r="Q1759">
        <v>512.70000000000005</v>
      </c>
      <c r="R1759">
        <v>511.65</v>
      </c>
      <c r="S1759" s="3">
        <v>1E-4</v>
      </c>
      <c r="T1759">
        <f t="shared" si="55"/>
        <v>2012</v>
      </c>
      <c r="W1759" s="86">
        <v>43262</v>
      </c>
      <c r="X1759">
        <v>567.75</v>
      </c>
    </row>
    <row r="1760" spans="1:24">
      <c r="A1760" s="68">
        <v>35326</v>
      </c>
      <c r="B1760" s="33">
        <v>1038.9000000000001</v>
      </c>
      <c r="C1760">
        <f t="shared" si="54"/>
        <v>1996</v>
      </c>
      <c r="H1760" s="85">
        <v>42665</v>
      </c>
      <c r="I1760">
        <v>2944.25</v>
      </c>
      <c r="N1760" s="69">
        <v>40966</v>
      </c>
      <c r="O1760">
        <v>512.65</v>
      </c>
      <c r="P1760">
        <v>511.6</v>
      </c>
      <c r="Q1760">
        <v>512.70000000000005</v>
      </c>
      <c r="R1760">
        <v>511.6</v>
      </c>
      <c r="S1760" s="3">
        <v>1E-4</v>
      </c>
      <c r="T1760">
        <f t="shared" si="55"/>
        <v>2012</v>
      </c>
      <c r="W1760" s="86">
        <v>43263</v>
      </c>
      <c r="X1760">
        <v>567.73</v>
      </c>
    </row>
    <row r="1761" spans="1:24">
      <c r="A1761" s="68">
        <v>35327</v>
      </c>
      <c r="B1761" s="32">
        <v>1035.94</v>
      </c>
      <c r="C1761">
        <f t="shared" si="54"/>
        <v>1996</v>
      </c>
      <c r="H1761" s="85">
        <v>42666</v>
      </c>
      <c r="I1761">
        <v>2944.25</v>
      </c>
      <c r="N1761" s="69">
        <v>40963</v>
      </c>
      <c r="O1761">
        <v>512.6</v>
      </c>
      <c r="P1761">
        <v>511.7</v>
      </c>
      <c r="Q1761">
        <v>512.70000000000005</v>
      </c>
      <c r="R1761">
        <v>511.6</v>
      </c>
      <c r="S1761" s="3">
        <v>-2.0000000000000001E-4</v>
      </c>
      <c r="T1761">
        <f t="shared" si="55"/>
        <v>2012</v>
      </c>
      <c r="W1761" s="86">
        <v>43264</v>
      </c>
      <c r="X1761">
        <v>567.73</v>
      </c>
    </row>
    <row r="1762" spans="1:24">
      <c r="A1762" s="68">
        <v>35328</v>
      </c>
      <c r="B1762" s="33">
        <v>1037.0999999999999</v>
      </c>
      <c r="C1762">
        <f t="shared" si="54"/>
        <v>1996</v>
      </c>
      <c r="H1762" s="85">
        <v>42667</v>
      </c>
      <c r="I1762">
        <v>2944.25</v>
      </c>
      <c r="N1762" s="69">
        <v>40962</v>
      </c>
      <c r="O1762">
        <v>512.70000000000005</v>
      </c>
      <c r="P1762">
        <v>511.6</v>
      </c>
      <c r="Q1762">
        <v>512.70000000000005</v>
      </c>
      <c r="R1762">
        <v>511.6</v>
      </c>
      <c r="S1762" s="3">
        <v>2.0000000000000001E-4</v>
      </c>
      <c r="T1762">
        <f t="shared" si="55"/>
        <v>2012</v>
      </c>
      <c r="W1762" s="86">
        <v>43265</v>
      </c>
      <c r="X1762">
        <v>567.25</v>
      </c>
    </row>
    <row r="1763" spans="1:24">
      <c r="A1763" s="68">
        <v>35329</v>
      </c>
      <c r="B1763" s="32">
        <v>1037.1099999999999</v>
      </c>
      <c r="C1763">
        <f t="shared" si="54"/>
        <v>1996</v>
      </c>
      <c r="H1763" s="85">
        <v>42668</v>
      </c>
      <c r="I1763">
        <v>2929.83</v>
      </c>
      <c r="N1763" s="69">
        <v>40961</v>
      </c>
      <c r="O1763">
        <v>512.6</v>
      </c>
      <c r="P1763">
        <v>509.2</v>
      </c>
      <c r="Q1763">
        <v>512.70000000000005</v>
      </c>
      <c r="R1763">
        <v>509.2</v>
      </c>
      <c r="S1763" s="3">
        <v>4.7000000000000002E-3</v>
      </c>
      <c r="T1763">
        <f t="shared" si="55"/>
        <v>2012</v>
      </c>
      <c r="W1763" s="86">
        <v>43266</v>
      </c>
      <c r="X1763">
        <v>567.25</v>
      </c>
    </row>
    <row r="1764" spans="1:24">
      <c r="A1764" s="68">
        <v>35330</v>
      </c>
      <c r="B1764" s="33">
        <v>1037.1099999999999</v>
      </c>
      <c r="C1764">
        <f t="shared" si="54"/>
        <v>1996</v>
      </c>
      <c r="H1764" s="85">
        <v>42669</v>
      </c>
      <c r="I1764">
        <v>2941.34</v>
      </c>
      <c r="N1764" s="69">
        <v>40960</v>
      </c>
      <c r="O1764">
        <v>510.2</v>
      </c>
      <c r="P1764">
        <v>508.2</v>
      </c>
      <c r="Q1764">
        <v>512.70000000000005</v>
      </c>
      <c r="R1764">
        <v>508.2</v>
      </c>
      <c r="S1764" s="3">
        <v>2E-3</v>
      </c>
      <c r="T1764">
        <f t="shared" si="55"/>
        <v>2012</v>
      </c>
      <c r="W1764" s="86">
        <v>43268</v>
      </c>
      <c r="X1764">
        <v>567.54999999999995</v>
      </c>
    </row>
    <row r="1765" spans="1:24">
      <c r="A1765" s="68">
        <v>35331</v>
      </c>
      <c r="B1765" s="32">
        <v>1037.1099999999999</v>
      </c>
      <c r="C1765">
        <f t="shared" si="54"/>
        <v>1996</v>
      </c>
      <c r="H1765" s="85">
        <v>42670</v>
      </c>
      <c r="I1765">
        <v>2965.18</v>
      </c>
      <c r="N1765" s="69">
        <v>40959</v>
      </c>
      <c r="O1765">
        <v>509.2</v>
      </c>
      <c r="P1765">
        <v>508</v>
      </c>
      <c r="Q1765">
        <v>510.2</v>
      </c>
      <c r="R1765">
        <v>508</v>
      </c>
      <c r="S1765" s="3">
        <v>-1.5E-3</v>
      </c>
      <c r="T1765">
        <f t="shared" si="55"/>
        <v>2012</v>
      </c>
      <c r="W1765" s="86">
        <v>43269</v>
      </c>
      <c r="X1765">
        <v>567.23</v>
      </c>
    </row>
    <row r="1766" spans="1:24">
      <c r="A1766" s="68">
        <v>35332</v>
      </c>
      <c r="B1766" s="33">
        <v>1038.0899999999999</v>
      </c>
      <c r="C1766">
        <f t="shared" si="54"/>
        <v>1996</v>
      </c>
      <c r="H1766" s="85">
        <v>42671</v>
      </c>
      <c r="I1766">
        <v>2966.61</v>
      </c>
      <c r="N1766" s="69">
        <v>40956</v>
      </c>
      <c r="O1766">
        <v>509.95</v>
      </c>
      <c r="P1766">
        <v>508.1</v>
      </c>
      <c r="Q1766">
        <v>509.95</v>
      </c>
      <c r="R1766">
        <v>508</v>
      </c>
      <c r="S1766" s="3">
        <v>1.6999999999999999E-3</v>
      </c>
      <c r="T1766">
        <f t="shared" si="55"/>
        <v>2012</v>
      </c>
      <c r="W1766" s="86">
        <v>43270</v>
      </c>
      <c r="X1766">
        <v>567.15</v>
      </c>
    </row>
    <row r="1767" spans="1:24">
      <c r="A1767" s="68">
        <v>35333</v>
      </c>
      <c r="B1767" s="32">
        <v>1040.3599999999999</v>
      </c>
      <c r="C1767">
        <f t="shared" si="54"/>
        <v>1996</v>
      </c>
      <c r="H1767" s="85">
        <v>42672</v>
      </c>
      <c r="I1767">
        <v>2967.66</v>
      </c>
      <c r="N1767" s="69">
        <v>40955</v>
      </c>
      <c r="O1767">
        <v>509.1</v>
      </c>
      <c r="P1767">
        <v>508.1</v>
      </c>
      <c r="Q1767">
        <v>509.2</v>
      </c>
      <c r="R1767">
        <v>508.1</v>
      </c>
      <c r="S1767" s="3">
        <v>0</v>
      </c>
      <c r="T1767">
        <f t="shared" si="55"/>
        <v>2012</v>
      </c>
      <c r="W1767" s="86">
        <v>43271</v>
      </c>
      <c r="X1767">
        <v>567.15</v>
      </c>
    </row>
    <row r="1768" spans="1:24">
      <c r="A1768" s="68">
        <v>35334</v>
      </c>
      <c r="B1768" s="33">
        <v>1030.25</v>
      </c>
      <c r="C1768">
        <f t="shared" si="54"/>
        <v>1996</v>
      </c>
      <c r="H1768" s="85">
        <v>42673</v>
      </c>
      <c r="I1768">
        <v>2967.66</v>
      </c>
      <c r="N1768" s="69">
        <v>40954</v>
      </c>
      <c r="O1768">
        <v>509.1</v>
      </c>
      <c r="P1768">
        <v>508.1</v>
      </c>
      <c r="Q1768">
        <v>509.2</v>
      </c>
      <c r="R1768">
        <v>508.1</v>
      </c>
      <c r="S1768" s="3">
        <v>0</v>
      </c>
      <c r="T1768">
        <f t="shared" si="55"/>
        <v>2012</v>
      </c>
      <c r="W1768" s="86">
        <v>43272</v>
      </c>
      <c r="X1768">
        <v>567.33000000000004</v>
      </c>
    </row>
    <row r="1769" spans="1:24">
      <c r="A1769" s="68">
        <v>35335</v>
      </c>
      <c r="B1769" s="32">
        <v>1027.68</v>
      </c>
      <c r="C1769">
        <f t="shared" si="54"/>
        <v>1996</v>
      </c>
      <c r="H1769" s="85">
        <v>42674</v>
      </c>
      <c r="I1769">
        <v>2967.66</v>
      </c>
      <c r="N1769" s="69">
        <v>40953</v>
      </c>
      <c r="O1769">
        <v>509.1</v>
      </c>
      <c r="P1769">
        <v>506.7</v>
      </c>
      <c r="Q1769">
        <v>509.7</v>
      </c>
      <c r="R1769">
        <v>506.7</v>
      </c>
      <c r="S1769" s="3">
        <v>-1.1999999999999999E-3</v>
      </c>
      <c r="T1769">
        <f t="shared" si="55"/>
        <v>2012</v>
      </c>
      <c r="W1769" s="86">
        <v>43273</v>
      </c>
      <c r="X1769">
        <v>566.5</v>
      </c>
    </row>
    <row r="1770" spans="1:24">
      <c r="A1770" s="68">
        <v>35336</v>
      </c>
      <c r="B1770" s="33">
        <v>1025.06</v>
      </c>
      <c r="C1770">
        <f t="shared" si="54"/>
        <v>1996</v>
      </c>
      <c r="H1770" s="85">
        <v>42675</v>
      </c>
      <c r="I1770">
        <v>2998.55</v>
      </c>
      <c r="N1770" s="69">
        <v>40952</v>
      </c>
      <c r="O1770">
        <v>509.7</v>
      </c>
      <c r="P1770">
        <v>508.7</v>
      </c>
      <c r="Q1770">
        <v>509.7</v>
      </c>
      <c r="R1770">
        <v>506.7</v>
      </c>
      <c r="S1770" s="3">
        <v>-1.5E-3</v>
      </c>
      <c r="T1770">
        <f t="shared" si="55"/>
        <v>2012</v>
      </c>
      <c r="W1770" s="86">
        <v>43275</v>
      </c>
      <c r="X1770">
        <v>567.26</v>
      </c>
    </row>
    <row r="1771" spans="1:24">
      <c r="A1771" s="68">
        <v>35337</v>
      </c>
      <c r="B1771" s="32">
        <v>1025.06</v>
      </c>
      <c r="C1771">
        <f t="shared" si="54"/>
        <v>1996</v>
      </c>
      <c r="H1771" s="85">
        <v>42676</v>
      </c>
      <c r="I1771">
        <v>3026.68</v>
      </c>
      <c r="N1771" s="69">
        <v>40949</v>
      </c>
      <c r="O1771">
        <v>510.45</v>
      </c>
      <c r="P1771">
        <v>508.7</v>
      </c>
      <c r="Q1771">
        <v>512.25</v>
      </c>
      <c r="R1771">
        <v>508.7</v>
      </c>
      <c r="S1771" s="3">
        <v>-2.0999999999999999E-3</v>
      </c>
      <c r="T1771">
        <f t="shared" si="55"/>
        <v>2012</v>
      </c>
      <c r="W1771" s="86">
        <v>43276</v>
      </c>
      <c r="X1771">
        <v>567.38</v>
      </c>
    </row>
    <row r="1772" spans="1:24">
      <c r="A1772" s="68">
        <v>35338</v>
      </c>
      <c r="B1772" s="33">
        <v>1025.06</v>
      </c>
      <c r="C1772">
        <f t="shared" si="54"/>
        <v>1996</v>
      </c>
      <c r="H1772" s="85">
        <v>42677</v>
      </c>
      <c r="I1772">
        <v>3070.54</v>
      </c>
      <c r="N1772" s="69">
        <v>40948</v>
      </c>
      <c r="O1772">
        <v>511.5</v>
      </c>
      <c r="P1772">
        <v>510.7</v>
      </c>
      <c r="Q1772">
        <v>511.7</v>
      </c>
      <c r="R1772">
        <v>508.7</v>
      </c>
      <c r="S1772" s="3">
        <v>-4.0000000000000002E-4</v>
      </c>
      <c r="T1772">
        <f t="shared" si="55"/>
        <v>2012</v>
      </c>
      <c r="W1772" s="86">
        <v>43277</v>
      </c>
      <c r="X1772">
        <v>567.65</v>
      </c>
    </row>
    <row r="1773" spans="1:24">
      <c r="A1773" s="68">
        <v>35339</v>
      </c>
      <c r="B1773" s="32">
        <v>1027.08</v>
      </c>
      <c r="C1773">
        <f t="shared" si="54"/>
        <v>1996</v>
      </c>
      <c r="H1773" s="85">
        <v>42678</v>
      </c>
      <c r="I1773">
        <v>3071.12</v>
      </c>
      <c r="N1773" s="69">
        <v>40947</v>
      </c>
      <c r="O1773">
        <v>511.7</v>
      </c>
      <c r="P1773">
        <v>507.05</v>
      </c>
      <c r="Q1773">
        <v>511.7</v>
      </c>
      <c r="R1773">
        <v>507.05</v>
      </c>
      <c r="S1773" s="3">
        <v>-1.5E-3</v>
      </c>
      <c r="T1773">
        <f t="shared" si="55"/>
        <v>2012</v>
      </c>
      <c r="W1773" s="86">
        <v>43278</v>
      </c>
      <c r="X1773">
        <v>567.52</v>
      </c>
    </row>
    <row r="1774" spans="1:24">
      <c r="A1774" s="68">
        <v>35340</v>
      </c>
      <c r="B1774" s="33">
        <v>1030.54</v>
      </c>
      <c r="C1774">
        <f t="shared" si="54"/>
        <v>1996</v>
      </c>
      <c r="H1774" s="85">
        <v>42679</v>
      </c>
      <c r="I1774">
        <v>3070.4</v>
      </c>
      <c r="N1774" s="69">
        <v>40946</v>
      </c>
      <c r="O1774">
        <v>512.45000000000005</v>
      </c>
      <c r="P1774">
        <v>507.1</v>
      </c>
      <c r="Q1774">
        <v>512.45000000000005</v>
      </c>
      <c r="R1774">
        <v>507.05</v>
      </c>
      <c r="S1774" s="3">
        <v>8.6E-3</v>
      </c>
      <c r="T1774">
        <f t="shared" si="55"/>
        <v>2012</v>
      </c>
      <c r="W1774" s="86">
        <v>43279</v>
      </c>
      <c r="X1774">
        <v>567.52</v>
      </c>
    </row>
    <row r="1775" spans="1:24">
      <c r="A1775" s="68">
        <v>35341</v>
      </c>
      <c r="B1775" s="32">
        <v>1019.17</v>
      </c>
      <c r="C1775">
        <f t="shared" si="54"/>
        <v>1996</v>
      </c>
      <c r="H1775" s="85">
        <v>42680</v>
      </c>
      <c r="I1775">
        <v>3070.4</v>
      </c>
      <c r="N1775" s="69">
        <v>40945</v>
      </c>
      <c r="O1775">
        <v>508.1</v>
      </c>
      <c r="P1775">
        <v>509.05</v>
      </c>
      <c r="Q1775">
        <v>510.05</v>
      </c>
      <c r="R1775">
        <v>507.1</v>
      </c>
      <c r="S1775" s="3">
        <v>-3.8E-3</v>
      </c>
      <c r="T1775">
        <f t="shared" si="55"/>
        <v>2012</v>
      </c>
      <c r="W1775" s="86">
        <v>43280</v>
      </c>
      <c r="X1775">
        <v>567.15</v>
      </c>
    </row>
    <row r="1776" spans="1:24">
      <c r="A1776" s="68">
        <v>35342</v>
      </c>
      <c r="B1776" s="33">
        <v>1015.24</v>
      </c>
      <c r="C1776">
        <f t="shared" si="54"/>
        <v>1996</v>
      </c>
      <c r="H1776" s="85">
        <v>42681</v>
      </c>
      <c r="I1776">
        <v>3070.4</v>
      </c>
      <c r="N1776" s="69">
        <v>40942</v>
      </c>
      <c r="O1776">
        <v>510.05</v>
      </c>
      <c r="P1776">
        <v>512.6</v>
      </c>
      <c r="Q1776">
        <v>513.6</v>
      </c>
      <c r="R1776">
        <v>507.2</v>
      </c>
      <c r="S1776" s="3">
        <v>-6.8999999999999999E-3</v>
      </c>
      <c r="T1776">
        <f t="shared" si="55"/>
        <v>2012</v>
      </c>
      <c r="W1776" s="86">
        <v>43282</v>
      </c>
      <c r="X1776">
        <v>567.14</v>
      </c>
    </row>
    <row r="1777" spans="1:24">
      <c r="A1777" s="68">
        <v>35343</v>
      </c>
      <c r="B1777" s="32">
        <v>1014.99</v>
      </c>
      <c r="C1777">
        <f t="shared" si="54"/>
        <v>1996</v>
      </c>
      <c r="H1777" s="85">
        <v>42682</v>
      </c>
      <c r="I1777">
        <v>3070.4</v>
      </c>
      <c r="N1777" s="69">
        <v>40941</v>
      </c>
      <c r="O1777">
        <v>513.6</v>
      </c>
      <c r="P1777">
        <v>507.6</v>
      </c>
      <c r="Q1777">
        <v>513.70000000000005</v>
      </c>
      <c r="R1777">
        <v>507.6</v>
      </c>
      <c r="S1777" s="3">
        <v>9.7999999999999997E-3</v>
      </c>
      <c r="T1777">
        <f t="shared" si="55"/>
        <v>2012</v>
      </c>
      <c r="W1777" s="86">
        <v>43283</v>
      </c>
      <c r="X1777">
        <v>567.1</v>
      </c>
    </row>
    <row r="1778" spans="1:24">
      <c r="A1778" s="68">
        <v>35344</v>
      </c>
      <c r="B1778" s="33">
        <v>1014.99</v>
      </c>
      <c r="C1778">
        <f t="shared" si="54"/>
        <v>1996</v>
      </c>
      <c r="H1778" s="85">
        <v>42683</v>
      </c>
      <c r="I1778">
        <v>2984.78</v>
      </c>
      <c r="N1778" s="69">
        <v>40940</v>
      </c>
      <c r="O1778">
        <v>508.6</v>
      </c>
      <c r="P1778">
        <v>507.7</v>
      </c>
      <c r="Q1778">
        <v>513.70000000000005</v>
      </c>
      <c r="R1778">
        <v>505.15</v>
      </c>
      <c r="S1778" s="3">
        <v>4.7999999999999996E-3</v>
      </c>
      <c r="T1778">
        <f t="shared" si="55"/>
        <v>2012</v>
      </c>
      <c r="W1778" s="86">
        <v>43284</v>
      </c>
      <c r="X1778">
        <v>567.15</v>
      </c>
    </row>
    <row r="1779" spans="1:24">
      <c r="A1779" s="68">
        <v>35345</v>
      </c>
      <c r="B1779" s="32">
        <v>1014.99</v>
      </c>
      <c r="C1779">
        <f t="shared" si="54"/>
        <v>1996</v>
      </c>
      <c r="H1779" s="85">
        <v>42684</v>
      </c>
      <c r="I1779">
        <v>3012.12</v>
      </c>
      <c r="N1779" s="69">
        <v>40939</v>
      </c>
      <c r="O1779">
        <v>506.15</v>
      </c>
      <c r="P1779">
        <v>505.1</v>
      </c>
      <c r="Q1779">
        <v>508.7</v>
      </c>
      <c r="R1779">
        <v>505.1</v>
      </c>
      <c r="S1779" s="3">
        <v>1E-4</v>
      </c>
      <c r="T1779">
        <f t="shared" si="55"/>
        <v>2012</v>
      </c>
      <c r="W1779" s="86">
        <v>43285</v>
      </c>
      <c r="X1779">
        <v>567.08000000000004</v>
      </c>
    </row>
    <row r="1780" spans="1:24">
      <c r="A1780" s="68">
        <v>35346</v>
      </c>
      <c r="B1780" s="33">
        <v>1012.56</v>
      </c>
      <c r="C1780">
        <f t="shared" si="54"/>
        <v>1996</v>
      </c>
      <c r="H1780" s="85">
        <v>42685</v>
      </c>
      <c r="I1780">
        <v>3100.12</v>
      </c>
      <c r="N1780" s="69">
        <v>40938</v>
      </c>
      <c r="O1780">
        <v>506.1</v>
      </c>
      <c r="P1780">
        <v>502.1</v>
      </c>
      <c r="Q1780">
        <v>506.2</v>
      </c>
      <c r="R1780">
        <v>502.1</v>
      </c>
      <c r="S1780" s="3">
        <v>6.0000000000000001E-3</v>
      </c>
      <c r="T1780">
        <f t="shared" si="55"/>
        <v>2012</v>
      </c>
      <c r="W1780" s="86">
        <v>43286</v>
      </c>
      <c r="X1780">
        <v>567.33000000000004</v>
      </c>
    </row>
    <row r="1781" spans="1:24">
      <c r="A1781" s="68">
        <v>35347</v>
      </c>
      <c r="B1781" s="32">
        <v>1010.32</v>
      </c>
      <c r="C1781">
        <f t="shared" si="54"/>
        <v>1996</v>
      </c>
      <c r="H1781" s="85">
        <v>42686</v>
      </c>
      <c r="I1781">
        <v>3100.12</v>
      </c>
      <c r="N1781" s="69">
        <v>40935</v>
      </c>
      <c r="O1781">
        <v>503.1</v>
      </c>
      <c r="P1781">
        <v>508.6</v>
      </c>
      <c r="Q1781">
        <v>509.6</v>
      </c>
      <c r="R1781">
        <v>502.1</v>
      </c>
      <c r="S1781" s="3">
        <v>-1.2800000000000001E-2</v>
      </c>
      <c r="T1781">
        <f t="shared" si="55"/>
        <v>2012</v>
      </c>
      <c r="W1781" s="86">
        <v>43287</v>
      </c>
      <c r="X1781">
        <v>567.4</v>
      </c>
    </row>
    <row r="1782" spans="1:24">
      <c r="A1782" s="68">
        <v>35348</v>
      </c>
      <c r="B1782" s="33">
        <v>1012.27</v>
      </c>
      <c r="C1782">
        <f t="shared" si="54"/>
        <v>1996</v>
      </c>
      <c r="H1782" s="85">
        <v>42687</v>
      </c>
      <c r="I1782">
        <v>3100.12</v>
      </c>
      <c r="N1782" s="69">
        <v>40934</v>
      </c>
      <c r="O1782">
        <v>509.6</v>
      </c>
      <c r="P1782">
        <v>511.7</v>
      </c>
      <c r="Q1782">
        <v>512.70000000000005</v>
      </c>
      <c r="R1782">
        <v>502.2</v>
      </c>
      <c r="S1782" s="3">
        <v>-6.0000000000000001E-3</v>
      </c>
      <c r="T1782">
        <f t="shared" si="55"/>
        <v>2012</v>
      </c>
      <c r="W1782" s="86">
        <v>43289</v>
      </c>
      <c r="X1782">
        <v>565.03</v>
      </c>
    </row>
    <row r="1783" spans="1:24">
      <c r="A1783" s="68">
        <v>35349</v>
      </c>
      <c r="B1783" s="32">
        <v>1013.12</v>
      </c>
      <c r="C1783">
        <f t="shared" si="54"/>
        <v>1996</v>
      </c>
      <c r="H1783" s="85">
        <v>42688</v>
      </c>
      <c r="I1783">
        <v>3100.12</v>
      </c>
      <c r="N1783" s="69">
        <v>40933</v>
      </c>
      <c r="O1783">
        <v>512.70000000000005</v>
      </c>
      <c r="P1783">
        <v>507.2</v>
      </c>
      <c r="Q1783">
        <v>512.70000000000005</v>
      </c>
      <c r="R1783">
        <v>507.2</v>
      </c>
      <c r="S1783" s="3">
        <v>8.8999999999999999E-3</v>
      </c>
      <c r="T1783">
        <f t="shared" si="55"/>
        <v>2012</v>
      </c>
      <c r="W1783" s="86">
        <v>43290</v>
      </c>
      <c r="X1783">
        <v>567.48</v>
      </c>
    </row>
    <row r="1784" spans="1:24">
      <c r="A1784" s="68">
        <v>35350</v>
      </c>
      <c r="B1784" s="33">
        <v>1015.07</v>
      </c>
      <c r="C1784">
        <f t="shared" si="54"/>
        <v>1996</v>
      </c>
      <c r="H1784" s="85">
        <v>42689</v>
      </c>
      <c r="I1784">
        <v>3100.12</v>
      </c>
      <c r="N1784" s="69">
        <v>40932</v>
      </c>
      <c r="O1784">
        <v>508.2</v>
      </c>
      <c r="P1784">
        <v>507.1</v>
      </c>
      <c r="Q1784">
        <v>512.70000000000005</v>
      </c>
      <c r="R1784">
        <v>507.1</v>
      </c>
      <c r="S1784" s="3">
        <v>2.0000000000000001E-4</v>
      </c>
      <c r="T1784">
        <f t="shared" si="55"/>
        <v>2012</v>
      </c>
      <c r="W1784" s="86">
        <v>43291</v>
      </c>
      <c r="X1784">
        <v>566.66999999999996</v>
      </c>
    </row>
    <row r="1785" spans="1:24">
      <c r="A1785" s="68">
        <v>35351</v>
      </c>
      <c r="B1785" s="32">
        <v>1015.07</v>
      </c>
      <c r="C1785">
        <f t="shared" si="54"/>
        <v>1996</v>
      </c>
      <c r="H1785" s="85">
        <v>42690</v>
      </c>
      <c r="I1785">
        <v>3124.91</v>
      </c>
      <c r="N1785" s="69">
        <v>40931</v>
      </c>
      <c r="O1785">
        <v>508.1</v>
      </c>
      <c r="P1785">
        <v>506.1</v>
      </c>
      <c r="Q1785">
        <v>508.2</v>
      </c>
      <c r="R1785">
        <v>506.1</v>
      </c>
      <c r="S1785" s="3">
        <v>1.8E-3</v>
      </c>
      <c r="T1785">
        <f t="shared" si="55"/>
        <v>2012</v>
      </c>
      <c r="W1785" s="86">
        <v>43292</v>
      </c>
      <c r="X1785">
        <v>567.23</v>
      </c>
    </row>
    <row r="1786" spans="1:24">
      <c r="A1786" s="68">
        <v>35352</v>
      </c>
      <c r="B1786" s="33">
        <v>1015.07</v>
      </c>
      <c r="C1786">
        <f t="shared" si="54"/>
        <v>1996</v>
      </c>
      <c r="H1786" s="85">
        <v>42691</v>
      </c>
      <c r="I1786">
        <v>3131.11</v>
      </c>
      <c r="N1786" s="69">
        <v>40928</v>
      </c>
      <c r="O1786">
        <v>507.2</v>
      </c>
      <c r="P1786">
        <v>506.1</v>
      </c>
      <c r="Q1786">
        <v>508.2</v>
      </c>
      <c r="R1786">
        <v>506.1</v>
      </c>
      <c r="S1786" s="3">
        <v>2.0000000000000001E-4</v>
      </c>
      <c r="T1786">
        <f t="shared" si="55"/>
        <v>2012</v>
      </c>
      <c r="W1786" s="86">
        <v>43293</v>
      </c>
      <c r="X1786">
        <v>567.25</v>
      </c>
    </row>
    <row r="1787" spans="1:24">
      <c r="A1787" s="68">
        <v>35353</v>
      </c>
      <c r="B1787" s="32">
        <v>1015.07</v>
      </c>
      <c r="C1787">
        <f t="shared" si="54"/>
        <v>1996</v>
      </c>
      <c r="H1787" s="85">
        <v>42692</v>
      </c>
      <c r="I1787">
        <v>3135.65</v>
      </c>
      <c r="N1787" s="69">
        <v>40927</v>
      </c>
      <c r="O1787">
        <v>507.1</v>
      </c>
      <c r="P1787">
        <v>503.6</v>
      </c>
      <c r="Q1787">
        <v>507.2</v>
      </c>
      <c r="R1787">
        <v>503.6</v>
      </c>
      <c r="S1787" s="3">
        <v>5.0000000000000001E-3</v>
      </c>
      <c r="T1787">
        <f t="shared" si="55"/>
        <v>2012</v>
      </c>
      <c r="W1787" s="86">
        <v>43294</v>
      </c>
      <c r="X1787">
        <v>566.91999999999996</v>
      </c>
    </row>
    <row r="1788" spans="1:24">
      <c r="A1788" s="68">
        <v>35354</v>
      </c>
      <c r="B1788" s="33">
        <v>1019.22</v>
      </c>
      <c r="C1788">
        <f t="shared" si="54"/>
        <v>1996</v>
      </c>
      <c r="H1788" s="85">
        <v>42693</v>
      </c>
      <c r="I1788">
        <v>3163.49</v>
      </c>
      <c r="N1788" s="69">
        <v>40926</v>
      </c>
      <c r="O1788">
        <v>504.6</v>
      </c>
      <c r="P1788">
        <v>503.6</v>
      </c>
      <c r="Q1788">
        <v>507.2</v>
      </c>
      <c r="R1788">
        <v>503.6</v>
      </c>
      <c r="S1788" s="3">
        <v>0</v>
      </c>
      <c r="T1788">
        <f t="shared" si="55"/>
        <v>2012</v>
      </c>
      <c r="W1788" s="86">
        <v>43296</v>
      </c>
      <c r="X1788">
        <v>567.05999999999995</v>
      </c>
    </row>
    <row r="1789" spans="1:24">
      <c r="A1789" s="68">
        <v>35355</v>
      </c>
      <c r="B1789" s="32">
        <v>1018.5</v>
      </c>
      <c r="C1789">
        <f t="shared" si="54"/>
        <v>1996</v>
      </c>
      <c r="H1789" s="85">
        <v>42694</v>
      </c>
      <c r="I1789">
        <v>3163.49</v>
      </c>
      <c r="N1789" s="69">
        <v>40925</v>
      </c>
      <c r="O1789">
        <v>504.6</v>
      </c>
      <c r="P1789">
        <v>503.6</v>
      </c>
      <c r="Q1789">
        <v>504.7</v>
      </c>
      <c r="R1789">
        <v>503.6</v>
      </c>
      <c r="S1789" s="3">
        <v>0</v>
      </c>
      <c r="T1789">
        <f t="shared" si="55"/>
        <v>2012</v>
      </c>
      <c r="W1789" s="86">
        <v>43297</v>
      </c>
      <c r="X1789">
        <v>566.85</v>
      </c>
    </row>
    <row r="1790" spans="1:24">
      <c r="A1790" s="68">
        <v>35356</v>
      </c>
      <c r="B1790" s="33">
        <v>1015.24</v>
      </c>
      <c r="C1790">
        <f t="shared" si="54"/>
        <v>1996</v>
      </c>
      <c r="H1790" s="85">
        <v>42695</v>
      </c>
      <c r="I1790">
        <v>3163.49</v>
      </c>
      <c r="N1790" s="69">
        <v>40924</v>
      </c>
      <c r="O1790">
        <v>504.6</v>
      </c>
      <c r="P1790">
        <v>503.7</v>
      </c>
      <c r="Q1790">
        <v>504.7</v>
      </c>
      <c r="R1790">
        <v>503.6</v>
      </c>
      <c r="S1790" s="3">
        <v>-2.0000000000000001E-4</v>
      </c>
      <c r="T1790">
        <f t="shared" si="55"/>
        <v>2012</v>
      </c>
      <c r="W1790" s="86">
        <v>43298</v>
      </c>
      <c r="X1790">
        <v>566.95000000000005</v>
      </c>
    </row>
    <row r="1791" spans="1:24">
      <c r="A1791" s="68">
        <v>35357</v>
      </c>
      <c r="B1791" s="32">
        <v>1016.87</v>
      </c>
      <c r="C1791">
        <f t="shared" si="54"/>
        <v>1996</v>
      </c>
      <c r="H1791" s="85">
        <v>42696</v>
      </c>
      <c r="I1791">
        <v>3144.72</v>
      </c>
      <c r="N1791" s="69">
        <v>40921</v>
      </c>
      <c r="O1791">
        <v>504.7</v>
      </c>
      <c r="P1791">
        <v>508.1</v>
      </c>
      <c r="Q1791">
        <v>509.1</v>
      </c>
      <c r="R1791">
        <v>503.7</v>
      </c>
      <c r="S1791" s="3">
        <v>-8.6E-3</v>
      </c>
      <c r="T1791">
        <f t="shared" si="55"/>
        <v>2012</v>
      </c>
      <c r="W1791" s="86">
        <v>43299</v>
      </c>
      <c r="X1791">
        <v>567.16999999999996</v>
      </c>
    </row>
    <row r="1792" spans="1:24">
      <c r="A1792" s="68">
        <v>35358</v>
      </c>
      <c r="B1792" s="33">
        <v>1016.87</v>
      </c>
      <c r="C1792">
        <f t="shared" si="54"/>
        <v>1996</v>
      </c>
      <c r="H1792" s="85">
        <v>42697</v>
      </c>
      <c r="I1792">
        <v>3139.76</v>
      </c>
      <c r="N1792" s="69">
        <v>40920</v>
      </c>
      <c r="O1792">
        <v>509.1</v>
      </c>
      <c r="P1792">
        <v>508.2</v>
      </c>
      <c r="Q1792">
        <v>509.2</v>
      </c>
      <c r="R1792">
        <v>503.7</v>
      </c>
      <c r="S1792" s="3">
        <v>-2.0000000000000001E-4</v>
      </c>
      <c r="T1792">
        <f t="shared" si="55"/>
        <v>2012</v>
      </c>
      <c r="W1792" s="86">
        <v>43300</v>
      </c>
      <c r="X1792">
        <v>567.33000000000004</v>
      </c>
    </row>
    <row r="1793" spans="1:24">
      <c r="A1793" s="68">
        <v>35359</v>
      </c>
      <c r="B1793" s="32">
        <v>1016.87</v>
      </c>
      <c r="C1793">
        <f t="shared" si="54"/>
        <v>1996</v>
      </c>
      <c r="H1793" s="85">
        <v>42698</v>
      </c>
      <c r="I1793">
        <v>3187.97</v>
      </c>
      <c r="N1793" s="69">
        <v>40919</v>
      </c>
      <c r="O1793">
        <v>509.2</v>
      </c>
      <c r="P1793">
        <v>508.2</v>
      </c>
      <c r="Q1793">
        <v>509.2</v>
      </c>
      <c r="R1793">
        <v>508.2</v>
      </c>
      <c r="S1793" s="3">
        <v>0</v>
      </c>
      <c r="T1793">
        <f t="shared" si="55"/>
        <v>2012</v>
      </c>
      <c r="W1793" s="86">
        <v>43301</v>
      </c>
      <c r="X1793">
        <v>567</v>
      </c>
    </row>
    <row r="1794" spans="1:24">
      <c r="A1794" s="68">
        <v>35360</v>
      </c>
      <c r="B1794" s="33">
        <v>1018.33</v>
      </c>
      <c r="C1794">
        <f t="shared" si="54"/>
        <v>1996</v>
      </c>
      <c r="H1794" s="85">
        <v>42699</v>
      </c>
      <c r="I1794">
        <v>3187.97</v>
      </c>
      <c r="N1794" s="69">
        <v>40918</v>
      </c>
      <c r="O1794">
        <v>509.2</v>
      </c>
      <c r="P1794">
        <v>510.6</v>
      </c>
      <c r="Q1794">
        <v>511.6</v>
      </c>
      <c r="R1794">
        <v>508.2</v>
      </c>
      <c r="S1794" s="3">
        <v>-4.7000000000000002E-3</v>
      </c>
      <c r="T1794">
        <f t="shared" si="55"/>
        <v>2012</v>
      </c>
      <c r="W1794" s="86">
        <v>43303</v>
      </c>
      <c r="X1794">
        <v>563.46</v>
      </c>
    </row>
    <row r="1795" spans="1:24">
      <c r="A1795" s="68">
        <v>35361</v>
      </c>
      <c r="B1795" s="32">
        <v>1018.04</v>
      </c>
      <c r="C1795">
        <f t="shared" si="54"/>
        <v>1996</v>
      </c>
      <c r="H1795" s="85">
        <v>42700</v>
      </c>
      <c r="I1795">
        <v>3170.64</v>
      </c>
      <c r="N1795" s="69">
        <v>40917</v>
      </c>
      <c r="O1795">
        <v>511.6</v>
      </c>
      <c r="P1795">
        <v>512.1</v>
      </c>
      <c r="Q1795">
        <v>513.1</v>
      </c>
      <c r="R1795">
        <v>508.2</v>
      </c>
      <c r="S1795" s="3">
        <v>-2.8999999999999998E-3</v>
      </c>
      <c r="T1795">
        <f t="shared" si="55"/>
        <v>2012</v>
      </c>
      <c r="W1795" s="86">
        <v>43304</v>
      </c>
      <c r="X1795">
        <v>567.52</v>
      </c>
    </row>
    <row r="1796" spans="1:24">
      <c r="A1796" s="68">
        <v>35362</v>
      </c>
      <c r="B1796" s="33">
        <v>1017.52</v>
      </c>
      <c r="C1796">
        <f t="shared" ref="C1796:C1859" si="56">YEAR(A1796)</f>
        <v>1996</v>
      </c>
      <c r="H1796" s="85">
        <v>42701</v>
      </c>
      <c r="I1796">
        <v>3170.64</v>
      </c>
      <c r="N1796" s="69">
        <v>40914</v>
      </c>
      <c r="O1796">
        <v>513.1</v>
      </c>
      <c r="P1796">
        <v>510.6</v>
      </c>
      <c r="Q1796">
        <v>513.20000000000005</v>
      </c>
      <c r="R1796">
        <v>510.6</v>
      </c>
      <c r="S1796" s="3">
        <v>2.7000000000000001E-3</v>
      </c>
      <c r="T1796">
        <f t="shared" ref="T1796:T1859" si="57">YEAR(N1796)</f>
        <v>2012</v>
      </c>
      <c r="W1796" s="86">
        <v>43305</v>
      </c>
      <c r="X1796">
        <v>567.5</v>
      </c>
    </row>
    <row r="1797" spans="1:24">
      <c r="A1797" s="68">
        <v>35363</v>
      </c>
      <c r="B1797" s="32">
        <v>1015.49</v>
      </c>
      <c r="C1797">
        <f t="shared" si="56"/>
        <v>1996</v>
      </c>
      <c r="H1797" s="85">
        <v>42702</v>
      </c>
      <c r="I1797">
        <v>3170.64</v>
      </c>
      <c r="N1797" s="69">
        <v>40913</v>
      </c>
      <c r="O1797">
        <v>511.7</v>
      </c>
      <c r="P1797">
        <v>508.2</v>
      </c>
      <c r="Q1797">
        <v>511.7</v>
      </c>
      <c r="R1797">
        <v>508.2</v>
      </c>
      <c r="S1797" s="3">
        <v>4.8999999999999998E-3</v>
      </c>
      <c r="T1797">
        <f t="shared" si="57"/>
        <v>2012</v>
      </c>
      <c r="W1797" s="86">
        <v>43306</v>
      </c>
      <c r="X1797">
        <v>567.5</v>
      </c>
    </row>
    <row r="1798" spans="1:24">
      <c r="A1798" s="68">
        <v>35364</v>
      </c>
      <c r="B1798" s="33">
        <v>1011.69</v>
      </c>
      <c r="C1798">
        <f t="shared" si="56"/>
        <v>1996</v>
      </c>
      <c r="H1798" s="85">
        <v>42703</v>
      </c>
      <c r="I1798">
        <v>3142.2</v>
      </c>
      <c r="N1798" s="69">
        <v>40912</v>
      </c>
      <c r="O1798">
        <v>509.2</v>
      </c>
      <c r="P1798">
        <v>504.7</v>
      </c>
      <c r="Q1798">
        <v>509.2</v>
      </c>
      <c r="R1798">
        <v>504.7</v>
      </c>
      <c r="S1798" s="3">
        <v>6.8999999999999999E-3</v>
      </c>
      <c r="T1798">
        <f t="shared" si="57"/>
        <v>2012</v>
      </c>
      <c r="W1798" s="86">
        <v>43307</v>
      </c>
      <c r="X1798">
        <v>567.15</v>
      </c>
    </row>
    <row r="1799" spans="1:24">
      <c r="A1799" s="68">
        <v>35365</v>
      </c>
      <c r="B1799" s="32">
        <v>1011.69</v>
      </c>
      <c r="C1799">
        <f t="shared" si="56"/>
        <v>1996</v>
      </c>
      <c r="H1799" s="85">
        <v>42704</v>
      </c>
      <c r="I1799">
        <v>3165.09</v>
      </c>
      <c r="N1799" s="69">
        <v>40911</v>
      </c>
      <c r="O1799">
        <v>505.7</v>
      </c>
      <c r="P1799">
        <v>504.7</v>
      </c>
      <c r="Q1799">
        <v>505.7</v>
      </c>
      <c r="R1799">
        <v>504.7</v>
      </c>
      <c r="S1799" s="3">
        <v>0</v>
      </c>
      <c r="T1799">
        <f t="shared" si="57"/>
        <v>2012</v>
      </c>
      <c r="W1799" s="86">
        <v>43308</v>
      </c>
      <c r="X1799">
        <v>566.95000000000005</v>
      </c>
    </row>
    <row r="1800" spans="1:24">
      <c r="A1800" s="68">
        <v>35366</v>
      </c>
      <c r="B1800" s="33">
        <v>1011.69</v>
      </c>
      <c r="C1800">
        <f t="shared" si="56"/>
        <v>1996</v>
      </c>
      <c r="H1800" s="85">
        <v>42705</v>
      </c>
      <c r="I1800">
        <v>3085.6</v>
      </c>
      <c r="N1800" s="69">
        <v>40910</v>
      </c>
      <c r="O1800">
        <v>505.7</v>
      </c>
      <c r="P1800">
        <v>504.7</v>
      </c>
      <c r="Q1800">
        <v>505.7</v>
      </c>
      <c r="R1800">
        <v>504.7</v>
      </c>
      <c r="S1800" s="3">
        <v>0</v>
      </c>
      <c r="T1800">
        <f t="shared" si="57"/>
        <v>2012</v>
      </c>
      <c r="W1800" s="86">
        <v>43310</v>
      </c>
      <c r="X1800">
        <v>567.22</v>
      </c>
    </row>
    <row r="1801" spans="1:24">
      <c r="A1801" s="68">
        <v>35367</v>
      </c>
      <c r="B1801" s="32">
        <v>1012.43</v>
      </c>
      <c r="C1801">
        <f t="shared" si="56"/>
        <v>1996</v>
      </c>
      <c r="H1801" s="85">
        <v>42706</v>
      </c>
      <c r="I1801">
        <v>3068.34</v>
      </c>
      <c r="N1801" s="69">
        <v>40907</v>
      </c>
      <c r="O1801">
        <v>505.7</v>
      </c>
      <c r="P1801">
        <v>501.7</v>
      </c>
      <c r="Q1801">
        <v>505.7</v>
      </c>
      <c r="R1801">
        <v>501.7</v>
      </c>
      <c r="S1801" s="3">
        <v>6.0000000000000001E-3</v>
      </c>
      <c r="T1801">
        <f t="shared" si="57"/>
        <v>2011</v>
      </c>
      <c r="W1801" s="86">
        <v>43311</v>
      </c>
      <c r="X1801">
        <v>567.15</v>
      </c>
    </row>
    <row r="1802" spans="1:24">
      <c r="A1802" s="68">
        <v>35368</v>
      </c>
      <c r="B1802" s="33">
        <v>1007.57</v>
      </c>
      <c r="C1802">
        <f t="shared" si="56"/>
        <v>1996</v>
      </c>
      <c r="H1802" s="85">
        <v>42707</v>
      </c>
      <c r="I1802">
        <v>3061.04</v>
      </c>
      <c r="N1802" s="69">
        <v>40906</v>
      </c>
      <c r="O1802">
        <v>502.7</v>
      </c>
      <c r="P1802">
        <v>501.7</v>
      </c>
      <c r="Q1802">
        <v>505.7</v>
      </c>
      <c r="R1802">
        <v>501.7</v>
      </c>
      <c r="S1802" s="3">
        <v>0</v>
      </c>
      <c r="T1802">
        <f t="shared" si="57"/>
        <v>2011</v>
      </c>
      <c r="W1802" s="86">
        <v>43312</v>
      </c>
      <c r="X1802">
        <v>567.16999999999996</v>
      </c>
    </row>
    <row r="1803" spans="1:24">
      <c r="A1803" s="68">
        <v>35369</v>
      </c>
      <c r="B1803" s="32">
        <v>1005.83</v>
      </c>
      <c r="C1803">
        <f t="shared" si="56"/>
        <v>1996</v>
      </c>
      <c r="H1803" s="85">
        <v>42708</v>
      </c>
      <c r="I1803">
        <v>3061.04</v>
      </c>
      <c r="N1803" s="69">
        <v>40905</v>
      </c>
      <c r="O1803">
        <v>502.7</v>
      </c>
      <c r="P1803">
        <v>501.7</v>
      </c>
      <c r="Q1803">
        <v>502.7</v>
      </c>
      <c r="R1803">
        <v>501.7</v>
      </c>
      <c r="S1803" s="3">
        <v>0</v>
      </c>
      <c r="T1803">
        <f t="shared" si="57"/>
        <v>2011</v>
      </c>
      <c r="W1803" s="86">
        <v>43313</v>
      </c>
      <c r="X1803">
        <v>567.45000000000005</v>
      </c>
    </row>
    <row r="1804" spans="1:24">
      <c r="A1804" s="68">
        <v>35370</v>
      </c>
      <c r="B1804" s="33">
        <v>1000.14</v>
      </c>
      <c r="C1804">
        <f t="shared" si="56"/>
        <v>1996</v>
      </c>
      <c r="H1804" s="85">
        <v>42709</v>
      </c>
      <c r="I1804">
        <v>3061.04</v>
      </c>
      <c r="N1804" s="69">
        <v>40904</v>
      </c>
      <c r="O1804">
        <v>502.7</v>
      </c>
      <c r="P1804">
        <v>503.65</v>
      </c>
      <c r="Q1804">
        <v>504.65</v>
      </c>
      <c r="R1804">
        <v>501.7</v>
      </c>
      <c r="S1804" s="3">
        <v>-3.8999999999999998E-3</v>
      </c>
      <c r="T1804">
        <f t="shared" si="57"/>
        <v>2011</v>
      </c>
      <c r="W1804" s="86">
        <v>43314</v>
      </c>
      <c r="X1804">
        <v>567.45000000000005</v>
      </c>
    </row>
    <row r="1805" spans="1:24">
      <c r="A1805" s="68">
        <v>35371</v>
      </c>
      <c r="B1805" s="32">
        <v>999.49</v>
      </c>
      <c r="C1805">
        <f t="shared" si="56"/>
        <v>1996</v>
      </c>
      <c r="H1805" s="85">
        <v>42710</v>
      </c>
      <c r="I1805">
        <v>3049.47</v>
      </c>
      <c r="N1805" s="69">
        <v>40903</v>
      </c>
      <c r="O1805">
        <v>504.65</v>
      </c>
      <c r="P1805">
        <v>503.65</v>
      </c>
      <c r="Q1805">
        <v>504.65</v>
      </c>
      <c r="R1805">
        <v>503.65</v>
      </c>
      <c r="S1805" s="3">
        <v>-1E-4</v>
      </c>
      <c r="T1805">
        <f t="shared" si="57"/>
        <v>2011</v>
      </c>
      <c r="W1805" s="86">
        <v>43315</v>
      </c>
      <c r="X1805">
        <v>567.38</v>
      </c>
    </row>
    <row r="1806" spans="1:24">
      <c r="A1806" s="68">
        <v>35372</v>
      </c>
      <c r="B1806" s="33">
        <v>999.49</v>
      </c>
      <c r="C1806">
        <f t="shared" si="56"/>
        <v>1996</v>
      </c>
      <c r="H1806" s="85">
        <v>42711</v>
      </c>
      <c r="I1806">
        <v>3015.47</v>
      </c>
      <c r="N1806" s="69">
        <v>40900</v>
      </c>
      <c r="O1806">
        <v>504.7</v>
      </c>
      <c r="P1806">
        <v>501.2</v>
      </c>
      <c r="Q1806">
        <v>504.7</v>
      </c>
      <c r="R1806">
        <v>501.2</v>
      </c>
      <c r="S1806" s="3">
        <v>5.0000000000000001E-3</v>
      </c>
      <c r="T1806">
        <f t="shared" si="57"/>
        <v>2011</v>
      </c>
      <c r="W1806" s="86">
        <v>43317</v>
      </c>
      <c r="X1806">
        <v>567.16999999999996</v>
      </c>
    </row>
    <row r="1807" spans="1:24">
      <c r="A1807" s="68">
        <v>35373</v>
      </c>
      <c r="B1807" s="32">
        <v>999.49</v>
      </c>
      <c r="C1807">
        <f t="shared" si="56"/>
        <v>1996</v>
      </c>
      <c r="H1807" s="85">
        <v>42712</v>
      </c>
      <c r="I1807">
        <v>2989.71</v>
      </c>
      <c r="N1807" s="69">
        <v>40899</v>
      </c>
      <c r="O1807">
        <v>502.2</v>
      </c>
      <c r="P1807">
        <v>501.1</v>
      </c>
      <c r="Q1807">
        <v>504.7</v>
      </c>
      <c r="R1807">
        <v>501.1</v>
      </c>
      <c r="S1807" s="3">
        <v>2.0000000000000001E-4</v>
      </c>
      <c r="T1807">
        <f t="shared" si="57"/>
        <v>2011</v>
      </c>
      <c r="W1807" s="86">
        <v>43318</v>
      </c>
      <c r="X1807">
        <v>567.33000000000004</v>
      </c>
    </row>
    <row r="1808" spans="1:24">
      <c r="A1808" s="68">
        <v>35374</v>
      </c>
      <c r="B1808" s="33">
        <v>999.49</v>
      </c>
      <c r="C1808">
        <f t="shared" si="56"/>
        <v>1996</v>
      </c>
      <c r="H1808" s="85">
        <v>42713</v>
      </c>
      <c r="I1808">
        <v>2989.71</v>
      </c>
      <c r="N1808" s="69">
        <v>40898</v>
      </c>
      <c r="O1808">
        <v>502.1</v>
      </c>
      <c r="P1808">
        <v>499.2</v>
      </c>
      <c r="Q1808">
        <v>502.2</v>
      </c>
      <c r="R1808">
        <v>499.2</v>
      </c>
      <c r="S1808" s="3">
        <v>3.8E-3</v>
      </c>
      <c r="T1808">
        <f t="shared" si="57"/>
        <v>2011</v>
      </c>
      <c r="W1808" s="86">
        <v>43319</v>
      </c>
      <c r="X1808">
        <v>567.45000000000005</v>
      </c>
    </row>
    <row r="1809" spans="1:24">
      <c r="A1809" s="68">
        <v>35375</v>
      </c>
      <c r="B1809" s="32">
        <v>1006.36</v>
      </c>
      <c r="C1809">
        <f t="shared" si="56"/>
        <v>1996</v>
      </c>
      <c r="H1809" s="85">
        <v>42714</v>
      </c>
      <c r="I1809">
        <v>3002.8</v>
      </c>
      <c r="N1809" s="69">
        <v>40897</v>
      </c>
      <c r="O1809">
        <v>500.2</v>
      </c>
      <c r="P1809">
        <v>497.1</v>
      </c>
      <c r="Q1809">
        <v>502.2</v>
      </c>
      <c r="R1809">
        <v>497.1</v>
      </c>
      <c r="S1809" s="3">
        <v>4.1999999999999997E-3</v>
      </c>
      <c r="T1809">
        <f t="shared" si="57"/>
        <v>2011</v>
      </c>
      <c r="W1809" s="86">
        <v>43320</v>
      </c>
      <c r="X1809">
        <v>567.25</v>
      </c>
    </row>
    <row r="1810" spans="1:24">
      <c r="A1810" s="68">
        <v>35376</v>
      </c>
      <c r="B1810" s="33">
        <v>1003.75</v>
      </c>
      <c r="C1810">
        <f t="shared" si="56"/>
        <v>1996</v>
      </c>
      <c r="H1810" s="85">
        <v>42715</v>
      </c>
      <c r="I1810">
        <v>3002.8</v>
      </c>
      <c r="N1810" s="69">
        <v>40896</v>
      </c>
      <c r="O1810">
        <v>498.1</v>
      </c>
      <c r="P1810">
        <v>497.1</v>
      </c>
      <c r="Q1810">
        <v>500.2</v>
      </c>
      <c r="R1810">
        <v>497.1</v>
      </c>
      <c r="S1810" s="3">
        <v>0</v>
      </c>
      <c r="T1810">
        <f t="shared" si="57"/>
        <v>2011</v>
      </c>
      <c r="W1810" s="86">
        <v>43321</v>
      </c>
      <c r="X1810">
        <v>567.41999999999996</v>
      </c>
    </row>
    <row r="1811" spans="1:24">
      <c r="A1811" s="68">
        <v>35377</v>
      </c>
      <c r="B1811" s="32">
        <v>999.59</v>
      </c>
      <c r="C1811">
        <f t="shared" si="56"/>
        <v>1996</v>
      </c>
      <c r="H1811" s="85">
        <v>42716</v>
      </c>
      <c r="I1811">
        <v>3002.8</v>
      </c>
      <c r="N1811" s="69">
        <v>40893</v>
      </c>
      <c r="O1811">
        <v>498.1</v>
      </c>
      <c r="P1811">
        <v>503.2</v>
      </c>
      <c r="Q1811">
        <v>504.2</v>
      </c>
      <c r="R1811">
        <v>497.1</v>
      </c>
      <c r="S1811" s="3">
        <v>-1.21E-2</v>
      </c>
      <c r="T1811">
        <f t="shared" si="57"/>
        <v>2011</v>
      </c>
      <c r="W1811" s="86">
        <v>43322</v>
      </c>
      <c r="X1811">
        <v>567.35</v>
      </c>
    </row>
    <row r="1812" spans="1:24">
      <c r="A1812" s="68">
        <v>35378</v>
      </c>
      <c r="B1812" s="33">
        <v>1001.24</v>
      </c>
      <c r="C1812">
        <f t="shared" si="56"/>
        <v>1996</v>
      </c>
      <c r="H1812" s="85">
        <v>42717</v>
      </c>
      <c r="I1812">
        <v>2984.02</v>
      </c>
      <c r="N1812" s="69">
        <v>40892</v>
      </c>
      <c r="O1812">
        <v>504.2</v>
      </c>
      <c r="P1812">
        <v>503.1</v>
      </c>
      <c r="Q1812">
        <v>504.2</v>
      </c>
      <c r="R1812">
        <v>497.2</v>
      </c>
      <c r="S1812" s="3">
        <v>2.0000000000000001E-4</v>
      </c>
      <c r="T1812">
        <f t="shared" si="57"/>
        <v>2011</v>
      </c>
      <c r="W1812" s="86">
        <v>43324</v>
      </c>
      <c r="X1812">
        <v>567.36</v>
      </c>
    </row>
    <row r="1813" spans="1:24">
      <c r="A1813" s="68">
        <v>35379</v>
      </c>
      <c r="B1813" s="32">
        <v>1001.24</v>
      </c>
      <c r="C1813">
        <f t="shared" si="56"/>
        <v>1996</v>
      </c>
      <c r="H1813" s="85">
        <v>42718</v>
      </c>
      <c r="I1813">
        <v>2982.29</v>
      </c>
      <c r="N1813" s="69">
        <v>40891</v>
      </c>
      <c r="O1813">
        <v>504.1</v>
      </c>
      <c r="P1813">
        <v>499.7</v>
      </c>
      <c r="Q1813">
        <v>504.2</v>
      </c>
      <c r="R1813">
        <v>499.6</v>
      </c>
      <c r="S1813" s="3">
        <v>6.7999999999999996E-3</v>
      </c>
      <c r="T1813">
        <f t="shared" si="57"/>
        <v>2011</v>
      </c>
      <c r="W1813" s="86">
        <v>43325</v>
      </c>
      <c r="X1813">
        <v>567.35</v>
      </c>
    </row>
    <row r="1814" spans="1:24">
      <c r="A1814" s="68">
        <v>35380</v>
      </c>
      <c r="B1814" s="33">
        <v>1001.24</v>
      </c>
      <c r="C1814">
        <f t="shared" si="56"/>
        <v>1996</v>
      </c>
      <c r="H1814" s="85">
        <v>42719</v>
      </c>
      <c r="I1814">
        <v>2964.56</v>
      </c>
      <c r="N1814" s="69">
        <v>40890</v>
      </c>
      <c r="O1814">
        <v>500.7</v>
      </c>
      <c r="P1814">
        <v>499.6</v>
      </c>
      <c r="Q1814">
        <v>500.7</v>
      </c>
      <c r="R1814">
        <v>499.6</v>
      </c>
      <c r="S1814" s="3">
        <v>2.0000000000000001E-4</v>
      </c>
      <c r="T1814">
        <f t="shared" si="57"/>
        <v>2011</v>
      </c>
      <c r="W1814" s="86">
        <v>43326</v>
      </c>
      <c r="X1814">
        <v>567.45000000000005</v>
      </c>
    </row>
    <row r="1815" spans="1:24">
      <c r="A1815" s="68">
        <v>35381</v>
      </c>
      <c r="B1815" s="32">
        <v>1001.24</v>
      </c>
      <c r="C1815">
        <f t="shared" si="56"/>
        <v>1996</v>
      </c>
      <c r="H1815" s="85">
        <v>42720</v>
      </c>
      <c r="I1815">
        <v>3000.47</v>
      </c>
      <c r="N1815" s="69">
        <v>40889</v>
      </c>
      <c r="O1815">
        <v>500.6</v>
      </c>
      <c r="P1815">
        <v>501.6</v>
      </c>
      <c r="Q1815">
        <v>502.6</v>
      </c>
      <c r="R1815">
        <v>499.6</v>
      </c>
      <c r="S1815" s="3">
        <v>-4.0000000000000001E-3</v>
      </c>
      <c r="T1815">
        <f t="shared" si="57"/>
        <v>2011</v>
      </c>
      <c r="W1815" s="86">
        <v>43327</v>
      </c>
      <c r="X1815">
        <v>567.45000000000005</v>
      </c>
    </row>
    <row r="1816" spans="1:24">
      <c r="A1816" s="68">
        <v>35382</v>
      </c>
      <c r="B1816" s="33">
        <v>1000.22</v>
      </c>
      <c r="C1816">
        <f t="shared" si="56"/>
        <v>1996</v>
      </c>
      <c r="H1816" s="85">
        <v>42721</v>
      </c>
      <c r="I1816">
        <v>2997.2</v>
      </c>
      <c r="N1816" s="69">
        <v>40886</v>
      </c>
      <c r="O1816">
        <v>502.6</v>
      </c>
      <c r="P1816">
        <v>501.7</v>
      </c>
      <c r="Q1816">
        <v>502.7</v>
      </c>
      <c r="R1816">
        <v>499.7</v>
      </c>
      <c r="S1816" s="3">
        <v>-2.0000000000000001E-4</v>
      </c>
      <c r="T1816">
        <f t="shared" si="57"/>
        <v>2011</v>
      </c>
      <c r="W1816" s="86">
        <v>43328</v>
      </c>
      <c r="X1816">
        <v>567.48</v>
      </c>
    </row>
    <row r="1817" spans="1:24">
      <c r="A1817" s="68">
        <v>35383</v>
      </c>
      <c r="B1817" s="32">
        <v>997.38</v>
      </c>
      <c r="C1817">
        <f t="shared" si="56"/>
        <v>1996</v>
      </c>
      <c r="H1817" s="85">
        <v>42722</v>
      </c>
      <c r="I1817">
        <v>2997.2</v>
      </c>
      <c r="N1817" s="69">
        <v>40885</v>
      </c>
      <c r="O1817">
        <v>502.7</v>
      </c>
      <c r="P1817">
        <v>499.7</v>
      </c>
      <c r="Q1817">
        <v>502.7</v>
      </c>
      <c r="R1817">
        <v>499.7</v>
      </c>
      <c r="S1817" s="3">
        <v>4.0000000000000001E-3</v>
      </c>
      <c r="T1817">
        <f t="shared" si="57"/>
        <v>2011</v>
      </c>
      <c r="W1817" s="86">
        <v>43329</v>
      </c>
      <c r="X1817">
        <v>568.16</v>
      </c>
    </row>
    <row r="1818" spans="1:24">
      <c r="A1818" s="68">
        <v>35384</v>
      </c>
      <c r="B1818" s="33">
        <v>1001.68</v>
      </c>
      <c r="C1818">
        <f t="shared" si="56"/>
        <v>1996</v>
      </c>
      <c r="H1818" s="85">
        <v>42723</v>
      </c>
      <c r="I1818">
        <v>2997.2</v>
      </c>
      <c r="N1818" s="69">
        <v>40884</v>
      </c>
      <c r="O1818">
        <v>500.7</v>
      </c>
      <c r="P1818">
        <v>499.3</v>
      </c>
      <c r="Q1818">
        <v>502.7</v>
      </c>
      <c r="R1818">
        <v>499.3</v>
      </c>
      <c r="S1818" s="3">
        <v>8.0000000000000004E-4</v>
      </c>
      <c r="T1818">
        <f t="shared" si="57"/>
        <v>2011</v>
      </c>
      <c r="W1818" s="86">
        <v>43331</v>
      </c>
      <c r="X1818">
        <v>567.21</v>
      </c>
    </row>
    <row r="1819" spans="1:24">
      <c r="A1819" s="68">
        <v>35385</v>
      </c>
      <c r="B1819" s="32">
        <v>999.68</v>
      </c>
      <c r="C1819">
        <f t="shared" si="56"/>
        <v>1996</v>
      </c>
      <c r="H1819" s="85">
        <v>42724</v>
      </c>
      <c r="I1819">
        <v>3019.44</v>
      </c>
      <c r="N1819" s="69">
        <v>40883</v>
      </c>
      <c r="O1819">
        <v>500.3</v>
      </c>
      <c r="P1819">
        <v>499.4</v>
      </c>
      <c r="Q1819">
        <v>500.7</v>
      </c>
      <c r="R1819">
        <v>499.3</v>
      </c>
      <c r="S1819" s="3">
        <v>-2.0000000000000001E-4</v>
      </c>
      <c r="T1819">
        <f t="shared" si="57"/>
        <v>2011</v>
      </c>
      <c r="W1819" s="86">
        <v>43332</v>
      </c>
      <c r="X1819">
        <v>567.54999999999995</v>
      </c>
    </row>
    <row r="1820" spans="1:24">
      <c r="A1820" s="68">
        <v>35386</v>
      </c>
      <c r="B1820" s="33">
        <v>999.68</v>
      </c>
      <c r="C1820">
        <f t="shared" si="56"/>
        <v>1996</v>
      </c>
      <c r="H1820" s="85">
        <v>42725</v>
      </c>
      <c r="I1820">
        <v>2988.06</v>
      </c>
      <c r="N1820" s="69">
        <v>40882</v>
      </c>
      <c r="O1820">
        <v>500.4</v>
      </c>
      <c r="P1820">
        <v>499.5</v>
      </c>
      <c r="Q1820">
        <v>500.5</v>
      </c>
      <c r="R1820">
        <v>499.4</v>
      </c>
      <c r="S1820" s="3">
        <v>-2.0000000000000001E-4</v>
      </c>
      <c r="T1820">
        <f t="shared" si="57"/>
        <v>2011</v>
      </c>
      <c r="W1820" s="86">
        <v>43333</v>
      </c>
      <c r="X1820">
        <v>567.98</v>
      </c>
    </row>
    <row r="1821" spans="1:24">
      <c r="A1821" s="68">
        <v>35387</v>
      </c>
      <c r="B1821" s="32">
        <v>999.68</v>
      </c>
      <c r="C1821">
        <f t="shared" si="56"/>
        <v>1996</v>
      </c>
      <c r="H1821" s="85">
        <v>42726</v>
      </c>
      <c r="I1821">
        <v>2989.14</v>
      </c>
      <c r="N1821" s="69">
        <v>40879</v>
      </c>
      <c r="O1821">
        <v>500.5</v>
      </c>
      <c r="P1821">
        <v>499.65</v>
      </c>
      <c r="Q1821">
        <v>500.7</v>
      </c>
      <c r="R1821">
        <v>499.5</v>
      </c>
      <c r="S1821" s="3">
        <v>-2.9999999999999997E-4</v>
      </c>
      <c r="T1821">
        <f t="shared" si="57"/>
        <v>2011</v>
      </c>
      <c r="W1821" s="86">
        <v>43334</v>
      </c>
      <c r="X1821">
        <v>568.16999999999996</v>
      </c>
    </row>
    <row r="1822" spans="1:24">
      <c r="A1822" s="68">
        <v>35388</v>
      </c>
      <c r="B1822" s="33">
        <v>995.96</v>
      </c>
      <c r="C1822">
        <f t="shared" si="56"/>
        <v>1996</v>
      </c>
      <c r="H1822" s="85">
        <v>42727</v>
      </c>
      <c r="I1822">
        <v>2996.03</v>
      </c>
      <c r="N1822" s="69">
        <v>40878</v>
      </c>
      <c r="O1822">
        <v>500.65</v>
      </c>
      <c r="P1822">
        <v>497.7</v>
      </c>
      <c r="Q1822">
        <v>500.7</v>
      </c>
      <c r="R1822">
        <v>497.7</v>
      </c>
      <c r="S1822" s="3">
        <v>3.8999999999999998E-3</v>
      </c>
      <c r="T1822">
        <f t="shared" si="57"/>
        <v>2011</v>
      </c>
      <c r="W1822" s="86">
        <v>43335</v>
      </c>
      <c r="X1822">
        <v>568.35</v>
      </c>
    </row>
    <row r="1823" spans="1:24">
      <c r="A1823" s="68">
        <v>35389</v>
      </c>
      <c r="B1823" s="32">
        <v>994.02</v>
      </c>
      <c r="C1823">
        <f t="shared" si="56"/>
        <v>1996</v>
      </c>
      <c r="H1823" s="85">
        <v>42728</v>
      </c>
      <c r="I1823">
        <v>2996.6</v>
      </c>
      <c r="N1823" s="69">
        <v>40877</v>
      </c>
      <c r="O1823">
        <v>498.7</v>
      </c>
      <c r="P1823">
        <v>497.5</v>
      </c>
      <c r="Q1823">
        <v>500.7</v>
      </c>
      <c r="R1823">
        <v>497.5</v>
      </c>
      <c r="S1823" s="3">
        <v>4.0000000000000002E-4</v>
      </c>
      <c r="T1823">
        <f t="shared" si="57"/>
        <v>2011</v>
      </c>
      <c r="W1823" s="86">
        <v>43336</v>
      </c>
      <c r="X1823">
        <v>568.91999999999996</v>
      </c>
    </row>
    <row r="1824" spans="1:24">
      <c r="A1824" s="68">
        <v>35390</v>
      </c>
      <c r="B1824" s="33">
        <v>995.2</v>
      </c>
      <c r="C1824">
        <f t="shared" si="56"/>
        <v>1996</v>
      </c>
      <c r="H1824" s="85">
        <v>42729</v>
      </c>
      <c r="I1824">
        <v>2996.6</v>
      </c>
      <c r="N1824" s="69">
        <v>40876</v>
      </c>
      <c r="O1824">
        <v>498.5</v>
      </c>
      <c r="P1824">
        <v>497.65</v>
      </c>
      <c r="Q1824">
        <v>498.7</v>
      </c>
      <c r="R1824">
        <v>497.5</v>
      </c>
      <c r="S1824" s="3">
        <v>-2.9999999999999997E-4</v>
      </c>
      <c r="T1824">
        <f t="shared" si="57"/>
        <v>2011</v>
      </c>
      <c r="W1824" s="86">
        <v>43338</v>
      </c>
      <c r="X1824">
        <v>566.23</v>
      </c>
    </row>
    <row r="1825" spans="1:24">
      <c r="A1825" s="68">
        <v>35391</v>
      </c>
      <c r="B1825" s="32">
        <v>994.37</v>
      </c>
      <c r="C1825">
        <f t="shared" si="56"/>
        <v>1996</v>
      </c>
      <c r="H1825" s="85">
        <v>42730</v>
      </c>
      <c r="I1825">
        <v>2996.6</v>
      </c>
      <c r="N1825" s="69">
        <v>40875</v>
      </c>
      <c r="O1825">
        <v>498.65</v>
      </c>
      <c r="P1825">
        <v>497.6</v>
      </c>
      <c r="Q1825">
        <v>498.7</v>
      </c>
      <c r="R1825">
        <v>497.6</v>
      </c>
      <c r="S1825" s="3">
        <v>1E-4</v>
      </c>
      <c r="T1825">
        <f t="shared" si="57"/>
        <v>2011</v>
      </c>
      <c r="W1825" s="86">
        <v>43339</v>
      </c>
      <c r="X1825">
        <v>569</v>
      </c>
    </row>
    <row r="1826" spans="1:24">
      <c r="A1826" s="68">
        <v>35392</v>
      </c>
      <c r="B1826" s="33">
        <v>995.34</v>
      </c>
      <c r="C1826">
        <f t="shared" si="56"/>
        <v>1996</v>
      </c>
      <c r="H1826" s="85">
        <v>42731</v>
      </c>
      <c r="I1826">
        <v>2996.6</v>
      </c>
      <c r="N1826" s="69">
        <v>40872</v>
      </c>
      <c r="O1826">
        <v>498.6</v>
      </c>
      <c r="P1826">
        <v>499.7</v>
      </c>
      <c r="Q1826">
        <v>500.7</v>
      </c>
      <c r="R1826">
        <v>497.6</v>
      </c>
      <c r="S1826" s="3">
        <v>-4.1999999999999997E-3</v>
      </c>
      <c r="T1826">
        <f t="shared" si="57"/>
        <v>2011</v>
      </c>
      <c r="W1826" s="86">
        <v>43340</v>
      </c>
      <c r="X1826">
        <v>569</v>
      </c>
    </row>
    <row r="1827" spans="1:24">
      <c r="A1827" s="68">
        <v>35393</v>
      </c>
      <c r="B1827" s="32">
        <v>995.34</v>
      </c>
      <c r="C1827">
        <f t="shared" si="56"/>
        <v>1996</v>
      </c>
      <c r="H1827" s="85">
        <v>42732</v>
      </c>
      <c r="I1827">
        <v>2992.81</v>
      </c>
      <c r="N1827" s="69">
        <v>40871</v>
      </c>
      <c r="O1827">
        <v>500.7</v>
      </c>
      <c r="P1827">
        <v>499.7</v>
      </c>
      <c r="Q1827">
        <v>500.7</v>
      </c>
      <c r="R1827">
        <v>499.7</v>
      </c>
      <c r="S1827" s="3">
        <v>0</v>
      </c>
      <c r="T1827">
        <f t="shared" si="57"/>
        <v>2011</v>
      </c>
      <c r="W1827" s="86">
        <v>43341</v>
      </c>
      <c r="X1827">
        <v>570</v>
      </c>
    </row>
    <row r="1828" spans="1:24">
      <c r="A1828" s="68">
        <v>35394</v>
      </c>
      <c r="B1828" s="33">
        <v>995.34</v>
      </c>
      <c r="C1828">
        <f t="shared" si="56"/>
        <v>1996</v>
      </c>
      <c r="H1828" s="85">
        <v>42733</v>
      </c>
      <c r="I1828">
        <v>3019.72</v>
      </c>
      <c r="N1828" s="69">
        <v>40870</v>
      </c>
      <c r="O1828">
        <v>500.7</v>
      </c>
      <c r="P1828">
        <v>499.7</v>
      </c>
      <c r="Q1828">
        <v>500.7</v>
      </c>
      <c r="R1828">
        <v>497.7</v>
      </c>
      <c r="S1828" s="3">
        <v>0</v>
      </c>
      <c r="T1828">
        <f t="shared" si="57"/>
        <v>2011</v>
      </c>
      <c r="W1828" s="86">
        <v>43342</v>
      </c>
      <c r="X1828">
        <v>571.9</v>
      </c>
    </row>
    <row r="1829" spans="1:24">
      <c r="A1829" s="68">
        <v>35395</v>
      </c>
      <c r="B1829" s="32">
        <v>995.05</v>
      </c>
      <c r="C1829">
        <f t="shared" si="56"/>
        <v>1996</v>
      </c>
      <c r="H1829" s="85">
        <v>42734</v>
      </c>
      <c r="I1829">
        <v>3000.71</v>
      </c>
      <c r="N1829" s="69">
        <v>40869</v>
      </c>
      <c r="O1829">
        <v>500.7</v>
      </c>
      <c r="P1829">
        <v>499.7</v>
      </c>
      <c r="Q1829">
        <v>500.7</v>
      </c>
      <c r="R1829">
        <v>497.7</v>
      </c>
      <c r="S1829" s="3">
        <v>0</v>
      </c>
      <c r="T1829">
        <f t="shared" si="57"/>
        <v>2011</v>
      </c>
      <c r="W1829" s="86">
        <v>43343</v>
      </c>
      <c r="X1829">
        <v>573.66999999999996</v>
      </c>
    </row>
    <row r="1830" spans="1:24">
      <c r="A1830" s="68">
        <v>35396</v>
      </c>
      <c r="B1830" s="33">
        <v>995.05</v>
      </c>
      <c r="C1830">
        <f t="shared" si="56"/>
        <v>1996</v>
      </c>
      <c r="H1830" s="85">
        <v>42735</v>
      </c>
      <c r="I1830">
        <v>3000.71</v>
      </c>
      <c r="N1830" s="69">
        <v>40868</v>
      </c>
      <c r="O1830">
        <v>500.7</v>
      </c>
      <c r="P1830">
        <v>501.2</v>
      </c>
      <c r="Q1830">
        <v>502.2</v>
      </c>
      <c r="R1830">
        <v>499.7</v>
      </c>
      <c r="S1830" s="3">
        <v>-3.0000000000000001E-3</v>
      </c>
      <c r="T1830">
        <f t="shared" si="57"/>
        <v>2011</v>
      </c>
      <c r="W1830" s="86">
        <v>43345</v>
      </c>
      <c r="X1830">
        <v>572.16</v>
      </c>
    </row>
    <row r="1831" spans="1:24">
      <c r="A1831" s="68">
        <v>35397</v>
      </c>
      <c r="B1831" s="32">
        <v>995.93</v>
      </c>
      <c r="C1831">
        <f t="shared" si="56"/>
        <v>1996</v>
      </c>
      <c r="H1831" s="85">
        <v>42736</v>
      </c>
      <c r="I1831">
        <v>3000.71</v>
      </c>
      <c r="N1831" s="69">
        <v>40865</v>
      </c>
      <c r="O1831">
        <v>502.2</v>
      </c>
      <c r="P1831">
        <v>503.6</v>
      </c>
      <c r="Q1831">
        <v>504.6</v>
      </c>
      <c r="R1831">
        <v>499.7</v>
      </c>
      <c r="S1831" s="3">
        <v>-4.7999999999999996E-3</v>
      </c>
      <c r="T1831">
        <f t="shared" si="57"/>
        <v>2011</v>
      </c>
      <c r="W1831" s="86">
        <v>43346</v>
      </c>
      <c r="X1831">
        <v>576.98</v>
      </c>
    </row>
    <row r="1832" spans="1:24">
      <c r="A1832" s="68">
        <v>35398</v>
      </c>
      <c r="B1832" s="33">
        <v>994.94</v>
      </c>
      <c r="C1832">
        <f t="shared" si="56"/>
        <v>1996</v>
      </c>
      <c r="H1832" s="85">
        <v>42737</v>
      </c>
      <c r="I1832">
        <v>3000.71</v>
      </c>
      <c r="N1832" s="69">
        <v>40864</v>
      </c>
      <c r="O1832">
        <v>504.6</v>
      </c>
      <c r="P1832">
        <v>503.7</v>
      </c>
      <c r="Q1832">
        <v>504.7</v>
      </c>
      <c r="R1832">
        <v>501.2</v>
      </c>
      <c r="S1832" s="3">
        <v>-2.0000000000000001E-4</v>
      </c>
      <c r="T1832">
        <f t="shared" si="57"/>
        <v>2011</v>
      </c>
      <c r="W1832" s="86">
        <v>43347</v>
      </c>
      <c r="X1832">
        <v>580.62</v>
      </c>
    </row>
    <row r="1833" spans="1:24">
      <c r="A1833" s="68">
        <v>35399</v>
      </c>
      <c r="B1833" s="32">
        <v>1002.28</v>
      </c>
      <c r="C1833">
        <f t="shared" si="56"/>
        <v>1996</v>
      </c>
      <c r="H1833" s="85">
        <v>42738</v>
      </c>
      <c r="I1833">
        <v>3000.71</v>
      </c>
      <c r="N1833" s="69">
        <v>40863</v>
      </c>
      <c r="O1833">
        <v>504.7</v>
      </c>
      <c r="P1833">
        <v>502.7</v>
      </c>
      <c r="Q1833">
        <v>504.7</v>
      </c>
      <c r="R1833">
        <v>502.7</v>
      </c>
      <c r="S1833" s="3">
        <v>2E-3</v>
      </c>
      <c r="T1833">
        <f t="shared" si="57"/>
        <v>2011</v>
      </c>
      <c r="W1833" s="86">
        <v>43348</v>
      </c>
      <c r="X1833">
        <v>582.35</v>
      </c>
    </row>
    <row r="1834" spans="1:24">
      <c r="A1834" s="68">
        <v>35400</v>
      </c>
      <c r="B1834" s="33">
        <v>1002.28</v>
      </c>
      <c r="C1834">
        <f t="shared" si="56"/>
        <v>1996</v>
      </c>
      <c r="H1834" s="85">
        <v>42739</v>
      </c>
      <c r="I1834">
        <v>2981.06</v>
      </c>
      <c r="N1834" s="69">
        <v>40862</v>
      </c>
      <c r="O1834">
        <v>503.7</v>
      </c>
      <c r="P1834">
        <v>504.6</v>
      </c>
      <c r="Q1834">
        <v>505.6</v>
      </c>
      <c r="R1834">
        <v>502.7</v>
      </c>
      <c r="S1834" s="3">
        <v>-3.8E-3</v>
      </c>
      <c r="T1834">
        <f t="shared" si="57"/>
        <v>2011</v>
      </c>
      <c r="W1834" s="86">
        <v>43349</v>
      </c>
      <c r="X1834">
        <v>584.38</v>
      </c>
    </row>
    <row r="1835" spans="1:24">
      <c r="A1835" s="68">
        <v>35401</v>
      </c>
      <c r="B1835" s="32">
        <v>1002.28</v>
      </c>
      <c r="C1835">
        <f t="shared" si="56"/>
        <v>1996</v>
      </c>
      <c r="H1835" s="85">
        <v>42740</v>
      </c>
      <c r="I1835">
        <v>2965.36</v>
      </c>
      <c r="N1835" s="69">
        <v>40861</v>
      </c>
      <c r="O1835">
        <v>505.6</v>
      </c>
      <c r="P1835">
        <v>507.6</v>
      </c>
      <c r="Q1835">
        <v>508.6</v>
      </c>
      <c r="R1835">
        <v>502.7</v>
      </c>
      <c r="S1835" s="3">
        <v>-5.8999999999999999E-3</v>
      </c>
      <c r="T1835">
        <f t="shared" si="57"/>
        <v>2011</v>
      </c>
      <c r="W1835" s="86">
        <v>43350</v>
      </c>
      <c r="X1835">
        <v>582.79999999999995</v>
      </c>
    </row>
    <row r="1836" spans="1:24">
      <c r="A1836" s="68">
        <v>35402</v>
      </c>
      <c r="B1836" s="33">
        <v>1000.09</v>
      </c>
      <c r="C1836">
        <f t="shared" si="56"/>
        <v>1996</v>
      </c>
      <c r="H1836" s="85">
        <v>42741</v>
      </c>
      <c r="I1836">
        <v>2941.08</v>
      </c>
      <c r="N1836" s="69">
        <v>40858</v>
      </c>
      <c r="O1836">
        <v>508.6</v>
      </c>
      <c r="P1836">
        <v>509.7</v>
      </c>
      <c r="Q1836">
        <v>510.7</v>
      </c>
      <c r="R1836">
        <v>504.7</v>
      </c>
      <c r="S1836" s="3">
        <v>-4.1000000000000003E-3</v>
      </c>
      <c r="T1836">
        <f t="shared" si="57"/>
        <v>2011</v>
      </c>
      <c r="W1836" s="86">
        <v>43352</v>
      </c>
      <c r="X1836">
        <v>584.91999999999996</v>
      </c>
    </row>
    <row r="1837" spans="1:24">
      <c r="A1837" s="68">
        <v>35403</v>
      </c>
      <c r="B1837" s="32">
        <v>995.73</v>
      </c>
      <c r="C1837">
        <f t="shared" si="56"/>
        <v>1996</v>
      </c>
      <c r="H1837" s="85">
        <v>42742</v>
      </c>
      <c r="I1837">
        <v>2919.01</v>
      </c>
      <c r="N1837" s="69">
        <v>40857</v>
      </c>
      <c r="O1837">
        <v>510.7</v>
      </c>
      <c r="P1837">
        <v>509.7</v>
      </c>
      <c r="Q1837">
        <v>510.7</v>
      </c>
      <c r="R1837">
        <v>507.7</v>
      </c>
      <c r="S1837" s="3">
        <v>0</v>
      </c>
      <c r="T1837">
        <f t="shared" si="57"/>
        <v>2011</v>
      </c>
      <c r="W1837" s="86">
        <v>43353</v>
      </c>
      <c r="X1837">
        <v>582.46</v>
      </c>
    </row>
    <row r="1838" spans="1:24">
      <c r="A1838" s="68">
        <v>35404</v>
      </c>
      <c r="B1838" s="33">
        <v>997.4</v>
      </c>
      <c r="C1838">
        <f t="shared" si="56"/>
        <v>1996</v>
      </c>
      <c r="H1838" s="85">
        <v>42743</v>
      </c>
      <c r="I1838">
        <v>2919.01</v>
      </c>
      <c r="N1838" s="69">
        <v>40856</v>
      </c>
      <c r="O1838">
        <v>510.7</v>
      </c>
      <c r="P1838">
        <v>508.1</v>
      </c>
      <c r="Q1838">
        <v>510.7</v>
      </c>
      <c r="R1838">
        <v>508.1</v>
      </c>
      <c r="S1838" s="3">
        <v>3.0999999999999999E-3</v>
      </c>
      <c r="T1838">
        <f t="shared" si="57"/>
        <v>2011</v>
      </c>
      <c r="W1838" s="86">
        <v>43354</v>
      </c>
      <c r="X1838">
        <v>579.77</v>
      </c>
    </row>
    <row r="1839" spans="1:24">
      <c r="A1839" s="68">
        <v>35405</v>
      </c>
      <c r="B1839" s="32">
        <v>997.48</v>
      </c>
      <c r="C1839">
        <f t="shared" si="56"/>
        <v>1996</v>
      </c>
      <c r="H1839" s="85">
        <v>42744</v>
      </c>
      <c r="I1839">
        <v>2919.01</v>
      </c>
      <c r="N1839" s="69">
        <v>40855</v>
      </c>
      <c r="O1839">
        <v>509.1</v>
      </c>
      <c r="P1839">
        <v>509</v>
      </c>
      <c r="Q1839">
        <v>510.7</v>
      </c>
      <c r="R1839">
        <v>508.1</v>
      </c>
      <c r="S1839" s="3">
        <v>-1.8E-3</v>
      </c>
      <c r="T1839">
        <f t="shared" si="57"/>
        <v>2011</v>
      </c>
      <c r="W1839" s="86">
        <v>43355</v>
      </c>
      <c r="X1839">
        <v>578.85</v>
      </c>
    </row>
    <row r="1840" spans="1:24">
      <c r="A1840" s="68">
        <v>35406</v>
      </c>
      <c r="B1840" s="33">
        <v>1001.82</v>
      </c>
      <c r="C1840">
        <f t="shared" si="56"/>
        <v>1996</v>
      </c>
      <c r="H1840" s="85">
        <v>42745</v>
      </c>
      <c r="I1840">
        <v>2919.01</v>
      </c>
      <c r="N1840" s="69">
        <v>40854</v>
      </c>
      <c r="O1840">
        <v>510</v>
      </c>
      <c r="P1840">
        <v>512</v>
      </c>
      <c r="Q1840">
        <v>513</v>
      </c>
      <c r="R1840">
        <v>508.2</v>
      </c>
      <c r="S1840" s="3">
        <v>-5.7999999999999996E-3</v>
      </c>
      <c r="T1840">
        <f t="shared" si="57"/>
        <v>2011</v>
      </c>
      <c r="W1840" s="86">
        <v>43356</v>
      </c>
      <c r="X1840">
        <v>580.25</v>
      </c>
    </row>
    <row r="1841" spans="1:24">
      <c r="A1841" s="68">
        <v>35407</v>
      </c>
      <c r="B1841" s="32">
        <v>1001.82</v>
      </c>
      <c r="C1841">
        <f t="shared" si="56"/>
        <v>1996</v>
      </c>
      <c r="H1841" s="85">
        <v>42746</v>
      </c>
      <c r="I1841">
        <v>2949.6</v>
      </c>
      <c r="N1841" s="69">
        <v>40851</v>
      </c>
      <c r="O1841">
        <v>513</v>
      </c>
      <c r="P1841">
        <v>510.6</v>
      </c>
      <c r="Q1841">
        <v>513.70000000000005</v>
      </c>
      <c r="R1841">
        <v>509.7</v>
      </c>
      <c r="S1841" s="3">
        <v>2.7000000000000001E-3</v>
      </c>
      <c r="T1841">
        <f t="shared" si="57"/>
        <v>2011</v>
      </c>
      <c r="W1841" s="86">
        <v>43357</v>
      </c>
      <c r="X1841">
        <v>577.52</v>
      </c>
    </row>
    <row r="1842" spans="1:24">
      <c r="A1842" s="68">
        <v>35408</v>
      </c>
      <c r="B1842" s="33">
        <v>1001.82</v>
      </c>
      <c r="C1842">
        <f t="shared" si="56"/>
        <v>1996</v>
      </c>
      <c r="H1842" s="85">
        <v>42747</v>
      </c>
      <c r="I1842">
        <v>2980.8</v>
      </c>
      <c r="N1842" s="69">
        <v>40850</v>
      </c>
      <c r="O1842">
        <v>511.6</v>
      </c>
      <c r="P1842">
        <v>510.6</v>
      </c>
      <c r="Q1842">
        <v>513.70000000000005</v>
      </c>
      <c r="R1842">
        <v>510.6</v>
      </c>
      <c r="S1842" s="3">
        <v>0</v>
      </c>
      <c r="T1842">
        <f t="shared" si="57"/>
        <v>2011</v>
      </c>
      <c r="W1842" s="86">
        <v>43359</v>
      </c>
      <c r="X1842">
        <v>580.28</v>
      </c>
    </row>
    <row r="1843" spans="1:24">
      <c r="A1843" s="68">
        <v>35409</v>
      </c>
      <c r="B1843" s="32">
        <v>997.99</v>
      </c>
      <c r="C1843">
        <f t="shared" si="56"/>
        <v>1996</v>
      </c>
      <c r="H1843" s="85">
        <v>42748</v>
      </c>
      <c r="I1843">
        <v>2930.19</v>
      </c>
      <c r="N1843" s="69">
        <v>40849</v>
      </c>
      <c r="O1843">
        <v>511.6</v>
      </c>
      <c r="P1843">
        <v>511.7</v>
      </c>
      <c r="Q1843">
        <v>512.70000000000005</v>
      </c>
      <c r="R1843">
        <v>510.6</v>
      </c>
      <c r="S1843" s="3">
        <v>-2.0999999999999999E-3</v>
      </c>
      <c r="T1843">
        <f t="shared" si="57"/>
        <v>2011</v>
      </c>
      <c r="W1843" s="86">
        <v>43360</v>
      </c>
      <c r="X1843">
        <v>577.98</v>
      </c>
    </row>
    <row r="1844" spans="1:24">
      <c r="A1844" s="68">
        <v>35410</v>
      </c>
      <c r="B1844" s="33">
        <v>998.17</v>
      </c>
      <c r="C1844">
        <f t="shared" si="56"/>
        <v>1996</v>
      </c>
      <c r="H1844" s="85">
        <v>42749</v>
      </c>
      <c r="I1844">
        <v>2935.96</v>
      </c>
      <c r="N1844" s="69">
        <v>40848</v>
      </c>
      <c r="O1844">
        <v>512.70000000000005</v>
      </c>
      <c r="P1844">
        <v>511.7</v>
      </c>
      <c r="Q1844">
        <v>512.70000000000005</v>
      </c>
      <c r="R1844">
        <v>510.7</v>
      </c>
      <c r="S1844" s="3">
        <v>0</v>
      </c>
      <c r="T1844">
        <f t="shared" si="57"/>
        <v>2011</v>
      </c>
      <c r="W1844" s="86">
        <v>43361</v>
      </c>
      <c r="X1844">
        <v>578.6</v>
      </c>
    </row>
    <row r="1845" spans="1:24">
      <c r="A1845" s="68">
        <v>35411</v>
      </c>
      <c r="B1845" s="32">
        <v>998.31</v>
      </c>
      <c r="C1845">
        <f t="shared" si="56"/>
        <v>1996</v>
      </c>
      <c r="H1845" s="85">
        <v>42750</v>
      </c>
      <c r="I1845">
        <v>2935.96</v>
      </c>
      <c r="N1845" s="69">
        <v>40847</v>
      </c>
      <c r="O1845">
        <v>512.70000000000005</v>
      </c>
      <c r="P1845">
        <v>505.6</v>
      </c>
      <c r="Q1845">
        <v>512.70000000000005</v>
      </c>
      <c r="R1845">
        <v>505.6</v>
      </c>
      <c r="S1845" s="3">
        <v>1.2E-2</v>
      </c>
      <c r="T1845">
        <f t="shared" si="57"/>
        <v>2011</v>
      </c>
      <c r="W1845" s="86">
        <v>43362</v>
      </c>
      <c r="X1845">
        <v>578.83000000000004</v>
      </c>
    </row>
    <row r="1846" spans="1:24">
      <c r="A1846" s="68">
        <v>35412</v>
      </c>
      <c r="B1846" s="33">
        <v>999.47</v>
      </c>
      <c r="C1846">
        <f t="shared" si="56"/>
        <v>1996</v>
      </c>
      <c r="H1846" s="85">
        <v>42751</v>
      </c>
      <c r="I1846">
        <v>2935.96</v>
      </c>
      <c r="N1846" s="69">
        <v>40844</v>
      </c>
      <c r="O1846">
        <v>506.6</v>
      </c>
      <c r="P1846">
        <v>505.7</v>
      </c>
      <c r="Q1846">
        <v>506.7</v>
      </c>
      <c r="R1846">
        <v>505.6</v>
      </c>
      <c r="S1846" s="3">
        <v>-2.0000000000000001E-4</v>
      </c>
      <c r="T1846">
        <f t="shared" si="57"/>
        <v>2011</v>
      </c>
      <c r="W1846" s="86">
        <v>43363</v>
      </c>
      <c r="X1846">
        <v>577.38</v>
      </c>
    </row>
    <row r="1847" spans="1:24">
      <c r="A1847" s="68">
        <v>35413</v>
      </c>
      <c r="B1847" s="32">
        <v>1002.95</v>
      </c>
      <c r="C1847">
        <f t="shared" si="56"/>
        <v>1996</v>
      </c>
      <c r="H1847" s="85">
        <v>42752</v>
      </c>
      <c r="I1847">
        <v>2935.96</v>
      </c>
      <c r="N1847" s="69">
        <v>40843</v>
      </c>
      <c r="O1847">
        <v>506.7</v>
      </c>
      <c r="P1847">
        <v>505.6</v>
      </c>
      <c r="Q1847">
        <v>506.7</v>
      </c>
      <c r="R1847">
        <v>505.6</v>
      </c>
      <c r="S1847" s="3">
        <v>2.0000000000000001E-4</v>
      </c>
      <c r="T1847">
        <f t="shared" si="57"/>
        <v>2011</v>
      </c>
      <c r="W1847" s="86">
        <v>43364</v>
      </c>
      <c r="X1847">
        <v>579.02</v>
      </c>
    </row>
    <row r="1848" spans="1:24">
      <c r="A1848" s="68">
        <v>35414</v>
      </c>
      <c r="B1848" s="33">
        <v>1002.95</v>
      </c>
      <c r="C1848">
        <f t="shared" si="56"/>
        <v>1996</v>
      </c>
      <c r="H1848" s="85">
        <v>42753</v>
      </c>
      <c r="I1848">
        <v>2924.77</v>
      </c>
      <c r="N1848" s="69">
        <v>40842</v>
      </c>
      <c r="O1848">
        <v>506.6</v>
      </c>
      <c r="P1848">
        <v>509.7</v>
      </c>
      <c r="Q1848">
        <v>510.7</v>
      </c>
      <c r="R1848">
        <v>505.6</v>
      </c>
      <c r="S1848" s="3">
        <v>-8.0000000000000002E-3</v>
      </c>
      <c r="T1848">
        <f t="shared" si="57"/>
        <v>2011</v>
      </c>
      <c r="W1848" s="86">
        <v>43366</v>
      </c>
      <c r="X1848">
        <v>578.41999999999996</v>
      </c>
    </row>
    <row r="1849" spans="1:24">
      <c r="A1849" s="68">
        <v>35415</v>
      </c>
      <c r="B1849" s="32">
        <v>1002.95</v>
      </c>
      <c r="C1849">
        <f t="shared" si="56"/>
        <v>1996</v>
      </c>
      <c r="H1849" s="85">
        <v>42754</v>
      </c>
      <c r="I1849">
        <v>2934.58</v>
      </c>
      <c r="N1849" s="69">
        <v>40841</v>
      </c>
      <c r="O1849">
        <v>510.7</v>
      </c>
      <c r="P1849">
        <v>509.7</v>
      </c>
      <c r="Q1849">
        <v>510.7</v>
      </c>
      <c r="R1849">
        <v>505.7</v>
      </c>
      <c r="S1849" s="3">
        <v>0</v>
      </c>
      <c r="T1849">
        <f t="shared" si="57"/>
        <v>2011</v>
      </c>
      <c r="W1849" s="86">
        <v>43367</v>
      </c>
      <c r="X1849">
        <v>578.88</v>
      </c>
    </row>
    <row r="1850" spans="1:24">
      <c r="A1850" s="68">
        <v>35416</v>
      </c>
      <c r="B1850" s="33">
        <v>1001.58</v>
      </c>
      <c r="C1850">
        <f t="shared" si="56"/>
        <v>1996</v>
      </c>
      <c r="H1850" s="85">
        <v>42755</v>
      </c>
      <c r="I1850">
        <v>2938.24</v>
      </c>
      <c r="N1850" s="69">
        <v>40840</v>
      </c>
      <c r="O1850">
        <v>510.7</v>
      </c>
      <c r="P1850">
        <v>509.6</v>
      </c>
      <c r="Q1850">
        <v>510.7</v>
      </c>
      <c r="R1850">
        <v>509.6</v>
      </c>
      <c r="S1850" s="3">
        <v>2.0000000000000001E-4</v>
      </c>
      <c r="T1850">
        <f t="shared" si="57"/>
        <v>2011</v>
      </c>
      <c r="W1850" s="86">
        <v>43368</v>
      </c>
      <c r="X1850">
        <v>579.38</v>
      </c>
    </row>
    <row r="1851" spans="1:24">
      <c r="A1851" s="68">
        <v>35417</v>
      </c>
      <c r="B1851" s="32">
        <v>1000.4</v>
      </c>
      <c r="C1851">
        <f t="shared" si="56"/>
        <v>1996</v>
      </c>
      <c r="H1851" s="85">
        <v>42756</v>
      </c>
      <c r="I1851">
        <v>2927.91</v>
      </c>
      <c r="N1851" s="69">
        <v>40837</v>
      </c>
      <c r="O1851">
        <v>510.6</v>
      </c>
      <c r="P1851">
        <v>509.6</v>
      </c>
      <c r="Q1851">
        <v>510.7</v>
      </c>
      <c r="R1851">
        <v>509.6</v>
      </c>
      <c r="S1851" s="3">
        <v>0</v>
      </c>
      <c r="T1851">
        <f t="shared" si="57"/>
        <v>2011</v>
      </c>
      <c r="W1851" s="86">
        <v>43369</v>
      </c>
      <c r="X1851">
        <v>578.1</v>
      </c>
    </row>
    <row r="1852" spans="1:24">
      <c r="A1852" s="68">
        <v>35418</v>
      </c>
      <c r="B1852" s="33">
        <v>1001.18</v>
      </c>
      <c r="C1852">
        <f t="shared" si="56"/>
        <v>1996</v>
      </c>
      <c r="H1852" s="85">
        <v>42757</v>
      </c>
      <c r="I1852">
        <v>2927.91</v>
      </c>
      <c r="N1852" s="69">
        <v>40836</v>
      </c>
      <c r="O1852">
        <v>510.6</v>
      </c>
      <c r="P1852">
        <v>509.5</v>
      </c>
      <c r="Q1852">
        <v>510.7</v>
      </c>
      <c r="R1852">
        <v>509.5</v>
      </c>
      <c r="S1852" s="3">
        <v>2.0000000000000001E-4</v>
      </c>
      <c r="T1852">
        <f t="shared" si="57"/>
        <v>2011</v>
      </c>
      <c r="W1852" s="86">
        <v>43370</v>
      </c>
      <c r="X1852">
        <v>578.12</v>
      </c>
    </row>
    <row r="1853" spans="1:24">
      <c r="A1853" s="68">
        <v>35419</v>
      </c>
      <c r="B1853" s="32">
        <v>1001.1</v>
      </c>
      <c r="C1853">
        <f t="shared" si="56"/>
        <v>1996</v>
      </c>
      <c r="H1853" s="85">
        <v>42758</v>
      </c>
      <c r="I1853">
        <v>2927.91</v>
      </c>
      <c r="N1853" s="69">
        <v>40835</v>
      </c>
      <c r="O1853">
        <v>510.5</v>
      </c>
      <c r="P1853">
        <v>509.5</v>
      </c>
      <c r="Q1853">
        <v>510.7</v>
      </c>
      <c r="R1853">
        <v>509.5</v>
      </c>
      <c r="S1853" s="3">
        <v>0</v>
      </c>
      <c r="T1853">
        <f t="shared" si="57"/>
        <v>2011</v>
      </c>
      <c r="W1853" s="86">
        <v>43371</v>
      </c>
      <c r="X1853">
        <v>579.1</v>
      </c>
    </row>
    <row r="1854" spans="1:24">
      <c r="A1854" s="68">
        <v>35420</v>
      </c>
      <c r="B1854" s="33">
        <v>1003.15</v>
      </c>
      <c r="C1854">
        <f t="shared" si="56"/>
        <v>1996</v>
      </c>
      <c r="H1854" s="85">
        <v>42759</v>
      </c>
      <c r="I1854">
        <v>2908.53</v>
      </c>
      <c r="N1854" s="69">
        <v>40834</v>
      </c>
      <c r="O1854">
        <v>510.5</v>
      </c>
      <c r="P1854">
        <v>509.5</v>
      </c>
      <c r="Q1854">
        <v>510.5</v>
      </c>
      <c r="R1854">
        <v>509.5</v>
      </c>
      <c r="S1854" s="3">
        <v>0</v>
      </c>
      <c r="T1854">
        <f t="shared" si="57"/>
        <v>2011</v>
      </c>
      <c r="W1854" s="86">
        <v>43373</v>
      </c>
      <c r="X1854">
        <v>579.26</v>
      </c>
    </row>
    <row r="1855" spans="1:24">
      <c r="A1855" s="68">
        <v>35421</v>
      </c>
      <c r="B1855" s="32">
        <v>1003.15</v>
      </c>
      <c r="C1855">
        <f t="shared" si="56"/>
        <v>1996</v>
      </c>
      <c r="H1855" s="85">
        <v>42760</v>
      </c>
      <c r="I1855">
        <v>2932.01</v>
      </c>
      <c r="N1855" s="69">
        <v>40833</v>
      </c>
      <c r="O1855">
        <v>510.5</v>
      </c>
      <c r="P1855">
        <v>509.6</v>
      </c>
      <c r="Q1855">
        <v>510.6</v>
      </c>
      <c r="R1855">
        <v>509.5</v>
      </c>
      <c r="S1855" s="3">
        <v>-2.0000000000000001E-4</v>
      </c>
      <c r="T1855">
        <f t="shared" si="57"/>
        <v>2011</v>
      </c>
      <c r="W1855" s="86">
        <v>43374</v>
      </c>
      <c r="X1855">
        <v>582.20000000000005</v>
      </c>
    </row>
    <row r="1856" spans="1:24">
      <c r="A1856" s="68">
        <v>35422</v>
      </c>
      <c r="B1856" s="33">
        <v>1003.15</v>
      </c>
      <c r="C1856">
        <f t="shared" si="56"/>
        <v>1996</v>
      </c>
      <c r="H1856" s="85">
        <v>42761</v>
      </c>
      <c r="I1856">
        <v>2927.53</v>
      </c>
      <c r="N1856" s="69">
        <v>40830</v>
      </c>
      <c r="O1856">
        <v>510.6</v>
      </c>
      <c r="P1856">
        <v>509.6</v>
      </c>
      <c r="Q1856">
        <v>510.7</v>
      </c>
      <c r="R1856">
        <v>509.6</v>
      </c>
      <c r="S1856" s="3">
        <v>0</v>
      </c>
      <c r="T1856">
        <f t="shared" si="57"/>
        <v>2011</v>
      </c>
      <c r="W1856" s="86">
        <v>43375</v>
      </c>
      <c r="X1856">
        <v>582.48</v>
      </c>
    </row>
    <row r="1857" spans="1:24">
      <c r="A1857" s="68">
        <v>35423</v>
      </c>
      <c r="B1857" s="32">
        <v>1002.51</v>
      </c>
      <c r="C1857">
        <f t="shared" si="56"/>
        <v>1996</v>
      </c>
      <c r="H1857" s="85">
        <v>42762</v>
      </c>
      <c r="I1857">
        <v>2936.72</v>
      </c>
      <c r="N1857" s="69">
        <v>40829</v>
      </c>
      <c r="O1857">
        <v>510.6</v>
      </c>
      <c r="P1857">
        <v>511.7</v>
      </c>
      <c r="Q1857">
        <v>512.70000000000005</v>
      </c>
      <c r="R1857">
        <v>509.6</v>
      </c>
      <c r="S1857" s="3">
        <v>-4.1000000000000003E-3</v>
      </c>
      <c r="T1857">
        <f t="shared" si="57"/>
        <v>2011</v>
      </c>
      <c r="W1857" s="86">
        <v>43376</v>
      </c>
      <c r="X1857">
        <v>582.5</v>
      </c>
    </row>
    <row r="1858" spans="1:24">
      <c r="A1858" s="68">
        <v>35424</v>
      </c>
      <c r="B1858" s="33">
        <v>1002.51</v>
      </c>
      <c r="C1858">
        <f t="shared" si="56"/>
        <v>1996</v>
      </c>
      <c r="H1858" s="85">
        <v>42763</v>
      </c>
      <c r="I1858">
        <v>2930.17</v>
      </c>
      <c r="N1858" s="69">
        <v>40828</v>
      </c>
      <c r="O1858">
        <v>512.70000000000005</v>
      </c>
      <c r="P1858">
        <v>517</v>
      </c>
      <c r="Q1858">
        <v>518</v>
      </c>
      <c r="R1858">
        <v>509.7</v>
      </c>
      <c r="S1858" s="3">
        <v>-2.3999999999999998E-3</v>
      </c>
      <c r="T1858">
        <f t="shared" si="57"/>
        <v>2011</v>
      </c>
      <c r="W1858" s="86">
        <v>43377</v>
      </c>
      <c r="X1858">
        <v>586</v>
      </c>
    </row>
    <row r="1859" spans="1:24">
      <c r="A1859" s="68">
        <v>35425</v>
      </c>
      <c r="B1859" s="32">
        <v>1002.51</v>
      </c>
      <c r="C1859">
        <f t="shared" si="56"/>
        <v>1996</v>
      </c>
      <c r="H1859" s="85">
        <v>42764</v>
      </c>
      <c r="I1859">
        <v>2930.17</v>
      </c>
      <c r="N1859" s="69">
        <v>40827</v>
      </c>
      <c r="O1859">
        <v>513.95000000000005</v>
      </c>
      <c r="P1859">
        <v>517.20000000000005</v>
      </c>
      <c r="Q1859">
        <v>519.45000000000005</v>
      </c>
      <c r="R1859">
        <v>511.7</v>
      </c>
      <c r="S1859" s="3">
        <v>-8.2000000000000007E-3</v>
      </c>
      <c r="T1859">
        <f t="shared" si="57"/>
        <v>2011</v>
      </c>
      <c r="W1859" s="86">
        <v>43378</v>
      </c>
      <c r="X1859">
        <v>586.66999999999996</v>
      </c>
    </row>
    <row r="1860" spans="1:24">
      <c r="A1860" s="68">
        <v>35426</v>
      </c>
      <c r="B1860" s="33">
        <v>1003.49</v>
      </c>
      <c r="C1860">
        <f t="shared" ref="C1860:C1923" si="58">YEAR(A1860)</f>
        <v>1996</v>
      </c>
      <c r="H1860" s="85">
        <v>42765</v>
      </c>
      <c r="I1860">
        <v>2930.17</v>
      </c>
      <c r="N1860" s="69">
        <v>40826</v>
      </c>
      <c r="O1860">
        <v>518.20000000000005</v>
      </c>
      <c r="P1860">
        <v>517.20000000000005</v>
      </c>
      <c r="Q1860">
        <v>518.20000000000005</v>
      </c>
      <c r="R1860">
        <v>517.20000000000005</v>
      </c>
      <c r="S1860" s="3">
        <v>5.0000000000000001E-3</v>
      </c>
      <c r="T1860">
        <f t="shared" ref="T1860:T1872" si="59">YEAR(N1860)</f>
        <v>2011</v>
      </c>
      <c r="W1860" s="86">
        <v>43380</v>
      </c>
      <c r="X1860">
        <v>582.49</v>
      </c>
    </row>
    <row r="1861" spans="1:24">
      <c r="A1861" s="68">
        <v>35427</v>
      </c>
      <c r="B1861" s="32">
        <v>1005.4</v>
      </c>
      <c r="C1861">
        <f t="shared" si="58"/>
        <v>1996</v>
      </c>
      <c r="H1861" s="85">
        <v>42766</v>
      </c>
      <c r="I1861">
        <v>2936.66</v>
      </c>
      <c r="N1861" s="69">
        <v>40823</v>
      </c>
      <c r="O1861">
        <v>515.6</v>
      </c>
      <c r="P1861">
        <v>514.70000000000005</v>
      </c>
      <c r="Q1861">
        <v>518.20000000000005</v>
      </c>
      <c r="R1861">
        <v>514.6</v>
      </c>
      <c r="S1861" s="3">
        <v>-2.0000000000000001E-4</v>
      </c>
      <c r="T1861">
        <f t="shared" si="59"/>
        <v>2011</v>
      </c>
      <c r="W1861" s="86">
        <v>43381</v>
      </c>
      <c r="X1861">
        <v>586.16999999999996</v>
      </c>
    </row>
    <row r="1862" spans="1:24">
      <c r="A1862" s="68">
        <v>35428</v>
      </c>
      <c r="B1862" s="33">
        <v>1005.4</v>
      </c>
      <c r="C1862">
        <f t="shared" si="58"/>
        <v>1996</v>
      </c>
      <c r="H1862" s="85">
        <v>42767</v>
      </c>
      <c r="I1862">
        <v>2921.9</v>
      </c>
      <c r="N1862" s="69">
        <v>40822</v>
      </c>
      <c r="O1862">
        <v>515.70000000000005</v>
      </c>
      <c r="P1862">
        <v>512.20000000000005</v>
      </c>
      <c r="Q1862">
        <v>518.20000000000005</v>
      </c>
      <c r="R1862">
        <v>512.20000000000005</v>
      </c>
      <c r="S1862" s="3">
        <v>4.8999999999999998E-3</v>
      </c>
      <c r="T1862">
        <f t="shared" si="59"/>
        <v>2011</v>
      </c>
      <c r="W1862" s="86">
        <v>43382</v>
      </c>
      <c r="X1862">
        <v>590.41999999999996</v>
      </c>
    </row>
    <row r="1863" spans="1:24">
      <c r="A1863" s="68">
        <v>35429</v>
      </c>
      <c r="B1863" s="32">
        <v>1005.4</v>
      </c>
      <c r="C1863">
        <f t="shared" si="58"/>
        <v>1996</v>
      </c>
      <c r="H1863" s="85">
        <v>42768</v>
      </c>
      <c r="I1863">
        <v>2906.78</v>
      </c>
      <c r="N1863" s="69">
        <v>40821</v>
      </c>
      <c r="O1863">
        <v>513.20000000000005</v>
      </c>
      <c r="P1863">
        <v>512.20000000000005</v>
      </c>
      <c r="Q1863">
        <v>515.70000000000005</v>
      </c>
      <c r="R1863">
        <v>512.20000000000005</v>
      </c>
      <c r="S1863" s="3">
        <v>0</v>
      </c>
      <c r="T1863">
        <f t="shared" si="59"/>
        <v>2011</v>
      </c>
      <c r="W1863" s="86">
        <v>43383</v>
      </c>
      <c r="X1863">
        <v>592.1</v>
      </c>
    </row>
    <row r="1864" spans="1:24">
      <c r="A1864" s="68">
        <v>35430</v>
      </c>
      <c r="B1864" s="33">
        <v>1005.33</v>
      </c>
      <c r="C1864">
        <f t="shared" si="58"/>
        <v>1996</v>
      </c>
      <c r="H1864" s="85">
        <v>42769</v>
      </c>
      <c r="I1864">
        <v>2882.2</v>
      </c>
      <c r="N1864" s="69">
        <v>40820</v>
      </c>
      <c r="O1864">
        <v>513.20000000000005</v>
      </c>
      <c r="P1864">
        <v>509.6</v>
      </c>
      <c r="Q1864">
        <v>513.20000000000005</v>
      </c>
      <c r="R1864">
        <v>509.6</v>
      </c>
      <c r="S1864" s="3">
        <v>5.1000000000000004E-3</v>
      </c>
      <c r="T1864">
        <f t="shared" si="59"/>
        <v>2011</v>
      </c>
      <c r="W1864" s="86">
        <v>43384</v>
      </c>
      <c r="X1864">
        <v>594.16999999999996</v>
      </c>
    </row>
    <row r="1865" spans="1:24">
      <c r="A1865" s="68">
        <v>35431</v>
      </c>
      <c r="B1865" s="32">
        <v>1005.33</v>
      </c>
      <c r="C1865">
        <f t="shared" si="58"/>
        <v>1997</v>
      </c>
      <c r="H1865" s="85">
        <v>42770</v>
      </c>
      <c r="I1865">
        <v>2855.8</v>
      </c>
      <c r="N1865" s="69">
        <v>40819</v>
      </c>
      <c r="O1865">
        <v>510.6</v>
      </c>
      <c r="P1865">
        <v>507.7</v>
      </c>
      <c r="Q1865">
        <v>513.20000000000005</v>
      </c>
      <c r="R1865">
        <v>507.6</v>
      </c>
      <c r="S1865" s="3">
        <v>3.7000000000000002E-3</v>
      </c>
      <c r="T1865">
        <f t="shared" si="59"/>
        <v>2011</v>
      </c>
      <c r="W1865" s="86">
        <v>43385</v>
      </c>
      <c r="X1865">
        <v>594</v>
      </c>
    </row>
    <row r="1866" spans="1:24">
      <c r="A1866" s="68">
        <v>35432</v>
      </c>
      <c r="B1866" s="33">
        <v>1005.33</v>
      </c>
      <c r="C1866">
        <f t="shared" si="58"/>
        <v>1997</v>
      </c>
      <c r="H1866" s="85">
        <v>42771</v>
      </c>
      <c r="I1866">
        <v>2855.8</v>
      </c>
      <c r="N1866" s="69">
        <v>40816</v>
      </c>
      <c r="O1866">
        <v>508.7</v>
      </c>
      <c r="P1866">
        <v>507.7</v>
      </c>
      <c r="Q1866">
        <v>508.7</v>
      </c>
      <c r="R1866">
        <v>507.7</v>
      </c>
      <c r="S1866" s="3">
        <v>0</v>
      </c>
      <c r="T1866">
        <f t="shared" si="59"/>
        <v>2011</v>
      </c>
      <c r="W1866" s="86">
        <v>43387</v>
      </c>
      <c r="X1866">
        <v>593.98</v>
      </c>
    </row>
    <row r="1867" spans="1:24">
      <c r="A1867" s="68">
        <v>35433</v>
      </c>
      <c r="B1867" s="32">
        <v>1007.33</v>
      </c>
      <c r="C1867">
        <f t="shared" si="58"/>
        <v>1997</v>
      </c>
      <c r="H1867" s="85">
        <v>42772</v>
      </c>
      <c r="I1867">
        <v>2855.8</v>
      </c>
      <c r="N1867" s="69">
        <v>40815</v>
      </c>
      <c r="O1867">
        <v>508.7</v>
      </c>
      <c r="P1867">
        <v>507.6</v>
      </c>
      <c r="Q1867">
        <v>508.7</v>
      </c>
      <c r="R1867">
        <v>507.6</v>
      </c>
      <c r="S1867" s="3">
        <v>2.0000000000000001E-4</v>
      </c>
      <c r="T1867">
        <f t="shared" si="59"/>
        <v>2011</v>
      </c>
      <c r="W1867" s="86">
        <v>43388</v>
      </c>
      <c r="X1867">
        <v>594</v>
      </c>
    </row>
    <row r="1868" spans="1:24">
      <c r="A1868" s="68">
        <v>35434</v>
      </c>
      <c r="B1868" s="33">
        <v>1016.81</v>
      </c>
      <c r="C1868">
        <f t="shared" si="58"/>
        <v>1997</v>
      </c>
      <c r="H1868" s="85">
        <v>42773</v>
      </c>
      <c r="I1868">
        <v>2853.99</v>
      </c>
      <c r="N1868" s="69">
        <v>40814</v>
      </c>
      <c r="O1868">
        <v>508.6</v>
      </c>
      <c r="P1868">
        <v>510.6</v>
      </c>
      <c r="Q1868">
        <v>511.6</v>
      </c>
      <c r="R1868">
        <v>507.6</v>
      </c>
      <c r="S1868" s="3">
        <v>-5.8999999999999999E-3</v>
      </c>
      <c r="T1868">
        <f t="shared" si="59"/>
        <v>2011</v>
      </c>
      <c r="W1868" s="86">
        <v>43389</v>
      </c>
      <c r="X1868">
        <v>593.75</v>
      </c>
    </row>
    <row r="1869" spans="1:24">
      <c r="A1869" s="68">
        <v>35435</v>
      </c>
      <c r="B1869" s="32">
        <v>1016.81</v>
      </c>
      <c r="C1869">
        <f t="shared" si="58"/>
        <v>1997</v>
      </c>
      <c r="H1869" s="85">
        <v>42774</v>
      </c>
      <c r="I1869">
        <v>2867.76</v>
      </c>
      <c r="N1869" s="69">
        <v>40813</v>
      </c>
      <c r="O1869">
        <v>511.6</v>
      </c>
      <c r="P1869">
        <v>508.7</v>
      </c>
      <c r="Q1869">
        <v>511.7</v>
      </c>
      <c r="R1869">
        <v>507.7</v>
      </c>
      <c r="S1869" s="3">
        <v>3.7000000000000002E-3</v>
      </c>
      <c r="T1869">
        <f t="shared" si="59"/>
        <v>2011</v>
      </c>
      <c r="W1869" s="86">
        <v>43390</v>
      </c>
      <c r="X1869">
        <v>595.51</v>
      </c>
    </row>
    <row r="1870" spans="1:24">
      <c r="A1870" s="68">
        <v>35436</v>
      </c>
      <c r="B1870" s="33">
        <v>1016.81</v>
      </c>
      <c r="C1870">
        <f t="shared" si="58"/>
        <v>1997</v>
      </c>
      <c r="H1870" s="85">
        <v>42775</v>
      </c>
      <c r="I1870">
        <v>2879.49</v>
      </c>
      <c r="N1870" s="69">
        <v>40812</v>
      </c>
      <c r="O1870">
        <v>509.7</v>
      </c>
      <c r="P1870">
        <v>508.7</v>
      </c>
      <c r="Q1870">
        <v>511.7</v>
      </c>
      <c r="R1870">
        <v>508.7</v>
      </c>
      <c r="S1870" s="3">
        <v>-2.3999999999999998E-3</v>
      </c>
      <c r="T1870">
        <f t="shared" si="59"/>
        <v>2011</v>
      </c>
      <c r="W1870" s="86">
        <v>43391</v>
      </c>
      <c r="X1870">
        <v>593.08000000000004</v>
      </c>
    </row>
    <row r="1871" spans="1:24">
      <c r="A1871" s="68">
        <v>35437</v>
      </c>
      <c r="B1871" s="32">
        <v>1016.81</v>
      </c>
      <c r="C1871">
        <f t="shared" si="58"/>
        <v>1997</v>
      </c>
      <c r="H1871" s="85">
        <v>42776</v>
      </c>
      <c r="I1871">
        <v>2862.63</v>
      </c>
      <c r="N1871" s="69">
        <v>40809</v>
      </c>
      <c r="O1871">
        <v>510.95</v>
      </c>
      <c r="P1871">
        <v>504.6</v>
      </c>
      <c r="Q1871">
        <v>510.95</v>
      </c>
      <c r="R1871">
        <v>504.4</v>
      </c>
      <c r="S1871" s="3">
        <v>1.06E-2</v>
      </c>
      <c r="T1871">
        <f t="shared" si="59"/>
        <v>2011</v>
      </c>
      <c r="W1871" s="86">
        <v>43392</v>
      </c>
      <c r="X1871">
        <v>593.08000000000004</v>
      </c>
    </row>
    <row r="1872" spans="1:24">
      <c r="A1872" s="68">
        <v>35438</v>
      </c>
      <c r="B1872" s="33">
        <v>1022</v>
      </c>
      <c r="C1872">
        <f t="shared" si="58"/>
        <v>1997</v>
      </c>
      <c r="H1872" s="85">
        <v>42777</v>
      </c>
      <c r="I1872">
        <v>2851.98</v>
      </c>
      <c r="N1872" s="69">
        <v>40808</v>
      </c>
      <c r="O1872">
        <v>505.6</v>
      </c>
      <c r="P1872">
        <v>500.6</v>
      </c>
      <c r="Q1872">
        <v>508.7</v>
      </c>
      <c r="R1872">
        <v>500.6</v>
      </c>
      <c r="S1872" s="3">
        <v>8.0000000000000002E-3</v>
      </c>
      <c r="T1872">
        <f t="shared" si="59"/>
        <v>2011</v>
      </c>
      <c r="W1872" s="86">
        <v>43394</v>
      </c>
      <c r="X1872">
        <v>592.92999999999995</v>
      </c>
    </row>
    <row r="1873" spans="1:24">
      <c r="A1873" s="68">
        <v>35439</v>
      </c>
      <c r="B1873" s="32">
        <v>1020.16</v>
      </c>
      <c r="C1873">
        <f t="shared" si="58"/>
        <v>1997</v>
      </c>
      <c r="H1873" s="85">
        <v>42778</v>
      </c>
      <c r="I1873">
        <v>2851.98</v>
      </c>
      <c r="W1873" s="86">
        <v>43395</v>
      </c>
      <c r="X1873">
        <v>592.97</v>
      </c>
    </row>
    <row r="1874" spans="1:24">
      <c r="A1874" s="68">
        <v>35440</v>
      </c>
      <c r="B1874" s="33">
        <v>1013.68</v>
      </c>
      <c r="C1874">
        <f t="shared" si="58"/>
        <v>1997</v>
      </c>
      <c r="H1874" s="85">
        <v>42779</v>
      </c>
      <c r="I1874">
        <v>2851.98</v>
      </c>
      <c r="W1874" s="86" t="s">
        <v>571</v>
      </c>
      <c r="X1874">
        <v>1000927.7400000007</v>
      </c>
    </row>
    <row r="1875" spans="1:24">
      <c r="A1875" s="68">
        <v>35441</v>
      </c>
      <c r="B1875" s="32">
        <v>1011.01</v>
      </c>
      <c r="C1875">
        <f t="shared" si="58"/>
        <v>1997</v>
      </c>
      <c r="H1875" s="85">
        <v>42780</v>
      </c>
      <c r="I1875">
        <v>2875.46</v>
      </c>
    </row>
    <row r="1876" spans="1:24">
      <c r="A1876" s="68">
        <v>35442</v>
      </c>
      <c r="B1876" s="33">
        <v>1011.01</v>
      </c>
      <c r="C1876">
        <f t="shared" si="58"/>
        <v>1997</v>
      </c>
      <c r="H1876" s="85">
        <v>42781</v>
      </c>
      <c r="I1876">
        <v>2867.64</v>
      </c>
    </row>
    <row r="1877" spans="1:24">
      <c r="A1877" s="68">
        <v>35443</v>
      </c>
      <c r="B1877" s="32">
        <v>1011.01</v>
      </c>
      <c r="C1877">
        <f t="shared" si="58"/>
        <v>1997</v>
      </c>
      <c r="H1877" s="85">
        <v>42782</v>
      </c>
      <c r="I1877">
        <v>2876.03</v>
      </c>
    </row>
    <row r="1878" spans="1:24">
      <c r="A1878" s="68">
        <v>35444</v>
      </c>
      <c r="B1878" s="33">
        <v>1015.53</v>
      </c>
      <c r="C1878">
        <f t="shared" si="58"/>
        <v>1997</v>
      </c>
      <c r="H1878" s="85">
        <v>42783</v>
      </c>
      <c r="I1878">
        <v>2875.68</v>
      </c>
    </row>
    <row r="1879" spans="1:24">
      <c r="A1879" s="68">
        <v>35445</v>
      </c>
      <c r="B1879" s="32">
        <v>1026.53</v>
      </c>
      <c r="C1879">
        <f t="shared" si="58"/>
        <v>1997</v>
      </c>
      <c r="H1879" s="85">
        <v>42784</v>
      </c>
      <c r="I1879">
        <v>2902.81</v>
      </c>
    </row>
    <row r="1880" spans="1:24">
      <c r="A1880" s="68">
        <v>35446</v>
      </c>
      <c r="B1880" s="33">
        <v>1023.47</v>
      </c>
      <c r="C1880">
        <f t="shared" si="58"/>
        <v>1997</v>
      </c>
      <c r="H1880" s="85">
        <v>42785</v>
      </c>
      <c r="I1880">
        <v>2902.81</v>
      </c>
    </row>
    <row r="1881" spans="1:24">
      <c r="A1881" s="68">
        <v>35447</v>
      </c>
      <c r="B1881" s="32">
        <v>1018.15</v>
      </c>
      <c r="C1881">
        <f t="shared" si="58"/>
        <v>1997</v>
      </c>
      <c r="H1881" s="85">
        <v>42786</v>
      </c>
      <c r="I1881">
        <v>2902.81</v>
      </c>
    </row>
    <row r="1882" spans="1:24">
      <c r="A1882" s="68">
        <v>35448</v>
      </c>
      <c r="B1882" s="33">
        <v>1020.9</v>
      </c>
      <c r="C1882">
        <f t="shared" si="58"/>
        <v>1997</v>
      </c>
      <c r="H1882" s="85">
        <v>42787</v>
      </c>
      <c r="I1882">
        <v>2902.81</v>
      </c>
    </row>
    <row r="1883" spans="1:24">
      <c r="A1883" s="68">
        <v>35449</v>
      </c>
      <c r="B1883" s="32">
        <v>1020.9</v>
      </c>
      <c r="C1883">
        <f t="shared" si="58"/>
        <v>1997</v>
      </c>
      <c r="H1883" s="85">
        <v>42788</v>
      </c>
      <c r="I1883">
        <v>2902.68</v>
      </c>
    </row>
    <row r="1884" spans="1:24">
      <c r="A1884" s="68">
        <v>35450</v>
      </c>
      <c r="B1884" s="33">
        <v>1020.9</v>
      </c>
      <c r="C1884">
        <f t="shared" si="58"/>
        <v>1997</v>
      </c>
      <c r="H1884" s="85">
        <v>42789</v>
      </c>
      <c r="I1884">
        <v>2893.55</v>
      </c>
    </row>
    <row r="1885" spans="1:24">
      <c r="A1885" s="68">
        <v>35451</v>
      </c>
      <c r="B1885" s="32">
        <v>1022.75</v>
      </c>
      <c r="C1885">
        <f t="shared" si="58"/>
        <v>1997</v>
      </c>
      <c r="H1885" s="85">
        <v>42790</v>
      </c>
      <c r="I1885">
        <v>2871.67</v>
      </c>
    </row>
    <row r="1886" spans="1:24">
      <c r="A1886" s="68">
        <v>35452</v>
      </c>
      <c r="B1886" s="33">
        <v>1023.67</v>
      </c>
      <c r="C1886">
        <f t="shared" si="58"/>
        <v>1997</v>
      </c>
      <c r="H1886" s="85">
        <v>42791</v>
      </c>
      <c r="I1886">
        <v>2886.52</v>
      </c>
    </row>
    <row r="1887" spans="1:24">
      <c r="A1887" s="68">
        <v>35453</v>
      </c>
      <c r="B1887" s="32">
        <v>1031.02</v>
      </c>
      <c r="C1887">
        <f t="shared" si="58"/>
        <v>1997</v>
      </c>
      <c r="H1887" s="85">
        <v>42792</v>
      </c>
      <c r="I1887">
        <v>2886.52</v>
      </c>
    </row>
    <row r="1888" spans="1:24">
      <c r="A1888" s="68">
        <v>35454</v>
      </c>
      <c r="B1888" s="33">
        <v>1031.51</v>
      </c>
      <c r="C1888">
        <f t="shared" si="58"/>
        <v>1997</v>
      </c>
      <c r="H1888" s="85">
        <v>42793</v>
      </c>
      <c r="I1888">
        <v>2886.52</v>
      </c>
    </row>
    <row r="1889" spans="1:9">
      <c r="A1889" s="68">
        <v>35455</v>
      </c>
      <c r="B1889" s="32">
        <v>1032.6199999999999</v>
      </c>
      <c r="C1889">
        <f t="shared" si="58"/>
        <v>1997</v>
      </c>
      <c r="H1889" s="85">
        <v>42794</v>
      </c>
      <c r="I1889">
        <v>2896.27</v>
      </c>
    </row>
    <row r="1890" spans="1:9">
      <c r="A1890" s="68">
        <v>35456</v>
      </c>
      <c r="B1890" s="33">
        <v>1032.6199999999999</v>
      </c>
      <c r="C1890">
        <f t="shared" si="58"/>
        <v>1997</v>
      </c>
      <c r="H1890" s="85">
        <v>42795</v>
      </c>
      <c r="I1890">
        <v>2919.17</v>
      </c>
    </row>
    <row r="1891" spans="1:9">
      <c r="A1891" s="68">
        <v>35457</v>
      </c>
      <c r="B1891" s="32">
        <v>1032.6199999999999</v>
      </c>
      <c r="C1891">
        <f t="shared" si="58"/>
        <v>1997</v>
      </c>
      <c r="H1891" s="85">
        <v>42796</v>
      </c>
      <c r="I1891">
        <v>2935.75</v>
      </c>
    </row>
    <row r="1892" spans="1:9">
      <c r="A1892" s="68">
        <v>35458</v>
      </c>
      <c r="B1892" s="33">
        <v>1040.07</v>
      </c>
      <c r="C1892">
        <f t="shared" si="58"/>
        <v>1997</v>
      </c>
      <c r="H1892" s="85">
        <v>42797</v>
      </c>
      <c r="I1892">
        <v>2960.91</v>
      </c>
    </row>
    <row r="1893" spans="1:9">
      <c r="A1893" s="68">
        <v>35459</v>
      </c>
      <c r="B1893" s="32">
        <v>1057</v>
      </c>
      <c r="C1893">
        <f t="shared" si="58"/>
        <v>1997</v>
      </c>
      <c r="H1893" s="85">
        <v>42798</v>
      </c>
      <c r="I1893">
        <v>2977.43</v>
      </c>
    </row>
    <row r="1894" spans="1:9">
      <c r="A1894" s="68">
        <v>35460</v>
      </c>
      <c r="B1894" s="33">
        <v>1057.82</v>
      </c>
      <c r="C1894">
        <f t="shared" si="58"/>
        <v>1997</v>
      </c>
      <c r="H1894" s="85">
        <v>42799</v>
      </c>
      <c r="I1894">
        <v>2977.43</v>
      </c>
    </row>
    <row r="1895" spans="1:9">
      <c r="A1895" s="68">
        <v>35461</v>
      </c>
      <c r="B1895" s="32">
        <v>1070.97</v>
      </c>
      <c r="C1895">
        <f t="shared" si="58"/>
        <v>1997</v>
      </c>
      <c r="H1895" s="85">
        <v>42800</v>
      </c>
      <c r="I1895">
        <v>2977.43</v>
      </c>
    </row>
    <row r="1896" spans="1:9">
      <c r="A1896" s="68">
        <v>35462</v>
      </c>
      <c r="B1896" s="33">
        <v>1064</v>
      </c>
      <c r="C1896">
        <f t="shared" si="58"/>
        <v>1997</v>
      </c>
      <c r="H1896" s="85">
        <v>42801</v>
      </c>
      <c r="I1896">
        <v>2966.67</v>
      </c>
    </row>
    <row r="1897" spans="1:9">
      <c r="A1897" s="68">
        <v>35463</v>
      </c>
      <c r="B1897" s="32">
        <v>1064</v>
      </c>
      <c r="C1897">
        <f t="shared" si="58"/>
        <v>1997</v>
      </c>
      <c r="H1897" s="85">
        <v>42802</v>
      </c>
      <c r="I1897">
        <v>2972.44</v>
      </c>
    </row>
    <row r="1898" spans="1:9">
      <c r="A1898" s="68">
        <v>35464</v>
      </c>
      <c r="B1898" s="33">
        <v>1064</v>
      </c>
      <c r="C1898">
        <f t="shared" si="58"/>
        <v>1997</v>
      </c>
      <c r="H1898" s="85">
        <v>42803</v>
      </c>
      <c r="I1898">
        <v>2987.88</v>
      </c>
    </row>
    <row r="1899" spans="1:9">
      <c r="A1899" s="68">
        <v>35465</v>
      </c>
      <c r="B1899" s="32">
        <v>1065.98</v>
      </c>
      <c r="C1899">
        <f t="shared" si="58"/>
        <v>1997</v>
      </c>
      <c r="H1899" s="85">
        <v>42804</v>
      </c>
      <c r="I1899">
        <v>3004.43</v>
      </c>
    </row>
    <row r="1900" spans="1:9">
      <c r="A1900" s="68">
        <v>35466</v>
      </c>
      <c r="B1900" s="33">
        <v>1076.25</v>
      </c>
      <c r="C1900">
        <f t="shared" si="58"/>
        <v>1997</v>
      </c>
      <c r="H1900" s="85">
        <v>42805</v>
      </c>
      <c r="I1900">
        <v>2980.83</v>
      </c>
    </row>
    <row r="1901" spans="1:9">
      <c r="A1901" s="68">
        <v>35467</v>
      </c>
      <c r="B1901" s="32">
        <v>1071.8800000000001</v>
      </c>
      <c r="C1901">
        <f t="shared" si="58"/>
        <v>1997</v>
      </c>
      <c r="H1901" s="85">
        <v>42806</v>
      </c>
      <c r="I1901">
        <v>2980.83</v>
      </c>
    </row>
    <row r="1902" spans="1:9">
      <c r="A1902" s="68">
        <v>35468</v>
      </c>
      <c r="B1902" s="33">
        <v>1070.08</v>
      </c>
      <c r="C1902">
        <f t="shared" si="58"/>
        <v>1997</v>
      </c>
      <c r="H1902" s="85">
        <v>42807</v>
      </c>
      <c r="I1902">
        <v>2980.83</v>
      </c>
    </row>
    <row r="1903" spans="1:9">
      <c r="A1903" s="68">
        <v>35469</v>
      </c>
      <c r="B1903" s="32">
        <v>1066.44</v>
      </c>
      <c r="C1903">
        <f t="shared" si="58"/>
        <v>1997</v>
      </c>
      <c r="H1903" s="85">
        <v>42808</v>
      </c>
      <c r="I1903">
        <v>2987.93</v>
      </c>
    </row>
    <row r="1904" spans="1:9">
      <c r="A1904" s="68">
        <v>35470</v>
      </c>
      <c r="B1904" s="33">
        <v>1066.44</v>
      </c>
      <c r="C1904">
        <f t="shared" si="58"/>
        <v>1997</v>
      </c>
      <c r="H1904" s="85">
        <v>42809</v>
      </c>
      <c r="I1904">
        <v>2997.73</v>
      </c>
    </row>
    <row r="1905" spans="1:9">
      <c r="A1905" s="68">
        <v>35471</v>
      </c>
      <c r="B1905" s="32">
        <v>1066.44</v>
      </c>
      <c r="C1905">
        <f t="shared" si="58"/>
        <v>1997</v>
      </c>
      <c r="H1905" s="85">
        <v>42810</v>
      </c>
      <c r="I1905">
        <v>2972.61</v>
      </c>
    </row>
    <row r="1906" spans="1:9">
      <c r="A1906" s="68">
        <v>35472</v>
      </c>
      <c r="B1906" s="33">
        <v>1074.25</v>
      </c>
      <c r="C1906">
        <f t="shared" si="58"/>
        <v>1997</v>
      </c>
      <c r="H1906" s="85">
        <v>42811</v>
      </c>
      <c r="I1906">
        <v>2923.96</v>
      </c>
    </row>
    <row r="1907" spans="1:9">
      <c r="A1907" s="68">
        <v>35473</v>
      </c>
      <c r="B1907" s="32">
        <v>1075.17</v>
      </c>
      <c r="C1907">
        <f t="shared" si="58"/>
        <v>1997</v>
      </c>
      <c r="H1907" s="85">
        <v>42812</v>
      </c>
      <c r="I1907">
        <v>2912.53</v>
      </c>
    </row>
    <row r="1908" spans="1:9">
      <c r="A1908" s="68">
        <v>35474</v>
      </c>
      <c r="B1908" s="33">
        <v>1075.51</v>
      </c>
      <c r="C1908">
        <f t="shared" si="58"/>
        <v>1997</v>
      </c>
      <c r="H1908" s="85">
        <v>42813</v>
      </c>
      <c r="I1908">
        <v>2912.53</v>
      </c>
    </row>
    <row r="1909" spans="1:9">
      <c r="A1909" s="68">
        <v>35475</v>
      </c>
      <c r="B1909" s="32">
        <v>1073.3599999999999</v>
      </c>
      <c r="C1909">
        <f t="shared" si="58"/>
        <v>1997</v>
      </c>
      <c r="H1909" s="85">
        <v>42814</v>
      </c>
      <c r="I1909">
        <v>2912.53</v>
      </c>
    </row>
    <row r="1910" spans="1:9">
      <c r="A1910" s="68">
        <v>35476</v>
      </c>
      <c r="B1910" s="33">
        <v>1075</v>
      </c>
      <c r="C1910">
        <f t="shared" si="58"/>
        <v>1997</v>
      </c>
      <c r="H1910" s="85">
        <v>42815</v>
      </c>
      <c r="I1910">
        <v>2912.53</v>
      </c>
    </row>
    <row r="1911" spans="1:9">
      <c r="A1911" s="68">
        <v>35477</v>
      </c>
      <c r="B1911" s="32">
        <v>1075</v>
      </c>
      <c r="C1911">
        <f t="shared" si="58"/>
        <v>1997</v>
      </c>
      <c r="H1911" s="85">
        <v>42816</v>
      </c>
      <c r="I1911">
        <v>2904.87</v>
      </c>
    </row>
    <row r="1912" spans="1:9">
      <c r="A1912" s="68">
        <v>35478</v>
      </c>
      <c r="B1912" s="33">
        <v>1075</v>
      </c>
      <c r="C1912">
        <f t="shared" si="58"/>
        <v>1997</v>
      </c>
      <c r="H1912" s="85">
        <v>42817</v>
      </c>
      <c r="I1912">
        <v>2936.82</v>
      </c>
    </row>
    <row r="1913" spans="1:9">
      <c r="A1913" s="68">
        <v>35479</v>
      </c>
      <c r="B1913" s="32">
        <v>1076.04</v>
      </c>
      <c r="C1913">
        <f t="shared" si="58"/>
        <v>1997</v>
      </c>
      <c r="H1913" s="85">
        <v>42818</v>
      </c>
      <c r="I1913">
        <v>2921.25</v>
      </c>
    </row>
    <row r="1914" spans="1:9">
      <c r="A1914" s="68">
        <v>35480</v>
      </c>
      <c r="B1914" s="33">
        <v>1075.1099999999999</v>
      </c>
      <c r="C1914">
        <f t="shared" si="58"/>
        <v>1997</v>
      </c>
      <c r="H1914" s="85">
        <v>42819</v>
      </c>
      <c r="I1914">
        <v>2899.94</v>
      </c>
    </row>
    <row r="1915" spans="1:9">
      <c r="A1915" s="68">
        <v>35481</v>
      </c>
      <c r="B1915" s="32">
        <v>1074.5</v>
      </c>
      <c r="C1915">
        <f t="shared" si="58"/>
        <v>1997</v>
      </c>
      <c r="H1915" s="85">
        <v>42820</v>
      </c>
      <c r="I1915">
        <v>2899.94</v>
      </c>
    </row>
    <row r="1916" spans="1:9">
      <c r="A1916" s="68">
        <v>35482</v>
      </c>
      <c r="B1916" s="33">
        <v>1074.0999999999999</v>
      </c>
      <c r="C1916">
        <f t="shared" si="58"/>
        <v>1997</v>
      </c>
      <c r="H1916" s="85">
        <v>42821</v>
      </c>
      <c r="I1916">
        <v>2899.94</v>
      </c>
    </row>
    <row r="1917" spans="1:9">
      <c r="A1917" s="68">
        <v>35483</v>
      </c>
      <c r="B1917" s="32">
        <v>1073.42</v>
      </c>
      <c r="C1917">
        <f t="shared" si="58"/>
        <v>1997</v>
      </c>
      <c r="H1917" s="85">
        <v>42822</v>
      </c>
      <c r="I1917">
        <v>2913.48</v>
      </c>
    </row>
    <row r="1918" spans="1:9">
      <c r="A1918" s="68">
        <v>35484</v>
      </c>
      <c r="B1918" s="33">
        <v>1073.42</v>
      </c>
      <c r="C1918">
        <f t="shared" si="58"/>
        <v>1997</v>
      </c>
      <c r="H1918" s="85">
        <v>42823</v>
      </c>
      <c r="I1918">
        <v>2911.99</v>
      </c>
    </row>
    <row r="1919" spans="1:9">
      <c r="A1919" s="68">
        <v>35485</v>
      </c>
      <c r="B1919" s="32">
        <v>1073.42</v>
      </c>
      <c r="C1919">
        <f t="shared" si="58"/>
        <v>1997</v>
      </c>
      <c r="H1919" s="85">
        <v>42824</v>
      </c>
      <c r="I1919">
        <v>2888.02</v>
      </c>
    </row>
    <row r="1920" spans="1:9">
      <c r="A1920" s="68">
        <v>35486</v>
      </c>
      <c r="B1920" s="33">
        <v>1078.23</v>
      </c>
      <c r="C1920">
        <f t="shared" si="58"/>
        <v>1997</v>
      </c>
      <c r="H1920" s="85">
        <v>42825</v>
      </c>
      <c r="I1920">
        <v>2880.24</v>
      </c>
    </row>
    <row r="1921" spans="1:9">
      <c r="A1921" s="68">
        <v>35487</v>
      </c>
      <c r="B1921" s="32">
        <v>1084.0899999999999</v>
      </c>
      <c r="C1921">
        <f t="shared" si="58"/>
        <v>1997</v>
      </c>
      <c r="H1921" s="85">
        <v>42826</v>
      </c>
      <c r="I1921">
        <v>2885.57</v>
      </c>
    </row>
    <row r="1922" spans="1:9">
      <c r="A1922" s="68">
        <v>35488</v>
      </c>
      <c r="B1922" s="33">
        <v>1080.93</v>
      </c>
      <c r="C1922">
        <f t="shared" si="58"/>
        <v>1997</v>
      </c>
      <c r="H1922" s="85">
        <v>42827</v>
      </c>
      <c r="I1922">
        <v>2885.57</v>
      </c>
    </row>
    <row r="1923" spans="1:9">
      <c r="A1923" s="68">
        <v>35489</v>
      </c>
      <c r="B1923" s="32">
        <v>1080.51</v>
      </c>
      <c r="C1923">
        <f t="shared" si="58"/>
        <v>1997</v>
      </c>
      <c r="H1923" s="85">
        <v>42828</v>
      </c>
      <c r="I1923">
        <v>2885.57</v>
      </c>
    </row>
    <row r="1924" spans="1:9">
      <c r="A1924" s="68">
        <v>35490</v>
      </c>
      <c r="B1924" s="33">
        <v>1077.07</v>
      </c>
      <c r="C1924">
        <f t="shared" ref="C1924:C1987" si="60">YEAR(A1924)</f>
        <v>1997</v>
      </c>
      <c r="H1924" s="85">
        <v>42829</v>
      </c>
      <c r="I1924">
        <v>2866.87</v>
      </c>
    </row>
    <row r="1925" spans="1:9">
      <c r="A1925" s="68">
        <v>35491</v>
      </c>
      <c r="B1925" s="32">
        <v>1077.07</v>
      </c>
      <c r="C1925">
        <f t="shared" si="60"/>
        <v>1997</v>
      </c>
      <c r="H1925" s="85">
        <v>42830</v>
      </c>
      <c r="I1925">
        <v>2869.32</v>
      </c>
    </row>
    <row r="1926" spans="1:9">
      <c r="A1926" s="68">
        <v>35492</v>
      </c>
      <c r="B1926" s="33">
        <v>1077.07</v>
      </c>
      <c r="C1926">
        <f t="shared" si="60"/>
        <v>1997</v>
      </c>
      <c r="H1926" s="85">
        <v>42831</v>
      </c>
      <c r="I1926">
        <v>2857.65</v>
      </c>
    </row>
    <row r="1927" spans="1:9">
      <c r="A1927" s="68">
        <v>35493</v>
      </c>
      <c r="B1927" s="32">
        <v>1075.8599999999999</v>
      </c>
      <c r="C1927">
        <f t="shared" si="60"/>
        <v>1997</v>
      </c>
      <c r="H1927" s="85">
        <v>42832</v>
      </c>
      <c r="I1927">
        <v>2853.1</v>
      </c>
    </row>
    <row r="1928" spans="1:9">
      <c r="A1928" s="68">
        <v>35494</v>
      </c>
      <c r="B1928" s="33">
        <v>1067.77</v>
      </c>
      <c r="C1928">
        <f t="shared" si="60"/>
        <v>1997</v>
      </c>
      <c r="H1928" s="85">
        <v>42833</v>
      </c>
      <c r="I1928">
        <v>2858</v>
      </c>
    </row>
    <row r="1929" spans="1:9">
      <c r="A1929" s="68">
        <v>35495</v>
      </c>
      <c r="B1929" s="32">
        <v>1063.44</v>
      </c>
      <c r="C1929">
        <f t="shared" si="60"/>
        <v>1997</v>
      </c>
      <c r="H1929" s="85">
        <v>42834</v>
      </c>
      <c r="I1929">
        <v>2858</v>
      </c>
    </row>
    <row r="1930" spans="1:9">
      <c r="A1930" s="68">
        <v>35496</v>
      </c>
      <c r="B1930" s="33">
        <v>1057.58</v>
      </c>
      <c r="C1930">
        <f t="shared" si="60"/>
        <v>1997</v>
      </c>
      <c r="H1930" s="85">
        <v>42835</v>
      </c>
      <c r="I1930">
        <v>2858</v>
      </c>
    </row>
    <row r="1931" spans="1:9">
      <c r="A1931" s="68">
        <v>35497</v>
      </c>
      <c r="B1931" s="32">
        <v>1054.05</v>
      </c>
      <c r="C1931">
        <f t="shared" si="60"/>
        <v>1997</v>
      </c>
      <c r="H1931" s="85">
        <v>42836</v>
      </c>
      <c r="I1931">
        <v>2867.13</v>
      </c>
    </row>
    <row r="1932" spans="1:9">
      <c r="A1932" s="68">
        <v>35498</v>
      </c>
      <c r="B1932" s="33">
        <v>1054.05</v>
      </c>
      <c r="C1932">
        <f t="shared" si="60"/>
        <v>1997</v>
      </c>
      <c r="H1932" s="85">
        <v>42837</v>
      </c>
      <c r="I1932">
        <v>2868.6</v>
      </c>
    </row>
    <row r="1933" spans="1:9">
      <c r="A1933" s="68">
        <v>35499</v>
      </c>
      <c r="B1933" s="32">
        <v>1054.05</v>
      </c>
      <c r="C1933">
        <f t="shared" si="60"/>
        <v>1997</v>
      </c>
      <c r="H1933" s="85">
        <v>42838</v>
      </c>
      <c r="I1933">
        <v>2872.55</v>
      </c>
    </row>
    <row r="1934" spans="1:9">
      <c r="A1934" s="68">
        <v>35500</v>
      </c>
      <c r="B1934" s="33">
        <v>1056.92</v>
      </c>
      <c r="C1934">
        <f t="shared" si="60"/>
        <v>1997</v>
      </c>
      <c r="H1934" s="85">
        <v>42839</v>
      </c>
      <c r="I1934">
        <v>2872.55</v>
      </c>
    </row>
    <row r="1935" spans="1:9">
      <c r="A1935" s="68">
        <v>35501</v>
      </c>
      <c r="B1935" s="32">
        <v>1062.73</v>
      </c>
      <c r="C1935">
        <f t="shared" si="60"/>
        <v>1997</v>
      </c>
      <c r="H1935" s="85">
        <v>42840</v>
      </c>
      <c r="I1935">
        <v>2872.55</v>
      </c>
    </row>
    <row r="1936" spans="1:9">
      <c r="A1936" s="68">
        <v>35502</v>
      </c>
      <c r="B1936" s="33">
        <v>1063.33</v>
      </c>
      <c r="C1936">
        <f t="shared" si="60"/>
        <v>1997</v>
      </c>
      <c r="H1936" s="85">
        <v>42841</v>
      </c>
      <c r="I1936">
        <v>2872.55</v>
      </c>
    </row>
    <row r="1937" spans="1:9">
      <c r="A1937" s="68">
        <v>35503</v>
      </c>
      <c r="B1937" s="32">
        <v>1060.3499999999999</v>
      </c>
      <c r="C1937">
        <f t="shared" si="60"/>
        <v>1997</v>
      </c>
      <c r="H1937" s="85">
        <v>42842</v>
      </c>
      <c r="I1937">
        <v>2872.55</v>
      </c>
    </row>
    <row r="1938" spans="1:9">
      <c r="A1938" s="68">
        <v>35504</v>
      </c>
      <c r="B1938" s="33">
        <v>1060.8599999999999</v>
      </c>
      <c r="C1938">
        <f t="shared" si="60"/>
        <v>1997</v>
      </c>
      <c r="H1938" s="85">
        <v>42843</v>
      </c>
      <c r="I1938">
        <v>2854.89</v>
      </c>
    </row>
    <row r="1939" spans="1:9">
      <c r="A1939" s="68">
        <v>35505</v>
      </c>
      <c r="B1939" s="32">
        <v>1060.8599999999999</v>
      </c>
      <c r="C1939">
        <f t="shared" si="60"/>
        <v>1997</v>
      </c>
      <c r="H1939" s="85">
        <v>42844</v>
      </c>
      <c r="I1939">
        <v>2837.9</v>
      </c>
    </row>
    <row r="1940" spans="1:9">
      <c r="A1940" s="68">
        <v>35506</v>
      </c>
      <c r="B1940" s="33">
        <v>1060.8599999999999</v>
      </c>
      <c r="C1940">
        <f t="shared" si="60"/>
        <v>1997</v>
      </c>
      <c r="H1940" s="85">
        <v>42845</v>
      </c>
      <c r="I1940">
        <v>2856.48</v>
      </c>
    </row>
    <row r="1941" spans="1:9">
      <c r="A1941" s="68">
        <v>35507</v>
      </c>
      <c r="B1941" s="32">
        <v>1059.8699999999999</v>
      </c>
      <c r="C1941">
        <f t="shared" si="60"/>
        <v>1997</v>
      </c>
      <c r="H1941" s="85">
        <v>42846</v>
      </c>
      <c r="I1941">
        <v>2863.39</v>
      </c>
    </row>
    <row r="1942" spans="1:9">
      <c r="A1942" s="68">
        <v>35508</v>
      </c>
      <c r="B1942" s="33">
        <v>1058.6099999999999</v>
      </c>
      <c r="C1942">
        <f t="shared" si="60"/>
        <v>1997</v>
      </c>
      <c r="H1942" s="85">
        <v>42847</v>
      </c>
      <c r="I1942">
        <v>2868.89</v>
      </c>
    </row>
    <row r="1943" spans="1:9">
      <c r="A1943" s="68">
        <v>35509</v>
      </c>
      <c r="B1943" s="32">
        <v>1060.31</v>
      </c>
      <c r="C1943">
        <f t="shared" si="60"/>
        <v>1997</v>
      </c>
      <c r="H1943" s="85">
        <v>42848</v>
      </c>
      <c r="I1943">
        <v>2868.89</v>
      </c>
    </row>
    <row r="1944" spans="1:9">
      <c r="A1944" s="68">
        <v>35510</v>
      </c>
      <c r="B1944" s="33">
        <v>1060.6600000000001</v>
      </c>
      <c r="C1944">
        <f t="shared" si="60"/>
        <v>1997</v>
      </c>
      <c r="H1944" s="85">
        <v>42849</v>
      </c>
      <c r="I1944">
        <v>2868.89</v>
      </c>
    </row>
    <row r="1945" spans="1:9">
      <c r="A1945" s="68">
        <v>35511</v>
      </c>
      <c r="B1945" s="32">
        <v>1060.03</v>
      </c>
      <c r="C1945">
        <f t="shared" si="60"/>
        <v>1997</v>
      </c>
      <c r="H1945" s="85">
        <v>42850</v>
      </c>
      <c r="I1945">
        <v>2871.98</v>
      </c>
    </row>
    <row r="1946" spans="1:9">
      <c r="A1946" s="68">
        <v>35512</v>
      </c>
      <c r="B1946" s="33">
        <v>1060.03</v>
      </c>
      <c r="C1946">
        <f t="shared" si="60"/>
        <v>1997</v>
      </c>
      <c r="H1946" s="85">
        <v>42851</v>
      </c>
      <c r="I1946">
        <v>2899.13</v>
      </c>
    </row>
    <row r="1947" spans="1:9">
      <c r="A1947" s="68">
        <v>35513</v>
      </c>
      <c r="B1947" s="32">
        <v>1060.03</v>
      </c>
      <c r="C1947">
        <f t="shared" si="60"/>
        <v>1997</v>
      </c>
      <c r="H1947" s="85">
        <v>42852</v>
      </c>
      <c r="I1947">
        <v>2928.07</v>
      </c>
    </row>
    <row r="1948" spans="1:9">
      <c r="A1948" s="68">
        <v>35514</v>
      </c>
      <c r="B1948" s="33">
        <v>1060.03</v>
      </c>
      <c r="C1948">
        <f t="shared" si="60"/>
        <v>1997</v>
      </c>
      <c r="H1948" s="85">
        <v>42853</v>
      </c>
      <c r="I1948">
        <v>2944.31</v>
      </c>
    </row>
    <row r="1949" spans="1:9">
      <c r="A1949" s="68">
        <v>35515</v>
      </c>
      <c r="B1949" s="32">
        <v>1059.53</v>
      </c>
      <c r="C1949">
        <f t="shared" si="60"/>
        <v>1997</v>
      </c>
      <c r="H1949" s="85">
        <v>42854</v>
      </c>
      <c r="I1949">
        <v>2947.85</v>
      </c>
    </row>
    <row r="1950" spans="1:9">
      <c r="A1950" s="68">
        <v>35516</v>
      </c>
      <c r="B1950" s="33">
        <v>1059.8800000000001</v>
      </c>
      <c r="C1950">
        <f t="shared" si="60"/>
        <v>1997</v>
      </c>
      <c r="H1950" s="85">
        <v>42855</v>
      </c>
      <c r="I1950">
        <v>2947.85</v>
      </c>
    </row>
    <row r="1951" spans="1:9">
      <c r="A1951" s="68">
        <v>35517</v>
      </c>
      <c r="B1951" s="32">
        <v>1059.8800000000001</v>
      </c>
      <c r="C1951">
        <f t="shared" si="60"/>
        <v>1997</v>
      </c>
      <c r="H1951" s="85">
        <v>42856</v>
      </c>
      <c r="I1951">
        <v>2947.85</v>
      </c>
    </row>
    <row r="1952" spans="1:9">
      <c r="A1952" s="68">
        <v>35518</v>
      </c>
      <c r="B1952" s="33">
        <v>1059.8800000000001</v>
      </c>
      <c r="C1952">
        <f t="shared" si="60"/>
        <v>1997</v>
      </c>
      <c r="H1952" s="85">
        <v>42857</v>
      </c>
      <c r="I1952">
        <v>2947.85</v>
      </c>
    </row>
    <row r="1953" spans="1:9">
      <c r="A1953" s="68">
        <v>35519</v>
      </c>
      <c r="B1953" s="32">
        <v>1059.8800000000001</v>
      </c>
      <c r="C1953">
        <f t="shared" si="60"/>
        <v>1997</v>
      </c>
      <c r="H1953" s="85">
        <v>42858</v>
      </c>
      <c r="I1953">
        <v>2945.53</v>
      </c>
    </row>
    <row r="1954" spans="1:9">
      <c r="A1954" s="68">
        <v>35520</v>
      </c>
      <c r="B1954" s="33">
        <v>1059.8800000000001</v>
      </c>
      <c r="C1954">
        <f t="shared" si="60"/>
        <v>1997</v>
      </c>
      <c r="H1954" s="85">
        <v>42859</v>
      </c>
      <c r="I1954">
        <v>2930.17</v>
      </c>
    </row>
    <row r="1955" spans="1:9">
      <c r="A1955" s="68">
        <v>35521</v>
      </c>
      <c r="B1955" s="32">
        <v>1060.93</v>
      </c>
      <c r="C1955">
        <f t="shared" si="60"/>
        <v>1997</v>
      </c>
      <c r="H1955" s="85">
        <v>42860</v>
      </c>
      <c r="I1955">
        <v>2967.44</v>
      </c>
    </row>
    <row r="1956" spans="1:9">
      <c r="A1956" s="68">
        <v>35522</v>
      </c>
      <c r="B1956" s="33">
        <v>1061.98</v>
      </c>
      <c r="C1956">
        <f t="shared" si="60"/>
        <v>1997</v>
      </c>
      <c r="H1956" s="85">
        <v>42861</v>
      </c>
      <c r="I1956">
        <v>2961.78</v>
      </c>
    </row>
    <row r="1957" spans="1:9">
      <c r="A1957" s="68">
        <v>35523</v>
      </c>
      <c r="B1957" s="32">
        <v>1061.95</v>
      </c>
      <c r="C1957">
        <f t="shared" si="60"/>
        <v>1997</v>
      </c>
      <c r="H1957" s="85">
        <v>42862</v>
      </c>
      <c r="I1957">
        <v>2961.78</v>
      </c>
    </row>
    <row r="1958" spans="1:9">
      <c r="A1958" s="68">
        <v>35524</v>
      </c>
      <c r="B1958" s="33">
        <v>1062.46</v>
      </c>
      <c r="C1958">
        <f t="shared" si="60"/>
        <v>1997</v>
      </c>
      <c r="H1958" s="85">
        <v>42863</v>
      </c>
      <c r="I1958">
        <v>2961.78</v>
      </c>
    </row>
    <row r="1959" spans="1:9">
      <c r="A1959" s="68">
        <v>35525</v>
      </c>
      <c r="B1959" s="32">
        <v>1062.58</v>
      </c>
      <c r="C1959">
        <f t="shared" si="60"/>
        <v>1997</v>
      </c>
      <c r="H1959" s="85">
        <v>42864</v>
      </c>
      <c r="I1959">
        <v>2959.26</v>
      </c>
    </row>
    <row r="1960" spans="1:9">
      <c r="A1960" s="68">
        <v>35526</v>
      </c>
      <c r="B1960" s="33">
        <v>1062.58</v>
      </c>
      <c r="C1960">
        <f t="shared" si="60"/>
        <v>1997</v>
      </c>
      <c r="H1960" s="85">
        <v>42865</v>
      </c>
      <c r="I1960">
        <v>2967.24</v>
      </c>
    </row>
    <row r="1961" spans="1:9">
      <c r="A1961" s="68">
        <v>35527</v>
      </c>
      <c r="B1961" s="32">
        <v>1062.58</v>
      </c>
      <c r="C1961">
        <f t="shared" si="60"/>
        <v>1997</v>
      </c>
      <c r="H1961" s="85">
        <v>42866</v>
      </c>
      <c r="I1961">
        <v>2949.35</v>
      </c>
    </row>
    <row r="1962" spans="1:9">
      <c r="A1962" s="68">
        <v>35528</v>
      </c>
      <c r="B1962" s="33">
        <v>1063.3</v>
      </c>
      <c r="C1962">
        <f t="shared" si="60"/>
        <v>1997</v>
      </c>
      <c r="H1962" s="85">
        <v>42867</v>
      </c>
      <c r="I1962">
        <v>2933.92</v>
      </c>
    </row>
    <row r="1963" spans="1:9">
      <c r="A1963" s="68">
        <v>35529</v>
      </c>
      <c r="B1963" s="32">
        <v>1062.67</v>
      </c>
      <c r="C1963">
        <f t="shared" si="60"/>
        <v>1997</v>
      </c>
      <c r="H1963" s="85">
        <v>42868</v>
      </c>
      <c r="I1963">
        <v>2918.69</v>
      </c>
    </row>
    <row r="1964" spans="1:9">
      <c r="A1964" s="68">
        <v>35530</v>
      </c>
      <c r="B1964" s="33">
        <v>1062.78</v>
      </c>
      <c r="C1964">
        <f t="shared" si="60"/>
        <v>1997</v>
      </c>
      <c r="H1964" s="85">
        <v>42869</v>
      </c>
      <c r="I1964">
        <v>2918.69</v>
      </c>
    </row>
    <row r="1965" spans="1:9">
      <c r="A1965" s="68">
        <v>35531</v>
      </c>
      <c r="B1965" s="32">
        <v>1060.71</v>
      </c>
      <c r="C1965">
        <f t="shared" si="60"/>
        <v>1997</v>
      </c>
      <c r="H1965" s="85">
        <v>42870</v>
      </c>
      <c r="I1965">
        <v>2918.69</v>
      </c>
    </row>
    <row r="1966" spans="1:9">
      <c r="A1966" s="68">
        <v>35532</v>
      </c>
      <c r="B1966" s="33">
        <v>1058.76</v>
      </c>
      <c r="C1966">
        <f t="shared" si="60"/>
        <v>1997</v>
      </c>
      <c r="H1966" s="85">
        <v>42871</v>
      </c>
      <c r="I1966">
        <v>2883.87</v>
      </c>
    </row>
    <row r="1967" spans="1:9">
      <c r="A1967" s="68">
        <v>35533</v>
      </c>
      <c r="B1967" s="32">
        <v>1058.76</v>
      </c>
      <c r="C1967">
        <f t="shared" si="60"/>
        <v>1997</v>
      </c>
      <c r="H1967" s="85">
        <v>42872</v>
      </c>
      <c r="I1967">
        <v>2873.22</v>
      </c>
    </row>
    <row r="1968" spans="1:9">
      <c r="A1968" s="68">
        <v>35534</v>
      </c>
      <c r="B1968" s="33">
        <v>1058.76</v>
      </c>
      <c r="C1968">
        <f t="shared" si="60"/>
        <v>1997</v>
      </c>
      <c r="H1968" s="85">
        <v>42873</v>
      </c>
      <c r="I1968">
        <v>2893.4</v>
      </c>
    </row>
    <row r="1969" spans="1:9">
      <c r="A1969" s="68">
        <v>35535</v>
      </c>
      <c r="B1969" s="32">
        <v>1058.73</v>
      </c>
      <c r="C1969">
        <f t="shared" si="60"/>
        <v>1997</v>
      </c>
      <c r="H1969" s="85">
        <v>42874</v>
      </c>
      <c r="I1969">
        <v>2932.16</v>
      </c>
    </row>
    <row r="1970" spans="1:9">
      <c r="A1970" s="68">
        <v>35536</v>
      </c>
      <c r="B1970" s="33">
        <v>1058.97</v>
      </c>
      <c r="C1970">
        <f t="shared" si="60"/>
        <v>1997</v>
      </c>
      <c r="H1970" s="85">
        <v>42875</v>
      </c>
      <c r="I1970">
        <v>2889.45</v>
      </c>
    </row>
    <row r="1971" spans="1:9">
      <c r="A1971" s="68">
        <v>35537</v>
      </c>
      <c r="B1971" s="32">
        <v>1056.9100000000001</v>
      </c>
      <c r="C1971">
        <f t="shared" si="60"/>
        <v>1997</v>
      </c>
      <c r="H1971" s="85">
        <v>42876</v>
      </c>
      <c r="I1971">
        <v>2889.45</v>
      </c>
    </row>
    <row r="1972" spans="1:9">
      <c r="A1972" s="68">
        <v>35538</v>
      </c>
      <c r="B1972" s="33">
        <v>1054.3499999999999</v>
      </c>
      <c r="C1972">
        <f t="shared" si="60"/>
        <v>1997</v>
      </c>
      <c r="H1972" s="85">
        <v>42877</v>
      </c>
      <c r="I1972">
        <v>2889.45</v>
      </c>
    </row>
    <row r="1973" spans="1:9">
      <c r="A1973" s="68">
        <v>35539</v>
      </c>
      <c r="B1973" s="32">
        <v>1051.43</v>
      </c>
      <c r="C1973">
        <f t="shared" si="60"/>
        <v>1997</v>
      </c>
      <c r="H1973" s="85">
        <v>42878</v>
      </c>
      <c r="I1973">
        <v>2895.12</v>
      </c>
    </row>
    <row r="1974" spans="1:9">
      <c r="A1974" s="68">
        <v>35540</v>
      </c>
      <c r="B1974" s="33">
        <v>1051.43</v>
      </c>
      <c r="C1974">
        <f t="shared" si="60"/>
        <v>1997</v>
      </c>
      <c r="H1974" s="85">
        <v>42879</v>
      </c>
      <c r="I1974">
        <v>2904.61</v>
      </c>
    </row>
    <row r="1975" spans="1:9">
      <c r="A1975" s="68">
        <v>35541</v>
      </c>
      <c r="B1975" s="32">
        <v>1051.43</v>
      </c>
      <c r="C1975">
        <f t="shared" si="60"/>
        <v>1997</v>
      </c>
      <c r="H1975" s="85">
        <v>42880</v>
      </c>
      <c r="I1975">
        <v>2905.29</v>
      </c>
    </row>
    <row r="1976" spans="1:9">
      <c r="A1976" s="68">
        <v>35542</v>
      </c>
      <c r="B1976" s="33">
        <v>1054.94</v>
      </c>
      <c r="C1976">
        <f t="shared" si="60"/>
        <v>1997</v>
      </c>
      <c r="H1976" s="85">
        <v>42881</v>
      </c>
      <c r="I1976">
        <v>2911.66</v>
      </c>
    </row>
    <row r="1977" spans="1:9">
      <c r="A1977" s="68">
        <v>35543</v>
      </c>
      <c r="B1977" s="32">
        <v>1057.6400000000001</v>
      </c>
      <c r="C1977">
        <f t="shared" si="60"/>
        <v>1997</v>
      </c>
      <c r="H1977" s="85">
        <v>42882</v>
      </c>
      <c r="I1977">
        <v>2913.47</v>
      </c>
    </row>
    <row r="1978" spans="1:9">
      <c r="A1978" s="68">
        <v>35544</v>
      </c>
      <c r="B1978" s="33">
        <v>1065.48</v>
      </c>
      <c r="C1978">
        <f t="shared" si="60"/>
        <v>1997</v>
      </c>
      <c r="H1978" s="85">
        <v>42883</v>
      </c>
      <c r="I1978">
        <v>2913.47</v>
      </c>
    </row>
    <row r="1979" spans="1:9">
      <c r="A1979" s="68">
        <v>35545</v>
      </c>
      <c r="B1979" s="32">
        <v>1066.77</v>
      </c>
      <c r="C1979">
        <f t="shared" si="60"/>
        <v>1997</v>
      </c>
      <c r="H1979" s="85">
        <v>42884</v>
      </c>
      <c r="I1979">
        <v>2913.47</v>
      </c>
    </row>
    <row r="1980" spans="1:9">
      <c r="A1980" s="68">
        <v>35546</v>
      </c>
      <c r="B1980" s="33">
        <v>1063.83</v>
      </c>
      <c r="C1980">
        <f t="shared" si="60"/>
        <v>1997</v>
      </c>
      <c r="H1980" s="85">
        <v>42885</v>
      </c>
      <c r="I1980">
        <v>2913.47</v>
      </c>
    </row>
    <row r="1981" spans="1:9">
      <c r="A1981" s="68">
        <v>35547</v>
      </c>
      <c r="B1981" s="32">
        <v>1063.83</v>
      </c>
      <c r="C1981">
        <f t="shared" si="60"/>
        <v>1997</v>
      </c>
      <c r="H1981" s="85">
        <v>42886</v>
      </c>
      <c r="I1981">
        <v>2920.42</v>
      </c>
    </row>
    <row r="1982" spans="1:9">
      <c r="A1982" s="68">
        <v>35548</v>
      </c>
      <c r="B1982" s="33">
        <v>1063.83</v>
      </c>
      <c r="C1982">
        <f t="shared" si="60"/>
        <v>1997</v>
      </c>
      <c r="H1982" s="85">
        <v>42887</v>
      </c>
      <c r="I1982">
        <v>2921</v>
      </c>
    </row>
    <row r="1983" spans="1:9">
      <c r="A1983" s="68">
        <v>35549</v>
      </c>
      <c r="B1983" s="32">
        <v>1064</v>
      </c>
      <c r="C1983">
        <f t="shared" si="60"/>
        <v>1997</v>
      </c>
      <c r="H1983" s="85">
        <v>42888</v>
      </c>
      <c r="I1983">
        <v>2895.73</v>
      </c>
    </row>
    <row r="1984" spans="1:9">
      <c r="A1984" s="68">
        <v>35550</v>
      </c>
      <c r="B1984" s="33">
        <v>1063.1099999999999</v>
      </c>
      <c r="C1984">
        <f t="shared" si="60"/>
        <v>1997</v>
      </c>
      <c r="H1984" s="85">
        <v>42889</v>
      </c>
      <c r="I1984">
        <v>2894.72</v>
      </c>
    </row>
    <row r="1985" spans="1:9">
      <c r="A1985" s="68">
        <v>35551</v>
      </c>
      <c r="B1985" s="32">
        <v>1064.01</v>
      </c>
      <c r="C1985">
        <f t="shared" si="60"/>
        <v>1997</v>
      </c>
      <c r="H1985" s="85">
        <v>42890</v>
      </c>
      <c r="I1985">
        <v>2894.72</v>
      </c>
    </row>
    <row r="1986" spans="1:9">
      <c r="A1986" s="68">
        <v>35552</v>
      </c>
      <c r="B1986" s="33">
        <v>1064.01</v>
      </c>
      <c r="C1986">
        <f t="shared" si="60"/>
        <v>1997</v>
      </c>
      <c r="H1986" s="85">
        <v>42891</v>
      </c>
      <c r="I1986">
        <v>2894.72</v>
      </c>
    </row>
    <row r="1987" spans="1:9">
      <c r="A1987" s="68">
        <v>35553</v>
      </c>
      <c r="B1987" s="32">
        <v>1068.53</v>
      </c>
      <c r="C1987">
        <f t="shared" si="60"/>
        <v>1997</v>
      </c>
      <c r="H1987" s="85">
        <v>42892</v>
      </c>
      <c r="I1987">
        <v>2895.85</v>
      </c>
    </row>
    <row r="1988" spans="1:9">
      <c r="A1988" s="68">
        <v>35554</v>
      </c>
      <c r="B1988" s="33">
        <v>1068.53</v>
      </c>
      <c r="C1988">
        <f t="shared" ref="C1988:C2051" si="61">YEAR(A1988)</f>
        <v>1997</v>
      </c>
      <c r="H1988" s="85">
        <v>42893</v>
      </c>
      <c r="I1988">
        <v>2893.76</v>
      </c>
    </row>
    <row r="1989" spans="1:9">
      <c r="A1989" s="68">
        <v>35555</v>
      </c>
      <c r="B1989" s="32">
        <v>1068.53</v>
      </c>
      <c r="C1989">
        <f t="shared" si="61"/>
        <v>1997</v>
      </c>
      <c r="H1989" s="85">
        <v>42894</v>
      </c>
      <c r="I1989">
        <v>2907.1</v>
      </c>
    </row>
    <row r="1990" spans="1:9">
      <c r="A1990" s="68">
        <v>35556</v>
      </c>
      <c r="B1990" s="33">
        <v>1076.3900000000001</v>
      </c>
      <c r="C1990">
        <f t="shared" si="61"/>
        <v>1997</v>
      </c>
      <c r="H1990" s="85">
        <v>42895</v>
      </c>
      <c r="I1990">
        <v>2919.82</v>
      </c>
    </row>
    <row r="1991" spans="1:9">
      <c r="A1991" s="68">
        <v>35557</v>
      </c>
      <c r="B1991" s="32">
        <v>1080.48</v>
      </c>
      <c r="C1991">
        <f t="shared" si="61"/>
        <v>1997</v>
      </c>
      <c r="H1991" s="85">
        <v>42896</v>
      </c>
      <c r="I1991">
        <v>2919.58</v>
      </c>
    </row>
    <row r="1992" spans="1:9">
      <c r="A1992" s="68">
        <v>35558</v>
      </c>
      <c r="B1992" s="33">
        <v>1075.05</v>
      </c>
      <c r="C1992">
        <f t="shared" si="61"/>
        <v>1997</v>
      </c>
      <c r="H1992" s="85">
        <v>42897</v>
      </c>
      <c r="I1992">
        <v>2919.58</v>
      </c>
    </row>
    <row r="1993" spans="1:9">
      <c r="A1993" s="68">
        <v>35559</v>
      </c>
      <c r="B1993" s="32">
        <v>1073.77</v>
      </c>
      <c r="C1993">
        <f t="shared" si="61"/>
        <v>1997</v>
      </c>
      <c r="H1993" s="85">
        <v>42898</v>
      </c>
      <c r="I1993">
        <v>2919.58</v>
      </c>
    </row>
    <row r="1994" spans="1:9">
      <c r="A1994" s="68">
        <v>35560</v>
      </c>
      <c r="B1994" s="33">
        <v>1076.93</v>
      </c>
      <c r="C1994">
        <f t="shared" si="61"/>
        <v>1997</v>
      </c>
      <c r="H1994" s="85">
        <v>42899</v>
      </c>
      <c r="I1994">
        <v>2929.2</v>
      </c>
    </row>
    <row r="1995" spans="1:9">
      <c r="A1995" s="68">
        <v>35561</v>
      </c>
      <c r="B1995" s="32">
        <v>1076.93</v>
      </c>
      <c r="C1995">
        <f t="shared" si="61"/>
        <v>1997</v>
      </c>
      <c r="H1995" s="85">
        <v>42900</v>
      </c>
      <c r="I1995">
        <v>2933.13</v>
      </c>
    </row>
    <row r="1996" spans="1:9">
      <c r="A1996" s="68">
        <v>35562</v>
      </c>
      <c r="B1996" s="33">
        <v>1076.93</v>
      </c>
      <c r="C1996">
        <f t="shared" si="61"/>
        <v>1997</v>
      </c>
      <c r="H1996" s="85">
        <v>42901</v>
      </c>
      <c r="I1996">
        <v>2924.75</v>
      </c>
    </row>
    <row r="1997" spans="1:9">
      <c r="A1997" s="68">
        <v>35563</v>
      </c>
      <c r="B1997" s="32">
        <v>1076.93</v>
      </c>
      <c r="C1997">
        <f t="shared" si="61"/>
        <v>1997</v>
      </c>
      <c r="H1997" s="85">
        <v>42902</v>
      </c>
      <c r="I1997">
        <v>2953.83</v>
      </c>
    </row>
    <row r="1998" spans="1:9">
      <c r="A1998" s="68">
        <v>35564</v>
      </c>
      <c r="B1998" s="33">
        <v>1077.3599999999999</v>
      </c>
      <c r="C1998">
        <f t="shared" si="61"/>
        <v>1997</v>
      </c>
      <c r="H1998" s="85">
        <v>42903</v>
      </c>
      <c r="I1998">
        <v>2961.68</v>
      </c>
    </row>
    <row r="1999" spans="1:9">
      <c r="A1999" s="68">
        <v>35565</v>
      </c>
      <c r="B1999" s="32">
        <v>1074.43</v>
      </c>
      <c r="C1999">
        <f t="shared" si="61"/>
        <v>1997</v>
      </c>
      <c r="H1999" s="85">
        <v>42904</v>
      </c>
      <c r="I1999">
        <v>2961.68</v>
      </c>
    </row>
    <row r="2000" spans="1:9">
      <c r="A2000" s="68">
        <v>35566</v>
      </c>
      <c r="B2000" s="33">
        <v>1074.52</v>
      </c>
      <c r="C2000">
        <f t="shared" si="61"/>
        <v>1997</v>
      </c>
      <c r="H2000" s="85">
        <v>42905</v>
      </c>
      <c r="I2000">
        <v>2961.68</v>
      </c>
    </row>
    <row r="2001" spans="1:9">
      <c r="A2001" s="68">
        <v>35567</v>
      </c>
      <c r="B2001" s="32">
        <v>1072.24</v>
      </c>
      <c r="C2001">
        <f t="shared" si="61"/>
        <v>1997</v>
      </c>
      <c r="H2001" s="85">
        <v>42906</v>
      </c>
      <c r="I2001">
        <v>2961.68</v>
      </c>
    </row>
    <row r="2002" spans="1:9">
      <c r="A2002" s="68">
        <v>35568</v>
      </c>
      <c r="B2002" s="33">
        <v>1072.24</v>
      </c>
      <c r="C2002">
        <f t="shared" si="61"/>
        <v>1997</v>
      </c>
      <c r="H2002" s="85">
        <v>42907</v>
      </c>
      <c r="I2002">
        <v>3029.53</v>
      </c>
    </row>
    <row r="2003" spans="1:9">
      <c r="A2003" s="68">
        <v>35569</v>
      </c>
      <c r="B2003" s="32">
        <v>1072.24</v>
      </c>
      <c r="C2003">
        <f t="shared" si="61"/>
        <v>1997</v>
      </c>
      <c r="H2003" s="85">
        <v>42908</v>
      </c>
      <c r="I2003">
        <v>3053.9</v>
      </c>
    </row>
    <row r="2004" spans="1:9">
      <c r="A2004" s="68">
        <v>35570</v>
      </c>
      <c r="B2004" s="33">
        <v>1073.54</v>
      </c>
      <c r="C2004">
        <f t="shared" si="61"/>
        <v>1997</v>
      </c>
      <c r="H2004" s="85">
        <v>42909</v>
      </c>
      <c r="I2004">
        <v>3035.83</v>
      </c>
    </row>
    <row r="2005" spans="1:9">
      <c r="A2005" s="68">
        <v>35571</v>
      </c>
      <c r="B2005" s="32">
        <v>1075.2</v>
      </c>
      <c r="C2005">
        <f t="shared" si="61"/>
        <v>1997</v>
      </c>
      <c r="H2005" s="85">
        <v>42910</v>
      </c>
      <c r="I2005">
        <v>3010.68</v>
      </c>
    </row>
    <row r="2006" spans="1:9">
      <c r="A2006" s="68">
        <v>35572</v>
      </c>
      <c r="B2006" s="33">
        <v>1080.44</v>
      </c>
      <c r="C2006">
        <f t="shared" si="61"/>
        <v>1997</v>
      </c>
      <c r="H2006" s="85">
        <v>42911</v>
      </c>
      <c r="I2006">
        <v>3010.68</v>
      </c>
    </row>
    <row r="2007" spans="1:9">
      <c r="A2007" s="68">
        <v>35573</v>
      </c>
      <c r="B2007" s="32">
        <v>1080.43</v>
      </c>
      <c r="C2007">
        <f t="shared" si="61"/>
        <v>1997</v>
      </c>
      <c r="H2007" s="85">
        <v>42912</v>
      </c>
      <c r="I2007">
        <v>3010.68</v>
      </c>
    </row>
    <row r="2008" spans="1:9">
      <c r="A2008" s="68">
        <v>35574</v>
      </c>
      <c r="B2008" s="33">
        <v>1076.69</v>
      </c>
      <c r="C2008">
        <f t="shared" si="61"/>
        <v>1997</v>
      </c>
      <c r="H2008" s="85">
        <v>42913</v>
      </c>
      <c r="I2008">
        <v>3010.68</v>
      </c>
    </row>
    <row r="2009" spans="1:9">
      <c r="A2009" s="68">
        <v>35575</v>
      </c>
      <c r="B2009" s="32">
        <v>1076.69</v>
      </c>
      <c r="C2009">
        <f t="shared" si="61"/>
        <v>1997</v>
      </c>
      <c r="H2009" s="85">
        <v>42914</v>
      </c>
      <c r="I2009">
        <v>3025.28</v>
      </c>
    </row>
    <row r="2010" spans="1:9">
      <c r="A2010" s="68">
        <v>35576</v>
      </c>
      <c r="B2010" s="33">
        <v>1076.69</v>
      </c>
      <c r="C2010">
        <f t="shared" si="61"/>
        <v>1997</v>
      </c>
      <c r="H2010" s="85">
        <v>42915</v>
      </c>
      <c r="I2010">
        <v>3023.64</v>
      </c>
    </row>
    <row r="2011" spans="1:9">
      <c r="A2011" s="68">
        <v>35577</v>
      </c>
      <c r="B2011" s="32">
        <v>1076.69</v>
      </c>
      <c r="C2011">
        <f t="shared" si="61"/>
        <v>1997</v>
      </c>
      <c r="H2011" s="85">
        <v>42916</v>
      </c>
      <c r="I2011">
        <v>3038.26</v>
      </c>
    </row>
    <row r="2012" spans="1:9">
      <c r="A2012" s="68">
        <v>35578</v>
      </c>
      <c r="B2012" s="33">
        <v>1076.24</v>
      </c>
      <c r="C2012">
        <f t="shared" si="61"/>
        <v>1997</v>
      </c>
      <c r="H2012" s="85">
        <v>42917</v>
      </c>
      <c r="I2012">
        <v>3050.43</v>
      </c>
    </row>
    <row r="2013" spans="1:9">
      <c r="A2013" s="68">
        <v>35579</v>
      </c>
      <c r="B2013" s="32">
        <v>1074.32</v>
      </c>
      <c r="C2013">
        <f t="shared" si="61"/>
        <v>1997</v>
      </c>
      <c r="H2013" s="85">
        <v>42918</v>
      </c>
      <c r="I2013">
        <v>3050.43</v>
      </c>
    </row>
    <row r="2014" spans="1:9">
      <c r="A2014" s="68">
        <v>35580</v>
      </c>
      <c r="B2014" s="33">
        <v>1076.4000000000001</v>
      </c>
      <c r="C2014">
        <f t="shared" si="61"/>
        <v>1997</v>
      </c>
      <c r="H2014" s="85">
        <v>42919</v>
      </c>
      <c r="I2014">
        <v>3050.43</v>
      </c>
    </row>
    <row r="2015" spans="1:9">
      <c r="A2015" s="68">
        <v>35581</v>
      </c>
      <c r="B2015" s="32">
        <v>1077.0899999999999</v>
      </c>
      <c r="C2015">
        <f t="shared" si="61"/>
        <v>1997</v>
      </c>
      <c r="H2015" s="85">
        <v>42920</v>
      </c>
      <c r="I2015">
        <v>3050.43</v>
      </c>
    </row>
    <row r="2016" spans="1:9">
      <c r="A2016" s="68">
        <v>35582</v>
      </c>
      <c r="B2016" s="33">
        <v>1077.0899999999999</v>
      </c>
      <c r="C2016">
        <f t="shared" si="61"/>
        <v>1997</v>
      </c>
      <c r="H2016" s="85">
        <v>42921</v>
      </c>
      <c r="I2016">
        <v>3050.43</v>
      </c>
    </row>
    <row r="2017" spans="1:9">
      <c r="A2017" s="68">
        <v>35583</v>
      </c>
      <c r="B2017" s="32">
        <v>1077.0899999999999</v>
      </c>
      <c r="C2017">
        <f t="shared" si="61"/>
        <v>1997</v>
      </c>
      <c r="H2017" s="85">
        <v>42922</v>
      </c>
      <c r="I2017">
        <v>3068.93</v>
      </c>
    </row>
    <row r="2018" spans="1:9">
      <c r="A2018" s="68">
        <v>35584</v>
      </c>
      <c r="B2018" s="33">
        <v>1077.0899999999999</v>
      </c>
      <c r="C2018">
        <f t="shared" si="61"/>
        <v>1997</v>
      </c>
      <c r="H2018" s="85">
        <v>42923</v>
      </c>
      <c r="I2018">
        <v>3084.19</v>
      </c>
    </row>
    <row r="2019" spans="1:9">
      <c r="A2019" s="68">
        <v>35585</v>
      </c>
      <c r="B2019" s="32">
        <v>1079.0999999999999</v>
      </c>
      <c r="C2019">
        <f t="shared" si="61"/>
        <v>1997</v>
      </c>
      <c r="H2019" s="85">
        <v>42924</v>
      </c>
      <c r="I2019">
        <v>3092.65</v>
      </c>
    </row>
    <row r="2020" spans="1:9">
      <c r="A2020" s="68">
        <v>35586</v>
      </c>
      <c r="B2020" s="33">
        <v>1077.19</v>
      </c>
      <c r="C2020">
        <f t="shared" si="61"/>
        <v>1997</v>
      </c>
      <c r="H2020" s="85">
        <v>42925</v>
      </c>
      <c r="I2020">
        <v>3092.65</v>
      </c>
    </row>
    <row r="2021" spans="1:9">
      <c r="A2021" s="68">
        <v>35587</v>
      </c>
      <c r="B2021" s="32">
        <v>1076.49</v>
      </c>
      <c r="C2021">
        <f t="shared" si="61"/>
        <v>1997</v>
      </c>
      <c r="H2021" s="85">
        <v>42926</v>
      </c>
      <c r="I2021">
        <v>3092.65</v>
      </c>
    </row>
    <row r="2022" spans="1:9">
      <c r="A2022" s="68">
        <v>35588</v>
      </c>
      <c r="B2022" s="33">
        <v>1076.18</v>
      </c>
      <c r="C2022">
        <f t="shared" si="61"/>
        <v>1997</v>
      </c>
      <c r="H2022" s="85">
        <v>42927</v>
      </c>
      <c r="I2022">
        <v>3067.33</v>
      </c>
    </row>
    <row r="2023" spans="1:9">
      <c r="A2023" s="68">
        <v>35589</v>
      </c>
      <c r="B2023" s="32">
        <v>1076.18</v>
      </c>
      <c r="C2023">
        <f t="shared" si="61"/>
        <v>1997</v>
      </c>
      <c r="H2023" s="85">
        <v>42928</v>
      </c>
      <c r="I2023">
        <v>3067.73</v>
      </c>
    </row>
    <row r="2024" spans="1:9">
      <c r="A2024" s="68">
        <v>35590</v>
      </c>
      <c r="B2024" s="33">
        <v>1076.18</v>
      </c>
      <c r="C2024">
        <f t="shared" si="61"/>
        <v>1997</v>
      </c>
      <c r="H2024" s="85">
        <v>42929</v>
      </c>
      <c r="I2024">
        <v>3052.3</v>
      </c>
    </row>
    <row r="2025" spans="1:9">
      <c r="A2025" s="68">
        <v>35591</v>
      </c>
      <c r="B2025" s="32">
        <v>1076.18</v>
      </c>
      <c r="C2025">
        <f t="shared" si="61"/>
        <v>1997</v>
      </c>
      <c r="H2025" s="85">
        <v>42930</v>
      </c>
      <c r="I2025">
        <v>3043.6</v>
      </c>
    </row>
    <row r="2026" spans="1:9">
      <c r="A2026" s="68">
        <v>35592</v>
      </c>
      <c r="B2026" s="33">
        <v>1078.6400000000001</v>
      </c>
      <c r="C2026">
        <f t="shared" si="61"/>
        <v>1997</v>
      </c>
      <c r="H2026" s="85">
        <v>42931</v>
      </c>
      <c r="I2026">
        <v>3019.56</v>
      </c>
    </row>
    <row r="2027" spans="1:9">
      <c r="A2027" s="68">
        <v>35593</v>
      </c>
      <c r="B2027" s="32">
        <v>1080.6099999999999</v>
      </c>
      <c r="C2027">
        <f t="shared" si="61"/>
        <v>1997</v>
      </c>
      <c r="H2027" s="85">
        <v>42932</v>
      </c>
      <c r="I2027">
        <v>3019.56</v>
      </c>
    </row>
    <row r="2028" spans="1:9">
      <c r="A2028" s="68">
        <v>35594</v>
      </c>
      <c r="B2028" s="33">
        <v>1080.46</v>
      </c>
      <c r="C2028">
        <f t="shared" si="61"/>
        <v>1997</v>
      </c>
      <c r="H2028" s="85">
        <v>42933</v>
      </c>
      <c r="I2028">
        <v>3019.56</v>
      </c>
    </row>
    <row r="2029" spans="1:9">
      <c r="A2029" s="68">
        <v>35595</v>
      </c>
      <c r="B2029" s="32">
        <v>1080.5899999999999</v>
      </c>
      <c r="C2029">
        <f t="shared" si="61"/>
        <v>1997</v>
      </c>
      <c r="H2029" s="85">
        <v>42934</v>
      </c>
      <c r="I2029">
        <v>3030.6</v>
      </c>
    </row>
    <row r="2030" spans="1:9">
      <c r="A2030" s="68">
        <v>35596</v>
      </c>
      <c r="B2030" s="33">
        <v>1080.5899999999999</v>
      </c>
      <c r="C2030">
        <f t="shared" si="61"/>
        <v>1997</v>
      </c>
      <c r="H2030" s="85">
        <v>42935</v>
      </c>
      <c r="I2030">
        <v>3013.26</v>
      </c>
    </row>
    <row r="2031" spans="1:9">
      <c r="A2031" s="68">
        <v>35597</v>
      </c>
      <c r="B2031" s="32">
        <v>1080.5899999999999</v>
      </c>
      <c r="C2031">
        <f t="shared" si="61"/>
        <v>1997</v>
      </c>
      <c r="H2031" s="85">
        <v>42936</v>
      </c>
      <c r="I2031">
        <v>3010</v>
      </c>
    </row>
    <row r="2032" spans="1:9">
      <c r="A2032" s="68">
        <v>35598</v>
      </c>
      <c r="B2032" s="33">
        <v>1082.43</v>
      </c>
      <c r="C2032">
        <f t="shared" si="61"/>
        <v>1997</v>
      </c>
      <c r="H2032" s="85">
        <v>42937</v>
      </c>
      <c r="I2032">
        <v>3010</v>
      </c>
    </row>
    <row r="2033" spans="1:9">
      <c r="A2033" s="68">
        <v>35599</v>
      </c>
      <c r="B2033" s="32">
        <v>1086</v>
      </c>
      <c r="C2033">
        <f t="shared" si="61"/>
        <v>1997</v>
      </c>
      <c r="H2033" s="85">
        <v>42938</v>
      </c>
      <c r="I2033">
        <v>3010.77</v>
      </c>
    </row>
    <row r="2034" spans="1:9">
      <c r="A2034" s="68">
        <v>35600</v>
      </c>
      <c r="B2034" s="33">
        <v>1084.3800000000001</v>
      </c>
      <c r="C2034">
        <f t="shared" si="61"/>
        <v>1997</v>
      </c>
      <c r="H2034" s="85">
        <v>42939</v>
      </c>
      <c r="I2034">
        <v>3010.77</v>
      </c>
    </row>
    <row r="2035" spans="1:9">
      <c r="A2035" s="68">
        <v>35601</v>
      </c>
      <c r="B2035" s="32">
        <v>1084.28</v>
      </c>
      <c r="C2035">
        <f t="shared" si="61"/>
        <v>1997</v>
      </c>
      <c r="H2035" s="85">
        <v>42940</v>
      </c>
      <c r="I2035">
        <v>3010.77</v>
      </c>
    </row>
    <row r="2036" spans="1:9">
      <c r="A2036" s="68">
        <v>35602</v>
      </c>
      <c r="B2036" s="33">
        <v>1086.3599999999999</v>
      </c>
      <c r="C2036">
        <f t="shared" si="61"/>
        <v>1997</v>
      </c>
      <c r="H2036" s="85">
        <v>42941</v>
      </c>
      <c r="I2036">
        <v>3023.67</v>
      </c>
    </row>
    <row r="2037" spans="1:9">
      <c r="A2037" s="68">
        <v>35603</v>
      </c>
      <c r="B2037" s="32">
        <v>1086.3599999999999</v>
      </c>
      <c r="C2037">
        <f t="shared" si="61"/>
        <v>1997</v>
      </c>
      <c r="H2037" s="85">
        <v>42942</v>
      </c>
      <c r="I2037">
        <v>3026.55</v>
      </c>
    </row>
    <row r="2038" spans="1:9">
      <c r="A2038" s="68">
        <v>35604</v>
      </c>
      <c r="B2038" s="33">
        <v>1086.3599999999999</v>
      </c>
      <c r="C2038">
        <f t="shared" si="61"/>
        <v>1997</v>
      </c>
      <c r="H2038" s="85">
        <v>42943</v>
      </c>
      <c r="I2038">
        <v>3026.22</v>
      </c>
    </row>
    <row r="2039" spans="1:9">
      <c r="A2039" s="68">
        <v>35605</v>
      </c>
      <c r="B2039" s="32">
        <v>1088.1600000000001</v>
      </c>
      <c r="C2039">
        <f t="shared" si="61"/>
        <v>1997</v>
      </c>
      <c r="H2039" s="85">
        <v>42944</v>
      </c>
      <c r="I2039">
        <v>3002.94</v>
      </c>
    </row>
    <row r="2040" spans="1:9">
      <c r="A2040" s="68">
        <v>35606</v>
      </c>
      <c r="B2040" s="33">
        <v>1086.47</v>
      </c>
      <c r="C2040">
        <f t="shared" si="61"/>
        <v>1997</v>
      </c>
      <c r="H2040" s="85">
        <v>42945</v>
      </c>
      <c r="I2040">
        <v>2995.23</v>
      </c>
    </row>
    <row r="2041" spans="1:9">
      <c r="A2041" s="68">
        <v>35607</v>
      </c>
      <c r="B2041" s="32">
        <v>1087.72</v>
      </c>
      <c r="C2041">
        <f t="shared" si="61"/>
        <v>1997</v>
      </c>
      <c r="H2041" s="85">
        <v>42946</v>
      </c>
      <c r="I2041">
        <v>2995.23</v>
      </c>
    </row>
    <row r="2042" spans="1:9">
      <c r="A2042" s="68">
        <v>35608</v>
      </c>
      <c r="B2042" s="33">
        <v>1090.58</v>
      </c>
      <c r="C2042">
        <f t="shared" si="61"/>
        <v>1997</v>
      </c>
      <c r="H2042" s="85">
        <v>42947</v>
      </c>
      <c r="I2042">
        <v>2995.23</v>
      </c>
    </row>
    <row r="2043" spans="1:9">
      <c r="A2043" s="68">
        <v>35609</v>
      </c>
      <c r="B2043" s="32">
        <v>1089.01</v>
      </c>
      <c r="C2043">
        <f t="shared" si="61"/>
        <v>1997</v>
      </c>
      <c r="H2043" s="85">
        <v>42948</v>
      </c>
      <c r="I2043">
        <v>2997.59</v>
      </c>
    </row>
    <row r="2044" spans="1:9">
      <c r="A2044" s="68">
        <v>35610</v>
      </c>
      <c r="B2044" s="33">
        <v>1089.01</v>
      </c>
      <c r="C2044">
        <f t="shared" si="61"/>
        <v>1997</v>
      </c>
      <c r="H2044" s="85">
        <v>42949</v>
      </c>
      <c r="I2044">
        <v>2973.03</v>
      </c>
    </row>
    <row r="2045" spans="1:9">
      <c r="A2045" s="68">
        <v>35611</v>
      </c>
      <c r="B2045" s="32">
        <v>1089.01</v>
      </c>
      <c r="C2045">
        <f t="shared" si="61"/>
        <v>1997</v>
      </c>
      <c r="H2045" s="85">
        <v>42950</v>
      </c>
      <c r="I2045">
        <v>2964.66</v>
      </c>
    </row>
    <row r="2046" spans="1:9">
      <c r="A2046" s="68">
        <v>35612</v>
      </c>
      <c r="B2046" s="33">
        <v>1089.01</v>
      </c>
      <c r="C2046">
        <f t="shared" si="61"/>
        <v>1997</v>
      </c>
      <c r="H2046" s="85">
        <v>42951</v>
      </c>
      <c r="I2046">
        <v>2954.54</v>
      </c>
    </row>
    <row r="2047" spans="1:9">
      <c r="A2047" s="68">
        <v>35613</v>
      </c>
      <c r="B2047" s="32">
        <v>1093.25</v>
      </c>
      <c r="C2047">
        <f t="shared" si="61"/>
        <v>1997</v>
      </c>
      <c r="H2047" s="85">
        <v>42952</v>
      </c>
      <c r="I2047">
        <v>2974.39</v>
      </c>
    </row>
    <row r="2048" spans="1:9">
      <c r="A2048" s="68">
        <v>35614</v>
      </c>
      <c r="B2048" s="33">
        <v>1098.72</v>
      </c>
      <c r="C2048">
        <f t="shared" si="61"/>
        <v>1997</v>
      </c>
      <c r="H2048" s="85">
        <v>42953</v>
      </c>
      <c r="I2048">
        <v>2974.39</v>
      </c>
    </row>
    <row r="2049" spans="1:9">
      <c r="A2049" s="68">
        <v>35615</v>
      </c>
      <c r="B2049" s="32">
        <v>1102.8399999999999</v>
      </c>
      <c r="C2049">
        <f t="shared" si="61"/>
        <v>1997</v>
      </c>
      <c r="H2049" s="85">
        <v>42954</v>
      </c>
      <c r="I2049">
        <v>2974.39</v>
      </c>
    </row>
    <row r="2050" spans="1:9">
      <c r="A2050" s="68">
        <v>35616</v>
      </c>
      <c r="B2050" s="33">
        <v>1101.57</v>
      </c>
      <c r="C2050">
        <f t="shared" si="61"/>
        <v>1997</v>
      </c>
      <c r="H2050" s="85">
        <v>42955</v>
      </c>
      <c r="I2050">
        <v>2974.39</v>
      </c>
    </row>
    <row r="2051" spans="1:9">
      <c r="A2051" s="68">
        <v>35617</v>
      </c>
      <c r="B2051" s="32">
        <v>1101.57</v>
      </c>
      <c r="C2051">
        <f t="shared" si="61"/>
        <v>1997</v>
      </c>
      <c r="H2051" s="85">
        <v>42956</v>
      </c>
      <c r="I2051">
        <v>2994.62</v>
      </c>
    </row>
    <row r="2052" spans="1:9">
      <c r="A2052" s="68">
        <v>35618</v>
      </c>
      <c r="B2052" s="33">
        <v>1101.57</v>
      </c>
      <c r="C2052">
        <f t="shared" ref="C2052:C2115" si="62">YEAR(A2052)</f>
        <v>1997</v>
      </c>
      <c r="H2052" s="85">
        <v>42957</v>
      </c>
      <c r="I2052">
        <v>3011.14</v>
      </c>
    </row>
    <row r="2053" spans="1:9">
      <c r="A2053" s="68">
        <v>35619</v>
      </c>
      <c r="B2053" s="32">
        <v>1102.45</v>
      </c>
      <c r="C2053">
        <f t="shared" si="62"/>
        <v>1997</v>
      </c>
      <c r="H2053" s="85">
        <v>42958</v>
      </c>
      <c r="I2053">
        <v>2994.85</v>
      </c>
    </row>
    <row r="2054" spans="1:9">
      <c r="A2054" s="68">
        <v>35620</v>
      </c>
      <c r="B2054" s="33">
        <v>1101.18</v>
      </c>
      <c r="C2054">
        <f t="shared" si="62"/>
        <v>1997</v>
      </c>
      <c r="H2054" s="85">
        <v>42959</v>
      </c>
      <c r="I2054">
        <v>2984.99</v>
      </c>
    </row>
    <row r="2055" spans="1:9">
      <c r="A2055" s="68">
        <v>35621</v>
      </c>
      <c r="B2055" s="32">
        <v>1098.6400000000001</v>
      </c>
      <c r="C2055">
        <f t="shared" si="62"/>
        <v>1997</v>
      </c>
      <c r="H2055" s="85">
        <v>42960</v>
      </c>
      <c r="I2055">
        <v>2984.99</v>
      </c>
    </row>
    <row r="2056" spans="1:9">
      <c r="A2056" s="68">
        <v>35622</v>
      </c>
      <c r="B2056" s="33">
        <v>1097.8800000000001</v>
      </c>
      <c r="C2056">
        <f t="shared" si="62"/>
        <v>1997</v>
      </c>
      <c r="H2056" s="85">
        <v>42961</v>
      </c>
      <c r="I2056">
        <v>2984.99</v>
      </c>
    </row>
    <row r="2057" spans="1:9">
      <c r="A2057" s="68">
        <v>35623</v>
      </c>
      <c r="B2057" s="32">
        <v>1098.46</v>
      </c>
      <c r="C2057">
        <f t="shared" si="62"/>
        <v>1997</v>
      </c>
      <c r="H2057" s="85">
        <v>42962</v>
      </c>
      <c r="I2057">
        <v>2966.54</v>
      </c>
    </row>
    <row r="2058" spans="1:9">
      <c r="A2058" s="68">
        <v>35624</v>
      </c>
      <c r="B2058" s="33">
        <v>1098.46</v>
      </c>
      <c r="C2058">
        <f t="shared" si="62"/>
        <v>1997</v>
      </c>
      <c r="H2058" s="85">
        <v>42963</v>
      </c>
      <c r="I2058">
        <v>2974.7</v>
      </c>
    </row>
    <row r="2059" spans="1:9">
      <c r="A2059" s="68">
        <v>35625</v>
      </c>
      <c r="B2059" s="32">
        <v>1098.46</v>
      </c>
      <c r="C2059">
        <f t="shared" si="62"/>
        <v>1997</v>
      </c>
      <c r="H2059" s="85">
        <v>42964</v>
      </c>
      <c r="I2059">
        <v>2967.32</v>
      </c>
    </row>
    <row r="2060" spans="1:9">
      <c r="A2060" s="68">
        <v>35626</v>
      </c>
      <c r="B2060" s="33">
        <v>1099.56</v>
      </c>
      <c r="C2060">
        <f t="shared" si="62"/>
        <v>1997</v>
      </c>
      <c r="H2060" s="85">
        <v>42965</v>
      </c>
      <c r="I2060">
        <v>2980.03</v>
      </c>
    </row>
    <row r="2061" spans="1:9">
      <c r="A2061" s="68">
        <v>35627</v>
      </c>
      <c r="B2061" s="32">
        <v>1099.25</v>
      </c>
      <c r="C2061">
        <f t="shared" si="62"/>
        <v>1997</v>
      </c>
      <c r="H2061" s="85">
        <v>42966</v>
      </c>
      <c r="I2061">
        <v>2994.39</v>
      </c>
    </row>
    <row r="2062" spans="1:9">
      <c r="A2062" s="68">
        <v>35628</v>
      </c>
      <c r="B2062" s="33">
        <v>1100.83</v>
      </c>
      <c r="C2062">
        <f t="shared" si="62"/>
        <v>1997</v>
      </c>
      <c r="H2062" s="85">
        <v>42967</v>
      </c>
      <c r="I2062">
        <v>2994.39</v>
      </c>
    </row>
    <row r="2063" spans="1:9">
      <c r="A2063" s="68">
        <v>35629</v>
      </c>
      <c r="B2063" s="32">
        <v>1102.48</v>
      </c>
      <c r="C2063">
        <f t="shared" si="62"/>
        <v>1997</v>
      </c>
      <c r="H2063" s="85">
        <v>42968</v>
      </c>
      <c r="I2063">
        <v>2994.39</v>
      </c>
    </row>
    <row r="2064" spans="1:9">
      <c r="A2064" s="68">
        <v>35630</v>
      </c>
      <c r="B2064" s="33">
        <v>1105.33</v>
      </c>
      <c r="C2064">
        <f t="shared" si="62"/>
        <v>1997</v>
      </c>
      <c r="H2064" s="85">
        <v>42969</v>
      </c>
      <c r="I2064">
        <v>2994.39</v>
      </c>
    </row>
    <row r="2065" spans="1:9">
      <c r="A2065" s="68">
        <v>35631</v>
      </c>
      <c r="B2065" s="32">
        <v>1105.33</v>
      </c>
      <c r="C2065">
        <f t="shared" si="62"/>
        <v>1997</v>
      </c>
      <c r="H2065" s="85">
        <v>42970</v>
      </c>
      <c r="I2065">
        <v>2986.83</v>
      </c>
    </row>
    <row r="2066" spans="1:9">
      <c r="A2066" s="68">
        <v>35632</v>
      </c>
      <c r="B2066" s="33">
        <v>1105.33</v>
      </c>
      <c r="C2066">
        <f t="shared" si="62"/>
        <v>1997</v>
      </c>
      <c r="H2066" s="85">
        <v>42971</v>
      </c>
      <c r="I2066">
        <v>2986.88</v>
      </c>
    </row>
    <row r="2067" spans="1:9">
      <c r="A2067" s="68">
        <v>35633</v>
      </c>
      <c r="B2067" s="32">
        <v>1109.46</v>
      </c>
      <c r="C2067">
        <f t="shared" si="62"/>
        <v>1997</v>
      </c>
      <c r="H2067" s="85">
        <v>42972</v>
      </c>
      <c r="I2067">
        <v>2972.98</v>
      </c>
    </row>
    <row r="2068" spans="1:9">
      <c r="A2068" s="68">
        <v>35634</v>
      </c>
      <c r="B2068" s="33">
        <v>1110.32</v>
      </c>
      <c r="C2068">
        <f t="shared" si="62"/>
        <v>1997</v>
      </c>
      <c r="H2068" s="85">
        <v>42973</v>
      </c>
      <c r="I2068">
        <v>2933.96</v>
      </c>
    </row>
    <row r="2069" spans="1:9">
      <c r="A2069" s="68">
        <v>35635</v>
      </c>
      <c r="B2069" s="32">
        <v>1106.7</v>
      </c>
      <c r="C2069">
        <f t="shared" si="62"/>
        <v>1997</v>
      </c>
      <c r="H2069" s="85">
        <v>42974</v>
      </c>
      <c r="I2069">
        <v>2933.96</v>
      </c>
    </row>
    <row r="2070" spans="1:9">
      <c r="A2070" s="68">
        <v>35636</v>
      </c>
      <c r="B2070" s="33">
        <v>1106.6400000000001</v>
      </c>
      <c r="C2070">
        <f t="shared" si="62"/>
        <v>1997</v>
      </c>
      <c r="H2070" s="85">
        <v>42975</v>
      </c>
      <c r="I2070">
        <v>2933.96</v>
      </c>
    </row>
    <row r="2071" spans="1:9">
      <c r="A2071" s="68">
        <v>35637</v>
      </c>
      <c r="B2071" s="32">
        <v>1106.06</v>
      </c>
      <c r="C2071">
        <f t="shared" si="62"/>
        <v>1997</v>
      </c>
      <c r="H2071" s="85">
        <v>42976</v>
      </c>
      <c r="I2071">
        <v>2934.23</v>
      </c>
    </row>
    <row r="2072" spans="1:9">
      <c r="A2072" s="68">
        <v>35638</v>
      </c>
      <c r="B2072" s="33">
        <v>1106.06</v>
      </c>
      <c r="C2072">
        <f t="shared" si="62"/>
        <v>1997</v>
      </c>
      <c r="H2072" s="85">
        <v>42977</v>
      </c>
      <c r="I2072">
        <v>2940.35</v>
      </c>
    </row>
    <row r="2073" spans="1:9">
      <c r="A2073" s="68">
        <v>35639</v>
      </c>
      <c r="B2073" s="32">
        <v>1106.06</v>
      </c>
      <c r="C2073">
        <f t="shared" si="62"/>
        <v>1997</v>
      </c>
      <c r="H2073" s="85">
        <v>42978</v>
      </c>
      <c r="I2073">
        <v>2937.09</v>
      </c>
    </row>
    <row r="2074" spans="1:9">
      <c r="A2074" s="68">
        <v>35640</v>
      </c>
      <c r="B2074" s="33">
        <v>1108.1600000000001</v>
      </c>
      <c r="C2074">
        <f t="shared" si="62"/>
        <v>1997</v>
      </c>
      <c r="H2074" s="85">
        <v>42979</v>
      </c>
      <c r="I2074">
        <v>2948.09</v>
      </c>
    </row>
    <row r="2075" spans="1:9">
      <c r="A2075" s="68">
        <v>35641</v>
      </c>
      <c r="B2075" s="32">
        <v>1106.67</v>
      </c>
      <c r="C2075">
        <f t="shared" si="62"/>
        <v>1997</v>
      </c>
      <c r="H2075" s="85">
        <v>42980</v>
      </c>
      <c r="I2075">
        <v>2936.07</v>
      </c>
    </row>
    <row r="2076" spans="1:9">
      <c r="A2076" s="68">
        <v>35642</v>
      </c>
      <c r="B2076" s="33">
        <v>1109.6500000000001</v>
      </c>
      <c r="C2076">
        <f t="shared" si="62"/>
        <v>1997</v>
      </c>
      <c r="H2076" s="85">
        <v>42981</v>
      </c>
      <c r="I2076">
        <v>2936.07</v>
      </c>
    </row>
    <row r="2077" spans="1:9">
      <c r="A2077" s="68">
        <v>35643</v>
      </c>
      <c r="B2077" s="32">
        <v>1112.53</v>
      </c>
      <c r="C2077">
        <f t="shared" si="62"/>
        <v>1997</v>
      </c>
      <c r="H2077" s="85">
        <v>42982</v>
      </c>
      <c r="I2077">
        <v>2936.07</v>
      </c>
    </row>
    <row r="2078" spans="1:9">
      <c r="A2078" s="68">
        <v>35644</v>
      </c>
      <c r="B2078" s="33">
        <v>1113.43</v>
      </c>
      <c r="C2078">
        <f t="shared" si="62"/>
        <v>1997</v>
      </c>
      <c r="H2078" s="85">
        <v>42983</v>
      </c>
      <c r="I2078">
        <v>2936.07</v>
      </c>
    </row>
    <row r="2079" spans="1:9">
      <c r="A2079" s="68">
        <v>35645</v>
      </c>
      <c r="B2079" s="32">
        <v>1113.43</v>
      </c>
      <c r="C2079">
        <f t="shared" si="62"/>
        <v>1997</v>
      </c>
      <c r="H2079" s="85">
        <v>42984</v>
      </c>
      <c r="I2079">
        <v>2923.49</v>
      </c>
    </row>
    <row r="2080" spans="1:9">
      <c r="A2080" s="68">
        <v>35646</v>
      </c>
      <c r="B2080" s="33">
        <v>1113.43</v>
      </c>
      <c r="C2080">
        <f t="shared" si="62"/>
        <v>1997</v>
      </c>
      <c r="H2080" s="85">
        <v>42985</v>
      </c>
      <c r="I2080">
        <v>2919.5</v>
      </c>
    </row>
    <row r="2081" spans="1:9">
      <c r="A2081" s="68">
        <v>35647</v>
      </c>
      <c r="B2081" s="32">
        <v>1112.83</v>
      </c>
      <c r="C2081">
        <f t="shared" si="62"/>
        <v>1997</v>
      </c>
      <c r="H2081" s="85">
        <v>42986</v>
      </c>
      <c r="I2081">
        <v>2907.96</v>
      </c>
    </row>
    <row r="2082" spans="1:9">
      <c r="A2082" s="68">
        <v>35648</v>
      </c>
      <c r="B2082" s="33">
        <v>1115.43</v>
      </c>
      <c r="C2082">
        <f t="shared" si="62"/>
        <v>1997</v>
      </c>
      <c r="H2082" s="85">
        <v>42987</v>
      </c>
      <c r="I2082">
        <v>2909.15</v>
      </c>
    </row>
    <row r="2083" spans="1:9">
      <c r="A2083" s="68">
        <v>35649</v>
      </c>
      <c r="B2083" s="32">
        <v>1115.2</v>
      </c>
      <c r="C2083">
        <f t="shared" si="62"/>
        <v>1997</v>
      </c>
      <c r="H2083" s="85">
        <v>42988</v>
      </c>
      <c r="I2083">
        <v>2909.15</v>
      </c>
    </row>
    <row r="2084" spans="1:9">
      <c r="A2084" s="68">
        <v>35650</v>
      </c>
      <c r="B2084" s="33">
        <v>1115.2</v>
      </c>
      <c r="C2084">
        <f t="shared" si="62"/>
        <v>1997</v>
      </c>
      <c r="H2084" s="85">
        <v>42989</v>
      </c>
      <c r="I2084">
        <v>2909.15</v>
      </c>
    </row>
    <row r="2085" spans="1:9">
      <c r="A2085" s="68">
        <v>35651</v>
      </c>
      <c r="B2085" s="32">
        <v>1118.96</v>
      </c>
      <c r="C2085">
        <f t="shared" si="62"/>
        <v>1997</v>
      </c>
      <c r="H2085" s="85">
        <v>42990</v>
      </c>
      <c r="I2085">
        <v>2916.1</v>
      </c>
    </row>
    <row r="2086" spans="1:9">
      <c r="A2086" s="68">
        <v>35652</v>
      </c>
      <c r="B2086" s="33">
        <v>1118.96</v>
      </c>
      <c r="C2086">
        <f t="shared" si="62"/>
        <v>1997</v>
      </c>
      <c r="H2086" s="85">
        <v>42991</v>
      </c>
      <c r="I2086">
        <v>2923.03</v>
      </c>
    </row>
    <row r="2087" spans="1:9">
      <c r="A2087" s="68">
        <v>35653</v>
      </c>
      <c r="B2087" s="32">
        <v>1118.96</v>
      </c>
      <c r="C2087">
        <f t="shared" si="62"/>
        <v>1997</v>
      </c>
      <c r="H2087" s="85">
        <v>42992</v>
      </c>
      <c r="I2087">
        <v>2909.52</v>
      </c>
    </row>
    <row r="2088" spans="1:9">
      <c r="A2088" s="68">
        <v>35654</v>
      </c>
      <c r="B2088" s="33">
        <v>1119.3800000000001</v>
      </c>
      <c r="C2088">
        <f t="shared" si="62"/>
        <v>1997</v>
      </c>
      <c r="H2088" s="85">
        <v>42993</v>
      </c>
      <c r="I2088">
        <v>2905.98</v>
      </c>
    </row>
    <row r="2089" spans="1:9">
      <c r="A2089" s="68">
        <v>35655</v>
      </c>
      <c r="B2089" s="32">
        <v>1120.33</v>
      </c>
      <c r="C2089">
        <f t="shared" si="62"/>
        <v>1997</v>
      </c>
      <c r="H2089" s="85">
        <v>42994</v>
      </c>
      <c r="I2089">
        <v>2897.83</v>
      </c>
    </row>
    <row r="2090" spans="1:9">
      <c r="A2090" s="68">
        <v>35656</v>
      </c>
      <c r="B2090" s="33">
        <v>1125.6199999999999</v>
      </c>
      <c r="C2090">
        <f t="shared" si="62"/>
        <v>1997</v>
      </c>
      <c r="H2090" s="85">
        <v>42995</v>
      </c>
      <c r="I2090">
        <v>2897.83</v>
      </c>
    </row>
    <row r="2091" spans="1:9">
      <c r="A2091" s="68">
        <v>35657</v>
      </c>
      <c r="B2091" s="32">
        <v>1128.25</v>
      </c>
      <c r="C2091">
        <f t="shared" si="62"/>
        <v>1997</v>
      </c>
      <c r="H2091" s="85">
        <v>42996</v>
      </c>
      <c r="I2091">
        <v>2897.83</v>
      </c>
    </row>
    <row r="2092" spans="1:9">
      <c r="A2092" s="68">
        <v>35658</v>
      </c>
      <c r="B2092" s="33">
        <v>1129.05</v>
      </c>
      <c r="C2092">
        <f t="shared" si="62"/>
        <v>1997</v>
      </c>
      <c r="H2092" s="85">
        <v>42997</v>
      </c>
      <c r="I2092">
        <v>2906.06</v>
      </c>
    </row>
    <row r="2093" spans="1:9">
      <c r="A2093" s="68">
        <v>35659</v>
      </c>
      <c r="B2093" s="32">
        <v>1129.05</v>
      </c>
      <c r="C2093">
        <f t="shared" si="62"/>
        <v>1997</v>
      </c>
      <c r="H2093" s="85">
        <v>42998</v>
      </c>
      <c r="I2093">
        <v>2904.6</v>
      </c>
    </row>
    <row r="2094" spans="1:9">
      <c r="A2094" s="68">
        <v>35660</v>
      </c>
      <c r="B2094" s="33">
        <v>1129.05</v>
      </c>
      <c r="C2094">
        <f t="shared" si="62"/>
        <v>1997</v>
      </c>
      <c r="H2094" s="85">
        <v>42999</v>
      </c>
      <c r="I2094">
        <v>2893.18</v>
      </c>
    </row>
    <row r="2095" spans="1:9">
      <c r="A2095" s="68">
        <v>35661</v>
      </c>
      <c r="B2095" s="32">
        <v>1129.05</v>
      </c>
      <c r="C2095">
        <f t="shared" si="62"/>
        <v>1997</v>
      </c>
      <c r="H2095" s="85">
        <v>43000</v>
      </c>
      <c r="I2095">
        <v>2913.96</v>
      </c>
    </row>
    <row r="2096" spans="1:9">
      <c r="A2096" s="68">
        <v>35662</v>
      </c>
      <c r="B2096" s="33">
        <v>1137.54</v>
      </c>
      <c r="C2096">
        <f t="shared" si="62"/>
        <v>1997</v>
      </c>
      <c r="H2096" s="85">
        <v>43001</v>
      </c>
      <c r="I2096">
        <v>2900.73</v>
      </c>
    </row>
    <row r="2097" spans="1:9">
      <c r="A2097" s="68">
        <v>35663</v>
      </c>
      <c r="B2097" s="32">
        <v>1140.54</v>
      </c>
      <c r="C2097">
        <f t="shared" si="62"/>
        <v>1997</v>
      </c>
      <c r="H2097" s="85">
        <v>43002</v>
      </c>
      <c r="I2097">
        <v>2900.73</v>
      </c>
    </row>
    <row r="2098" spans="1:9">
      <c r="A2098" s="68">
        <v>35664</v>
      </c>
      <c r="B2098" s="33">
        <v>1149.19</v>
      </c>
      <c r="C2098">
        <f t="shared" si="62"/>
        <v>1997</v>
      </c>
      <c r="H2098" s="85">
        <v>43003</v>
      </c>
      <c r="I2098">
        <v>2900.73</v>
      </c>
    </row>
    <row r="2099" spans="1:9">
      <c r="A2099" s="68">
        <v>35665</v>
      </c>
      <c r="B2099" s="32">
        <v>1154.23</v>
      </c>
      <c r="C2099">
        <f t="shared" si="62"/>
        <v>1997</v>
      </c>
      <c r="H2099" s="85">
        <v>43004</v>
      </c>
      <c r="I2099">
        <v>2924.57</v>
      </c>
    </row>
    <row r="2100" spans="1:9">
      <c r="A2100" s="68">
        <v>35666</v>
      </c>
      <c r="B2100" s="33">
        <v>1154.23</v>
      </c>
      <c r="C2100">
        <f t="shared" si="62"/>
        <v>1997</v>
      </c>
      <c r="H2100" s="85">
        <v>43005</v>
      </c>
      <c r="I2100">
        <v>2930.7</v>
      </c>
    </row>
    <row r="2101" spans="1:9">
      <c r="A2101" s="68">
        <v>35667</v>
      </c>
      <c r="B2101" s="32">
        <v>1154.23</v>
      </c>
      <c r="C2101">
        <f t="shared" si="62"/>
        <v>1997</v>
      </c>
      <c r="H2101" s="85">
        <v>43006</v>
      </c>
      <c r="I2101">
        <v>2940.66</v>
      </c>
    </row>
    <row r="2102" spans="1:9">
      <c r="A2102" s="68">
        <v>35668</v>
      </c>
      <c r="B2102" s="33">
        <v>1145.52</v>
      </c>
      <c r="C2102">
        <f t="shared" si="62"/>
        <v>1997</v>
      </c>
      <c r="H2102" s="85">
        <v>43007</v>
      </c>
      <c r="I2102">
        <v>2941.07</v>
      </c>
    </row>
    <row r="2103" spans="1:9">
      <c r="A2103" s="68">
        <v>35669</v>
      </c>
      <c r="B2103" s="32">
        <v>1154.8900000000001</v>
      </c>
      <c r="C2103">
        <f t="shared" si="62"/>
        <v>1997</v>
      </c>
      <c r="H2103" s="85">
        <v>43008</v>
      </c>
      <c r="I2103">
        <v>2936.67</v>
      </c>
    </row>
    <row r="2104" spans="1:9">
      <c r="A2104" s="68">
        <v>35670</v>
      </c>
      <c r="B2104" s="33">
        <v>1161.1500000000001</v>
      </c>
      <c r="C2104">
        <f t="shared" si="62"/>
        <v>1997</v>
      </c>
      <c r="H2104" s="85">
        <v>43009</v>
      </c>
      <c r="I2104">
        <v>2936.67</v>
      </c>
    </row>
    <row r="2105" spans="1:9">
      <c r="A2105" s="68">
        <v>35671</v>
      </c>
      <c r="B2105" s="32">
        <v>1167.28</v>
      </c>
      <c r="C2105">
        <f t="shared" si="62"/>
        <v>1997</v>
      </c>
      <c r="H2105" s="85">
        <v>43010</v>
      </c>
      <c r="I2105">
        <v>2936.67</v>
      </c>
    </row>
    <row r="2106" spans="1:9">
      <c r="A2106" s="68">
        <v>35672</v>
      </c>
      <c r="B2106" s="33">
        <v>1172.28</v>
      </c>
      <c r="C2106">
        <f t="shared" si="62"/>
        <v>1997</v>
      </c>
      <c r="H2106" s="85">
        <v>43011</v>
      </c>
      <c r="I2106">
        <v>2949.33</v>
      </c>
    </row>
    <row r="2107" spans="1:9">
      <c r="A2107" s="68">
        <v>35673</v>
      </c>
      <c r="B2107" s="32">
        <v>1172.28</v>
      </c>
      <c r="C2107">
        <f t="shared" si="62"/>
        <v>1997</v>
      </c>
      <c r="H2107" s="85">
        <v>43012</v>
      </c>
      <c r="I2107">
        <v>2953.81</v>
      </c>
    </row>
    <row r="2108" spans="1:9">
      <c r="A2108" s="68">
        <v>35674</v>
      </c>
      <c r="B2108" s="33">
        <v>1172.28</v>
      </c>
      <c r="C2108">
        <f t="shared" si="62"/>
        <v>1997</v>
      </c>
      <c r="H2108" s="85">
        <v>43013</v>
      </c>
      <c r="I2108">
        <v>2945.59</v>
      </c>
    </row>
    <row r="2109" spans="1:9">
      <c r="A2109" s="68">
        <v>35675</v>
      </c>
      <c r="B2109" s="32">
        <v>1174.01</v>
      </c>
      <c r="C2109">
        <f t="shared" si="62"/>
        <v>1997</v>
      </c>
      <c r="H2109" s="85">
        <v>43014</v>
      </c>
      <c r="I2109">
        <v>2926.82</v>
      </c>
    </row>
    <row r="2110" spans="1:9">
      <c r="A2110" s="68">
        <v>35676</v>
      </c>
      <c r="B2110" s="33">
        <v>1169.3800000000001</v>
      </c>
      <c r="C2110">
        <f t="shared" si="62"/>
        <v>1997</v>
      </c>
      <c r="H2110" s="85">
        <v>43015</v>
      </c>
      <c r="I2110">
        <v>2942.19</v>
      </c>
    </row>
    <row r="2111" spans="1:9">
      <c r="A2111" s="68">
        <v>35677</v>
      </c>
      <c r="B2111" s="32">
        <v>1172.82</v>
      </c>
      <c r="C2111">
        <f t="shared" si="62"/>
        <v>1997</v>
      </c>
      <c r="H2111" s="85">
        <v>43016</v>
      </c>
      <c r="I2111">
        <v>2942.19</v>
      </c>
    </row>
    <row r="2112" spans="1:9">
      <c r="A2112" s="68">
        <v>35678</v>
      </c>
      <c r="B2112" s="33">
        <v>1180.94</v>
      </c>
      <c r="C2112">
        <f t="shared" si="62"/>
        <v>1997</v>
      </c>
      <c r="H2112" s="85">
        <v>43017</v>
      </c>
      <c r="I2112">
        <v>2942.19</v>
      </c>
    </row>
    <row r="2113" spans="1:9">
      <c r="A2113" s="68">
        <v>35679</v>
      </c>
      <c r="B2113" s="32">
        <v>1186.98</v>
      </c>
      <c r="C2113">
        <f t="shared" si="62"/>
        <v>1997</v>
      </c>
      <c r="H2113" s="85">
        <v>43018</v>
      </c>
      <c r="I2113">
        <v>2942.19</v>
      </c>
    </row>
    <row r="2114" spans="1:9">
      <c r="A2114" s="68">
        <v>35680</v>
      </c>
      <c r="B2114" s="33">
        <v>1186.98</v>
      </c>
      <c r="C2114">
        <f t="shared" si="62"/>
        <v>1997</v>
      </c>
      <c r="H2114" s="85">
        <v>43019</v>
      </c>
      <c r="I2114">
        <v>2947.06</v>
      </c>
    </row>
    <row r="2115" spans="1:9">
      <c r="A2115" s="68">
        <v>35681</v>
      </c>
      <c r="B2115" s="32">
        <v>1186.98</v>
      </c>
      <c r="C2115">
        <f t="shared" si="62"/>
        <v>1997</v>
      </c>
      <c r="H2115" s="85">
        <v>43020</v>
      </c>
      <c r="I2115">
        <v>2953.77</v>
      </c>
    </row>
    <row r="2116" spans="1:9">
      <c r="A2116" s="68">
        <v>35682</v>
      </c>
      <c r="B2116" s="33">
        <v>1204.0899999999999</v>
      </c>
      <c r="C2116">
        <f t="shared" ref="C2116:C2179" si="63">YEAR(A2116)</f>
        <v>1997</v>
      </c>
      <c r="H2116" s="85">
        <v>43021</v>
      </c>
      <c r="I2116">
        <v>2949.69</v>
      </c>
    </row>
    <row r="2117" spans="1:9">
      <c r="A2117" s="68">
        <v>35683</v>
      </c>
      <c r="B2117" s="32">
        <v>1238.21</v>
      </c>
      <c r="C2117">
        <f t="shared" si="63"/>
        <v>1997</v>
      </c>
      <c r="H2117" s="85">
        <v>43022</v>
      </c>
      <c r="I2117">
        <v>2932.05</v>
      </c>
    </row>
    <row r="2118" spans="1:9">
      <c r="A2118" s="68">
        <v>35684</v>
      </c>
      <c r="B2118" s="33">
        <v>1250.03</v>
      </c>
      <c r="C2118">
        <f t="shared" si="63"/>
        <v>1997</v>
      </c>
      <c r="H2118" s="85">
        <v>43023</v>
      </c>
      <c r="I2118">
        <v>2932.05</v>
      </c>
    </row>
    <row r="2119" spans="1:9">
      <c r="A2119" s="68">
        <v>35685</v>
      </c>
      <c r="B2119" s="32">
        <v>1232.1199999999999</v>
      </c>
      <c r="C2119">
        <f t="shared" si="63"/>
        <v>1997</v>
      </c>
      <c r="H2119" s="85">
        <v>43024</v>
      </c>
      <c r="I2119">
        <v>2932.05</v>
      </c>
    </row>
    <row r="2120" spans="1:9">
      <c r="A2120" s="68">
        <v>35686</v>
      </c>
      <c r="B2120" s="33">
        <v>1228.01</v>
      </c>
      <c r="C2120">
        <f t="shared" si="63"/>
        <v>1997</v>
      </c>
      <c r="H2120" s="85">
        <v>43025</v>
      </c>
      <c r="I2120">
        <v>2932.05</v>
      </c>
    </row>
    <row r="2121" spans="1:9">
      <c r="A2121" s="68">
        <v>35687</v>
      </c>
      <c r="B2121" s="32">
        <v>1228.01</v>
      </c>
      <c r="C2121">
        <f t="shared" si="63"/>
        <v>1997</v>
      </c>
      <c r="H2121" s="85">
        <v>43026</v>
      </c>
      <c r="I2121">
        <v>2944.27</v>
      </c>
    </row>
    <row r="2122" spans="1:9">
      <c r="A2122" s="68">
        <v>35688</v>
      </c>
      <c r="B2122" s="33">
        <v>1228.01</v>
      </c>
      <c r="C2122">
        <f t="shared" si="63"/>
        <v>1997</v>
      </c>
      <c r="H2122" s="85">
        <v>43027</v>
      </c>
      <c r="I2122">
        <v>2935.66</v>
      </c>
    </row>
    <row r="2123" spans="1:9">
      <c r="A2123" s="68">
        <v>35689</v>
      </c>
      <c r="B2123" s="32">
        <v>1245.06</v>
      </c>
      <c r="C2123">
        <f t="shared" si="63"/>
        <v>1997</v>
      </c>
      <c r="H2123" s="85">
        <v>43028</v>
      </c>
      <c r="I2123">
        <v>2921.92</v>
      </c>
    </row>
    <row r="2124" spans="1:9">
      <c r="A2124" s="68">
        <v>35690</v>
      </c>
      <c r="B2124" s="33">
        <v>1243.58</v>
      </c>
      <c r="C2124">
        <f t="shared" si="63"/>
        <v>1997</v>
      </c>
      <c r="H2124" s="85">
        <v>43029</v>
      </c>
      <c r="I2124">
        <v>2936.66</v>
      </c>
    </row>
    <row r="2125" spans="1:9">
      <c r="A2125" s="68">
        <v>35691</v>
      </c>
      <c r="B2125" s="32">
        <v>1241.83</v>
      </c>
      <c r="C2125">
        <f t="shared" si="63"/>
        <v>1997</v>
      </c>
      <c r="H2125" s="85">
        <v>43030</v>
      </c>
      <c r="I2125">
        <v>2936.66</v>
      </c>
    </row>
    <row r="2126" spans="1:9">
      <c r="A2126" s="68">
        <v>35692</v>
      </c>
      <c r="B2126" s="33">
        <v>1236.31</v>
      </c>
      <c r="C2126">
        <f t="shared" si="63"/>
        <v>1997</v>
      </c>
      <c r="H2126" s="85">
        <v>43031</v>
      </c>
      <c r="I2126">
        <v>2936.66</v>
      </c>
    </row>
    <row r="2127" spans="1:9">
      <c r="A2127" s="68">
        <v>35693</v>
      </c>
      <c r="B2127" s="32">
        <v>1238.29</v>
      </c>
      <c r="C2127">
        <f t="shared" si="63"/>
        <v>1997</v>
      </c>
      <c r="H2127" s="85">
        <v>43032</v>
      </c>
      <c r="I2127">
        <v>2947.69</v>
      </c>
    </row>
    <row r="2128" spans="1:9">
      <c r="A2128" s="68">
        <v>35694</v>
      </c>
      <c r="B2128" s="33">
        <v>1238.29</v>
      </c>
      <c r="C2128">
        <f t="shared" si="63"/>
        <v>1997</v>
      </c>
      <c r="H2128" s="85">
        <v>43033</v>
      </c>
      <c r="I2128">
        <v>2971.36</v>
      </c>
    </row>
    <row r="2129" spans="1:9">
      <c r="A2129" s="68">
        <v>35695</v>
      </c>
      <c r="B2129" s="32">
        <v>1238.29</v>
      </c>
      <c r="C2129">
        <f t="shared" si="63"/>
        <v>1997</v>
      </c>
      <c r="H2129" s="85">
        <v>43034</v>
      </c>
      <c r="I2129">
        <v>2989.39</v>
      </c>
    </row>
    <row r="2130" spans="1:9">
      <c r="A2130" s="68">
        <v>35696</v>
      </c>
      <c r="B2130" s="33">
        <v>1242.45</v>
      </c>
      <c r="C2130">
        <f t="shared" si="63"/>
        <v>1997</v>
      </c>
      <c r="H2130" s="85">
        <v>43035</v>
      </c>
      <c r="I2130">
        <v>3008.8</v>
      </c>
    </row>
    <row r="2131" spans="1:9">
      <c r="A2131" s="68">
        <v>35697</v>
      </c>
      <c r="B2131" s="32">
        <v>1248.83</v>
      </c>
      <c r="C2131">
        <f t="shared" si="63"/>
        <v>1997</v>
      </c>
      <c r="H2131" s="85">
        <v>43036</v>
      </c>
      <c r="I2131">
        <v>3009.85</v>
      </c>
    </row>
    <row r="2132" spans="1:9">
      <c r="A2132" s="68">
        <v>35698</v>
      </c>
      <c r="B2132" s="33">
        <v>1251.8800000000001</v>
      </c>
      <c r="C2132">
        <f t="shared" si="63"/>
        <v>1997</v>
      </c>
      <c r="H2132" s="85">
        <v>43037</v>
      </c>
      <c r="I2132">
        <v>3009.85</v>
      </c>
    </row>
    <row r="2133" spans="1:9">
      <c r="A2133" s="68">
        <v>35699</v>
      </c>
      <c r="B2133" s="32">
        <v>1249.73</v>
      </c>
      <c r="C2133">
        <f t="shared" si="63"/>
        <v>1997</v>
      </c>
      <c r="H2133" s="85">
        <v>43038</v>
      </c>
      <c r="I2133">
        <v>3009.85</v>
      </c>
    </row>
    <row r="2134" spans="1:9">
      <c r="A2134" s="68">
        <v>35700</v>
      </c>
      <c r="B2134" s="33">
        <v>1241.72</v>
      </c>
      <c r="C2134">
        <f t="shared" si="63"/>
        <v>1997</v>
      </c>
      <c r="H2134" s="85">
        <v>43039</v>
      </c>
      <c r="I2134">
        <v>3011.44</v>
      </c>
    </row>
    <row r="2135" spans="1:9">
      <c r="A2135" s="68">
        <v>35701</v>
      </c>
      <c r="B2135" s="32">
        <v>1241.72</v>
      </c>
      <c r="C2135">
        <f t="shared" si="63"/>
        <v>1997</v>
      </c>
      <c r="H2135" s="85">
        <v>43040</v>
      </c>
      <c r="I2135">
        <v>3039.19</v>
      </c>
    </row>
    <row r="2136" spans="1:9">
      <c r="A2136" s="68">
        <v>35702</v>
      </c>
      <c r="B2136" s="33">
        <v>1241.72</v>
      </c>
      <c r="C2136">
        <f t="shared" si="63"/>
        <v>1997</v>
      </c>
      <c r="H2136" s="85">
        <v>43041</v>
      </c>
      <c r="I2136">
        <v>3038.56</v>
      </c>
    </row>
    <row r="2137" spans="1:9">
      <c r="A2137" s="68">
        <v>35703</v>
      </c>
      <c r="B2137" s="32">
        <v>1246.27</v>
      </c>
      <c r="C2137">
        <f t="shared" si="63"/>
        <v>1997</v>
      </c>
      <c r="H2137" s="85">
        <v>43042</v>
      </c>
      <c r="I2137">
        <v>3054.38</v>
      </c>
    </row>
    <row r="2138" spans="1:9">
      <c r="A2138" s="68">
        <v>35704</v>
      </c>
      <c r="B2138" s="33">
        <v>1244.6300000000001</v>
      </c>
      <c r="C2138">
        <f t="shared" si="63"/>
        <v>1997</v>
      </c>
      <c r="H2138" s="85">
        <v>43043</v>
      </c>
      <c r="I2138">
        <v>3055.57</v>
      </c>
    </row>
    <row r="2139" spans="1:9">
      <c r="A2139" s="68">
        <v>35705</v>
      </c>
      <c r="B2139" s="32">
        <v>1243.27</v>
      </c>
      <c r="C2139">
        <f t="shared" si="63"/>
        <v>1997</v>
      </c>
      <c r="H2139" s="85">
        <v>43044</v>
      </c>
      <c r="I2139">
        <v>3055.57</v>
      </c>
    </row>
    <row r="2140" spans="1:9">
      <c r="A2140" s="68">
        <v>35706</v>
      </c>
      <c r="B2140" s="33">
        <v>1242.1600000000001</v>
      </c>
      <c r="C2140">
        <f t="shared" si="63"/>
        <v>1997</v>
      </c>
      <c r="H2140" s="85">
        <v>43045</v>
      </c>
      <c r="I2140">
        <v>3055.57</v>
      </c>
    </row>
    <row r="2141" spans="1:9">
      <c r="A2141" s="68">
        <v>35707</v>
      </c>
      <c r="B2141" s="32">
        <v>1244.8399999999999</v>
      </c>
      <c r="C2141">
        <f t="shared" si="63"/>
        <v>1997</v>
      </c>
      <c r="H2141" s="85">
        <v>43046</v>
      </c>
      <c r="I2141">
        <v>3055.57</v>
      </c>
    </row>
    <row r="2142" spans="1:9">
      <c r="A2142" s="68">
        <v>35708</v>
      </c>
      <c r="B2142" s="33">
        <v>1244.8399999999999</v>
      </c>
      <c r="C2142">
        <f t="shared" si="63"/>
        <v>1997</v>
      </c>
      <c r="H2142" s="85">
        <v>43047</v>
      </c>
      <c r="I2142">
        <v>3026.94</v>
      </c>
    </row>
    <row r="2143" spans="1:9">
      <c r="A2143" s="68">
        <v>35709</v>
      </c>
      <c r="B2143" s="32">
        <v>1244.8399999999999</v>
      </c>
      <c r="C2143">
        <f t="shared" si="63"/>
        <v>1997</v>
      </c>
      <c r="H2143" s="85">
        <v>43048</v>
      </c>
      <c r="I2143">
        <v>3017.78</v>
      </c>
    </row>
    <row r="2144" spans="1:9">
      <c r="A2144" s="68">
        <v>35710</v>
      </c>
      <c r="B2144" s="33">
        <v>1250.95</v>
      </c>
      <c r="C2144">
        <f t="shared" si="63"/>
        <v>1997</v>
      </c>
      <c r="H2144" s="85">
        <v>43049</v>
      </c>
      <c r="I2144">
        <v>3015.52</v>
      </c>
    </row>
    <row r="2145" spans="1:9">
      <c r="A2145" s="68">
        <v>35711</v>
      </c>
      <c r="B2145" s="32">
        <v>1247.51</v>
      </c>
      <c r="C2145">
        <f t="shared" si="63"/>
        <v>1997</v>
      </c>
      <c r="H2145" s="85">
        <v>43050</v>
      </c>
      <c r="I2145">
        <v>3004.88</v>
      </c>
    </row>
    <row r="2146" spans="1:9">
      <c r="A2146" s="68">
        <v>35712</v>
      </c>
      <c r="B2146" s="33">
        <v>1252.74</v>
      </c>
      <c r="C2146">
        <f t="shared" si="63"/>
        <v>1997</v>
      </c>
      <c r="H2146" s="85">
        <v>43051</v>
      </c>
      <c r="I2146">
        <v>3004.88</v>
      </c>
    </row>
    <row r="2147" spans="1:9">
      <c r="A2147" s="68">
        <v>35713</v>
      </c>
      <c r="B2147" s="32">
        <v>1258.04</v>
      </c>
      <c r="C2147">
        <f t="shared" si="63"/>
        <v>1997</v>
      </c>
      <c r="H2147" s="85">
        <v>43052</v>
      </c>
      <c r="I2147">
        <v>3004.88</v>
      </c>
    </row>
    <row r="2148" spans="1:9">
      <c r="A2148" s="68">
        <v>35714</v>
      </c>
      <c r="B2148" s="33">
        <v>1265.3800000000001</v>
      </c>
      <c r="C2148">
        <f t="shared" si="63"/>
        <v>1997</v>
      </c>
      <c r="H2148" s="85">
        <v>43053</v>
      </c>
      <c r="I2148">
        <v>3004.88</v>
      </c>
    </row>
    <row r="2149" spans="1:9">
      <c r="A2149" s="68">
        <v>35715</v>
      </c>
      <c r="B2149" s="32">
        <v>1265.3800000000001</v>
      </c>
      <c r="C2149">
        <f t="shared" si="63"/>
        <v>1997</v>
      </c>
      <c r="H2149" s="85">
        <v>43054</v>
      </c>
      <c r="I2149">
        <v>3016.7</v>
      </c>
    </row>
    <row r="2150" spans="1:9">
      <c r="A2150" s="68">
        <v>35716</v>
      </c>
      <c r="B2150" s="33">
        <v>1265.3800000000001</v>
      </c>
      <c r="C2150">
        <f t="shared" si="63"/>
        <v>1997</v>
      </c>
      <c r="H2150" s="85">
        <v>43055</v>
      </c>
      <c r="I2150">
        <v>3023.88</v>
      </c>
    </row>
    <row r="2151" spans="1:9">
      <c r="A2151" s="68">
        <v>35717</v>
      </c>
      <c r="B2151" s="32">
        <v>1265.3800000000001</v>
      </c>
      <c r="C2151">
        <f t="shared" si="63"/>
        <v>1997</v>
      </c>
      <c r="H2151" s="85">
        <v>43056</v>
      </c>
      <c r="I2151">
        <v>3015.79</v>
      </c>
    </row>
    <row r="2152" spans="1:9">
      <c r="A2152" s="68">
        <v>35718</v>
      </c>
      <c r="B2152" s="33">
        <v>1272.77</v>
      </c>
      <c r="C2152">
        <f t="shared" si="63"/>
        <v>1997</v>
      </c>
      <c r="H2152" s="85">
        <v>43057</v>
      </c>
      <c r="I2152">
        <v>3003.19</v>
      </c>
    </row>
    <row r="2153" spans="1:9">
      <c r="A2153" s="68">
        <v>35719</v>
      </c>
      <c r="B2153" s="32">
        <v>1263.79</v>
      </c>
      <c r="C2153">
        <f t="shared" si="63"/>
        <v>1997</v>
      </c>
      <c r="H2153" s="85">
        <v>43058</v>
      </c>
      <c r="I2153">
        <v>3003.19</v>
      </c>
    </row>
    <row r="2154" spans="1:9">
      <c r="A2154" s="68">
        <v>35720</v>
      </c>
      <c r="B2154" s="33">
        <v>1268.8699999999999</v>
      </c>
      <c r="C2154">
        <f t="shared" si="63"/>
        <v>1997</v>
      </c>
      <c r="H2154" s="85">
        <v>43059</v>
      </c>
      <c r="I2154">
        <v>3003.19</v>
      </c>
    </row>
    <row r="2155" spans="1:9">
      <c r="A2155" s="68">
        <v>35721</v>
      </c>
      <c r="B2155" s="32">
        <v>1264.7</v>
      </c>
      <c r="C2155">
        <f t="shared" si="63"/>
        <v>1997</v>
      </c>
      <c r="H2155" s="85">
        <v>43060</v>
      </c>
      <c r="I2155">
        <v>3011.32</v>
      </c>
    </row>
    <row r="2156" spans="1:9">
      <c r="A2156" s="68">
        <v>35722</v>
      </c>
      <c r="B2156" s="33">
        <v>1264.7</v>
      </c>
      <c r="C2156">
        <f t="shared" si="63"/>
        <v>1997</v>
      </c>
      <c r="H2156" s="85">
        <v>43061</v>
      </c>
      <c r="I2156">
        <v>3001.07</v>
      </c>
    </row>
    <row r="2157" spans="1:9">
      <c r="A2157" s="68">
        <v>35723</v>
      </c>
      <c r="B2157" s="32">
        <v>1264.7</v>
      </c>
      <c r="C2157">
        <f t="shared" si="63"/>
        <v>1997</v>
      </c>
      <c r="H2157" s="85">
        <v>43062</v>
      </c>
      <c r="I2157">
        <v>2982.73</v>
      </c>
    </row>
    <row r="2158" spans="1:9">
      <c r="A2158" s="68">
        <v>35724</v>
      </c>
      <c r="B2158" s="33">
        <v>1264.5999999999999</v>
      </c>
      <c r="C2158">
        <f t="shared" si="63"/>
        <v>1997</v>
      </c>
      <c r="H2158" s="85">
        <v>43063</v>
      </c>
      <c r="I2158">
        <v>2982.73</v>
      </c>
    </row>
    <row r="2159" spans="1:9">
      <c r="A2159" s="68">
        <v>35725</v>
      </c>
      <c r="B2159" s="32">
        <v>1264.32</v>
      </c>
      <c r="C2159">
        <f t="shared" si="63"/>
        <v>1997</v>
      </c>
      <c r="H2159" s="85">
        <v>43064</v>
      </c>
      <c r="I2159">
        <v>2976.39</v>
      </c>
    </row>
    <row r="2160" spans="1:9">
      <c r="A2160" s="68">
        <v>35726</v>
      </c>
      <c r="B2160" s="33">
        <v>1267.8699999999999</v>
      </c>
      <c r="C2160">
        <f t="shared" si="63"/>
        <v>1997</v>
      </c>
      <c r="H2160" s="85">
        <v>43065</v>
      </c>
      <c r="I2160">
        <v>2976.39</v>
      </c>
    </row>
    <row r="2161" spans="1:9">
      <c r="A2161" s="68">
        <v>35727</v>
      </c>
      <c r="B2161" s="32">
        <v>1267.0999999999999</v>
      </c>
      <c r="C2161">
        <f t="shared" si="63"/>
        <v>1997</v>
      </c>
      <c r="H2161" s="85">
        <v>43066</v>
      </c>
      <c r="I2161">
        <v>2976.39</v>
      </c>
    </row>
    <row r="2162" spans="1:9">
      <c r="A2162" s="68">
        <v>35728</v>
      </c>
      <c r="B2162" s="33">
        <v>1272.02</v>
      </c>
      <c r="C2162">
        <f t="shared" si="63"/>
        <v>1997</v>
      </c>
      <c r="H2162" s="85">
        <v>43067</v>
      </c>
      <c r="I2162">
        <v>2986.84</v>
      </c>
    </row>
    <row r="2163" spans="1:9">
      <c r="A2163" s="68">
        <v>35729</v>
      </c>
      <c r="B2163" s="32">
        <v>1272.02</v>
      </c>
      <c r="C2163">
        <f t="shared" si="63"/>
        <v>1997</v>
      </c>
      <c r="H2163" s="85">
        <v>43068</v>
      </c>
      <c r="I2163">
        <v>3003.94</v>
      </c>
    </row>
    <row r="2164" spans="1:9">
      <c r="A2164" s="68">
        <v>35730</v>
      </c>
      <c r="B2164" s="33">
        <v>1272.02</v>
      </c>
      <c r="C2164">
        <f t="shared" si="63"/>
        <v>1997</v>
      </c>
      <c r="H2164" s="85">
        <v>43069</v>
      </c>
      <c r="I2164">
        <v>3006.09</v>
      </c>
    </row>
    <row r="2165" spans="1:9">
      <c r="A2165" s="68">
        <v>35731</v>
      </c>
      <c r="B2165" s="32">
        <v>1274.05</v>
      </c>
      <c r="C2165">
        <f t="shared" si="63"/>
        <v>1997</v>
      </c>
      <c r="H2165" s="85">
        <v>43070</v>
      </c>
      <c r="I2165">
        <v>3006.04</v>
      </c>
    </row>
    <row r="2166" spans="1:9">
      <c r="A2166" s="68">
        <v>35732</v>
      </c>
      <c r="B2166" s="33">
        <v>1289.8399999999999</v>
      </c>
      <c r="C2166">
        <f t="shared" si="63"/>
        <v>1997</v>
      </c>
      <c r="H2166" s="85">
        <v>43071</v>
      </c>
      <c r="I2166">
        <v>3005.76</v>
      </c>
    </row>
    <row r="2167" spans="1:9">
      <c r="A2167" s="68">
        <v>35733</v>
      </c>
      <c r="B2167" s="32">
        <v>1282.82</v>
      </c>
      <c r="C2167">
        <f t="shared" si="63"/>
        <v>1997</v>
      </c>
      <c r="H2167" s="85">
        <v>43072</v>
      </c>
      <c r="I2167">
        <v>3005.76</v>
      </c>
    </row>
    <row r="2168" spans="1:9">
      <c r="A2168" s="68">
        <v>35734</v>
      </c>
      <c r="B2168" s="33">
        <v>1281.2</v>
      </c>
      <c r="C2168">
        <f t="shared" si="63"/>
        <v>1997</v>
      </c>
      <c r="H2168" s="85">
        <v>43073</v>
      </c>
      <c r="I2168">
        <v>3005.76</v>
      </c>
    </row>
    <row r="2169" spans="1:9">
      <c r="A2169" s="68">
        <v>35735</v>
      </c>
      <c r="B2169" s="32">
        <v>1284.6500000000001</v>
      </c>
      <c r="C2169">
        <f t="shared" si="63"/>
        <v>1997</v>
      </c>
      <c r="H2169" s="85">
        <v>43074</v>
      </c>
      <c r="I2169">
        <v>2993.49</v>
      </c>
    </row>
    <row r="2170" spans="1:9">
      <c r="A2170" s="68">
        <v>35736</v>
      </c>
      <c r="B2170" s="33">
        <v>1284.6500000000001</v>
      </c>
      <c r="C2170">
        <f t="shared" si="63"/>
        <v>1997</v>
      </c>
      <c r="H2170" s="85">
        <v>43075</v>
      </c>
      <c r="I2170">
        <v>2996.53</v>
      </c>
    </row>
    <row r="2171" spans="1:9">
      <c r="A2171" s="68">
        <v>35737</v>
      </c>
      <c r="B2171" s="32">
        <v>1284.6500000000001</v>
      </c>
      <c r="C2171">
        <f t="shared" si="63"/>
        <v>1997</v>
      </c>
      <c r="H2171" s="85">
        <v>43076</v>
      </c>
      <c r="I2171">
        <v>3007.07</v>
      </c>
    </row>
    <row r="2172" spans="1:9">
      <c r="A2172" s="68">
        <v>35738</v>
      </c>
      <c r="B2172" s="33">
        <v>1284.6500000000001</v>
      </c>
      <c r="C2172">
        <f t="shared" si="63"/>
        <v>1997</v>
      </c>
      <c r="H2172" s="85">
        <v>43077</v>
      </c>
      <c r="I2172">
        <v>3016.18</v>
      </c>
    </row>
    <row r="2173" spans="1:9">
      <c r="A2173" s="68">
        <v>35739</v>
      </c>
      <c r="B2173" s="32">
        <v>1284.6300000000001</v>
      </c>
      <c r="C2173">
        <f t="shared" si="63"/>
        <v>1997</v>
      </c>
      <c r="H2173" s="85">
        <v>43078</v>
      </c>
      <c r="I2173">
        <v>3016.18</v>
      </c>
    </row>
    <row r="2174" spans="1:9">
      <c r="A2174" s="68">
        <v>35740</v>
      </c>
      <c r="B2174" s="33">
        <v>1281.18</v>
      </c>
      <c r="C2174">
        <f t="shared" si="63"/>
        <v>1997</v>
      </c>
      <c r="H2174" s="85">
        <v>43079</v>
      </c>
      <c r="I2174">
        <v>3016.18</v>
      </c>
    </row>
    <row r="2175" spans="1:9">
      <c r="A2175" s="68">
        <v>35741</v>
      </c>
      <c r="B2175" s="32">
        <v>1286.73</v>
      </c>
      <c r="C2175">
        <f t="shared" si="63"/>
        <v>1997</v>
      </c>
      <c r="H2175" s="85">
        <v>43080</v>
      </c>
      <c r="I2175">
        <v>3016.18</v>
      </c>
    </row>
    <row r="2176" spans="1:9">
      <c r="A2176" s="68">
        <v>35742</v>
      </c>
      <c r="B2176" s="33">
        <v>1291.3499999999999</v>
      </c>
      <c r="C2176">
        <f t="shared" si="63"/>
        <v>1997</v>
      </c>
      <c r="H2176" s="85">
        <v>43081</v>
      </c>
      <c r="I2176">
        <v>3013.99</v>
      </c>
    </row>
    <row r="2177" spans="1:9">
      <c r="A2177" s="68">
        <v>35743</v>
      </c>
      <c r="B2177" s="32">
        <v>1291.3499999999999</v>
      </c>
      <c r="C2177">
        <f t="shared" si="63"/>
        <v>1997</v>
      </c>
      <c r="H2177" s="85">
        <v>43082</v>
      </c>
      <c r="I2177">
        <v>3029.75</v>
      </c>
    </row>
    <row r="2178" spans="1:9">
      <c r="A2178" s="68">
        <v>35744</v>
      </c>
      <c r="B2178" s="33">
        <v>1291.3499999999999</v>
      </c>
      <c r="C2178">
        <f t="shared" si="63"/>
        <v>1997</v>
      </c>
      <c r="H2178" s="85">
        <v>43083</v>
      </c>
      <c r="I2178">
        <v>3015.41</v>
      </c>
    </row>
    <row r="2179" spans="1:9">
      <c r="A2179" s="68">
        <v>35745</v>
      </c>
      <c r="B2179" s="32">
        <v>1295.52</v>
      </c>
      <c r="C2179">
        <f t="shared" si="63"/>
        <v>1997</v>
      </c>
      <c r="H2179" s="85">
        <v>43084</v>
      </c>
      <c r="I2179">
        <v>2999.07</v>
      </c>
    </row>
    <row r="2180" spans="1:9">
      <c r="A2180" s="68">
        <v>35746</v>
      </c>
      <c r="B2180" s="33">
        <v>1294.51</v>
      </c>
      <c r="C2180">
        <f t="shared" ref="C2180:C2243" si="64">YEAR(A2180)</f>
        <v>1997</v>
      </c>
      <c r="H2180" s="85">
        <v>43085</v>
      </c>
      <c r="I2180">
        <v>2996.61</v>
      </c>
    </row>
    <row r="2181" spans="1:9">
      <c r="A2181" s="68">
        <v>35747</v>
      </c>
      <c r="B2181" s="32">
        <v>1296.6600000000001</v>
      </c>
      <c r="C2181">
        <f t="shared" si="64"/>
        <v>1997</v>
      </c>
      <c r="H2181" s="85">
        <v>43086</v>
      </c>
      <c r="I2181">
        <v>2996.61</v>
      </c>
    </row>
    <row r="2182" spans="1:9">
      <c r="A2182" s="68">
        <v>35748</v>
      </c>
      <c r="B2182" s="33">
        <v>1297.8699999999999</v>
      </c>
      <c r="C2182">
        <f t="shared" si="64"/>
        <v>1997</v>
      </c>
      <c r="H2182" s="85">
        <v>43087</v>
      </c>
      <c r="I2182">
        <v>2996.61</v>
      </c>
    </row>
    <row r="2183" spans="1:9">
      <c r="A2183" s="68">
        <v>35749</v>
      </c>
      <c r="B2183" s="32">
        <v>1298.04</v>
      </c>
      <c r="C2183">
        <f t="shared" si="64"/>
        <v>1997</v>
      </c>
      <c r="H2183" s="85">
        <v>43088</v>
      </c>
      <c r="I2183">
        <v>2975.59</v>
      </c>
    </row>
    <row r="2184" spans="1:9">
      <c r="A2184" s="68">
        <v>35750</v>
      </c>
      <c r="B2184" s="33">
        <v>1298.04</v>
      </c>
      <c r="C2184">
        <f t="shared" si="64"/>
        <v>1997</v>
      </c>
      <c r="H2184" s="85">
        <v>43089</v>
      </c>
      <c r="I2184">
        <v>2972.05</v>
      </c>
    </row>
    <row r="2185" spans="1:9">
      <c r="A2185" s="68">
        <v>35751</v>
      </c>
      <c r="B2185" s="32">
        <v>1298.04</v>
      </c>
      <c r="C2185">
        <f t="shared" si="64"/>
        <v>1997</v>
      </c>
      <c r="H2185" s="85">
        <v>43090</v>
      </c>
      <c r="I2185">
        <v>2965.77</v>
      </c>
    </row>
    <row r="2186" spans="1:9">
      <c r="A2186" s="68">
        <v>35752</v>
      </c>
      <c r="B2186" s="33">
        <v>1298.04</v>
      </c>
      <c r="C2186">
        <f t="shared" si="64"/>
        <v>1997</v>
      </c>
      <c r="H2186" s="85">
        <v>43091</v>
      </c>
      <c r="I2186">
        <v>2963.58</v>
      </c>
    </row>
    <row r="2187" spans="1:9">
      <c r="A2187" s="68">
        <v>35753</v>
      </c>
      <c r="B2187" s="32">
        <v>1297.94</v>
      </c>
      <c r="C2187">
        <f t="shared" si="64"/>
        <v>1997</v>
      </c>
      <c r="H2187" s="85">
        <v>43092</v>
      </c>
      <c r="I2187">
        <v>2962.14</v>
      </c>
    </row>
    <row r="2188" spans="1:9">
      <c r="A2188" s="68">
        <v>35754</v>
      </c>
      <c r="B2188" s="33">
        <v>1296.6199999999999</v>
      </c>
      <c r="C2188">
        <f t="shared" si="64"/>
        <v>1997</v>
      </c>
      <c r="H2188" s="85">
        <v>43093</v>
      </c>
      <c r="I2188">
        <v>2962.14</v>
      </c>
    </row>
    <row r="2189" spans="1:9">
      <c r="A2189" s="68">
        <v>35755</v>
      </c>
      <c r="B2189" s="32">
        <v>1298.19</v>
      </c>
      <c r="C2189">
        <f t="shared" si="64"/>
        <v>1997</v>
      </c>
      <c r="H2189" s="85">
        <v>43094</v>
      </c>
      <c r="I2189">
        <v>2962.14</v>
      </c>
    </row>
    <row r="2190" spans="1:9">
      <c r="A2190" s="68">
        <v>35756</v>
      </c>
      <c r="B2190" s="33">
        <v>1296.3</v>
      </c>
      <c r="C2190">
        <f t="shared" si="64"/>
        <v>1997</v>
      </c>
      <c r="H2190" s="85">
        <v>43095</v>
      </c>
      <c r="I2190">
        <v>2962.14</v>
      </c>
    </row>
    <row r="2191" spans="1:9">
      <c r="A2191" s="68">
        <v>35757</v>
      </c>
      <c r="B2191" s="32">
        <v>1296.3</v>
      </c>
      <c r="C2191">
        <f t="shared" si="64"/>
        <v>1997</v>
      </c>
      <c r="H2191" s="85">
        <v>43096</v>
      </c>
      <c r="I2191">
        <v>2962.26</v>
      </c>
    </row>
    <row r="2192" spans="1:9">
      <c r="A2192" s="68">
        <v>35758</v>
      </c>
      <c r="B2192" s="33">
        <v>1296.3</v>
      </c>
      <c r="C2192">
        <f t="shared" si="64"/>
        <v>1997</v>
      </c>
      <c r="H2192" s="85">
        <v>43097</v>
      </c>
      <c r="I2192">
        <v>2971.63</v>
      </c>
    </row>
    <row r="2193" spans="1:9">
      <c r="A2193" s="68">
        <v>35759</v>
      </c>
      <c r="B2193" s="32">
        <v>1296.3699999999999</v>
      </c>
      <c r="C2193">
        <f t="shared" si="64"/>
        <v>1997</v>
      </c>
      <c r="H2193" s="85">
        <v>43098</v>
      </c>
      <c r="I2193">
        <v>2984</v>
      </c>
    </row>
    <row r="2194" spans="1:9">
      <c r="A2194" s="68">
        <v>35760</v>
      </c>
      <c r="B2194" s="33">
        <v>1299.19</v>
      </c>
      <c r="C2194">
        <f t="shared" si="64"/>
        <v>1997</v>
      </c>
      <c r="H2194" s="85">
        <v>43099</v>
      </c>
      <c r="I2194">
        <v>2984</v>
      </c>
    </row>
    <row r="2195" spans="1:9">
      <c r="A2195" s="68">
        <v>35761</v>
      </c>
      <c r="B2195" s="32">
        <v>1303.1500000000001</v>
      </c>
      <c r="C2195">
        <f t="shared" si="64"/>
        <v>1997</v>
      </c>
      <c r="H2195" s="85">
        <v>43100</v>
      </c>
      <c r="I2195">
        <v>2984</v>
      </c>
    </row>
    <row r="2196" spans="1:9">
      <c r="A2196" s="68">
        <v>35762</v>
      </c>
      <c r="B2196" s="33">
        <v>1303.0999999999999</v>
      </c>
      <c r="C2196">
        <f t="shared" si="64"/>
        <v>1997</v>
      </c>
      <c r="H2196" s="85">
        <v>43101</v>
      </c>
      <c r="I2196">
        <v>2984</v>
      </c>
    </row>
    <row r="2197" spans="1:9">
      <c r="A2197" s="68">
        <v>35763</v>
      </c>
      <c r="B2197" s="32">
        <v>1305.6600000000001</v>
      </c>
      <c r="C2197">
        <f t="shared" si="64"/>
        <v>1997</v>
      </c>
      <c r="H2197" s="85">
        <v>43102</v>
      </c>
      <c r="I2197">
        <v>2984</v>
      </c>
    </row>
    <row r="2198" spans="1:9">
      <c r="A2198" s="68">
        <v>35764</v>
      </c>
      <c r="B2198" s="33">
        <v>1305.6600000000001</v>
      </c>
      <c r="C2198">
        <f t="shared" si="64"/>
        <v>1997</v>
      </c>
      <c r="H2198" s="85">
        <v>43103</v>
      </c>
      <c r="I2198">
        <v>2940.94</v>
      </c>
    </row>
    <row r="2199" spans="1:9">
      <c r="A2199" s="68">
        <v>35765</v>
      </c>
      <c r="B2199" s="32">
        <v>1305.6600000000001</v>
      </c>
      <c r="C2199">
        <f t="shared" si="64"/>
        <v>1997</v>
      </c>
      <c r="H2199" s="85">
        <v>43104</v>
      </c>
      <c r="I2199">
        <v>2908.68</v>
      </c>
    </row>
    <row r="2200" spans="1:9">
      <c r="A2200" s="68">
        <v>35766</v>
      </c>
      <c r="B2200" s="33">
        <v>1307.54</v>
      </c>
      <c r="C2200">
        <f t="shared" si="64"/>
        <v>1997</v>
      </c>
      <c r="H2200" s="85">
        <v>43105</v>
      </c>
      <c r="I2200">
        <v>2885.76</v>
      </c>
    </row>
    <row r="2201" spans="1:9">
      <c r="A2201" s="68">
        <v>35767</v>
      </c>
      <c r="B2201" s="32">
        <v>1307.01</v>
      </c>
      <c r="C2201">
        <f t="shared" si="64"/>
        <v>1997</v>
      </c>
      <c r="H2201" s="85">
        <v>43106</v>
      </c>
      <c r="I2201">
        <v>2898.32</v>
      </c>
    </row>
    <row r="2202" spans="1:9">
      <c r="A2202" s="68">
        <v>35768</v>
      </c>
      <c r="B2202" s="33">
        <v>1299.43</v>
      </c>
      <c r="C2202">
        <f t="shared" si="64"/>
        <v>1997</v>
      </c>
      <c r="H2202" s="85">
        <v>43107</v>
      </c>
      <c r="I2202">
        <v>2898.32</v>
      </c>
    </row>
    <row r="2203" spans="1:9">
      <c r="A2203" s="68">
        <v>35769</v>
      </c>
      <c r="B2203" s="32">
        <v>1298.6400000000001</v>
      </c>
      <c r="C2203">
        <f t="shared" si="64"/>
        <v>1997</v>
      </c>
      <c r="H2203" s="85">
        <v>43108</v>
      </c>
      <c r="I2203">
        <v>2898.32</v>
      </c>
    </row>
    <row r="2204" spans="1:9">
      <c r="A2204" s="68">
        <v>35770</v>
      </c>
      <c r="B2204" s="33">
        <v>1300.55</v>
      </c>
      <c r="C2204">
        <f t="shared" si="64"/>
        <v>1997</v>
      </c>
      <c r="H2204" s="85">
        <v>43109</v>
      </c>
      <c r="I2204">
        <v>2898.32</v>
      </c>
    </row>
    <row r="2205" spans="1:9">
      <c r="A2205" s="68">
        <v>35771</v>
      </c>
      <c r="B2205" s="32">
        <v>1300.55</v>
      </c>
      <c r="C2205">
        <f t="shared" si="64"/>
        <v>1997</v>
      </c>
      <c r="H2205" s="85">
        <v>43110</v>
      </c>
      <c r="I2205">
        <v>2914.37</v>
      </c>
    </row>
    <row r="2206" spans="1:9">
      <c r="A2206" s="68">
        <v>35772</v>
      </c>
      <c r="B2206" s="33">
        <v>1300.55</v>
      </c>
      <c r="C2206">
        <f t="shared" si="64"/>
        <v>1997</v>
      </c>
      <c r="H2206" s="85">
        <v>43111</v>
      </c>
      <c r="I2206">
        <v>2895.69</v>
      </c>
    </row>
    <row r="2207" spans="1:9">
      <c r="A2207" s="68">
        <v>35773</v>
      </c>
      <c r="B2207" s="32">
        <v>1300.55</v>
      </c>
      <c r="C2207">
        <f t="shared" si="64"/>
        <v>1997</v>
      </c>
      <c r="H2207" s="85">
        <v>43112</v>
      </c>
      <c r="I2207">
        <v>2865.79</v>
      </c>
    </row>
    <row r="2208" spans="1:9">
      <c r="A2208" s="68">
        <v>35774</v>
      </c>
      <c r="B2208" s="33">
        <v>1298.78</v>
      </c>
      <c r="C2208">
        <f t="shared" si="64"/>
        <v>1997</v>
      </c>
      <c r="H2208" s="85">
        <v>43113</v>
      </c>
      <c r="I2208">
        <v>2855.86</v>
      </c>
    </row>
    <row r="2209" spans="1:9">
      <c r="A2209" s="68">
        <v>35775</v>
      </c>
      <c r="B2209" s="32">
        <v>1301.1500000000001</v>
      </c>
      <c r="C2209">
        <f t="shared" si="64"/>
        <v>1997</v>
      </c>
      <c r="H2209" s="85">
        <v>43114</v>
      </c>
      <c r="I2209">
        <v>2855.86</v>
      </c>
    </row>
    <row r="2210" spans="1:9">
      <c r="A2210" s="68">
        <v>35776</v>
      </c>
      <c r="B2210" s="33">
        <v>1304.8499999999999</v>
      </c>
      <c r="C2210">
        <f t="shared" si="64"/>
        <v>1997</v>
      </c>
      <c r="H2210" s="85">
        <v>43115</v>
      </c>
      <c r="I2210">
        <v>2855.86</v>
      </c>
    </row>
    <row r="2211" spans="1:9">
      <c r="A2211" s="68">
        <v>35777</v>
      </c>
      <c r="B2211" s="32">
        <v>1307.42</v>
      </c>
      <c r="C2211">
        <f t="shared" si="64"/>
        <v>1997</v>
      </c>
      <c r="H2211" s="85">
        <v>43116</v>
      </c>
      <c r="I2211">
        <v>2855.86</v>
      </c>
    </row>
    <row r="2212" spans="1:9">
      <c r="A2212" s="68">
        <v>35778</v>
      </c>
      <c r="B2212" s="33">
        <v>1307.42</v>
      </c>
      <c r="C2212">
        <f t="shared" si="64"/>
        <v>1997</v>
      </c>
      <c r="H2212" s="85">
        <v>43117</v>
      </c>
      <c r="I2212">
        <v>2868.03</v>
      </c>
    </row>
    <row r="2213" spans="1:9">
      <c r="A2213" s="68">
        <v>35779</v>
      </c>
      <c r="B2213" s="32">
        <v>1307.42</v>
      </c>
      <c r="C2213">
        <f t="shared" si="64"/>
        <v>1997</v>
      </c>
      <c r="H2213" s="85">
        <v>43118</v>
      </c>
      <c r="I2213">
        <v>2851.13</v>
      </c>
    </row>
    <row r="2214" spans="1:9">
      <c r="A2214" s="68">
        <v>35780</v>
      </c>
      <c r="B2214" s="33">
        <v>1304.02</v>
      </c>
      <c r="C2214">
        <f t="shared" si="64"/>
        <v>1997</v>
      </c>
      <c r="H2214" s="85">
        <v>43119</v>
      </c>
      <c r="I2214">
        <v>2836.85</v>
      </c>
    </row>
    <row r="2215" spans="1:9">
      <c r="A2215" s="68">
        <v>35781</v>
      </c>
      <c r="B2215" s="32">
        <v>1296.3</v>
      </c>
      <c r="C2215">
        <f t="shared" si="64"/>
        <v>1997</v>
      </c>
      <c r="H2215" s="85">
        <v>43120</v>
      </c>
      <c r="I2215">
        <v>2851.75</v>
      </c>
    </row>
    <row r="2216" spans="1:9">
      <c r="A2216" s="68">
        <v>35782</v>
      </c>
      <c r="B2216" s="33">
        <v>1286.74</v>
      </c>
      <c r="C2216">
        <f t="shared" si="64"/>
        <v>1997</v>
      </c>
      <c r="H2216" s="85">
        <v>43121</v>
      </c>
      <c r="I2216">
        <v>2851.75</v>
      </c>
    </row>
    <row r="2217" spans="1:9">
      <c r="A2217" s="68">
        <v>35783</v>
      </c>
      <c r="B2217" s="32">
        <v>1286.1199999999999</v>
      </c>
      <c r="C2217">
        <f t="shared" si="64"/>
        <v>1997</v>
      </c>
      <c r="H2217" s="85">
        <v>43122</v>
      </c>
      <c r="I2217">
        <v>2851.75</v>
      </c>
    </row>
    <row r="2218" spans="1:9">
      <c r="A2218" s="68">
        <v>35784</v>
      </c>
      <c r="B2218" s="33">
        <v>1287.51</v>
      </c>
      <c r="C2218">
        <f t="shared" si="64"/>
        <v>1997</v>
      </c>
      <c r="H2218" s="85">
        <v>43123</v>
      </c>
      <c r="I2218">
        <v>2854.2</v>
      </c>
    </row>
    <row r="2219" spans="1:9">
      <c r="A2219" s="68">
        <v>35785</v>
      </c>
      <c r="B2219" s="32">
        <v>1287.51</v>
      </c>
      <c r="C2219">
        <f t="shared" si="64"/>
        <v>1997</v>
      </c>
      <c r="H2219" s="85">
        <v>43124</v>
      </c>
      <c r="I2219">
        <v>2858.5</v>
      </c>
    </row>
    <row r="2220" spans="1:9">
      <c r="A2220" s="68">
        <v>35786</v>
      </c>
      <c r="B2220" s="33">
        <v>1287.51</v>
      </c>
      <c r="C2220">
        <f t="shared" si="64"/>
        <v>1997</v>
      </c>
      <c r="H2220" s="85">
        <v>43125</v>
      </c>
      <c r="I2220">
        <v>2820.53</v>
      </c>
    </row>
    <row r="2221" spans="1:9">
      <c r="A2221" s="68">
        <v>35787</v>
      </c>
      <c r="B2221" s="32">
        <v>1288.32</v>
      </c>
      <c r="C2221">
        <f t="shared" si="64"/>
        <v>1997</v>
      </c>
      <c r="H2221" s="85">
        <v>43126</v>
      </c>
      <c r="I2221">
        <v>2783.13</v>
      </c>
    </row>
    <row r="2222" spans="1:9">
      <c r="A2222" s="68">
        <v>35788</v>
      </c>
      <c r="B2222" s="33">
        <v>1281.5999999999999</v>
      </c>
      <c r="C2222">
        <f t="shared" si="64"/>
        <v>1997</v>
      </c>
      <c r="H2222" s="85">
        <v>43127</v>
      </c>
      <c r="I2222">
        <v>2805.12</v>
      </c>
    </row>
    <row r="2223" spans="1:9">
      <c r="A2223" s="68">
        <v>35789</v>
      </c>
      <c r="B2223" s="32">
        <v>1281.5999999999999</v>
      </c>
      <c r="C2223">
        <f t="shared" si="64"/>
        <v>1997</v>
      </c>
      <c r="H2223" s="85">
        <v>43128</v>
      </c>
      <c r="I2223">
        <v>2805.12</v>
      </c>
    </row>
    <row r="2224" spans="1:9">
      <c r="A2224" s="68">
        <v>35790</v>
      </c>
      <c r="B2224" s="33">
        <v>1281.5999999999999</v>
      </c>
      <c r="C2224">
        <f t="shared" si="64"/>
        <v>1997</v>
      </c>
      <c r="H2224" s="85">
        <v>43129</v>
      </c>
      <c r="I2224">
        <v>2805.12</v>
      </c>
    </row>
    <row r="2225" spans="1:9">
      <c r="A2225" s="68">
        <v>35791</v>
      </c>
      <c r="B2225" s="32">
        <v>1286.92</v>
      </c>
      <c r="C2225">
        <f t="shared" si="64"/>
        <v>1997</v>
      </c>
      <c r="H2225" s="85">
        <v>43130</v>
      </c>
      <c r="I2225">
        <v>2842.67</v>
      </c>
    </row>
    <row r="2226" spans="1:9">
      <c r="A2226" s="68">
        <v>35792</v>
      </c>
      <c r="B2226" s="33">
        <v>1286.92</v>
      </c>
      <c r="C2226">
        <f t="shared" si="64"/>
        <v>1997</v>
      </c>
      <c r="H2226" s="85">
        <v>43131</v>
      </c>
      <c r="I2226">
        <v>2844.14</v>
      </c>
    </row>
    <row r="2227" spans="1:9">
      <c r="A2227" s="68">
        <v>35793</v>
      </c>
      <c r="B2227" s="32">
        <v>1286.92</v>
      </c>
      <c r="C2227">
        <f t="shared" si="64"/>
        <v>1997</v>
      </c>
      <c r="H2227" s="85">
        <v>43132</v>
      </c>
      <c r="I2227">
        <v>2835.05</v>
      </c>
    </row>
    <row r="2228" spans="1:9">
      <c r="A2228" s="68">
        <v>35794</v>
      </c>
      <c r="B2228" s="33">
        <v>1291.92</v>
      </c>
      <c r="C2228">
        <f t="shared" si="64"/>
        <v>1997</v>
      </c>
      <c r="H2228" s="85">
        <v>43133</v>
      </c>
      <c r="I2228">
        <v>2806.67</v>
      </c>
    </row>
    <row r="2229" spans="1:9">
      <c r="A2229" s="68">
        <v>35795</v>
      </c>
      <c r="B2229" s="32">
        <v>1293.58</v>
      </c>
      <c r="C2229">
        <f t="shared" si="64"/>
        <v>1997</v>
      </c>
      <c r="H2229" s="85">
        <v>43134</v>
      </c>
      <c r="I2229">
        <v>2832.13</v>
      </c>
    </row>
    <row r="2230" spans="1:9">
      <c r="A2230" s="68">
        <v>35796</v>
      </c>
      <c r="B2230" s="33">
        <v>1293.58</v>
      </c>
      <c r="C2230">
        <f t="shared" si="64"/>
        <v>1998</v>
      </c>
      <c r="H2230" s="85">
        <v>43135</v>
      </c>
      <c r="I2230">
        <v>2832.13</v>
      </c>
    </row>
    <row r="2231" spans="1:9">
      <c r="A2231" s="68">
        <v>35797</v>
      </c>
      <c r="B2231" s="32">
        <v>1293.58</v>
      </c>
      <c r="C2231">
        <f t="shared" si="64"/>
        <v>1998</v>
      </c>
      <c r="H2231" s="85">
        <v>43136</v>
      </c>
      <c r="I2231">
        <v>2832.13</v>
      </c>
    </row>
    <row r="2232" spans="1:9">
      <c r="A2232" s="68">
        <v>35798</v>
      </c>
      <c r="B2232" s="33">
        <v>1304.33</v>
      </c>
      <c r="C2232">
        <f t="shared" si="64"/>
        <v>1998</v>
      </c>
      <c r="H2232" s="85">
        <v>43137</v>
      </c>
      <c r="I2232">
        <v>2843.6</v>
      </c>
    </row>
    <row r="2233" spans="1:9">
      <c r="A2233" s="68">
        <v>35799</v>
      </c>
      <c r="B2233" s="32">
        <v>1304.33</v>
      </c>
      <c r="C2233">
        <f t="shared" si="64"/>
        <v>1998</v>
      </c>
      <c r="H2233" s="85">
        <v>43138</v>
      </c>
      <c r="I2233">
        <v>2844.83</v>
      </c>
    </row>
    <row r="2234" spans="1:9">
      <c r="A2234" s="68">
        <v>35800</v>
      </c>
      <c r="B2234" s="33">
        <v>1304.33</v>
      </c>
      <c r="C2234">
        <f t="shared" si="64"/>
        <v>1998</v>
      </c>
      <c r="H2234" s="85">
        <v>43139</v>
      </c>
      <c r="I2234">
        <v>2830.89</v>
      </c>
    </row>
    <row r="2235" spans="1:9">
      <c r="A2235" s="68">
        <v>35801</v>
      </c>
      <c r="B2235" s="32">
        <v>1317.15</v>
      </c>
      <c r="C2235">
        <f t="shared" si="64"/>
        <v>1998</v>
      </c>
      <c r="H2235" s="85">
        <v>43140</v>
      </c>
      <c r="I2235">
        <v>2862.78</v>
      </c>
    </row>
    <row r="2236" spans="1:9">
      <c r="A2236" s="68">
        <v>35802</v>
      </c>
      <c r="B2236" s="33">
        <v>1318.57</v>
      </c>
      <c r="C2236">
        <f t="shared" si="64"/>
        <v>1998</v>
      </c>
      <c r="H2236" s="85">
        <v>43141</v>
      </c>
      <c r="I2236">
        <v>2908.7</v>
      </c>
    </row>
    <row r="2237" spans="1:9">
      <c r="A2237" s="68">
        <v>35803</v>
      </c>
      <c r="B2237" s="32">
        <v>1315.95</v>
      </c>
      <c r="C2237">
        <f t="shared" si="64"/>
        <v>1998</v>
      </c>
      <c r="H2237" s="85">
        <v>43142</v>
      </c>
      <c r="I2237">
        <v>2908.7</v>
      </c>
    </row>
    <row r="2238" spans="1:9">
      <c r="A2238" s="68">
        <v>35804</v>
      </c>
      <c r="B2238" s="33">
        <v>1313.56</v>
      </c>
      <c r="C2238">
        <f t="shared" si="64"/>
        <v>1998</v>
      </c>
      <c r="H2238" s="85">
        <v>43143</v>
      </c>
      <c r="I2238">
        <v>2908.7</v>
      </c>
    </row>
    <row r="2239" spans="1:9">
      <c r="A2239" s="68">
        <v>35805</v>
      </c>
      <c r="B2239" s="32">
        <v>1315.7</v>
      </c>
      <c r="C2239">
        <f t="shared" si="64"/>
        <v>1998</v>
      </c>
      <c r="H2239" s="85">
        <v>43144</v>
      </c>
      <c r="I2239">
        <v>2904.29</v>
      </c>
    </row>
    <row r="2240" spans="1:9">
      <c r="A2240" s="68">
        <v>35806</v>
      </c>
      <c r="B2240" s="33">
        <v>1315.7</v>
      </c>
      <c r="C2240">
        <f t="shared" si="64"/>
        <v>1998</v>
      </c>
      <c r="H2240" s="85">
        <v>43145</v>
      </c>
      <c r="I2240">
        <v>2904.71</v>
      </c>
    </row>
    <row r="2241" spans="1:9">
      <c r="A2241" s="68">
        <v>35807</v>
      </c>
      <c r="B2241" s="32">
        <v>1315.7</v>
      </c>
      <c r="C2241">
        <f t="shared" si="64"/>
        <v>1998</v>
      </c>
      <c r="H2241" s="85">
        <v>43146</v>
      </c>
      <c r="I2241">
        <v>2895.79</v>
      </c>
    </row>
    <row r="2242" spans="1:9">
      <c r="A2242" s="68">
        <v>35808</v>
      </c>
      <c r="B2242" s="33">
        <v>1315.7</v>
      </c>
      <c r="C2242">
        <f t="shared" si="64"/>
        <v>1998</v>
      </c>
      <c r="H2242" s="85">
        <v>43147</v>
      </c>
      <c r="I2242">
        <v>2851.74</v>
      </c>
    </row>
    <row r="2243" spans="1:9">
      <c r="A2243" s="68">
        <v>35809</v>
      </c>
      <c r="B2243" s="32">
        <v>1318.25</v>
      </c>
      <c r="C2243">
        <f t="shared" si="64"/>
        <v>1998</v>
      </c>
      <c r="H2243" s="85">
        <v>43148</v>
      </c>
      <c r="I2243">
        <v>2853.16</v>
      </c>
    </row>
    <row r="2244" spans="1:9">
      <c r="A2244" s="68">
        <v>35810</v>
      </c>
      <c r="B2244" s="33">
        <v>1318.53</v>
      </c>
      <c r="C2244">
        <f t="shared" ref="C2244:C2307" si="65">YEAR(A2244)</f>
        <v>1998</v>
      </c>
      <c r="H2244" s="85">
        <v>43149</v>
      </c>
      <c r="I2244">
        <v>2853.16</v>
      </c>
    </row>
    <row r="2245" spans="1:9">
      <c r="A2245" s="68">
        <v>35811</v>
      </c>
      <c r="B2245" s="32">
        <v>1319.21</v>
      </c>
      <c r="C2245">
        <f t="shared" si="65"/>
        <v>1998</v>
      </c>
      <c r="H2245" s="85">
        <v>43150</v>
      </c>
      <c r="I2245">
        <v>2853.16</v>
      </c>
    </row>
    <row r="2246" spans="1:9">
      <c r="A2246" s="68">
        <v>35812</v>
      </c>
      <c r="B2246" s="33">
        <v>1322.16</v>
      </c>
      <c r="C2246">
        <f t="shared" si="65"/>
        <v>1998</v>
      </c>
      <c r="H2246" s="85">
        <v>43151</v>
      </c>
      <c r="I2246">
        <v>2853.16</v>
      </c>
    </row>
    <row r="2247" spans="1:9">
      <c r="A2247" s="68">
        <v>35813</v>
      </c>
      <c r="B2247" s="32">
        <v>1322.16</v>
      </c>
      <c r="C2247">
        <f t="shared" si="65"/>
        <v>1998</v>
      </c>
      <c r="H2247" s="85">
        <v>43152</v>
      </c>
      <c r="I2247">
        <v>2862.01</v>
      </c>
    </row>
    <row r="2248" spans="1:9">
      <c r="A2248" s="68">
        <v>35814</v>
      </c>
      <c r="B2248" s="33">
        <v>1322.16</v>
      </c>
      <c r="C2248">
        <f t="shared" si="65"/>
        <v>1998</v>
      </c>
      <c r="H2248" s="85">
        <v>43153</v>
      </c>
      <c r="I2248">
        <v>2877.94</v>
      </c>
    </row>
    <row r="2249" spans="1:9">
      <c r="A2249" s="68">
        <v>35815</v>
      </c>
      <c r="B2249" s="32">
        <v>1325.07</v>
      </c>
      <c r="C2249">
        <f t="shared" si="65"/>
        <v>1998</v>
      </c>
      <c r="H2249" s="85">
        <v>43154</v>
      </c>
      <c r="I2249">
        <v>2877.04</v>
      </c>
    </row>
    <row r="2250" spans="1:9">
      <c r="A2250" s="68">
        <v>35816</v>
      </c>
      <c r="B2250" s="33">
        <v>1327</v>
      </c>
      <c r="C2250">
        <f t="shared" si="65"/>
        <v>1998</v>
      </c>
      <c r="H2250" s="85">
        <v>43155</v>
      </c>
      <c r="I2250">
        <v>2849.59</v>
      </c>
    </row>
    <row r="2251" spans="1:9">
      <c r="A2251" s="68">
        <v>35817</v>
      </c>
      <c r="B2251" s="32">
        <v>1331.48</v>
      </c>
      <c r="C2251">
        <f t="shared" si="65"/>
        <v>1998</v>
      </c>
      <c r="H2251" s="85">
        <v>43156</v>
      </c>
      <c r="I2251">
        <v>2849.59</v>
      </c>
    </row>
    <row r="2252" spans="1:9">
      <c r="A2252" s="68">
        <v>35818</v>
      </c>
      <c r="B2252" s="33">
        <v>1334.71</v>
      </c>
      <c r="C2252">
        <f t="shared" si="65"/>
        <v>1998</v>
      </c>
      <c r="H2252" s="85">
        <v>43157</v>
      </c>
      <c r="I2252">
        <v>2849.59</v>
      </c>
    </row>
    <row r="2253" spans="1:9">
      <c r="A2253" s="68">
        <v>35819</v>
      </c>
      <c r="B2253" s="32">
        <v>1332.78</v>
      </c>
      <c r="C2253">
        <f t="shared" si="65"/>
        <v>1998</v>
      </c>
      <c r="H2253" s="85">
        <v>43158</v>
      </c>
      <c r="I2253">
        <v>2849.91</v>
      </c>
    </row>
    <row r="2254" spans="1:9">
      <c r="A2254" s="68">
        <v>35820</v>
      </c>
      <c r="B2254" s="33">
        <v>1332.78</v>
      </c>
      <c r="C2254">
        <f t="shared" si="65"/>
        <v>1998</v>
      </c>
      <c r="H2254" s="85">
        <v>43159</v>
      </c>
      <c r="I2254">
        <v>2855.93</v>
      </c>
    </row>
    <row r="2255" spans="1:9">
      <c r="A2255" s="68">
        <v>35821</v>
      </c>
      <c r="B2255" s="32">
        <v>1332.78</v>
      </c>
      <c r="C2255">
        <f t="shared" si="65"/>
        <v>1998</v>
      </c>
      <c r="H2255" s="85">
        <v>43160</v>
      </c>
      <c r="I2255">
        <v>2867.94</v>
      </c>
    </row>
    <row r="2256" spans="1:9">
      <c r="A2256" s="68">
        <v>35822</v>
      </c>
      <c r="B2256" s="33">
        <v>1336.38</v>
      </c>
      <c r="C2256">
        <f t="shared" si="65"/>
        <v>1998</v>
      </c>
      <c r="H2256" s="85">
        <v>43161</v>
      </c>
      <c r="I2256">
        <v>2879.05</v>
      </c>
    </row>
    <row r="2257" spans="1:9">
      <c r="A2257" s="68">
        <v>35823</v>
      </c>
      <c r="B2257" s="32">
        <v>1337.3</v>
      </c>
      <c r="C2257">
        <f t="shared" si="65"/>
        <v>1998</v>
      </c>
      <c r="H2257" s="85">
        <v>43162</v>
      </c>
      <c r="I2257">
        <v>2879.15</v>
      </c>
    </row>
    <row r="2258" spans="1:9">
      <c r="A2258" s="68">
        <v>35824</v>
      </c>
      <c r="B2258" s="33">
        <v>1339.57</v>
      </c>
      <c r="C2258">
        <f t="shared" si="65"/>
        <v>1998</v>
      </c>
      <c r="H2258" s="85">
        <v>43163</v>
      </c>
      <c r="I2258">
        <v>2879.15</v>
      </c>
    </row>
    <row r="2259" spans="1:9">
      <c r="A2259" s="68">
        <v>35825</v>
      </c>
      <c r="B2259" s="32">
        <v>1341.85</v>
      </c>
      <c r="C2259">
        <f t="shared" si="65"/>
        <v>1998</v>
      </c>
      <c r="H2259" s="85">
        <v>43164</v>
      </c>
      <c r="I2259">
        <v>2879.15</v>
      </c>
    </row>
    <row r="2260" spans="1:9">
      <c r="A2260" s="68">
        <v>35826</v>
      </c>
      <c r="B2260" s="33">
        <v>1342</v>
      </c>
      <c r="C2260">
        <f t="shared" si="65"/>
        <v>1998</v>
      </c>
      <c r="H2260" s="85">
        <v>43165</v>
      </c>
      <c r="I2260">
        <v>2859.09</v>
      </c>
    </row>
    <row r="2261" spans="1:9">
      <c r="A2261" s="68">
        <v>35827</v>
      </c>
      <c r="B2261" s="32">
        <v>1342</v>
      </c>
      <c r="C2261">
        <f t="shared" si="65"/>
        <v>1998</v>
      </c>
      <c r="H2261" s="85">
        <v>43166</v>
      </c>
      <c r="I2261">
        <v>2845.05</v>
      </c>
    </row>
    <row r="2262" spans="1:9">
      <c r="A2262" s="68">
        <v>35828</v>
      </c>
      <c r="B2262" s="33">
        <v>1342</v>
      </c>
      <c r="C2262">
        <f t="shared" si="65"/>
        <v>1998</v>
      </c>
      <c r="H2262" s="85">
        <v>43167</v>
      </c>
      <c r="I2262">
        <v>2858.88</v>
      </c>
    </row>
    <row r="2263" spans="1:9">
      <c r="A2263" s="68">
        <v>35829</v>
      </c>
      <c r="B2263" s="32">
        <v>1343.9</v>
      </c>
      <c r="C2263">
        <f t="shared" si="65"/>
        <v>1998</v>
      </c>
      <c r="H2263" s="85">
        <v>43168</v>
      </c>
      <c r="I2263">
        <v>2871.36</v>
      </c>
    </row>
    <row r="2264" spans="1:9">
      <c r="A2264" s="68">
        <v>35830</v>
      </c>
      <c r="B2264" s="33">
        <v>1345.01</v>
      </c>
      <c r="C2264">
        <f t="shared" si="65"/>
        <v>1998</v>
      </c>
      <c r="H2264" s="85">
        <v>43169</v>
      </c>
      <c r="I2264">
        <v>2866.93</v>
      </c>
    </row>
    <row r="2265" spans="1:9">
      <c r="A2265" s="68">
        <v>35831</v>
      </c>
      <c r="B2265" s="32">
        <v>1345.46</v>
      </c>
      <c r="C2265">
        <f t="shared" si="65"/>
        <v>1998</v>
      </c>
      <c r="H2265" s="85">
        <v>43170</v>
      </c>
      <c r="I2265">
        <v>2866.93</v>
      </c>
    </row>
    <row r="2266" spans="1:9">
      <c r="A2266" s="68">
        <v>35832</v>
      </c>
      <c r="B2266" s="33">
        <v>1346.09</v>
      </c>
      <c r="C2266">
        <f t="shared" si="65"/>
        <v>1998</v>
      </c>
      <c r="H2266" s="85">
        <v>43171</v>
      </c>
      <c r="I2266">
        <v>2866.93</v>
      </c>
    </row>
    <row r="2267" spans="1:9">
      <c r="A2267" s="68">
        <v>35833</v>
      </c>
      <c r="B2267" s="32">
        <v>1346.42</v>
      </c>
      <c r="C2267">
        <f t="shared" si="65"/>
        <v>1998</v>
      </c>
      <c r="H2267" s="85">
        <v>43172</v>
      </c>
      <c r="I2267">
        <v>2851.84</v>
      </c>
    </row>
    <row r="2268" spans="1:9">
      <c r="A2268" s="68">
        <v>35834</v>
      </c>
      <c r="B2268" s="33">
        <v>1346.42</v>
      </c>
      <c r="C2268">
        <f t="shared" si="65"/>
        <v>1998</v>
      </c>
      <c r="H2268" s="85">
        <v>43173</v>
      </c>
      <c r="I2268">
        <v>2848.38</v>
      </c>
    </row>
    <row r="2269" spans="1:9">
      <c r="A2269" s="68">
        <v>35835</v>
      </c>
      <c r="B2269" s="32">
        <v>1346.42</v>
      </c>
      <c r="C2269">
        <f t="shared" si="65"/>
        <v>1998</v>
      </c>
      <c r="H2269" s="85">
        <v>43174</v>
      </c>
      <c r="I2269">
        <v>2845.76</v>
      </c>
    </row>
    <row r="2270" spans="1:9">
      <c r="A2270" s="68">
        <v>35836</v>
      </c>
      <c r="B2270" s="33">
        <v>1347.72</v>
      </c>
      <c r="C2270">
        <f t="shared" si="65"/>
        <v>1998</v>
      </c>
      <c r="H2270" s="85">
        <v>43175</v>
      </c>
      <c r="I2270">
        <v>2850.04</v>
      </c>
    </row>
    <row r="2271" spans="1:9">
      <c r="A2271" s="68">
        <v>35837</v>
      </c>
      <c r="B2271" s="32">
        <v>1348.23</v>
      </c>
      <c r="C2271">
        <f t="shared" si="65"/>
        <v>1998</v>
      </c>
      <c r="H2271" s="85">
        <v>43176</v>
      </c>
      <c r="I2271">
        <v>2852.48</v>
      </c>
    </row>
    <row r="2272" spans="1:9">
      <c r="A2272" s="68">
        <v>35838</v>
      </c>
      <c r="B2272" s="33">
        <v>1348.86</v>
      </c>
      <c r="C2272">
        <f t="shared" si="65"/>
        <v>1998</v>
      </c>
      <c r="H2272" s="85">
        <v>43177</v>
      </c>
      <c r="I2272">
        <v>2852.48</v>
      </c>
    </row>
    <row r="2273" spans="1:9">
      <c r="A2273" s="68">
        <v>35839</v>
      </c>
      <c r="B2273" s="32">
        <v>1349.34</v>
      </c>
      <c r="C2273">
        <f t="shared" si="65"/>
        <v>1998</v>
      </c>
      <c r="H2273" s="85">
        <v>43178</v>
      </c>
      <c r="I2273">
        <v>2852.48</v>
      </c>
    </row>
    <row r="2274" spans="1:9">
      <c r="A2274" s="68">
        <v>35840</v>
      </c>
      <c r="B2274" s="33">
        <v>1349.54</v>
      </c>
      <c r="C2274">
        <f t="shared" si="65"/>
        <v>1998</v>
      </c>
      <c r="H2274" s="85">
        <v>43179</v>
      </c>
      <c r="I2274">
        <v>2852.48</v>
      </c>
    </row>
    <row r="2275" spans="1:9">
      <c r="A2275" s="68">
        <v>35841</v>
      </c>
      <c r="B2275" s="32">
        <v>1349.54</v>
      </c>
      <c r="C2275">
        <f t="shared" si="65"/>
        <v>1998</v>
      </c>
      <c r="H2275" s="85">
        <v>43180</v>
      </c>
      <c r="I2275">
        <v>2866.92</v>
      </c>
    </row>
    <row r="2276" spans="1:9">
      <c r="A2276" s="68">
        <v>35842</v>
      </c>
      <c r="B2276" s="33">
        <v>1349.54</v>
      </c>
      <c r="C2276">
        <f t="shared" si="65"/>
        <v>1998</v>
      </c>
      <c r="H2276" s="85">
        <v>43181</v>
      </c>
      <c r="I2276">
        <v>2850.69</v>
      </c>
    </row>
    <row r="2277" spans="1:9">
      <c r="A2277" s="68">
        <v>35843</v>
      </c>
      <c r="B2277" s="32">
        <v>1350.97</v>
      </c>
      <c r="C2277">
        <f t="shared" si="65"/>
        <v>1998</v>
      </c>
      <c r="H2277" s="85">
        <v>43182</v>
      </c>
      <c r="I2277">
        <v>2857.88</v>
      </c>
    </row>
    <row r="2278" spans="1:9">
      <c r="A2278" s="68">
        <v>35844</v>
      </c>
      <c r="B2278" s="33">
        <v>1350.23</v>
      </c>
      <c r="C2278">
        <f t="shared" si="65"/>
        <v>1998</v>
      </c>
      <c r="H2278" s="85">
        <v>43183</v>
      </c>
      <c r="I2278">
        <v>2849.01</v>
      </c>
    </row>
    <row r="2279" spans="1:9">
      <c r="A2279" s="68">
        <v>35845</v>
      </c>
      <c r="B2279" s="32">
        <v>1349.95</v>
      </c>
      <c r="C2279">
        <f t="shared" si="65"/>
        <v>1998</v>
      </c>
      <c r="H2279" s="85">
        <v>43184</v>
      </c>
      <c r="I2279">
        <v>2849.01</v>
      </c>
    </row>
    <row r="2280" spans="1:9">
      <c r="A2280" s="68">
        <v>35846</v>
      </c>
      <c r="B2280" s="33">
        <v>1350.1</v>
      </c>
      <c r="C2280">
        <f t="shared" si="65"/>
        <v>1998</v>
      </c>
      <c r="H2280" s="85">
        <v>43185</v>
      </c>
      <c r="I2280">
        <v>2849.01</v>
      </c>
    </row>
    <row r="2281" spans="1:9">
      <c r="A2281" s="68">
        <v>35847</v>
      </c>
      <c r="B2281" s="32">
        <v>1347.94</v>
      </c>
      <c r="C2281">
        <f t="shared" si="65"/>
        <v>1998</v>
      </c>
      <c r="H2281" s="85">
        <v>43186</v>
      </c>
      <c r="I2281">
        <v>2816.33</v>
      </c>
    </row>
    <row r="2282" spans="1:9">
      <c r="A2282" s="68">
        <v>35848</v>
      </c>
      <c r="B2282" s="33">
        <v>1347.94</v>
      </c>
      <c r="C2282">
        <f t="shared" si="65"/>
        <v>1998</v>
      </c>
      <c r="H2282" s="85">
        <v>43187</v>
      </c>
      <c r="I2282">
        <v>2780.04</v>
      </c>
    </row>
    <row r="2283" spans="1:9">
      <c r="A2283" s="68">
        <v>35849</v>
      </c>
      <c r="B2283" s="32">
        <v>1347.94</v>
      </c>
      <c r="C2283">
        <f t="shared" si="65"/>
        <v>1998</v>
      </c>
      <c r="H2283" s="85">
        <v>43188</v>
      </c>
      <c r="I2283">
        <v>2780.47</v>
      </c>
    </row>
    <row r="2284" spans="1:9">
      <c r="A2284" s="68">
        <v>35850</v>
      </c>
      <c r="B2284" s="33">
        <v>1340.92</v>
      </c>
      <c r="C2284">
        <f t="shared" si="65"/>
        <v>1998</v>
      </c>
      <c r="H2284" s="85">
        <v>43189</v>
      </c>
      <c r="I2284">
        <v>2780.47</v>
      </c>
    </row>
    <row r="2285" spans="1:9">
      <c r="A2285" s="68">
        <v>35851</v>
      </c>
      <c r="B2285" s="32">
        <v>1334.72</v>
      </c>
      <c r="C2285">
        <f t="shared" si="65"/>
        <v>1998</v>
      </c>
      <c r="H2285" s="85">
        <v>43190</v>
      </c>
      <c r="I2285">
        <v>2780.47</v>
      </c>
    </row>
    <row r="2286" spans="1:9">
      <c r="A2286" s="68">
        <v>35852</v>
      </c>
      <c r="B2286" s="33">
        <v>1340.75</v>
      </c>
      <c r="C2286">
        <f t="shared" si="65"/>
        <v>1998</v>
      </c>
      <c r="H2286" s="85">
        <v>43191</v>
      </c>
      <c r="I2286">
        <v>2780.47</v>
      </c>
    </row>
    <row r="2287" spans="1:9">
      <c r="A2287" s="68">
        <v>35853</v>
      </c>
      <c r="B2287" s="32">
        <v>1344.25</v>
      </c>
      <c r="C2287">
        <f t="shared" si="65"/>
        <v>1998</v>
      </c>
      <c r="H2287" s="85">
        <v>43192</v>
      </c>
      <c r="I2287">
        <v>2780.47</v>
      </c>
    </row>
    <row r="2288" spans="1:9">
      <c r="A2288" s="68">
        <v>35854</v>
      </c>
      <c r="B2288" s="33">
        <v>1343.85</v>
      </c>
      <c r="C2288">
        <f t="shared" si="65"/>
        <v>1998</v>
      </c>
      <c r="H2288" s="85">
        <v>43193</v>
      </c>
      <c r="I2288">
        <v>2792.96</v>
      </c>
    </row>
    <row r="2289" spans="1:9">
      <c r="A2289" s="68">
        <v>35855</v>
      </c>
      <c r="B2289" s="32">
        <v>1343.85</v>
      </c>
      <c r="C2289">
        <f t="shared" si="65"/>
        <v>1998</v>
      </c>
      <c r="H2289" s="85">
        <v>43194</v>
      </c>
      <c r="I2289">
        <v>2778.27</v>
      </c>
    </row>
    <row r="2290" spans="1:9">
      <c r="A2290" s="68">
        <v>35856</v>
      </c>
      <c r="B2290" s="33">
        <v>1343.85</v>
      </c>
      <c r="C2290">
        <f t="shared" si="65"/>
        <v>1998</v>
      </c>
      <c r="H2290" s="85">
        <v>43195</v>
      </c>
      <c r="I2290">
        <v>2791.57</v>
      </c>
    </row>
    <row r="2291" spans="1:9">
      <c r="A2291" s="68">
        <v>35857</v>
      </c>
      <c r="B2291" s="32">
        <v>1349.04</v>
      </c>
      <c r="C2291">
        <f t="shared" si="65"/>
        <v>1998</v>
      </c>
      <c r="H2291" s="85">
        <v>43196</v>
      </c>
      <c r="I2291">
        <v>2787.36</v>
      </c>
    </row>
    <row r="2292" spans="1:9">
      <c r="A2292" s="68">
        <v>35858</v>
      </c>
      <c r="B2292" s="33">
        <v>1352.21</v>
      </c>
      <c r="C2292">
        <f t="shared" si="65"/>
        <v>1998</v>
      </c>
      <c r="H2292" s="85">
        <v>43197</v>
      </c>
      <c r="I2292">
        <v>2791.88</v>
      </c>
    </row>
    <row r="2293" spans="1:9">
      <c r="A2293" s="68">
        <v>35859</v>
      </c>
      <c r="B2293" s="32">
        <v>1349.8</v>
      </c>
      <c r="C2293">
        <f t="shared" si="65"/>
        <v>1998</v>
      </c>
      <c r="H2293" s="85">
        <v>43198</v>
      </c>
      <c r="I2293">
        <v>2791.88</v>
      </c>
    </row>
    <row r="2294" spans="1:9">
      <c r="A2294" s="68">
        <v>35860</v>
      </c>
      <c r="B2294" s="33">
        <v>1353.19</v>
      </c>
      <c r="C2294">
        <f t="shared" si="65"/>
        <v>1998</v>
      </c>
      <c r="H2294" s="85">
        <v>43199</v>
      </c>
      <c r="I2294">
        <v>2791.88</v>
      </c>
    </row>
    <row r="2295" spans="1:9">
      <c r="A2295" s="68">
        <v>35861</v>
      </c>
      <c r="B2295" s="32">
        <v>1353.71</v>
      </c>
      <c r="C2295">
        <f t="shared" si="65"/>
        <v>1998</v>
      </c>
      <c r="H2295" s="85">
        <v>43200</v>
      </c>
      <c r="I2295">
        <v>2781.95</v>
      </c>
    </row>
    <row r="2296" spans="1:9">
      <c r="A2296" s="68">
        <v>35862</v>
      </c>
      <c r="B2296" s="33">
        <v>1353.71</v>
      </c>
      <c r="C2296">
        <f t="shared" si="65"/>
        <v>1998</v>
      </c>
      <c r="H2296" s="85">
        <v>43201</v>
      </c>
      <c r="I2296">
        <v>2767.82</v>
      </c>
    </row>
    <row r="2297" spans="1:9">
      <c r="A2297" s="68">
        <v>35863</v>
      </c>
      <c r="B2297" s="32">
        <v>1353.71</v>
      </c>
      <c r="C2297">
        <f t="shared" si="65"/>
        <v>1998</v>
      </c>
      <c r="H2297" s="85">
        <v>43202</v>
      </c>
      <c r="I2297">
        <v>2733.24</v>
      </c>
    </row>
    <row r="2298" spans="1:9">
      <c r="A2298" s="68">
        <v>35864</v>
      </c>
      <c r="B2298" s="33">
        <v>1354.9</v>
      </c>
      <c r="C2298">
        <f t="shared" si="65"/>
        <v>1998</v>
      </c>
      <c r="H2298" s="85">
        <v>43203</v>
      </c>
      <c r="I2298">
        <v>2710.03</v>
      </c>
    </row>
    <row r="2299" spans="1:9">
      <c r="A2299" s="68">
        <v>35865</v>
      </c>
      <c r="B2299" s="32">
        <v>1355.88</v>
      </c>
      <c r="C2299">
        <f t="shared" si="65"/>
        <v>1998</v>
      </c>
      <c r="H2299" s="85">
        <v>43204</v>
      </c>
      <c r="I2299">
        <v>2705.34</v>
      </c>
    </row>
    <row r="2300" spans="1:9">
      <c r="A2300" s="68">
        <v>35866</v>
      </c>
      <c r="B2300" s="33">
        <v>1356.63</v>
      </c>
      <c r="C2300">
        <f t="shared" si="65"/>
        <v>1998</v>
      </c>
      <c r="H2300" s="85">
        <v>43205</v>
      </c>
      <c r="I2300">
        <v>2705.34</v>
      </c>
    </row>
    <row r="2301" spans="1:9">
      <c r="A2301" s="68">
        <v>35867</v>
      </c>
      <c r="B2301" s="32">
        <v>1356.7</v>
      </c>
      <c r="C2301">
        <f t="shared" si="65"/>
        <v>1998</v>
      </c>
      <c r="H2301" s="85">
        <v>43206</v>
      </c>
      <c r="I2301">
        <v>2705.34</v>
      </c>
    </row>
    <row r="2302" spans="1:9">
      <c r="A2302" s="68">
        <v>35868</v>
      </c>
      <c r="B2302" s="33">
        <v>1355.9</v>
      </c>
      <c r="C2302">
        <f t="shared" si="65"/>
        <v>1998</v>
      </c>
      <c r="H2302" s="85">
        <v>43207</v>
      </c>
      <c r="I2302">
        <v>2726.47</v>
      </c>
    </row>
    <row r="2303" spans="1:9">
      <c r="A2303" s="68">
        <v>35869</v>
      </c>
      <c r="B2303" s="32">
        <v>1355.9</v>
      </c>
      <c r="C2303">
        <f t="shared" si="65"/>
        <v>1998</v>
      </c>
      <c r="H2303" s="85">
        <v>43208</v>
      </c>
      <c r="I2303">
        <v>2725.66</v>
      </c>
    </row>
    <row r="2304" spans="1:9">
      <c r="A2304" s="68">
        <v>35870</v>
      </c>
      <c r="B2304" s="33">
        <v>1355.9</v>
      </c>
      <c r="C2304">
        <f t="shared" si="65"/>
        <v>1998</v>
      </c>
      <c r="H2304" s="85">
        <v>43209</v>
      </c>
      <c r="I2304">
        <v>2705.64</v>
      </c>
    </row>
    <row r="2305" spans="1:9">
      <c r="A2305" s="68">
        <v>35871</v>
      </c>
      <c r="B2305" s="32">
        <v>1358.66</v>
      </c>
      <c r="C2305">
        <f t="shared" si="65"/>
        <v>1998</v>
      </c>
      <c r="H2305" s="85">
        <v>43210</v>
      </c>
      <c r="I2305">
        <v>2724.47</v>
      </c>
    </row>
    <row r="2306" spans="1:9">
      <c r="A2306" s="68">
        <v>35872</v>
      </c>
      <c r="B2306" s="33">
        <v>1359.96</v>
      </c>
      <c r="C2306">
        <f t="shared" si="65"/>
        <v>1998</v>
      </c>
      <c r="H2306" s="85">
        <v>43211</v>
      </c>
      <c r="I2306">
        <v>2757.96</v>
      </c>
    </row>
    <row r="2307" spans="1:9">
      <c r="A2307" s="68">
        <v>35873</v>
      </c>
      <c r="B2307" s="32">
        <v>1360.56</v>
      </c>
      <c r="C2307">
        <f t="shared" si="65"/>
        <v>1998</v>
      </c>
      <c r="H2307" s="85">
        <v>43212</v>
      </c>
      <c r="I2307">
        <v>2757.96</v>
      </c>
    </row>
    <row r="2308" spans="1:9">
      <c r="A2308" s="68">
        <v>35874</v>
      </c>
      <c r="B2308" s="33">
        <v>1361.87</v>
      </c>
      <c r="C2308">
        <f t="shared" ref="C2308:C2371" si="66">YEAR(A2308)</f>
        <v>1998</v>
      </c>
      <c r="H2308" s="85">
        <v>43213</v>
      </c>
      <c r="I2308">
        <v>2757.96</v>
      </c>
    </row>
    <row r="2309" spans="1:9">
      <c r="A2309" s="68">
        <v>35875</v>
      </c>
      <c r="B2309" s="32">
        <v>1361.86</v>
      </c>
      <c r="C2309">
        <f t="shared" si="66"/>
        <v>1998</v>
      </c>
      <c r="H2309" s="85">
        <v>43214</v>
      </c>
      <c r="I2309">
        <v>2799.45</v>
      </c>
    </row>
    <row r="2310" spans="1:9">
      <c r="A2310" s="68">
        <v>35876</v>
      </c>
      <c r="B2310" s="33">
        <v>1361.86</v>
      </c>
      <c r="C2310">
        <f t="shared" si="66"/>
        <v>1998</v>
      </c>
      <c r="H2310" s="85">
        <v>43215</v>
      </c>
      <c r="I2310">
        <v>2785.22</v>
      </c>
    </row>
    <row r="2311" spans="1:9">
      <c r="A2311" s="68">
        <v>35877</v>
      </c>
      <c r="B2311" s="32">
        <v>1361.86</v>
      </c>
      <c r="C2311">
        <f t="shared" si="66"/>
        <v>1998</v>
      </c>
      <c r="H2311" s="85">
        <v>43216</v>
      </c>
      <c r="I2311">
        <v>2820.29</v>
      </c>
    </row>
    <row r="2312" spans="1:9">
      <c r="A2312" s="68">
        <v>35878</v>
      </c>
      <c r="B2312" s="33">
        <v>1361.86</v>
      </c>
      <c r="C2312">
        <f t="shared" si="66"/>
        <v>1998</v>
      </c>
      <c r="H2312" s="85">
        <v>43217</v>
      </c>
      <c r="I2312">
        <v>2812.83</v>
      </c>
    </row>
    <row r="2313" spans="1:9">
      <c r="A2313" s="68">
        <v>35879</v>
      </c>
      <c r="B2313" s="32">
        <v>1364.4</v>
      </c>
      <c r="C2313">
        <f t="shared" si="66"/>
        <v>1998</v>
      </c>
      <c r="H2313" s="85">
        <v>43218</v>
      </c>
      <c r="I2313">
        <v>2806.28</v>
      </c>
    </row>
    <row r="2314" spans="1:9">
      <c r="A2314" s="68">
        <v>35880</v>
      </c>
      <c r="B2314" s="33">
        <v>1364.76</v>
      </c>
      <c r="C2314">
        <f t="shared" si="66"/>
        <v>1998</v>
      </c>
      <c r="H2314" s="85">
        <v>43219</v>
      </c>
      <c r="I2314">
        <v>2806.28</v>
      </c>
    </row>
    <row r="2315" spans="1:9">
      <c r="A2315" s="68">
        <v>35881</v>
      </c>
      <c r="B2315" s="32">
        <v>1365.66</v>
      </c>
      <c r="C2315">
        <f t="shared" si="66"/>
        <v>1998</v>
      </c>
      <c r="H2315" s="85">
        <v>43220</v>
      </c>
      <c r="I2315">
        <v>2806.28</v>
      </c>
    </row>
    <row r="2316" spans="1:9">
      <c r="A2316" s="68">
        <v>35882</v>
      </c>
      <c r="B2316" s="33">
        <v>1361.49</v>
      </c>
      <c r="C2316">
        <f t="shared" si="66"/>
        <v>1998</v>
      </c>
      <c r="H2316" s="85">
        <v>43221</v>
      </c>
      <c r="I2316">
        <v>2809.92</v>
      </c>
    </row>
    <row r="2317" spans="1:9">
      <c r="A2317" s="68">
        <v>35883</v>
      </c>
      <c r="B2317" s="32">
        <v>1361.49</v>
      </c>
      <c r="C2317">
        <f t="shared" si="66"/>
        <v>1998</v>
      </c>
      <c r="H2317" s="85">
        <v>43222</v>
      </c>
      <c r="I2317">
        <v>2809.92</v>
      </c>
    </row>
    <row r="2318" spans="1:9">
      <c r="A2318" s="68">
        <v>35884</v>
      </c>
      <c r="B2318" s="33">
        <v>1361.49</v>
      </c>
      <c r="C2318">
        <f t="shared" si="66"/>
        <v>1998</v>
      </c>
      <c r="H2318" s="85">
        <v>43223</v>
      </c>
      <c r="I2318">
        <v>2831.99</v>
      </c>
    </row>
    <row r="2319" spans="1:9">
      <c r="A2319" s="68">
        <v>35885</v>
      </c>
      <c r="B2319" s="32">
        <v>1358.03</v>
      </c>
      <c r="C2319">
        <f t="shared" si="66"/>
        <v>1998</v>
      </c>
      <c r="H2319" s="85">
        <v>43224</v>
      </c>
      <c r="I2319">
        <v>2857.85</v>
      </c>
    </row>
    <row r="2320" spans="1:9">
      <c r="A2320" s="68">
        <v>35886</v>
      </c>
      <c r="B2320" s="33">
        <v>1360.26</v>
      </c>
      <c r="C2320">
        <f t="shared" si="66"/>
        <v>1998</v>
      </c>
      <c r="H2320" s="85">
        <v>43225</v>
      </c>
      <c r="I2320">
        <v>2843.41</v>
      </c>
    </row>
    <row r="2321" spans="1:9">
      <c r="A2321" s="68">
        <v>35887</v>
      </c>
      <c r="B2321" s="32">
        <v>1362.54</v>
      </c>
      <c r="C2321">
        <f t="shared" si="66"/>
        <v>1998</v>
      </c>
      <c r="H2321" s="85">
        <v>43226</v>
      </c>
      <c r="I2321">
        <v>2843.41</v>
      </c>
    </row>
    <row r="2322" spans="1:9">
      <c r="A2322" s="68">
        <v>35888</v>
      </c>
      <c r="B2322" s="33">
        <v>1357.75</v>
      </c>
      <c r="C2322">
        <f t="shared" si="66"/>
        <v>1998</v>
      </c>
      <c r="H2322" s="85">
        <v>43227</v>
      </c>
      <c r="I2322">
        <v>2843.41</v>
      </c>
    </row>
    <row r="2323" spans="1:9">
      <c r="A2323" s="68">
        <v>35889</v>
      </c>
      <c r="B2323" s="32">
        <v>1357.71</v>
      </c>
      <c r="C2323">
        <f t="shared" si="66"/>
        <v>1998</v>
      </c>
      <c r="H2323" s="85">
        <v>43228</v>
      </c>
      <c r="I2323">
        <v>2817.2</v>
      </c>
    </row>
    <row r="2324" spans="1:9">
      <c r="A2324" s="68">
        <v>35890</v>
      </c>
      <c r="B2324" s="33">
        <v>1357.71</v>
      </c>
      <c r="C2324">
        <f t="shared" si="66"/>
        <v>1998</v>
      </c>
      <c r="H2324" s="85">
        <v>43229</v>
      </c>
      <c r="I2324">
        <v>2866</v>
      </c>
    </row>
    <row r="2325" spans="1:9">
      <c r="A2325" s="68">
        <v>35891</v>
      </c>
      <c r="B2325" s="32">
        <v>1357.71</v>
      </c>
      <c r="C2325">
        <f t="shared" si="66"/>
        <v>1998</v>
      </c>
      <c r="H2325" s="85">
        <v>43230</v>
      </c>
      <c r="I2325">
        <v>2859.51</v>
      </c>
    </row>
    <row r="2326" spans="1:9">
      <c r="A2326" s="68">
        <v>35892</v>
      </c>
      <c r="B2326" s="33">
        <v>1355.5</v>
      </c>
      <c r="C2326">
        <f t="shared" si="66"/>
        <v>1998</v>
      </c>
      <c r="H2326" s="85">
        <v>43231</v>
      </c>
      <c r="I2326">
        <v>2822.37</v>
      </c>
    </row>
    <row r="2327" spans="1:9">
      <c r="A2327" s="68">
        <v>35893</v>
      </c>
      <c r="B2327" s="32">
        <v>1354.15</v>
      </c>
      <c r="C2327">
        <f t="shared" si="66"/>
        <v>1998</v>
      </c>
      <c r="H2327" s="85">
        <v>43232</v>
      </c>
      <c r="I2327">
        <v>2824.05</v>
      </c>
    </row>
    <row r="2328" spans="1:9">
      <c r="A2328" s="68">
        <v>35894</v>
      </c>
      <c r="B2328" s="33">
        <v>1357.14</v>
      </c>
      <c r="C2328">
        <f t="shared" si="66"/>
        <v>1998</v>
      </c>
      <c r="H2328" s="85">
        <v>43233</v>
      </c>
      <c r="I2328">
        <v>2824.05</v>
      </c>
    </row>
    <row r="2329" spans="1:9">
      <c r="A2329" s="68">
        <v>35895</v>
      </c>
      <c r="B2329" s="32">
        <v>1357.14</v>
      </c>
      <c r="C2329">
        <f t="shared" si="66"/>
        <v>1998</v>
      </c>
      <c r="H2329" s="85">
        <v>43234</v>
      </c>
      <c r="I2329">
        <v>2824.05</v>
      </c>
    </row>
    <row r="2330" spans="1:9">
      <c r="A2330" s="68">
        <v>35896</v>
      </c>
      <c r="B2330" s="33">
        <v>1357.14</v>
      </c>
      <c r="C2330">
        <f t="shared" si="66"/>
        <v>1998</v>
      </c>
      <c r="H2330" s="85">
        <v>43235</v>
      </c>
      <c r="I2330">
        <v>2824.05</v>
      </c>
    </row>
    <row r="2331" spans="1:9">
      <c r="A2331" s="68">
        <v>35897</v>
      </c>
      <c r="B2331" s="32">
        <v>1357.14</v>
      </c>
      <c r="C2331">
        <f t="shared" si="66"/>
        <v>1998</v>
      </c>
      <c r="H2331" s="85">
        <v>43236</v>
      </c>
      <c r="I2331">
        <v>2889.87</v>
      </c>
    </row>
    <row r="2332" spans="1:9">
      <c r="A2332" s="68">
        <v>35898</v>
      </c>
      <c r="B2332" s="33">
        <v>1357.14</v>
      </c>
      <c r="C2332">
        <f t="shared" si="66"/>
        <v>1998</v>
      </c>
      <c r="H2332" s="85">
        <v>43237</v>
      </c>
      <c r="I2332">
        <v>2865.37</v>
      </c>
    </row>
    <row r="2333" spans="1:9">
      <c r="A2333" s="68">
        <v>35899</v>
      </c>
      <c r="B2333" s="32">
        <v>1363.38</v>
      </c>
      <c r="C2333">
        <f t="shared" si="66"/>
        <v>1998</v>
      </c>
      <c r="H2333" s="85">
        <v>43238</v>
      </c>
      <c r="I2333">
        <v>2886.23</v>
      </c>
    </row>
    <row r="2334" spans="1:9">
      <c r="A2334" s="68">
        <v>35900</v>
      </c>
      <c r="B2334" s="33">
        <v>1365.21</v>
      </c>
      <c r="C2334">
        <f t="shared" si="66"/>
        <v>1998</v>
      </c>
      <c r="H2334" s="85">
        <v>43239</v>
      </c>
      <c r="I2334">
        <v>2925.67</v>
      </c>
    </row>
    <row r="2335" spans="1:9">
      <c r="A2335" s="68">
        <v>35901</v>
      </c>
      <c r="B2335" s="32">
        <v>1364.06</v>
      </c>
      <c r="C2335">
        <f t="shared" si="66"/>
        <v>1998</v>
      </c>
      <c r="H2335" s="85">
        <v>43240</v>
      </c>
      <c r="I2335">
        <v>2925.67</v>
      </c>
    </row>
    <row r="2336" spans="1:9">
      <c r="A2336" s="68">
        <v>35902</v>
      </c>
      <c r="B2336" s="33">
        <v>1360.74</v>
      </c>
      <c r="C2336">
        <f t="shared" si="66"/>
        <v>1998</v>
      </c>
      <c r="H2336" s="85">
        <v>43241</v>
      </c>
      <c r="I2336">
        <v>2925.67</v>
      </c>
    </row>
    <row r="2337" spans="1:9">
      <c r="A2337" s="68">
        <v>35903</v>
      </c>
      <c r="B2337" s="32">
        <v>1360.49</v>
      </c>
      <c r="C2337">
        <f t="shared" si="66"/>
        <v>1998</v>
      </c>
      <c r="H2337" s="85">
        <v>43242</v>
      </c>
      <c r="I2337">
        <v>2897.37</v>
      </c>
    </row>
    <row r="2338" spans="1:9">
      <c r="A2338" s="68">
        <v>35904</v>
      </c>
      <c r="B2338" s="33">
        <v>1360.49</v>
      </c>
      <c r="C2338">
        <f t="shared" si="66"/>
        <v>1998</v>
      </c>
      <c r="H2338" s="85">
        <v>43243</v>
      </c>
      <c r="I2338">
        <v>2851.42</v>
      </c>
    </row>
    <row r="2339" spans="1:9">
      <c r="A2339" s="68">
        <v>35905</v>
      </c>
      <c r="B2339" s="32">
        <v>1360.49</v>
      </c>
      <c r="C2339">
        <f t="shared" si="66"/>
        <v>1998</v>
      </c>
      <c r="H2339" s="85">
        <v>43244</v>
      </c>
      <c r="I2339">
        <v>2863.24</v>
      </c>
    </row>
    <row r="2340" spans="1:9">
      <c r="A2340" s="68">
        <v>35906</v>
      </c>
      <c r="B2340" s="33">
        <v>1360.42</v>
      </c>
      <c r="C2340">
        <f t="shared" si="66"/>
        <v>1998</v>
      </c>
      <c r="H2340" s="85">
        <v>43245</v>
      </c>
      <c r="I2340">
        <v>2863.12</v>
      </c>
    </row>
    <row r="2341" spans="1:9">
      <c r="A2341" s="68">
        <v>35907</v>
      </c>
      <c r="B2341" s="32">
        <v>1357.51</v>
      </c>
      <c r="C2341">
        <f t="shared" si="66"/>
        <v>1998</v>
      </c>
      <c r="H2341" s="85">
        <v>43246</v>
      </c>
      <c r="I2341">
        <v>2887.16</v>
      </c>
    </row>
    <row r="2342" spans="1:9">
      <c r="A2342" s="68">
        <v>35908</v>
      </c>
      <c r="B2342" s="33">
        <v>1355.94</v>
      </c>
      <c r="C2342">
        <f t="shared" si="66"/>
        <v>1998</v>
      </c>
      <c r="H2342" s="85">
        <v>43247</v>
      </c>
      <c r="I2342">
        <v>2887.16</v>
      </c>
    </row>
    <row r="2343" spans="1:9">
      <c r="A2343" s="68">
        <v>35909</v>
      </c>
      <c r="B2343" s="32">
        <v>1354.91</v>
      </c>
      <c r="C2343">
        <f t="shared" si="66"/>
        <v>1998</v>
      </c>
      <c r="H2343" s="85">
        <v>43248</v>
      </c>
      <c r="I2343">
        <v>2887.16</v>
      </c>
    </row>
    <row r="2344" spans="1:9">
      <c r="A2344" s="68">
        <v>35910</v>
      </c>
      <c r="B2344" s="33">
        <v>1359.99</v>
      </c>
      <c r="C2344">
        <f t="shared" si="66"/>
        <v>1998</v>
      </c>
      <c r="H2344" s="85">
        <v>43249</v>
      </c>
      <c r="I2344">
        <v>2887.16</v>
      </c>
    </row>
    <row r="2345" spans="1:9">
      <c r="A2345" s="68">
        <v>35911</v>
      </c>
      <c r="B2345" s="32">
        <v>1359.99</v>
      </c>
      <c r="C2345">
        <f t="shared" si="66"/>
        <v>1998</v>
      </c>
      <c r="H2345" s="85">
        <v>43250</v>
      </c>
      <c r="I2345">
        <v>2893.82</v>
      </c>
    </row>
    <row r="2346" spans="1:9">
      <c r="A2346" s="68">
        <v>35912</v>
      </c>
      <c r="B2346" s="33">
        <v>1359.99</v>
      </c>
      <c r="C2346">
        <f t="shared" si="66"/>
        <v>1998</v>
      </c>
      <c r="H2346" s="85">
        <v>43251</v>
      </c>
      <c r="I2346">
        <v>2879.32</v>
      </c>
    </row>
    <row r="2347" spans="1:9">
      <c r="A2347" s="68">
        <v>35913</v>
      </c>
      <c r="B2347" s="32">
        <v>1368.17</v>
      </c>
      <c r="C2347">
        <f t="shared" si="66"/>
        <v>1998</v>
      </c>
      <c r="H2347" s="85">
        <v>43252</v>
      </c>
      <c r="I2347">
        <v>2889.32</v>
      </c>
    </row>
    <row r="2348" spans="1:9">
      <c r="A2348" s="68">
        <v>35914</v>
      </c>
      <c r="B2348" s="33">
        <v>1371.35</v>
      </c>
      <c r="C2348">
        <f t="shared" si="66"/>
        <v>1998</v>
      </c>
      <c r="H2348" s="85">
        <v>43253</v>
      </c>
      <c r="I2348">
        <v>2868.22</v>
      </c>
    </row>
    <row r="2349" spans="1:9">
      <c r="A2349" s="68">
        <v>35915</v>
      </c>
      <c r="B2349" s="32">
        <v>1365.72</v>
      </c>
      <c r="C2349">
        <f t="shared" si="66"/>
        <v>1998</v>
      </c>
      <c r="H2349" s="85">
        <v>43254</v>
      </c>
      <c r="I2349">
        <v>2868.22</v>
      </c>
    </row>
    <row r="2350" spans="1:9">
      <c r="A2350" s="68">
        <v>35916</v>
      </c>
      <c r="B2350" s="33">
        <v>1364.07</v>
      </c>
      <c r="C2350">
        <f t="shared" si="66"/>
        <v>1998</v>
      </c>
      <c r="H2350" s="85">
        <v>43255</v>
      </c>
      <c r="I2350">
        <v>2868.22</v>
      </c>
    </row>
    <row r="2351" spans="1:9">
      <c r="A2351" s="68">
        <v>35917</v>
      </c>
      <c r="B2351" s="32">
        <v>1364.07</v>
      </c>
      <c r="C2351">
        <f t="shared" si="66"/>
        <v>1998</v>
      </c>
      <c r="H2351" s="85">
        <v>43256</v>
      </c>
      <c r="I2351">
        <v>2868.22</v>
      </c>
    </row>
    <row r="2352" spans="1:9">
      <c r="A2352" s="68">
        <v>35918</v>
      </c>
      <c r="B2352" s="33">
        <v>1364.07</v>
      </c>
      <c r="C2352">
        <f t="shared" si="66"/>
        <v>1998</v>
      </c>
      <c r="H2352" s="85">
        <v>43257</v>
      </c>
      <c r="I2352">
        <v>2865.37</v>
      </c>
    </row>
    <row r="2353" spans="1:9">
      <c r="A2353" s="68">
        <v>35919</v>
      </c>
      <c r="B2353" s="32">
        <v>1364.07</v>
      </c>
      <c r="C2353">
        <f t="shared" si="66"/>
        <v>1998</v>
      </c>
      <c r="H2353" s="85">
        <v>43258</v>
      </c>
      <c r="I2353">
        <v>2828.42</v>
      </c>
    </row>
    <row r="2354" spans="1:9">
      <c r="A2354" s="68">
        <v>35920</v>
      </c>
      <c r="B2354" s="33">
        <v>1369.31</v>
      </c>
      <c r="C2354">
        <f t="shared" si="66"/>
        <v>1998</v>
      </c>
      <c r="H2354" s="85">
        <v>43259</v>
      </c>
      <c r="I2354">
        <v>2835.78</v>
      </c>
    </row>
    <row r="2355" spans="1:9">
      <c r="A2355" s="68">
        <v>35921</v>
      </c>
      <c r="B2355" s="32">
        <v>1375.39</v>
      </c>
      <c r="C2355">
        <f t="shared" si="66"/>
        <v>1998</v>
      </c>
      <c r="H2355" s="85">
        <v>43260</v>
      </c>
      <c r="I2355">
        <v>2855.8</v>
      </c>
    </row>
    <row r="2356" spans="1:9">
      <c r="A2356" s="68">
        <v>35922</v>
      </c>
      <c r="B2356" s="33">
        <v>1382.27</v>
      </c>
      <c r="C2356">
        <f t="shared" si="66"/>
        <v>1998</v>
      </c>
      <c r="H2356" s="85">
        <v>43261</v>
      </c>
      <c r="I2356">
        <v>2855.8</v>
      </c>
    </row>
    <row r="2357" spans="1:9">
      <c r="A2357" s="68">
        <v>35923</v>
      </c>
      <c r="B2357" s="32">
        <v>1383.04</v>
      </c>
      <c r="C2357">
        <f t="shared" si="66"/>
        <v>1998</v>
      </c>
      <c r="H2357" s="85">
        <v>43262</v>
      </c>
      <c r="I2357">
        <v>2855.8</v>
      </c>
    </row>
    <row r="2358" spans="1:9">
      <c r="A2358" s="68">
        <v>35924</v>
      </c>
      <c r="B2358" s="33">
        <v>1385.38</v>
      </c>
      <c r="C2358">
        <f t="shared" si="66"/>
        <v>1998</v>
      </c>
      <c r="H2358" s="85">
        <v>43263</v>
      </c>
      <c r="I2358">
        <v>2855.8</v>
      </c>
    </row>
    <row r="2359" spans="1:9">
      <c r="A2359" s="68">
        <v>35925</v>
      </c>
      <c r="B2359" s="32">
        <v>1385.38</v>
      </c>
      <c r="C2359">
        <f t="shared" si="66"/>
        <v>1998</v>
      </c>
      <c r="H2359" s="85">
        <v>43264</v>
      </c>
      <c r="I2359">
        <v>2857.11</v>
      </c>
    </row>
    <row r="2360" spans="1:9">
      <c r="A2360" s="68">
        <v>35926</v>
      </c>
      <c r="B2360" s="33">
        <v>1385.38</v>
      </c>
      <c r="C2360">
        <f t="shared" si="66"/>
        <v>1998</v>
      </c>
      <c r="H2360" s="85">
        <v>43265</v>
      </c>
      <c r="I2360">
        <v>2859.17</v>
      </c>
    </row>
    <row r="2361" spans="1:9">
      <c r="A2361" s="68">
        <v>35927</v>
      </c>
      <c r="B2361" s="32">
        <v>1387.78</v>
      </c>
      <c r="C2361">
        <f t="shared" si="66"/>
        <v>1998</v>
      </c>
      <c r="H2361" s="85">
        <v>43266</v>
      </c>
      <c r="I2361">
        <v>2859.78</v>
      </c>
    </row>
    <row r="2362" spans="1:9">
      <c r="A2362" s="68">
        <v>35928</v>
      </c>
      <c r="B2362" s="33">
        <v>1388.04</v>
      </c>
      <c r="C2362">
        <f t="shared" si="66"/>
        <v>1998</v>
      </c>
      <c r="H2362" s="85">
        <v>43267</v>
      </c>
      <c r="I2362">
        <v>2890.06</v>
      </c>
    </row>
    <row r="2363" spans="1:9">
      <c r="A2363" s="68">
        <v>35929</v>
      </c>
      <c r="B2363" s="32">
        <v>1387.15</v>
      </c>
      <c r="C2363">
        <f t="shared" si="66"/>
        <v>1998</v>
      </c>
      <c r="H2363" s="85">
        <v>43268</v>
      </c>
      <c r="I2363">
        <v>2890.06</v>
      </c>
    </row>
    <row r="2364" spans="1:9">
      <c r="A2364" s="68">
        <v>35930</v>
      </c>
      <c r="B2364" s="33">
        <v>1384.97</v>
      </c>
      <c r="C2364">
        <f t="shared" si="66"/>
        <v>1998</v>
      </c>
      <c r="H2364" s="85">
        <v>43269</v>
      </c>
      <c r="I2364">
        <v>2890.06</v>
      </c>
    </row>
    <row r="2365" spans="1:9">
      <c r="A2365" s="68">
        <v>35931</v>
      </c>
      <c r="B2365" s="32">
        <v>1383.31</v>
      </c>
      <c r="C2365">
        <f t="shared" si="66"/>
        <v>1998</v>
      </c>
      <c r="H2365" s="85">
        <v>43270</v>
      </c>
      <c r="I2365">
        <v>2919.14</v>
      </c>
    </row>
    <row r="2366" spans="1:9">
      <c r="A2366" s="68">
        <v>35932</v>
      </c>
      <c r="B2366" s="33">
        <v>1383.31</v>
      </c>
      <c r="C2366">
        <f t="shared" si="66"/>
        <v>1998</v>
      </c>
      <c r="H2366" s="85">
        <v>43271</v>
      </c>
      <c r="I2366">
        <v>2931.78</v>
      </c>
    </row>
    <row r="2367" spans="1:9">
      <c r="A2367" s="68">
        <v>35933</v>
      </c>
      <c r="B2367" s="32">
        <v>1383.31</v>
      </c>
      <c r="C2367">
        <f t="shared" si="66"/>
        <v>1998</v>
      </c>
      <c r="H2367" s="85">
        <v>43272</v>
      </c>
      <c r="I2367">
        <v>2916.49</v>
      </c>
    </row>
    <row r="2368" spans="1:9">
      <c r="A2368" s="68">
        <v>35934</v>
      </c>
      <c r="B2368" s="33">
        <v>1387.26</v>
      </c>
      <c r="C2368">
        <f t="shared" si="66"/>
        <v>1998</v>
      </c>
      <c r="H2368" s="85">
        <v>43273</v>
      </c>
      <c r="I2368">
        <v>2944.82</v>
      </c>
    </row>
    <row r="2369" spans="1:9">
      <c r="A2369" s="68">
        <v>35935</v>
      </c>
      <c r="B2369" s="32">
        <v>1390.89</v>
      </c>
      <c r="C2369">
        <f t="shared" si="66"/>
        <v>1998</v>
      </c>
      <c r="H2369" s="85">
        <v>43274</v>
      </c>
      <c r="I2369">
        <v>2918.22</v>
      </c>
    </row>
    <row r="2370" spans="1:9">
      <c r="A2370" s="68">
        <v>35936</v>
      </c>
      <c r="B2370" s="33">
        <v>1392.18</v>
      </c>
      <c r="C2370">
        <f t="shared" si="66"/>
        <v>1998</v>
      </c>
      <c r="H2370" s="85">
        <v>43275</v>
      </c>
      <c r="I2370">
        <v>2918.22</v>
      </c>
    </row>
    <row r="2371" spans="1:9">
      <c r="A2371" s="68">
        <v>35937</v>
      </c>
      <c r="B2371" s="32">
        <v>1393.62</v>
      </c>
      <c r="C2371">
        <f t="shared" si="66"/>
        <v>1998</v>
      </c>
      <c r="H2371" s="85">
        <v>43276</v>
      </c>
      <c r="I2371">
        <v>2918.22</v>
      </c>
    </row>
    <row r="2372" spans="1:9">
      <c r="A2372" s="68">
        <v>35938</v>
      </c>
      <c r="B2372" s="33">
        <v>1394.33</v>
      </c>
      <c r="C2372">
        <f t="shared" ref="C2372:C2435" si="67">YEAR(A2372)</f>
        <v>1998</v>
      </c>
      <c r="H2372" s="85">
        <v>43277</v>
      </c>
      <c r="I2372">
        <v>2927.67</v>
      </c>
    </row>
    <row r="2373" spans="1:9">
      <c r="A2373" s="68">
        <v>35939</v>
      </c>
      <c r="B2373" s="32">
        <v>1394.33</v>
      </c>
      <c r="C2373">
        <f t="shared" si="67"/>
        <v>1998</v>
      </c>
      <c r="H2373" s="85">
        <v>43278</v>
      </c>
      <c r="I2373">
        <v>2924.1</v>
      </c>
    </row>
    <row r="2374" spans="1:9">
      <c r="A2374" s="68">
        <v>35940</v>
      </c>
      <c r="B2374" s="33">
        <v>1394.33</v>
      </c>
      <c r="C2374">
        <f t="shared" si="67"/>
        <v>1998</v>
      </c>
      <c r="H2374" s="85">
        <v>43279</v>
      </c>
      <c r="I2374">
        <v>2934.91</v>
      </c>
    </row>
    <row r="2375" spans="1:9">
      <c r="A2375" s="68">
        <v>35941</v>
      </c>
      <c r="B2375" s="32">
        <v>1394.33</v>
      </c>
      <c r="C2375">
        <f t="shared" si="67"/>
        <v>1998</v>
      </c>
      <c r="H2375" s="85">
        <v>43280</v>
      </c>
      <c r="I2375">
        <v>2945.09</v>
      </c>
    </row>
    <row r="2376" spans="1:9">
      <c r="A2376" s="68">
        <v>35942</v>
      </c>
      <c r="B2376" s="33">
        <v>1396.51</v>
      </c>
      <c r="C2376">
        <f t="shared" si="67"/>
        <v>1998</v>
      </c>
      <c r="H2376" s="85">
        <v>43281</v>
      </c>
      <c r="I2376">
        <v>2930.8</v>
      </c>
    </row>
    <row r="2377" spans="1:9">
      <c r="A2377" s="68">
        <v>35943</v>
      </c>
      <c r="B2377" s="32">
        <v>1397.12</v>
      </c>
      <c r="C2377">
        <f t="shared" si="67"/>
        <v>1998</v>
      </c>
      <c r="H2377" s="85">
        <v>43282</v>
      </c>
      <c r="I2377">
        <v>2930.8</v>
      </c>
    </row>
    <row r="2378" spans="1:9">
      <c r="A2378" s="68">
        <v>35944</v>
      </c>
      <c r="B2378" s="33">
        <v>1396.69</v>
      </c>
      <c r="C2378">
        <f t="shared" si="67"/>
        <v>1998</v>
      </c>
      <c r="H2378" s="85">
        <v>43283</v>
      </c>
      <c r="I2378">
        <v>2930.8</v>
      </c>
    </row>
    <row r="2379" spans="1:9">
      <c r="A2379" s="68">
        <v>35945</v>
      </c>
      <c r="B2379" s="32">
        <v>1397.07</v>
      </c>
      <c r="C2379">
        <f t="shared" si="67"/>
        <v>1998</v>
      </c>
      <c r="H2379" s="85">
        <v>43284</v>
      </c>
      <c r="I2379">
        <v>2930.8</v>
      </c>
    </row>
    <row r="2380" spans="1:9">
      <c r="A2380" s="68">
        <v>35946</v>
      </c>
      <c r="B2380" s="33">
        <v>1397.07</v>
      </c>
      <c r="C2380">
        <f t="shared" si="67"/>
        <v>1998</v>
      </c>
      <c r="H2380" s="85">
        <v>43285</v>
      </c>
      <c r="I2380">
        <v>2909.83</v>
      </c>
    </row>
    <row r="2381" spans="1:9">
      <c r="A2381" s="68">
        <v>35947</v>
      </c>
      <c r="B2381" s="32">
        <v>1397.07</v>
      </c>
      <c r="C2381">
        <f t="shared" si="67"/>
        <v>1998</v>
      </c>
      <c r="H2381" s="85">
        <v>43286</v>
      </c>
      <c r="I2381">
        <v>2909.83</v>
      </c>
    </row>
    <row r="2382" spans="1:9">
      <c r="A2382" s="68">
        <v>35948</v>
      </c>
      <c r="B2382" s="33">
        <v>1398.53</v>
      </c>
      <c r="C2382">
        <f t="shared" si="67"/>
        <v>1998</v>
      </c>
      <c r="H2382" s="85">
        <v>43287</v>
      </c>
      <c r="I2382">
        <v>2885.53</v>
      </c>
    </row>
    <row r="2383" spans="1:9">
      <c r="A2383" s="68">
        <v>35949</v>
      </c>
      <c r="B2383" s="32">
        <v>1399.56</v>
      </c>
      <c r="C2383">
        <f t="shared" si="67"/>
        <v>1998</v>
      </c>
      <c r="H2383" s="85">
        <v>43288</v>
      </c>
      <c r="I2383">
        <v>2867.94</v>
      </c>
    </row>
    <row r="2384" spans="1:9">
      <c r="A2384" s="68">
        <v>35950</v>
      </c>
      <c r="B2384" s="33">
        <v>1399.02</v>
      </c>
      <c r="C2384">
        <f t="shared" si="67"/>
        <v>1998</v>
      </c>
      <c r="H2384" s="85">
        <v>43289</v>
      </c>
      <c r="I2384">
        <v>2867.94</v>
      </c>
    </row>
    <row r="2385" spans="1:9">
      <c r="A2385" s="68">
        <v>35951</v>
      </c>
      <c r="B2385" s="32">
        <v>1397.63</v>
      </c>
      <c r="C2385">
        <f t="shared" si="67"/>
        <v>1998</v>
      </c>
      <c r="H2385" s="85">
        <v>43290</v>
      </c>
      <c r="I2385">
        <v>2867.94</v>
      </c>
    </row>
    <row r="2386" spans="1:9">
      <c r="A2386" s="68">
        <v>35952</v>
      </c>
      <c r="B2386" s="33">
        <v>1387.12</v>
      </c>
      <c r="C2386">
        <f t="shared" si="67"/>
        <v>1998</v>
      </c>
      <c r="H2386" s="85">
        <v>43291</v>
      </c>
      <c r="I2386">
        <v>2881.09</v>
      </c>
    </row>
    <row r="2387" spans="1:9">
      <c r="A2387" s="68">
        <v>35953</v>
      </c>
      <c r="B2387" s="32">
        <v>1387.12</v>
      </c>
      <c r="C2387">
        <f t="shared" si="67"/>
        <v>1998</v>
      </c>
      <c r="H2387" s="85">
        <v>43292</v>
      </c>
      <c r="I2387">
        <v>2872.62</v>
      </c>
    </row>
    <row r="2388" spans="1:9">
      <c r="A2388" s="68">
        <v>35954</v>
      </c>
      <c r="B2388" s="33">
        <v>1387.12</v>
      </c>
      <c r="C2388">
        <f t="shared" si="67"/>
        <v>1998</v>
      </c>
      <c r="H2388" s="85">
        <v>43293</v>
      </c>
      <c r="I2388">
        <v>2880.1</v>
      </c>
    </row>
    <row r="2389" spans="1:9">
      <c r="A2389" s="68">
        <v>35955</v>
      </c>
      <c r="B2389" s="32">
        <v>1386.53</v>
      </c>
      <c r="C2389">
        <f t="shared" si="67"/>
        <v>1998</v>
      </c>
      <c r="H2389" s="85">
        <v>43294</v>
      </c>
      <c r="I2389">
        <v>2882.02</v>
      </c>
    </row>
    <row r="2390" spans="1:9">
      <c r="A2390" s="68">
        <v>35956</v>
      </c>
      <c r="B2390" s="33">
        <v>1376.25</v>
      </c>
      <c r="C2390">
        <f t="shared" si="67"/>
        <v>1998</v>
      </c>
      <c r="H2390" s="85">
        <v>43295</v>
      </c>
      <c r="I2390">
        <v>2861.7</v>
      </c>
    </row>
    <row r="2391" spans="1:9">
      <c r="A2391" s="68">
        <v>35957</v>
      </c>
      <c r="B2391" s="32">
        <v>1383.23</v>
      </c>
      <c r="C2391">
        <f t="shared" si="67"/>
        <v>1998</v>
      </c>
      <c r="H2391" s="85">
        <v>43296</v>
      </c>
      <c r="I2391">
        <v>2861.7</v>
      </c>
    </row>
    <row r="2392" spans="1:9">
      <c r="A2392" s="68">
        <v>35958</v>
      </c>
      <c r="B2392" s="33">
        <v>1388.76</v>
      </c>
      <c r="C2392">
        <f t="shared" si="67"/>
        <v>1998</v>
      </c>
      <c r="H2392" s="85">
        <v>43297</v>
      </c>
      <c r="I2392">
        <v>2861.7</v>
      </c>
    </row>
    <row r="2393" spans="1:9">
      <c r="A2393" s="68">
        <v>35959</v>
      </c>
      <c r="B2393" s="32">
        <v>1380.51</v>
      </c>
      <c r="C2393">
        <f t="shared" si="67"/>
        <v>1998</v>
      </c>
      <c r="H2393" s="85">
        <v>43298</v>
      </c>
      <c r="I2393">
        <v>2868.96</v>
      </c>
    </row>
    <row r="2394" spans="1:9">
      <c r="A2394" s="68">
        <v>35960</v>
      </c>
      <c r="B2394" s="33">
        <v>1380.51</v>
      </c>
      <c r="C2394">
        <f t="shared" si="67"/>
        <v>1998</v>
      </c>
      <c r="H2394" s="85">
        <v>43299</v>
      </c>
      <c r="I2394">
        <v>2878.28</v>
      </c>
    </row>
    <row r="2395" spans="1:9">
      <c r="A2395" s="68">
        <v>35961</v>
      </c>
      <c r="B2395" s="32">
        <v>1380.51</v>
      </c>
      <c r="C2395">
        <f t="shared" si="67"/>
        <v>1998</v>
      </c>
      <c r="H2395" s="85">
        <v>43300</v>
      </c>
      <c r="I2395">
        <v>2876.93</v>
      </c>
    </row>
    <row r="2396" spans="1:9">
      <c r="A2396" s="68">
        <v>35962</v>
      </c>
      <c r="B2396" s="33">
        <v>1380.51</v>
      </c>
      <c r="C2396">
        <f t="shared" si="67"/>
        <v>1998</v>
      </c>
      <c r="H2396" s="85">
        <v>43301</v>
      </c>
      <c r="I2396">
        <v>2883.81</v>
      </c>
    </row>
    <row r="2397" spans="1:9">
      <c r="A2397" s="68">
        <v>35963</v>
      </c>
      <c r="B2397" s="32">
        <v>1388.5</v>
      </c>
      <c r="C2397">
        <f t="shared" si="67"/>
        <v>1998</v>
      </c>
      <c r="H2397" s="85">
        <v>43302</v>
      </c>
      <c r="I2397">
        <v>2883.81</v>
      </c>
    </row>
    <row r="2398" spans="1:9">
      <c r="A2398" s="68">
        <v>35964</v>
      </c>
      <c r="B2398" s="33">
        <v>1394.39</v>
      </c>
      <c r="C2398">
        <f t="shared" si="67"/>
        <v>1998</v>
      </c>
      <c r="H2398" s="85">
        <v>43303</v>
      </c>
      <c r="I2398">
        <v>2883.81</v>
      </c>
    </row>
    <row r="2399" spans="1:9">
      <c r="A2399" s="68">
        <v>35965</v>
      </c>
      <c r="B2399" s="32">
        <v>1390.85</v>
      </c>
      <c r="C2399">
        <f t="shared" si="67"/>
        <v>1998</v>
      </c>
      <c r="H2399" s="85">
        <v>43304</v>
      </c>
      <c r="I2399">
        <v>2883.81</v>
      </c>
    </row>
    <row r="2400" spans="1:9">
      <c r="A2400" s="68">
        <v>35966</v>
      </c>
      <c r="B2400" s="33">
        <v>1394.8</v>
      </c>
      <c r="C2400">
        <f t="shared" si="67"/>
        <v>1998</v>
      </c>
      <c r="H2400" s="85">
        <v>43305</v>
      </c>
      <c r="I2400">
        <v>2897.73</v>
      </c>
    </row>
    <row r="2401" spans="1:9">
      <c r="A2401" s="68">
        <v>35967</v>
      </c>
      <c r="B2401" s="32">
        <v>1394.8</v>
      </c>
      <c r="C2401">
        <f t="shared" si="67"/>
        <v>1998</v>
      </c>
      <c r="H2401" s="85">
        <v>43306</v>
      </c>
      <c r="I2401">
        <v>2898.36</v>
      </c>
    </row>
    <row r="2402" spans="1:9">
      <c r="A2402" s="68">
        <v>35968</v>
      </c>
      <c r="B2402" s="33">
        <v>1394.8</v>
      </c>
      <c r="C2402">
        <f t="shared" si="67"/>
        <v>1998</v>
      </c>
      <c r="H2402" s="85">
        <v>43307</v>
      </c>
      <c r="I2402">
        <v>2882.84</v>
      </c>
    </row>
    <row r="2403" spans="1:9">
      <c r="A2403" s="68">
        <v>35969</v>
      </c>
      <c r="B2403" s="32">
        <v>1394.8</v>
      </c>
      <c r="C2403">
        <f t="shared" si="67"/>
        <v>1998</v>
      </c>
      <c r="H2403" s="85">
        <v>43308</v>
      </c>
      <c r="I2403">
        <v>2886.21</v>
      </c>
    </row>
    <row r="2404" spans="1:9">
      <c r="A2404" s="68">
        <v>35970</v>
      </c>
      <c r="B2404" s="33">
        <v>1381.11</v>
      </c>
      <c r="C2404">
        <f t="shared" si="67"/>
        <v>1998</v>
      </c>
      <c r="H2404" s="85">
        <v>43309</v>
      </c>
      <c r="I2404">
        <v>2880.79</v>
      </c>
    </row>
    <row r="2405" spans="1:9">
      <c r="A2405" s="68">
        <v>35971</v>
      </c>
      <c r="B2405" s="32">
        <v>1375.02</v>
      </c>
      <c r="C2405">
        <f t="shared" si="67"/>
        <v>1998</v>
      </c>
      <c r="H2405" s="85">
        <v>43310</v>
      </c>
      <c r="I2405">
        <v>2880.79</v>
      </c>
    </row>
    <row r="2406" spans="1:9">
      <c r="A2406" s="68">
        <v>35972</v>
      </c>
      <c r="B2406" s="33">
        <v>1363.67</v>
      </c>
      <c r="C2406">
        <f t="shared" si="67"/>
        <v>1998</v>
      </c>
      <c r="H2406" s="85">
        <v>43311</v>
      </c>
      <c r="I2406">
        <v>2880.79</v>
      </c>
    </row>
    <row r="2407" spans="1:9">
      <c r="A2407" s="68">
        <v>35973</v>
      </c>
      <c r="B2407" s="32">
        <v>1363.04</v>
      </c>
      <c r="C2407">
        <f t="shared" si="67"/>
        <v>1998</v>
      </c>
      <c r="H2407" s="85">
        <v>43312</v>
      </c>
      <c r="I2407">
        <v>2875.72</v>
      </c>
    </row>
    <row r="2408" spans="1:9">
      <c r="A2408" s="68">
        <v>35974</v>
      </c>
      <c r="B2408" s="33">
        <v>1363.04</v>
      </c>
      <c r="C2408">
        <f t="shared" si="67"/>
        <v>1998</v>
      </c>
      <c r="H2408" s="85">
        <v>43313</v>
      </c>
      <c r="I2408">
        <v>2886.8</v>
      </c>
    </row>
    <row r="2409" spans="1:9">
      <c r="A2409" s="68">
        <v>35975</v>
      </c>
      <c r="B2409" s="32">
        <v>1363.04</v>
      </c>
      <c r="C2409">
        <f t="shared" si="67"/>
        <v>1998</v>
      </c>
      <c r="H2409" s="85">
        <v>43314</v>
      </c>
      <c r="I2409">
        <v>2892.62</v>
      </c>
    </row>
    <row r="2410" spans="1:9">
      <c r="A2410" s="68">
        <v>35976</v>
      </c>
      <c r="B2410" s="33">
        <v>1363.04</v>
      </c>
      <c r="C2410">
        <f t="shared" si="67"/>
        <v>1998</v>
      </c>
      <c r="H2410" s="85">
        <v>43315</v>
      </c>
      <c r="I2410">
        <v>2904.9</v>
      </c>
    </row>
    <row r="2411" spans="1:9">
      <c r="A2411" s="68">
        <v>35977</v>
      </c>
      <c r="B2411" s="32">
        <v>1369.88</v>
      </c>
      <c r="C2411">
        <f t="shared" si="67"/>
        <v>1998</v>
      </c>
      <c r="H2411" s="85">
        <v>43316</v>
      </c>
      <c r="I2411">
        <v>2898.99</v>
      </c>
    </row>
    <row r="2412" spans="1:9">
      <c r="A2412" s="68">
        <v>35978</v>
      </c>
      <c r="B2412" s="33">
        <v>1358.05</v>
      </c>
      <c r="C2412">
        <f t="shared" si="67"/>
        <v>1998</v>
      </c>
      <c r="H2412" s="85">
        <v>43317</v>
      </c>
      <c r="I2412">
        <v>2898.99</v>
      </c>
    </row>
    <row r="2413" spans="1:9">
      <c r="A2413" s="68">
        <v>35979</v>
      </c>
      <c r="B2413" s="32">
        <v>1345.65</v>
      </c>
      <c r="C2413">
        <f t="shared" si="67"/>
        <v>1998</v>
      </c>
      <c r="H2413" s="85">
        <v>43318</v>
      </c>
      <c r="I2413">
        <v>2898.99</v>
      </c>
    </row>
    <row r="2414" spans="1:9">
      <c r="A2414" s="68">
        <v>35980</v>
      </c>
      <c r="B2414" s="33">
        <v>1348.06</v>
      </c>
      <c r="C2414">
        <f t="shared" si="67"/>
        <v>1998</v>
      </c>
      <c r="H2414" s="85">
        <v>43319</v>
      </c>
      <c r="I2414">
        <v>2898.86</v>
      </c>
    </row>
    <row r="2415" spans="1:9">
      <c r="A2415" s="68">
        <v>35981</v>
      </c>
      <c r="B2415" s="32">
        <v>1348.06</v>
      </c>
      <c r="C2415">
        <f t="shared" si="67"/>
        <v>1998</v>
      </c>
      <c r="H2415" s="85">
        <v>43320</v>
      </c>
      <c r="I2415">
        <v>2898.86</v>
      </c>
    </row>
    <row r="2416" spans="1:9">
      <c r="A2416" s="68">
        <v>35982</v>
      </c>
      <c r="B2416" s="33">
        <v>1348.06</v>
      </c>
      <c r="C2416">
        <f t="shared" si="67"/>
        <v>1998</v>
      </c>
      <c r="H2416" s="85">
        <v>43321</v>
      </c>
      <c r="I2416">
        <v>2908.9</v>
      </c>
    </row>
    <row r="2417" spans="1:9">
      <c r="A2417" s="68">
        <v>35983</v>
      </c>
      <c r="B2417" s="32">
        <v>1357.78</v>
      </c>
      <c r="C2417">
        <f t="shared" si="67"/>
        <v>1998</v>
      </c>
      <c r="H2417" s="85">
        <v>43322</v>
      </c>
      <c r="I2417">
        <v>2919.44</v>
      </c>
    </row>
    <row r="2418" spans="1:9">
      <c r="A2418" s="68">
        <v>35984</v>
      </c>
      <c r="B2418" s="33">
        <v>1368.16</v>
      </c>
      <c r="C2418">
        <f t="shared" si="67"/>
        <v>1998</v>
      </c>
      <c r="H2418" s="85">
        <v>43323</v>
      </c>
      <c r="I2418">
        <v>2940.95</v>
      </c>
    </row>
    <row r="2419" spans="1:9">
      <c r="A2419" s="68">
        <v>35985</v>
      </c>
      <c r="B2419" s="32">
        <v>1369.12</v>
      </c>
      <c r="C2419">
        <f t="shared" si="67"/>
        <v>1998</v>
      </c>
      <c r="H2419" s="85">
        <v>43324</v>
      </c>
      <c r="I2419">
        <v>2940.95</v>
      </c>
    </row>
    <row r="2420" spans="1:9">
      <c r="A2420" s="68">
        <v>35986</v>
      </c>
      <c r="B2420" s="33">
        <v>1370.45</v>
      </c>
      <c r="C2420">
        <f t="shared" si="67"/>
        <v>1998</v>
      </c>
      <c r="H2420" s="85">
        <v>43325</v>
      </c>
      <c r="I2420">
        <v>2940.95</v>
      </c>
    </row>
    <row r="2421" spans="1:9">
      <c r="A2421" s="68">
        <v>35987</v>
      </c>
      <c r="B2421" s="32">
        <v>1374.23</v>
      </c>
      <c r="C2421">
        <f t="shared" si="67"/>
        <v>1998</v>
      </c>
      <c r="H2421" s="85">
        <v>43326</v>
      </c>
      <c r="I2421">
        <v>2983.93</v>
      </c>
    </row>
    <row r="2422" spans="1:9">
      <c r="A2422" s="68">
        <v>35988</v>
      </c>
      <c r="B2422" s="33">
        <v>1374.23</v>
      </c>
      <c r="C2422">
        <f t="shared" si="67"/>
        <v>1998</v>
      </c>
      <c r="H2422" s="85">
        <v>43327</v>
      </c>
      <c r="I2422">
        <v>3002.66</v>
      </c>
    </row>
    <row r="2423" spans="1:9">
      <c r="A2423" s="68">
        <v>35989</v>
      </c>
      <c r="B2423" s="32">
        <v>1374.23</v>
      </c>
      <c r="C2423">
        <f t="shared" si="67"/>
        <v>1998</v>
      </c>
      <c r="H2423" s="85">
        <v>43328</v>
      </c>
      <c r="I2423">
        <v>3046.76</v>
      </c>
    </row>
    <row r="2424" spans="1:9">
      <c r="A2424" s="68">
        <v>35990</v>
      </c>
      <c r="B2424" s="33">
        <v>1380.27</v>
      </c>
      <c r="C2424">
        <f t="shared" si="67"/>
        <v>1998</v>
      </c>
      <c r="H2424" s="85">
        <v>43329</v>
      </c>
      <c r="I2424">
        <v>3019.55</v>
      </c>
    </row>
    <row r="2425" spans="1:9">
      <c r="A2425" s="68">
        <v>35991</v>
      </c>
      <c r="B2425" s="32">
        <v>1381.22</v>
      </c>
      <c r="C2425">
        <f t="shared" si="67"/>
        <v>1998</v>
      </c>
      <c r="H2425" s="85">
        <v>43330</v>
      </c>
      <c r="I2425">
        <v>3024.02</v>
      </c>
    </row>
    <row r="2426" spans="1:9">
      <c r="A2426" s="68">
        <v>35992</v>
      </c>
      <c r="B2426" s="33">
        <v>1378.01</v>
      </c>
      <c r="C2426">
        <f t="shared" si="67"/>
        <v>1998</v>
      </c>
      <c r="H2426" s="85">
        <v>43331</v>
      </c>
      <c r="I2426">
        <v>3024.02</v>
      </c>
    </row>
    <row r="2427" spans="1:9">
      <c r="A2427" s="68">
        <v>35993</v>
      </c>
      <c r="B2427" s="32">
        <v>1376.74</v>
      </c>
      <c r="C2427">
        <f t="shared" si="67"/>
        <v>1998</v>
      </c>
      <c r="H2427" s="85">
        <v>43332</v>
      </c>
      <c r="I2427">
        <v>3024.02</v>
      </c>
    </row>
    <row r="2428" spans="1:9">
      <c r="A2428" s="68">
        <v>35994</v>
      </c>
      <c r="B2428" s="33">
        <v>1381.54</v>
      </c>
      <c r="C2428">
        <f t="shared" si="67"/>
        <v>1998</v>
      </c>
      <c r="H2428" s="85">
        <v>43333</v>
      </c>
      <c r="I2428">
        <v>3024.02</v>
      </c>
    </row>
    <row r="2429" spans="1:9">
      <c r="A2429" s="68">
        <v>35995</v>
      </c>
      <c r="B2429" s="32">
        <v>1381.54</v>
      </c>
      <c r="C2429">
        <f t="shared" si="67"/>
        <v>1998</v>
      </c>
      <c r="H2429" s="85">
        <v>43334</v>
      </c>
      <c r="I2429">
        <v>2990.78</v>
      </c>
    </row>
    <row r="2430" spans="1:9">
      <c r="A2430" s="68">
        <v>35996</v>
      </c>
      <c r="B2430" s="33">
        <v>1381.54</v>
      </c>
      <c r="C2430">
        <f t="shared" si="67"/>
        <v>1998</v>
      </c>
      <c r="H2430" s="85">
        <v>43335</v>
      </c>
      <c r="I2430">
        <v>2965.45</v>
      </c>
    </row>
    <row r="2431" spans="1:9">
      <c r="A2431" s="68">
        <v>35997</v>
      </c>
      <c r="B2431" s="32">
        <v>1381.54</v>
      </c>
      <c r="C2431">
        <f t="shared" si="67"/>
        <v>1998</v>
      </c>
      <c r="H2431" s="85">
        <v>43336</v>
      </c>
      <c r="I2431">
        <v>2980.64</v>
      </c>
    </row>
    <row r="2432" spans="1:9">
      <c r="A2432" s="68">
        <v>35998</v>
      </c>
      <c r="B2432" s="33">
        <v>1380.87</v>
      </c>
      <c r="C2432">
        <f t="shared" si="67"/>
        <v>1998</v>
      </c>
      <c r="H2432" s="85">
        <v>43337</v>
      </c>
      <c r="I2432">
        <v>2958.45</v>
      </c>
    </row>
    <row r="2433" spans="1:9">
      <c r="A2433" s="68">
        <v>35999</v>
      </c>
      <c r="B2433" s="32">
        <v>1376.87</v>
      </c>
      <c r="C2433">
        <f t="shared" si="67"/>
        <v>1998</v>
      </c>
      <c r="H2433" s="85">
        <v>43338</v>
      </c>
      <c r="I2433">
        <v>2958.45</v>
      </c>
    </row>
    <row r="2434" spans="1:9">
      <c r="A2434" s="68">
        <v>36000</v>
      </c>
      <c r="B2434" s="33">
        <v>1378.88</v>
      </c>
      <c r="C2434">
        <f t="shared" si="67"/>
        <v>1998</v>
      </c>
      <c r="H2434" s="85">
        <v>43339</v>
      </c>
      <c r="I2434">
        <v>2958.45</v>
      </c>
    </row>
    <row r="2435" spans="1:9">
      <c r="A2435" s="68">
        <v>36001</v>
      </c>
      <c r="B2435" s="32">
        <v>1379.61</v>
      </c>
      <c r="C2435">
        <f t="shared" si="67"/>
        <v>1998</v>
      </c>
      <c r="H2435" s="85">
        <v>43340</v>
      </c>
      <c r="I2435">
        <v>2934.31</v>
      </c>
    </row>
    <row r="2436" spans="1:9">
      <c r="A2436" s="68">
        <v>36002</v>
      </c>
      <c r="B2436" s="33">
        <v>1379.61</v>
      </c>
      <c r="C2436">
        <f t="shared" ref="C2436:C2499" si="68">YEAR(A2436)</f>
        <v>1998</v>
      </c>
      <c r="H2436" s="85">
        <v>43341</v>
      </c>
      <c r="I2436">
        <v>2966</v>
      </c>
    </row>
    <row r="2437" spans="1:9">
      <c r="A2437" s="68">
        <v>36003</v>
      </c>
      <c r="B2437" s="32">
        <v>1379.61</v>
      </c>
      <c r="C2437">
        <f t="shared" si="68"/>
        <v>1998</v>
      </c>
      <c r="H2437" s="85">
        <v>43342</v>
      </c>
      <c r="I2437">
        <v>2999.57</v>
      </c>
    </row>
    <row r="2438" spans="1:9">
      <c r="A2438" s="68">
        <v>36004</v>
      </c>
      <c r="B2438" s="33">
        <v>1378.33</v>
      </c>
      <c r="C2438">
        <f t="shared" si="68"/>
        <v>1998</v>
      </c>
      <c r="H2438" s="85">
        <v>43343</v>
      </c>
      <c r="I2438">
        <v>3027.39</v>
      </c>
    </row>
    <row r="2439" spans="1:9">
      <c r="A2439" s="68">
        <v>36005</v>
      </c>
      <c r="B2439" s="32">
        <v>1376.12</v>
      </c>
      <c r="C2439">
        <f t="shared" si="68"/>
        <v>1998</v>
      </c>
      <c r="H2439" s="85">
        <v>43344</v>
      </c>
      <c r="I2439">
        <v>3053.14</v>
      </c>
    </row>
    <row r="2440" spans="1:9">
      <c r="A2440" s="68">
        <v>36006</v>
      </c>
      <c r="B2440" s="33">
        <v>1373.49</v>
      </c>
      <c r="C2440">
        <f t="shared" si="68"/>
        <v>1998</v>
      </c>
      <c r="H2440" s="85">
        <v>43345</v>
      </c>
      <c r="I2440">
        <v>3053.14</v>
      </c>
    </row>
    <row r="2441" spans="1:9">
      <c r="A2441" s="68">
        <v>36007</v>
      </c>
      <c r="B2441" s="32">
        <v>1370.65</v>
      </c>
      <c r="C2441">
        <f t="shared" si="68"/>
        <v>1998</v>
      </c>
      <c r="H2441" s="85">
        <v>43346</v>
      </c>
      <c r="I2441">
        <v>3053.14</v>
      </c>
    </row>
    <row r="2442" spans="1:9">
      <c r="A2442" s="68">
        <v>36008</v>
      </c>
      <c r="B2442" s="33">
        <v>1372.14</v>
      </c>
      <c r="C2442">
        <f t="shared" si="68"/>
        <v>1998</v>
      </c>
      <c r="H2442" s="85">
        <v>43347</v>
      </c>
      <c r="I2442">
        <v>3053.14</v>
      </c>
    </row>
    <row r="2443" spans="1:9">
      <c r="A2443" s="68">
        <v>36009</v>
      </c>
      <c r="B2443" s="32">
        <v>1372.14</v>
      </c>
      <c r="C2443">
        <f t="shared" si="68"/>
        <v>1998</v>
      </c>
      <c r="H2443" s="85">
        <v>43348</v>
      </c>
      <c r="I2443">
        <v>3088.47</v>
      </c>
    </row>
    <row r="2444" spans="1:9">
      <c r="A2444" s="68">
        <v>36010</v>
      </c>
      <c r="B2444" s="33">
        <v>1372.14</v>
      </c>
      <c r="C2444">
        <f t="shared" si="68"/>
        <v>1998</v>
      </c>
      <c r="H2444" s="85">
        <v>43349</v>
      </c>
      <c r="I2444">
        <v>3100.37</v>
      </c>
    </row>
    <row r="2445" spans="1:9">
      <c r="A2445" s="68">
        <v>36011</v>
      </c>
      <c r="B2445" s="32">
        <v>1371.16</v>
      </c>
      <c r="C2445">
        <f t="shared" si="68"/>
        <v>1998</v>
      </c>
      <c r="H2445" s="85">
        <v>43350</v>
      </c>
      <c r="I2445">
        <v>3089.47</v>
      </c>
    </row>
    <row r="2446" spans="1:9">
      <c r="A2446" s="68">
        <v>36012</v>
      </c>
      <c r="B2446" s="33">
        <v>1368.24</v>
      </c>
      <c r="C2446">
        <f t="shared" si="68"/>
        <v>1998</v>
      </c>
      <c r="H2446" s="85">
        <v>43351</v>
      </c>
      <c r="I2446">
        <v>3070.15</v>
      </c>
    </row>
    <row r="2447" spans="1:9">
      <c r="A2447" s="68">
        <v>36013</v>
      </c>
      <c r="B2447" s="32">
        <v>1366.44</v>
      </c>
      <c r="C2447">
        <f t="shared" si="68"/>
        <v>1998</v>
      </c>
      <c r="H2447" s="85">
        <v>43352</v>
      </c>
      <c r="I2447">
        <v>3070.15</v>
      </c>
    </row>
    <row r="2448" spans="1:9">
      <c r="A2448" s="68">
        <v>36014</v>
      </c>
      <c r="B2448" s="33">
        <v>1364.9</v>
      </c>
      <c r="C2448">
        <f t="shared" si="68"/>
        <v>1998</v>
      </c>
      <c r="H2448" s="85">
        <v>43353</v>
      </c>
      <c r="I2448">
        <v>3070.15</v>
      </c>
    </row>
    <row r="2449" spans="1:9">
      <c r="A2449" s="68">
        <v>36015</v>
      </c>
      <c r="B2449" s="32">
        <v>1364.9</v>
      </c>
      <c r="C2449">
        <f t="shared" si="68"/>
        <v>1998</v>
      </c>
      <c r="H2449" s="85">
        <v>43354</v>
      </c>
      <c r="I2449">
        <v>3069.49</v>
      </c>
    </row>
    <row r="2450" spans="1:9">
      <c r="A2450" s="68">
        <v>36016</v>
      </c>
      <c r="B2450" s="33">
        <v>1364.9</v>
      </c>
      <c r="C2450">
        <f t="shared" si="68"/>
        <v>1998</v>
      </c>
      <c r="H2450" s="85">
        <v>43355</v>
      </c>
      <c r="I2450">
        <v>3087.73</v>
      </c>
    </row>
    <row r="2451" spans="1:9">
      <c r="A2451" s="68">
        <v>36017</v>
      </c>
      <c r="B2451" s="32">
        <v>1364.9</v>
      </c>
      <c r="C2451">
        <f t="shared" si="68"/>
        <v>1998</v>
      </c>
      <c r="H2451" s="85">
        <v>43356</v>
      </c>
      <c r="I2451">
        <v>3055.01</v>
      </c>
    </row>
    <row r="2452" spans="1:9">
      <c r="A2452" s="68">
        <v>36018</v>
      </c>
      <c r="B2452" s="33">
        <v>1359.22</v>
      </c>
      <c r="C2452">
        <f t="shared" si="68"/>
        <v>1998</v>
      </c>
      <c r="H2452" s="85">
        <v>43357</v>
      </c>
      <c r="I2452">
        <v>3019.38</v>
      </c>
    </row>
    <row r="2453" spans="1:9">
      <c r="A2453" s="68">
        <v>36019</v>
      </c>
      <c r="B2453" s="32">
        <v>1365.58</v>
      </c>
      <c r="C2453">
        <f t="shared" si="68"/>
        <v>1998</v>
      </c>
      <c r="H2453" s="85">
        <v>43358</v>
      </c>
      <c r="I2453">
        <v>3026.05</v>
      </c>
    </row>
    <row r="2454" spans="1:9">
      <c r="A2454" s="68">
        <v>36020</v>
      </c>
      <c r="B2454" s="33">
        <v>1371.23</v>
      </c>
      <c r="C2454">
        <f t="shared" si="68"/>
        <v>1998</v>
      </c>
      <c r="H2454" s="85">
        <v>43359</v>
      </c>
      <c r="I2454">
        <v>3026.05</v>
      </c>
    </row>
    <row r="2455" spans="1:9">
      <c r="A2455" s="68">
        <v>36021</v>
      </c>
      <c r="B2455" s="32">
        <v>1377.08</v>
      </c>
      <c r="C2455">
        <f t="shared" si="68"/>
        <v>1998</v>
      </c>
      <c r="H2455" s="85">
        <v>43360</v>
      </c>
      <c r="I2455">
        <v>3026.05</v>
      </c>
    </row>
    <row r="2456" spans="1:9">
      <c r="A2456" s="68">
        <v>36022</v>
      </c>
      <c r="B2456" s="33">
        <v>1386.02</v>
      </c>
      <c r="C2456">
        <f t="shared" si="68"/>
        <v>1998</v>
      </c>
      <c r="H2456" s="85">
        <v>43361</v>
      </c>
      <c r="I2456">
        <v>3013.38</v>
      </c>
    </row>
    <row r="2457" spans="1:9">
      <c r="A2457" s="68">
        <v>36023</v>
      </c>
      <c r="B2457" s="32">
        <v>1386.02</v>
      </c>
      <c r="C2457">
        <f t="shared" si="68"/>
        <v>1998</v>
      </c>
      <c r="H2457" s="85">
        <v>43362</v>
      </c>
      <c r="I2457">
        <v>3007.03</v>
      </c>
    </row>
    <row r="2458" spans="1:9">
      <c r="A2458" s="68">
        <v>36024</v>
      </c>
      <c r="B2458" s="33">
        <v>1386.02</v>
      </c>
      <c r="C2458">
        <f t="shared" si="68"/>
        <v>1998</v>
      </c>
      <c r="H2458" s="85">
        <v>43363</v>
      </c>
      <c r="I2458">
        <v>3018.63</v>
      </c>
    </row>
    <row r="2459" spans="1:9">
      <c r="A2459" s="68">
        <v>36025</v>
      </c>
      <c r="B2459" s="32">
        <v>1386.02</v>
      </c>
      <c r="C2459">
        <f t="shared" si="68"/>
        <v>1998</v>
      </c>
      <c r="H2459" s="85">
        <v>43364</v>
      </c>
      <c r="I2459">
        <v>3014.18</v>
      </c>
    </row>
    <row r="2460" spans="1:9">
      <c r="A2460" s="68">
        <v>36026</v>
      </c>
      <c r="B2460" s="33">
        <v>1385.77</v>
      </c>
      <c r="C2460">
        <f t="shared" si="68"/>
        <v>1998</v>
      </c>
      <c r="H2460" s="85">
        <v>43365</v>
      </c>
      <c r="I2460">
        <v>3006.96</v>
      </c>
    </row>
    <row r="2461" spans="1:9">
      <c r="A2461" s="68">
        <v>36027</v>
      </c>
      <c r="B2461" s="32">
        <v>1384.24</v>
      </c>
      <c r="C2461">
        <f t="shared" si="68"/>
        <v>1998</v>
      </c>
      <c r="H2461" s="85">
        <v>43366</v>
      </c>
      <c r="I2461">
        <v>3006.96</v>
      </c>
    </row>
    <row r="2462" spans="1:9">
      <c r="A2462" s="68">
        <v>36028</v>
      </c>
      <c r="B2462" s="33">
        <v>1391.55</v>
      </c>
      <c r="C2462">
        <f t="shared" si="68"/>
        <v>1998</v>
      </c>
      <c r="H2462" s="85">
        <v>43367</v>
      </c>
      <c r="I2462">
        <v>3006.96</v>
      </c>
    </row>
    <row r="2463" spans="1:9">
      <c r="A2463" s="68">
        <v>36029</v>
      </c>
      <c r="B2463" s="32">
        <v>1407.27</v>
      </c>
      <c r="C2463">
        <f t="shared" si="68"/>
        <v>1998</v>
      </c>
      <c r="H2463" s="85">
        <v>43368</v>
      </c>
      <c r="I2463">
        <v>2991.9</v>
      </c>
    </row>
    <row r="2464" spans="1:9">
      <c r="A2464" s="68">
        <v>36030</v>
      </c>
      <c r="B2464" s="33">
        <v>1407.27</v>
      </c>
      <c r="C2464">
        <f t="shared" si="68"/>
        <v>1998</v>
      </c>
      <c r="H2464" s="85">
        <v>43369</v>
      </c>
      <c r="I2464">
        <v>3001.88</v>
      </c>
    </row>
    <row r="2465" spans="1:9">
      <c r="A2465" s="68">
        <v>36031</v>
      </c>
      <c r="B2465" s="32">
        <v>1407.27</v>
      </c>
      <c r="C2465">
        <f t="shared" si="68"/>
        <v>1998</v>
      </c>
      <c r="H2465" s="85">
        <v>43370</v>
      </c>
      <c r="I2465">
        <v>3000.14</v>
      </c>
    </row>
    <row r="2466" spans="1:9">
      <c r="A2466" s="68">
        <v>36032</v>
      </c>
      <c r="B2466" s="33">
        <v>1418.22</v>
      </c>
      <c r="C2466">
        <f t="shared" si="68"/>
        <v>1998</v>
      </c>
      <c r="H2466" s="85">
        <v>43371</v>
      </c>
      <c r="I2466">
        <v>2989.58</v>
      </c>
    </row>
    <row r="2467" spans="1:9">
      <c r="A2467" s="68">
        <v>36033</v>
      </c>
      <c r="B2467" s="32">
        <v>1420.27</v>
      </c>
      <c r="C2467">
        <f t="shared" si="68"/>
        <v>1998</v>
      </c>
      <c r="H2467" s="85">
        <v>43372</v>
      </c>
      <c r="I2467">
        <v>2972.18</v>
      </c>
    </row>
    <row r="2468" spans="1:9">
      <c r="A2468" s="68">
        <v>36034</v>
      </c>
      <c r="B2468" s="33">
        <v>1430.33</v>
      </c>
      <c r="C2468">
        <f t="shared" si="68"/>
        <v>1998</v>
      </c>
      <c r="H2468" s="85">
        <v>43373</v>
      </c>
      <c r="I2468">
        <v>2972.18</v>
      </c>
    </row>
    <row r="2469" spans="1:9">
      <c r="A2469" s="68">
        <v>36035</v>
      </c>
      <c r="B2469" s="32">
        <v>1438.16</v>
      </c>
      <c r="C2469">
        <f t="shared" si="68"/>
        <v>1998</v>
      </c>
      <c r="H2469" s="85">
        <v>43374</v>
      </c>
      <c r="I2469">
        <v>2972.18</v>
      </c>
    </row>
    <row r="2470" spans="1:9">
      <c r="A2470" s="68">
        <v>36036</v>
      </c>
      <c r="B2470" s="33">
        <v>1440.87</v>
      </c>
      <c r="C2470">
        <f t="shared" si="68"/>
        <v>1998</v>
      </c>
      <c r="H2470" s="85">
        <v>43375</v>
      </c>
      <c r="I2470">
        <v>2993.74</v>
      </c>
    </row>
    <row r="2471" spans="1:9">
      <c r="A2471" s="68">
        <v>36037</v>
      </c>
      <c r="B2471" s="32">
        <v>1440.87</v>
      </c>
      <c r="C2471">
        <f t="shared" si="68"/>
        <v>1998</v>
      </c>
      <c r="H2471" s="85">
        <v>43376</v>
      </c>
      <c r="I2471">
        <v>3005.5</v>
      </c>
    </row>
    <row r="2472" spans="1:9">
      <c r="A2472" s="68">
        <v>36038</v>
      </c>
      <c r="B2472" s="33">
        <v>1440.87</v>
      </c>
      <c r="C2472">
        <f t="shared" si="68"/>
        <v>1998</v>
      </c>
      <c r="H2472" s="85">
        <v>43377</v>
      </c>
      <c r="I2472">
        <v>3012.65</v>
      </c>
    </row>
    <row r="2473" spans="1:9">
      <c r="A2473" s="68">
        <v>36039</v>
      </c>
      <c r="B2473" s="32">
        <v>1441.86</v>
      </c>
      <c r="C2473">
        <f t="shared" si="68"/>
        <v>1998</v>
      </c>
      <c r="H2473" s="85">
        <v>43378</v>
      </c>
      <c r="I2473">
        <v>3028.16</v>
      </c>
    </row>
    <row r="2474" spans="1:9">
      <c r="A2474" s="68">
        <v>36040</v>
      </c>
      <c r="B2474" s="33">
        <v>1442.95</v>
      </c>
      <c r="C2474">
        <f t="shared" si="68"/>
        <v>1998</v>
      </c>
      <c r="H2474" s="85">
        <v>43379</v>
      </c>
      <c r="I2474">
        <v>3031.31</v>
      </c>
    </row>
    <row r="2475" spans="1:9">
      <c r="A2475" s="68">
        <v>36041</v>
      </c>
      <c r="B2475" s="32">
        <v>1518.56</v>
      </c>
      <c r="C2475">
        <f t="shared" si="68"/>
        <v>1998</v>
      </c>
      <c r="H2475" s="85">
        <v>43380</v>
      </c>
      <c r="I2475">
        <v>3031.31</v>
      </c>
    </row>
    <row r="2476" spans="1:9">
      <c r="A2476" s="68">
        <v>36042</v>
      </c>
      <c r="B2476" s="33">
        <v>1532.19</v>
      </c>
      <c r="C2476">
        <f t="shared" si="68"/>
        <v>1998</v>
      </c>
      <c r="H2476" s="85">
        <v>43381</v>
      </c>
      <c r="I2476">
        <v>3031.31</v>
      </c>
    </row>
    <row r="2477" spans="1:9">
      <c r="A2477" s="68">
        <v>36043</v>
      </c>
      <c r="B2477" s="32">
        <v>1538.84</v>
      </c>
      <c r="C2477">
        <f t="shared" si="68"/>
        <v>1998</v>
      </c>
      <c r="H2477" s="85">
        <v>43382</v>
      </c>
      <c r="I2477">
        <v>3031.31</v>
      </c>
    </row>
    <row r="2478" spans="1:9">
      <c r="A2478" s="68">
        <v>36044</v>
      </c>
      <c r="B2478" s="33">
        <v>1538.84</v>
      </c>
      <c r="C2478">
        <f t="shared" si="68"/>
        <v>1998</v>
      </c>
      <c r="H2478" s="85">
        <v>43383</v>
      </c>
      <c r="I2478">
        <v>3057.55</v>
      </c>
    </row>
    <row r="2479" spans="1:9">
      <c r="A2479" s="68">
        <v>36045</v>
      </c>
      <c r="B2479" s="32">
        <v>1538.84</v>
      </c>
      <c r="C2479">
        <f t="shared" si="68"/>
        <v>1998</v>
      </c>
      <c r="H2479" s="85">
        <v>43384</v>
      </c>
      <c r="I2479">
        <v>3090.3</v>
      </c>
    </row>
    <row r="2480" spans="1:9">
      <c r="A2480" s="68">
        <v>36046</v>
      </c>
      <c r="B2480" s="33">
        <v>1511.55</v>
      </c>
      <c r="C2480">
        <f t="shared" si="68"/>
        <v>1998</v>
      </c>
      <c r="H2480" s="85">
        <v>43385</v>
      </c>
      <c r="I2480">
        <v>3087.34</v>
      </c>
    </row>
    <row r="2481" spans="1:9">
      <c r="A2481" s="68">
        <v>36047</v>
      </c>
      <c r="B2481" s="32">
        <v>1505.66</v>
      </c>
      <c r="C2481">
        <f t="shared" si="68"/>
        <v>1998</v>
      </c>
      <c r="H2481" s="85">
        <v>43386</v>
      </c>
      <c r="I2481">
        <v>3088.78</v>
      </c>
    </row>
    <row r="2482" spans="1:9">
      <c r="A2482" s="68">
        <v>36048</v>
      </c>
      <c r="B2482" s="33">
        <v>1493.4</v>
      </c>
      <c r="C2482">
        <f t="shared" si="68"/>
        <v>1998</v>
      </c>
      <c r="H2482" s="85">
        <v>43387</v>
      </c>
      <c r="I2482">
        <v>3088.78</v>
      </c>
    </row>
    <row r="2483" spans="1:9">
      <c r="A2483" s="68">
        <v>36049</v>
      </c>
      <c r="B2483" s="32">
        <v>1506.27</v>
      </c>
      <c r="C2483">
        <f t="shared" si="68"/>
        <v>1998</v>
      </c>
      <c r="H2483" s="85">
        <v>43388</v>
      </c>
      <c r="I2483">
        <v>3088.78</v>
      </c>
    </row>
    <row r="2484" spans="1:9">
      <c r="A2484" s="68">
        <v>36050</v>
      </c>
      <c r="B2484" s="33">
        <v>1505.85</v>
      </c>
      <c r="C2484">
        <f t="shared" si="68"/>
        <v>1998</v>
      </c>
      <c r="H2484" s="85">
        <v>43389</v>
      </c>
      <c r="I2484">
        <v>3088.78</v>
      </c>
    </row>
    <row r="2485" spans="1:9">
      <c r="A2485" s="68">
        <v>36051</v>
      </c>
      <c r="B2485" s="32">
        <v>1505.85</v>
      </c>
      <c r="C2485">
        <f t="shared" si="68"/>
        <v>1998</v>
      </c>
      <c r="H2485" s="85">
        <v>43390</v>
      </c>
      <c r="I2485">
        <v>3055.93</v>
      </c>
    </row>
    <row r="2486" spans="1:9">
      <c r="A2486" s="68">
        <v>36052</v>
      </c>
      <c r="B2486" s="33">
        <v>1505.85</v>
      </c>
      <c r="C2486">
        <f t="shared" si="68"/>
        <v>1998</v>
      </c>
      <c r="H2486" s="85">
        <v>43391</v>
      </c>
      <c r="I2486">
        <v>3056.37</v>
      </c>
    </row>
    <row r="2487" spans="1:9">
      <c r="A2487" s="68">
        <v>36053</v>
      </c>
      <c r="B2487" s="32">
        <v>1510.41</v>
      </c>
      <c r="C2487">
        <f t="shared" si="68"/>
        <v>1998</v>
      </c>
      <c r="H2487" s="85">
        <v>43392</v>
      </c>
      <c r="I2487">
        <v>3088.47</v>
      </c>
    </row>
    <row r="2488" spans="1:9">
      <c r="A2488" s="68">
        <v>36054</v>
      </c>
      <c r="B2488" s="33">
        <v>1516.92</v>
      </c>
      <c r="C2488">
        <f t="shared" si="68"/>
        <v>1998</v>
      </c>
      <c r="H2488" s="85">
        <v>43393</v>
      </c>
      <c r="I2488">
        <v>3079.88</v>
      </c>
    </row>
    <row r="2489" spans="1:9">
      <c r="A2489" s="68">
        <v>36055</v>
      </c>
      <c r="B2489" s="32">
        <v>1520.63</v>
      </c>
      <c r="C2489">
        <f t="shared" si="68"/>
        <v>1998</v>
      </c>
      <c r="H2489" s="85">
        <v>43394</v>
      </c>
      <c r="I2489">
        <v>3079.88</v>
      </c>
    </row>
    <row r="2490" spans="1:9">
      <c r="A2490" s="68">
        <v>36056</v>
      </c>
      <c r="B2490" s="33">
        <v>1531.49</v>
      </c>
      <c r="C2490">
        <f t="shared" si="68"/>
        <v>1998</v>
      </c>
      <c r="H2490" s="85">
        <v>43395</v>
      </c>
      <c r="I2490">
        <v>3079.88</v>
      </c>
    </row>
    <row r="2491" spans="1:9">
      <c r="A2491" s="68">
        <v>36057</v>
      </c>
      <c r="B2491" s="32">
        <v>1533.95</v>
      </c>
      <c r="C2491">
        <f t="shared" si="68"/>
        <v>1998</v>
      </c>
      <c r="H2491" s="85">
        <v>43396</v>
      </c>
      <c r="I2491">
        <v>3087.58</v>
      </c>
    </row>
    <row r="2492" spans="1:9">
      <c r="A2492" s="68">
        <v>36058</v>
      </c>
      <c r="B2492" s="33">
        <v>1533.95</v>
      </c>
      <c r="C2492">
        <f t="shared" si="68"/>
        <v>1998</v>
      </c>
      <c r="H2492" s="85">
        <v>43397</v>
      </c>
      <c r="I2492">
        <v>3110.2</v>
      </c>
    </row>
    <row r="2493" spans="1:9">
      <c r="A2493" s="68">
        <v>36059</v>
      </c>
      <c r="B2493" s="32">
        <v>1533.95</v>
      </c>
      <c r="C2493">
        <f t="shared" si="68"/>
        <v>1998</v>
      </c>
      <c r="H2493" s="85">
        <v>43398</v>
      </c>
      <c r="I2493">
        <v>3149.7</v>
      </c>
    </row>
    <row r="2494" spans="1:9">
      <c r="A2494" s="68">
        <v>36060</v>
      </c>
      <c r="B2494" s="33">
        <v>1529.26</v>
      </c>
      <c r="C2494">
        <f t="shared" si="68"/>
        <v>1998</v>
      </c>
      <c r="H2494" s="85">
        <v>43399</v>
      </c>
      <c r="I2494">
        <v>3167.18</v>
      </c>
    </row>
    <row r="2495" spans="1:9">
      <c r="A2495" s="68">
        <v>36061</v>
      </c>
      <c r="B2495" s="32">
        <v>1541.16</v>
      </c>
      <c r="C2495">
        <f t="shared" si="68"/>
        <v>1998</v>
      </c>
      <c r="H2495" s="85">
        <v>43400</v>
      </c>
      <c r="I2495">
        <v>3185.26</v>
      </c>
    </row>
    <row r="2496" spans="1:9">
      <c r="A2496" s="68">
        <v>36062</v>
      </c>
      <c r="B2496" s="33">
        <v>1561.28</v>
      </c>
      <c r="C2496">
        <f t="shared" si="68"/>
        <v>1998</v>
      </c>
      <c r="H2496" s="85">
        <v>43401</v>
      </c>
      <c r="I2496">
        <v>3185.26</v>
      </c>
    </row>
    <row r="2497" spans="1:9">
      <c r="A2497" s="68">
        <v>36063</v>
      </c>
      <c r="B2497" s="32">
        <v>1548.95</v>
      </c>
      <c r="C2497">
        <f t="shared" si="68"/>
        <v>1998</v>
      </c>
      <c r="H2497" s="85">
        <v>43402</v>
      </c>
      <c r="I2497">
        <v>3185.26</v>
      </c>
    </row>
    <row r="2498" spans="1:9">
      <c r="A2498" s="68">
        <v>36064</v>
      </c>
      <c r="B2498" s="33">
        <v>1547.81</v>
      </c>
      <c r="C2498">
        <f t="shared" si="68"/>
        <v>1998</v>
      </c>
      <c r="H2498" s="85">
        <v>43403</v>
      </c>
      <c r="I2498">
        <v>3188.69</v>
      </c>
    </row>
    <row r="2499" spans="1:9">
      <c r="A2499" s="68">
        <v>36065</v>
      </c>
      <c r="B2499" s="32">
        <v>1547.81</v>
      </c>
      <c r="C2499">
        <f t="shared" si="68"/>
        <v>1998</v>
      </c>
      <c r="H2499" s="85">
        <v>43404</v>
      </c>
      <c r="I2499">
        <v>3202.44</v>
      </c>
    </row>
    <row r="2500" spans="1:9">
      <c r="A2500" s="68">
        <v>36066</v>
      </c>
      <c r="B2500" s="33">
        <v>1547.81</v>
      </c>
      <c r="C2500">
        <f t="shared" ref="C2500:C2563" si="69">YEAR(A2500)</f>
        <v>1998</v>
      </c>
      <c r="H2500" s="85">
        <v>43405</v>
      </c>
      <c r="I2500">
        <v>3219.85</v>
      </c>
    </row>
    <row r="2501" spans="1:9">
      <c r="A2501" s="68">
        <v>36067</v>
      </c>
      <c r="B2501" s="32">
        <v>1556.25</v>
      </c>
      <c r="C2501">
        <f t="shared" si="69"/>
        <v>1998</v>
      </c>
      <c r="H2501" s="85">
        <v>43406</v>
      </c>
      <c r="I2501">
        <v>3193.8</v>
      </c>
    </row>
    <row r="2502" spans="1:9">
      <c r="A2502" s="68">
        <v>36068</v>
      </c>
      <c r="B2502" s="33">
        <v>1556.15</v>
      </c>
      <c r="C2502">
        <f t="shared" si="69"/>
        <v>1998</v>
      </c>
      <c r="H2502" s="85">
        <v>43407</v>
      </c>
      <c r="I2502">
        <v>3177.57</v>
      </c>
    </row>
    <row r="2503" spans="1:9">
      <c r="A2503" s="68">
        <v>36069</v>
      </c>
      <c r="B2503" s="32">
        <v>1556.52</v>
      </c>
      <c r="C2503">
        <f t="shared" si="69"/>
        <v>1998</v>
      </c>
      <c r="H2503" s="85">
        <v>43408</v>
      </c>
      <c r="I2503">
        <v>3177.57</v>
      </c>
    </row>
    <row r="2504" spans="1:9">
      <c r="A2504" s="68">
        <v>36070</v>
      </c>
      <c r="B2504" s="33">
        <v>1573.22</v>
      </c>
      <c r="C2504">
        <f t="shared" si="69"/>
        <v>1998</v>
      </c>
      <c r="H2504" s="85">
        <v>43409</v>
      </c>
      <c r="I2504">
        <v>3177.57</v>
      </c>
    </row>
    <row r="2505" spans="1:9">
      <c r="A2505" s="68">
        <v>36071</v>
      </c>
      <c r="B2505" s="32">
        <v>1578.96</v>
      </c>
      <c r="C2505">
        <f t="shared" si="69"/>
        <v>1998</v>
      </c>
      <c r="H2505" s="85">
        <v>43410</v>
      </c>
      <c r="I2505">
        <v>3177.57</v>
      </c>
    </row>
    <row r="2506" spans="1:9">
      <c r="A2506" s="68">
        <v>36072</v>
      </c>
      <c r="B2506" s="33">
        <v>1578.96</v>
      </c>
      <c r="C2506">
        <f t="shared" si="69"/>
        <v>1998</v>
      </c>
      <c r="H2506" s="85">
        <v>43411</v>
      </c>
      <c r="I2506">
        <v>3154.55</v>
      </c>
    </row>
    <row r="2507" spans="1:9">
      <c r="A2507" s="68">
        <v>36073</v>
      </c>
      <c r="B2507" s="32">
        <v>1578.96</v>
      </c>
      <c r="C2507">
        <f t="shared" si="69"/>
        <v>1998</v>
      </c>
      <c r="H2507" s="85">
        <v>43412</v>
      </c>
      <c r="I2507">
        <v>3140.25</v>
      </c>
    </row>
    <row r="2508" spans="1:9">
      <c r="A2508" s="68">
        <v>36074</v>
      </c>
      <c r="B2508" s="33">
        <v>1585.64</v>
      </c>
      <c r="C2508">
        <f t="shared" si="69"/>
        <v>1998</v>
      </c>
      <c r="H2508" s="85">
        <v>43413</v>
      </c>
      <c r="I2508">
        <v>3145.39</v>
      </c>
    </row>
    <row r="2509" spans="1:9">
      <c r="A2509" s="68">
        <v>36075</v>
      </c>
      <c r="B2509" s="32">
        <v>1588.64</v>
      </c>
      <c r="C2509">
        <f t="shared" si="69"/>
        <v>1998</v>
      </c>
      <c r="H2509" s="85">
        <v>43414</v>
      </c>
      <c r="I2509">
        <v>3176.89</v>
      </c>
    </row>
    <row r="2510" spans="1:9">
      <c r="A2510" s="68">
        <v>36076</v>
      </c>
      <c r="B2510" s="33">
        <v>1586.53</v>
      </c>
      <c r="C2510">
        <f t="shared" si="69"/>
        <v>1998</v>
      </c>
      <c r="H2510" s="85">
        <v>43415</v>
      </c>
      <c r="I2510">
        <v>3176.89</v>
      </c>
    </row>
    <row r="2511" spans="1:9">
      <c r="A2511" s="68">
        <v>36077</v>
      </c>
      <c r="B2511" s="32">
        <v>1587.46</v>
      </c>
      <c r="C2511">
        <f t="shared" si="69"/>
        <v>1998</v>
      </c>
      <c r="H2511" s="85">
        <v>43416</v>
      </c>
      <c r="I2511">
        <v>3176.89</v>
      </c>
    </row>
    <row r="2512" spans="1:9">
      <c r="A2512" s="68">
        <v>36078</v>
      </c>
      <c r="B2512" s="33">
        <v>1590.64</v>
      </c>
      <c r="C2512">
        <f t="shared" si="69"/>
        <v>1998</v>
      </c>
      <c r="H2512" s="85">
        <v>43417</v>
      </c>
      <c r="I2512">
        <v>3176.89</v>
      </c>
    </row>
    <row r="2513" spans="1:9">
      <c r="A2513" s="68">
        <v>36079</v>
      </c>
      <c r="B2513" s="32">
        <v>1590.64</v>
      </c>
      <c r="C2513">
        <f t="shared" si="69"/>
        <v>1998</v>
      </c>
      <c r="H2513" s="85">
        <v>43418</v>
      </c>
      <c r="I2513">
        <v>3197.2</v>
      </c>
    </row>
    <row r="2514" spans="1:9">
      <c r="A2514" s="68">
        <v>36080</v>
      </c>
      <c r="B2514" s="33">
        <v>1590.64</v>
      </c>
      <c r="C2514">
        <f t="shared" si="69"/>
        <v>1998</v>
      </c>
      <c r="H2514" s="85">
        <v>43419</v>
      </c>
      <c r="I2514">
        <v>3194.7</v>
      </c>
    </row>
    <row r="2515" spans="1:9">
      <c r="A2515" s="68">
        <v>36081</v>
      </c>
      <c r="B2515" s="32">
        <v>1590.64</v>
      </c>
      <c r="C2515">
        <f t="shared" si="69"/>
        <v>1998</v>
      </c>
      <c r="H2515" s="85">
        <v>43420</v>
      </c>
      <c r="I2515">
        <v>3198.29</v>
      </c>
    </row>
    <row r="2516" spans="1:9">
      <c r="A2516" s="68">
        <v>36082</v>
      </c>
      <c r="B2516" s="33">
        <v>1592.11</v>
      </c>
      <c r="C2516">
        <f t="shared" si="69"/>
        <v>1998</v>
      </c>
      <c r="H2516" s="85">
        <v>43421</v>
      </c>
      <c r="I2516">
        <v>3173.59</v>
      </c>
    </row>
    <row r="2517" spans="1:9">
      <c r="A2517" s="68">
        <v>36083</v>
      </c>
      <c r="B2517" s="32">
        <v>1591.01</v>
      </c>
      <c r="C2517">
        <f t="shared" si="69"/>
        <v>1998</v>
      </c>
      <c r="H2517" s="85">
        <v>43422</v>
      </c>
      <c r="I2517">
        <v>3173.59</v>
      </c>
    </row>
    <row r="2518" spans="1:9">
      <c r="A2518" s="68">
        <v>36084</v>
      </c>
      <c r="B2518" s="33">
        <v>1594.19</v>
      </c>
      <c r="C2518">
        <f t="shared" si="69"/>
        <v>1998</v>
      </c>
      <c r="H2518" s="85">
        <v>43423</v>
      </c>
      <c r="I2518">
        <v>3173.59</v>
      </c>
    </row>
    <row r="2519" spans="1:9">
      <c r="A2519" s="68">
        <v>36085</v>
      </c>
      <c r="B2519" s="32">
        <v>1596.21</v>
      </c>
      <c r="C2519">
        <f t="shared" si="69"/>
        <v>1998</v>
      </c>
      <c r="H2519" s="85">
        <v>43424</v>
      </c>
      <c r="I2519">
        <v>3178.81</v>
      </c>
    </row>
    <row r="2520" spans="1:9">
      <c r="A2520" s="68">
        <v>36086</v>
      </c>
      <c r="B2520" s="33">
        <v>1596.21</v>
      </c>
      <c r="C2520">
        <f t="shared" si="69"/>
        <v>1998</v>
      </c>
      <c r="H2520" s="85">
        <v>43425</v>
      </c>
      <c r="I2520">
        <v>3189.51</v>
      </c>
    </row>
    <row r="2521" spans="1:9">
      <c r="A2521" s="68">
        <v>36087</v>
      </c>
      <c r="B2521" s="32">
        <v>1596.21</v>
      </c>
      <c r="C2521">
        <f t="shared" si="69"/>
        <v>1998</v>
      </c>
      <c r="H2521" s="85">
        <v>43426</v>
      </c>
      <c r="I2521">
        <v>3196.26</v>
      </c>
    </row>
    <row r="2522" spans="1:9">
      <c r="A2522" s="68">
        <v>36088</v>
      </c>
      <c r="B2522" s="33">
        <v>1598.18</v>
      </c>
      <c r="C2522">
        <f t="shared" si="69"/>
        <v>1998</v>
      </c>
      <c r="H2522" s="85">
        <v>43427</v>
      </c>
      <c r="I2522">
        <v>3196.26</v>
      </c>
    </row>
    <row r="2523" spans="1:9">
      <c r="A2523" s="68">
        <v>36089</v>
      </c>
      <c r="B2523" s="32">
        <v>1598.61</v>
      </c>
      <c r="C2523">
        <f t="shared" si="69"/>
        <v>1998</v>
      </c>
      <c r="H2523" s="85">
        <v>43428</v>
      </c>
      <c r="I2523">
        <v>3223.95</v>
      </c>
    </row>
    <row r="2524" spans="1:9">
      <c r="A2524" s="68">
        <v>36090</v>
      </c>
      <c r="B2524" s="33">
        <v>1597.79</v>
      </c>
      <c r="C2524">
        <f t="shared" si="69"/>
        <v>1998</v>
      </c>
      <c r="H2524" s="85">
        <v>43429</v>
      </c>
      <c r="I2524">
        <v>3223.95</v>
      </c>
    </row>
    <row r="2525" spans="1:9">
      <c r="A2525" s="68">
        <v>36091</v>
      </c>
      <c r="B2525" s="32">
        <v>1599.15</v>
      </c>
      <c r="C2525">
        <f t="shared" si="69"/>
        <v>1998</v>
      </c>
      <c r="H2525" s="85">
        <v>43430</v>
      </c>
      <c r="I2525">
        <v>3223.95</v>
      </c>
    </row>
    <row r="2526" spans="1:9">
      <c r="A2526" s="68">
        <v>36092</v>
      </c>
      <c r="B2526" s="33">
        <v>1597.97</v>
      </c>
      <c r="C2526">
        <f t="shared" si="69"/>
        <v>1998</v>
      </c>
      <c r="H2526" s="85">
        <v>43431</v>
      </c>
      <c r="I2526">
        <v>3240.65</v>
      </c>
    </row>
    <row r="2527" spans="1:9">
      <c r="A2527" s="68">
        <v>36093</v>
      </c>
      <c r="B2527" s="32">
        <v>1597.97</v>
      </c>
      <c r="C2527">
        <f t="shared" si="69"/>
        <v>1998</v>
      </c>
      <c r="H2527" s="85">
        <v>43432</v>
      </c>
      <c r="I2527">
        <v>3250.56</v>
      </c>
    </row>
    <row r="2528" spans="1:9">
      <c r="A2528" s="68">
        <v>36094</v>
      </c>
      <c r="B2528" s="33">
        <v>1597.97</v>
      </c>
      <c r="C2528">
        <f t="shared" si="69"/>
        <v>1998</v>
      </c>
      <c r="H2528" s="85">
        <v>43433</v>
      </c>
      <c r="I2528">
        <v>3274.47</v>
      </c>
    </row>
    <row r="2529" spans="1:9">
      <c r="A2529" s="68">
        <v>36095</v>
      </c>
      <c r="B2529" s="32">
        <v>1590.64</v>
      </c>
      <c r="C2529">
        <f t="shared" si="69"/>
        <v>1998</v>
      </c>
      <c r="H2529" s="85">
        <v>43434</v>
      </c>
      <c r="I2529">
        <v>3240.02</v>
      </c>
    </row>
    <row r="2530" spans="1:9">
      <c r="A2530" s="68">
        <v>36096</v>
      </c>
      <c r="B2530" s="33">
        <v>1576.38</v>
      </c>
      <c r="C2530">
        <f t="shared" si="69"/>
        <v>1998</v>
      </c>
      <c r="H2530" s="85">
        <v>43435</v>
      </c>
      <c r="I2530">
        <v>3235.27</v>
      </c>
    </row>
    <row r="2531" spans="1:9">
      <c r="A2531" s="68">
        <v>36097</v>
      </c>
      <c r="B2531" s="32">
        <v>1577.9</v>
      </c>
      <c r="C2531">
        <f t="shared" si="69"/>
        <v>1998</v>
      </c>
      <c r="H2531" s="85">
        <v>43436</v>
      </c>
      <c r="I2531">
        <v>3235.27</v>
      </c>
    </row>
    <row r="2532" spans="1:9">
      <c r="A2532" s="68">
        <v>36098</v>
      </c>
      <c r="B2532" s="33">
        <v>1577.19</v>
      </c>
      <c r="C2532">
        <f t="shared" si="69"/>
        <v>1998</v>
      </c>
      <c r="H2532" s="85">
        <v>43437</v>
      </c>
      <c r="I2532">
        <v>3235.27</v>
      </c>
    </row>
    <row r="2533" spans="1:9">
      <c r="A2533" s="68">
        <v>36099</v>
      </c>
      <c r="B2533" s="32">
        <v>1575.08</v>
      </c>
      <c r="C2533">
        <f t="shared" si="69"/>
        <v>1998</v>
      </c>
      <c r="H2533" s="85">
        <v>43438</v>
      </c>
      <c r="I2533">
        <v>3196.15</v>
      </c>
    </row>
    <row r="2534" spans="1:9">
      <c r="A2534" s="68">
        <v>36100</v>
      </c>
      <c r="B2534" s="33">
        <v>1575.08</v>
      </c>
      <c r="C2534">
        <f t="shared" si="69"/>
        <v>1998</v>
      </c>
      <c r="H2534" s="85">
        <v>43439</v>
      </c>
      <c r="I2534">
        <v>3174.11</v>
      </c>
    </row>
    <row r="2535" spans="1:9">
      <c r="A2535" s="68">
        <v>36101</v>
      </c>
      <c r="B2535" s="32">
        <v>1575.08</v>
      </c>
      <c r="C2535">
        <f t="shared" si="69"/>
        <v>1998</v>
      </c>
      <c r="H2535" s="85">
        <v>43440</v>
      </c>
      <c r="I2535">
        <v>3162.29</v>
      </c>
    </row>
    <row r="2536" spans="1:9">
      <c r="A2536" s="68">
        <v>36102</v>
      </c>
      <c r="B2536" s="33">
        <v>1575.08</v>
      </c>
      <c r="C2536">
        <f t="shared" si="69"/>
        <v>1998</v>
      </c>
      <c r="H2536" s="85">
        <v>43441</v>
      </c>
      <c r="I2536">
        <v>3187.86</v>
      </c>
    </row>
    <row r="2537" spans="1:9">
      <c r="A2537" s="68">
        <v>36103</v>
      </c>
      <c r="B2537" s="32">
        <v>1569.93</v>
      </c>
      <c r="C2537">
        <f t="shared" si="69"/>
        <v>1998</v>
      </c>
      <c r="H2537" s="85">
        <v>43442</v>
      </c>
      <c r="I2537">
        <v>3153.29</v>
      </c>
    </row>
    <row r="2538" spans="1:9">
      <c r="A2538" s="68">
        <v>36104</v>
      </c>
      <c r="B2538" s="33">
        <v>1568.54</v>
      </c>
      <c r="C2538">
        <f t="shared" si="69"/>
        <v>1998</v>
      </c>
      <c r="H2538" s="85">
        <v>43443</v>
      </c>
      <c r="I2538">
        <v>3153.29</v>
      </c>
    </row>
    <row r="2539" spans="1:9">
      <c r="A2539" s="68">
        <v>36105</v>
      </c>
      <c r="B2539" s="32">
        <v>1563.32</v>
      </c>
      <c r="C2539">
        <f t="shared" si="69"/>
        <v>1998</v>
      </c>
      <c r="H2539" s="85">
        <v>43444</v>
      </c>
      <c r="I2539">
        <v>3153.29</v>
      </c>
    </row>
    <row r="2540" spans="1:9">
      <c r="A2540" s="68">
        <v>36106</v>
      </c>
      <c r="B2540" s="33">
        <v>1553.71</v>
      </c>
      <c r="C2540">
        <f t="shared" si="69"/>
        <v>1998</v>
      </c>
      <c r="H2540" s="85">
        <v>43445</v>
      </c>
      <c r="I2540">
        <v>3176.12</v>
      </c>
    </row>
    <row r="2541" spans="1:9">
      <c r="A2541" s="68">
        <v>36107</v>
      </c>
      <c r="B2541" s="32">
        <v>1553.71</v>
      </c>
      <c r="C2541">
        <f t="shared" si="69"/>
        <v>1998</v>
      </c>
      <c r="H2541" s="85">
        <v>43446</v>
      </c>
      <c r="I2541">
        <v>3184.7</v>
      </c>
    </row>
    <row r="2542" spans="1:9">
      <c r="A2542" s="68">
        <v>36108</v>
      </c>
      <c r="B2542" s="33">
        <v>1553.71</v>
      </c>
      <c r="C2542">
        <f t="shared" si="69"/>
        <v>1998</v>
      </c>
      <c r="H2542" s="85">
        <v>43447</v>
      </c>
      <c r="I2542">
        <v>3169.36</v>
      </c>
    </row>
    <row r="2543" spans="1:9">
      <c r="A2543" s="68">
        <v>36109</v>
      </c>
      <c r="B2543" s="32">
        <v>1559.35</v>
      </c>
      <c r="C2543">
        <f t="shared" si="69"/>
        <v>1998</v>
      </c>
      <c r="H2543" s="85">
        <v>43448</v>
      </c>
      <c r="I2543">
        <v>3178.4</v>
      </c>
    </row>
    <row r="2544" spans="1:9">
      <c r="A2544" s="68">
        <v>36110</v>
      </c>
      <c r="B2544" s="33">
        <v>1571.76</v>
      </c>
      <c r="C2544">
        <f t="shared" si="69"/>
        <v>1998</v>
      </c>
      <c r="H2544" s="85">
        <v>43449</v>
      </c>
      <c r="I2544">
        <v>3196.3</v>
      </c>
    </row>
    <row r="2545" spans="1:9">
      <c r="A2545" s="68">
        <v>36111</v>
      </c>
      <c r="B2545" s="32">
        <v>1577.61</v>
      </c>
      <c r="C2545">
        <f t="shared" si="69"/>
        <v>1998</v>
      </c>
      <c r="H2545" s="85">
        <v>43450</v>
      </c>
      <c r="I2545">
        <v>3196.3</v>
      </c>
    </row>
    <row r="2546" spans="1:9">
      <c r="A2546" s="68">
        <v>36112</v>
      </c>
      <c r="B2546" s="33">
        <v>1578.79</v>
      </c>
      <c r="C2546">
        <f t="shared" si="69"/>
        <v>1998</v>
      </c>
      <c r="H2546" s="85">
        <v>43451</v>
      </c>
      <c r="I2546">
        <v>3196.3</v>
      </c>
    </row>
    <row r="2547" spans="1:9">
      <c r="A2547" s="68">
        <v>36113</v>
      </c>
      <c r="B2547" s="32">
        <v>1580.99</v>
      </c>
      <c r="C2547">
        <f t="shared" si="69"/>
        <v>1998</v>
      </c>
      <c r="H2547" s="85">
        <v>43452</v>
      </c>
      <c r="I2547">
        <v>3188.66</v>
      </c>
    </row>
    <row r="2548" spans="1:9">
      <c r="A2548" s="68">
        <v>36114</v>
      </c>
      <c r="B2548" s="33">
        <v>1580.99</v>
      </c>
      <c r="C2548">
        <f t="shared" si="69"/>
        <v>1998</v>
      </c>
      <c r="H2548" s="85">
        <v>43453</v>
      </c>
      <c r="I2548">
        <v>3198.45</v>
      </c>
    </row>
    <row r="2549" spans="1:9">
      <c r="A2549" s="68">
        <v>36115</v>
      </c>
      <c r="B2549" s="32">
        <v>1580.99</v>
      </c>
      <c r="C2549">
        <f t="shared" si="69"/>
        <v>1998</v>
      </c>
      <c r="H2549" s="85">
        <v>43454</v>
      </c>
      <c r="I2549">
        <v>3216.55</v>
      </c>
    </row>
    <row r="2550" spans="1:9">
      <c r="A2550" s="68">
        <v>36116</v>
      </c>
      <c r="B2550" s="33">
        <v>1580.99</v>
      </c>
      <c r="C2550">
        <f t="shared" si="69"/>
        <v>1998</v>
      </c>
      <c r="H2550" s="85">
        <v>43455</v>
      </c>
      <c r="I2550">
        <v>3246.86</v>
      </c>
    </row>
    <row r="2551" spans="1:9">
      <c r="A2551" s="68">
        <v>36117</v>
      </c>
      <c r="B2551" s="32">
        <v>1583.29</v>
      </c>
      <c r="C2551">
        <f t="shared" si="69"/>
        <v>1998</v>
      </c>
      <c r="H2551" s="85">
        <v>43456</v>
      </c>
      <c r="I2551">
        <v>3285.34</v>
      </c>
    </row>
    <row r="2552" spans="1:9">
      <c r="A2552" s="68">
        <v>36118</v>
      </c>
      <c r="B2552" s="33">
        <v>1569.6</v>
      </c>
      <c r="C2552">
        <f t="shared" si="69"/>
        <v>1998</v>
      </c>
      <c r="H2552" s="85">
        <v>43457</v>
      </c>
      <c r="I2552">
        <v>3285.34</v>
      </c>
    </row>
    <row r="2553" spans="1:9">
      <c r="A2553" s="68">
        <v>36119</v>
      </c>
      <c r="B2553" s="32">
        <v>1558.49</v>
      </c>
      <c r="C2553">
        <f t="shared" si="69"/>
        <v>1998</v>
      </c>
      <c r="H2553" s="85">
        <v>43458</v>
      </c>
      <c r="I2553">
        <v>3285.34</v>
      </c>
    </row>
    <row r="2554" spans="1:9">
      <c r="A2554" s="68">
        <v>36120</v>
      </c>
      <c r="B2554" s="33">
        <v>1539.38</v>
      </c>
      <c r="C2554">
        <f t="shared" si="69"/>
        <v>1998</v>
      </c>
      <c r="H2554" s="85">
        <v>43459</v>
      </c>
      <c r="I2554">
        <v>3285.51</v>
      </c>
    </row>
    <row r="2555" spans="1:9">
      <c r="A2555" s="68">
        <v>36121</v>
      </c>
      <c r="B2555" s="32">
        <v>1539.38</v>
      </c>
      <c r="C2555">
        <f t="shared" si="69"/>
        <v>1998</v>
      </c>
      <c r="H2555" s="85">
        <v>43460</v>
      </c>
      <c r="I2555">
        <v>3285.51</v>
      </c>
    </row>
    <row r="2556" spans="1:9">
      <c r="A2556" s="68">
        <v>36122</v>
      </c>
      <c r="B2556" s="33">
        <v>1539.38</v>
      </c>
      <c r="C2556">
        <f t="shared" si="69"/>
        <v>1998</v>
      </c>
      <c r="H2556" s="85">
        <v>43461</v>
      </c>
      <c r="I2556">
        <v>3289.69</v>
      </c>
    </row>
    <row r="2557" spans="1:9">
      <c r="A2557" s="68">
        <v>36123</v>
      </c>
      <c r="B2557" s="32">
        <v>1547.92</v>
      </c>
      <c r="C2557">
        <f t="shared" si="69"/>
        <v>1998</v>
      </c>
      <c r="H2557" s="85">
        <v>43462</v>
      </c>
      <c r="I2557">
        <v>3275.01</v>
      </c>
    </row>
    <row r="2558" spans="1:9">
      <c r="A2558" s="68">
        <v>36124</v>
      </c>
      <c r="B2558" s="33">
        <v>1557.57</v>
      </c>
      <c r="C2558">
        <f t="shared" si="69"/>
        <v>1998</v>
      </c>
      <c r="H2558" s="85">
        <v>43463</v>
      </c>
      <c r="I2558">
        <v>3249.75</v>
      </c>
    </row>
    <row r="2559" spans="1:9">
      <c r="A2559" s="68">
        <v>36125</v>
      </c>
      <c r="B2559" s="32">
        <v>1545.53</v>
      </c>
      <c r="C2559">
        <f t="shared" si="69"/>
        <v>1998</v>
      </c>
      <c r="H2559" s="85">
        <v>43464</v>
      </c>
      <c r="I2559">
        <v>3249.75</v>
      </c>
    </row>
    <row r="2560" spans="1:9">
      <c r="A2560" s="68">
        <v>36126</v>
      </c>
      <c r="B2560" s="33">
        <v>1543.45</v>
      </c>
      <c r="C2560">
        <f t="shared" si="69"/>
        <v>1998</v>
      </c>
      <c r="H2560" s="85">
        <v>43465</v>
      </c>
      <c r="I2560">
        <v>3249.75</v>
      </c>
    </row>
    <row r="2561" spans="1:9">
      <c r="A2561" s="68">
        <v>36127</v>
      </c>
      <c r="B2561" s="32">
        <v>1547.11</v>
      </c>
      <c r="C2561">
        <f t="shared" si="69"/>
        <v>1998</v>
      </c>
      <c r="H2561" s="45" t="s">
        <v>683</v>
      </c>
      <c r="I2561">
        <v>6344653.8600000031</v>
      </c>
    </row>
    <row r="2562" spans="1:9">
      <c r="A2562" s="68">
        <v>36128</v>
      </c>
      <c r="B2562" s="33">
        <v>1547.11</v>
      </c>
      <c r="C2562">
        <f t="shared" si="69"/>
        <v>1998</v>
      </c>
    </row>
    <row r="2563" spans="1:9">
      <c r="A2563" s="68">
        <v>36129</v>
      </c>
      <c r="B2563" s="32">
        <v>1547.11</v>
      </c>
      <c r="C2563">
        <f t="shared" si="69"/>
        <v>1998</v>
      </c>
    </row>
    <row r="2564" spans="1:9">
      <c r="A2564" s="68">
        <v>36130</v>
      </c>
      <c r="B2564" s="33">
        <v>1545.88</v>
      </c>
      <c r="C2564">
        <f t="shared" ref="C2564:C2627" si="70">YEAR(A2564)</f>
        <v>1998</v>
      </c>
    </row>
    <row r="2565" spans="1:9">
      <c r="A2565" s="68">
        <v>36131</v>
      </c>
      <c r="B2565" s="32">
        <v>1545.82</v>
      </c>
      <c r="C2565">
        <f t="shared" si="70"/>
        <v>1998</v>
      </c>
    </row>
    <row r="2566" spans="1:9">
      <c r="A2566" s="68">
        <v>36132</v>
      </c>
      <c r="B2566" s="33">
        <v>1539.32</v>
      </c>
      <c r="C2566">
        <f t="shared" si="70"/>
        <v>1998</v>
      </c>
    </row>
    <row r="2567" spans="1:9">
      <c r="A2567" s="68">
        <v>36133</v>
      </c>
      <c r="B2567" s="32">
        <v>1545.89</v>
      </c>
      <c r="C2567">
        <f t="shared" si="70"/>
        <v>1998</v>
      </c>
    </row>
    <row r="2568" spans="1:9">
      <c r="A2568" s="68">
        <v>36134</v>
      </c>
      <c r="B2568" s="33">
        <v>1552.48</v>
      </c>
      <c r="C2568">
        <f t="shared" si="70"/>
        <v>1998</v>
      </c>
    </row>
    <row r="2569" spans="1:9">
      <c r="A2569" s="68">
        <v>36135</v>
      </c>
      <c r="B2569" s="32">
        <v>1552.48</v>
      </c>
      <c r="C2569">
        <f t="shared" si="70"/>
        <v>1998</v>
      </c>
    </row>
    <row r="2570" spans="1:9">
      <c r="A2570" s="68">
        <v>36136</v>
      </c>
      <c r="B2570" s="33">
        <v>1552.48</v>
      </c>
      <c r="C2570">
        <f t="shared" si="70"/>
        <v>1998</v>
      </c>
    </row>
    <row r="2571" spans="1:9">
      <c r="A2571" s="68">
        <v>36137</v>
      </c>
      <c r="B2571" s="32">
        <v>1548.63</v>
      </c>
      <c r="C2571">
        <f t="shared" si="70"/>
        <v>1998</v>
      </c>
    </row>
    <row r="2572" spans="1:9">
      <c r="A2572" s="68">
        <v>36138</v>
      </c>
      <c r="B2572" s="33">
        <v>1548.63</v>
      </c>
      <c r="C2572">
        <f t="shared" si="70"/>
        <v>1998</v>
      </c>
    </row>
    <row r="2573" spans="1:9">
      <c r="A2573" s="68">
        <v>36139</v>
      </c>
      <c r="B2573" s="32">
        <v>1541.14</v>
      </c>
      <c r="C2573">
        <f t="shared" si="70"/>
        <v>1998</v>
      </c>
    </row>
    <row r="2574" spans="1:9">
      <c r="A2574" s="68">
        <v>36140</v>
      </c>
      <c r="B2574" s="33">
        <v>1530.63</v>
      </c>
      <c r="C2574">
        <f t="shared" si="70"/>
        <v>1998</v>
      </c>
    </row>
    <row r="2575" spans="1:9">
      <c r="A2575" s="68">
        <v>36141</v>
      </c>
      <c r="B2575" s="32">
        <v>1531.13</v>
      </c>
      <c r="C2575">
        <f t="shared" si="70"/>
        <v>1998</v>
      </c>
    </row>
    <row r="2576" spans="1:9">
      <c r="A2576" s="68">
        <v>36142</v>
      </c>
      <c r="B2576" s="33">
        <v>1531.13</v>
      </c>
      <c r="C2576">
        <f t="shared" si="70"/>
        <v>1998</v>
      </c>
    </row>
    <row r="2577" spans="1:3">
      <c r="A2577" s="68">
        <v>36143</v>
      </c>
      <c r="B2577" s="32">
        <v>1531.13</v>
      </c>
      <c r="C2577">
        <f t="shared" si="70"/>
        <v>1998</v>
      </c>
    </row>
    <row r="2578" spans="1:3">
      <c r="A2578" s="68">
        <v>36144</v>
      </c>
      <c r="B2578" s="33">
        <v>1532.76</v>
      </c>
      <c r="C2578">
        <f t="shared" si="70"/>
        <v>1998</v>
      </c>
    </row>
    <row r="2579" spans="1:3">
      <c r="A2579" s="68">
        <v>36145</v>
      </c>
      <c r="B2579" s="32">
        <v>1529.07</v>
      </c>
      <c r="C2579">
        <f t="shared" si="70"/>
        <v>1998</v>
      </c>
    </row>
    <row r="2580" spans="1:3">
      <c r="A2580" s="68">
        <v>36146</v>
      </c>
      <c r="B2580" s="33">
        <v>1523.8</v>
      </c>
      <c r="C2580">
        <f t="shared" si="70"/>
        <v>1998</v>
      </c>
    </row>
    <row r="2581" spans="1:3">
      <c r="A2581" s="68">
        <v>36147</v>
      </c>
      <c r="B2581" s="32">
        <v>1515.98</v>
      </c>
      <c r="C2581">
        <f t="shared" si="70"/>
        <v>1998</v>
      </c>
    </row>
    <row r="2582" spans="1:3">
      <c r="A2582" s="68">
        <v>36148</v>
      </c>
      <c r="B2582" s="33">
        <v>1494.11</v>
      </c>
      <c r="C2582">
        <f t="shared" si="70"/>
        <v>1998</v>
      </c>
    </row>
    <row r="2583" spans="1:3">
      <c r="A2583" s="68">
        <v>36149</v>
      </c>
      <c r="B2583" s="32">
        <v>1494.11</v>
      </c>
      <c r="C2583">
        <f t="shared" si="70"/>
        <v>1998</v>
      </c>
    </row>
    <row r="2584" spans="1:3">
      <c r="A2584" s="68">
        <v>36150</v>
      </c>
      <c r="B2584" s="33">
        <v>1494.11</v>
      </c>
      <c r="C2584">
        <f t="shared" si="70"/>
        <v>1998</v>
      </c>
    </row>
    <row r="2585" spans="1:3">
      <c r="A2585" s="68">
        <v>36151</v>
      </c>
      <c r="B2585" s="32">
        <v>1477.51</v>
      </c>
      <c r="C2585">
        <f t="shared" si="70"/>
        <v>1998</v>
      </c>
    </row>
    <row r="2586" spans="1:3">
      <c r="A2586" s="68">
        <v>36152</v>
      </c>
      <c r="B2586" s="33">
        <v>1467.04</v>
      </c>
      <c r="C2586">
        <f t="shared" si="70"/>
        <v>1998</v>
      </c>
    </row>
    <row r="2587" spans="1:3">
      <c r="A2587" s="68">
        <v>36153</v>
      </c>
      <c r="B2587" s="32">
        <v>1484.88</v>
      </c>
      <c r="C2587">
        <f t="shared" si="70"/>
        <v>1998</v>
      </c>
    </row>
    <row r="2588" spans="1:3">
      <c r="A2588" s="68">
        <v>36154</v>
      </c>
      <c r="B2588" s="33">
        <v>1484.88</v>
      </c>
      <c r="C2588">
        <f t="shared" si="70"/>
        <v>1998</v>
      </c>
    </row>
    <row r="2589" spans="1:3">
      <c r="A2589" s="68">
        <v>36155</v>
      </c>
      <c r="B2589" s="32">
        <v>1484.88</v>
      </c>
      <c r="C2589">
        <f t="shared" si="70"/>
        <v>1998</v>
      </c>
    </row>
    <row r="2590" spans="1:3">
      <c r="A2590" s="68">
        <v>36156</v>
      </c>
      <c r="B2590" s="33">
        <v>1484.88</v>
      </c>
      <c r="C2590">
        <f t="shared" si="70"/>
        <v>1998</v>
      </c>
    </row>
    <row r="2591" spans="1:3">
      <c r="A2591" s="68">
        <v>36157</v>
      </c>
      <c r="B2591" s="32">
        <v>1484.88</v>
      </c>
      <c r="C2591">
        <f t="shared" si="70"/>
        <v>1998</v>
      </c>
    </row>
    <row r="2592" spans="1:3">
      <c r="A2592" s="68">
        <v>36158</v>
      </c>
      <c r="B2592" s="33">
        <v>1507.52</v>
      </c>
      <c r="C2592">
        <f t="shared" si="70"/>
        <v>1998</v>
      </c>
    </row>
    <row r="2593" spans="1:3">
      <c r="A2593" s="68">
        <v>36159</v>
      </c>
      <c r="B2593" s="32">
        <v>1535.55</v>
      </c>
      <c r="C2593">
        <f t="shared" si="70"/>
        <v>1998</v>
      </c>
    </row>
    <row r="2594" spans="1:3">
      <c r="A2594" s="68">
        <v>36160</v>
      </c>
      <c r="B2594" s="33">
        <v>1542.11</v>
      </c>
      <c r="C2594">
        <f t="shared" si="70"/>
        <v>1998</v>
      </c>
    </row>
    <row r="2595" spans="1:3">
      <c r="A2595" s="68">
        <v>36161</v>
      </c>
      <c r="B2595" s="32">
        <v>1542.11</v>
      </c>
      <c r="C2595">
        <f t="shared" si="70"/>
        <v>1999</v>
      </c>
    </row>
    <row r="2596" spans="1:3">
      <c r="A2596" s="68">
        <v>36162</v>
      </c>
      <c r="B2596" s="33">
        <v>1542.11</v>
      </c>
      <c r="C2596">
        <f t="shared" si="70"/>
        <v>1999</v>
      </c>
    </row>
    <row r="2597" spans="1:3">
      <c r="A2597" s="68">
        <v>36163</v>
      </c>
      <c r="B2597" s="32">
        <v>1542.11</v>
      </c>
      <c r="C2597">
        <f t="shared" si="70"/>
        <v>1999</v>
      </c>
    </row>
    <row r="2598" spans="1:3">
      <c r="A2598" s="68">
        <v>36164</v>
      </c>
      <c r="B2598" s="33">
        <v>1542.11</v>
      </c>
      <c r="C2598">
        <f t="shared" si="70"/>
        <v>1999</v>
      </c>
    </row>
    <row r="2599" spans="1:3">
      <c r="A2599" s="68">
        <v>36165</v>
      </c>
      <c r="B2599" s="32">
        <v>1545.11</v>
      </c>
      <c r="C2599">
        <f t="shared" si="70"/>
        <v>1999</v>
      </c>
    </row>
    <row r="2600" spans="1:3">
      <c r="A2600" s="68">
        <v>36166</v>
      </c>
      <c r="B2600" s="33">
        <v>1528.28</v>
      </c>
      <c r="C2600">
        <f t="shared" si="70"/>
        <v>1999</v>
      </c>
    </row>
    <row r="2601" spans="1:3">
      <c r="A2601" s="68">
        <v>36167</v>
      </c>
      <c r="B2601" s="32">
        <v>1530.48</v>
      </c>
      <c r="C2601">
        <f t="shared" si="70"/>
        <v>1999</v>
      </c>
    </row>
    <row r="2602" spans="1:3">
      <c r="A2602" s="68">
        <v>36168</v>
      </c>
      <c r="B2602" s="33">
        <v>1543.22</v>
      </c>
      <c r="C2602">
        <f t="shared" si="70"/>
        <v>1999</v>
      </c>
    </row>
    <row r="2603" spans="1:3">
      <c r="A2603" s="68">
        <v>36169</v>
      </c>
      <c r="B2603" s="32">
        <v>1535.96</v>
      </c>
      <c r="C2603">
        <f t="shared" si="70"/>
        <v>1999</v>
      </c>
    </row>
    <row r="2604" spans="1:3">
      <c r="A2604" s="68">
        <v>36170</v>
      </c>
      <c r="B2604" s="33">
        <v>1535.96</v>
      </c>
      <c r="C2604">
        <f t="shared" si="70"/>
        <v>1999</v>
      </c>
    </row>
    <row r="2605" spans="1:3">
      <c r="A2605" s="68">
        <v>36171</v>
      </c>
      <c r="B2605" s="32">
        <v>1535.96</v>
      </c>
      <c r="C2605">
        <f t="shared" si="70"/>
        <v>1999</v>
      </c>
    </row>
    <row r="2606" spans="1:3">
      <c r="A2606" s="68">
        <v>36172</v>
      </c>
      <c r="B2606" s="33">
        <v>1535.96</v>
      </c>
      <c r="C2606">
        <f t="shared" si="70"/>
        <v>1999</v>
      </c>
    </row>
    <row r="2607" spans="1:3">
      <c r="A2607" s="68">
        <v>36173</v>
      </c>
      <c r="B2607" s="32">
        <v>1549.35</v>
      </c>
      <c r="C2607">
        <f t="shared" si="70"/>
        <v>1999</v>
      </c>
    </row>
    <row r="2608" spans="1:3">
      <c r="A2608" s="68">
        <v>36174</v>
      </c>
      <c r="B2608" s="33">
        <v>1588.8</v>
      </c>
      <c r="C2608">
        <f t="shared" si="70"/>
        <v>1999</v>
      </c>
    </row>
    <row r="2609" spans="1:3">
      <c r="A2609" s="68">
        <v>36175</v>
      </c>
      <c r="B2609" s="32">
        <v>1584.42</v>
      </c>
      <c r="C2609">
        <f t="shared" si="70"/>
        <v>1999</v>
      </c>
    </row>
    <row r="2610" spans="1:3">
      <c r="A2610" s="68">
        <v>36176</v>
      </c>
      <c r="B2610" s="33">
        <v>1596.59</v>
      </c>
      <c r="C2610">
        <f t="shared" si="70"/>
        <v>1999</v>
      </c>
    </row>
    <row r="2611" spans="1:3">
      <c r="A2611" s="68">
        <v>36177</v>
      </c>
      <c r="B2611" s="32">
        <v>1596.59</v>
      </c>
      <c r="C2611">
        <f t="shared" si="70"/>
        <v>1999</v>
      </c>
    </row>
    <row r="2612" spans="1:3">
      <c r="A2612" s="68">
        <v>36178</v>
      </c>
      <c r="B2612" s="33">
        <v>1596.59</v>
      </c>
      <c r="C2612">
        <f t="shared" si="70"/>
        <v>1999</v>
      </c>
    </row>
    <row r="2613" spans="1:3">
      <c r="A2613" s="68">
        <v>36179</v>
      </c>
      <c r="B2613" s="32">
        <v>1580.4</v>
      </c>
      <c r="C2613">
        <f t="shared" si="70"/>
        <v>1999</v>
      </c>
    </row>
    <row r="2614" spans="1:3">
      <c r="A2614" s="68">
        <v>36180</v>
      </c>
      <c r="B2614" s="33">
        <v>1587.18</v>
      </c>
      <c r="C2614">
        <f t="shared" si="70"/>
        <v>1999</v>
      </c>
    </row>
    <row r="2615" spans="1:3">
      <c r="A2615" s="68">
        <v>36181</v>
      </c>
      <c r="B2615" s="32">
        <v>1582.57</v>
      </c>
      <c r="C2615">
        <f t="shared" si="70"/>
        <v>1999</v>
      </c>
    </row>
    <row r="2616" spans="1:3">
      <c r="A2616" s="68">
        <v>36182</v>
      </c>
      <c r="B2616" s="33">
        <v>1589.65</v>
      </c>
      <c r="C2616">
        <f t="shared" si="70"/>
        <v>1999</v>
      </c>
    </row>
    <row r="2617" spans="1:3">
      <c r="A2617" s="68">
        <v>36183</v>
      </c>
      <c r="B2617" s="32">
        <v>1591.81</v>
      </c>
      <c r="C2617">
        <f t="shared" si="70"/>
        <v>1999</v>
      </c>
    </row>
    <row r="2618" spans="1:3">
      <c r="A2618" s="68">
        <v>36184</v>
      </c>
      <c r="B2618" s="33">
        <v>1591.81</v>
      </c>
      <c r="C2618">
        <f t="shared" si="70"/>
        <v>1999</v>
      </c>
    </row>
    <row r="2619" spans="1:3">
      <c r="A2619" s="68">
        <v>36185</v>
      </c>
      <c r="B2619" s="32">
        <v>1591.81</v>
      </c>
      <c r="C2619">
        <f t="shared" si="70"/>
        <v>1999</v>
      </c>
    </row>
    <row r="2620" spans="1:3">
      <c r="A2620" s="68">
        <v>36186</v>
      </c>
      <c r="B2620" s="33">
        <v>1591.58</v>
      </c>
      <c r="C2620">
        <f t="shared" si="70"/>
        <v>1999</v>
      </c>
    </row>
    <row r="2621" spans="1:3">
      <c r="A2621" s="68">
        <v>36187</v>
      </c>
      <c r="B2621" s="32">
        <v>1591.69</v>
      </c>
      <c r="C2621">
        <f t="shared" si="70"/>
        <v>1999</v>
      </c>
    </row>
    <row r="2622" spans="1:3">
      <c r="A2622" s="68">
        <v>36188</v>
      </c>
      <c r="B2622" s="33">
        <v>1590.33</v>
      </c>
      <c r="C2622">
        <f t="shared" si="70"/>
        <v>1999</v>
      </c>
    </row>
    <row r="2623" spans="1:3">
      <c r="A2623" s="68">
        <v>36189</v>
      </c>
      <c r="B2623" s="32">
        <v>1580.72</v>
      </c>
      <c r="C2623">
        <f t="shared" si="70"/>
        <v>1999</v>
      </c>
    </row>
    <row r="2624" spans="1:3">
      <c r="A2624" s="68">
        <v>36190</v>
      </c>
      <c r="B2624" s="33">
        <v>1582.9</v>
      </c>
      <c r="C2624">
        <f t="shared" si="70"/>
        <v>1999</v>
      </c>
    </row>
    <row r="2625" spans="1:3">
      <c r="A2625" s="68">
        <v>36191</v>
      </c>
      <c r="B2625" s="32">
        <v>1582.9</v>
      </c>
      <c r="C2625">
        <f t="shared" si="70"/>
        <v>1999</v>
      </c>
    </row>
    <row r="2626" spans="1:3">
      <c r="A2626" s="68">
        <v>36192</v>
      </c>
      <c r="B2626" s="33">
        <v>1582.9</v>
      </c>
      <c r="C2626">
        <f t="shared" si="70"/>
        <v>1999</v>
      </c>
    </row>
    <row r="2627" spans="1:3">
      <c r="A2627" s="68">
        <v>36193</v>
      </c>
      <c r="B2627" s="32">
        <v>1581.27</v>
      </c>
      <c r="C2627">
        <f t="shared" si="70"/>
        <v>1999</v>
      </c>
    </row>
    <row r="2628" spans="1:3">
      <c r="A2628" s="68">
        <v>36194</v>
      </c>
      <c r="B2628" s="33">
        <v>1576.22</v>
      </c>
      <c r="C2628">
        <f t="shared" ref="C2628:C2691" si="71">YEAR(A2628)</f>
        <v>1999</v>
      </c>
    </row>
    <row r="2629" spans="1:3">
      <c r="A2629" s="68">
        <v>36195</v>
      </c>
      <c r="B2629" s="32">
        <v>1574.07</v>
      </c>
      <c r="C2629">
        <f t="shared" si="71"/>
        <v>1999</v>
      </c>
    </row>
    <row r="2630" spans="1:3">
      <c r="A2630" s="68">
        <v>36196</v>
      </c>
      <c r="B2630" s="33">
        <v>1575.69</v>
      </c>
      <c r="C2630">
        <f t="shared" si="71"/>
        <v>1999</v>
      </c>
    </row>
    <row r="2631" spans="1:3">
      <c r="A2631" s="68">
        <v>36197</v>
      </c>
      <c r="B2631" s="32">
        <v>1570.94</v>
      </c>
      <c r="C2631">
        <f t="shared" si="71"/>
        <v>1999</v>
      </c>
    </row>
    <row r="2632" spans="1:3">
      <c r="A2632" s="68">
        <v>36198</v>
      </c>
      <c r="B2632" s="33">
        <v>1570.94</v>
      </c>
      <c r="C2632">
        <f t="shared" si="71"/>
        <v>1999</v>
      </c>
    </row>
    <row r="2633" spans="1:3">
      <c r="A2633" s="68">
        <v>36199</v>
      </c>
      <c r="B2633" s="32">
        <v>1570.94</v>
      </c>
      <c r="C2633">
        <f t="shared" si="71"/>
        <v>1999</v>
      </c>
    </row>
    <row r="2634" spans="1:3">
      <c r="A2634" s="68">
        <v>36200</v>
      </c>
      <c r="B2634" s="33">
        <v>1562.14</v>
      </c>
      <c r="C2634">
        <f t="shared" si="71"/>
        <v>1999</v>
      </c>
    </row>
    <row r="2635" spans="1:3">
      <c r="A2635" s="68">
        <v>36201</v>
      </c>
      <c r="B2635" s="32">
        <v>1563.39</v>
      </c>
      <c r="C2635">
        <f t="shared" si="71"/>
        <v>1999</v>
      </c>
    </row>
    <row r="2636" spans="1:3">
      <c r="A2636" s="68">
        <v>36202</v>
      </c>
      <c r="B2636" s="33">
        <v>1570.81</v>
      </c>
      <c r="C2636">
        <f t="shared" si="71"/>
        <v>1999</v>
      </c>
    </row>
    <row r="2637" spans="1:3">
      <c r="A2637" s="68">
        <v>36203</v>
      </c>
      <c r="B2637" s="32">
        <v>1564.04</v>
      </c>
      <c r="C2637">
        <f t="shared" si="71"/>
        <v>1999</v>
      </c>
    </row>
    <row r="2638" spans="1:3">
      <c r="A2638" s="68">
        <v>36204</v>
      </c>
      <c r="B2638" s="33">
        <v>1565.57</v>
      </c>
      <c r="C2638">
        <f t="shared" si="71"/>
        <v>1999</v>
      </c>
    </row>
    <row r="2639" spans="1:3">
      <c r="A2639" s="68">
        <v>36205</v>
      </c>
      <c r="B2639" s="32">
        <v>1565.57</v>
      </c>
      <c r="C2639">
        <f t="shared" si="71"/>
        <v>1999</v>
      </c>
    </row>
    <row r="2640" spans="1:3">
      <c r="A2640" s="68">
        <v>36206</v>
      </c>
      <c r="B2640" s="33">
        <v>1565.57</v>
      </c>
      <c r="C2640">
        <f t="shared" si="71"/>
        <v>1999</v>
      </c>
    </row>
    <row r="2641" spans="1:3">
      <c r="A2641" s="68">
        <v>36207</v>
      </c>
      <c r="B2641" s="32">
        <v>1557.79</v>
      </c>
      <c r="C2641">
        <f t="shared" si="71"/>
        <v>1999</v>
      </c>
    </row>
    <row r="2642" spans="1:3">
      <c r="A2642" s="68">
        <v>36208</v>
      </c>
      <c r="B2642" s="33">
        <v>1561.53</v>
      </c>
      <c r="C2642">
        <f t="shared" si="71"/>
        <v>1999</v>
      </c>
    </row>
    <row r="2643" spans="1:3">
      <c r="A2643" s="68">
        <v>36209</v>
      </c>
      <c r="B2643" s="32">
        <v>1569.4</v>
      </c>
      <c r="C2643">
        <f t="shared" si="71"/>
        <v>1999</v>
      </c>
    </row>
    <row r="2644" spans="1:3">
      <c r="A2644" s="68">
        <v>36210</v>
      </c>
      <c r="B2644" s="33">
        <v>1567.17</v>
      </c>
      <c r="C2644">
        <f t="shared" si="71"/>
        <v>1999</v>
      </c>
    </row>
    <row r="2645" spans="1:3">
      <c r="A2645" s="68">
        <v>36211</v>
      </c>
      <c r="B2645" s="32">
        <v>1560.46</v>
      </c>
      <c r="C2645">
        <f t="shared" si="71"/>
        <v>1999</v>
      </c>
    </row>
    <row r="2646" spans="1:3">
      <c r="A2646" s="68">
        <v>36212</v>
      </c>
      <c r="B2646" s="33">
        <v>1560.46</v>
      </c>
      <c r="C2646">
        <f t="shared" si="71"/>
        <v>1999</v>
      </c>
    </row>
    <row r="2647" spans="1:3">
      <c r="A2647" s="68">
        <v>36213</v>
      </c>
      <c r="B2647" s="32">
        <v>1560.46</v>
      </c>
      <c r="C2647">
        <f t="shared" si="71"/>
        <v>1999</v>
      </c>
    </row>
    <row r="2648" spans="1:3">
      <c r="A2648" s="68">
        <v>36214</v>
      </c>
      <c r="B2648" s="33">
        <v>1556.65</v>
      </c>
      <c r="C2648">
        <f t="shared" si="71"/>
        <v>1999</v>
      </c>
    </row>
    <row r="2649" spans="1:3">
      <c r="A2649" s="68">
        <v>36215</v>
      </c>
      <c r="B2649" s="32">
        <v>1550.88</v>
      </c>
      <c r="C2649">
        <f t="shared" si="71"/>
        <v>1999</v>
      </c>
    </row>
    <row r="2650" spans="1:3">
      <c r="A2650" s="68">
        <v>36216</v>
      </c>
      <c r="B2650" s="33">
        <v>1557.97</v>
      </c>
      <c r="C2650">
        <f t="shared" si="71"/>
        <v>1999</v>
      </c>
    </row>
    <row r="2651" spans="1:3">
      <c r="A2651" s="68">
        <v>36217</v>
      </c>
      <c r="B2651" s="32">
        <v>1572.46</v>
      </c>
      <c r="C2651">
        <f t="shared" si="71"/>
        <v>1999</v>
      </c>
    </row>
    <row r="2652" spans="1:3">
      <c r="A2652" s="68">
        <v>36218</v>
      </c>
      <c r="B2652" s="33">
        <v>1568.3</v>
      </c>
      <c r="C2652">
        <f t="shared" si="71"/>
        <v>1999</v>
      </c>
    </row>
    <row r="2653" spans="1:3">
      <c r="A2653" s="68">
        <v>36219</v>
      </c>
      <c r="B2653" s="32">
        <v>1568.3</v>
      </c>
      <c r="C2653">
        <f t="shared" si="71"/>
        <v>1999</v>
      </c>
    </row>
    <row r="2654" spans="1:3">
      <c r="A2654" s="68">
        <v>36220</v>
      </c>
      <c r="B2654" s="33">
        <v>1568.3</v>
      </c>
      <c r="C2654">
        <f t="shared" si="71"/>
        <v>1999</v>
      </c>
    </row>
    <row r="2655" spans="1:3">
      <c r="A2655" s="68">
        <v>36221</v>
      </c>
      <c r="B2655" s="32">
        <v>1560.4</v>
      </c>
      <c r="C2655">
        <f t="shared" si="71"/>
        <v>1999</v>
      </c>
    </row>
    <row r="2656" spans="1:3">
      <c r="A2656" s="68">
        <v>36222</v>
      </c>
      <c r="B2656" s="33">
        <v>1557.94</v>
      </c>
      <c r="C2656">
        <f t="shared" si="71"/>
        <v>1999</v>
      </c>
    </row>
    <row r="2657" spans="1:3">
      <c r="A2657" s="68">
        <v>36223</v>
      </c>
      <c r="B2657" s="32">
        <v>1558.66</v>
      </c>
      <c r="C2657">
        <f t="shared" si="71"/>
        <v>1999</v>
      </c>
    </row>
    <row r="2658" spans="1:3">
      <c r="A2658" s="68">
        <v>36224</v>
      </c>
      <c r="B2658" s="33">
        <v>1555.84</v>
      </c>
      <c r="C2658">
        <f t="shared" si="71"/>
        <v>1999</v>
      </c>
    </row>
    <row r="2659" spans="1:3">
      <c r="A2659" s="68">
        <v>36225</v>
      </c>
      <c r="B2659" s="32">
        <v>1552.37</v>
      </c>
      <c r="C2659">
        <f t="shared" si="71"/>
        <v>1999</v>
      </c>
    </row>
    <row r="2660" spans="1:3">
      <c r="A2660" s="68">
        <v>36226</v>
      </c>
      <c r="B2660" s="33">
        <v>1552.37</v>
      </c>
      <c r="C2660">
        <f t="shared" si="71"/>
        <v>1999</v>
      </c>
    </row>
    <row r="2661" spans="1:3">
      <c r="A2661" s="68">
        <v>36227</v>
      </c>
      <c r="B2661" s="32">
        <v>1552.37</v>
      </c>
      <c r="C2661">
        <f t="shared" si="71"/>
        <v>1999</v>
      </c>
    </row>
    <row r="2662" spans="1:3">
      <c r="A2662" s="68">
        <v>36228</v>
      </c>
      <c r="B2662" s="33">
        <v>1552.44</v>
      </c>
      <c r="C2662">
        <f t="shared" si="71"/>
        <v>1999</v>
      </c>
    </row>
    <row r="2663" spans="1:3">
      <c r="A2663" s="68">
        <v>36229</v>
      </c>
      <c r="B2663" s="32">
        <v>1550.33</v>
      </c>
      <c r="C2663">
        <f t="shared" si="71"/>
        <v>1999</v>
      </c>
    </row>
    <row r="2664" spans="1:3">
      <c r="A2664" s="68">
        <v>36230</v>
      </c>
      <c r="B2664" s="33">
        <v>1545.09</v>
      </c>
      <c r="C2664">
        <f t="shared" si="71"/>
        <v>1999</v>
      </c>
    </row>
    <row r="2665" spans="1:3">
      <c r="A2665" s="68">
        <v>36231</v>
      </c>
      <c r="B2665" s="32">
        <v>1552.28</v>
      </c>
      <c r="C2665">
        <f t="shared" si="71"/>
        <v>1999</v>
      </c>
    </row>
    <row r="2666" spans="1:3">
      <c r="A2666" s="68">
        <v>36232</v>
      </c>
      <c r="B2666" s="33">
        <v>1562.91</v>
      </c>
      <c r="C2666">
        <f t="shared" si="71"/>
        <v>1999</v>
      </c>
    </row>
    <row r="2667" spans="1:3">
      <c r="A2667" s="68">
        <v>36233</v>
      </c>
      <c r="B2667" s="32">
        <v>1562.91</v>
      </c>
      <c r="C2667">
        <f t="shared" si="71"/>
        <v>1999</v>
      </c>
    </row>
    <row r="2668" spans="1:3">
      <c r="A2668" s="68">
        <v>36234</v>
      </c>
      <c r="B2668" s="33">
        <v>1562.91</v>
      </c>
      <c r="C2668">
        <f t="shared" si="71"/>
        <v>1999</v>
      </c>
    </row>
    <row r="2669" spans="1:3">
      <c r="A2669" s="68">
        <v>36235</v>
      </c>
      <c r="B2669" s="32">
        <v>1563.97</v>
      </c>
      <c r="C2669">
        <f t="shared" si="71"/>
        <v>1999</v>
      </c>
    </row>
    <row r="2670" spans="1:3">
      <c r="A2670" s="68">
        <v>36236</v>
      </c>
      <c r="B2670" s="33">
        <v>1561.74</v>
      </c>
      <c r="C2670">
        <f t="shared" si="71"/>
        <v>1999</v>
      </c>
    </row>
    <row r="2671" spans="1:3">
      <c r="A2671" s="68">
        <v>36237</v>
      </c>
      <c r="B2671" s="32">
        <v>1554.85</v>
      </c>
      <c r="C2671">
        <f t="shared" si="71"/>
        <v>1999</v>
      </c>
    </row>
    <row r="2672" spans="1:3">
      <c r="A2672" s="68">
        <v>36238</v>
      </c>
      <c r="B2672" s="33">
        <v>1550.03</v>
      </c>
      <c r="C2672">
        <f t="shared" si="71"/>
        <v>1999</v>
      </c>
    </row>
    <row r="2673" spans="1:3">
      <c r="A2673" s="68">
        <v>36239</v>
      </c>
      <c r="B2673" s="32">
        <v>1546.77</v>
      </c>
      <c r="C2673">
        <f t="shared" si="71"/>
        <v>1999</v>
      </c>
    </row>
    <row r="2674" spans="1:3">
      <c r="A2674" s="68">
        <v>36240</v>
      </c>
      <c r="B2674" s="33">
        <v>1546.77</v>
      </c>
      <c r="C2674">
        <f t="shared" si="71"/>
        <v>1999</v>
      </c>
    </row>
    <row r="2675" spans="1:3">
      <c r="A2675" s="68">
        <v>36241</v>
      </c>
      <c r="B2675" s="32">
        <v>1546.77</v>
      </c>
      <c r="C2675">
        <f t="shared" si="71"/>
        <v>1999</v>
      </c>
    </row>
    <row r="2676" spans="1:3">
      <c r="A2676" s="68">
        <v>36242</v>
      </c>
      <c r="B2676" s="33">
        <v>1546.77</v>
      </c>
      <c r="C2676">
        <f t="shared" si="71"/>
        <v>1999</v>
      </c>
    </row>
    <row r="2677" spans="1:3">
      <c r="A2677" s="68">
        <v>36243</v>
      </c>
      <c r="B2677" s="32">
        <v>1544.6</v>
      </c>
      <c r="C2677">
        <f t="shared" si="71"/>
        <v>1999</v>
      </c>
    </row>
    <row r="2678" spans="1:3">
      <c r="A2678" s="68">
        <v>36244</v>
      </c>
      <c r="B2678" s="33">
        <v>1541.74</v>
      </c>
      <c r="C2678">
        <f t="shared" si="71"/>
        <v>1999</v>
      </c>
    </row>
    <row r="2679" spans="1:3">
      <c r="A2679" s="68">
        <v>36245</v>
      </c>
      <c r="B2679" s="32">
        <v>1534.28</v>
      </c>
      <c r="C2679">
        <f t="shared" si="71"/>
        <v>1999</v>
      </c>
    </row>
    <row r="2680" spans="1:3">
      <c r="A2680" s="68">
        <v>36246</v>
      </c>
      <c r="B2680" s="33">
        <v>1525.59</v>
      </c>
      <c r="C2680">
        <f t="shared" si="71"/>
        <v>1999</v>
      </c>
    </row>
    <row r="2681" spans="1:3">
      <c r="A2681" s="68">
        <v>36247</v>
      </c>
      <c r="B2681" s="32">
        <v>1525.59</v>
      </c>
      <c r="C2681">
        <f t="shared" si="71"/>
        <v>1999</v>
      </c>
    </row>
    <row r="2682" spans="1:3">
      <c r="A2682" s="68">
        <v>36248</v>
      </c>
      <c r="B2682" s="33">
        <v>1525.59</v>
      </c>
      <c r="C2682">
        <f t="shared" si="71"/>
        <v>1999</v>
      </c>
    </row>
    <row r="2683" spans="1:3">
      <c r="A2683" s="68">
        <v>36249</v>
      </c>
      <c r="B2683" s="32">
        <v>1529.59</v>
      </c>
      <c r="C2683">
        <f t="shared" si="71"/>
        <v>1999</v>
      </c>
    </row>
    <row r="2684" spans="1:3">
      <c r="A2684" s="68">
        <v>36250</v>
      </c>
      <c r="B2684" s="33">
        <v>1533.51</v>
      </c>
      <c r="C2684">
        <f t="shared" si="71"/>
        <v>1999</v>
      </c>
    </row>
    <row r="2685" spans="1:3">
      <c r="A2685" s="68">
        <v>36251</v>
      </c>
      <c r="B2685" s="32">
        <v>1533.32</v>
      </c>
      <c r="C2685">
        <f t="shared" si="71"/>
        <v>1999</v>
      </c>
    </row>
    <row r="2686" spans="1:3">
      <c r="A2686" s="68">
        <v>36252</v>
      </c>
      <c r="B2686" s="33">
        <v>1533.32</v>
      </c>
      <c r="C2686">
        <f t="shared" si="71"/>
        <v>1999</v>
      </c>
    </row>
    <row r="2687" spans="1:3">
      <c r="A2687" s="68">
        <v>36253</v>
      </c>
      <c r="B2687" s="32">
        <v>1533.32</v>
      </c>
      <c r="C2687">
        <f t="shared" si="71"/>
        <v>1999</v>
      </c>
    </row>
    <row r="2688" spans="1:3">
      <c r="A2688" s="68">
        <v>36254</v>
      </c>
      <c r="B2688" s="33">
        <v>1533.32</v>
      </c>
      <c r="C2688">
        <f t="shared" si="71"/>
        <v>1999</v>
      </c>
    </row>
    <row r="2689" spans="1:3">
      <c r="A2689" s="68">
        <v>36255</v>
      </c>
      <c r="B2689" s="32">
        <v>1533.32</v>
      </c>
      <c r="C2689">
        <f t="shared" si="71"/>
        <v>1999</v>
      </c>
    </row>
    <row r="2690" spans="1:3">
      <c r="A2690" s="68">
        <v>36256</v>
      </c>
      <c r="B2690" s="33">
        <v>1532.48</v>
      </c>
      <c r="C2690">
        <f t="shared" si="71"/>
        <v>1999</v>
      </c>
    </row>
    <row r="2691" spans="1:3">
      <c r="A2691" s="68">
        <v>36257</v>
      </c>
      <c r="B2691" s="32">
        <v>1534.13</v>
      </c>
      <c r="C2691">
        <f t="shared" si="71"/>
        <v>1999</v>
      </c>
    </row>
    <row r="2692" spans="1:3">
      <c r="A2692" s="68">
        <v>36258</v>
      </c>
      <c r="B2692" s="33">
        <v>1548.14</v>
      </c>
      <c r="C2692">
        <f t="shared" ref="C2692:C2755" si="72">YEAR(A2692)</f>
        <v>1999</v>
      </c>
    </row>
    <row r="2693" spans="1:3">
      <c r="A2693" s="68">
        <v>36259</v>
      </c>
      <c r="B2693" s="32">
        <v>1574.77</v>
      </c>
      <c r="C2693">
        <f t="shared" si="72"/>
        <v>1999</v>
      </c>
    </row>
    <row r="2694" spans="1:3">
      <c r="A2694" s="68">
        <v>36260</v>
      </c>
      <c r="B2694" s="33">
        <v>1588.17</v>
      </c>
      <c r="C2694">
        <f t="shared" si="72"/>
        <v>1999</v>
      </c>
    </row>
    <row r="2695" spans="1:3">
      <c r="A2695" s="68">
        <v>36261</v>
      </c>
      <c r="B2695" s="32">
        <v>1588.17</v>
      </c>
      <c r="C2695">
        <f t="shared" si="72"/>
        <v>1999</v>
      </c>
    </row>
    <row r="2696" spans="1:3">
      <c r="A2696" s="68">
        <v>36262</v>
      </c>
      <c r="B2696" s="33">
        <v>1588.17</v>
      </c>
      <c r="C2696">
        <f t="shared" si="72"/>
        <v>1999</v>
      </c>
    </row>
    <row r="2697" spans="1:3">
      <c r="A2697" s="68">
        <v>36263</v>
      </c>
      <c r="B2697" s="32">
        <v>1588.19</v>
      </c>
      <c r="C2697">
        <f t="shared" si="72"/>
        <v>1999</v>
      </c>
    </row>
    <row r="2698" spans="1:3">
      <c r="A2698" s="68">
        <v>36264</v>
      </c>
      <c r="B2698" s="33">
        <v>1603.95</v>
      </c>
      <c r="C2698">
        <f t="shared" si="72"/>
        <v>1999</v>
      </c>
    </row>
    <row r="2699" spans="1:3">
      <c r="A2699" s="68">
        <v>36265</v>
      </c>
      <c r="B2699" s="32">
        <v>1593.17</v>
      </c>
      <c r="C2699">
        <f t="shared" si="72"/>
        <v>1999</v>
      </c>
    </row>
    <row r="2700" spans="1:3">
      <c r="A2700" s="68">
        <v>36266</v>
      </c>
      <c r="B2700" s="33">
        <v>1586.04</v>
      </c>
      <c r="C2700">
        <f t="shared" si="72"/>
        <v>1999</v>
      </c>
    </row>
    <row r="2701" spans="1:3">
      <c r="A2701" s="68">
        <v>36267</v>
      </c>
      <c r="B2701" s="32">
        <v>1578.93</v>
      </c>
      <c r="C2701">
        <f t="shared" si="72"/>
        <v>1999</v>
      </c>
    </row>
    <row r="2702" spans="1:3">
      <c r="A2702" s="68">
        <v>36268</v>
      </c>
      <c r="B2702" s="33">
        <v>1578.93</v>
      </c>
      <c r="C2702">
        <f t="shared" si="72"/>
        <v>1999</v>
      </c>
    </row>
    <row r="2703" spans="1:3">
      <c r="A2703" s="68">
        <v>36269</v>
      </c>
      <c r="B2703" s="32">
        <v>1578.93</v>
      </c>
      <c r="C2703">
        <f t="shared" si="72"/>
        <v>1999</v>
      </c>
    </row>
    <row r="2704" spans="1:3">
      <c r="A2704" s="68">
        <v>36270</v>
      </c>
      <c r="B2704" s="33">
        <v>1570.53</v>
      </c>
      <c r="C2704">
        <f t="shared" si="72"/>
        <v>1999</v>
      </c>
    </row>
    <row r="2705" spans="1:3">
      <c r="A2705" s="68">
        <v>36271</v>
      </c>
      <c r="B2705" s="32">
        <v>1563.94</v>
      </c>
      <c r="C2705">
        <f t="shared" si="72"/>
        <v>1999</v>
      </c>
    </row>
    <row r="2706" spans="1:3">
      <c r="A2706" s="68">
        <v>36272</v>
      </c>
      <c r="B2706" s="33">
        <v>1570.34</v>
      </c>
      <c r="C2706">
        <f t="shared" si="72"/>
        <v>1999</v>
      </c>
    </row>
    <row r="2707" spans="1:3">
      <c r="A2707" s="68">
        <v>36273</v>
      </c>
      <c r="B2707" s="32">
        <v>1573.86</v>
      </c>
      <c r="C2707">
        <f t="shared" si="72"/>
        <v>1999</v>
      </c>
    </row>
    <row r="2708" spans="1:3">
      <c r="A2708" s="68">
        <v>36274</v>
      </c>
      <c r="B2708" s="33">
        <v>1578.98</v>
      </c>
      <c r="C2708">
        <f t="shared" si="72"/>
        <v>1999</v>
      </c>
    </row>
    <row r="2709" spans="1:3">
      <c r="A2709" s="68">
        <v>36275</v>
      </c>
      <c r="B2709" s="32">
        <v>1578.98</v>
      </c>
      <c r="C2709">
        <f t="shared" si="72"/>
        <v>1999</v>
      </c>
    </row>
    <row r="2710" spans="1:3">
      <c r="A2710" s="68">
        <v>36276</v>
      </c>
      <c r="B2710" s="33">
        <v>1578.98</v>
      </c>
      <c r="C2710">
        <f t="shared" si="72"/>
        <v>1999</v>
      </c>
    </row>
    <row r="2711" spans="1:3">
      <c r="A2711" s="68">
        <v>36277</v>
      </c>
      <c r="B2711" s="32">
        <v>1580.78</v>
      </c>
      <c r="C2711">
        <f t="shared" si="72"/>
        <v>1999</v>
      </c>
    </row>
    <row r="2712" spans="1:3">
      <c r="A2712" s="68">
        <v>36278</v>
      </c>
      <c r="B2712" s="33">
        <v>1590.53</v>
      </c>
      <c r="C2712">
        <f t="shared" si="72"/>
        <v>1999</v>
      </c>
    </row>
    <row r="2713" spans="1:3">
      <c r="A2713" s="68">
        <v>36279</v>
      </c>
      <c r="B2713" s="32">
        <v>1598.69</v>
      </c>
      <c r="C2713">
        <f t="shared" si="72"/>
        <v>1999</v>
      </c>
    </row>
    <row r="2714" spans="1:3">
      <c r="A2714" s="68">
        <v>36280</v>
      </c>
      <c r="B2714" s="33">
        <v>1604.44</v>
      </c>
      <c r="C2714">
        <f t="shared" si="72"/>
        <v>1999</v>
      </c>
    </row>
    <row r="2715" spans="1:3">
      <c r="A2715" s="68">
        <v>36281</v>
      </c>
      <c r="B2715" s="32">
        <v>1611.48</v>
      </c>
      <c r="C2715">
        <f t="shared" si="72"/>
        <v>1999</v>
      </c>
    </row>
    <row r="2716" spans="1:3">
      <c r="A2716" s="68">
        <v>36282</v>
      </c>
      <c r="B2716" s="33">
        <v>1611.48</v>
      </c>
      <c r="C2716">
        <f t="shared" si="72"/>
        <v>1999</v>
      </c>
    </row>
    <row r="2717" spans="1:3">
      <c r="A2717" s="68">
        <v>36283</v>
      </c>
      <c r="B2717" s="32">
        <v>1611.48</v>
      </c>
      <c r="C2717">
        <f t="shared" si="72"/>
        <v>1999</v>
      </c>
    </row>
    <row r="2718" spans="1:3">
      <c r="A2718" s="68">
        <v>36284</v>
      </c>
      <c r="B2718" s="33">
        <v>1613.61</v>
      </c>
      <c r="C2718">
        <f t="shared" si="72"/>
        <v>1999</v>
      </c>
    </row>
    <row r="2719" spans="1:3">
      <c r="A2719" s="68">
        <v>36285</v>
      </c>
      <c r="B2719" s="32">
        <v>1603.97</v>
      </c>
      <c r="C2719">
        <f t="shared" si="72"/>
        <v>1999</v>
      </c>
    </row>
    <row r="2720" spans="1:3">
      <c r="A2720" s="68">
        <v>36286</v>
      </c>
      <c r="B2720" s="33">
        <v>1610.66</v>
      </c>
      <c r="C2720">
        <f t="shared" si="72"/>
        <v>1999</v>
      </c>
    </row>
    <row r="2721" spans="1:3">
      <c r="A2721" s="68">
        <v>36287</v>
      </c>
      <c r="B2721" s="32">
        <v>1618</v>
      </c>
      <c r="C2721">
        <f t="shared" si="72"/>
        <v>1999</v>
      </c>
    </row>
    <row r="2722" spans="1:3">
      <c r="A2722" s="68">
        <v>36288</v>
      </c>
      <c r="B2722" s="33">
        <v>1631.71</v>
      </c>
      <c r="C2722">
        <f t="shared" si="72"/>
        <v>1999</v>
      </c>
    </row>
    <row r="2723" spans="1:3">
      <c r="A2723" s="68">
        <v>36289</v>
      </c>
      <c r="B2723" s="32">
        <v>1631.71</v>
      </c>
      <c r="C2723">
        <f t="shared" si="72"/>
        <v>1999</v>
      </c>
    </row>
    <row r="2724" spans="1:3">
      <c r="A2724" s="68">
        <v>36290</v>
      </c>
      <c r="B2724" s="33">
        <v>1631.71</v>
      </c>
      <c r="C2724">
        <f t="shared" si="72"/>
        <v>1999</v>
      </c>
    </row>
    <row r="2725" spans="1:3">
      <c r="A2725" s="68">
        <v>36291</v>
      </c>
      <c r="B2725" s="32">
        <v>1627.3</v>
      </c>
      <c r="C2725">
        <f t="shared" si="72"/>
        <v>1999</v>
      </c>
    </row>
    <row r="2726" spans="1:3">
      <c r="A2726" s="68">
        <v>36292</v>
      </c>
      <c r="B2726" s="33">
        <v>1631.02</v>
      </c>
      <c r="C2726">
        <f t="shared" si="72"/>
        <v>1999</v>
      </c>
    </row>
    <row r="2727" spans="1:3">
      <c r="A2727" s="68">
        <v>36293</v>
      </c>
      <c r="B2727" s="32">
        <v>1631.95</v>
      </c>
      <c r="C2727">
        <f t="shared" si="72"/>
        <v>1999</v>
      </c>
    </row>
    <row r="2728" spans="1:3">
      <c r="A2728" s="68">
        <v>36294</v>
      </c>
      <c r="B2728" s="33">
        <v>1630.08</v>
      </c>
      <c r="C2728">
        <f t="shared" si="72"/>
        <v>1999</v>
      </c>
    </row>
    <row r="2729" spans="1:3">
      <c r="A2729" s="68">
        <v>36295</v>
      </c>
      <c r="B2729" s="32">
        <v>1640.15</v>
      </c>
      <c r="C2729">
        <f t="shared" si="72"/>
        <v>1999</v>
      </c>
    </row>
    <row r="2730" spans="1:3">
      <c r="A2730" s="68">
        <v>36296</v>
      </c>
      <c r="B2730" s="33">
        <v>1640.15</v>
      </c>
      <c r="C2730">
        <f t="shared" si="72"/>
        <v>1999</v>
      </c>
    </row>
    <row r="2731" spans="1:3">
      <c r="A2731" s="68">
        <v>36297</v>
      </c>
      <c r="B2731" s="32">
        <v>1640.15</v>
      </c>
      <c r="C2731">
        <f t="shared" si="72"/>
        <v>1999</v>
      </c>
    </row>
    <row r="2732" spans="1:3">
      <c r="A2732" s="68">
        <v>36298</v>
      </c>
      <c r="B2732" s="33">
        <v>1640.15</v>
      </c>
      <c r="C2732">
        <f t="shared" si="72"/>
        <v>1999</v>
      </c>
    </row>
    <row r="2733" spans="1:3">
      <c r="A2733" s="68">
        <v>36299</v>
      </c>
      <c r="B2733" s="32">
        <v>1644.11</v>
      </c>
      <c r="C2733">
        <f t="shared" si="72"/>
        <v>1999</v>
      </c>
    </row>
    <row r="2734" spans="1:3">
      <c r="A2734" s="68">
        <v>36300</v>
      </c>
      <c r="B2734" s="33">
        <v>1643.05</v>
      </c>
      <c r="C2734">
        <f t="shared" si="72"/>
        <v>1999</v>
      </c>
    </row>
    <row r="2735" spans="1:3">
      <c r="A2735" s="68">
        <v>36301</v>
      </c>
      <c r="B2735" s="32">
        <v>1644.6</v>
      </c>
      <c r="C2735">
        <f t="shared" si="72"/>
        <v>1999</v>
      </c>
    </row>
    <row r="2736" spans="1:3">
      <c r="A2736" s="68">
        <v>36302</v>
      </c>
      <c r="B2736" s="33">
        <v>1665.36</v>
      </c>
      <c r="C2736">
        <f t="shared" si="72"/>
        <v>1999</v>
      </c>
    </row>
    <row r="2737" spans="1:3">
      <c r="A2737" s="68">
        <v>36303</v>
      </c>
      <c r="B2737" s="32">
        <v>1665.36</v>
      </c>
      <c r="C2737">
        <f t="shared" si="72"/>
        <v>1999</v>
      </c>
    </row>
    <row r="2738" spans="1:3">
      <c r="A2738" s="68">
        <v>36304</v>
      </c>
      <c r="B2738" s="33">
        <v>1665.36</v>
      </c>
      <c r="C2738">
        <f t="shared" si="72"/>
        <v>1999</v>
      </c>
    </row>
    <row r="2739" spans="1:3">
      <c r="A2739" s="68">
        <v>36305</v>
      </c>
      <c r="B2739" s="32">
        <v>1671.2</v>
      </c>
      <c r="C2739">
        <f t="shared" si="72"/>
        <v>1999</v>
      </c>
    </row>
    <row r="2740" spans="1:3">
      <c r="A2740" s="68">
        <v>36306</v>
      </c>
      <c r="B2740" s="33">
        <v>1669.27</v>
      </c>
      <c r="C2740">
        <f t="shared" si="72"/>
        <v>1999</v>
      </c>
    </row>
    <row r="2741" spans="1:3">
      <c r="A2741" s="68">
        <v>36307</v>
      </c>
      <c r="B2741" s="32">
        <v>1682.12</v>
      </c>
      <c r="C2741">
        <f t="shared" si="72"/>
        <v>1999</v>
      </c>
    </row>
    <row r="2742" spans="1:3">
      <c r="A2742" s="68">
        <v>36308</v>
      </c>
      <c r="B2742" s="33">
        <v>1685.33</v>
      </c>
      <c r="C2742">
        <f t="shared" si="72"/>
        <v>1999</v>
      </c>
    </row>
    <row r="2743" spans="1:3">
      <c r="A2743" s="68">
        <v>36309</v>
      </c>
      <c r="B2743" s="32">
        <v>1671.67</v>
      </c>
      <c r="C2743">
        <f t="shared" si="72"/>
        <v>1999</v>
      </c>
    </row>
    <row r="2744" spans="1:3">
      <c r="A2744" s="68">
        <v>36310</v>
      </c>
      <c r="B2744" s="33">
        <v>1671.67</v>
      </c>
      <c r="C2744">
        <f t="shared" si="72"/>
        <v>1999</v>
      </c>
    </row>
    <row r="2745" spans="1:3">
      <c r="A2745" s="68">
        <v>36311</v>
      </c>
      <c r="B2745" s="32">
        <v>1671.67</v>
      </c>
      <c r="C2745">
        <f t="shared" si="72"/>
        <v>1999</v>
      </c>
    </row>
    <row r="2746" spans="1:3">
      <c r="A2746" s="68">
        <v>36312</v>
      </c>
      <c r="B2746" s="33">
        <v>1663.55</v>
      </c>
      <c r="C2746">
        <f t="shared" si="72"/>
        <v>1999</v>
      </c>
    </row>
    <row r="2747" spans="1:3">
      <c r="A2747" s="68">
        <v>36313</v>
      </c>
      <c r="B2747" s="32">
        <v>1657.7</v>
      </c>
      <c r="C2747">
        <f t="shared" si="72"/>
        <v>1999</v>
      </c>
    </row>
    <row r="2748" spans="1:3">
      <c r="A2748" s="68">
        <v>36314</v>
      </c>
      <c r="B2748" s="33">
        <v>1667.88</v>
      </c>
      <c r="C2748">
        <f t="shared" si="72"/>
        <v>1999</v>
      </c>
    </row>
    <row r="2749" spans="1:3">
      <c r="A2749" s="68">
        <v>36315</v>
      </c>
      <c r="B2749" s="32">
        <v>1654.75</v>
      </c>
      <c r="C2749">
        <f t="shared" si="72"/>
        <v>1999</v>
      </c>
    </row>
    <row r="2750" spans="1:3">
      <c r="A2750" s="68">
        <v>36316</v>
      </c>
      <c r="B2750" s="33">
        <v>1653.96</v>
      </c>
      <c r="C2750">
        <f t="shared" si="72"/>
        <v>1999</v>
      </c>
    </row>
    <row r="2751" spans="1:3">
      <c r="A2751" s="68">
        <v>36317</v>
      </c>
      <c r="B2751" s="32">
        <v>1653.96</v>
      </c>
      <c r="C2751">
        <f t="shared" si="72"/>
        <v>1999</v>
      </c>
    </row>
    <row r="2752" spans="1:3">
      <c r="A2752" s="68">
        <v>36318</v>
      </c>
      <c r="B2752" s="33">
        <v>1653.96</v>
      </c>
      <c r="C2752">
        <f t="shared" si="72"/>
        <v>1999</v>
      </c>
    </row>
    <row r="2753" spans="1:3">
      <c r="A2753" s="68">
        <v>36319</v>
      </c>
      <c r="B2753" s="32">
        <v>1653.96</v>
      </c>
      <c r="C2753">
        <f t="shared" si="72"/>
        <v>1999</v>
      </c>
    </row>
    <row r="2754" spans="1:3">
      <c r="A2754" s="68">
        <v>36320</v>
      </c>
      <c r="B2754" s="33">
        <v>1672.01</v>
      </c>
      <c r="C2754">
        <f t="shared" si="72"/>
        <v>1999</v>
      </c>
    </row>
    <row r="2755" spans="1:3">
      <c r="A2755" s="68">
        <v>36321</v>
      </c>
      <c r="B2755" s="32">
        <v>1679.12</v>
      </c>
      <c r="C2755">
        <f t="shared" si="72"/>
        <v>1999</v>
      </c>
    </row>
    <row r="2756" spans="1:3">
      <c r="A2756" s="68">
        <v>36322</v>
      </c>
      <c r="B2756" s="33">
        <v>1686.08</v>
      </c>
      <c r="C2756">
        <f t="shared" ref="C2756:C2819" si="73">YEAR(A2756)</f>
        <v>1999</v>
      </c>
    </row>
    <row r="2757" spans="1:3">
      <c r="A2757" s="68">
        <v>36323</v>
      </c>
      <c r="B2757" s="32">
        <v>1682.09</v>
      </c>
      <c r="C2757">
        <f t="shared" si="73"/>
        <v>1999</v>
      </c>
    </row>
    <row r="2758" spans="1:3">
      <c r="A2758" s="68">
        <v>36324</v>
      </c>
      <c r="B2758" s="33">
        <v>1682.09</v>
      </c>
      <c r="C2758">
        <f t="shared" si="73"/>
        <v>1999</v>
      </c>
    </row>
    <row r="2759" spans="1:3">
      <c r="A2759" s="68">
        <v>36325</v>
      </c>
      <c r="B2759" s="32">
        <v>1682.09</v>
      </c>
      <c r="C2759">
        <f t="shared" si="73"/>
        <v>1999</v>
      </c>
    </row>
    <row r="2760" spans="1:3">
      <c r="A2760" s="68">
        <v>36326</v>
      </c>
      <c r="B2760" s="33">
        <v>1682.09</v>
      </c>
      <c r="C2760">
        <f t="shared" si="73"/>
        <v>1999</v>
      </c>
    </row>
    <row r="2761" spans="1:3">
      <c r="A2761" s="68">
        <v>36327</v>
      </c>
      <c r="B2761" s="32">
        <v>1694.56</v>
      </c>
      <c r="C2761">
        <f t="shared" si="73"/>
        <v>1999</v>
      </c>
    </row>
    <row r="2762" spans="1:3">
      <c r="A2762" s="68">
        <v>36328</v>
      </c>
      <c r="B2762" s="33">
        <v>1698.55</v>
      </c>
      <c r="C2762">
        <f t="shared" si="73"/>
        <v>1999</v>
      </c>
    </row>
    <row r="2763" spans="1:3">
      <c r="A2763" s="68">
        <v>36329</v>
      </c>
      <c r="B2763" s="32">
        <v>1693.75</v>
      </c>
      <c r="C2763">
        <f t="shared" si="73"/>
        <v>1999</v>
      </c>
    </row>
    <row r="2764" spans="1:3">
      <c r="A2764" s="68">
        <v>36330</v>
      </c>
      <c r="B2764" s="33">
        <v>1692.36</v>
      </c>
      <c r="C2764">
        <f t="shared" si="73"/>
        <v>1999</v>
      </c>
    </row>
    <row r="2765" spans="1:3">
      <c r="A2765" s="68">
        <v>36331</v>
      </c>
      <c r="B2765" s="32">
        <v>1692.36</v>
      </c>
      <c r="C2765">
        <f t="shared" si="73"/>
        <v>1999</v>
      </c>
    </row>
    <row r="2766" spans="1:3">
      <c r="A2766" s="68">
        <v>36332</v>
      </c>
      <c r="B2766" s="33">
        <v>1692.36</v>
      </c>
      <c r="C2766">
        <f t="shared" si="73"/>
        <v>1999</v>
      </c>
    </row>
    <row r="2767" spans="1:3">
      <c r="A2767" s="68">
        <v>36333</v>
      </c>
      <c r="B2767" s="32">
        <v>1694.26</v>
      </c>
      <c r="C2767">
        <f t="shared" si="73"/>
        <v>1999</v>
      </c>
    </row>
    <row r="2768" spans="1:3">
      <c r="A2768" s="68">
        <v>36334</v>
      </c>
      <c r="B2768" s="33">
        <v>1710.03</v>
      </c>
      <c r="C2768">
        <f t="shared" si="73"/>
        <v>1999</v>
      </c>
    </row>
    <row r="2769" spans="1:3">
      <c r="A2769" s="68">
        <v>36335</v>
      </c>
      <c r="B2769" s="32">
        <v>1723.26</v>
      </c>
      <c r="C2769">
        <f t="shared" si="73"/>
        <v>1999</v>
      </c>
    </row>
    <row r="2770" spans="1:3">
      <c r="A2770" s="68">
        <v>36336</v>
      </c>
      <c r="B2770" s="33">
        <v>1734.83</v>
      </c>
      <c r="C2770">
        <f t="shared" si="73"/>
        <v>1999</v>
      </c>
    </row>
    <row r="2771" spans="1:3">
      <c r="A2771" s="68">
        <v>36337</v>
      </c>
      <c r="B2771" s="32">
        <v>1737.91</v>
      </c>
      <c r="C2771">
        <f t="shared" si="73"/>
        <v>1999</v>
      </c>
    </row>
    <row r="2772" spans="1:3">
      <c r="A2772" s="68">
        <v>36338</v>
      </c>
      <c r="B2772" s="33">
        <v>1737.91</v>
      </c>
      <c r="C2772">
        <f t="shared" si="73"/>
        <v>1999</v>
      </c>
    </row>
    <row r="2773" spans="1:3">
      <c r="A2773" s="68">
        <v>36339</v>
      </c>
      <c r="B2773" s="32">
        <v>1737.91</v>
      </c>
      <c r="C2773">
        <f t="shared" si="73"/>
        <v>1999</v>
      </c>
    </row>
    <row r="2774" spans="1:3">
      <c r="A2774" s="68">
        <v>36340</v>
      </c>
      <c r="B2774" s="33">
        <v>1751</v>
      </c>
      <c r="C2774">
        <f t="shared" si="73"/>
        <v>1999</v>
      </c>
    </row>
    <row r="2775" spans="1:3">
      <c r="A2775" s="68">
        <v>36341</v>
      </c>
      <c r="B2775" s="32">
        <v>1732.1</v>
      </c>
      <c r="C2775">
        <f t="shared" si="73"/>
        <v>1999</v>
      </c>
    </row>
    <row r="2776" spans="1:3">
      <c r="A2776" s="68">
        <v>36342</v>
      </c>
      <c r="B2776" s="33">
        <v>1736.03</v>
      </c>
      <c r="C2776">
        <f t="shared" si="73"/>
        <v>1999</v>
      </c>
    </row>
    <row r="2777" spans="1:3">
      <c r="A2777" s="68">
        <v>36343</v>
      </c>
      <c r="B2777" s="32">
        <v>1751.26</v>
      </c>
      <c r="C2777">
        <f t="shared" si="73"/>
        <v>1999</v>
      </c>
    </row>
    <row r="2778" spans="1:3">
      <c r="A2778" s="68">
        <v>36344</v>
      </c>
      <c r="B2778" s="33">
        <v>1755.31</v>
      </c>
      <c r="C2778">
        <f t="shared" si="73"/>
        <v>1999</v>
      </c>
    </row>
    <row r="2779" spans="1:3">
      <c r="A2779" s="68">
        <v>36345</v>
      </c>
      <c r="B2779" s="32">
        <v>1755.31</v>
      </c>
      <c r="C2779">
        <f t="shared" si="73"/>
        <v>1999</v>
      </c>
    </row>
    <row r="2780" spans="1:3">
      <c r="A2780" s="68">
        <v>36346</v>
      </c>
      <c r="B2780" s="33">
        <v>1755.31</v>
      </c>
      <c r="C2780">
        <f t="shared" si="73"/>
        <v>1999</v>
      </c>
    </row>
    <row r="2781" spans="1:3">
      <c r="A2781" s="68">
        <v>36347</v>
      </c>
      <c r="B2781" s="32">
        <v>1755.31</v>
      </c>
      <c r="C2781">
        <f t="shared" si="73"/>
        <v>1999</v>
      </c>
    </row>
    <row r="2782" spans="1:3">
      <c r="A2782" s="68">
        <v>36348</v>
      </c>
      <c r="B2782" s="33">
        <v>1772.69</v>
      </c>
      <c r="C2782">
        <f t="shared" si="73"/>
        <v>1999</v>
      </c>
    </row>
    <row r="2783" spans="1:3">
      <c r="A2783" s="68">
        <v>36349</v>
      </c>
      <c r="B2783" s="32">
        <v>1795.36</v>
      </c>
      <c r="C2783">
        <f t="shared" si="73"/>
        <v>1999</v>
      </c>
    </row>
    <row r="2784" spans="1:3">
      <c r="A2784" s="68">
        <v>36350</v>
      </c>
      <c r="B2784" s="33">
        <v>1831.1</v>
      </c>
      <c r="C2784">
        <f t="shared" si="73"/>
        <v>1999</v>
      </c>
    </row>
    <row r="2785" spans="1:3">
      <c r="A2785" s="68">
        <v>36351</v>
      </c>
      <c r="B2785" s="32">
        <v>1840.38</v>
      </c>
      <c r="C2785">
        <f t="shared" si="73"/>
        <v>1999</v>
      </c>
    </row>
    <row r="2786" spans="1:3">
      <c r="A2786" s="68">
        <v>36352</v>
      </c>
      <c r="B2786" s="33">
        <v>1840.38</v>
      </c>
      <c r="C2786">
        <f t="shared" si="73"/>
        <v>1999</v>
      </c>
    </row>
    <row r="2787" spans="1:3">
      <c r="A2787" s="68">
        <v>36353</v>
      </c>
      <c r="B2787" s="32">
        <v>1840.38</v>
      </c>
      <c r="C2787">
        <f t="shared" si="73"/>
        <v>1999</v>
      </c>
    </row>
    <row r="2788" spans="1:3">
      <c r="A2788" s="68">
        <v>36354</v>
      </c>
      <c r="B2788" s="33">
        <v>1887.17</v>
      </c>
      <c r="C2788">
        <f t="shared" si="73"/>
        <v>1999</v>
      </c>
    </row>
    <row r="2789" spans="1:3">
      <c r="A2789" s="68">
        <v>36355</v>
      </c>
      <c r="B2789" s="32">
        <v>1926.55</v>
      </c>
      <c r="C2789">
        <f t="shared" si="73"/>
        <v>1999</v>
      </c>
    </row>
    <row r="2790" spans="1:3">
      <c r="A2790" s="68">
        <v>36356</v>
      </c>
      <c r="B2790" s="33">
        <v>1881.42</v>
      </c>
      <c r="C2790">
        <f t="shared" si="73"/>
        <v>1999</v>
      </c>
    </row>
    <row r="2791" spans="1:3">
      <c r="A2791" s="68">
        <v>36357</v>
      </c>
      <c r="B2791" s="32">
        <v>1823.29</v>
      </c>
      <c r="C2791">
        <f t="shared" si="73"/>
        <v>1999</v>
      </c>
    </row>
    <row r="2792" spans="1:3">
      <c r="A2792" s="68">
        <v>36358</v>
      </c>
      <c r="B2792" s="33">
        <v>1821.95</v>
      </c>
      <c r="C2792">
        <f t="shared" si="73"/>
        <v>1999</v>
      </c>
    </row>
    <row r="2793" spans="1:3">
      <c r="A2793" s="68">
        <v>36359</v>
      </c>
      <c r="B2793" s="32">
        <v>1821.95</v>
      </c>
      <c r="C2793">
        <f t="shared" si="73"/>
        <v>1999</v>
      </c>
    </row>
    <row r="2794" spans="1:3">
      <c r="A2794" s="68">
        <v>36360</v>
      </c>
      <c r="B2794" s="33">
        <v>1821.95</v>
      </c>
      <c r="C2794">
        <f t="shared" si="73"/>
        <v>1999</v>
      </c>
    </row>
    <row r="2795" spans="1:3">
      <c r="A2795" s="68">
        <v>36361</v>
      </c>
      <c r="B2795" s="32">
        <v>1819.04</v>
      </c>
      <c r="C2795">
        <f t="shared" si="73"/>
        <v>1999</v>
      </c>
    </row>
    <row r="2796" spans="1:3">
      <c r="A2796" s="68">
        <v>36362</v>
      </c>
      <c r="B2796" s="33">
        <v>1819.04</v>
      </c>
      <c r="C2796">
        <f t="shared" si="73"/>
        <v>1999</v>
      </c>
    </row>
    <row r="2797" spans="1:3">
      <c r="A2797" s="68">
        <v>36363</v>
      </c>
      <c r="B2797" s="32">
        <v>1809.56</v>
      </c>
      <c r="C2797">
        <f t="shared" si="73"/>
        <v>1999</v>
      </c>
    </row>
    <row r="2798" spans="1:3">
      <c r="A2798" s="68">
        <v>36364</v>
      </c>
      <c r="B2798" s="33">
        <v>1807.9</v>
      </c>
      <c r="C2798">
        <f t="shared" si="73"/>
        <v>1999</v>
      </c>
    </row>
    <row r="2799" spans="1:3">
      <c r="A2799" s="68">
        <v>36365</v>
      </c>
      <c r="B2799" s="32">
        <v>1831.19</v>
      </c>
      <c r="C2799">
        <f t="shared" si="73"/>
        <v>1999</v>
      </c>
    </row>
    <row r="2800" spans="1:3">
      <c r="A2800" s="68">
        <v>36366</v>
      </c>
      <c r="B2800" s="33">
        <v>1831.19</v>
      </c>
      <c r="C2800">
        <f t="shared" si="73"/>
        <v>1999</v>
      </c>
    </row>
    <row r="2801" spans="1:3">
      <c r="A2801" s="68">
        <v>36367</v>
      </c>
      <c r="B2801" s="32">
        <v>1831.19</v>
      </c>
      <c r="C2801">
        <f t="shared" si="73"/>
        <v>1999</v>
      </c>
    </row>
    <row r="2802" spans="1:3">
      <c r="A2802" s="68">
        <v>36368</v>
      </c>
      <c r="B2802" s="33">
        <v>1829.63</v>
      </c>
      <c r="C2802">
        <f t="shared" si="73"/>
        <v>1999</v>
      </c>
    </row>
    <row r="2803" spans="1:3">
      <c r="A2803" s="68">
        <v>36369</v>
      </c>
      <c r="B2803" s="32">
        <v>1829.06</v>
      </c>
      <c r="C2803">
        <f t="shared" si="73"/>
        <v>1999</v>
      </c>
    </row>
    <row r="2804" spans="1:3">
      <c r="A2804" s="68">
        <v>36370</v>
      </c>
      <c r="B2804" s="33">
        <v>1817.09</v>
      </c>
      <c r="C2804">
        <f t="shared" si="73"/>
        <v>1999</v>
      </c>
    </row>
    <row r="2805" spans="1:3">
      <c r="A2805" s="68">
        <v>36371</v>
      </c>
      <c r="B2805" s="32">
        <v>1806.52</v>
      </c>
      <c r="C2805">
        <f t="shared" si="73"/>
        <v>1999</v>
      </c>
    </row>
    <row r="2806" spans="1:3">
      <c r="A2806" s="68">
        <v>36372</v>
      </c>
      <c r="B2806" s="33">
        <v>1809.5</v>
      </c>
      <c r="C2806">
        <f t="shared" si="73"/>
        <v>1999</v>
      </c>
    </row>
    <row r="2807" spans="1:3">
      <c r="A2807" s="68">
        <v>36373</v>
      </c>
      <c r="B2807" s="32">
        <v>1809.5</v>
      </c>
      <c r="C2807">
        <f t="shared" si="73"/>
        <v>1999</v>
      </c>
    </row>
    <row r="2808" spans="1:3">
      <c r="A2808" s="68">
        <v>36374</v>
      </c>
      <c r="B2808" s="33">
        <v>1809.5</v>
      </c>
      <c r="C2808">
        <f t="shared" si="73"/>
        <v>1999</v>
      </c>
    </row>
    <row r="2809" spans="1:3">
      <c r="A2809" s="68">
        <v>36375</v>
      </c>
      <c r="B2809" s="32">
        <v>1813.6</v>
      </c>
      <c r="C2809">
        <f t="shared" si="73"/>
        <v>1999</v>
      </c>
    </row>
    <row r="2810" spans="1:3">
      <c r="A2810" s="68">
        <v>36376</v>
      </c>
      <c r="B2810" s="33">
        <v>1800.79</v>
      </c>
      <c r="C2810">
        <f t="shared" si="73"/>
        <v>1999</v>
      </c>
    </row>
    <row r="2811" spans="1:3">
      <c r="A2811" s="68">
        <v>36377</v>
      </c>
      <c r="B2811" s="32">
        <v>1822.84</v>
      </c>
      <c r="C2811">
        <f t="shared" si="73"/>
        <v>1999</v>
      </c>
    </row>
    <row r="2812" spans="1:3">
      <c r="A2812" s="68">
        <v>36378</v>
      </c>
      <c r="B2812" s="33">
        <v>1834.97</v>
      </c>
      <c r="C2812">
        <f t="shared" si="73"/>
        <v>1999</v>
      </c>
    </row>
    <row r="2813" spans="1:3">
      <c r="A2813" s="68">
        <v>36379</v>
      </c>
      <c r="B2813" s="32">
        <v>1849.12</v>
      </c>
      <c r="C2813">
        <f t="shared" si="73"/>
        <v>1999</v>
      </c>
    </row>
    <row r="2814" spans="1:3">
      <c r="A2814" s="68">
        <v>36380</v>
      </c>
      <c r="B2814" s="33">
        <v>1849.12</v>
      </c>
      <c r="C2814">
        <f t="shared" si="73"/>
        <v>1999</v>
      </c>
    </row>
    <row r="2815" spans="1:3">
      <c r="A2815" s="68">
        <v>36381</v>
      </c>
      <c r="B2815" s="32">
        <v>1849.12</v>
      </c>
      <c r="C2815">
        <f t="shared" si="73"/>
        <v>1999</v>
      </c>
    </row>
    <row r="2816" spans="1:3">
      <c r="A2816" s="68">
        <v>36382</v>
      </c>
      <c r="B2816" s="33">
        <v>1852.8</v>
      </c>
      <c r="C2816">
        <f t="shared" si="73"/>
        <v>1999</v>
      </c>
    </row>
    <row r="2817" spans="1:3">
      <c r="A2817" s="68">
        <v>36383</v>
      </c>
      <c r="B2817" s="32">
        <v>1855.03</v>
      </c>
      <c r="C2817">
        <f t="shared" si="73"/>
        <v>1999</v>
      </c>
    </row>
    <row r="2818" spans="1:3">
      <c r="A2818" s="68">
        <v>36384</v>
      </c>
      <c r="B2818" s="33">
        <v>1865.3</v>
      </c>
      <c r="C2818">
        <f t="shared" si="73"/>
        <v>1999</v>
      </c>
    </row>
    <row r="2819" spans="1:3">
      <c r="A2819" s="68">
        <v>36385</v>
      </c>
      <c r="B2819" s="32">
        <v>1893.25</v>
      </c>
      <c r="C2819">
        <f t="shared" si="73"/>
        <v>1999</v>
      </c>
    </row>
    <row r="2820" spans="1:3">
      <c r="A2820" s="68">
        <v>36386</v>
      </c>
      <c r="B2820" s="33">
        <v>1879.15</v>
      </c>
      <c r="C2820">
        <f t="shared" ref="C2820:C2883" si="74">YEAR(A2820)</f>
        <v>1999</v>
      </c>
    </row>
    <row r="2821" spans="1:3">
      <c r="A2821" s="68">
        <v>36387</v>
      </c>
      <c r="B2821" s="32">
        <v>1879.15</v>
      </c>
      <c r="C2821">
        <f t="shared" si="74"/>
        <v>1999</v>
      </c>
    </row>
    <row r="2822" spans="1:3">
      <c r="A2822" s="68">
        <v>36388</v>
      </c>
      <c r="B2822" s="33">
        <v>1879.15</v>
      </c>
      <c r="C2822">
        <f t="shared" si="74"/>
        <v>1999</v>
      </c>
    </row>
    <row r="2823" spans="1:3">
      <c r="A2823" s="68">
        <v>36389</v>
      </c>
      <c r="B2823" s="32">
        <v>1879.15</v>
      </c>
      <c r="C2823">
        <f t="shared" si="74"/>
        <v>1999</v>
      </c>
    </row>
    <row r="2824" spans="1:3">
      <c r="A2824" s="68">
        <v>36390</v>
      </c>
      <c r="B2824" s="33">
        <v>1880.39</v>
      </c>
      <c r="C2824">
        <f t="shared" si="74"/>
        <v>1999</v>
      </c>
    </row>
    <row r="2825" spans="1:3">
      <c r="A2825" s="68">
        <v>36391</v>
      </c>
      <c r="B2825" s="32">
        <v>1898.03</v>
      </c>
      <c r="C2825">
        <f t="shared" si="74"/>
        <v>1999</v>
      </c>
    </row>
    <row r="2826" spans="1:3">
      <c r="A2826" s="68">
        <v>36392</v>
      </c>
      <c r="B2826" s="33">
        <v>1892.5</v>
      </c>
      <c r="C2826">
        <f t="shared" si="74"/>
        <v>1999</v>
      </c>
    </row>
    <row r="2827" spans="1:3">
      <c r="A2827" s="68">
        <v>36393</v>
      </c>
      <c r="B2827" s="32">
        <v>1907.94</v>
      </c>
      <c r="C2827">
        <f t="shared" si="74"/>
        <v>1999</v>
      </c>
    </row>
    <row r="2828" spans="1:3">
      <c r="A2828" s="68">
        <v>36394</v>
      </c>
      <c r="B2828" s="33">
        <v>1907.94</v>
      </c>
      <c r="C2828">
        <f t="shared" si="74"/>
        <v>1999</v>
      </c>
    </row>
    <row r="2829" spans="1:3">
      <c r="A2829" s="68">
        <v>36395</v>
      </c>
      <c r="B2829" s="32">
        <v>1907.94</v>
      </c>
      <c r="C2829">
        <f t="shared" si="74"/>
        <v>1999</v>
      </c>
    </row>
    <row r="2830" spans="1:3">
      <c r="A2830" s="68">
        <v>36396</v>
      </c>
      <c r="B2830" s="33">
        <v>1912.27</v>
      </c>
      <c r="C2830">
        <f t="shared" si="74"/>
        <v>1999</v>
      </c>
    </row>
    <row r="2831" spans="1:3">
      <c r="A2831" s="68">
        <v>36397</v>
      </c>
      <c r="B2831" s="32">
        <v>1921.87</v>
      </c>
      <c r="C2831">
        <f t="shared" si="74"/>
        <v>1999</v>
      </c>
    </row>
    <row r="2832" spans="1:3">
      <c r="A2832" s="68">
        <v>36398</v>
      </c>
      <c r="B2832" s="33">
        <v>1921.16</v>
      </c>
      <c r="C2832">
        <f t="shared" si="74"/>
        <v>1999</v>
      </c>
    </row>
    <row r="2833" spans="1:3">
      <c r="A2833" s="68">
        <v>36399</v>
      </c>
      <c r="B2833" s="32">
        <v>1914.22</v>
      </c>
      <c r="C2833">
        <f t="shared" si="74"/>
        <v>1999</v>
      </c>
    </row>
    <row r="2834" spans="1:3">
      <c r="A2834" s="68">
        <v>36400</v>
      </c>
      <c r="B2834" s="33">
        <v>1936.12</v>
      </c>
      <c r="C2834">
        <f t="shared" si="74"/>
        <v>1999</v>
      </c>
    </row>
    <row r="2835" spans="1:3">
      <c r="A2835" s="68">
        <v>36401</v>
      </c>
      <c r="B2835" s="32">
        <v>1936.12</v>
      </c>
      <c r="C2835">
        <f t="shared" si="74"/>
        <v>1999</v>
      </c>
    </row>
    <row r="2836" spans="1:3">
      <c r="A2836" s="68">
        <v>36402</v>
      </c>
      <c r="B2836" s="33">
        <v>1936.12</v>
      </c>
      <c r="C2836">
        <f t="shared" si="74"/>
        <v>1999</v>
      </c>
    </row>
    <row r="2837" spans="1:3">
      <c r="A2837" s="68">
        <v>36403</v>
      </c>
      <c r="B2837" s="32">
        <v>1954.72</v>
      </c>
      <c r="C2837">
        <f t="shared" si="74"/>
        <v>1999</v>
      </c>
    </row>
    <row r="2838" spans="1:3">
      <c r="A2838" s="68">
        <v>36404</v>
      </c>
      <c r="B2838" s="33">
        <v>1941.25</v>
      </c>
      <c r="C2838">
        <f t="shared" si="74"/>
        <v>1999</v>
      </c>
    </row>
    <row r="2839" spans="1:3">
      <c r="A2839" s="68">
        <v>36405</v>
      </c>
      <c r="B2839" s="32">
        <v>1934.46</v>
      </c>
      <c r="C2839">
        <f t="shared" si="74"/>
        <v>1999</v>
      </c>
    </row>
    <row r="2840" spans="1:3">
      <c r="A2840" s="68">
        <v>36406</v>
      </c>
      <c r="B2840" s="33">
        <v>1943.23</v>
      </c>
      <c r="C2840">
        <f t="shared" si="74"/>
        <v>1999</v>
      </c>
    </row>
    <row r="2841" spans="1:3">
      <c r="A2841" s="68">
        <v>36407</v>
      </c>
      <c r="B2841" s="32">
        <v>1943.24</v>
      </c>
      <c r="C2841">
        <f t="shared" si="74"/>
        <v>1999</v>
      </c>
    </row>
    <row r="2842" spans="1:3">
      <c r="A2842" s="68">
        <v>36408</v>
      </c>
      <c r="B2842" s="33">
        <v>1943.24</v>
      </c>
      <c r="C2842">
        <f t="shared" si="74"/>
        <v>1999</v>
      </c>
    </row>
    <row r="2843" spans="1:3">
      <c r="A2843" s="68">
        <v>36409</v>
      </c>
      <c r="B2843" s="32">
        <v>1943.24</v>
      </c>
      <c r="C2843">
        <f t="shared" si="74"/>
        <v>1999</v>
      </c>
    </row>
    <row r="2844" spans="1:3">
      <c r="A2844" s="68">
        <v>36410</v>
      </c>
      <c r="B2844" s="33">
        <v>1947.31</v>
      </c>
      <c r="C2844">
        <f t="shared" si="74"/>
        <v>1999</v>
      </c>
    </row>
    <row r="2845" spans="1:3">
      <c r="A2845" s="68">
        <v>36411</v>
      </c>
      <c r="B2845" s="32">
        <v>1969.82</v>
      </c>
      <c r="C2845">
        <f t="shared" si="74"/>
        <v>1999</v>
      </c>
    </row>
    <row r="2846" spans="1:3">
      <c r="A2846" s="68">
        <v>36412</v>
      </c>
      <c r="B2846" s="33">
        <v>1972.35</v>
      </c>
      <c r="C2846">
        <f t="shared" si="74"/>
        <v>1999</v>
      </c>
    </row>
    <row r="2847" spans="1:3">
      <c r="A2847" s="68">
        <v>36413</v>
      </c>
      <c r="B2847" s="32">
        <v>1976.07</v>
      </c>
      <c r="C2847">
        <f t="shared" si="74"/>
        <v>1999</v>
      </c>
    </row>
    <row r="2848" spans="1:3">
      <c r="A2848" s="68">
        <v>36414</v>
      </c>
      <c r="B2848" s="33">
        <v>1981.41</v>
      </c>
      <c r="C2848">
        <f t="shared" si="74"/>
        <v>1999</v>
      </c>
    </row>
    <row r="2849" spans="1:3">
      <c r="A2849" s="68">
        <v>36415</v>
      </c>
      <c r="B2849" s="32">
        <v>1981.41</v>
      </c>
      <c r="C2849">
        <f t="shared" si="74"/>
        <v>1999</v>
      </c>
    </row>
    <row r="2850" spans="1:3">
      <c r="A2850" s="68">
        <v>36416</v>
      </c>
      <c r="B2850" s="33">
        <v>1981.41</v>
      </c>
      <c r="C2850">
        <f t="shared" si="74"/>
        <v>1999</v>
      </c>
    </row>
    <row r="2851" spans="1:3">
      <c r="A2851" s="68">
        <v>36417</v>
      </c>
      <c r="B2851" s="32">
        <v>1977.85</v>
      </c>
      <c r="C2851">
        <f t="shared" si="74"/>
        <v>1999</v>
      </c>
    </row>
    <row r="2852" spans="1:3">
      <c r="A2852" s="68">
        <v>36418</v>
      </c>
      <c r="B2852" s="33">
        <v>1970.54</v>
      </c>
      <c r="C2852">
        <f t="shared" si="74"/>
        <v>1999</v>
      </c>
    </row>
    <row r="2853" spans="1:3">
      <c r="A2853" s="68">
        <v>36419</v>
      </c>
      <c r="B2853" s="32">
        <v>1967.58</v>
      </c>
      <c r="C2853">
        <f t="shared" si="74"/>
        <v>1999</v>
      </c>
    </row>
    <row r="2854" spans="1:3">
      <c r="A2854" s="68">
        <v>36420</v>
      </c>
      <c r="B2854" s="33">
        <v>1977.52</v>
      </c>
      <c r="C2854">
        <f t="shared" si="74"/>
        <v>1999</v>
      </c>
    </row>
    <row r="2855" spans="1:3">
      <c r="A2855" s="68">
        <v>36421</v>
      </c>
      <c r="B2855" s="32">
        <v>1987.08</v>
      </c>
      <c r="C2855">
        <f t="shared" si="74"/>
        <v>1999</v>
      </c>
    </row>
    <row r="2856" spans="1:3">
      <c r="A2856" s="68">
        <v>36422</v>
      </c>
      <c r="B2856" s="33">
        <v>1987.08</v>
      </c>
      <c r="C2856">
        <f t="shared" si="74"/>
        <v>1999</v>
      </c>
    </row>
    <row r="2857" spans="1:3">
      <c r="A2857" s="68">
        <v>36423</v>
      </c>
      <c r="B2857" s="32">
        <v>1987.08</v>
      </c>
      <c r="C2857">
        <f t="shared" si="74"/>
        <v>1999</v>
      </c>
    </row>
    <row r="2858" spans="1:3">
      <c r="A2858" s="68">
        <v>36424</v>
      </c>
      <c r="B2858" s="33">
        <v>1981.64</v>
      </c>
      <c r="C2858">
        <f t="shared" si="74"/>
        <v>1999</v>
      </c>
    </row>
    <row r="2859" spans="1:3">
      <c r="A2859" s="68">
        <v>36425</v>
      </c>
      <c r="B2859" s="32">
        <v>1975.46</v>
      </c>
      <c r="C2859">
        <f t="shared" si="74"/>
        <v>1999</v>
      </c>
    </row>
    <row r="2860" spans="1:3">
      <c r="A2860" s="68">
        <v>36426</v>
      </c>
      <c r="B2860" s="33">
        <v>1992.36</v>
      </c>
      <c r="C2860">
        <f t="shared" si="74"/>
        <v>1999</v>
      </c>
    </row>
    <row r="2861" spans="1:3">
      <c r="A2861" s="68">
        <v>36427</v>
      </c>
      <c r="B2861" s="32">
        <v>1994.86</v>
      </c>
      <c r="C2861">
        <f t="shared" si="74"/>
        <v>1999</v>
      </c>
    </row>
    <row r="2862" spans="1:3">
      <c r="A2862" s="68">
        <v>36428</v>
      </c>
      <c r="B2862" s="33">
        <v>1995.64</v>
      </c>
      <c r="C2862">
        <f t="shared" si="74"/>
        <v>1999</v>
      </c>
    </row>
    <row r="2863" spans="1:3">
      <c r="A2863" s="68">
        <v>36429</v>
      </c>
      <c r="B2863" s="32">
        <v>1995.64</v>
      </c>
      <c r="C2863">
        <f t="shared" si="74"/>
        <v>1999</v>
      </c>
    </row>
    <row r="2864" spans="1:3">
      <c r="A2864" s="68">
        <v>36430</v>
      </c>
      <c r="B2864" s="33">
        <v>1995.64</v>
      </c>
      <c r="C2864">
        <f t="shared" si="74"/>
        <v>1999</v>
      </c>
    </row>
    <row r="2865" spans="1:3">
      <c r="A2865" s="68">
        <v>36431</v>
      </c>
      <c r="B2865" s="32">
        <v>2013.24</v>
      </c>
      <c r="C2865">
        <f t="shared" si="74"/>
        <v>1999</v>
      </c>
    </row>
    <row r="2866" spans="1:3">
      <c r="A2866" s="68">
        <v>36432</v>
      </c>
      <c r="B2866" s="33">
        <v>2003.82</v>
      </c>
      <c r="C2866">
        <f t="shared" si="74"/>
        <v>1999</v>
      </c>
    </row>
    <row r="2867" spans="1:3">
      <c r="A2867" s="68">
        <v>36433</v>
      </c>
      <c r="B2867" s="32">
        <v>2017.27</v>
      </c>
      <c r="C2867">
        <f t="shared" si="74"/>
        <v>1999</v>
      </c>
    </row>
    <row r="2868" spans="1:3">
      <c r="A2868" s="68">
        <v>36434</v>
      </c>
      <c r="B2868" s="33">
        <v>2015.15</v>
      </c>
      <c r="C2868">
        <f t="shared" si="74"/>
        <v>1999</v>
      </c>
    </row>
    <row r="2869" spans="1:3">
      <c r="A2869" s="68">
        <v>36435</v>
      </c>
      <c r="B2869" s="32">
        <v>2004.22</v>
      </c>
      <c r="C2869">
        <f t="shared" si="74"/>
        <v>1999</v>
      </c>
    </row>
    <row r="2870" spans="1:3">
      <c r="A2870" s="68">
        <v>36436</v>
      </c>
      <c r="B2870" s="33">
        <v>2004.22</v>
      </c>
      <c r="C2870">
        <f t="shared" si="74"/>
        <v>1999</v>
      </c>
    </row>
    <row r="2871" spans="1:3">
      <c r="A2871" s="68">
        <v>36437</v>
      </c>
      <c r="B2871" s="32">
        <v>2004.22</v>
      </c>
      <c r="C2871">
        <f t="shared" si="74"/>
        <v>1999</v>
      </c>
    </row>
    <row r="2872" spans="1:3">
      <c r="A2872" s="68">
        <v>36438</v>
      </c>
      <c r="B2872" s="33">
        <v>1992.65</v>
      </c>
      <c r="C2872">
        <f t="shared" si="74"/>
        <v>1999</v>
      </c>
    </row>
    <row r="2873" spans="1:3">
      <c r="A2873" s="68">
        <v>36439</v>
      </c>
      <c r="B2873" s="32">
        <v>2000.48</v>
      </c>
      <c r="C2873">
        <f t="shared" si="74"/>
        <v>1999</v>
      </c>
    </row>
    <row r="2874" spans="1:3">
      <c r="A2874" s="68">
        <v>36440</v>
      </c>
      <c r="B2874" s="33">
        <v>1995.71</v>
      </c>
      <c r="C2874">
        <f t="shared" si="74"/>
        <v>1999</v>
      </c>
    </row>
    <row r="2875" spans="1:3">
      <c r="A2875" s="68">
        <v>36441</v>
      </c>
      <c r="B2875" s="32">
        <v>1993.18</v>
      </c>
      <c r="C2875">
        <f t="shared" si="74"/>
        <v>1999</v>
      </c>
    </row>
    <row r="2876" spans="1:3">
      <c r="A2876" s="68">
        <v>36442</v>
      </c>
      <c r="B2876" s="33">
        <v>1992.74</v>
      </c>
      <c r="C2876">
        <f t="shared" si="74"/>
        <v>1999</v>
      </c>
    </row>
    <row r="2877" spans="1:3">
      <c r="A2877" s="68">
        <v>36443</v>
      </c>
      <c r="B2877" s="32">
        <v>1992.74</v>
      </c>
      <c r="C2877">
        <f t="shared" si="74"/>
        <v>1999</v>
      </c>
    </row>
    <row r="2878" spans="1:3">
      <c r="A2878" s="68">
        <v>36444</v>
      </c>
      <c r="B2878" s="33">
        <v>1992.74</v>
      </c>
      <c r="C2878">
        <f t="shared" si="74"/>
        <v>1999</v>
      </c>
    </row>
    <row r="2879" spans="1:3">
      <c r="A2879" s="68">
        <v>36445</v>
      </c>
      <c r="B2879" s="32">
        <v>1992.03</v>
      </c>
      <c r="C2879">
        <f t="shared" si="74"/>
        <v>1999</v>
      </c>
    </row>
    <row r="2880" spans="1:3">
      <c r="A2880" s="68">
        <v>36446</v>
      </c>
      <c r="B2880" s="33">
        <v>1988.7</v>
      </c>
      <c r="C2880">
        <f t="shared" si="74"/>
        <v>1999</v>
      </c>
    </row>
    <row r="2881" spans="1:3">
      <c r="A2881" s="68">
        <v>36447</v>
      </c>
      <c r="B2881" s="32">
        <v>1981.14</v>
      </c>
      <c r="C2881">
        <f t="shared" si="74"/>
        <v>1999</v>
      </c>
    </row>
    <row r="2882" spans="1:3">
      <c r="A2882" s="68">
        <v>36448</v>
      </c>
      <c r="B2882" s="33">
        <v>1975.8</v>
      </c>
      <c r="C2882">
        <f t="shared" si="74"/>
        <v>1999</v>
      </c>
    </row>
    <row r="2883" spans="1:3">
      <c r="A2883" s="68">
        <v>36449</v>
      </c>
      <c r="B2883" s="32">
        <v>1977.04</v>
      </c>
      <c r="C2883">
        <f t="shared" si="74"/>
        <v>1999</v>
      </c>
    </row>
    <row r="2884" spans="1:3">
      <c r="A2884" s="68">
        <v>36450</v>
      </c>
      <c r="B2884" s="33">
        <v>1977.04</v>
      </c>
      <c r="C2884">
        <f t="shared" ref="C2884:C2947" si="75">YEAR(A2884)</f>
        <v>1999</v>
      </c>
    </row>
    <row r="2885" spans="1:3">
      <c r="A2885" s="68">
        <v>36451</v>
      </c>
      <c r="B2885" s="32">
        <v>1977.04</v>
      </c>
      <c r="C2885">
        <f t="shared" si="75"/>
        <v>1999</v>
      </c>
    </row>
    <row r="2886" spans="1:3">
      <c r="A2886" s="68">
        <v>36452</v>
      </c>
      <c r="B2886" s="33">
        <v>1977.04</v>
      </c>
      <c r="C2886">
        <f t="shared" si="75"/>
        <v>1999</v>
      </c>
    </row>
    <row r="2887" spans="1:3">
      <c r="A2887" s="68">
        <v>36453</v>
      </c>
      <c r="B2887" s="32">
        <v>1965.92</v>
      </c>
      <c r="C2887">
        <f t="shared" si="75"/>
        <v>1999</v>
      </c>
    </row>
    <row r="2888" spans="1:3">
      <c r="A2888" s="68">
        <v>36454</v>
      </c>
      <c r="B2888" s="33">
        <v>1957.53</v>
      </c>
      <c r="C2888">
        <f t="shared" si="75"/>
        <v>1999</v>
      </c>
    </row>
    <row r="2889" spans="1:3">
      <c r="A2889" s="68">
        <v>36455</v>
      </c>
      <c r="B2889" s="32">
        <v>1946</v>
      </c>
      <c r="C2889">
        <f t="shared" si="75"/>
        <v>1999</v>
      </c>
    </row>
    <row r="2890" spans="1:3">
      <c r="A2890" s="68">
        <v>36456</v>
      </c>
      <c r="B2890" s="33">
        <v>1946.24</v>
      </c>
      <c r="C2890">
        <f t="shared" si="75"/>
        <v>1999</v>
      </c>
    </row>
    <row r="2891" spans="1:3">
      <c r="A2891" s="68">
        <v>36457</v>
      </c>
      <c r="B2891" s="32">
        <v>1946.24</v>
      </c>
      <c r="C2891">
        <f t="shared" si="75"/>
        <v>1999</v>
      </c>
    </row>
    <row r="2892" spans="1:3">
      <c r="A2892" s="68">
        <v>36458</v>
      </c>
      <c r="B2892" s="33">
        <v>1946.24</v>
      </c>
      <c r="C2892">
        <f t="shared" si="75"/>
        <v>1999</v>
      </c>
    </row>
    <row r="2893" spans="1:3">
      <c r="A2893" s="68">
        <v>36459</v>
      </c>
      <c r="B2893" s="32">
        <v>1949.33</v>
      </c>
      <c r="C2893">
        <f t="shared" si="75"/>
        <v>1999</v>
      </c>
    </row>
    <row r="2894" spans="1:3">
      <c r="A2894" s="68">
        <v>36460</v>
      </c>
      <c r="B2894" s="33">
        <v>1966.07</v>
      </c>
      <c r="C2894">
        <f t="shared" si="75"/>
        <v>1999</v>
      </c>
    </row>
    <row r="2895" spans="1:3">
      <c r="A2895" s="68">
        <v>36461</v>
      </c>
      <c r="B2895" s="32">
        <v>1968.9</v>
      </c>
      <c r="C2895">
        <f t="shared" si="75"/>
        <v>1999</v>
      </c>
    </row>
    <row r="2896" spans="1:3">
      <c r="A2896" s="68">
        <v>36462</v>
      </c>
      <c r="B2896" s="33">
        <v>1965.44</v>
      </c>
      <c r="C2896">
        <f t="shared" si="75"/>
        <v>1999</v>
      </c>
    </row>
    <row r="2897" spans="1:3">
      <c r="A2897" s="68">
        <v>36463</v>
      </c>
      <c r="B2897" s="32">
        <v>1971.59</v>
      </c>
      <c r="C2897">
        <f t="shared" si="75"/>
        <v>1999</v>
      </c>
    </row>
    <row r="2898" spans="1:3">
      <c r="A2898" s="68">
        <v>36464</v>
      </c>
      <c r="B2898" s="33">
        <v>1971.59</v>
      </c>
      <c r="C2898">
        <f t="shared" si="75"/>
        <v>1999</v>
      </c>
    </row>
    <row r="2899" spans="1:3">
      <c r="A2899" s="68">
        <v>36465</v>
      </c>
      <c r="B2899" s="32">
        <v>1971.59</v>
      </c>
      <c r="C2899">
        <f t="shared" si="75"/>
        <v>1999</v>
      </c>
    </row>
    <row r="2900" spans="1:3">
      <c r="A2900" s="68">
        <v>36466</v>
      </c>
      <c r="B2900" s="33">
        <v>1971.59</v>
      </c>
      <c r="C2900">
        <f t="shared" si="75"/>
        <v>1999</v>
      </c>
    </row>
    <row r="2901" spans="1:3">
      <c r="A2901" s="68">
        <v>36467</v>
      </c>
      <c r="B2901" s="32">
        <v>1966.5</v>
      </c>
      <c r="C2901">
        <f t="shared" si="75"/>
        <v>1999</v>
      </c>
    </row>
    <row r="2902" spans="1:3">
      <c r="A2902" s="68">
        <v>36468</v>
      </c>
      <c r="B2902" s="33">
        <v>1960.7</v>
      </c>
      <c r="C2902">
        <f t="shared" si="75"/>
        <v>1999</v>
      </c>
    </row>
    <row r="2903" spans="1:3">
      <c r="A2903" s="68">
        <v>36469</v>
      </c>
      <c r="B2903" s="32">
        <v>1962.16</v>
      </c>
      <c r="C2903">
        <f t="shared" si="75"/>
        <v>1999</v>
      </c>
    </row>
    <row r="2904" spans="1:3">
      <c r="A2904" s="68">
        <v>36470</v>
      </c>
      <c r="B2904" s="33">
        <v>1959.46</v>
      </c>
      <c r="C2904">
        <f t="shared" si="75"/>
        <v>1999</v>
      </c>
    </row>
    <row r="2905" spans="1:3">
      <c r="A2905" s="68">
        <v>36471</v>
      </c>
      <c r="B2905" s="32">
        <v>1959.46</v>
      </c>
      <c r="C2905">
        <f t="shared" si="75"/>
        <v>1999</v>
      </c>
    </row>
    <row r="2906" spans="1:3">
      <c r="A2906" s="68">
        <v>36472</v>
      </c>
      <c r="B2906" s="33">
        <v>1959.46</v>
      </c>
      <c r="C2906">
        <f t="shared" si="75"/>
        <v>1999</v>
      </c>
    </row>
    <row r="2907" spans="1:3">
      <c r="A2907" s="68">
        <v>36473</v>
      </c>
      <c r="B2907" s="32">
        <v>1954.56</v>
      </c>
      <c r="C2907">
        <f t="shared" si="75"/>
        <v>1999</v>
      </c>
    </row>
    <row r="2908" spans="1:3">
      <c r="A2908" s="68">
        <v>36474</v>
      </c>
      <c r="B2908" s="33">
        <v>1948.05</v>
      </c>
      <c r="C2908">
        <f t="shared" si="75"/>
        <v>1999</v>
      </c>
    </row>
    <row r="2909" spans="1:3">
      <c r="A2909" s="68">
        <v>36475</v>
      </c>
      <c r="B2909" s="32">
        <v>1951.11</v>
      </c>
      <c r="C2909">
        <f t="shared" si="75"/>
        <v>1999</v>
      </c>
    </row>
    <row r="2910" spans="1:3">
      <c r="A2910" s="68">
        <v>36476</v>
      </c>
      <c r="B2910" s="33">
        <v>1958.41</v>
      </c>
      <c r="C2910">
        <f t="shared" si="75"/>
        <v>1999</v>
      </c>
    </row>
    <row r="2911" spans="1:3">
      <c r="A2911" s="68">
        <v>36477</v>
      </c>
      <c r="B2911" s="32">
        <v>1961.8</v>
      </c>
      <c r="C2911">
        <f t="shared" si="75"/>
        <v>1999</v>
      </c>
    </row>
    <row r="2912" spans="1:3">
      <c r="A2912" s="68">
        <v>36478</v>
      </c>
      <c r="B2912" s="33">
        <v>1961.8</v>
      </c>
      <c r="C2912">
        <f t="shared" si="75"/>
        <v>1999</v>
      </c>
    </row>
    <row r="2913" spans="1:3">
      <c r="A2913" s="68">
        <v>36479</v>
      </c>
      <c r="B2913" s="32">
        <v>1961.8</v>
      </c>
      <c r="C2913">
        <f t="shared" si="75"/>
        <v>1999</v>
      </c>
    </row>
    <row r="2914" spans="1:3">
      <c r="A2914" s="68">
        <v>36480</v>
      </c>
      <c r="B2914" s="33">
        <v>1961.8</v>
      </c>
      <c r="C2914">
        <f t="shared" si="75"/>
        <v>1999</v>
      </c>
    </row>
    <row r="2915" spans="1:3">
      <c r="A2915" s="68">
        <v>36481</v>
      </c>
      <c r="B2915" s="32">
        <v>1961.7</v>
      </c>
      <c r="C2915">
        <f t="shared" si="75"/>
        <v>1999</v>
      </c>
    </row>
    <row r="2916" spans="1:3">
      <c r="A2916" s="68">
        <v>36482</v>
      </c>
      <c r="B2916" s="33">
        <v>1946.27</v>
      </c>
      <c r="C2916">
        <f t="shared" si="75"/>
        <v>1999</v>
      </c>
    </row>
    <row r="2917" spans="1:3">
      <c r="A2917" s="68">
        <v>36483</v>
      </c>
      <c r="B2917" s="32">
        <v>1927.47</v>
      </c>
      <c r="C2917">
        <f t="shared" si="75"/>
        <v>1999</v>
      </c>
    </row>
    <row r="2918" spans="1:3">
      <c r="A2918" s="68">
        <v>36484</v>
      </c>
      <c r="B2918" s="33">
        <v>1925.11</v>
      </c>
      <c r="C2918">
        <f t="shared" si="75"/>
        <v>1999</v>
      </c>
    </row>
    <row r="2919" spans="1:3">
      <c r="A2919" s="68">
        <v>36485</v>
      </c>
      <c r="B2919" s="32">
        <v>1925.11</v>
      </c>
      <c r="C2919">
        <f t="shared" si="75"/>
        <v>1999</v>
      </c>
    </row>
    <row r="2920" spans="1:3">
      <c r="A2920" s="68">
        <v>36486</v>
      </c>
      <c r="B2920" s="33">
        <v>1925.11</v>
      </c>
      <c r="C2920">
        <f t="shared" si="75"/>
        <v>1999</v>
      </c>
    </row>
    <row r="2921" spans="1:3">
      <c r="A2921" s="68">
        <v>36487</v>
      </c>
      <c r="B2921" s="32">
        <v>1935.48</v>
      </c>
      <c r="C2921">
        <f t="shared" si="75"/>
        <v>1999</v>
      </c>
    </row>
    <row r="2922" spans="1:3">
      <c r="A2922" s="68">
        <v>36488</v>
      </c>
      <c r="B2922" s="33">
        <v>1925</v>
      </c>
      <c r="C2922">
        <f t="shared" si="75"/>
        <v>1999</v>
      </c>
    </row>
    <row r="2923" spans="1:3">
      <c r="A2923" s="68">
        <v>36489</v>
      </c>
      <c r="B2923" s="32">
        <v>1912.86</v>
      </c>
      <c r="C2923">
        <f t="shared" si="75"/>
        <v>1999</v>
      </c>
    </row>
    <row r="2924" spans="1:3">
      <c r="A2924" s="68">
        <v>36490</v>
      </c>
      <c r="B2924" s="33">
        <v>1918.85</v>
      </c>
      <c r="C2924">
        <f t="shared" si="75"/>
        <v>1999</v>
      </c>
    </row>
    <row r="2925" spans="1:3">
      <c r="A2925" s="68">
        <v>36491</v>
      </c>
      <c r="B2925" s="32">
        <v>1921.93</v>
      </c>
      <c r="C2925">
        <f t="shared" si="75"/>
        <v>1999</v>
      </c>
    </row>
    <row r="2926" spans="1:3">
      <c r="A2926" s="68">
        <v>36492</v>
      </c>
      <c r="B2926" s="33">
        <v>1921.93</v>
      </c>
      <c r="C2926">
        <f t="shared" si="75"/>
        <v>1999</v>
      </c>
    </row>
    <row r="2927" spans="1:3">
      <c r="A2927" s="68">
        <v>36493</v>
      </c>
      <c r="B2927" s="32">
        <v>1921.93</v>
      </c>
      <c r="C2927">
        <f t="shared" si="75"/>
        <v>1999</v>
      </c>
    </row>
    <row r="2928" spans="1:3">
      <c r="A2928" s="68">
        <v>36494</v>
      </c>
      <c r="B2928" s="33">
        <v>1923.77</v>
      </c>
      <c r="C2928">
        <f t="shared" si="75"/>
        <v>1999</v>
      </c>
    </row>
    <row r="2929" spans="1:3">
      <c r="A2929" s="68">
        <v>36495</v>
      </c>
      <c r="B2929" s="32">
        <v>1922.47</v>
      </c>
      <c r="C2929">
        <f t="shared" si="75"/>
        <v>1999</v>
      </c>
    </row>
    <row r="2930" spans="1:3">
      <c r="A2930" s="68">
        <v>36496</v>
      </c>
      <c r="B2930" s="33">
        <v>1918.63</v>
      </c>
      <c r="C2930">
        <f t="shared" si="75"/>
        <v>1999</v>
      </c>
    </row>
    <row r="2931" spans="1:3">
      <c r="A2931" s="68">
        <v>36497</v>
      </c>
      <c r="B2931" s="32">
        <v>1911.35</v>
      </c>
      <c r="C2931">
        <f t="shared" si="75"/>
        <v>1999</v>
      </c>
    </row>
    <row r="2932" spans="1:3">
      <c r="A2932" s="68">
        <v>36498</v>
      </c>
      <c r="B2932" s="33">
        <v>1903.8</v>
      </c>
      <c r="C2932">
        <f t="shared" si="75"/>
        <v>1999</v>
      </c>
    </row>
    <row r="2933" spans="1:3">
      <c r="A2933" s="68">
        <v>36499</v>
      </c>
      <c r="B2933" s="32">
        <v>1903.8</v>
      </c>
      <c r="C2933">
        <f t="shared" si="75"/>
        <v>1999</v>
      </c>
    </row>
    <row r="2934" spans="1:3">
      <c r="A2934" s="68">
        <v>36500</v>
      </c>
      <c r="B2934" s="33">
        <v>1903.8</v>
      </c>
      <c r="C2934">
        <f t="shared" si="75"/>
        <v>1999</v>
      </c>
    </row>
    <row r="2935" spans="1:3">
      <c r="A2935" s="68">
        <v>36501</v>
      </c>
      <c r="B2935" s="32">
        <v>1886.46</v>
      </c>
      <c r="C2935">
        <f t="shared" si="75"/>
        <v>1999</v>
      </c>
    </row>
    <row r="2936" spans="1:3">
      <c r="A2936" s="68">
        <v>36502</v>
      </c>
      <c r="B2936" s="33">
        <v>1888.99</v>
      </c>
      <c r="C2936">
        <f t="shared" si="75"/>
        <v>1999</v>
      </c>
    </row>
    <row r="2937" spans="1:3">
      <c r="A2937" s="68">
        <v>36503</v>
      </c>
      <c r="B2937" s="32">
        <v>1888.99</v>
      </c>
      <c r="C2937">
        <f t="shared" si="75"/>
        <v>1999</v>
      </c>
    </row>
    <row r="2938" spans="1:3">
      <c r="A2938" s="68">
        <v>36504</v>
      </c>
      <c r="B2938" s="33">
        <v>1906.91</v>
      </c>
      <c r="C2938">
        <f t="shared" si="75"/>
        <v>1999</v>
      </c>
    </row>
    <row r="2939" spans="1:3">
      <c r="A2939" s="68">
        <v>36505</v>
      </c>
      <c r="B2939" s="32">
        <v>1900.22</v>
      </c>
      <c r="C2939">
        <f t="shared" si="75"/>
        <v>1999</v>
      </c>
    </row>
    <row r="2940" spans="1:3">
      <c r="A2940" s="68">
        <v>36506</v>
      </c>
      <c r="B2940" s="33">
        <v>1900.22</v>
      </c>
      <c r="C2940">
        <f t="shared" si="75"/>
        <v>1999</v>
      </c>
    </row>
    <row r="2941" spans="1:3">
      <c r="A2941" s="68">
        <v>36507</v>
      </c>
      <c r="B2941" s="32">
        <v>1900.22</v>
      </c>
      <c r="C2941">
        <f t="shared" si="75"/>
        <v>1999</v>
      </c>
    </row>
    <row r="2942" spans="1:3">
      <c r="A2942" s="68">
        <v>36508</v>
      </c>
      <c r="B2942" s="33">
        <v>1905.5</v>
      </c>
      <c r="C2942">
        <f t="shared" si="75"/>
        <v>1999</v>
      </c>
    </row>
    <row r="2943" spans="1:3">
      <c r="A2943" s="68">
        <v>36509</v>
      </c>
      <c r="B2943" s="32">
        <v>1891.67</v>
      </c>
      <c r="C2943">
        <f t="shared" si="75"/>
        <v>1999</v>
      </c>
    </row>
    <row r="2944" spans="1:3">
      <c r="A2944" s="68">
        <v>36510</v>
      </c>
      <c r="B2944" s="33">
        <v>1874.14</v>
      </c>
      <c r="C2944">
        <f t="shared" si="75"/>
        <v>1999</v>
      </c>
    </row>
    <row r="2945" spans="1:3">
      <c r="A2945" s="68">
        <v>36511</v>
      </c>
      <c r="B2945" s="32">
        <v>1879.55</v>
      </c>
      <c r="C2945">
        <f t="shared" si="75"/>
        <v>1999</v>
      </c>
    </row>
    <row r="2946" spans="1:3">
      <c r="A2946" s="68">
        <v>36512</v>
      </c>
      <c r="B2946" s="33">
        <v>1867.02</v>
      </c>
      <c r="C2946">
        <f t="shared" si="75"/>
        <v>1999</v>
      </c>
    </row>
    <row r="2947" spans="1:3">
      <c r="A2947" s="68">
        <v>36513</v>
      </c>
      <c r="B2947" s="32">
        <v>1867.02</v>
      </c>
      <c r="C2947">
        <f t="shared" si="75"/>
        <v>1999</v>
      </c>
    </row>
    <row r="2948" spans="1:3">
      <c r="A2948" s="68">
        <v>36514</v>
      </c>
      <c r="B2948" s="33">
        <v>1867.02</v>
      </c>
      <c r="C2948">
        <f t="shared" ref="C2948:C3011" si="76">YEAR(A2948)</f>
        <v>1999</v>
      </c>
    </row>
    <row r="2949" spans="1:3">
      <c r="A2949" s="68">
        <v>36515</v>
      </c>
      <c r="B2949" s="32">
        <v>1868.47</v>
      </c>
      <c r="C2949">
        <f t="shared" si="76"/>
        <v>1999</v>
      </c>
    </row>
    <row r="2950" spans="1:3">
      <c r="A2950" s="68">
        <v>36516</v>
      </c>
      <c r="B2950" s="33">
        <v>1884.64</v>
      </c>
      <c r="C2950">
        <f t="shared" si="76"/>
        <v>1999</v>
      </c>
    </row>
    <row r="2951" spans="1:3">
      <c r="A2951" s="68">
        <v>36517</v>
      </c>
      <c r="B2951" s="32">
        <v>1886.27</v>
      </c>
      <c r="C2951">
        <f t="shared" si="76"/>
        <v>1999</v>
      </c>
    </row>
    <row r="2952" spans="1:3">
      <c r="A2952" s="68">
        <v>36518</v>
      </c>
      <c r="B2952" s="33">
        <v>1874.77</v>
      </c>
      <c r="C2952">
        <f t="shared" si="76"/>
        <v>1999</v>
      </c>
    </row>
    <row r="2953" spans="1:3">
      <c r="A2953" s="68">
        <v>36519</v>
      </c>
      <c r="B2953" s="32">
        <v>1874.58</v>
      </c>
      <c r="C2953">
        <f t="shared" si="76"/>
        <v>1999</v>
      </c>
    </row>
    <row r="2954" spans="1:3">
      <c r="A2954" s="68">
        <v>36520</v>
      </c>
      <c r="B2954" s="33">
        <v>1874.58</v>
      </c>
      <c r="C2954">
        <f t="shared" si="76"/>
        <v>1999</v>
      </c>
    </row>
    <row r="2955" spans="1:3">
      <c r="A2955" s="68">
        <v>36521</v>
      </c>
      <c r="B2955" s="32">
        <v>1874.58</v>
      </c>
      <c r="C2955">
        <f t="shared" si="76"/>
        <v>1999</v>
      </c>
    </row>
    <row r="2956" spans="1:3">
      <c r="A2956" s="68">
        <v>36522</v>
      </c>
      <c r="B2956" s="33">
        <v>1870.65</v>
      </c>
      <c r="C2956">
        <f t="shared" si="76"/>
        <v>1999</v>
      </c>
    </row>
    <row r="2957" spans="1:3">
      <c r="A2957" s="68">
        <v>36523</v>
      </c>
      <c r="B2957" s="32">
        <v>1867.82</v>
      </c>
      <c r="C2957">
        <f t="shared" si="76"/>
        <v>1999</v>
      </c>
    </row>
    <row r="2958" spans="1:3">
      <c r="A2958" s="68">
        <v>36524</v>
      </c>
      <c r="B2958" s="33">
        <v>1873.77</v>
      </c>
      <c r="C2958">
        <f t="shared" si="76"/>
        <v>1999</v>
      </c>
    </row>
    <row r="2959" spans="1:3">
      <c r="A2959" s="68">
        <v>36525</v>
      </c>
      <c r="B2959" s="32">
        <v>1873.77</v>
      </c>
      <c r="C2959">
        <f t="shared" si="76"/>
        <v>1999</v>
      </c>
    </row>
    <row r="2960" spans="1:3">
      <c r="A2960" s="68">
        <v>36526</v>
      </c>
      <c r="B2960" s="33">
        <v>1873.77</v>
      </c>
      <c r="C2960">
        <f t="shared" si="76"/>
        <v>2000</v>
      </c>
    </row>
    <row r="2961" spans="1:3">
      <c r="A2961" s="68">
        <v>36527</v>
      </c>
      <c r="B2961" s="32">
        <v>1873.77</v>
      </c>
      <c r="C2961">
        <f t="shared" si="76"/>
        <v>2000</v>
      </c>
    </row>
    <row r="2962" spans="1:3">
      <c r="A2962" s="68">
        <v>36528</v>
      </c>
      <c r="B2962" s="33">
        <v>1873.77</v>
      </c>
      <c r="C2962">
        <f t="shared" si="76"/>
        <v>2000</v>
      </c>
    </row>
    <row r="2963" spans="1:3">
      <c r="A2963" s="68">
        <v>36529</v>
      </c>
      <c r="B2963" s="32">
        <v>1874.35</v>
      </c>
      <c r="C2963">
        <f t="shared" si="76"/>
        <v>2000</v>
      </c>
    </row>
    <row r="2964" spans="1:3">
      <c r="A2964" s="68">
        <v>36530</v>
      </c>
      <c r="B2964" s="33">
        <v>1895.97</v>
      </c>
      <c r="C2964">
        <f t="shared" si="76"/>
        <v>2000</v>
      </c>
    </row>
    <row r="2965" spans="1:3">
      <c r="A2965" s="68">
        <v>36531</v>
      </c>
      <c r="B2965" s="32">
        <v>1912.69</v>
      </c>
      <c r="C2965">
        <f t="shared" si="76"/>
        <v>2000</v>
      </c>
    </row>
    <row r="2966" spans="1:3">
      <c r="A2966" s="68">
        <v>36532</v>
      </c>
      <c r="B2966" s="33">
        <v>1911.33</v>
      </c>
      <c r="C2966">
        <f t="shared" si="76"/>
        <v>2000</v>
      </c>
    </row>
    <row r="2967" spans="1:3">
      <c r="A2967" s="68">
        <v>36533</v>
      </c>
      <c r="B2967" s="32">
        <v>1900.14</v>
      </c>
      <c r="C2967">
        <f t="shared" si="76"/>
        <v>2000</v>
      </c>
    </row>
    <row r="2968" spans="1:3">
      <c r="A2968" s="68">
        <v>36534</v>
      </c>
      <c r="B2968" s="33">
        <v>1900.14</v>
      </c>
      <c r="C2968">
        <f t="shared" si="76"/>
        <v>2000</v>
      </c>
    </row>
    <row r="2969" spans="1:3">
      <c r="A2969" s="68">
        <v>36535</v>
      </c>
      <c r="B2969" s="32">
        <v>1900.14</v>
      </c>
      <c r="C2969">
        <f t="shared" si="76"/>
        <v>2000</v>
      </c>
    </row>
    <row r="2970" spans="1:3">
      <c r="A2970" s="68">
        <v>36536</v>
      </c>
      <c r="B2970" s="33">
        <v>1900.14</v>
      </c>
      <c r="C2970">
        <f t="shared" si="76"/>
        <v>2000</v>
      </c>
    </row>
    <row r="2971" spans="1:3">
      <c r="A2971" s="68">
        <v>36537</v>
      </c>
      <c r="B2971" s="32">
        <v>1902.25</v>
      </c>
      <c r="C2971">
        <f t="shared" si="76"/>
        <v>2000</v>
      </c>
    </row>
    <row r="2972" spans="1:3">
      <c r="A2972" s="68">
        <v>36538</v>
      </c>
      <c r="B2972" s="33">
        <v>1904.54</v>
      </c>
      <c r="C2972">
        <f t="shared" si="76"/>
        <v>2000</v>
      </c>
    </row>
    <row r="2973" spans="1:3">
      <c r="A2973" s="68">
        <v>36539</v>
      </c>
      <c r="B2973" s="32">
        <v>1917.38</v>
      </c>
      <c r="C2973">
        <f t="shared" si="76"/>
        <v>2000</v>
      </c>
    </row>
    <row r="2974" spans="1:3">
      <c r="A2974" s="68">
        <v>36540</v>
      </c>
      <c r="B2974" s="33">
        <v>1920.83</v>
      </c>
      <c r="C2974">
        <f t="shared" si="76"/>
        <v>2000</v>
      </c>
    </row>
    <row r="2975" spans="1:3">
      <c r="A2975" s="68">
        <v>36541</v>
      </c>
      <c r="B2975" s="32">
        <v>1920.83</v>
      </c>
      <c r="C2975">
        <f t="shared" si="76"/>
        <v>2000</v>
      </c>
    </row>
    <row r="2976" spans="1:3">
      <c r="A2976" s="68">
        <v>36542</v>
      </c>
      <c r="B2976" s="33">
        <v>1920.83</v>
      </c>
      <c r="C2976">
        <f t="shared" si="76"/>
        <v>2000</v>
      </c>
    </row>
    <row r="2977" spans="1:3">
      <c r="A2977" s="68">
        <v>36543</v>
      </c>
      <c r="B2977" s="32">
        <v>1919.21</v>
      </c>
      <c r="C2977">
        <f t="shared" si="76"/>
        <v>2000</v>
      </c>
    </row>
    <row r="2978" spans="1:3">
      <c r="A2978" s="68">
        <v>36544</v>
      </c>
      <c r="B2978" s="33">
        <v>1928.51</v>
      </c>
      <c r="C2978">
        <f t="shared" si="76"/>
        <v>2000</v>
      </c>
    </row>
    <row r="2979" spans="1:3">
      <c r="A2979" s="68">
        <v>36545</v>
      </c>
      <c r="B2979" s="32">
        <v>1945.17</v>
      </c>
      <c r="C2979">
        <f t="shared" si="76"/>
        <v>2000</v>
      </c>
    </row>
    <row r="2980" spans="1:3">
      <c r="A2980" s="68">
        <v>36546</v>
      </c>
      <c r="B2980" s="33">
        <v>1938.84</v>
      </c>
      <c r="C2980">
        <f t="shared" si="76"/>
        <v>2000</v>
      </c>
    </row>
    <row r="2981" spans="1:3">
      <c r="A2981" s="68">
        <v>36547</v>
      </c>
      <c r="B2981" s="32">
        <v>1931.97</v>
      </c>
      <c r="C2981">
        <f t="shared" si="76"/>
        <v>2000</v>
      </c>
    </row>
    <row r="2982" spans="1:3">
      <c r="A2982" s="68">
        <v>36548</v>
      </c>
      <c r="B2982" s="33">
        <v>1931.97</v>
      </c>
      <c r="C2982">
        <f t="shared" si="76"/>
        <v>2000</v>
      </c>
    </row>
    <row r="2983" spans="1:3">
      <c r="A2983" s="68">
        <v>36549</v>
      </c>
      <c r="B2983" s="32">
        <v>1931.97</v>
      </c>
      <c r="C2983">
        <f t="shared" si="76"/>
        <v>2000</v>
      </c>
    </row>
    <row r="2984" spans="1:3">
      <c r="A2984" s="68">
        <v>36550</v>
      </c>
      <c r="B2984" s="33">
        <v>1943.88</v>
      </c>
      <c r="C2984">
        <f t="shared" si="76"/>
        <v>2000</v>
      </c>
    </row>
    <row r="2985" spans="1:3">
      <c r="A2985" s="68">
        <v>36551</v>
      </c>
      <c r="B2985" s="32">
        <v>1939.63</v>
      </c>
      <c r="C2985">
        <f t="shared" si="76"/>
        <v>2000</v>
      </c>
    </row>
    <row r="2986" spans="1:3">
      <c r="A2986" s="68">
        <v>36552</v>
      </c>
      <c r="B2986" s="33">
        <v>1958.17</v>
      </c>
      <c r="C2986">
        <f t="shared" si="76"/>
        <v>2000</v>
      </c>
    </row>
    <row r="2987" spans="1:3">
      <c r="A2987" s="68">
        <v>36553</v>
      </c>
      <c r="B2987" s="32">
        <v>1976.14</v>
      </c>
      <c r="C2987">
        <f t="shared" si="76"/>
        <v>2000</v>
      </c>
    </row>
    <row r="2988" spans="1:3">
      <c r="A2988" s="68">
        <v>36554</v>
      </c>
      <c r="B2988" s="33">
        <v>1976.72</v>
      </c>
      <c r="C2988">
        <f t="shared" si="76"/>
        <v>2000</v>
      </c>
    </row>
    <row r="2989" spans="1:3">
      <c r="A2989" s="68">
        <v>36555</v>
      </c>
      <c r="B2989" s="32">
        <v>1976.72</v>
      </c>
      <c r="C2989">
        <f t="shared" si="76"/>
        <v>2000</v>
      </c>
    </row>
    <row r="2990" spans="1:3">
      <c r="A2990" s="68">
        <v>36556</v>
      </c>
      <c r="B2990" s="33">
        <v>1976.72</v>
      </c>
      <c r="C2990">
        <f t="shared" si="76"/>
        <v>2000</v>
      </c>
    </row>
    <row r="2991" spans="1:3">
      <c r="A2991" s="68">
        <v>36557</v>
      </c>
      <c r="B2991" s="32">
        <v>1973.36</v>
      </c>
      <c r="C2991">
        <f t="shared" si="76"/>
        <v>2000</v>
      </c>
    </row>
    <row r="2992" spans="1:3">
      <c r="A2992" s="68">
        <v>36558</v>
      </c>
      <c r="B2992" s="33">
        <v>1970.61</v>
      </c>
      <c r="C2992">
        <f t="shared" si="76"/>
        <v>2000</v>
      </c>
    </row>
    <row r="2993" spans="1:3">
      <c r="A2993" s="68">
        <v>36559</v>
      </c>
      <c r="B2993" s="32">
        <v>1965.61</v>
      </c>
      <c r="C2993">
        <f t="shared" si="76"/>
        <v>2000</v>
      </c>
    </row>
    <row r="2994" spans="1:3">
      <c r="A2994" s="68">
        <v>36560</v>
      </c>
      <c r="B2994" s="33">
        <v>1947.55</v>
      </c>
      <c r="C2994">
        <f t="shared" si="76"/>
        <v>2000</v>
      </c>
    </row>
    <row r="2995" spans="1:3">
      <c r="A2995" s="68">
        <v>36561</v>
      </c>
      <c r="B2995" s="32">
        <v>1948.6</v>
      </c>
      <c r="C2995">
        <f t="shared" si="76"/>
        <v>2000</v>
      </c>
    </row>
    <row r="2996" spans="1:3">
      <c r="A2996" s="68">
        <v>36562</v>
      </c>
      <c r="B2996" s="33">
        <v>1948.6</v>
      </c>
      <c r="C2996">
        <f t="shared" si="76"/>
        <v>2000</v>
      </c>
    </row>
    <row r="2997" spans="1:3">
      <c r="A2997" s="68">
        <v>36563</v>
      </c>
      <c r="B2997" s="32">
        <v>1948.6</v>
      </c>
      <c r="C2997">
        <f t="shared" si="76"/>
        <v>2000</v>
      </c>
    </row>
    <row r="2998" spans="1:3">
      <c r="A2998" s="68">
        <v>36564</v>
      </c>
      <c r="B2998" s="33">
        <v>1950.59</v>
      </c>
      <c r="C2998">
        <f t="shared" si="76"/>
        <v>2000</v>
      </c>
    </row>
    <row r="2999" spans="1:3">
      <c r="A2999" s="68">
        <v>36565</v>
      </c>
      <c r="B2999" s="32">
        <v>1949.54</v>
      </c>
      <c r="C2999">
        <f t="shared" si="76"/>
        <v>2000</v>
      </c>
    </row>
    <row r="3000" spans="1:3">
      <c r="A3000" s="68">
        <v>36566</v>
      </c>
      <c r="B3000" s="33">
        <v>1946.51</v>
      </c>
      <c r="C3000">
        <f t="shared" si="76"/>
        <v>2000</v>
      </c>
    </row>
    <row r="3001" spans="1:3">
      <c r="A3001" s="68">
        <v>36567</v>
      </c>
      <c r="B3001" s="32">
        <v>1952.29</v>
      </c>
      <c r="C3001">
        <f t="shared" si="76"/>
        <v>2000</v>
      </c>
    </row>
    <row r="3002" spans="1:3">
      <c r="A3002" s="68">
        <v>36568</v>
      </c>
      <c r="B3002" s="33">
        <v>1948.16</v>
      </c>
      <c r="C3002">
        <f t="shared" si="76"/>
        <v>2000</v>
      </c>
    </row>
    <row r="3003" spans="1:3">
      <c r="A3003" s="68">
        <v>36569</v>
      </c>
      <c r="B3003" s="32">
        <v>1948.16</v>
      </c>
      <c r="C3003">
        <f t="shared" si="76"/>
        <v>2000</v>
      </c>
    </row>
    <row r="3004" spans="1:3">
      <c r="A3004" s="68">
        <v>36570</v>
      </c>
      <c r="B3004" s="33">
        <v>1948.16</v>
      </c>
      <c r="C3004">
        <f t="shared" si="76"/>
        <v>2000</v>
      </c>
    </row>
    <row r="3005" spans="1:3">
      <c r="A3005" s="68">
        <v>36571</v>
      </c>
      <c r="B3005" s="32">
        <v>1950.77</v>
      </c>
      <c r="C3005">
        <f t="shared" si="76"/>
        <v>2000</v>
      </c>
    </row>
    <row r="3006" spans="1:3">
      <c r="A3006" s="68">
        <v>36572</v>
      </c>
      <c r="B3006" s="33">
        <v>1949.61</v>
      </c>
      <c r="C3006">
        <f t="shared" si="76"/>
        <v>2000</v>
      </c>
    </row>
    <row r="3007" spans="1:3">
      <c r="A3007" s="68">
        <v>36573</v>
      </c>
      <c r="B3007" s="32">
        <v>1946.79</v>
      </c>
      <c r="C3007">
        <f t="shared" si="76"/>
        <v>2000</v>
      </c>
    </row>
    <row r="3008" spans="1:3">
      <c r="A3008" s="68">
        <v>36574</v>
      </c>
      <c r="B3008" s="33">
        <v>1945.31</v>
      </c>
      <c r="C3008">
        <f t="shared" si="76"/>
        <v>2000</v>
      </c>
    </row>
    <row r="3009" spans="1:3">
      <c r="A3009" s="68">
        <v>36575</v>
      </c>
      <c r="B3009" s="32">
        <v>1947.41</v>
      </c>
      <c r="C3009">
        <f t="shared" si="76"/>
        <v>2000</v>
      </c>
    </row>
    <row r="3010" spans="1:3">
      <c r="A3010" s="68">
        <v>36576</v>
      </c>
      <c r="B3010" s="33">
        <v>1947.41</v>
      </c>
      <c r="C3010">
        <f t="shared" si="76"/>
        <v>2000</v>
      </c>
    </row>
    <row r="3011" spans="1:3">
      <c r="A3011" s="68">
        <v>36577</v>
      </c>
      <c r="B3011" s="32">
        <v>1947.41</v>
      </c>
      <c r="C3011">
        <f t="shared" si="76"/>
        <v>2000</v>
      </c>
    </row>
    <row r="3012" spans="1:3">
      <c r="A3012" s="68">
        <v>36578</v>
      </c>
      <c r="B3012" s="33">
        <v>1943.83</v>
      </c>
      <c r="C3012">
        <f t="shared" ref="C3012:C3075" si="77">YEAR(A3012)</f>
        <v>2000</v>
      </c>
    </row>
    <row r="3013" spans="1:3">
      <c r="A3013" s="68">
        <v>36579</v>
      </c>
      <c r="B3013" s="32">
        <v>1941.54</v>
      </c>
      <c r="C3013">
        <f t="shared" si="77"/>
        <v>2000</v>
      </c>
    </row>
    <row r="3014" spans="1:3">
      <c r="A3014" s="68">
        <v>36580</v>
      </c>
      <c r="B3014" s="33">
        <v>1944.18</v>
      </c>
      <c r="C3014">
        <f t="shared" si="77"/>
        <v>2000</v>
      </c>
    </row>
    <row r="3015" spans="1:3">
      <c r="A3015" s="68">
        <v>36581</v>
      </c>
      <c r="B3015" s="32">
        <v>1947.72</v>
      </c>
      <c r="C3015">
        <f t="shared" si="77"/>
        <v>2000</v>
      </c>
    </row>
    <row r="3016" spans="1:3">
      <c r="A3016" s="68">
        <v>36582</v>
      </c>
      <c r="B3016" s="33">
        <v>1947.28</v>
      </c>
      <c r="C3016">
        <f t="shared" si="77"/>
        <v>2000</v>
      </c>
    </row>
    <row r="3017" spans="1:3">
      <c r="A3017" s="68">
        <v>36583</v>
      </c>
      <c r="B3017" s="32">
        <v>1947.28</v>
      </c>
      <c r="C3017">
        <f t="shared" si="77"/>
        <v>2000</v>
      </c>
    </row>
    <row r="3018" spans="1:3">
      <c r="A3018" s="68">
        <v>36584</v>
      </c>
      <c r="B3018" s="33">
        <v>1947.28</v>
      </c>
      <c r="C3018">
        <f t="shared" si="77"/>
        <v>2000</v>
      </c>
    </row>
    <row r="3019" spans="1:3">
      <c r="A3019" s="68">
        <v>36585</v>
      </c>
      <c r="B3019" s="32">
        <v>1946.17</v>
      </c>
      <c r="C3019">
        <f t="shared" si="77"/>
        <v>2000</v>
      </c>
    </row>
    <row r="3020" spans="1:3">
      <c r="A3020" s="68">
        <v>36586</v>
      </c>
      <c r="B3020" s="33">
        <v>1948.05</v>
      </c>
      <c r="C3020">
        <f t="shared" si="77"/>
        <v>2000</v>
      </c>
    </row>
    <row r="3021" spans="1:3">
      <c r="A3021" s="68">
        <v>36587</v>
      </c>
      <c r="B3021" s="32">
        <v>1950.88</v>
      </c>
      <c r="C3021">
        <f t="shared" si="77"/>
        <v>2000</v>
      </c>
    </row>
    <row r="3022" spans="1:3">
      <c r="A3022" s="68">
        <v>36588</v>
      </c>
      <c r="B3022" s="33">
        <v>1956.8</v>
      </c>
      <c r="C3022">
        <f t="shared" si="77"/>
        <v>2000</v>
      </c>
    </row>
    <row r="3023" spans="1:3">
      <c r="A3023" s="68">
        <v>36589</v>
      </c>
      <c r="B3023" s="32">
        <v>1961.16</v>
      </c>
      <c r="C3023">
        <f t="shared" si="77"/>
        <v>2000</v>
      </c>
    </row>
    <row r="3024" spans="1:3">
      <c r="A3024" s="68">
        <v>36590</v>
      </c>
      <c r="B3024" s="33">
        <v>1961.16</v>
      </c>
      <c r="C3024">
        <f t="shared" si="77"/>
        <v>2000</v>
      </c>
    </row>
    <row r="3025" spans="1:3">
      <c r="A3025" s="68">
        <v>36591</v>
      </c>
      <c r="B3025" s="32">
        <v>1961.16</v>
      </c>
      <c r="C3025">
        <f t="shared" si="77"/>
        <v>2000</v>
      </c>
    </row>
    <row r="3026" spans="1:3">
      <c r="A3026" s="68">
        <v>36592</v>
      </c>
      <c r="B3026" s="33">
        <v>1965.63</v>
      </c>
      <c r="C3026">
        <f t="shared" si="77"/>
        <v>2000</v>
      </c>
    </row>
    <row r="3027" spans="1:3">
      <c r="A3027" s="68">
        <v>36593</v>
      </c>
      <c r="B3027" s="32">
        <v>1964.26</v>
      </c>
      <c r="C3027">
        <f t="shared" si="77"/>
        <v>2000</v>
      </c>
    </row>
    <row r="3028" spans="1:3">
      <c r="A3028" s="68">
        <v>36594</v>
      </c>
      <c r="B3028" s="33">
        <v>1960.47</v>
      </c>
      <c r="C3028">
        <f t="shared" si="77"/>
        <v>2000</v>
      </c>
    </row>
    <row r="3029" spans="1:3">
      <c r="A3029" s="68">
        <v>36595</v>
      </c>
      <c r="B3029" s="32">
        <v>1959.77</v>
      </c>
      <c r="C3029">
        <f t="shared" si="77"/>
        <v>2000</v>
      </c>
    </row>
    <row r="3030" spans="1:3">
      <c r="A3030" s="68">
        <v>36596</v>
      </c>
      <c r="B3030" s="33">
        <v>1958.48</v>
      </c>
      <c r="C3030">
        <f t="shared" si="77"/>
        <v>2000</v>
      </c>
    </row>
    <row r="3031" spans="1:3">
      <c r="A3031" s="68">
        <v>36597</v>
      </c>
      <c r="B3031" s="32">
        <v>1958.48</v>
      </c>
      <c r="C3031">
        <f t="shared" si="77"/>
        <v>2000</v>
      </c>
    </row>
    <row r="3032" spans="1:3">
      <c r="A3032" s="68">
        <v>36598</v>
      </c>
      <c r="B3032" s="33">
        <v>1958.48</v>
      </c>
      <c r="C3032">
        <f t="shared" si="77"/>
        <v>2000</v>
      </c>
    </row>
    <row r="3033" spans="1:3">
      <c r="A3033" s="68">
        <v>36599</v>
      </c>
      <c r="B3033" s="32">
        <v>1957.5</v>
      </c>
      <c r="C3033">
        <f t="shared" si="77"/>
        <v>2000</v>
      </c>
    </row>
    <row r="3034" spans="1:3">
      <c r="A3034" s="68">
        <v>36600</v>
      </c>
      <c r="B3034" s="33">
        <v>1955.75</v>
      </c>
      <c r="C3034">
        <f t="shared" si="77"/>
        <v>2000</v>
      </c>
    </row>
    <row r="3035" spans="1:3">
      <c r="A3035" s="68">
        <v>36601</v>
      </c>
      <c r="B3035" s="32">
        <v>1954.26</v>
      </c>
      <c r="C3035">
        <f t="shared" si="77"/>
        <v>2000</v>
      </c>
    </row>
    <row r="3036" spans="1:3">
      <c r="A3036" s="68">
        <v>36602</v>
      </c>
      <c r="B3036" s="33">
        <v>1950.01</v>
      </c>
      <c r="C3036">
        <f t="shared" si="77"/>
        <v>2000</v>
      </c>
    </row>
    <row r="3037" spans="1:3">
      <c r="A3037" s="68">
        <v>36603</v>
      </c>
      <c r="B3037" s="32">
        <v>1952.98</v>
      </c>
      <c r="C3037">
        <f t="shared" si="77"/>
        <v>2000</v>
      </c>
    </row>
    <row r="3038" spans="1:3">
      <c r="A3038" s="68">
        <v>36604</v>
      </c>
      <c r="B3038" s="33">
        <v>1952.98</v>
      </c>
      <c r="C3038">
        <f t="shared" si="77"/>
        <v>2000</v>
      </c>
    </row>
    <row r="3039" spans="1:3">
      <c r="A3039" s="68">
        <v>36605</v>
      </c>
      <c r="B3039" s="32">
        <v>1952.98</v>
      </c>
      <c r="C3039">
        <f t="shared" si="77"/>
        <v>2000</v>
      </c>
    </row>
    <row r="3040" spans="1:3">
      <c r="A3040" s="68">
        <v>36606</v>
      </c>
      <c r="B3040" s="33">
        <v>1952.98</v>
      </c>
      <c r="C3040">
        <f t="shared" si="77"/>
        <v>2000</v>
      </c>
    </row>
    <row r="3041" spans="1:3">
      <c r="A3041" s="68">
        <v>36607</v>
      </c>
      <c r="B3041" s="32">
        <v>1956.98</v>
      </c>
      <c r="C3041">
        <f t="shared" si="77"/>
        <v>2000</v>
      </c>
    </row>
    <row r="3042" spans="1:3">
      <c r="A3042" s="68">
        <v>36608</v>
      </c>
      <c r="B3042" s="33">
        <v>1959.84</v>
      </c>
      <c r="C3042">
        <f t="shared" si="77"/>
        <v>2000</v>
      </c>
    </row>
    <row r="3043" spans="1:3">
      <c r="A3043" s="68">
        <v>36609</v>
      </c>
      <c r="B3043" s="32">
        <v>1954.57</v>
      </c>
      <c r="C3043">
        <f t="shared" si="77"/>
        <v>2000</v>
      </c>
    </row>
    <row r="3044" spans="1:3">
      <c r="A3044" s="68">
        <v>36610</v>
      </c>
      <c r="B3044" s="33">
        <v>1954.83</v>
      </c>
      <c r="C3044">
        <f t="shared" si="77"/>
        <v>2000</v>
      </c>
    </row>
    <row r="3045" spans="1:3">
      <c r="A3045" s="68">
        <v>36611</v>
      </c>
      <c r="B3045" s="32">
        <v>1954.83</v>
      </c>
      <c r="C3045">
        <f t="shared" si="77"/>
        <v>2000</v>
      </c>
    </row>
    <row r="3046" spans="1:3">
      <c r="A3046" s="68">
        <v>36612</v>
      </c>
      <c r="B3046" s="33">
        <v>1954.83</v>
      </c>
      <c r="C3046">
        <f t="shared" si="77"/>
        <v>2000</v>
      </c>
    </row>
    <row r="3047" spans="1:3">
      <c r="A3047" s="68">
        <v>36613</v>
      </c>
      <c r="B3047" s="32">
        <v>1958.93</v>
      </c>
      <c r="C3047">
        <f t="shared" si="77"/>
        <v>2000</v>
      </c>
    </row>
    <row r="3048" spans="1:3">
      <c r="A3048" s="68">
        <v>36614</v>
      </c>
      <c r="B3048" s="33">
        <v>1955.14</v>
      </c>
      <c r="C3048">
        <f t="shared" si="77"/>
        <v>2000</v>
      </c>
    </row>
    <row r="3049" spans="1:3">
      <c r="A3049" s="68">
        <v>36615</v>
      </c>
      <c r="B3049" s="32">
        <v>1949.75</v>
      </c>
      <c r="C3049">
        <f t="shared" si="77"/>
        <v>2000</v>
      </c>
    </row>
    <row r="3050" spans="1:3">
      <c r="A3050" s="68">
        <v>36616</v>
      </c>
      <c r="B3050" s="33">
        <v>1951.56</v>
      </c>
      <c r="C3050">
        <f t="shared" si="77"/>
        <v>2000</v>
      </c>
    </row>
    <row r="3051" spans="1:3">
      <c r="A3051" s="68">
        <v>36617</v>
      </c>
      <c r="B3051" s="32">
        <v>1958.12</v>
      </c>
      <c r="C3051">
        <f t="shared" si="77"/>
        <v>2000</v>
      </c>
    </row>
    <row r="3052" spans="1:3">
      <c r="A3052" s="68">
        <v>36618</v>
      </c>
      <c r="B3052" s="33">
        <v>1958.12</v>
      </c>
      <c r="C3052">
        <f t="shared" si="77"/>
        <v>2000</v>
      </c>
    </row>
    <row r="3053" spans="1:3">
      <c r="A3053" s="68">
        <v>36619</v>
      </c>
      <c r="B3053" s="32">
        <v>1958.12</v>
      </c>
      <c r="C3053">
        <f t="shared" si="77"/>
        <v>2000</v>
      </c>
    </row>
    <row r="3054" spans="1:3">
      <c r="A3054" s="68">
        <v>36620</v>
      </c>
      <c r="B3054" s="33">
        <v>1963.22</v>
      </c>
      <c r="C3054">
        <f t="shared" si="77"/>
        <v>2000</v>
      </c>
    </row>
    <row r="3055" spans="1:3">
      <c r="A3055" s="68">
        <v>36621</v>
      </c>
      <c r="B3055" s="32">
        <v>1964.1</v>
      </c>
      <c r="C3055">
        <f t="shared" si="77"/>
        <v>2000</v>
      </c>
    </row>
    <row r="3056" spans="1:3">
      <c r="A3056" s="68">
        <v>36622</v>
      </c>
      <c r="B3056" s="33">
        <v>1968.92</v>
      </c>
      <c r="C3056">
        <f t="shared" si="77"/>
        <v>2000</v>
      </c>
    </row>
    <row r="3057" spans="1:3">
      <c r="A3057" s="68">
        <v>36623</v>
      </c>
      <c r="B3057" s="32">
        <v>1986.96</v>
      </c>
      <c r="C3057">
        <f t="shared" si="77"/>
        <v>2000</v>
      </c>
    </row>
    <row r="3058" spans="1:3">
      <c r="A3058" s="68">
        <v>36624</v>
      </c>
      <c r="B3058" s="33">
        <v>1996.24</v>
      </c>
      <c r="C3058">
        <f t="shared" si="77"/>
        <v>2000</v>
      </c>
    </row>
    <row r="3059" spans="1:3">
      <c r="A3059" s="68">
        <v>36625</v>
      </c>
      <c r="B3059" s="32">
        <v>1996.24</v>
      </c>
      <c r="C3059">
        <f t="shared" si="77"/>
        <v>2000</v>
      </c>
    </row>
    <row r="3060" spans="1:3">
      <c r="A3060" s="68">
        <v>36626</v>
      </c>
      <c r="B3060" s="33">
        <v>1996.24</v>
      </c>
      <c r="C3060">
        <f t="shared" si="77"/>
        <v>2000</v>
      </c>
    </row>
    <row r="3061" spans="1:3">
      <c r="A3061" s="68">
        <v>36627</v>
      </c>
      <c r="B3061" s="32">
        <v>1998.25</v>
      </c>
      <c r="C3061">
        <f t="shared" si="77"/>
        <v>2000</v>
      </c>
    </row>
    <row r="3062" spans="1:3">
      <c r="A3062" s="68">
        <v>36628</v>
      </c>
      <c r="B3062" s="33">
        <v>1986.75</v>
      </c>
      <c r="C3062">
        <f t="shared" si="77"/>
        <v>2000</v>
      </c>
    </row>
    <row r="3063" spans="1:3">
      <c r="A3063" s="68">
        <v>36629</v>
      </c>
      <c r="B3063" s="32">
        <v>1987.38</v>
      </c>
      <c r="C3063">
        <f t="shared" si="77"/>
        <v>2000</v>
      </c>
    </row>
    <row r="3064" spans="1:3">
      <c r="A3064" s="68">
        <v>36630</v>
      </c>
      <c r="B3064" s="33">
        <v>1987.36</v>
      </c>
      <c r="C3064">
        <f t="shared" si="77"/>
        <v>2000</v>
      </c>
    </row>
    <row r="3065" spans="1:3">
      <c r="A3065" s="68">
        <v>36631</v>
      </c>
      <c r="B3065" s="32">
        <v>1987.39</v>
      </c>
      <c r="C3065">
        <f t="shared" si="77"/>
        <v>2000</v>
      </c>
    </row>
    <row r="3066" spans="1:3">
      <c r="A3066" s="68">
        <v>36632</v>
      </c>
      <c r="B3066" s="33">
        <v>1987.39</v>
      </c>
      <c r="C3066">
        <f t="shared" si="77"/>
        <v>2000</v>
      </c>
    </row>
    <row r="3067" spans="1:3">
      <c r="A3067" s="68">
        <v>36633</v>
      </c>
      <c r="B3067" s="32">
        <v>1987.39</v>
      </c>
      <c r="C3067">
        <f t="shared" si="77"/>
        <v>2000</v>
      </c>
    </row>
    <row r="3068" spans="1:3">
      <c r="A3068" s="68">
        <v>36634</v>
      </c>
      <c r="B3068" s="33">
        <v>1996.29</v>
      </c>
      <c r="C3068">
        <f t="shared" si="77"/>
        <v>2000</v>
      </c>
    </row>
    <row r="3069" spans="1:3">
      <c r="A3069" s="68">
        <v>36635</v>
      </c>
      <c r="B3069" s="32">
        <v>2003.02</v>
      </c>
      <c r="C3069">
        <f t="shared" si="77"/>
        <v>2000</v>
      </c>
    </row>
    <row r="3070" spans="1:3">
      <c r="A3070" s="68">
        <v>36636</v>
      </c>
      <c r="B3070" s="33">
        <v>1996.07</v>
      </c>
      <c r="C3070">
        <f t="shared" si="77"/>
        <v>2000</v>
      </c>
    </row>
    <row r="3071" spans="1:3">
      <c r="A3071" s="68">
        <v>36637</v>
      </c>
      <c r="B3071" s="32">
        <v>1996.07</v>
      </c>
      <c r="C3071">
        <f t="shared" si="77"/>
        <v>2000</v>
      </c>
    </row>
    <row r="3072" spans="1:3">
      <c r="A3072" s="68">
        <v>36638</v>
      </c>
      <c r="B3072" s="33">
        <v>1996.07</v>
      </c>
      <c r="C3072">
        <f t="shared" si="77"/>
        <v>2000</v>
      </c>
    </row>
    <row r="3073" spans="1:3">
      <c r="A3073" s="68">
        <v>36639</v>
      </c>
      <c r="B3073" s="32">
        <v>1996.07</v>
      </c>
      <c r="C3073">
        <f t="shared" si="77"/>
        <v>2000</v>
      </c>
    </row>
    <row r="3074" spans="1:3">
      <c r="A3074" s="68">
        <v>36640</v>
      </c>
      <c r="B3074" s="33">
        <v>1996.07</v>
      </c>
      <c r="C3074">
        <f t="shared" si="77"/>
        <v>2000</v>
      </c>
    </row>
    <row r="3075" spans="1:3">
      <c r="A3075" s="68">
        <v>36641</v>
      </c>
      <c r="B3075" s="32">
        <v>1991.17</v>
      </c>
      <c r="C3075">
        <f t="shared" si="77"/>
        <v>2000</v>
      </c>
    </row>
    <row r="3076" spans="1:3">
      <c r="A3076" s="68">
        <v>36642</v>
      </c>
      <c r="B3076" s="33">
        <v>1988.65</v>
      </c>
      <c r="C3076">
        <f t="shared" ref="C3076:C3139" si="78">YEAR(A3076)</f>
        <v>2000</v>
      </c>
    </row>
    <row r="3077" spans="1:3">
      <c r="A3077" s="68">
        <v>36643</v>
      </c>
      <c r="B3077" s="32">
        <v>1998.95</v>
      </c>
      <c r="C3077">
        <f t="shared" si="78"/>
        <v>2000</v>
      </c>
    </row>
    <row r="3078" spans="1:3">
      <c r="A3078" s="68">
        <v>36644</v>
      </c>
      <c r="B3078" s="33">
        <v>2002.95</v>
      </c>
      <c r="C3078">
        <f t="shared" si="78"/>
        <v>2000</v>
      </c>
    </row>
    <row r="3079" spans="1:3">
      <c r="A3079" s="68">
        <v>36645</v>
      </c>
      <c r="B3079" s="32">
        <v>2004.47</v>
      </c>
      <c r="C3079">
        <f t="shared" si="78"/>
        <v>2000</v>
      </c>
    </row>
    <row r="3080" spans="1:3">
      <c r="A3080" s="68">
        <v>36646</v>
      </c>
      <c r="B3080" s="33">
        <v>2004.47</v>
      </c>
      <c r="C3080">
        <f t="shared" si="78"/>
        <v>2000</v>
      </c>
    </row>
    <row r="3081" spans="1:3">
      <c r="A3081" s="68">
        <v>36647</v>
      </c>
      <c r="B3081" s="32">
        <v>2004.47</v>
      </c>
      <c r="C3081">
        <f t="shared" si="78"/>
        <v>2000</v>
      </c>
    </row>
    <row r="3082" spans="1:3">
      <c r="A3082" s="68">
        <v>36648</v>
      </c>
      <c r="B3082" s="33">
        <v>2004.47</v>
      </c>
      <c r="C3082">
        <f t="shared" si="78"/>
        <v>2000</v>
      </c>
    </row>
    <row r="3083" spans="1:3">
      <c r="A3083" s="68">
        <v>36649</v>
      </c>
      <c r="B3083" s="32">
        <v>2001.62</v>
      </c>
      <c r="C3083">
        <f t="shared" si="78"/>
        <v>2000</v>
      </c>
    </row>
    <row r="3084" spans="1:3">
      <c r="A3084" s="68">
        <v>36650</v>
      </c>
      <c r="B3084" s="33">
        <v>2015.92</v>
      </c>
      <c r="C3084">
        <f t="shared" si="78"/>
        <v>2000</v>
      </c>
    </row>
    <row r="3085" spans="1:3">
      <c r="A3085" s="68">
        <v>36651</v>
      </c>
      <c r="B3085" s="32">
        <v>2027.26</v>
      </c>
      <c r="C3085">
        <f t="shared" si="78"/>
        <v>2000</v>
      </c>
    </row>
    <row r="3086" spans="1:3">
      <c r="A3086" s="68">
        <v>36652</v>
      </c>
      <c r="B3086" s="33">
        <v>2033.17</v>
      </c>
      <c r="C3086">
        <f t="shared" si="78"/>
        <v>2000</v>
      </c>
    </row>
    <row r="3087" spans="1:3">
      <c r="A3087" s="68">
        <v>36653</v>
      </c>
      <c r="B3087" s="32">
        <v>2033.17</v>
      </c>
      <c r="C3087">
        <f t="shared" si="78"/>
        <v>2000</v>
      </c>
    </row>
    <row r="3088" spans="1:3">
      <c r="A3088" s="68">
        <v>36654</v>
      </c>
      <c r="B3088" s="33">
        <v>2033.17</v>
      </c>
      <c r="C3088">
        <f t="shared" si="78"/>
        <v>2000</v>
      </c>
    </row>
    <row r="3089" spans="1:3">
      <c r="A3089" s="68">
        <v>36655</v>
      </c>
      <c r="B3089" s="32">
        <v>2044.59</v>
      </c>
      <c r="C3089">
        <f t="shared" si="78"/>
        <v>2000</v>
      </c>
    </row>
    <row r="3090" spans="1:3">
      <c r="A3090" s="68">
        <v>36656</v>
      </c>
      <c r="B3090" s="33">
        <v>2031.86</v>
      </c>
      <c r="C3090">
        <f t="shared" si="78"/>
        <v>2000</v>
      </c>
    </row>
    <row r="3091" spans="1:3">
      <c r="A3091" s="68">
        <v>36657</v>
      </c>
      <c r="B3091" s="32">
        <v>2021.68</v>
      </c>
      <c r="C3091">
        <f t="shared" si="78"/>
        <v>2000</v>
      </c>
    </row>
    <row r="3092" spans="1:3">
      <c r="A3092" s="68">
        <v>36658</v>
      </c>
      <c r="B3092" s="33">
        <v>2031.96</v>
      </c>
      <c r="C3092">
        <f t="shared" si="78"/>
        <v>2000</v>
      </c>
    </row>
    <row r="3093" spans="1:3">
      <c r="A3093" s="68">
        <v>36659</v>
      </c>
      <c r="B3093" s="32">
        <v>2039.29</v>
      </c>
      <c r="C3093">
        <f t="shared" si="78"/>
        <v>2000</v>
      </c>
    </row>
    <row r="3094" spans="1:3">
      <c r="A3094" s="68">
        <v>36660</v>
      </c>
      <c r="B3094" s="33">
        <v>2039.29</v>
      </c>
      <c r="C3094">
        <f t="shared" si="78"/>
        <v>2000</v>
      </c>
    </row>
    <row r="3095" spans="1:3">
      <c r="A3095" s="68">
        <v>36661</v>
      </c>
      <c r="B3095" s="32">
        <v>2039.29</v>
      </c>
      <c r="C3095">
        <f t="shared" si="78"/>
        <v>2000</v>
      </c>
    </row>
    <row r="3096" spans="1:3">
      <c r="A3096" s="68">
        <v>36662</v>
      </c>
      <c r="B3096" s="33">
        <v>2035.54</v>
      </c>
      <c r="C3096">
        <f t="shared" si="78"/>
        <v>2000</v>
      </c>
    </row>
    <row r="3097" spans="1:3">
      <c r="A3097" s="68">
        <v>36663</v>
      </c>
      <c r="B3097" s="32">
        <v>2037.1</v>
      </c>
      <c r="C3097">
        <f t="shared" si="78"/>
        <v>2000</v>
      </c>
    </row>
    <row r="3098" spans="1:3">
      <c r="A3098" s="68">
        <v>36664</v>
      </c>
      <c r="B3098" s="33">
        <v>2047.79</v>
      </c>
      <c r="C3098">
        <f t="shared" si="78"/>
        <v>2000</v>
      </c>
    </row>
    <row r="3099" spans="1:3">
      <c r="A3099" s="68">
        <v>36665</v>
      </c>
      <c r="B3099" s="32">
        <v>2055.35</v>
      </c>
      <c r="C3099">
        <f t="shared" si="78"/>
        <v>2000</v>
      </c>
    </row>
    <row r="3100" spans="1:3">
      <c r="A3100" s="68">
        <v>36666</v>
      </c>
      <c r="B3100" s="33">
        <v>2076.85</v>
      </c>
      <c r="C3100">
        <f t="shared" si="78"/>
        <v>2000</v>
      </c>
    </row>
    <row r="3101" spans="1:3">
      <c r="A3101" s="68">
        <v>36667</v>
      </c>
      <c r="B3101" s="32">
        <v>2076.85</v>
      </c>
      <c r="C3101">
        <f t="shared" si="78"/>
        <v>2000</v>
      </c>
    </row>
    <row r="3102" spans="1:3">
      <c r="A3102" s="68">
        <v>36668</v>
      </c>
      <c r="B3102" s="33">
        <v>2076.85</v>
      </c>
      <c r="C3102">
        <f t="shared" si="78"/>
        <v>2000</v>
      </c>
    </row>
    <row r="3103" spans="1:3">
      <c r="A3103" s="68">
        <v>36669</v>
      </c>
      <c r="B3103" s="32">
        <v>2094.73</v>
      </c>
      <c r="C3103">
        <f t="shared" si="78"/>
        <v>2000</v>
      </c>
    </row>
    <row r="3104" spans="1:3">
      <c r="A3104" s="68">
        <v>36670</v>
      </c>
      <c r="B3104" s="33">
        <v>2111.94</v>
      </c>
      <c r="C3104">
        <f t="shared" si="78"/>
        <v>2000</v>
      </c>
    </row>
    <row r="3105" spans="1:3">
      <c r="A3105" s="68">
        <v>36671</v>
      </c>
      <c r="B3105" s="32">
        <v>2142.14</v>
      </c>
      <c r="C3105">
        <f t="shared" si="78"/>
        <v>2000</v>
      </c>
    </row>
    <row r="3106" spans="1:3">
      <c r="A3106" s="68">
        <v>36672</v>
      </c>
      <c r="B3106" s="33">
        <v>2113.2800000000002</v>
      </c>
      <c r="C3106">
        <f t="shared" si="78"/>
        <v>2000</v>
      </c>
    </row>
    <row r="3107" spans="1:3">
      <c r="A3107" s="68">
        <v>36673</v>
      </c>
      <c r="B3107" s="32">
        <v>2096.52</v>
      </c>
      <c r="C3107">
        <f t="shared" si="78"/>
        <v>2000</v>
      </c>
    </row>
    <row r="3108" spans="1:3">
      <c r="A3108" s="68">
        <v>36674</v>
      </c>
      <c r="B3108" s="33">
        <v>2096.52</v>
      </c>
      <c r="C3108">
        <f t="shared" si="78"/>
        <v>2000</v>
      </c>
    </row>
    <row r="3109" spans="1:3">
      <c r="A3109" s="68">
        <v>36675</v>
      </c>
      <c r="B3109" s="32">
        <v>2096.52</v>
      </c>
      <c r="C3109">
        <f t="shared" si="78"/>
        <v>2000</v>
      </c>
    </row>
    <row r="3110" spans="1:3">
      <c r="A3110" s="68">
        <v>36676</v>
      </c>
      <c r="B3110" s="33">
        <v>2077.2800000000002</v>
      </c>
      <c r="C3110">
        <f t="shared" si="78"/>
        <v>2000</v>
      </c>
    </row>
    <row r="3111" spans="1:3">
      <c r="A3111" s="68">
        <v>36677</v>
      </c>
      <c r="B3111" s="32">
        <v>2084.92</v>
      </c>
      <c r="C3111">
        <f t="shared" si="78"/>
        <v>2000</v>
      </c>
    </row>
    <row r="3112" spans="1:3">
      <c r="A3112" s="68">
        <v>36678</v>
      </c>
      <c r="B3112" s="33">
        <v>2096.96</v>
      </c>
      <c r="C3112">
        <f t="shared" si="78"/>
        <v>2000</v>
      </c>
    </row>
    <row r="3113" spans="1:3">
      <c r="A3113" s="68">
        <v>36679</v>
      </c>
      <c r="B3113" s="32">
        <v>2095.1</v>
      </c>
      <c r="C3113">
        <f t="shared" si="78"/>
        <v>2000</v>
      </c>
    </row>
    <row r="3114" spans="1:3">
      <c r="A3114" s="68">
        <v>36680</v>
      </c>
      <c r="B3114" s="33">
        <v>2118.5700000000002</v>
      </c>
      <c r="C3114">
        <f t="shared" si="78"/>
        <v>2000</v>
      </c>
    </row>
    <row r="3115" spans="1:3">
      <c r="A3115" s="68">
        <v>36681</v>
      </c>
      <c r="B3115" s="32">
        <v>2118.5700000000002</v>
      </c>
      <c r="C3115">
        <f t="shared" si="78"/>
        <v>2000</v>
      </c>
    </row>
    <row r="3116" spans="1:3">
      <c r="A3116" s="68">
        <v>36682</v>
      </c>
      <c r="B3116" s="33">
        <v>2118.5700000000002</v>
      </c>
      <c r="C3116">
        <f t="shared" si="78"/>
        <v>2000</v>
      </c>
    </row>
    <row r="3117" spans="1:3">
      <c r="A3117" s="68">
        <v>36683</v>
      </c>
      <c r="B3117" s="32">
        <v>2118.5700000000002</v>
      </c>
      <c r="C3117">
        <f t="shared" si="78"/>
        <v>2000</v>
      </c>
    </row>
    <row r="3118" spans="1:3">
      <c r="A3118" s="68">
        <v>36684</v>
      </c>
      <c r="B3118" s="33">
        <v>2121.73</v>
      </c>
      <c r="C3118">
        <f t="shared" si="78"/>
        <v>2000</v>
      </c>
    </row>
    <row r="3119" spans="1:3">
      <c r="A3119" s="68">
        <v>36685</v>
      </c>
      <c r="B3119" s="32">
        <v>2127.0300000000002</v>
      </c>
      <c r="C3119">
        <f t="shared" si="78"/>
        <v>2000</v>
      </c>
    </row>
    <row r="3120" spans="1:3">
      <c r="A3120" s="68">
        <v>36686</v>
      </c>
      <c r="B3120" s="33">
        <v>2125.3000000000002</v>
      </c>
      <c r="C3120">
        <f t="shared" si="78"/>
        <v>2000</v>
      </c>
    </row>
    <row r="3121" spans="1:3">
      <c r="A3121" s="68">
        <v>36687</v>
      </c>
      <c r="B3121" s="32">
        <v>2115.86</v>
      </c>
      <c r="C3121">
        <f t="shared" si="78"/>
        <v>2000</v>
      </c>
    </row>
    <row r="3122" spans="1:3">
      <c r="A3122" s="68">
        <v>36688</v>
      </c>
      <c r="B3122" s="33">
        <v>2115.86</v>
      </c>
      <c r="C3122">
        <f t="shared" si="78"/>
        <v>2000</v>
      </c>
    </row>
    <row r="3123" spans="1:3">
      <c r="A3123" s="68">
        <v>36689</v>
      </c>
      <c r="B3123" s="32">
        <v>2115.86</v>
      </c>
      <c r="C3123">
        <f t="shared" si="78"/>
        <v>2000</v>
      </c>
    </row>
    <row r="3124" spans="1:3">
      <c r="A3124" s="68">
        <v>36690</v>
      </c>
      <c r="B3124" s="33">
        <v>2106.9699999999998</v>
      </c>
      <c r="C3124">
        <f t="shared" si="78"/>
        <v>2000</v>
      </c>
    </row>
    <row r="3125" spans="1:3">
      <c r="A3125" s="68">
        <v>36691</v>
      </c>
      <c r="B3125" s="32">
        <v>2122.2399999999998</v>
      </c>
      <c r="C3125">
        <f t="shared" si="78"/>
        <v>2000</v>
      </c>
    </row>
    <row r="3126" spans="1:3">
      <c r="A3126" s="68">
        <v>36692</v>
      </c>
      <c r="B3126" s="33">
        <v>2111.09</v>
      </c>
      <c r="C3126">
        <f t="shared" si="78"/>
        <v>2000</v>
      </c>
    </row>
    <row r="3127" spans="1:3">
      <c r="A3127" s="68">
        <v>36693</v>
      </c>
      <c r="B3127" s="32">
        <v>2110.5700000000002</v>
      </c>
      <c r="C3127">
        <f t="shared" si="78"/>
        <v>2000</v>
      </c>
    </row>
    <row r="3128" spans="1:3">
      <c r="A3128" s="68">
        <v>36694</v>
      </c>
      <c r="B3128" s="33">
        <v>2114.8000000000002</v>
      </c>
      <c r="C3128">
        <f t="shared" si="78"/>
        <v>2000</v>
      </c>
    </row>
    <row r="3129" spans="1:3">
      <c r="A3129" s="68">
        <v>36695</v>
      </c>
      <c r="B3129" s="32">
        <v>2114.8000000000002</v>
      </c>
      <c r="C3129">
        <f t="shared" si="78"/>
        <v>2000</v>
      </c>
    </row>
    <row r="3130" spans="1:3">
      <c r="A3130" s="68">
        <v>36696</v>
      </c>
      <c r="B3130" s="33">
        <v>2114.8000000000002</v>
      </c>
      <c r="C3130">
        <f t="shared" si="78"/>
        <v>2000</v>
      </c>
    </row>
    <row r="3131" spans="1:3">
      <c r="A3131" s="68">
        <v>36697</v>
      </c>
      <c r="B3131" s="32">
        <v>2115.15</v>
      </c>
      <c r="C3131">
        <f t="shared" si="78"/>
        <v>2000</v>
      </c>
    </row>
    <row r="3132" spans="1:3">
      <c r="A3132" s="68">
        <v>36698</v>
      </c>
      <c r="B3132" s="33">
        <v>2123.58</v>
      </c>
      <c r="C3132">
        <f t="shared" si="78"/>
        <v>2000</v>
      </c>
    </row>
    <row r="3133" spans="1:3">
      <c r="A3133" s="68">
        <v>36699</v>
      </c>
      <c r="B3133" s="32">
        <v>2134.34</v>
      </c>
      <c r="C3133">
        <f t="shared" si="78"/>
        <v>2000</v>
      </c>
    </row>
    <row r="3134" spans="1:3">
      <c r="A3134" s="68">
        <v>36700</v>
      </c>
      <c r="B3134" s="33">
        <v>2129.13</v>
      </c>
      <c r="C3134">
        <f t="shared" si="78"/>
        <v>2000</v>
      </c>
    </row>
    <row r="3135" spans="1:3">
      <c r="A3135" s="68">
        <v>36701</v>
      </c>
      <c r="B3135" s="32">
        <v>2123.9899999999998</v>
      </c>
      <c r="C3135">
        <f t="shared" si="78"/>
        <v>2000</v>
      </c>
    </row>
    <row r="3136" spans="1:3">
      <c r="A3136" s="68">
        <v>36702</v>
      </c>
      <c r="B3136" s="33">
        <v>2123.9899999999998</v>
      </c>
      <c r="C3136">
        <f t="shared" si="78"/>
        <v>2000</v>
      </c>
    </row>
    <row r="3137" spans="1:3">
      <c r="A3137" s="68">
        <v>36703</v>
      </c>
      <c r="B3137" s="32">
        <v>2123.9899999999998</v>
      </c>
      <c r="C3137">
        <f t="shared" si="78"/>
        <v>2000</v>
      </c>
    </row>
    <row r="3138" spans="1:3">
      <c r="A3138" s="68">
        <v>36704</v>
      </c>
      <c r="B3138" s="33">
        <v>2123.9899999999998</v>
      </c>
      <c r="C3138">
        <f t="shared" si="78"/>
        <v>2000</v>
      </c>
    </row>
    <row r="3139" spans="1:3">
      <c r="A3139" s="68">
        <v>36705</v>
      </c>
      <c r="B3139" s="32">
        <v>2135.65</v>
      </c>
      <c r="C3139">
        <f t="shared" si="78"/>
        <v>2000</v>
      </c>
    </row>
    <row r="3140" spans="1:3">
      <c r="A3140" s="68">
        <v>36706</v>
      </c>
      <c r="B3140" s="33">
        <v>2136.2199999999998</v>
      </c>
      <c r="C3140">
        <f t="shared" ref="C3140:C3203" si="79">YEAR(A3140)</f>
        <v>2000</v>
      </c>
    </row>
    <row r="3141" spans="1:3">
      <c r="A3141" s="68">
        <v>36707</v>
      </c>
      <c r="B3141" s="32">
        <v>2139.11</v>
      </c>
      <c r="C3141">
        <f t="shared" si="79"/>
        <v>2000</v>
      </c>
    </row>
    <row r="3142" spans="1:3">
      <c r="A3142" s="68">
        <v>36708</v>
      </c>
      <c r="B3142" s="33">
        <v>2150.7600000000002</v>
      </c>
      <c r="C3142">
        <f t="shared" si="79"/>
        <v>2000</v>
      </c>
    </row>
    <row r="3143" spans="1:3">
      <c r="A3143" s="68">
        <v>36709</v>
      </c>
      <c r="B3143" s="32">
        <v>2150.7600000000002</v>
      </c>
      <c r="C3143">
        <f t="shared" si="79"/>
        <v>2000</v>
      </c>
    </row>
    <row r="3144" spans="1:3">
      <c r="A3144" s="68">
        <v>36710</v>
      </c>
      <c r="B3144" s="33">
        <v>2150.7600000000002</v>
      </c>
      <c r="C3144">
        <f t="shared" si="79"/>
        <v>2000</v>
      </c>
    </row>
    <row r="3145" spans="1:3">
      <c r="A3145" s="68">
        <v>36711</v>
      </c>
      <c r="B3145" s="32">
        <v>2150.7600000000002</v>
      </c>
      <c r="C3145">
        <f t="shared" si="79"/>
        <v>2000</v>
      </c>
    </row>
    <row r="3146" spans="1:3">
      <c r="A3146" s="68">
        <v>36712</v>
      </c>
      <c r="B3146" s="33">
        <v>2151.0500000000002</v>
      </c>
      <c r="C3146">
        <f t="shared" si="79"/>
        <v>2000</v>
      </c>
    </row>
    <row r="3147" spans="1:3">
      <c r="A3147" s="68">
        <v>36713</v>
      </c>
      <c r="B3147" s="32">
        <v>2163.44</v>
      </c>
      <c r="C3147">
        <f t="shared" si="79"/>
        <v>2000</v>
      </c>
    </row>
    <row r="3148" spans="1:3">
      <c r="A3148" s="68">
        <v>36714</v>
      </c>
      <c r="B3148" s="33">
        <v>2168.65</v>
      </c>
      <c r="C3148">
        <f t="shared" si="79"/>
        <v>2000</v>
      </c>
    </row>
    <row r="3149" spans="1:3">
      <c r="A3149" s="68">
        <v>36715</v>
      </c>
      <c r="B3149" s="32">
        <v>2165.5100000000002</v>
      </c>
      <c r="C3149">
        <f t="shared" si="79"/>
        <v>2000</v>
      </c>
    </row>
    <row r="3150" spans="1:3">
      <c r="A3150" s="68">
        <v>36716</v>
      </c>
      <c r="B3150" s="33">
        <v>2165.5100000000002</v>
      </c>
      <c r="C3150">
        <f t="shared" si="79"/>
        <v>2000</v>
      </c>
    </row>
    <row r="3151" spans="1:3">
      <c r="A3151" s="68">
        <v>36717</v>
      </c>
      <c r="B3151" s="32">
        <v>2165.5100000000002</v>
      </c>
      <c r="C3151">
        <f t="shared" si="79"/>
        <v>2000</v>
      </c>
    </row>
    <row r="3152" spans="1:3">
      <c r="A3152" s="68">
        <v>36718</v>
      </c>
      <c r="B3152" s="33">
        <v>2171.63</v>
      </c>
      <c r="C3152">
        <f t="shared" si="79"/>
        <v>2000</v>
      </c>
    </row>
    <row r="3153" spans="1:3">
      <c r="A3153" s="68">
        <v>36719</v>
      </c>
      <c r="B3153" s="32">
        <v>2182.56</v>
      </c>
      <c r="C3153">
        <f t="shared" si="79"/>
        <v>2000</v>
      </c>
    </row>
    <row r="3154" spans="1:3">
      <c r="A3154" s="68">
        <v>36720</v>
      </c>
      <c r="B3154" s="33">
        <v>2172.16</v>
      </c>
      <c r="C3154">
        <f t="shared" si="79"/>
        <v>2000</v>
      </c>
    </row>
    <row r="3155" spans="1:3">
      <c r="A3155" s="68">
        <v>36721</v>
      </c>
      <c r="B3155" s="32">
        <v>2166.2199999999998</v>
      </c>
      <c r="C3155">
        <f t="shared" si="79"/>
        <v>2000</v>
      </c>
    </row>
    <row r="3156" spans="1:3">
      <c r="A3156" s="68">
        <v>36722</v>
      </c>
      <c r="B3156" s="33">
        <v>2156.3200000000002</v>
      </c>
      <c r="C3156">
        <f t="shared" si="79"/>
        <v>2000</v>
      </c>
    </row>
    <row r="3157" spans="1:3">
      <c r="A3157" s="68">
        <v>36723</v>
      </c>
      <c r="B3157" s="32">
        <v>2156.3200000000002</v>
      </c>
      <c r="C3157">
        <f t="shared" si="79"/>
        <v>2000</v>
      </c>
    </row>
    <row r="3158" spans="1:3">
      <c r="A3158" s="68">
        <v>36724</v>
      </c>
      <c r="B3158" s="33">
        <v>2156.3200000000002</v>
      </c>
      <c r="C3158">
        <f t="shared" si="79"/>
        <v>2000</v>
      </c>
    </row>
    <row r="3159" spans="1:3">
      <c r="A3159" s="68">
        <v>36725</v>
      </c>
      <c r="B3159" s="32">
        <v>2144.0100000000002</v>
      </c>
      <c r="C3159">
        <f t="shared" si="79"/>
        <v>2000</v>
      </c>
    </row>
    <row r="3160" spans="1:3">
      <c r="A3160" s="68">
        <v>36726</v>
      </c>
      <c r="B3160" s="33">
        <v>2151.56</v>
      </c>
      <c r="C3160">
        <f t="shared" si="79"/>
        <v>2000</v>
      </c>
    </row>
    <row r="3161" spans="1:3">
      <c r="A3161" s="68">
        <v>36727</v>
      </c>
      <c r="B3161" s="32">
        <v>2155.81</v>
      </c>
      <c r="C3161">
        <f t="shared" si="79"/>
        <v>2000</v>
      </c>
    </row>
    <row r="3162" spans="1:3">
      <c r="A3162" s="68">
        <v>36728</v>
      </c>
      <c r="B3162" s="33">
        <v>2155.81</v>
      </c>
      <c r="C3162">
        <f t="shared" si="79"/>
        <v>2000</v>
      </c>
    </row>
    <row r="3163" spans="1:3">
      <c r="A3163" s="68">
        <v>36729</v>
      </c>
      <c r="B3163" s="32">
        <v>2152.3000000000002</v>
      </c>
      <c r="C3163">
        <f t="shared" si="79"/>
        <v>2000</v>
      </c>
    </row>
    <row r="3164" spans="1:3">
      <c r="A3164" s="68">
        <v>36730</v>
      </c>
      <c r="B3164" s="33">
        <v>2152.3000000000002</v>
      </c>
      <c r="C3164">
        <f t="shared" si="79"/>
        <v>2000</v>
      </c>
    </row>
    <row r="3165" spans="1:3">
      <c r="A3165" s="68">
        <v>36731</v>
      </c>
      <c r="B3165" s="32">
        <v>2152.3000000000002</v>
      </c>
      <c r="C3165">
        <f t="shared" si="79"/>
        <v>2000</v>
      </c>
    </row>
    <row r="3166" spans="1:3">
      <c r="A3166" s="68">
        <v>36732</v>
      </c>
      <c r="B3166" s="33">
        <v>2147.65</v>
      </c>
      <c r="C3166">
        <f t="shared" si="79"/>
        <v>2000</v>
      </c>
    </row>
    <row r="3167" spans="1:3">
      <c r="A3167" s="68">
        <v>36733</v>
      </c>
      <c r="B3167" s="32">
        <v>2153.91</v>
      </c>
      <c r="C3167">
        <f t="shared" si="79"/>
        <v>2000</v>
      </c>
    </row>
    <row r="3168" spans="1:3">
      <c r="A3168" s="68">
        <v>36734</v>
      </c>
      <c r="B3168" s="33">
        <v>2165.37</v>
      </c>
      <c r="C3168">
        <f t="shared" si="79"/>
        <v>2000</v>
      </c>
    </row>
    <row r="3169" spans="1:3">
      <c r="A3169" s="68">
        <v>36735</v>
      </c>
      <c r="B3169" s="32">
        <v>2173.7800000000002</v>
      </c>
      <c r="C3169">
        <f t="shared" si="79"/>
        <v>2000</v>
      </c>
    </row>
    <row r="3170" spans="1:3">
      <c r="A3170" s="68">
        <v>36736</v>
      </c>
      <c r="B3170" s="33">
        <v>2172.79</v>
      </c>
      <c r="C3170">
        <f t="shared" si="79"/>
        <v>2000</v>
      </c>
    </row>
    <row r="3171" spans="1:3">
      <c r="A3171" s="68">
        <v>36737</v>
      </c>
      <c r="B3171" s="32">
        <v>2172.79</v>
      </c>
      <c r="C3171">
        <f t="shared" si="79"/>
        <v>2000</v>
      </c>
    </row>
    <row r="3172" spans="1:3">
      <c r="A3172" s="68">
        <v>36738</v>
      </c>
      <c r="B3172" s="33">
        <v>2172.79</v>
      </c>
      <c r="C3172">
        <f t="shared" si="79"/>
        <v>2000</v>
      </c>
    </row>
    <row r="3173" spans="1:3">
      <c r="A3173" s="68">
        <v>36739</v>
      </c>
      <c r="B3173" s="32">
        <v>2174.5500000000002</v>
      </c>
      <c r="C3173">
        <f t="shared" si="79"/>
        <v>2000</v>
      </c>
    </row>
    <row r="3174" spans="1:3">
      <c r="A3174" s="68">
        <v>36740</v>
      </c>
      <c r="B3174" s="33">
        <v>2175.02</v>
      </c>
      <c r="C3174">
        <f t="shared" si="79"/>
        <v>2000</v>
      </c>
    </row>
    <row r="3175" spans="1:3">
      <c r="A3175" s="68">
        <v>36741</v>
      </c>
      <c r="B3175" s="32">
        <v>2173.62</v>
      </c>
      <c r="C3175">
        <f t="shared" si="79"/>
        <v>2000</v>
      </c>
    </row>
    <row r="3176" spans="1:3">
      <c r="A3176" s="68">
        <v>36742</v>
      </c>
      <c r="B3176" s="33">
        <v>2177.67</v>
      </c>
      <c r="C3176">
        <f t="shared" si="79"/>
        <v>2000</v>
      </c>
    </row>
    <row r="3177" spans="1:3">
      <c r="A3177" s="68">
        <v>36743</v>
      </c>
      <c r="B3177" s="32">
        <v>2180.64</v>
      </c>
      <c r="C3177">
        <f t="shared" si="79"/>
        <v>2000</v>
      </c>
    </row>
    <row r="3178" spans="1:3">
      <c r="A3178" s="68">
        <v>36744</v>
      </c>
      <c r="B3178" s="33">
        <v>2180.64</v>
      </c>
      <c r="C3178">
        <f t="shared" si="79"/>
        <v>2000</v>
      </c>
    </row>
    <row r="3179" spans="1:3">
      <c r="A3179" s="68">
        <v>36745</v>
      </c>
      <c r="B3179" s="32">
        <v>2180.64</v>
      </c>
      <c r="C3179">
        <f t="shared" si="79"/>
        <v>2000</v>
      </c>
    </row>
    <row r="3180" spans="1:3">
      <c r="A3180" s="68">
        <v>36746</v>
      </c>
      <c r="B3180" s="33">
        <v>2180.64</v>
      </c>
      <c r="C3180">
        <f t="shared" si="79"/>
        <v>2000</v>
      </c>
    </row>
    <row r="3181" spans="1:3">
      <c r="A3181" s="68">
        <v>36747</v>
      </c>
      <c r="B3181" s="32">
        <v>2176.52</v>
      </c>
      <c r="C3181">
        <f t="shared" si="79"/>
        <v>2000</v>
      </c>
    </row>
    <row r="3182" spans="1:3">
      <c r="A3182" s="68">
        <v>36748</v>
      </c>
      <c r="B3182" s="33">
        <v>2176.17</v>
      </c>
      <c r="C3182">
        <f t="shared" si="79"/>
        <v>2000</v>
      </c>
    </row>
    <row r="3183" spans="1:3">
      <c r="A3183" s="68">
        <v>36749</v>
      </c>
      <c r="B3183" s="32">
        <v>2179.6</v>
      </c>
      <c r="C3183">
        <f t="shared" si="79"/>
        <v>2000</v>
      </c>
    </row>
    <row r="3184" spans="1:3">
      <c r="A3184" s="68">
        <v>36750</v>
      </c>
      <c r="B3184" s="33">
        <v>2180.89</v>
      </c>
      <c r="C3184">
        <f t="shared" si="79"/>
        <v>2000</v>
      </c>
    </row>
    <row r="3185" spans="1:3">
      <c r="A3185" s="68">
        <v>36751</v>
      </c>
      <c r="B3185" s="32">
        <v>2180.89</v>
      </c>
      <c r="C3185">
        <f t="shared" si="79"/>
        <v>2000</v>
      </c>
    </row>
    <row r="3186" spans="1:3">
      <c r="A3186" s="68">
        <v>36752</v>
      </c>
      <c r="B3186" s="33">
        <v>2180.89</v>
      </c>
      <c r="C3186">
        <f t="shared" si="79"/>
        <v>2000</v>
      </c>
    </row>
    <row r="3187" spans="1:3">
      <c r="A3187" s="68">
        <v>36753</v>
      </c>
      <c r="B3187" s="32">
        <v>2180.9899999999998</v>
      </c>
      <c r="C3187">
        <f t="shared" si="79"/>
        <v>2000</v>
      </c>
    </row>
    <row r="3188" spans="1:3">
      <c r="A3188" s="68">
        <v>36754</v>
      </c>
      <c r="B3188" s="33">
        <v>2185.4499999999998</v>
      </c>
      <c r="C3188">
        <f t="shared" si="79"/>
        <v>2000</v>
      </c>
    </row>
    <row r="3189" spans="1:3">
      <c r="A3189" s="68">
        <v>36755</v>
      </c>
      <c r="B3189" s="32">
        <v>2185.46</v>
      </c>
      <c r="C3189">
        <f t="shared" si="79"/>
        <v>2000</v>
      </c>
    </row>
    <row r="3190" spans="1:3">
      <c r="A3190" s="68">
        <v>36756</v>
      </c>
      <c r="B3190" s="33">
        <v>2185.75</v>
      </c>
      <c r="C3190">
        <f t="shared" si="79"/>
        <v>2000</v>
      </c>
    </row>
    <row r="3191" spans="1:3">
      <c r="A3191" s="68">
        <v>36757</v>
      </c>
      <c r="B3191" s="32">
        <v>2183.0100000000002</v>
      </c>
      <c r="C3191">
        <f t="shared" si="79"/>
        <v>2000</v>
      </c>
    </row>
    <row r="3192" spans="1:3">
      <c r="A3192" s="68">
        <v>36758</v>
      </c>
      <c r="B3192" s="33">
        <v>2183.0100000000002</v>
      </c>
      <c r="C3192">
        <f t="shared" si="79"/>
        <v>2000</v>
      </c>
    </row>
    <row r="3193" spans="1:3">
      <c r="A3193" s="68">
        <v>36759</v>
      </c>
      <c r="B3193" s="32">
        <v>2183.0100000000002</v>
      </c>
      <c r="C3193">
        <f t="shared" si="79"/>
        <v>2000</v>
      </c>
    </row>
    <row r="3194" spans="1:3">
      <c r="A3194" s="68">
        <v>36760</v>
      </c>
      <c r="B3194" s="33">
        <v>2183.0100000000002</v>
      </c>
      <c r="C3194">
        <f t="shared" si="79"/>
        <v>2000</v>
      </c>
    </row>
    <row r="3195" spans="1:3">
      <c r="A3195" s="68">
        <v>36761</v>
      </c>
      <c r="B3195" s="32">
        <v>2187.83</v>
      </c>
      <c r="C3195">
        <f t="shared" si="79"/>
        <v>2000</v>
      </c>
    </row>
    <row r="3196" spans="1:3">
      <c r="A3196" s="68">
        <v>36762</v>
      </c>
      <c r="B3196" s="33">
        <v>2196.7199999999998</v>
      </c>
      <c r="C3196">
        <f t="shared" si="79"/>
        <v>2000</v>
      </c>
    </row>
    <row r="3197" spans="1:3">
      <c r="A3197" s="68">
        <v>36763</v>
      </c>
      <c r="B3197" s="32">
        <v>2205.6</v>
      </c>
      <c r="C3197">
        <f t="shared" si="79"/>
        <v>2000</v>
      </c>
    </row>
    <row r="3198" spans="1:3">
      <c r="A3198" s="68">
        <v>36764</v>
      </c>
      <c r="B3198" s="33">
        <v>2208.8200000000002</v>
      </c>
      <c r="C3198">
        <f t="shared" si="79"/>
        <v>2000</v>
      </c>
    </row>
    <row r="3199" spans="1:3">
      <c r="A3199" s="68">
        <v>36765</v>
      </c>
      <c r="B3199" s="32">
        <v>2208.8200000000002</v>
      </c>
      <c r="C3199">
        <f t="shared" si="79"/>
        <v>2000</v>
      </c>
    </row>
    <row r="3200" spans="1:3">
      <c r="A3200" s="68">
        <v>36766</v>
      </c>
      <c r="B3200" s="33">
        <v>2208.8200000000002</v>
      </c>
      <c r="C3200">
        <f t="shared" si="79"/>
        <v>2000</v>
      </c>
    </row>
    <row r="3201" spans="1:3">
      <c r="A3201" s="68">
        <v>36767</v>
      </c>
      <c r="B3201" s="32">
        <v>2208.17</v>
      </c>
      <c r="C3201">
        <f t="shared" si="79"/>
        <v>2000</v>
      </c>
    </row>
    <row r="3202" spans="1:3">
      <c r="A3202" s="68">
        <v>36768</v>
      </c>
      <c r="B3202" s="33">
        <v>2204.2199999999998</v>
      </c>
      <c r="C3202">
        <f t="shared" si="79"/>
        <v>2000</v>
      </c>
    </row>
    <row r="3203" spans="1:3">
      <c r="A3203" s="68">
        <v>36769</v>
      </c>
      <c r="B3203" s="32">
        <v>2208.21</v>
      </c>
      <c r="C3203">
        <f t="shared" si="79"/>
        <v>2000</v>
      </c>
    </row>
    <row r="3204" spans="1:3">
      <c r="A3204" s="68">
        <v>36770</v>
      </c>
      <c r="B3204" s="33">
        <v>2212.9699999999998</v>
      </c>
      <c r="C3204">
        <f t="shared" ref="C3204:C3267" si="80">YEAR(A3204)</f>
        <v>2000</v>
      </c>
    </row>
    <row r="3205" spans="1:3">
      <c r="A3205" s="68">
        <v>36771</v>
      </c>
      <c r="B3205" s="32">
        <v>2214</v>
      </c>
      <c r="C3205">
        <f t="shared" si="80"/>
        <v>2000</v>
      </c>
    </row>
    <row r="3206" spans="1:3">
      <c r="A3206" s="68">
        <v>36772</v>
      </c>
      <c r="B3206" s="33">
        <v>2214</v>
      </c>
      <c r="C3206">
        <f t="shared" si="80"/>
        <v>2000</v>
      </c>
    </row>
    <row r="3207" spans="1:3">
      <c r="A3207" s="68">
        <v>36773</v>
      </c>
      <c r="B3207" s="32">
        <v>2214</v>
      </c>
      <c r="C3207">
        <f t="shared" si="80"/>
        <v>2000</v>
      </c>
    </row>
    <row r="3208" spans="1:3">
      <c r="A3208" s="68">
        <v>36774</v>
      </c>
      <c r="B3208" s="33">
        <v>2210.3200000000002</v>
      </c>
      <c r="C3208">
        <f t="shared" si="80"/>
        <v>2000</v>
      </c>
    </row>
    <row r="3209" spans="1:3">
      <c r="A3209" s="68">
        <v>36775</v>
      </c>
      <c r="B3209" s="32">
        <v>2211.13</v>
      </c>
      <c r="C3209">
        <f t="shared" si="80"/>
        <v>2000</v>
      </c>
    </row>
    <row r="3210" spans="1:3">
      <c r="A3210" s="68">
        <v>36776</v>
      </c>
      <c r="B3210" s="33">
        <v>2211.11</v>
      </c>
      <c r="C3210">
        <f t="shared" si="80"/>
        <v>2000</v>
      </c>
    </row>
    <row r="3211" spans="1:3">
      <c r="A3211" s="68">
        <v>36777</v>
      </c>
      <c r="B3211" s="32">
        <v>2209.1799999999998</v>
      </c>
      <c r="C3211">
        <f t="shared" si="80"/>
        <v>2000</v>
      </c>
    </row>
    <row r="3212" spans="1:3">
      <c r="A3212" s="68">
        <v>36778</v>
      </c>
      <c r="B3212" s="33">
        <v>2204.85</v>
      </c>
      <c r="C3212">
        <f t="shared" si="80"/>
        <v>2000</v>
      </c>
    </row>
    <row r="3213" spans="1:3">
      <c r="A3213" s="68">
        <v>36779</v>
      </c>
      <c r="B3213" s="32">
        <v>2204.85</v>
      </c>
      <c r="C3213">
        <f t="shared" si="80"/>
        <v>2000</v>
      </c>
    </row>
    <row r="3214" spans="1:3">
      <c r="A3214" s="68">
        <v>36780</v>
      </c>
      <c r="B3214" s="33">
        <v>2204.85</v>
      </c>
      <c r="C3214">
        <f t="shared" si="80"/>
        <v>2000</v>
      </c>
    </row>
    <row r="3215" spans="1:3">
      <c r="A3215" s="68">
        <v>36781</v>
      </c>
      <c r="B3215" s="32">
        <v>2206.39</v>
      </c>
      <c r="C3215">
        <f t="shared" si="80"/>
        <v>2000</v>
      </c>
    </row>
    <row r="3216" spans="1:3">
      <c r="A3216" s="68">
        <v>36782</v>
      </c>
      <c r="B3216" s="33">
        <v>2206.9299999999998</v>
      </c>
      <c r="C3216">
        <f t="shared" si="80"/>
        <v>2000</v>
      </c>
    </row>
    <row r="3217" spans="1:3">
      <c r="A3217" s="68">
        <v>36783</v>
      </c>
      <c r="B3217" s="32">
        <v>2208.64</v>
      </c>
      <c r="C3217">
        <f t="shared" si="80"/>
        <v>2000</v>
      </c>
    </row>
    <row r="3218" spans="1:3">
      <c r="A3218" s="68">
        <v>36784</v>
      </c>
      <c r="B3218" s="33">
        <v>2212.73</v>
      </c>
      <c r="C3218">
        <f t="shared" si="80"/>
        <v>2000</v>
      </c>
    </row>
    <row r="3219" spans="1:3">
      <c r="A3219" s="68">
        <v>36785</v>
      </c>
      <c r="B3219" s="32">
        <v>2210.34</v>
      </c>
      <c r="C3219">
        <f t="shared" si="80"/>
        <v>2000</v>
      </c>
    </row>
    <row r="3220" spans="1:3">
      <c r="A3220" s="68">
        <v>36786</v>
      </c>
      <c r="B3220" s="33">
        <v>2210.34</v>
      </c>
      <c r="C3220">
        <f t="shared" si="80"/>
        <v>2000</v>
      </c>
    </row>
    <row r="3221" spans="1:3">
      <c r="A3221" s="68">
        <v>36787</v>
      </c>
      <c r="B3221" s="32">
        <v>2210.34</v>
      </c>
      <c r="C3221">
        <f t="shared" si="80"/>
        <v>2000</v>
      </c>
    </row>
    <row r="3222" spans="1:3">
      <c r="A3222" s="68">
        <v>36788</v>
      </c>
      <c r="B3222" s="33">
        <v>2211.36</v>
      </c>
      <c r="C3222">
        <f t="shared" si="80"/>
        <v>2000</v>
      </c>
    </row>
    <row r="3223" spans="1:3">
      <c r="A3223" s="68">
        <v>36789</v>
      </c>
      <c r="B3223" s="32">
        <v>2210.81</v>
      </c>
      <c r="C3223">
        <f t="shared" si="80"/>
        <v>2000</v>
      </c>
    </row>
    <row r="3224" spans="1:3">
      <c r="A3224" s="68">
        <v>36790</v>
      </c>
      <c r="B3224" s="33">
        <v>2212.9299999999998</v>
      </c>
      <c r="C3224">
        <f t="shared" si="80"/>
        <v>2000</v>
      </c>
    </row>
    <row r="3225" spans="1:3">
      <c r="A3225" s="68">
        <v>36791</v>
      </c>
      <c r="B3225" s="32">
        <v>2223.46</v>
      </c>
      <c r="C3225">
        <f t="shared" si="80"/>
        <v>2000</v>
      </c>
    </row>
    <row r="3226" spans="1:3">
      <c r="A3226" s="68">
        <v>36792</v>
      </c>
      <c r="B3226" s="33">
        <v>2232.2399999999998</v>
      </c>
      <c r="C3226">
        <f t="shared" si="80"/>
        <v>2000</v>
      </c>
    </row>
    <row r="3227" spans="1:3">
      <c r="A3227" s="68">
        <v>36793</v>
      </c>
      <c r="B3227" s="32">
        <v>2232.2399999999998</v>
      </c>
      <c r="C3227">
        <f t="shared" si="80"/>
        <v>2000</v>
      </c>
    </row>
    <row r="3228" spans="1:3">
      <c r="A3228" s="68">
        <v>36794</v>
      </c>
      <c r="B3228" s="33">
        <v>2232.2399999999998</v>
      </c>
      <c r="C3228">
        <f t="shared" si="80"/>
        <v>2000</v>
      </c>
    </row>
    <row r="3229" spans="1:3">
      <c r="A3229" s="68">
        <v>36795</v>
      </c>
      <c r="B3229" s="32">
        <v>2228.0500000000002</v>
      </c>
      <c r="C3229">
        <f t="shared" si="80"/>
        <v>2000</v>
      </c>
    </row>
    <row r="3230" spans="1:3">
      <c r="A3230" s="68">
        <v>36796</v>
      </c>
      <c r="B3230" s="33">
        <v>2222.67</v>
      </c>
      <c r="C3230">
        <f t="shared" si="80"/>
        <v>2000</v>
      </c>
    </row>
    <row r="3231" spans="1:3">
      <c r="A3231" s="68">
        <v>36797</v>
      </c>
      <c r="B3231" s="32">
        <v>2216.9299999999998</v>
      </c>
      <c r="C3231">
        <f t="shared" si="80"/>
        <v>2000</v>
      </c>
    </row>
    <row r="3232" spans="1:3">
      <c r="A3232" s="68">
        <v>36798</v>
      </c>
      <c r="B3232" s="33">
        <v>2211.94</v>
      </c>
      <c r="C3232">
        <f t="shared" si="80"/>
        <v>2000</v>
      </c>
    </row>
    <row r="3233" spans="1:3">
      <c r="A3233" s="68">
        <v>36799</v>
      </c>
      <c r="B3233" s="32">
        <v>2212.2600000000002</v>
      </c>
      <c r="C3233">
        <f t="shared" si="80"/>
        <v>2000</v>
      </c>
    </row>
    <row r="3234" spans="1:3">
      <c r="A3234" s="68">
        <v>36800</v>
      </c>
      <c r="B3234" s="33">
        <v>2212.2600000000002</v>
      </c>
      <c r="C3234">
        <f t="shared" si="80"/>
        <v>2000</v>
      </c>
    </row>
    <row r="3235" spans="1:3">
      <c r="A3235" s="68">
        <v>36801</v>
      </c>
      <c r="B3235" s="32">
        <v>2212.2600000000002</v>
      </c>
      <c r="C3235">
        <f t="shared" si="80"/>
        <v>2000</v>
      </c>
    </row>
    <row r="3236" spans="1:3">
      <c r="A3236" s="68">
        <v>36802</v>
      </c>
      <c r="B3236" s="33">
        <v>2210.4</v>
      </c>
      <c r="C3236">
        <f t="shared" si="80"/>
        <v>2000</v>
      </c>
    </row>
    <row r="3237" spans="1:3">
      <c r="A3237" s="68">
        <v>36803</v>
      </c>
      <c r="B3237" s="32">
        <v>2201.5100000000002</v>
      </c>
      <c r="C3237">
        <f t="shared" si="80"/>
        <v>2000</v>
      </c>
    </row>
    <row r="3238" spans="1:3">
      <c r="A3238" s="68">
        <v>36804</v>
      </c>
      <c r="B3238" s="33">
        <v>2194.98</v>
      </c>
      <c r="C3238">
        <f t="shared" si="80"/>
        <v>2000</v>
      </c>
    </row>
    <row r="3239" spans="1:3">
      <c r="A3239" s="68">
        <v>36805</v>
      </c>
      <c r="B3239" s="32">
        <v>2185.06</v>
      </c>
      <c r="C3239">
        <f t="shared" si="80"/>
        <v>2000</v>
      </c>
    </row>
    <row r="3240" spans="1:3">
      <c r="A3240" s="68">
        <v>36806</v>
      </c>
      <c r="B3240" s="33">
        <v>2187.38</v>
      </c>
      <c r="C3240">
        <f t="shared" si="80"/>
        <v>2000</v>
      </c>
    </row>
    <row r="3241" spans="1:3">
      <c r="A3241" s="68">
        <v>36807</v>
      </c>
      <c r="B3241" s="32">
        <v>2187.38</v>
      </c>
      <c r="C3241">
        <f t="shared" si="80"/>
        <v>2000</v>
      </c>
    </row>
    <row r="3242" spans="1:3">
      <c r="A3242" s="68">
        <v>36808</v>
      </c>
      <c r="B3242" s="33">
        <v>2187.38</v>
      </c>
      <c r="C3242">
        <f t="shared" si="80"/>
        <v>2000</v>
      </c>
    </row>
    <row r="3243" spans="1:3">
      <c r="A3243" s="68">
        <v>36809</v>
      </c>
      <c r="B3243" s="32">
        <v>2184.2600000000002</v>
      </c>
      <c r="C3243">
        <f t="shared" si="80"/>
        <v>2000</v>
      </c>
    </row>
    <row r="3244" spans="1:3">
      <c r="A3244" s="68">
        <v>36810</v>
      </c>
      <c r="B3244" s="33">
        <v>2182.17</v>
      </c>
      <c r="C3244">
        <f t="shared" si="80"/>
        <v>2000</v>
      </c>
    </row>
    <row r="3245" spans="1:3">
      <c r="A3245" s="68">
        <v>36811</v>
      </c>
      <c r="B3245" s="32">
        <v>2175.9699999999998</v>
      </c>
      <c r="C3245">
        <f t="shared" si="80"/>
        <v>2000</v>
      </c>
    </row>
    <row r="3246" spans="1:3">
      <c r="A3246" s="68">
        <v>36812</v>
      </c>
      <c r="B3246" s="33">
        <v>2175.96</v>
      </c>
      <c r="C3246">
        <f t="shared" si="80"/>
        <v>2000</v>
      </c>
    </row>
    <row r="3247" spans="1:3">
      <c r="A3247" s="68">
        <v>36813</v>
      </c>
      <c r="B3247" s="32">
        <v>2180.69</v>
      </c>
      <c r="C3247">
        <f t="shared" si="80"/>
        <v>2000</v>
      </c>
    </row>
    <row r="3248" spans="1:3">
      <c r="A3248" s="68">
        <v>36814</v>
      </c>
      <c r="B3248" s="33">
        <v>2180.69</v>
      </c>
      <c r="C3248">
        <f t="shared" si="80"/>
        <v>2000</v>
      </c>
    </row>
    <row r="3249" spans="1:3">
      <c r="A3249" s="68">
        <v>36815</v>
      </c>
      <c r="B3249" s="32">
        <v>2180.69</v>
      </c>
      <c r="C3249">
        <f t="shared" si="80"/>
        <v>2000</v>
      </c>
    </row>
    <row r="3250" spans="1:3">
      <c r="A3250" s="68">
        <v>36816</v>
      </c>
      <c r="B3250" s="33">
        <v>2180.69</v>
      </c>
      <c r="C3250">
        <f t="shared" si="80"/>
        <v>2000</v>
      </c>
    </row>
    <row r="3251" spans="1:3">
      <c r="A3251" s="68">
        <v>36817</v>
      </c>
      <c r="B3251" s="32">
        <v>2178.13</v>
      </c>
      <c r="C3251">
        <f t="shared" si="80"/>
        <v>2000</v>
      </c>
    </row>
    <row r="3252" spans="1:3">
      <c r="A3252" s="68">
        <v>36818</v>
      </c>
      <c r="B3252" s="33">
        <v>2162.86</v>
      </c>
      <c r="C3252">
        <f t="shared" si="80"/>
        <v>2000</v>
      </c>
    </row>
    <row r="3253" spans="1:3">
      <c r="A3253" s="68">
        <v>36819</v>
      </c>
      <c r="B3253" s="32">
        <v>2152.31</v>
      </c>
      <c r="C3253">
        <f t="shared" si="80"/>
        <v>2000</v>
      </c>
    </row>
    <row r="3254" spans="1:3">
      <c r="A3254" s="68">
        <v>36820</v>
      </c>
      <c r="B3254" s="33">
        <v>2159.79</v>
      </c>
      <c r="C3254">
        <f t="shared" si="80"/>
        <v>2000</v>
      </c>
    </row>
    <row r="3255" spans="1:3">
      <c r="A3255" s="68">
        <v>36821</v>
      </c>
      <c r="B3255" s="32">
        <v>2159.79</v>
      </c>
      <c r="C3255">
        <f t="shared" si="80"/>
        <v>2000</v>
      </c>
    </row>
    <row r="3256" spans="1:3">
      <c r="A3256" s="68">
        <v>36822</v>
      </c>
      <c r="B3256" s="33">
        <v>2159.79</v>
      </c>
      <c r="C3256">
        <f t="shared" si="80"/>
        <v>2000</v>
      </c>
    </row>
    <row r="3257" spans="1:3">
      <c r="A3257" s="68">
        <v>36823</v>
      </c>
      <c r="B3257" s="32">
        <v>2157.84</v>
      </c>
      <c r="C3257">
        <f t="shared" si="80"/>
        <v>2000</v>
      </c>
    </row>
    <row r="3258" spans="1:3">
      <c r="A3258" s="68">
        <v>36824</v>
      </c>
      <c r="B3258" s="33">
        <v>2153.1799999999998</v>
      </c>
      <c r="C3258">
        <f t="shared" si="80"/>
        <v>2000</v>
      </c>
    </row>
    <row r="3259" spans="1:3">
      <c r="A3259" s="68">
        <v>36825</v>
      </c>
      <c r="B3259" s="32">
        <v>2170.3200000000002</v>
      </c>
      <c r="C3259">
        <f t="shared" si="80"/>
        <v>2000</v>
      </c>
    </row>
    <row r="3260" spans="1:3">
      <c r="A3260" s="68">
        <v>36826</v>
      </c>
      <c r="B3260" s="33">
        <v>2167.2600000000002</v>
      </c>
      <c r="C3260">
        <f t="shared" si="80"/>
        <v>2000</v>
      </c>
    </row>
    <row r="3261" spans="1:3">
      <c r="A3261" s="68">
        <v>36827</v>
      </c>
      <c r="B3261" s="32">
        <v>2158.14</v>
      </c>
      <c r="C3261">
        <f t="shared" si="80"/>
        <v>2000</v>
      </c>
    </row>
    <row r="3262" spans="1:3">
      <c r="A3262" s="68">
        <v>36828</v>
      </c>
      <c r="B3262" s="33">
        <v>2158.14</v>
      </c>
      <c r="C3262">
        <f t="shared" si="80"/>
        <v>2000</v>
      </c>
    </row>
    <row r="3263" spans="1:3">
      <c r="A3263" s="68">
        <v>36829</v>
      </c>
      <c r="B3263" s="32">
        <v>2158.14</v>
      </c>
      <c r="C3263">
        <f t="shared" si="80"/>
        <v>2000</v>
      </c>
    </row>
    <row r="3264" spans="1:3">
      <c r="A3264" s="68">
        <v>36830</v>
      </c>
      <c r="B3264" s="33">
        <v>2158.36</v>
      </c>
      <c r="C3264">
        <f t="shared" si="80"/>
        <v>2000</v>
      </c>
    </row>
    <row r="3265" spans="1:3">
      <c r="A3265" s="68">
        <v>36831</v>
      </c>
      <c r="B3265" s="32">
        <v>2147.89</v>
      </c>
      <c r="C3265">
        <f t="shared" si="80"/>
        <v>2000</v>
      </c>
    </row>
    <row r="3266" spans="1:3">
      <c r="A3266" s="68">
        <v>36832</v>
      </c>
      <c r="B3266" s="33">
        <v>2138.9499999999998</v>
      </c>
      <c r="C3266">
        <f t="shared" si="80"/>
        <v>2000</v>
      </c>
    </row>
    <row r="3267" spans="1:3">
      <c r="A3267" s="68">
        <v>36833</v>
      </c>
      <c r="B3267" s="32">
        <v>2136.73</v>
      </c>
      <c r="C3267">
        <f t="shared" si="80"/>
        <v>2000</v>
      </c>
    </row>
    <row r="3268" spans="1:3">
      <c r="A3268" s="68">
        <v>36834</v>
      </c>
      <c r="B3268" s="33">
        <v>2139.21</v>
      </c>
      <c r="C3268">
        <f t="shared" ref="C3268:C3331" si="81">YEAR(A3268)</f>
        <v>2000</v>
      </c>
    </row>
    <row r="3269" spans="1:3">
      <c r="A3269" s="68">
        <v>36835</v>
      </c>
      <c r="B3269" s="32">
        <v>2139.21</v>
      </c>
      <c r="C3269">
        <f t="shared" si="81"/>
        <v>2000</v>
      </c>
    </row>
    <row r="3270" spans="1:3">
      <c r="A3270" s="68">
        <v>36836</v>
      </c>
      <c r="B3270" s="33">
        <v>2139.21</v>
      </c>
      <c r="C3270">
        <f t="shared" si="81"/>
        <v>2000</v>
      </c>
    </row>
    <row r="3271" spans="1:3">
      <c r="A3271" s="68">
        <v>36837</v>
      </c>
      <c r="B3271" s="32">
        <v>2139.21</v>
      </c>
      <c r="C3271">
        <f t="shared" si="81"/>
        <v>2000</v>
      </c>
    </row>
    <row r="3272" spans="1:3">
      <c r="A3272" s="68">
        <v>36838</v>
      </c>
      <c r="B3272" s="33">
        <v>2134.08</v>
      </c>
      <c r="C3272">
        <f t="shared" si="81"/>
        <v>2000</v>
      </c>
    </row>
    <row r="3273" spans="1:3">
      <c r="A3273" s="68">
        <v>36839</v>
      </c>
      <c r="B3273" s="32">
        <v>2124.84</v>
      </c>
      <c r="C3273">
        <f t="shared" si="81"/>
        <v>2000</v>
      </c>
    </row>
    <row r="3274" spans="1:3">
      <c r="A3274" s="68">
        <v>36840</v>
      </c>
      <c r="B3274" s="33">
        <v>2127.5100000000002</v>
      </c>
      <c r="C3274">
        <f t="shared" si="81"/>
        <v>2000</v>
      </c>
    </row>
    <row r="3275" spans="1:3">
      <c r="A3275" s="68">
        <v>36841</v>
      </c>
      <c r="B3275" s="32">
        <v>2126.41</v>
      </c>
      <c r="C3275">
        <f t="shared" si="81"/>
        <v>2000</v>
      </c>
    </row>
    <row r="3276" spans="1:3">
      <c r="A3276" s="68">
        <v>36842</v>
      </c>
      <c r="B3276" s="33">
        <v>2126.41</v>
      </c>
      <c r="C3276">
        <f t="shared" si="81"/>
        <v>2000</v>
      </c>
    </row>
    <row r="3277" spans="1:3">
      <c r="A3277" s="68">
        <v>36843</v>
      </c>
      <c r="B3277" s="32">
        <v>2126.41</v>
      </c>
      <c r="C3277">
        <f t="shared" si="81"/>
        <v>2000</v>
      </c>
    </row>
    <row r="3278" spans="1:3">
      <c r="A3278" s="68">
        <v>36844</v>
      </c>
      <c r="B3278" s="33">
        <v>2126.41</v>
      </c>
      <c r="C3278">
        <f t="shared" si="81"/>
        <v>2000</v>
      </c>
    </row>
    <row r="3279" spans="1:3">
      <c r="A3279" s="68">
        <v>36845</v>
      </c>
      <c r="B3279" s="32">
        <v>2125.17</v>
      </c>
      <c r="C3279">
        <f t="shared" si="81"/>
        <v>2000</v>
      </c>
    </row>
    <row r="3280" spans="1:3">
      <c r="A3280" s="68">
        <v>36846</v>
      </c>
      <c r="B3280" s="33">
        <v>2125.31</v>
      </c>
      <c r="C3280">
        <f t="shared" si="81"/>
        <v>2000</v>
      </c>
    </row>
    <row r="3281" spans="1:3">
      <c r="A3281" s="68">
        <v>36847</v>
      </c>
      <c r="B3281" s="32">
        <v>2121.64</v>
      </c>
      <c r="C3281">
        <f t="shared" si="81"/>
        <v>2000</v>
      </c>
    </row>
    <row r="3282" spans="1:3">
      <c r="A3282" s="68">
        <v>36848</v>
      </c>
      <c r="B3282" s="33">
        <v>2122.63</v>
      </c>
      <c r="C3282">
        <f t="shared" si="81"/>
        <v>2000</v>
      </c>
    </row>
    <row r="3283" spans="1:3">
      <c r="A3283" s="68">
        <v>36849</v>
      </c>
      <c r="B3283" s="32">
        <v>2122.63</v>
      </c>
      <c r="C3283">
        <f t="shared" si="81"/>
        <v>2000</v>
      </c>
    </row>
    <row r="3284" spans="1:3">
      <c r="A3284" s="68">
        <v>36850</v>
      </c>
      <c r="B3284" s="33">
        <v>2122.63</v>
      </c>
      <c r="C3284">
        <f t="shared" si="81"/>
        <v>2000</v>
      </c>
    </row>
    <row r="3285" spans="1:3">
      <c r="A3285" s="68">
        <v>36851</v>
      </c>
      <c r="B3285" s="32">
        <v>2122.61</v>
      </c>
      <c r="C3285">
        <f t="shared" si="81"/>
        <v>2000</v>
      </c>
    </row>
    <row r="3286" spans="1:3">
      <c r="A3286" s="68">
        <v>36852</v>
      </c>
      <c r="B3286" s="33">
        <v>2124.16</v>
      </c>
      <c r="C3286">
        <f t="shared" si="81"/>
        <v>2000</v>
      </c>
    </row>
    <row r="3287" spans="1:3">
      <c r="A3287" s="68">
        <v>36853</v>
      </c>
      <c r="B3287" s="32">
        <v>2131.7600000000002</v>
      </c>
      <c r="C3287">
        <f t="shared" si="81"/>
        <v>2000</v>
      </c>
    </row>
    <row r="3288" spans="1:3">
      <c r="A3288" s="68">
        <v>36854</v>
      </c>
      <c r="B3288" s="33">
        <v>2141.14</v>
      </c>
      <c r="C3288">
        <f t="shared" si="81"/>
        <v>2000</v>
      </c>
    </row>
    <row r="3289" spans="1:3">
      <c r="A3289" s="68">
        <v>36855</v>
      </c>
      <c r="B3289" s="32">
        <v>2141.91</v>
      </c>
      <c r="C3289">
        <f t="shared" si="81"/>
        <v>2000</v>
      </c>
    </row>
    <row r="3290" spans="1:3">
      <c r="A3290" s="68">
        <v>36856</v>
      </c>
      <c r="B3290" s="33">
        <v>2141.91</v>
      </c>
      <c r="C3290">
        <f t="shared" si="81"/>
        <v>2000</v>
      </c>
    </row>
    <row r="3291" spans="1:3">
      <c r="A3291" s="68">
        <v>36857</v>
      </c>
      <c r="B3291" s="32">
        <v>2141.91</v>
      </c>
      <c r="C3291">
        <f t="shared" si="81"/>
        <v>2000</v>
      </c>
    </row>
    <row r="3292" spans="1:3">
      <c r="A3292" s="68">
        <v>36858</v>
      </c>
      <c r="B3292" s="33">
        <v>2158.0500000000002</v>
      </c>
      <c r="C3292">
        <f t="shared" si="81"/>
        <v>2000</v>
      </c>
    </row>
    <row r="3293" spans="1:3">
      <c r="A3293" s="68">
        <v>36859</v>
      </c>
      <c r="B3293" s="32">
        <v>2169.8200000000002</v>
      </c>
      <c r="C3293">
        <f t="shared" si="81"/>
        <v>2000</v>
      </c>
    </row>
    <row r="3294" spans="1:3">
      <c r="A3294" s="68">
        <v>36860</v>
      </c>
      <c r="B3294" s="33">
        <v>2172.84</v>
      </c>
      <c r="C3294">
        <f t="shared" si="81"/>
        <v>2000</v>
      </c>
    </row>
    <row r="3295" spans="1:3">
      <c r="A3295" s="68">
        <v>36861</v>
      </c>
      <c r="B3295" s="32">
        <v>2168.6</v>
      </c>
      <c r="C3295">
        <f t="shared" si="81"/>
        <v>2000</v>
      </c>
    </row>
    <row r="3296" spans="1:3">
      <c r="A3296" s="68">
        <v>36862</v>
      </c>
      <c r="B3296" s="33">
        <v>2174.85</v>
      </c>
      <c r="C3296">
        <f t="shared" si="81"/>
        <v>2000</v>
      </c>
    </row>
    <row r="3297" spans="1:3">
      <c r="A3297" s="68">
        <v>36863</v>
      </c>
      <c r="B3297" s="32">
        <v>2174.85</v>
      </c>
      <c r="C3297">
        <f t="shared" si="81"/>
        <v>2000</v>
      </c>
    </row>
    <row r="3298" spans="1:3">
      <c r="A3298" s="68">
        <v>36864</v>
      </c>
      <c r="B3298" s="33">
        <v>2174.85</v>
      </c>
      <c r="C3298">
        <f t="shared" si="81"/>
        <v>2000</v>
      </c>
    </row>
    <row r="3299" spans="1:3">
      <c r="A3299" s="68">
        <v>36865</v>
      </c>
      <c r="B3299" s="32">
        <v>2180.3000000000002</v>
      </c>
      <c r="C3299">
        <f t="shared" si="81"/>
        <v>2000</v>
      </c>
    </row>
    <row r="3300" spans="1:3">
      <c r="A3300" s="68">
        <v>36866</v>
      </c>
      <c r="B3300" s="33">
        <v>2184.1799999999998</v>
      </c>
      <c r="C3300">
        <f t="shared" si="81"/>
        <v>2000</v>
      </c>
    </row>
    <row r="3301" spans="1:3">
      <c r="A3301" s="68">
        <v>36867</v>
      </c>
      <c r="B3301" s="32">
        <v>2174.29</v>
      </c>
      <c r="C3301">
        <f t="shared" si="81"/>
        <v>2000</v>
      </c>
    </row>
    <row r="3302" spans="1:3">
      <c r="A3302" s="68">
        <v>36868</v>
      </c>
      <c r="B3302" s="33">
        <v>2176.33</v>
      </c>
      <c r="C3302">
        <f t="shared" si="81"/>
        <v>2000</v>
      </c>
    </row>
    <row r="3303" spans="1:3">
      <c r="A3303" s="68">
        <v>36869</v>
      </c>
      <c r="B3303" s="32">
        <v>2176.33</v>
      </c>
      <c r="C3303">
        <f t="shared" si="81"/>
        <v>2000</v>
      </c>
    </row>
    <row r="3304" spans="1:3">
      <c r="A3304" s="68">
        <v>36870</v>
      </c>
      <c r="B3304" s="33">
        <v>2176.33</v>
      </c>
      <c r="C3304">
        <f t="shared" si="81"/>
        <v>2000</v>
      </c>
    </row>
    <row r="3305" spans="1:3">
      <c r="A3305" s="68">
        <v>36871</v>
      </c>
      <c r="B3305" s="32">
        <v>2176.33</v>
      </c>
      <c r="C3305">
        <f t="shared" si="81"/>
        <v>2000</v>
      </c>
    </row>
    <row r="3306" spans="1:3">
      <c r="A3306" s="68">
        <v>36872</v>
      </c>
      <c r="B3306" s="33">
        <v>2175.5700000000002</v>
      </c>
      <c r="C3306">
        <f t="shared" si="81"/>
        <v>2000</v>
      </c>
    </row>
    <row r="3307" spans="1:3">
      <c r="A3307" s="68">
        <v>36873</v>
      </c>
      <c r="B3307" s="32">
        <v>2183.08</v>
      </c>
      <c r="C3307">
        <f t="shared" si="81"/>
        <v>2000</v>
      </c>
    </row>
    <row r="3308" spans="1:3">
      <c r="A3308" s="68">
        <v>36874</v>
      </c>
      <c r="B3308" s="33">
        <v>2186.87</v>
      </c>
      <c r="C3308">
        <f t="shared" si="81"/>
        <v>2000</v>
      </c>
    </row>
    <row r="3309" spans="1:3">
      <c r="A3309" s="68">
        <v>36875</v>
      </c>
      <c r="B3309" s="32">
        <v>2184.7600000000002</v>
      </c>
      <c r="C3309">
        <f t="shared" si="81"/>
        <v>2000</v>
      </c>
    </row>
    <row r="3310" spans="1:3">
      <c r="A3310" s="68">
        <v>36876</v>
      </c>
      <c r="B3310" s="33">
        <v>2175.91</v>
      </c>
      <c r="C3310">
        <f t="shared" si="81"/>
        <v>2000</v>
      </c>
    </row>
    <row r="3311" spans="1:3">
      <c r="A3311" s="68">
        <v>36877</v>
      </c>
      <c r="B3311" s="32">
        <v>2175.91</v>
      </c>
      <c r="C3311">
        <f t="shared" si="81"/>
        <v>2000</v>
      </c>
    </row>
    <row r="3312" spans="1:3">
      <c r="A3312" s="68">
        <v>36878</v>
      </c>
      <c r="B3312" s="33">
        <v>2175.91</v>
      </c>
      <c r="C3312">
        <f t="shared" si="81"/>
        <v>2000</v>
      </c>
    </row>
    <row r="3313" spans="1:3">
      <c r="A3313" s="68">
        <v>36879</v>
      </c>
      <c r="B3313" s="32">
        <v>2179.13</v>
      </c>
      <c r="C3313">
        <f t="shared" si="81"/>
        <v>2000</v>
      </c>
    </row>
    <row r="3314" spans="1:3">
      <c r="A3314" s="68">
        <v>36880</v>
      </c>
      <c r="B3314" s="33">
        <v>2187.17</v>
      </c>
      <c r="C3314">
        <f t="shared" si="81"/>
        <v>2000</v>
      </c>
    </row>
    <row r="3315" spans="1:3">
      <c r="A3315" s="68">
        <v>36881</v>
      </c>
      <c r="B3315" s="32">
        <v>2185.0500000000002</v>
      </c>
      <c r="C3315">
        <f t="shared" si="81"/>
        <v>2000</v>
      </c>
    </row>
    <row r="3316" spans="1:3">
      <c r="A3316" s="68">
        <v>36882</v>
      </c>
      <c r="B3316" s="33">
        <v>2187.02</v>
      </c>
      <c r="C3316">
        <f t="shared" si="81"/>
        <v>2000</v>
      </c>
    </row>
    <row r="3317" spans="1:3">
      <c r="A3317" s="68">
        <v>36883</v>
      </c>
      <c r="B3317" s="32">
        <v>2193.5700000000002</v>
      </c>
      <c r="C3317">
        <f t="shared" si="81"/>
        <v>2000</v>
      </c>
    </row>
    <row r="3318" spans="1:3">
      <c r="A3318" s="68">
        <v>36884</v>
      </c>
      <c r="B3318" s="33">
        <v>2193.5700000000002</v>
      </c>
      <c r="C3318">
        <f t="shared" si="81"/>
        <v>2000</v>
      </c>
    </row>
    <row r="3319" spans="1:3">
      <c r="A3319" s="68">
        <v>36885</v>
      </c>
      <c r="B3319" s="32">
        <v>2193.5700000000002</v>
      </c>
      <c r="C3319">
        <f t="shared" si="81"/>
        <v>2000</v>
      </c>
    </row>
    <row r="3320" spans="1:3">
      <c r="A3320" s="68">
        <v>36886</v>
      </c>
      <c r="B3320" s="33">
        <v>2193.5700000000002</v>
      </c>
      <c r="C3320">
        <f t="shared" si="81"/>
        <v>2000</v>
      </c>
    </row>
    <row r="3321" spans="1:3">
      <c r="A3321" s="68">
        <v>36887</v>
      </c>
      <c r="B3321" s="32">
        <v>2196.7600000000002</v>
      </c>
      <c r="C3321">
        <f t="shared" si="81"/>
        <v>2000</v>
      </c>
    </row>
    <row r="3322" spans="1:3">
      <c r="A3322" s="68">
        <v>36888</v>
      </c>
      <c r="B3322" s="33">
        <v>2215.35</v>
      </c>
      <c r="C3322">
        <f t="shared" si="81"/>
        <v>2000</v>
      </c>
    </row>
    <row r="3323" spans="1:3">
      <c r="A3323" s="68">
        <v>36889</v>
      </c>
      <c r="B3323" s="32">
        <v>2229.1799999999998</v>
      </c>
      <c r="C3323">
        <f t="shared" si="81"/>
        <v>2000</v>
      </c>
    </row>
    <row r="3324" spans="1:3">
      <c r="A3324" s="68">
        <v>36890</v>
      </c>
      <c r="B3324" s="33">
        <v>2229.1799999999998</v>
      </c>
      <c r="C3324">
        <f t="shared" si="81"/>
        <v>2000</v>
      </c>
    </row>
    <row r="3325" spans="1:3">
      <c r="A3325" s="68">
        <v>36891</v>
      </c>
      <c r="B3325" s="32">
        <v>2229.1799999999998</v>
      </c>
      <c r="C3325">
        <f t="shared" si="81"/>
        <v>2000</v>
      </c>
    </row>
    <row r="3326" spans="1:3">
      <c r="A3326" s="68">
        <v>36892</v>
      </c>
      <c r="B3326" s="33">
        <v>2229.1799999999998</v>
      </c>
      <c r="C3326">
        <f t="shared" si="81"/>
        <v>2001</v>
      </c>
    </row>
    <row r="3327" spans="1:3">
      <c r="A3327" s="68">
        <v>36893</v>
      </c>
      <c r="B3327" s="32">
        <v>2229.1799999999998</v>
      </c>
      <c r="C3327">
        <f t="shared" si="81"/>
        <v>2001</v>
      </c>
    </row>
    <row r="3328" spans="1:3">
      <c r="A3328" s="68">
        <v>36894</v>
      </c>
      <c r="B3328" s="33">
        <v>2219.6</v>
      </c>
      <c r="C3328">
        <f t="shared" si="81"/>
        <v>2001</v>
      </c>
    </row>
    <row r="3329" spans="1:3">
      <c r="A3329" s="68">
        <v>36895</v>
      </c>
      <c r="B3329" s="32">
        <v>2224.38</v>
      </c>
      <c r="C3329">
        <f t="shared" si="81"/>
        <v>2001</v>
      </c>
    </row>
    <row r="3330" spans="1:3">
      <c r="A3330" s="68">
        <v>36896</v>
      </c>
      <c r="B3330" s="33">
        <v>2239.89</v>
      </c>
      <c r="C3330">
        <f t="shared" si="81"/>
        <v>2001</v>
      </c>
    </row>
    <row r="3331" spans="1:3">
      <c r="A3331" s="68">
        <v>36897</v>
      </c>
      <c r="B3331" s="32">
        <v>2243.16</v>
      </c>
      <c r="C3331">
        <f t="shared" si="81"/>
        <v>2001</v>
      </c>
    </row>
    <row r="3332" spans="1:3">
      <c r="A3332" s="68">
        <v>36898</v>
      </c>
      <c r="B3332" s="33">
        <v>2243.16</v>
      </c>
      <c r="C3332">
        <f t="shared" ref="C3332:C3395" si="82">YEAR(A3332)</f>
        <v>2001</v>
      </c>
    </row>
    <row r="3333" spans="1:3">
      <c r="A3333" s="68">
        <v>36899</v>
      </c>
      <c r="B3333" s="32">
        <v>2243.16</v>
      </c>
      <c r="C3333">
        <f t="shared" si="82"/>
        <v>2001</v>
      </c>
    </row>
    <row r="3334" spans="1:3">
      <c r="A3334" s="68">
        <v>36900</v>
      </c>
      <c r="B3334" s="33">
        <v>2243.16</v>
      </c>
      <c r="C3334">
        <f t="shared" si="82"/>
        <v>2001</v>
      </c>
    </row>
    <row r="3335" spans="1:3">
      <c r="A3335" s="68">
        <v>36901</v>
      </c>
      <c r="B3335" s="32">
        <v>2235.4299999999998</v>
      </c>
      <c r="C3335">
        <f t="shared" si="82"/>
        <v>2001</v>
      </c>
    </row>
    <row r="3336" spans="1:3">
      <c r="A3336" s="68">
        <v>36902</v>
      </c>
      <c r="B3336" s="33">
        <v>2230.14</v>
      </c>
      <c r="C3336">
        <f t="shared" si="82"/>
        <v>2001</v>
      </c>
    </row>
    <row r="3337" spans="1:3">
      <c r="A3337" s="68">
        <v>36903</v>
      </c>
      <c r="B3337" s="32">
        <v>2246.58</v>
      </c>
      <c r="C3337">
        <f t="shared" si="82"/>
        <v>2001</v>
      </c>
    </row>
    <row r="3338" spans="1:3">
      <c r="A3338" s="68">
        <v>36904</v>
      </c>
      <c r="B3338" s="33">
        <v>2251.75</v>
      </c>
      <c r="C3338">
        <f t="shared" si="82"/>
        <v>2001</v>
      </c>
    </row>
    <row r="3339" spans="1:3">
      <c r="A3339" s="68">
        <v>36905</v>
      </c>
      <c r="B3339" s="32">
        <v>2251.75</v>
      </c>
      <c r="C3339">
        <f t="shared" si="82"/>
        <v>2001</v>
      </c>
    </row>
    <row r="3340" spans="1:3">
      <c r="A3340" s="68">
        <v>36906</v>
      </c>
      <c r="B3340" s="33">
        <v>2251.75</v>
      </c>
      <c r="C3340">
        <f t="shared" si="82"/>
        <v>2001</v>
      </c>
    </row>
    <row r="3341" spans="1:3">
      <c r="A3341" s="68">
        <v>36907</v>
      </c>
      <c r="B3341" s="32">
        <v>2248.61</v>
      </c>
      <c r="C3341">
        <f t="shared" si="82"/>
        <v>2001</v>
      </c>
    </row>
    <row r="3342" spans="1:3">
      <c r="A3342" s="68">
        <v>36908</v>
      </c>
      <c r="B3342" s="33">
        <v>2245.89</v>
      </c>
      <c r="C3342">
        <f t="shared" si="82"/>
        <v>2001</v>
      </c>
    </row>
    <row r="3343" spans="1:3">
      <c r="A3343" s="68">
        <v>36909</v>
      </c>
      <c r="B3343" s="32">
        <v>2236.46</v>
      </c>
      <c r="C3343">
        <f t="shared" si="82"/>
        <v>2001</v>
      </c>
    </row>
    <row r="3344" spans="1:3">
      <c r="A3344" s="68">
        <v>36910</v>
      </c>
      <c r="B3344" s="33">
        <v>2246.7399999999998</v>
      </c>
      <c r="C3344">
        <f t="shared" si="82"/>
        <v>2001</v>
      </c>
    </row>
    <row r="3345" spans="1:3">
      <c r="A3345" s="68">
        <v>36911</v>
      </c>
      <c r="B3345" s="32">
        <v>2244.59</v>
      </c>
      <c r="C3345">
        <f t="shared" si="82"/>
        <v>2001</v>
      </c>
    </row>
    <row r="3346" spans="1:3">
      <c r="A3346" s="68">
        <v>36912</v>
      </c>
      <c r="B3346" s="33">
        <v>2244.59</v>
      </c>
      <c r="C3346">
        <f t="shared" si="82"/>
        <v>2001</v>
      </c>
    </row>
    <row r="3347" spans="1:3">
      <c r="A3347" s="68">
        <v>36913</v>
      </c>
      <c r="B3347" s="32">
        <v>2244.59</v>
      </c>
      <c r="C3347">
        <f t="shared" si="82"/>
        <v>2001</v>
      </c>
    </row>
    <row r="3348" spans="1:3">
      <c r="A3348" s="68">
        <v>36914</v>
      </c>
      <c r="B3348" s="33">
        <v>2240.02</v>
      </c>
      <c r="C3348">
        <f t="shared" si="82"/>
        <v>2001</v>
      </c>
    </row>
    <row r="3349" spans="1:3">
      <c r="A3349" s="68">
        <v>36915</v>
      </c>
      <c r="B3349" s="32">
        <v>2255.8200000000002</v>
      </c>
      <c r="C3349">
        <f t="shared" si="82"/>
        <v>2001</v>
      </c>
    </row>
    <row r="3350" spans="1:3">
      <c r="A3350" s="68">
        <v>36916</v>
      </c>
      <c r="B3350" s="33">
        <v>2254.35</v>
      </c>
      <c r="C3350">
        <f t="shared" si="82"/>
        <v>2001</v>
      </c>
    </row>
    <row r="3351" spans="1:3">
      <c r="A3351" s="68">
        <v>36917</v>
      </c>
      <c r="B3351" s="32">
        <v>2250.0300000000002</v>
      </c>
      <c r="C3351">
        <f t="shared" si="82"/>
        <v>2001</v>
      </c>
    </row>
    <row r="3352" spans="1:3">
      <c r="A3352" s="68">
        <v>36918</v>
      </c>
      <c r="B3352" s="33">
        <v>2245.46</v>
      </c>
      <c r="C3352">
        <f t="shared" si="82"/>
        <v>2001</v>
      </c>
    </row>
    <row r="3353" spans="1:3">
      <c r="A3353" s="68">
        <v>36919</v>
      </c>
      <c r="B3353" s="32">
        <v>2245.46</v>
      </c>
      <c r="C3353">
        <f t="shared" si="82"/>
        <v>2001</v>
      </c>
    </row>
    <row r="3354" spans="1:3">
      <c r="A3354" s="68">
        <v>36920</v>
      </c>
      <c r="B3354" s="33">
        <v>2245.46</v>
      </c>
      <c r="C3354">
        <f t="shared" si="82"/>
        <v>2001</v>
      </c>
    </row>
    <row r="3355" spans="1:3">
      <c r="A3355" s="68">
        <v>36921</v>
      </c>
      <c r="B3355" s="32">
        <v>2240.56</v>
      </c>
      <c r="C3355">
        <f t="shared" si="82"/>
        <v>2001</v>
      </c>
    </row>
    <row r="3356" spans="1:3">
      <c r="A3356" s="68">
        <v>36922</v>
      </c>
      <c r="B3356" s="33">
        <v>2240.8000000000002</v>
      </c>
      <c r="C3356">
        <f t="shared" si="82"/>
        <v>2001</v>
      </c>
    </row>
    <row r="3357" spans="1:3">
      <c r="A3357" s="68">
        <v>36923</v>
      </c>
      <c r="B3357" s="32">
        <v>2242.08</v>
      </c>
      <c r="C3357">
        <f t="shared" si="82"/>
        <v>2001</v>
      </c>
    </row>
    <row r="3358" spans="1:3">
      <c r="A3358" s="68">
        <v>36924</v>
      </c>
      <c r="B3358" s="33">
        <v>2240.04</v>
      </c>
      <c r="C3358">
        <f t="shared" si="82"/>
        <v>2001</v>
      </c>
    </row>
    <row r="3359" spans="1:3">
      <c r="A3359" s="68">
        <v>36925</v>
      </c>
      <c r="B3359" s="32">
        <v>2242.1999999999998</v>
      </c>
      <c r="C3359">
        <f t="shared" si="82"/>
        <v>2001</v>
      </c>
    </row>
    <row r="3360" spans="1:3">
      <c r="A3360" s="68">
        <v>36926</v>
      </c>
      <c r="B3360" s="33">
        <v>2242.1999999999998</v>
      </c>
      <c r="C3360">
        <f t="shared" si="82"/>
        <v>2001</v>
      </c>
    </row>
    <row r="3361" spans="1:3">
      <c r="A3361" s="68">
        <v>36927</v>
      </c>
      <c r="B3361" s="32">
        <v>2242.1999999999998</v>
      </c>
      <c r="C3361">
        <f t="shared" si="82"/>
        <v>2001</v>
      </c>
    </row>
    <row r="3362" spans="1:3">
      <c r="A3362" s="68">
        <v>36928</v>
      </c>
      <c r="B3362" s="33">
        <v>2238.35</v>
      </c>
      <c r="C3362">
        <f t="shared" si="82"/>
        <v>2001</v>
      </c>
    </row>
    <row r="3363" spans="1:3">
      <c r="A3363" s="68">
        <v>36929</v>
      </c>
      <c r="B3363" s="32">
        <v>2235.0300000000002</v>
      </c>
      <c r="C3363">
        <f t="shared" si="82"/>
        <v>2001</v>
      </c>
    </row>
    <row r="3364" spans="1:3">
      <c r="A3364" s="68">
        <v>36930</v>
      </c>
      <c r="B3364" s="33">
        <v>2238.09</v>
      </c>
      <c r="C3364">
        <f t="shared" si="82"/>
        <v>2001</v>
      </c>
    </row>
    <row r="3365" spans="1:3">
      <c r="A3365" s="68">
        <v>36931</v>
      </c>
      <c r="B3365" s="32">
        <v>2242.6799999999998</v>
      </c>
      <c r="C3365">
        <f t="shared" si="82"/>
        <v>2001</v>
      </c>
    </row>
    <row r="3366" spans="1:3">
      <c r="A3366" s="68">
        <v>36932</v>
      </c>
      <c r="B3366" s="33">
        <v>2237.58</v>
      </c>
      <c r="C3366">
        <f t="shared" si="82"/>
        <v>2001</v>
      </c>
    </row>
    <row r="3367" spans="1:3">
      <c r="A3367" s="68">
        <v>36933</v>
      </c>
      <c r="B3367" s="32">
        <v>2237.58</v>
      </c>
      <c r="C3367">
        <f t="shared" si="82"/>
        <v>2001</v>
      </c>
    </row>
    <row r="3368" spans="1:3">
      <c r="A3368" s="68">
        <v>36934</v>
      </c>
      <c r="B3368" s="33">
        <v>2237.58</v>
      </c>
      <c r="C3368">
        <f t="shared" si="82"/>
        <v>2001</v>
      </c>
    </row>
    <row r="3369" spans="1:3">
      <c r="A3369" s="68">
        <v>36935</v>
      </c>
      <c r="B3369" s="32">
        <v>2229.59</v>
      </c>
      <c r="C3369">
        <f t="shared" si="82"/>
        <v>2001</v>
      </c>
    </row>
    <row r="3370" spans="1:3">
      <c r="A3370" s="68">
        <v>36936</v>
      </c>
      <c r="B3370" s="33">
        <v>2237.37</v>
      </c>
      <c r="C3370">
        <f t="shared" si="82"/>
        <v>2001</v>
      </c>
    </row>
    <row r="3371" spans="1:3">
      <c r="A3371" s="68">
        <v>36937</v>
      </c>
      <c r="B3371" s="32">
        <v>2239.0300000000002</v>
      </c>
      <c r="C3371">
        <f t="shared" si="82"/>
        <v>2001</v>
      </c>
    </row>
    <row r="3372" spans="1:3">
      <c r="A3372" s="68">
        <v>36938</v>
      </c>
      <c r="B3372" s="33">
        <v>2238.61</v>
      </c>
      <c r="C3372">
        <f t="shared" si="82"/>
        <v>2001</v>
      </c>
    </row>
    <row r="3373" spans="1:3">
      <c r="A3373" s="68">
        <v>36939</v>
      </c>
      <c r="B3373" s="32">
        <v>2238.5100000000002</v>
      </c>
      <c r="C3373">
        <f t="shared" si="82"/>
        <v>2001</v>
      </c>
    </row>
    <row r="3374" spans="1:3">
      <c r="A3374" s="68">
        <v>36940</v>
      </c>
      <c r="B3374" s="33">
        <v>2238.5100000000002</v>
      </c>
      <c r="C3374">
        <f t="shared" si="82"/>
        <v>2001</v>
      </c>
    </row>
    <row r="3375" spans="1:3">
      <c r="A3375" s="68">
        <v>36941</v>
      </c>
      <c r="B3375" s="32">
        <v>2238.5100000000002</v>
      </c>
      <c r="C3375">
        <f t="shared" si="82"/>
        <v>2001</v>
      </c>
    </row>
    <row r="3376" spans="1:3">
      <c r="A3376" s="68">
        <v>36942</v>
      </c>
      <c r="B3376" s="33">
        <v>2245.16</v>
      </c>
      <c r="C3376">
        <f t="shared" si="82"/>
        <v>2001</v>
      </c>
    </row>
    <row r="3377" spans="1:3">
      <c r="A3377" s="68">
        <v>36943</v>
      </c>
      <c r="B3377" s="32">
        <v>2247.09</v>
      </c>
      <c r="C3377">
        <f t="shared" si="82"/>
        <v>2001</v>
      </c>
    </row>
    <row r="3378" spans="1:3">
      <c r="A3378" s="68">
        <v>36944</v>
      </c>
      <c r="B3378" s="33">
        <v>2252.65</v>
      </c>
      <c r="C3378">
        <f t="shared" si="82"/>
        <v>2001</v>
      </c>
    </row>
    <row r="3379" spans="1:3">
      <c r="A3379" s="68">
        <v>36945</v>
      </c>
      <c r="B3379" s="32">
        <v>2252.86</v>
      </c>
      <c r="C3379">
        <f t="shared" si="82"/>
        <v>2001</v>
      </c>
    </row>
    <row r="3380" spans="1:3">
      <c r="A3380" s="68">
        <v>36946</v>
      </c>
      <c r="B3380" s="33">
        <v>2257.6999999999998</v>
      </c>
      <c r="C3380">
        <f t="shared" si="82"/>
        <v>2001</v>
      </c>
    </row>
    <row r="3381" spans="1:3">
      <c r="A3381" s="68">
        <v>36947</v>
      </c>
      <c r="B3381" s="32">
        <v>2257.6999999999998</v>
      </c>
      <c r="C3381">
        <f t="shared" si="82"/>
        <v>2001</v>
      </c>
    </row>
    <row r="3382" spans="1:3">
      <c r="A3382" s="68">
        <v>36948</v>
      </c>
      <c r="B3382" s="33">
        <v>2257.6999999999998</v>
      </c>
      <c r="C3382">
        <f t="shared" si="82"/>
        <v>2001</v>
      </c>
    </row>
    <row r="3383" spans="1:3">
      <c r="A3383" s="68">
        <v>36949</v>
      </c>
      <c r="B3383" s="32">
        <v>2256.42</v>
      </c>
      <c r="C3383">
        <f t="shared" si="82"/>
        <v>2001</v>
      </c>
    </row>
    <row r="3384" spans="1:3">
      <c r="A3384" s="68">
        <v>36950</v>
      </c>
      <c r="B3384" s="33">
        <v>2257.4499999999998</v>
      </c>
      <c r="C3384">
        <f t="shared" si="82"/>
        <v>2001</v>
      </c>
    </row>
    <row r="3385" spans="1:3">
      <c r="A3385" s="68">
        <v>36951</v>
      </c>
      <c r="B3385" s="32">
        <v>2259.64</v>
      </c>
      <c r="C3385">
        <f t="shared" si="82"/>
        <v>2001</v>
      </c>
    </row>
    <row r="3386" spans="1:3">
      <c r="A3386" s="68">
        <v>36952</v>
      </c>
      <c r="B3386" s="33">
        <v>2265.44</v>
      </c>
      <c r="C3386">
        <f t="shared" si="82"/>
        <v>2001</v>
      </c>
    </row>
    <row r="3387" spans="1:3">
      <c r="A3387" s="68">
        <v>36953</v>
      </c>
      <c r="B3387" s="32">
        <v>2264.09</v>
      </c>
      <c r="C3387">
        <f t="shared" si="82"/>
        <v>2001</v>
      </c>
    </row>
    <row r="3388" spans="1:3">
      <c r="A3388" s="68">
        <v>36954</v>
      </c>
      <c r="B3388" s="33">
        <v>2264.09</v>
      </c>
      <c r="C3388">
        <f t="shared" si="82"/>
        <v>2001</v>
      </c>
    </row>
    <row r="3389" spans="1:3">
      <c r="A3389" s="68">
        <v>36955</v>
      </c>
      <c r="B3389" s="32">
        <v>2264.09</v>
      </c>
      <c r="C3389">
        <f t="shared" si="82"/>
        <v>2001</v>
      </c>
    </row>
    <row r="3390" spans="1:3">
      <c r="A3390" s="68">
        <v>36956</v>
      </c>
      <c r="B3390" s="33">
        <v>2259.0700000000002</v>
      </c>
      <c r="C3390">
        <f t="shared" si="82"/>
        <v>2001</v>
      </c>
    </row>
    <row r="3391" spans="1:3">
      <c r="A3391" s="68">
        <v>36957</v>
      </c>
      <c r="B3391" s="32">
        <v>2260.33</v>
      </c>
      <c r="C3391">
        <f t="shared" si="82"/>
        <v>2001</v>
      </c>
    </row>
    <row r="3392" spans="1:3">
      <c r="A3392" s="68">
        <v>36958</v>
      </c>
      <c r="B3392" s="33">
        <v>2262.06</v>
      </c>
      <c r="C3392">
        <f t="shared" si="82"/>
        <v>2001</v>
      </c>
    </row>
    <row r="3393" spans="1:3">
      <c r="A3393" s="68">
        <v>36959</v>
      </c>
      <c r="B3393" s="32">
        <v>2262.5500000000002</v>
      </c>
      <c r="C3393">
        <f t="shared" si="82"/>
        <v>2001</v>
      </c>
    </row>
    <row r="3394" spans="1:3">
      <c r="A3394" s="68">
        <v>36960</v>
      </c>
      <c r="B3394" s="33">
        <v>2264.0100000000002</v>
      </c>
      <c r="C3394">
        <f t="shared" si="82"/>
        <v>2001</v>
      </c>
    </row>
    <row r="3395" spans="1:3">
      <c r="A3395" s="68">
        <v>36961</v>
      </c>
      <c r="B3395" s="32">
        <v>2264.0100000000002</v>
      </c>
      <c r="C3395">
        <f t="shared" si="82"/>
        <v>2001</v>
      </c>
    </row>
    <row r="3396" spans="1:3">
      <c r="A3396" s="68">
        <v>36962</v>
      </c>
      <c r="B3396" s="33">
        <v>2264.0100000000002</v>
      </c>
      <c r="C3396">
        <f t="shared" ref="C3396:C3459" si="83">YEAR(A3396)</f>
        <v>2001</v>
      </c>
    </row>
    <row r="3397" spans="1:3">
      <c r="A3397" s="68">
        <v>36963</v>
      </c>
      <c r="B3397" s="32">
        <v>2275.98</v>
      </c>
      <c r="C3397">
        <f t="shared" si="83"/>
        <v>2001</v>
      </c>
    </row>
    <row r="3398" spans="1:3">
      <c r="A3398" s="68">
        <v>36964</v>
      </c>
      <c r="B3398" s="33">
        <v>2275.92</v>
      </c>
      <c r="C3398">
        <f t="shared" si="83"/>
        <v>2001</v>
      </c>
    </row>
    <row r="3399" spans="1:3">
      <c r="A3399" s="68">
        <v>36965</v>
      </c>
      <c r="B3399" s="32">
        <v>2282.0100000000002</v>
      </c>
      <c r="C3399">
        <f t="shared" si="83"/>
        <v>2001</v>
      </c>
    </row>
    <row r="3400" spans="1:3">
      <c r="A3400" s="68">
        <v>36966</v>
      </c>
      <c r="B3400" s="33">
        <v>2281.02</v>
      </c>
      <c r="C3400">
        <f t="shared" si="83"/>
        <v>2001</v>
      </c>
    </row>
    <row r="3401" spans="1:3">
      <c r="A3401" s="68">
        <v>36967</v>
      </c>
      <c r="B3401" s="32">
        <v>2282.96</v>
      </c>
      <c r="C3401">
        <f t="shared" si="83"/>
        <v>2001</v>
      </c>
    </row>
    <row r="3402" spans="1:3">
      <c r="A3402" s="68">
        <v>36968</v>
      </c>
      <c r="B3402" s="33">
        <v>2282.96</v>
      </c>
      <c r="C3402">
        <f t="shared" si="83"/>
        <v>2001</v>
      </c>
    </row>
    <row r="3403" spans="1:3">
      <c r="A3403" s="68">
        <v>36969</v>
      </c>
      <c r="B3403" s="32">
        <v>2282.96</v>
      </c>
      <c r="C3403">
        <f t="shared" si="83"/>
        <v>2001</v>
      </c>
    </row>
    <row r="3404" spans="1:3">
      <c r="A3404" s="68">
        <v>36970</v>
      </c>
      <c r="B3404" s="33">
        <v>2282.96</v>
      </c>
      <c r="C3404">
        <f t="shared" si="83"/>
        <v>2001</v>
      </c>
    </row>
    <row r="3405" spans="1:3">
      <c r="A3405" s="68">
        <v>36971</v>
      </c>
      <c r="B3405" s="32">
        <v>2282.17</v>
      </c>
      <c r="C3405">
        <f t="shared" si="83"/>
        <v>2001</v>
      </c>
    </row>
    <row r="3406" spans="1:3">
      <c r="A3406" s="68">
        <v>36972</v>
      </c>
      <c r="B3406" s="33">
        <v>2284.04</v>
      </c>
      <c r="C3406">
        <f t="shared" si="83"/>
        <v>2001</v>
      </c>
    </row>
    <row r="3407" spans="1:3">
      <c r="A3407" s="68">
        <v>36973</v>
      </c>
      <c r="B3407" s="32">
        <v>2290.02</v>
      </c>
      <c r="C3407">
        <f t="shared" si="83"/>
        <v>2001</v>
      </c>
    </row>
    <row r="3408" spans="1:3">
      <c r="A3408" s="68">
        <v>36974</v>
      </c>
      <c r="B3408" s="33">
        <v>2295.7399999999998</v>
      </c>
      <c r="C3408">
        <f t="shared" si="83"/>
        <v>2001</v>
      </c>
    </row>
    <row r="3409" spans="1:3">
      <c r="A3409" s="68">
        <v>36975</v>
      </c>
      <c r="B3409" s="32">
        <v>2295.7399999999998</v>
      </c>
      <c r="C3409">
        <f t="shared" si="83"/>
        <v>2001</v>
      </c>
    </row>
    <row r="3410" spans="1:3">
      <c r="A3410" s="68">
        <v>36976</v>
      </c>
      <c r="B3410" s="33">
        <v>2295.7399999999998</v>
      </c>
      <c r="C3410">
        <f t="shared" si="83"/>
        <v>2001</v>
      </c>
    </row>
    <row r="3411" spans="1:3">
      <c r="A3411" s="68">
        <v>36977</v>
      </c>
      <c r="B3411" s="32">
        <v>2293.9899999999998</v>
      </c>
      <c r="C3411">
        <f t="shared" si="83"/>
        <v>2001</v>
      </c>
    </row>
    <row r="3412" spans="1:3">
      <c r="A3412" s="68">
        <v>36978</v>
      </c>
      <c r="B3412" s="33">
        <v>2299.6799999999998</v>
      </c>
      <c r="C3412">
        <f t="shared" si="83"/>
        <v>2001</v>
      </c>
    </row>
    <row r="3413" spans="1:3">
      <c r="A3413" s="68">
        <v>36979</v>
      </c>
      <c r="B3413" s="32">
        <v>2303.86</v>
      </c>
      <c r="C3413">
        <f t="shared" si="83"/>
        <v>2001</v>
      </c>
    </row>
    <row r="3414" spans="1:3">
      <c r="A3414" s="68">
        <v>36980</v>
      </c>
      <c r="B3414" s="33">
        <v>2309.83</v>
      </c>
      <c r="C3414">
        <f t="shared" si="83"/>
        <v>2001</v>
      </c>
    </row>
    <row r="3415" spans="1:3">
      <c r="A3415" s="68">
        <v>36981</v>
      </c>
      <c r="B3415" s="32">
        <v>2310.5700000000002</v>
      </c>
      <c r="C3415">
        <f t="shared" si="83"/>
        <v>2001</v>
      </c>
    </row>
    <row r="3416" spans="1:3">
      <c r="A3416" s="68">
        <v>36982</v>
      </c>
      <c r="B3416" s="33">
        <v>2310.5700000000002</v>
      </c>
      <c r="C3416">
        <f t="shared" si="83"/>
        <v>2001</v>
      </c>
    </row>
    <row r="3417" spans="1:3">
      <c r="A3417" s="68">
        <v>36983</v>
      </c>
      <c r="B3417" s="32">
        <v>2310.5700000000002</v>
      </c>
      <c r="C3417">
        <f t="shared" si="83"/>
        <v>2001</v>
      </c>
    </row>
    <row r="3418" spans="1:3">
      <c r="A3418" s="68">
        <v>36984</v>
      </c>
      <c r="B3418" s="33">
        <v>2304.19</v>
      </c>
      <c r="C3418">
        <f t="shared" si="83"/>
        <v>2001</v>
      </c>
    </row>
    <row r="3419" spans="1:3">
      <c r="A3419" s="68">
        <v>36985</v>
      </c>
      <c r="B3419" s="32">
        <v>2308.64</v>
      </c>
      <c r="C3419">
        <f t="shared" si="83"/>
        <v>2001</v>
      </c>
    </row>
    <row r="3420" spans="1:3">
      <c r="A3420" s="68">
        <v>36986</v>
      </c>
      <c r="B3420" s="33">
        <v>2315.81</v>
      </c>
      <c r="C3420">
        <f t="shared" si="83"/>
        <v>2001</v>
      </c>
    </row>
    <row r="3421" spans="1:3">
      <c r="A3421" s="68">
        <v>36987</v>
      </c>
      <c r="B3421" s="32">
        <v>2317.46</v>
      </c>
      <c r="C3421">
        <f t="shared" si="83"/>
        <v>2001</v>
      </c>
    </row>
    <row r="3422" spans="1:3">
      <c r="A3422" s="68">
        <v>36988</v>
      </c>
      <c r="B3422" s="33">
        <v>2318.58</v>
      </c>
      <c r="C3422">
        <f t="shared" si="83"/>
        <v>2001</v>
      </c>
    </row>
    <row r="3423" spans="1:3">
      <c r="A3423" s="68">
        <v>36989</v>
      </c>
      <c r="B3423" s="32">
        <v>2318.58</v>
      </c>
      <c r="C3423">
        <f t="shared" si="83"/>
        <v>2001</v>
      </c>
    </row>
    <row r="3424" spans="1:3">
      <c r="A3424" s="68">
        <v>36990</v>
      </c>
      <c r="B3424" s="33">
        <v>2318.58</v>
      </c>
      <c r="C3424">
        <f t="shared" si="83"/>
        <v>2001</v>
      </c>
    </row>
    <row r="3425" spans="1:3">
      <c r="A3425" s="68">
        <v>36991</v>
      </c>
      <c r="B3425" s="32">
        <v>2315.21</v>
      </c>
      <c r="C3425">
        <f t="shared" si="83"/>
        <v>2001</v>
      </c>
    </row>
    <row r="3426" spans="1:3">
      <c r="A3426" s="68">
        <v>36992</v>
      </c>
      <c r="B3426" s="33">
        <v>2309.84</v>
      </c>
      <c r="C3426">
        <f t="shared" si="83"/>
        <v>2001</v>
      </c>
    </row>
    <row r="3427" spans="1:3">
      <c r="A3427" s="68">
        <v>36993</v>
      </c>
      <c r="B3427" s="32">
        <v>2314.0700000000002</v>
      </c>
      <c r="C3427">
        <f t="shared" si="83"/>
        <v>2001</v>
      </c>
    </row>
    <row r="3428" spans="1:3">
      <c r="A3428" s="68">
        <v>36994</v>
      </c>
      <c r="B3428" s="33">
        <v>2314.0700000000002</v>
      </c>
      <c r="C3428">
        <f t="shared" si="83"/>
        <v>2001</v>
      </c>
    </row>
    <row r="3429" spans="1:3">
      <c r="A3429" s="68">
        <v>36995</v>
      </c>
      <c r="B3429" s="32">
        <v>2314.0700000000002</v>
      </c>
      <c r="C3429">
        <f t="shared" si="83"/>
        <v>2001</v>
      </c>
    </row>
    <row r="3430" spans="1:3">
      <c r="A3430" s="68">
        <v>36996</v>
      </c>
      <c r="B3430" s="33">
        <v>2314.0700000000002</v>
      </c>
      <c r="C3430">
        <f t="shared" si="83"/>
        <v>2001</v>
      </c>
    </row>
    <row r="3431" spans="1:3">
      <c r="A3431" s="68">
        <v>36997</v>
      </c>
      <c r="B3431" s="32">
        <v>2314.0700000000002</v>
      </c>
      <c r="C3431">
        <f t="shared" si="83"/>
        <v>2001</v>
      </c>
    </row>
    <row r="3432" spans="1:3">
      <c r="A3432" s="68">
        <v>36998</v>
      </c>
      <c r="B3432" s="33">
        <v>2320.1799999999998</v>
      </c>
      <c r="C3432">
        <f t="shared" si="83"/>
        <v>2001</v>
      </c>
    </row>
    <row r="3433" spans="1:3">
      <c r="A3433" s="68">
        <v>36999</v>
      </c>
      <c r="B3433" s="32">
        <v>2319.5700000000002</v>
      </c>
      <c r="C3433">
        <f t="shared" si="83"/>
        <v>2001</v>
      </c>
    </row>
    <row r="3434" spans="1:3">
      <c r="A3434" s="68">
        <v>37000</v>
      </c>
      <c r="B3434" s="33">
        <v>2316.91</v>
      </c>
      <c r="C3434">
        <f t="shared" si="83"/>
        <v>2001</v>
      </c>
    </row>
    <row r="3435" spans="1:3">
      <c r="A3435" s="68">
        <v>37001</v>
      </c>
      <c r="B3435" s="32">
        <v>2327.08</v>
      </c>
      <c r="C3435">
        <f t="shared" si="83"/>
        <v>2001</v>
      </c>
    </row>
    <row r="3436" spans="1:3">
      <c r="A3436" s="68">
        <v>37002</v>
      </c>
      <c r="B3436" s="33">
        <v>2329.73</v>
      </c>
      <c r="C3436">
        <f t="shared" si="83"/>
        <v>2001</v>
      </c>
    </row>
    <row r="3437" spans="1:3">
      <c r="A3437" s="68">
        <v>37003</v>
      </c>
      <c r="B3437" s="32">
        <v>2329.73</v>
      </c>
      <c r="C3437">
        <f t="shared" si="83"/>
        <v>2001</v>
      </c>
    </row>
    <row r="3438" spans="1:3">
      <c r="A3438" s="68">
        <v>37004</v>
      </c>
      <c r="B3438" s="33">
        <v>2329.73</v>
      </c>
      <c r="C3438">
        <f t="shared" si="83"/>
        <v>2001</v>
      </c>
    </row>
    <row r="3439" spans="1:3">
      <c r="A3439" s="68">
        <v>37005</v>
      </c>
      <c r="B3439" s="32">
        <v>2334.38</v>
      </c>
      <c r="C3439">
        <f t="shared" si="83"/>
        <v>2001</v>
      </c>
    </row>
    <row r="3440" spans="1:3">
      <c r="A3440" s="68">
        <v>37006</v>
      </c>
      <c r="B3440" s="33">
        <v>2339.16</v>
      </c>
      <c r="C3440">
        <f t="shared" si="83"/>
        <v>2001</v>
      </c>
    </row>
    <row r="3441" spans="1:3">
      <c r="A3441" s="68">
        <v>37007</v>
      </c>
      <c r="B3441" s="32">
        <v>2345.21</v>
      </c>
      <c r="C3441">
        <f t="shared" si="83"/>
        <v>2001</v>
      </c>
    </row>
    <row r="3442" spans="1:3">
      <c r="A3442" s="68">
        <v>37008</v>
      </c>
      <c r="B3442" s="33">
        <v>2345.5700000000002</v>
      </c>
      <c r="C3442">
        <f t="shared" si="83"/>
        <v>2001</v>
      </c>
    </row>
    <row r="3443" spans="1:3">
      <c r="A3443" s="68">
        <v>37009</v>
      </c>
      <c r="B3443" s="32">
        <v>2346.73</v>
      </c>
      <c r="C3443">
        <f t="shared" si="83"/>
        <v>2001</v>
      </c>
    </row>
    <row r="3444" spans="1:3">
      <c r="A3444" s="68">
        <v>37010</v>
      </c>
      <c r="B3444" s="33">
        <v>2346.73</v>
      </c>
      <c r="C3444">
        <f t="shared" si="83"/>
        <v>2001</v>
      </c>
    </row>
    <row r="3445" spans="1:3">
      <c r="A3445" s="68">
        <v>37011</v>
      </c>
      <c r="B3445" s="32">
        <v>2346.73</v>
      </c>
      <c r="C3445">
        <f t="shared" si="83"/>
        <v>2001</v>
      </c>
    </row>
    <row r="3446" spans="1:3">
      <c r="A3446" s="68">
        <v>37012</v>
      </c>
      <c r="B3446" s="33">
        <v>2341.09</v>
      </c>
      <c r="C3446">
        <f t="shared" si="83"/>
        <v>2001</v>
      </c>
    </row>
    <row r="3447" spans="1:3">
      <c r="A3447" s="68">
        <v>37013</v>
      </c>
      <c r="B3447" s="32">
        <v>2341.09</v>
      </c>
      <c r="C3447">
        <f t="shared" si="83"/>
        <v>2001</v>
      </c>
    </row>
    <row r="3448" spans="1:3">
      <c r="A3448" s="68">
        <v>37014</v>
      </c>
      <c r="B3448" s="33">
        <v>2345.96</v>
      </c>
      <c r="C3448">
        <f t="shared" si="83"/>
        <v>2001</v>
      </c>
    </row>
    <row r="3449" spans="1:3">
      <c r="A3449" s="68">
        <v>37015</v>
      </c>
      <c r="B3449" s="32">
        <v>2349.9499999999998</v>
      </c>
      <c r="C3449">
        <f t="shared" si="83"/>
        <v>2001</v>
      </c>
    </row>
    <row r="3450" spans="1:3">
      <c r="A3450" s="68">
        <v>37016</v>
      </c>
      <c r="B3450" s="33">
        <v>2354.4699999999998</v>
      </c>
      <c r="C3450">
        <f t="shared" si="83"/>
        <v>2001</v>
      </c>
    </row>
    <row r="3451" spans="1:3">
      <c r="A3451" s="68">
        <v>37017</v>
      </c>
      <c r="B3451" s="32">
        <v>2354.4699999999998</v>
      </c>
      <c r="C3451">
        <f t="shared" si="83"/>
        <v>2001</v>
      </c>
    </row>
    <row r="3452" spans="1:3">
      <c r="A3452" s="68">
        <v>37018</v>
      </c>
      <c r="B3452" s="33">
        <v>2354.4699999999998</v>
      </c>
      <c r="C3452">
        <f t="shared" si="83"/>
        <v>2001</v>
      </c>
    </row>
    <row r="3453" spans="1:3">
      <c r="A3453" s="68">
        <v>37019</v>
      </c>
      <c r="B3453" s="32">
        <v>2359.54</v>
      </c>
      <c r="C3453">
        <f t="shared" si="83"/>
        <v>2001</v>
      </c>
    </row>
    <row r="3454" spans="1:3">
      <c r="A3454" s="68">
        <v>37020</v>
      </c>
      <c r="B3454" s="33">
        <v>2359.2199999999998</v>
      </c>
      <c r="C3454">
        <f t="shared" si="83"/>
        <v>2001</v>
      </c>
    </row>
    <row r="3455" spans="1:3">
      <c r="A3455" s="68">
        <v>37021</v>
      </c>
      <c r="B3455" s="32">
        <v>2359.98</v>
      </c>
      <c r="C3455">
        <f t="shared" si="83"/>
        <v>2001</v>
      </c>
    </row>
    <row r="3456" spans="1:3">
      <c r="A3456" s="68">
        <v>37022</v>
      </c>
      <c r="B3456" s="33">
        <v>2359.79</v>
      </c>
      <c r="C3456">
        <f t="shared" si="83"/>
        <v>2001</v>
      </c>
    </row>
    <row r="3457" spans="1:3">
      <c r="A3457" s="68">
        <v>37023</v>
      </c>
      <c r="B3457" s="32">
        <v>2367.3000000000002</v>
      </c>
      <c r="C3457">
        <f t="shared" si="83"/>
        <v>2001</v>
      </c>
    </row>
    <row r="3458" spans="1:3">
      <c r="A3458" s="68">
        <v>37024</v>
      </c>
      <c r="B3458" s="33">
        <v>2367.3000000000002</v>
      </c>
      <c r="C3458">
        <f t="shared" si="83"/>
        <v>2001</v>
      </c>
    </row>
    <row r="3459" spans="1:3">
      <c r="A3459" s="68">
        <v>37025</v>
      </c>
      <c r="B3459" s="32">
        <v>2367.3000000000002</v>
      </c>
      <c r="C3459">
        <f t="shared" si="83"/>
        <v>2001</v>
      </c>
    </row>
    <row r="3460" spans="1:3">
      <c r="A3460" s="68">
        <v>37026</v>
      </c>
      <c r="B3460" s="33">
        <v>2371.58</v>
      </c>
      <c r="C3460">
        <f t="shared" ref="C3460:C3523" si="84">YEAR(A3460)</f>
        <v>2001</v>
      </c>
    </row>
    <row r="3461" spans="1:3">
      <c r="A3461" s="68">
        <v>37027</v>
      </c>
      <c r="B3461" s="32">
        <v>2376.9299999999998</v>
      </c>
      <c r="C3461">
        <f t="shared" si="84"/>
        <v>2001</v>
      </c>
    </row>
    <row r="3462" spans="1:3">
      <c r="A3462" s="68">
        <v>37028</v>
      </c>
      <c r="B3462" s="33">
        <v>2378.21</v>
      </c>
      <c r="C3462">
        <f t="shared" si="84"/>
        <v>2001</v>
      </c>
    </row>
    <row r="3463" spans="1:3">
      <c r="A3463" s="68">
        <v>37029</v>
      </c>
      <c r="B3463" s="32">
        <v>2378.41</v>
      </c>
      <c r="C3463">
        <f t="shared" si="84"/>
        <v>2001</v>
      </c>
    </row>
    <row r="3464" spans="1:3">
      <c r="A3464" s="68">
        <v>37030</v>
      </c>
      <c r="B3464" s="33">
        <v>2348.88</v>
      </c>
      <c r="C3464">
        <f t="shared" si="84"/>
        <v>2001</v>
      </c>
    </row>
    <row r="3465" spans="1:3">
      <c r="A3465" s="68">
        <v>37031</v>
      </c>
      <c r="B3465" s="32">
        <v>2348.88</v>
      </c>
      <c r="C3465">
        <f t="shared" si="84"/>
        <v>2001</v>
      </c>
    </row>
    <row r="3466" spans="1:3">
      <c r="A3466" s="68">
        <v>37032</v>
      </c>
      <c r="B3466" s="33">
        <v>2348.88</v>
      </c>
      <c r="C3466">
        <f t="shared" si="84"/>
        <v>2001</v>
      </c>
    </row>
    <row r="3467" spans="1:3">
      <c r="A3467" s="68">
        <v>37033</v>
      </c>
      <c r="B3467" s="32">
        <v>2314.75</v>
      </c>
      <c r="C3467">
        <f t="shared" si="84"/>
        <v>2001</v>
      </c>
    </row>
    <row r="3468" spans="1:3">
      <c r="A3468" s="68">
        <v>37034</v>
      </c>
      <c r="B3468" s="33">
        <v>2316.7199999999998</v>
      </c>
      <c r="C3468">
        <f t="shared" si="84"/>
        <v>2001</v>
      </c>
    </row>
    <row r="3469" spans="1:3">
      <c r="A3469" s="68">
        <v>37035</v>
      </c>
      <c r="B3469" s="32">
        <v>2295.23</v>
      </c>
      <c r="C3469">
        <f t="shared" si="84"/>
        <v>2001</v>
      </c>
    </row>
    <row r="3470" spans="1:3">
      <c r="A3470" s="68">
        <v>37036</v>
      </c>
      <c r="B3470" s="33">
        <v>2310.64</v>
      </c>
      <c r="C3470">
        <f t="shared" si="84"/>
        <v>2001</v>
      </c>
    </row>
    <row r="3471" spans="1:3">
      <c r="A3471" s="68">
        <v>37037</v>
      </c>
      <c r="B3471" s="32">
        <v>2339.98</v>
      </c>
      <c r="C3471">
        <f t="shared" si="84"/>
        <v>2001</v>
      </c>
    </row>
    <row r="3472" spans="1:3">
      <c r="A3472" s="68">
        <v>37038</v>
      </c>
      <c r="B3472" s="33">
        <v>2339.98</v>
      </c>
      <c r="C3472">
        <f t="shared" si="84"/>
        <v>2001</v>
      </c>
    </row>
    <row r="3473" spans="1:3">
      <c r="A3473" s="68">
        <v>37039</v>
      </c>
      <c r="B3473" s="32">
        <v>2339.98</v>
      </c>
      <c r="C3473">
        <f t="shared" si="84"/>
        <v>2001</v>
      </c>
    </row>
    <row r="3474" spans="1:3">
      <c r="A3474" s="68">
        <v>37040</v>
      </c>
      <c r="B3474" s="33">
        <v>2339.98</v>
      </c>
      <c r="C3474">
        <f t="shared" si="84"/>
        <v>2001</v>
      </c>
    </row>
    <row r="3475" spans="1:3">
      <c r="A3475" s="68">
        <v>37041</v>
      </c>
      <c r="B3475" s="32">
        <v>2331.91</v>
      </c>
      <c r="C3475">
        <f t="shared" si="84"/>
        <v>2001</v>
      </c>
    </row>
    <row r="3476" spans="1:3">
      <c r="A3476" s="68">
        <v>37042</v>
      </c>
      <c r="B3476" s="33">
        <v>2324.98</v>
      </c>
      <c r="C3476">
        <f t="shared" si="84"/>
        <v>2001</v>
      </c>
    </row>
    <row r="3477" spans="1:3">
      <c r="A3477" s="68">
        <v>37043</v>
      </c>
      <c r="B3477" s="32">
        <v>2327.25</v>
      </c>
      <c r="C3477">
        <f t="shared" si="84"/>
        <v>2001</v>
      </c>
    </row>
    <row r="3478" spans="1:3">
      <c r="A3478" s="68">
        <v>37044</v>
      </c>
      <c r="B3478" s="33">
        <v>2319.16</v>
      </c>
      <c r="C3478">
        <f t="shared" si="84"/>
        <v>2001</v>
      </c>
    </row>
    <row r="3479" spans="1:3">
      <c r="A3479" s="68">
        <v>37045</v>
      </c>
      <c r="B3479" s="32">
        <v>2319.16</v>
      </c>
      <c r="C3479">
        <f t="shared" si="84"/>
        <v>2001</v>
      </c>
    </row>
    <row r="3480" spans="1:3">
      <c r="A3480" s="68">
        <v>37046</v>
      </c>
      <c r="B3480" s="33">
        <v>2319.16</v>
      </c>
      <c r="C3480">
        <f t="shared" si="84"/>
        <v>2001</v>
      </c>
    </row>
    <row r="3481" spans="1:3">
      <c r="A3481" s="68">
        <v>37047</v>
      </c>
      <c r="B3481" s="32">
        <v>2296.88</v>
      </c>
      <c r="C3481">
        <f t="shared" si="84"/>
        <v>2001</v>
      </c>
    </row>
    <row r="3482" spans="1:3">
      <c r="A3482" s="68">
        <v>37048</v>
      </c>
      <c r="B3482" s="33">
        <v>2303.37</v>
      </c>
      <c r="C3482">
        <f t="shared" si="84"/>
        <v>2001</v>
      </c>
    </row>
    <row r="3483" spans="1:3">
      <c r="A3483" s="68">
        <v>37049</v>
      </c>
      <c r="B3483" s="32">
        <v>2303.38</v>
      </c>
      <c r="C3483">
        <f t="shared" si="84"/>
        <v>2001</v>
      </c>
    </row>
    <row r="3484" spans="1:3">
      <c r="A3484" s="68">
        <v>37050</v>
      </c>
      <c r="B3484" s="33">
        <v>2303.41</v>
      </c>
      <c r="C3484">
        <f t="shared" si="84"/>
        <v>2001</v>
      </c>
    </row>
    <row r="3485" spans="1:3">
      <c r="A3485" s="68">
        <v>37051</v>
      </c>
      <c r="B3485" s="32">
        <v>2296.31</v>
      </c>
      <c r="C3485">
        <f t="shared" si="84"/>
        <v>2001</v>
      </c>
    </row>
    <row r="3486" spans="1:3">
      <c r="A3486" s="68">
        <v>37052</v>
      </c>
      <c r="B3486" s="33">
        <v>2296.31</v>
      </c>
      <c r="C3486">
        <f t="shared" si="84"/>
        <v>2001</v>
      </c>
    </row>
    <row r="3487" spans="1:3">
      <c r="A3487" s="68">
        <v>37053</v>
      </c>
      <c r="B3487" s="32">
        <v>2296.31</v>
      </c>
      <c r="C3487">
        <f t="shared" si="84"/>
        <v>2001</v>
      </c>
    </row>
    <row r="3488" spans="1:3">
      <c r="A3488" s="68">
        <v>37054</v>
      </c>
      <c r="B3488" s="33">
        <v>2309.06</v>
      </c>
      <c r="C3488">
        <f t="shared" si="84"/>
        <v>2001</v>
      </c>
    </row>
    <row r="3489" spans="1:3">
      <c r="A3489" s="68">
        <v>37055</v>
      </c>
      <c r="B3489" s="32">
        <v>2313.7399999999998</v>
      </c>
      <c r="C3489">
        <f t="shared" si="84"/>
        <v>2001</v>
      </c>
    </row>
    <row r="3490" spans="1:3">
      <c r="A3490" s="68">
        <v>37056</v>
      </c>
      <c r="B3490" s="33">
        <v>2302.16</v>
      </c>
      <c r="C3490">
        <f t="shared" si="84"/>
        <v>2001</v>
      </c>
    </row>
    <row r="3491" spans="1:3">
      <c r="A3491" s="68">
        <v>37057</v>
      </c>
      <c r="B3491" s="32">
        <v>2300.1799999999998</v>
      </c>
      <c r="C3491">
        <f t="shared" si="84"/>
        <v>2001</v>
      </c>
    </row>
    <row r="3492" spans="1:3">
      <c r="A3492" s="68">
        <v>37058</v>
      </c>
      <c r="B3492" s="33">
        <v>2303.13</v>
      </c>
      <c r="C3492">
        <f t="shared" si="84"/>
        <v>2001</v>
      </c>
    </row>
    <row r="3493" spans="1:3">
      <c r="A3493" s="68">
        <v>37059</v>
      </c>
      <c r="B3493" s="32">
        <v>2303.13</v>
      </c>
      <c r="C3493">
        <f t="shared" si="84"/>
        <v>2001</v>
      </c>
    </row>
    <row r="3494" spans="1:3">
      <c r="A3494" s="68">
        <v>37060</v>
      </c>
      <c r="B3494" s="33">
        <v>2303.13</v>
      </c>
      <c r="C3494">
        <f t="shared" si="84"/>
        <v>2001</v>
      </c>
    </row>
    <row r="3495" spans="1:3">
      <c r="A3495" s="68">
        <v>37061</v>
      </c>
      <c r="B3495" s="32">
        <v>2303.13</v>
      </c>
      <c r="C3495">
        <f t="shared" si="84"/>
        <v>2001</v>
      </c>
    </row>
    <row r="3496" spans="1:3">
      <c r="A3496" s="68">
        <v>37062</v>
      </c>
      <c r="B3496" s="33">
        <v>2307.7800000000002</v>
      </c>
      <c r="C3496">
        <f t="shared" si="84"/>
        <v>2001</v>
      </c>
    </row>
    <row r="3497" spans="1:3">
      <c r="A3497" s="68">
        <v>37063</v>
      </c>
      <c r="B3497" s="32">
        <v>2305.35</v>
      </c>
      <c r="C3497">
        <f t="shared" si="84"/>
        <v>2001</v>
      </c>
    </row>
    <row r="3498" spans="1:3">
      <c r="A3498" s="68">
        <v>37064</v>
      </c>
      <c r="B3498" s="33">
        <v>2300.46</v>
      </c>
      <c r="C3498">
        <f t="shared" si="84"/>
        <v>2001</v>
      </c>
    </row>
    <row r="3499" spans="1:3">
      <c r="A3499" s="68">
        <v>37065</v>
      </c>
      <c r="B3499" s="32">
        <v>2298.88</v>
      </c>
      <c r="C3499">
        <f t="shared" si="84"/>
        <v>2001</v>
      </c>
    </row>
    <row r="3500" spans="1:3">
      <c r="A3500" s="68">
        <v>37066</v>
      </c>
      <c r="B3500" s="33">
        <v>2298.88</v>
      </c>
      <c r="C3500">
        <f t="shared" si="84"/>
        <v>2001</v>
      </c>
    </row>
    <row r="3501" spans="1:3">
      <c r="A3501" s="68">
        <v>37067</v>
      </c>
      <c r="B3501" s="32">
        <v>2298.88</v>
      </c>
      <c r="C3501">
        <f t="shared" si="84"/>
        <v>2001</v>
      </c>
    </row>
    <row r="3502" spans="1:3">
      <c r="A3502" s="68">
        <v>37068</v>
      </c>
      <c r="B3502" s="33">
        <v>2298.88</v>
      </c>
      <c r="C3502">
        <f t="shared" si="84"/>
        <v>2001</v>
      </c>
    </row>
    <row r="3503" spans="1:3">
      <c r="A3503" s="68">
        <v>37069</v>
      </c>
      <c r="B3503" s="32">
        <v>2304.6799999999998</v>
      </c>
      <c r="C3503">
        <f t="shared" si="84"/>
        <v>2001</v>
      </c>
    </row>
    <row r="3504" spans="1:3">
      <c r="A3504" s="68">
        <v>37070</v>
      </c>
      <c r="B3504" s="33">
        <v>2307.0300000000002</v>
      </c>
      <c r="C3504">
        <f t="shared" si="84"/>
        <v>2001</v>
      </c>
    </row>
    <row r="3505" spans="1:3">
      <c r="A3505" s="68">
        <v>37071</v>
      </c>
      <c r="B3505" s="32">
        <v>2305.33</v>
      </c>
      <c r="C3505">
        <f t="shared" si="84"/>
        <v>2001</v>
      </c>
    </row>
    <row r="3506" spans="1:3">
      <c r="A3506" s="68">
        <v>37072</v>
      </c>
      <c r="B3506" s="33">
        <v>2298.85</v>
      </c>
      <c r="C3506">
        <f t="shared" si="84"/>
        <v>2001</v>
      </c>
    </row>
    <row r="3507" spans="1:3">
      <c r="A3507" s="68">
        <v>37073</v>
      </c>
      <c r="B3507" s="32">
        <v>2298.85</v>
      </c>
      <c r="C3507">
        <f t="shared" si="84"/>
        <v>2001</v>
      </c>
    </row>
    <row r="3508" spans="1:3">
      <c r="A3508" s="68">
        <v>37074</v>
      </c>
      <c r="B3508" s="33">
        <v>2298.85</v>
      </c>
      <c r="C3508">
        <f t="shared" si="84"/>
        <v>2001</v>
      </c>
    </row>
    <row r="3509" spans="1:3">
      <c r="A3509" s="68">
        <v>37075</v>
      </c>
      <c r="B3509" s="32">
        <v>2298.85</v>
      </c>
      <c r="C3509">
        <f t="shared" si="84"/>
        <v>2001</v>
      </c>
    </row>
    <row r="3510" spans="1:3">
      <c r="A3510" s="68">
        <v>37076</v>
      </c>
      <c r="B3510" s="33">
        <v>2300.02</v>
      </c>
      <c r="C3510">
        <f t="shared" si="84"/>
        <v>2001</v>
      </c>
    </row>
    <row r="3511" spans="1:3">
      <c r="A3511" s="68">
        <v>37077</v>
      </c>
      <c r="B3511" s="32">
        <v>2303.2600000000002</v>
      </c>
      <c r="C3511">
        <f t="shared" si="84"/>
        <v>2001</v>
      </c>
    </row>
    <row r="3512" spans="1:3">
      <c r="A3512" s="68">
        <v>37078</v>
      </c>
      <c r="B3512" s="33">
        <v>2303.36</v>
      </c>
      <c r="C3512">
        <f t="shared" si="84"/>
        <v>2001</v>
      </c>
    </row>
    <row r="3513" spans="1:3">
      <c r="A3513" s="68">
        <v>37079</v>
      </c>
      <c r="B3513" s="32">
        <v>2304.75</v>
      </c>
      <c r="C3513">
        <f t="shared" si="84"/>
        <v>2001</v>
      </c>
    </row>
    <row r="3514" spans="1:3">
      <c r="A3514" s="68">
        <v>37080</v>
      </c>
      <c r="B3514" s="33">
        <v>2304.75</v>
      </c>
      <c r="C3514">
        <f t="shared" si="84"/>
        <v>2001</v>
      </c>
    </row>
    <row r="3515" spans="1:3">
      <c r="A3515" s="68">
        <v>37081</v>
      </c>
      <c r="B3515" s="32">
        <v>2304.75</v>
      </c>
      <c r="C3515">
        <f t="shared" si="84"/>
        <v>2001</v>
      </c>
    </row>
    <row r="3516" spans="1:3">
      <c r="A3516" s="68">
        <v>37082</v>
      </c>
      <c r="B3516" s="33">
        <v>2305.37</v>
      </c>
      <c r="C3516">
        <f t="shared" si="84"/>
        <v>2001</v>
      </c>
    </row>
    <row r="3517" spans="1:3">
      <c r="A3517" s="68">
        <v>37083</v>
      </c>
      <c r="B3517" s="32">
        <v>2306.16</v>
      </c>
      <c r="C3517">
        <f t="shared" si="84"/>
        <v>2001</v>
      </c>
    </row>
    <row r="3518" spans="1:3">
      <c r="A3518" s="68">
        <v>37084</v>
      </c>
      <c r="B3518" s="33">
        <v>2312.21</v>
      </c>
      <c r="C3518">
        <f t="shared" si="84"/>
        <v>2001</v>
      </c>
    </row>
    <row r="3519" spans="1:3">
      <c r="A3519" s="68">
        <v>37085</v>
      </c>
      <c r="B3519" s="32">
        <v>2323.9899999999998</v>
      </c>
      <c r="C3519">
        <f t="shared" si="84"/>
        <v>2001</v>
      </c>
    </row>
    <row r="3520" spans="1:3">
      <c r="A3520" s="68">
        <v>37086</v>
      </c>
      <c r="B3520" s="33">
        <v>2317.92</v>
      </c>
      <c r="C3520">
        <f t="shared" si="84"/>
        <v>2001</v>
      </c>
    </row>
    <row r="3521" spans="1:3">
      <c r="A3521" s="68">
        <v>37087</v>
      </c>
      <c r="B3521" s="32">
        <v>2317.92</v>
      </c>
      <c r="C3521">
        <f t="shared" si="84"/>
        <v>2001</v>
      </c>
    </row>
    <row r="3522" spans="1:3">
      <c r="A3522" s="68">
        <v>37088</v>
      </c>
      <c r="B3522" s="33">
        <v>2317.92</v>
      </c>
      <c r="C3522">
        <f t="shared" si="84"/>
        <v>2001</v>
      </c>
    </row>
    <row r="3523" spans="1:3">
      <c r="A3523" s="68">
        <v>37089</v>
      </c>
      <c r="B3523" s="32">
        <v>2302.56</v>
      </c>
      <c r="C3523">
        <f t="shared" si="84"/>
        <v>2001</v>
      </c>
    </row>
    <row r="3524" spans="1:3">
      <c r="A3524" s="68">
        <v>37090</v>
      </c>
      <c r="B3524" s="33">
        <v>2298.7600000000002</v>
      </c>
      <c r="C3524">
        <f t="shared" ref="C3524:C3587" si="85">YEAR(A3524)</f>
        <v>2001</v>
      </c>
    </row>
    <row r="3525" spans="1:3">
      <c r="A3525" s="68">
        <v>37091</v>
      </c>
      <c r="B3525" s="32">
        <v>2298.63</v>
      </c>
      <c r="C3525">
        <f t="shared" si="85"/>
        <v>2001</v>
      </c>
    </row>
    <row r="3526" spans="1:3">
      <c r="A3526" s="68">
        <v>37092</v>
      </c>
      <c r="B3526" s="33">
        <v>2301.67</v>
      </c>
      <c r="C3526">
        <f t="shared" si="85"/>
        <v>2001</v>
      </c>
    </row>
    <row r="3527" spans="1:3">
      <c r="A3527" s="68">
        <v>37093</v>
      </c>
      <c r="B3527" s="32">
        <v>2301.67</v>
      </c>
      <c r="C3527">
        <f t="shared" si="85"/>
        <v>2001</v>
      </c>
    </row>
    <row r="3528" spans="1:3">
      <c r="A3528" s="68">
        <v>37094</v>
      </c>
      <c r="B3528" s="33">
        <v>2301.67</v>
      </c>
      <c r="C3528">
        <f t="shared" si="85"/>
        <v>2001</v>
      </c>
    </row>
    <row r="3529" spans="1:3">
      <c r="A3529" s="68">
        <v>37095</v>
      </c>
      <c r="B3529" s="32">
        <v>2301.67</v>
      </c>
      <c r="C3529">
        <f t="shared" si="85"/>
        <v>2001</v>
      </c>
    </row>
    <row r="3530" spans="1:3">
      <c r="A3530" s="68">
        <v>37096</v>
      </c>
      <c r="B3530" s="33">
        <v>2302.2600000000002</v>
      </c>
      <c r="C3530">
        <f t="shared" si="85"/>
        <v>2001</v>
      </c>
    </row>
    <row r="3531" spans="1:3">
      <c r="A3531" s="68">
        <v>37097</v>
      </c>
      <c r="B3531" s="32">
        <v>2301.56</v>
      </c>
      <c r="C3531">
        <f t="shared" si="85"/>
        <v>2001</v>
      </c>
    </row>
    <row r="3532" spans="1:3">
      <c r="A3532" s="68">
        <v>37098</v>
      </c>
      <c r="B3532" s="33">
        <v>2302.6999999999998</v>
      </c>
      <c r="C3532">
        <f t="shared" si="85"/>
        <v>2001</v>
      </c>
    </row>
    <row r="3533" spans="1:3">
      <c r="A3533" s="68">
        <v>37099</v>
      </c>
      <c r="B3533" s="32">
        <v>2301.5300000000002</v>
      </c>
      <c r="C3533">
        <f t="shared" si="85"/>
        <v>2001</v>
      </c>
    </row>
    <row r="3534" spans="1:3">
      <c r="A3534" s="68">
        <v>37100</v>
      </c>
      <c r="B3534" s="33">
        <v>2301.6999999999998</v>
      </c>
      <c r="C3534">
        <f t="shared" si="85"/>
        <v>2001</v>
      </c>
    </row>
    <row r="3535" spans="1:3">
      <c r="A3535" s="68">
        <v>37101</v>
      </c>
      <c r="B3535" s="32">
        <v>2301.6999999999998</v>
      </c>
      <c r="C3535">
        <f t="shared" si="85"/>
        <v>2001</v>
      </c>
    </row>
    <row r="3536" spans="1:3">
      <c r="A3536" s="68">
        <v>37102</v>
      </c>
      <c r="B3536" s="33">
        <v>2301.6999999999998</v>
      </c>
      <c r="C3536">
        <f t="shared" si="85"/>
        <v>2001</v>
      </c>
    </row>
    <row r="3537" spans="1:3">
      <c r="A3537" s="68">
        <v>37103</v>
      </c>
      <c r="B3537" s="32">
        <v>2298.27</v>
      </c>
      <c r="C3537">
        <f t="shared" si="85"/>
        <v>2001</v>
      </c>
    </row>
    <row r="3538" spans="1:3">
      <c r="A3538" s="68">
        <v>37104</v>
      </c>
      <c r="B3538" s="33">
        <v>2293.25</v>
      </c>
      <c r="C3538">
        <f t="shared" si="85"/>
        <v>2001</v>
      </c>
    </row>
    <row r="3539" spans="1:3">
      <c r="A3539" s="68">
        <v>37105</v>
      </c>
      <c r="B3539" s="32">
        <v>2295.19</v>
      </c>
      <c r="C3539">
        <f t="shared" si="85"/>
        <v>2001</v>
      </c>
    </row>
    <row r="3540" spans="1:3">
      <c r="A3540" s="68">
        <v>37106</v>
      </c>
      <c r="B3540" s="33">
        <v>2298.91</v>
      </c>
      <c r="C3540">
        <f t="shared" si="85"/>
        <v>2001</v>
      </c>
    </row>
    <row r="3541" spans="1:3">
      <c r="A3541" s="68">
        <v>37107</v>
      </c>
      <c r="B3541" s="32">
        <v>2295.7199999999998</v>
      </c>
      <c r="C3541">
        <f t="shared" si="85"/>
        <v>2001</v>
      </c>
    </row>
    <row r="3542" spans="1:3">
      <c r="A3542" s="68">
        <v>37108</v>
      </c>
      <c r="B3542" s="33">
        <v>2295.7199999999998</v>
      </c>
      <c r="C3542">
        <f t="shared" si="85"/>
        <v>2001</v>
      </c>
    </row>
    <row r="3543" spans="1:3">
      <c r="A3543" s="68">
        <v>37109</v>
      </c>
      <c r="B3543" s="32">
        <v>2295.7199999999998</v>
      </c>
      <c r="C3543">
        <f t="shared" si="85"/>
        <v>2001</v>
      </c>
    </row>
    <row r="3544" spans="1:3">
      <c r="A3544" s="68">
        <v>37110</v>
      </c>
      <c r="B3544" s="33">
        <v>2291.46</v>
      </c>
      <c r="C3544">
        <f t="shared" si="85"/>
        <v>2001</v>
      </c>
    </row>
    <row r="3545" spans="1:3">
      <c r="A3545" s="68">
        <v>37111</v>
      </c>
      <c r="B3545" s="32">
        <v>2291.46</v>
      </c>
      <c r="C3545">
        <f t="shared" si="85"/>
        <v>2001</v>
      </c>
    </row>
    <row r="3546" spans="1:3">
      <c r="A3546" s="68">
        <v>37112</v>
      </c>
      <c r="B3546" s="33">
        <v>2295.0500000000002</v>
      </c>
      <c r="C3546">
        <f t="shared" si="85"/>
        <v>2001</v>
      </c>
    </row>
    <row r="3547" spans="1:3">
      <c r="A3547" s="68">
        <v>37113</v>
      </c>
      <c r="B3547" s="32">
        <v>2291.5</v>
      </c>
      <c r="C3547">
        <f t="shared" si="85"/>
        <v>2001</v>
      </c>
    </row>
    <row r="3548" spans="1:3">
      <c r="A3548" s="68">
        <v>37114</v>
      </c>
      <c r="B3548" s="33">
        <v>2288.0300000000002</v>
      </c>
      <c r="C3548">
        <f t="shared" si="85"/>
        <v>2001</v>
      </c>
    </row>
    <row r="3549" spans="1:3">
      <c r="A3549" s="68">
        <v>37115</v>
      </c>
      <c r="B3549" s="32">
        <v>2288.0300000000002</v>
      </c>
      <c r="C3549">
        <f t="shared" si="85"/>
        <v>2001</v>
      </c>
    </row>
    <row r="3550" spans="1:3">
      <c r="A3550" s="68">
        <v>37116</v>
      </c>
      <c r="B3550" s="33">
        <v>2288.0300000000002</v>
      </c>
      <c r="C3550">
        <f t="shared" si="85"/>
        <v>2001</v>
      </c>
    </row>
    <row r="3551" spans="1:3">
      <c r="A3551" s="68">
        <v>37117</v>
      </c>
      <c r="B3551" s="32">
        <v>2284.9</v>
      </c>
      <c r="C3551">
        <f t="shared" si="85"/>
        <v>2001</v>
      </c>
    </row>
    <row r="3552" spans="1:3">
      <c r="A3552" s="68">
        <v>37118</v>
      </c>
      <c r="B3552" s="33">
        <v>2284.98</v>
      </c>
      <c r="C3552">
        <f t="shared" si="85"/>
        <v>2001</v>
      </c>
    </row>
    <row r="3553" spans="1:3">
      <c r="A3553" s="68">
        <v>37119</v>
      </c>
      <c r="B3553" s="32">
        <v>2291.41</v>
      </c>
      <c r="C3553">
        <f t="shared" si="85"/>
        <v>2001</v>
      </c>
    </row>
    <row r="3554" spans="1:3">
      <c r="A3554" s="68">
        <v>37120</v>
      </c>
      <c r="B3554" s="33">
        <v>2288.1799999999998</v>
      </c>
      <c r="C3554">
        <f t="shared" si="85"/>
        <v>2001</v>
      </c>
    </row>
    <row r="3555" spans="1:3">
      <c r="A3555" s="68">
        <v>37121</v>
      </c>
      <c r="B3555" s="32">
        <v>2285.06</v>
      </c>
      <c r="C3555">
        <f t="shared" si="85"/>
        <v>2001</v>
      </c>
    </row>
    <row r="3556" spans="1:3">
      <c r="A3556" s="68">
        <v>37122</v>
      </c>
      <c r="B3556" s="33">
        <v>2285.06</v>
      </c>
      <c r="C3556">
        <f t="shared" si="85"/>
        <v>2001</v>
      </c>
    </row>
    <row r="3557" spans="1:3">
      <c r="A3557" s="68">
        <v>37123</v>
      </c>
      <c r="B3557" s="32">
        <v>2285.06</v>
      </c>
      <c r="C3557">
        <f t="shared" si="85"/>
        <v>2001</v>
      </c>
    </row>
    <row r="3558" spans="1:3">
      <c r="A3558" s="68">
        <v>37124</v>
      </c>
      <c r="B3558" s="33">
        <v>2285.06</v>
      </c>
      <c r="C3558">
        <f t="shared" si="85"/>
        <v>2001</v>
      </c>
    </row>
    <row r="3559" spans="1:3">
      <c r="A3559" s="68">
        <v>37125</v>
      </c>
      <c r="B3559" s="32">
        <v>2283.86</v>
      </c>
      <c r="C3559">
        <f t="shared" si="85"/>
        <v>2001</v>
      </c>
    </row>
    <row r="3560" spans="1:3">
      <c r="A3560" s="68">
        <v>37126</v>
      </c>
      <c r="B3560" s="33">
        <v>2279.25</v>
      </c>
      <c r="C3560">
        <f t="shared" si="85"/>
        <v>2001</v>
      </c>
    </row>
    <row r="3561" spans="1:3">
      <c r="A3561" s="68">
        <v>37127</v>
      </c>
      <c r="B3561" s="32">
        <v>2275.0700000000002</v>
      </c>
      <c r="C3561">
        <f t="shared" si="85"/>
        <v>2001</v>
      </c>
    </row>
    <row r="3562" spans="1:3">
      <c r="A3562" s="68">
        <v>37128</v>
      </c>
      <c r="B3562" s="33">
        <v>2273.5</v>
      </c>
      <c r="C3562">
        <f t="shared" si="85"/>
        <v>2001</v>
      </c>
    </row>
    <row r="3563" spans="1:3">
      <c r="A3563" s="68">
        <v>37129</v>
      </c>
      <c r="B3563" s="32">
        <v>2273.5</v>
      </c>
      <c r="C3563">
        <f t="shared" si="85"/>
        <v>2001</v>
      </c>
    </row>
    <row r="3564" spans="1:3">
      <c r="A3564" s="68">
        <v>37130</v>
      </c>
      <c r="B3564" s="33">
        <v>2273.5</v>
      </c>
      <c r="C3564">
        <f t="shared" si="85"/>
        <v>2001</v>
      </c>
    </row>
    <row r="3565" spans="1:3">
      <c r="A3565" s="68">
        <v>37131</v>
      </c>
      <c r="B3565" s="32">
        <v>2282.56</v>
      </c>
      <c r="C3565">
        <f t="shared" si="85"/>
        <v>2001</v>
      </c>
    </row>
    <row r="3566" spans="1:3">
      <c r="A3566" s="68">
        <v>37132</v>
      </c>
      <c r="B3566" s="33">
        <v>2290.5700000000002</v>
      </c>
      <c r="C3566">
        <f t="shared" si="85"/>
        <v>2001</v>
      </c>
    </row>
    <row r="3567" spans="1:3">
      <c r="A3567" s="68">
        <v>37133</v>
      </c>
      <c r="B3567" s="32">
        <v>2297.2399999999998</v>
      </c>
      <c r="C3567">
        <f t="shared" si="85"/>
        <v>2001</v>
      </c>
    </row>
    <row r="3568" spans="1:3">
      <c r="A3568" s="68">
        <v>37134</v>
      </c>
      <c r="B3568" s="33">
        <v>2301.23</v>
      </c>
      <c r="C3568">
        <f t="shared" si="85"/>
        <v>2001</v>
      </c>
    </row>
    <row r="3569" spans="1:3">
      <c r="A3569" s="68">
        <v>37135</v>
      </c>
      <c r="B3569" s="32">
        <v>2296.85</v>
      </c>
      <c r="C3569">
        <f t="shared" si="85"/>
        <v>2001</v>
      </c>
    </row>
    <row r="3570" spans="1:3">
      <c r="A3570" s="68">
        <v>37136</v>
      </c>
      <c r="B3570" s="33">
        <v>2296.85</v>
      </c>
      <c r="C3570">
        <f t="shared" si="85"/>
        <v>2001</v>
      </c>
    </row>
    <row r="3571" spans="1:3">
      <c r="A3571" s="68">
        <v>37137</v>
      </c>
      <c r="B3571" s="32">
        <v>2296.85</v>
      </c>
      <c r="C3571">
        <f t="shared" si="85"/>
        <v>2001</v>
      </c>
    </row>
    <row r="3572" spans="1:3">
      <c r="A3572" s="68">
        <v>37138</v>
      </c>
      <c r="B3572" s="33">
        <v>2305.15</v>
      </c>
      <c r="C3572">
        <f t="shared" si="85"/>
        <v>2001</v>
      </c>
    </row>
    <row r="3573" spans="1:3">
      <c r="A3573" s="68">
        <v>37139</v>
      </c>
      <c r="B3573" s="32">
        <v>2305.2800000000002</v>
      </c>
      <c r="C3573">
        <f t="shared" si="85"/>
        <v>2001</v>
      </c>
    </row>
    <row r="3574" spans="1:3">
      <c r="A3574" s="68">
        <v>37140</v>
      </c>
      <c r="B3574" s="33">
        <v>2312.87</v>
      </c>
      <c r="C3574">
        <f t="shared" si="85"/>
        <v>2001</v>
      </c>
    </row>
    <row r="3575" spans="1:3">
      <c r="A3575" s="68">
        <v>37141</v>
      </c>
      <c r="B3575" s="32">
        <v>2317.02</v>
      </c>
      <c r="C3575">
        <f t="shared" si="85"/>
        <v>2001</v>
      </c>
    </row>
    <row r="3576" spans="1:3">
      <c r="A3576" s="68">
        <v>37142</v>
      </c>
      <c r="B3576" s="33">
        <v>2320.09</v>
      </c>
      <c r="C3576">
        <f t="shared" si="85"/>
        <v>2001</v>
      </c>
    </row>
    <row r="3577" spans="1:3">
      <c r="A3577" s="68">
        <v>37143</v>
      </c>
      <c r="B3577" s="32">
        <v>2320.09</v>
      </c>
      <c r="C3577">
        <f t="shared" si="85"/>
        <v>2001</v>
      </c>
    </row>
    <row r="3578" spans="1:3">
      <c r="A3578" s="68">
        <v>37144</v>
      </c>
      <c r="B3578" s="33">
        <v>2320.09</v>
      </c>
      <c r="C3578">
        <f t="shared" si="85"/>
        <v>2001</v>
      </c>
    </row>
    <row r="3579" spans="1:3">
      <c r="A3579" s="68">
        <v>37145</v>
      </c>
      <c r="B3579" s="32">
        <v>2324.7800000000002</v>
      </c>
      <c r="C3579">
        <f t="shared" si="85"/>
        <v>2001</v>
      </c>
    </row>
    <row r="3580" spans="1:3">
      <c r="A3580" s="68">
        <v>37146</v>
      </c>
      <c r="B3580" s="33">
        <v>2341.2800000000002</v>
      </c>
      <c r="C3580">
        <f t="shared" si="85"/>
        <v>2001</v>
      </c>
    </row>
    <row r="3581" spans="1:3">
      <c r="A3581" s="68">
        <v>37147</v>
      </c>
      <c r="B3581" s="32">
        <v>2341.14</v>
      </c>
      <c r="C3581">
        <f t="shared" si="85"/>
        <v>2001</v>
      </c>
    </row>
    <row r="3582" spans="1:3">
      <c r="A3582" s="68">
        <v>37148</v>
      </c>
      <c r="B3582" s="33">
        <v>2337.25</v>
      </c>
      <c r="C3582">
        <f t="shared" si="85"/>
        <v>2001</v>
      </c>
    </row>
    <row r="3583" spans="1:3">
      <c r="A3583" s="68">
        <v>37149</v>
      </c>
      <c r="B3583" s="32">
        <v>2342.44</v>
      </c>
      <c r="C3583">
        <f t="shared" si="85"/>
        <v>2001</v>
      </c>
    </row>
    <row r="3584" spans="1:3">
      <c r="A3584" s="68">
        <v>37150</v>
      </c>
      <c r="B3584" s="33">
        <v>2342.44</v>
      </c>
      <c r="C3584">
        <f t="shared" si="85"/>
        <v>2001</v>
      </c>
    </row>
    <row r="3585" spans="1:3">
      <c r="A3585" s="68">
        <v>37151</v>
      </c>
      <c r="B3585" s="32">
        <v>2342.44</v>
      </c>
      <c r="C3585">
        <f t="shared" si="85"/>
        <v>2001</v>
      </c>
    </row>
    <row r="3586" spans="1:3">
      <c r="A3586" s="68">
        <v>37152</v>
      </c>
      <c r="B3586" s="33">
        <v>2342.1799999999998</v>
      </c>
      <c r="C3586">
        <f t="shared" si="85"/>
        <v>2001</v>
      </c>
    </row>
    <row r="3587" spans="1:3">
      <c r="A3587" s="68">
        <v>37153</v>
      </c>
      <c r="B3587" s="32">
        <v>2338.39</v>
      </c>
      <c r="C3587">
        <f t="shared" si="85"/>
        <v>2001</v>
      </c>
    </row>
    <row r="3588" spans="1:3">
      <c r="A3588" s="68">
        <v>37154</v>
      </c>
      <c r="B3588" s="33">
        <v>2342.04</v>
      </c>
      <c r="C3588">
        <f t="shared" ref="C3588:C3651" si="86">YEAR(A3588)</f>
        <v>2001</v>
      </c>
    </row>
    <row r="3589" spans="1:3">
      <c r="A3589" s="68">
        <v>37155</v>
      </c>
      <c r="B3589" s="32">
        <v>2341.6799999999998</v>
      </c>
      <c r="C3589">
        <f t="shared" si="86"/>
        <v>2001</v>
      </c>
    </row>
    <row r="3590" spans="1:3">
      <c r="A3590" s="68">
        <v>37156</v>
      </c>
      <c r="B3590" s="33">
        <v>2342.1799999999998</v>
      </c>
      <c r="C3590">
        <f t="shared" si="86"/>
        <v>2001</v>
      </c>
    </row>
    <row r="3591" spans="1:3">
      <c r="A3591" s="68">
        <v>37157</v>
      </c>
      <c r="B3591" s="32">
        <v>2342.1799999999998</v>
      </c>
      <c r="C3591">
        <f t="shared" si="86"/>
        <v>2001</v>
      </c>
    </row>
    <row r="3592" spans="1:3">
      <c r="A3592" s="68">
        <v>37158</v>
      </c>
      <c r="B3592" s="33">
        <v>2342.1799999999998</v>
      </c>
      <c r="C3592">
        <f t="shared" si="86"/>
        <v>2001</v>
      </c>
    </row>
    <row r="3593" spans="1:3">
      <c r="A3593" s="68">
        <v>37159</v>
      </c>
      <c r="B3593" s="32">
        <v>2329.6999999999998</v>
      </c>
      <c r="C3593">
        <f t="shared" si="86"/>
        <v>2001</v>
      </c>
    </row>
    <row r="3594" spans="1:3">
      <c r="A3594" s="68">
        <v>37160</v>
      </c>
      <c r="B3594" s="33">
        <v>2327.09</v>
      </c>
      <c r="C3594">
        <f t="shared" si="86"/>
        <v>2001</v>
      </c>
    </row>
    <row r="3595" spans="1:3">
      <c r="A3595" s="68">
        <v>37161</v>
      </c>
      <c r="B3595" s="32">
        <v>2328.4899999999998</v>
      </c>
      <c r="C3595">
        <f t="shared" si="86"/>
        <v>2001</v>
      </c>
    </row>
    <row r="3596" spans="1:3">
      <c r="A3596" s="68">
        <v>37162</v>
      </c>
      <c r="B3596" s="33">
        <v>2328.75</v>
      </c>
      <c r="C3596">
        <f t="shared" si="86"/>
        <v>2001</v>
      </c>
    </row>
    <row r="3597" spans="1:3">
      <c r="A3597" s="68">
        <v>37163</v>
      </c>
      <c r="B3597" s="32">
        <v>2332.19</v>
      </c>
      <c r="C3597">
        <f t="shared" si="86"/>
        <v>2001</v>
      </c>
    </row>
    <row r="3598" spans="1:3">
      <c r="A3598" s="68">
        <v>37164</v>
      </c>
      <c r="B3598" s="33">
        <v>2332.19</v>
      </c>
      <c r="C3598">
        <f t="shared" si="86"/>
        <v>2001</v>
      </c>
    </row>
    <row r="3599" spans="1:3">
      <c r="A3599" s="68">
        <v>37165</v>
      </c>
      <c r="B3599" s="32">
        <v>2332.19</v>
      </c>
      <c r="C3599">
        <f t="shared" si="86"/>
        <v>2001</v>
      </c>
    </row>
    <row r="3600" spans="1:3">
      <c r="A3600" s="68">
        <v>37166</v>
      </c>
      <c r="B3600" s="33">
        <v>2338.4499999999998</v>
      </c>
      <c r="C3600">
        <f t="shared" si="86"/>
        <v>2001</v>
      </c>
    </row>
    <row r="3601" spans="1:3">
      <c r="A3601" s="68">
        <v>37167</v>
      </c>
      <c r="B3601" s="32">
        <v>2334.2399999999998</v>
      </c>
      <c r="C3601">
        <f t="shared" si="86"/>
        <v>2001</v>
      </c>
    </row>
    <row r="3602" spans="1:3">
      <c r="A3602" s="68">
        <v>37168</v>
      </c>
      <c r="B3602" s="33">
        <v>2336.1799999999998</v>
      </c>
      <c r="C3602">
        <f t="shared" si="86"/>
        <v>2001</v>
      </c>
    </row>
    <row r="3603" spans="1:3">
      <c r="A3603" s="68">
        <v>37169</v>
      </c>
      <c r="B3603" s="32">
        <v>2336.2800000000002</v>
      </c>
      <c r="C3603">
        <f t="shared" si="86"/>
        <v>2001</v>
      </c>
    </row>
    <row r="3604" spans="1:3">
      <c r="A3604" s="68">
        <v>37170</v>
      </c>
      <c r="B3604" s="33">
        <v>2331.0300000000002</v>
      </c>
      <c r="C3604">
        <f t="shared" si="86"/>
        <v>2001</v>
      </c>
    </row>
    <row r="3605" spans="1:3">
      <c r="A3605" s="68">
        <v>37171</v>
      </c>
      <c r="B3605" s="32">
        <v>2331.0300000000002</v>
      </c>
      <c r="C3605">
        <f t="shared" si="86"/>
        <v>2001</v>
      </c>
    </row>
    <row r="3606" spans="1:3">
      <c r="A3606" s="68">
        <v>37172</v>
      </c>
      <c r="B3606" s="33">
        <v>2331.0300000000002</v>
      </c>
      <c r="C3606">
        <f t="shared" si="86"/>
        <v>2001</v>
      </c>
    </row>
    <row r="3607" spans="1:3">
      <c r="A3607" s="68">
        <v>37173</v>
      </c>
      <c r="B3607" s="32">
        <v>2331.02</v>
      </c>
      <c r="C3607">
        <f t="shared" si="86"/>
        <v>2001</v>
      </c>
    </row>
    <row r="3608" spans="1:3">
      <c r="A3608" s="68">
        <v>37174</v>
      </c>
      <c r="B3608" s="33">
        <v>2328.91</v>
      </c>
      <c r="C3608">
        <f t="shared" si="86"/>
        <v>2001</v>
      </c>
    </row>
    <row r="3609" spans="1:3">
      <c r="A3609" s="68">
        <v>37175</v>
      </c>
      <c r="B3609" s="32">
        <v>2320.41</v>
      </c>
      <c r="C3609">
        <f t="shared" si="86"/>
        <v>2001</v>
      </c>
    </row>
    <row r="3610" spans="1:3">
      <c r="A3610" s="68">
        <v>37176</v>
      </c>
      <c r="B3610" s="33">
        <v>2312.33</v>
      </c>
      <c r="C3610">
        <f t="shared" si="86"/>
        <v>2001</v>
      </c>
    </row>
    <row r="3611" spans="1:3">
      <c r="A3611" s="68">
        <v>37177</v>
      </c>
      <c r="B3611" s="32">
        <v>2314.7399999999998</v>
      </c>
      <c r="C3611">
        <f t="shared" si="86"/>
        <v>2001</v>
      </c>
    </row>
    <row r="3612" spans="1:3">
      <c r="A3612" s="68">
        <v>37178</v>
      </c>
      <c r="B3612" s="33">
        <v>2314.7399999999998</v>
      </c>
      <c r="C3612">
        <f t="shared" si="86"/>
        <v>2001</v>
      </c>
    </row>
    <row r="3613" spans="1:3">
      <c r="A3613" s="68">
        <v>37179</v>
      </c>
      <c r="B3613" s="32">
        <v>2314.7399999999998</v>
      </c>
      <c r="C3613">
        <f t="shared" si="86"/>
        <v>2001</v>
      </c>
    </row>
    <row r="3614" spans="1:3">
      <c r="A3614" s="68">
        <v>37180</v>
      </c>
      <c r="B3614" s="33">
        <v>2314.7399999999998</v>
      </c>
      <c r="C3614">
        <f t="shared" si="86"/>
        <v>2001</v>
      </c>
    </row>
    <row r="3615" spans="1:3">
      <c r="A3615" s="68">
        <v>37181</v>
      </c>
      <c r="B3615" s="32">
        <v>2303.3000000000002</v>
      </c>
      <c r="C3615">
        <f t="shared" si="86"/>
        <v>2001</v>
      </c>
    </row>
    <row r="3616" spans="1:3">
      <c r="A3616" s="68">
        <v>37182</v>
      </c>
      <c r="B3616" s="33">
        <v>2300.0100000000002</v>
      </c>
      <c r="C3616">
        <f t="shared" si="86"/>
        <v>2001</v>
      </c>
    </row>
    <row r="3617" spans="1:3">
      <c r="A3617" s="68">
        <v>37183</v>
      </c>
      <c r="B3617" s="32">
        <v>2313.2399999999998</v>
      </c>
      <c r="C3617">
        <f t="shared" si="86"/>
        <v>2001</v>
      </c>
    </row>
    <row r="3618" spans="1:3">
      <c r="A3618" s="68">
        <v>37184</v>
      </c>
      <c r="B3618" s="33">
        <v>2315.2600000000002</v>
      </c>
      <c r="C3618">
        <f t="shared" si="86"/>
        <v>2001</v>
      </c>
    </row>
    <row r="3619" spans="1:3">
      <c r="A3619" s="68">
        <v>37185</v>
      </c>
      <c r="B3619" s="32">
        <v>2315.2600000000002</v>
      </c>
      <c r="C3619">
        <f t="shared" si="86"/>
        <v>2001</v>
      </c>
    </row>
    <row r="3620" spans="1:3">
      <c r="A3620" s="68">
        <v>37186</v>
      </c>
      <c r="B3620" s="33">
        <v>2315.2600000000002</v>
      </c>
      <c r="C3620">
        <f t="shared" si="86"/>
        <v>2001</v>
      </c>
    </row>
    <row r="3621" spans="1:3">
      <c r="A3621" s="68">
        <v>37187</v>
      </c>
      <c r="B3621" s="32">
        <v>2318.4699999999998</v>
      </c>
      <c r="C3621">
        <f t="shared" si="86"/>
        <v>2001</v>
      </c>
    </row>
    <row r="3622" spans="1:3">
      <c r="A3622" s="68">
        <v>37188</v>
      </c>
      <c r="B3622" s="33">
        <v>2316.14</v>
      </c>
      <c r="C3622">
        <f t="shared" si="86"/>
        <v>2001</v>
      </c>
    </row>
    <row r="3623" spans="1:3">
      <c r="A3623" s="68">
        <v>37189</v>
      </c>
      <c r="B3623" s="32">
        <v>2319.5300000000002</v>
      </c>
      <c r="C3623">
        <f t="shared" si="86"/>
        <v>2001</v>
      </c>
    </row>
    <row r="3624" spans="1:3">
      <c r="A3624" s="68">
        <v>37190</v>
      </c>
      <c r="B3624" s="33">
        <v>2316.6799999999998</v>
      </c>
      <c r="C3624">
        <f t="shared" si="86"/>
        <v>2001</v>
      </c>
    </row>
    <row r="3625" spans="1:3">
      <c r="A3625" s="68">
        <v>37191</v>
      </c>
      <c r="B3625" s="32">
        <v>2314.5</v>
      </c>
      <c r="C3625">
        <f t="shared" si="86"/>
        <v>2001</v>
      </c>
    </row>
    <row r="3626" spans="1:3">
      <c r="A3626" s="68">
        <v>37192</v>
      </c>
      <c r="B3626" s="33">
        <v>2314.5</v>
      </c>
      <c r="C3626">
        <f t="shared" si="86"/>
        <v>2001</v>
      </c>
    </row>
    <row r="3627" spans="1:3">
      <c r="A3627" s="68">
        <v>37193</v>
      </c>
      <c r="B3627" s="32">
        <v>2314.5</v>
      </c>
      <c r="C3627">
        <f t="shared" si="86"/>
        <v>2001</v>
      </c>
    </row>
    <row r="3628" spans="1:3">
      <c r="A3628" s="68">
        <v>37194</v>
      </c>
      <c r="B3628" s="33">
        <v>2311.42</v>
      </c>
      <c r="C3628">
        <f t="shared" si="86"/>
        <v>2001</v>
      </c>
    </row>
    <row r="3629" spans="1:3">
      <c r="A3629" s="68">
        <v>37195</v>
      </c>
      <c r="B3629" s="32">
        <v>2310.02</v>
      </c>
      <c r="C3629">
        <f t="shared" si="86"/>
        <v>2001</v>
      </c>
    </row>
    <row r="3630" spans="1:3">
      <c r="A3630" s="68">
        <v>37196</v>
      </c>
      <c r="B3630" s="33">
        <v>2309.12</v>
      </c>
      <c r="C3630">
        <f t="shared" si="86"/>
        <v>2001</v>
      </c>
    </row>
    <row r="3631" spans="1:3">
      <c r="A3631" s="68">
        <v>37197</v>
      </c>
      <c r="B3631" s="32">
        <v>2309.89</v>
      </c>
      <c r="C3631">
        <f t="shared" si="86"/>
        <v>2001</v>
      </c>
    </row>
    <row r="3632" spans="1:3">
      <c r="A3632" s="68">
        <v>37198</v>
      </c>
      <c r="B3632" s="33">
        <v>2309.42</v>
      </c>
      <c r="C3632">
        <f t="shared" si="86"/>
        <v>2001</v>
      </c>
    </row>
    <row r="3633" spans="1:3">
      <c r="A3633" s="68">
        <v>37199</v>
      </c>
      <c r="B3633" s="32">
        <v>2309.42</v>
      </c>
      <c r="C3633">
        <f t="shared" si="86"/>
        <v>2001</v>
      </c>
    </row>
    <row r="3634" spans="1:3">
      <c r="A3634" s="68">
        <v>37200</v>
      </c>
      <c r="B3634" s="33">
        <v>2309.42</v>
      </c>
      <c r="C3634">
        <f t="shared" si="86"/>
        <v>2001</v>
      </c>
    </row>
    <row r="3635" spans="1:3">
      <c r="A3635" s="68">
        <v>37201</v>
      </c>
      <c r="B3635" s="32">
        <v>2309.42</v>
      </c>
      <c r="C3635">
        <f t="shared" si="86"/>
        <v>2001</v>
      </c>
    </row>
    <row r="3636" spans="1:3">
      <c r="A3636" s="68">
        <v>37202</v>
      </c>
      <c r="B3636" s="33">
        <v>2309.2199999999998</v>
      </c>
      <c r="C3636">
        <f t="shared" si="86"/>
        <v>2001</v>
      </c>
    </row>
    <row r="3637" spans="1:3">
      <c r="A3637" s="68">
        <v>37203</v>
      </c>
      <c r="B3637" s="32">
        <v>2306.5700000000002</v>
      </c>
      <c r="C3637">
        <f t="shared" si="86"/>
        <v>2001</v>
      </c>
    </row>
    <row r="3638" spans="1:3">
      <c r="A3638" s="68">
        <v>37204</v>
      </c>
      <c r="B3638" s="33">
        <v>2307.2399999999998</v>
      </c>
      <c r="C3638">
        <f t="shared" si="86"/>
        <v>2001</v>
      </c>
    </row>
    <row r="3639" spans="1:3">
      <c r="A3639" s="68">
        <v>37205</v>
      </c>
      <c r="B3639" s="32">
        <v>2303.6799999999998</v>
      </c>
      <c r="C3639">
        <f t="shared" si="86"/>
        <v>2001</v>
      </c>
    </row>
    <row r="3640" spans="1:3">
      <c r="A3640" s="68">
        <v>37206</v>
      </c>
      <c r="B3640" s="33">
        <v>2303.6799999999998</v>
      </c>
      <c r="C3640">
        <f t="shared" si="86"/>
        <v>2001</v>
      </c>
    </row>
    <row r="3641" spans="1:3">
      <c r="A3641" s="68">
        <v>37207</v>
      </c>
      <c r="B3641" s="32">
        <v>2303.6799999999998</v>
      </c>
      <c r="C3641">
        <f t="shared" si="86"/>
        <v>2001</v>
      </c>
    </row>
    <row r="3642" spans="1:3">
      <c r="A3642" s="68">
        <v>37208</v>
      </c>
      <c r="B3642" s="33">
        <v>2303.6799999999998</v>
      </c>
      <c r="C3642">
        <f t="shared" si="86"/>
        <v>2001</v>
      </c>
    </row>
    <row r="3643" spans="1:3">
      <c r="A3643" s="68">
        <v>37209</v>
      </c>
      <c r="B3643" s="32">
        <v>2300.69</v>
      </c>
      <c r="C3643">
        <f t="shared" si="86"/>
        <v>2001</v>
      </c>
    </row>
    <row r="3644" spans="1:3">
      <c r="A3644" s="68">
        <v>37210</v>
      </c>
      <c r="B3644" s="33">
        <v>2302.81</v>
      </c>
      <c r="C3644">
        <f t="shared" si="86"/>
        <v>2001</v>
      </c>
    </row>
    <row r="3645" spans="1:3">
      <c r="A3645" s="68">
        <v>37211</v>
      </c>
      <c r="B3645" s="32">
        <v>2311.5700000000002</v>
      </c>
      <c r="C3645">
        <f t="shared" si="86"/>
        <v>2001</v>
      </c>
    </row>
    <row r="3646" spans="1:3">
      <c r="A3646" s="68">
        <v>37212</v>
      </c>
      <c r="B3646" s="33">
        <v>2314.33</v>
      </c>
      <c r="C3646">
        <f t="shared" si="86"/>
        <v>2001</v>
      </c>
    </row>
    <row r="3647" spans="1:3">
      <c r="A3647" s="68">
        <v>37213</v>
      </c>
      <c r="B3647" s="32">
        <v>2314.33</v>
      </c>
      <c r="C3647">
        <f t="shared" si="86"/>
        <v>2001</v>
      </c>
    </row>
    <row r="3648" spans="1:3">
      <c r="A3648" s="68">
        <v>37214</v>
      </c>
      <c r="B3648" s="33">
        <v>2314.33</v>
      </c>
      <c r="C3648">
        <f t="shared" si="86"/>
        <v>2001</v>
      </c>
    </row>
    <row r="3649" spans="1:3">
      <c r="A3649" s="68">
        <v>37215</v>
      </c>
      <c r="B3649" s="32">
        <v>2310.9</v>
      </c>
      <c r="C3649">
        <f t="shared" si="86"/>
        <v>2001</v>
      </c>
    </row>
    <row r="3650" spans="1:3">
      <c r="A3650" s="68">
        <v>37216</v>
      </c>
      <c r="B3650" s="33">
        <v>2314.86</v>
      </c>
      <c r="C3650">
        <f t="shared" si="86"/>
        <v>2001</v>
      </c>
    </row>
    <row r="3651" spans="1:3">
      <c r="A3651" s="68">
        <v>37217</v>
      </c>
      <c r="B3651" s="32">
        <v>2319.34</v>
      </c>
      <c r="C3651">
        <f t="shared" si="86"/>
        <v>2001</v>
      </c>
    </row>
    <row r="3652" spans="1:3">
      <c r="A3652" s="68">
        <v>37218</v>
      </c>
      <c r="B3652" s="33">
        <v>2317.5700000000002</v>
      </c>
      <c r="C3652">
        <f t="shared" ref="C3652:C3715" si="87">YEAR(A3652)</f>
        <v>2001</v>
      </c>
    </row>
    <row r="3653" spans="1:3">
      <c r="A3653" s="68">
        <v>37219</v>
      </c>
      <c r="B3653" s="32">
        <v>2316.4</v>
      </c>
      <c r="C3653">
        <f t="shared" si="87"/>
        <v>2001</v>
      </c>
    </row>
    <row r="3654" spans="1:3">
      <c r="A3654" s="68">
        <v>37220</v>
      </c>
      <c r="B3654" s="33">
        <v>2316.4</v>
      </c>
      <c r="C3654">
        <f t="shared" si="87"/>
        <v>2001</v>
      </c>
    </row>
    <row r="3655" spans="1:3">
      <c r="A3655" s="68">
        <v>37221</v>
      </c>
      <c r="B3655" s="32">
        <v>2316.4</v>
      </c>
      <c r="C3655">
        <f t="shared" si="87"/>
        <v>2001</v>
      </c>
    </row>
    <row r="3656" spans="1:3">
      <c r="A3656" s="68">
        <v>37222</v>
      </c>
      <c r="B3656" s="33">
        <v>2313.2600000000002</v>
      </c>
      <c r="C3656">
        <f t="shared" si="87"/>
        <v>2001</v>
      </c>
    </row>
    <row r="3657" spans="1:3">
      <c r="A3657" s="68">
        <v>37223</v>
      </c>
      <c r="B3657" s="32">
        <v>2312.9</v>
      </c>
      <c r="C3657">
        <f t="shared" si="87"/>
        <v>2001</v>
      </c>
    </row>
    <row r="3658" spans="1:3">
      <c r="A3658" s="68">
        <v>37224</v>
      </c>
      <c r="B3658" s="33">
        <v>2310.9699999999998</v>
      </c>
      <c r="C3658">
        <f t="shared" si="87"/>
        <v>2001</v>
      </c>
    </row>
    <row r="3659" spans="1:3">
      <c r="A3659" s="68">
        <v>37225</v>
      </c>
      <c r="B3659" s="32">
        <v>2308.59</v>
      </c>
      <c r="C3659">
        <f t="shared" si="87"/>
        <v>2001</v>
      </c>
    </row>
    <row r="3660" spans="1:3">
      <c r="A3660" s="68">
        <v>37226</v>
      </c>
      <c r="B3660" s="33">
        <v>2303.35</v>
      </c>
      <c r="C3660">
        <f t="shared" si="87"/>
        <v>2001</v>
      </c>
    </row>
    <row r="3661" spans="1:3">
      <c r="A3661" s="68">
        <v>37227</v>
      </c>
      <c r="B3661" s="32">
        <v>2303.35</v>
      </c>
      <c r="C3661">
        <f t="shared" si="87"/>
        <v>2001</v>
      </c>
    </row>
    <row r="3662" spans="1:3">
      <c r="A3662" s="68">
        <v>37228</v>
      </c>
      <c r="B3662" s="33">
        <v>2303.35</v>
      </c>
      <c r="C3662">
        <f t="shared" si="87"/>
        <v>2001</v>
      </c>
    </row>
    <row r="3663" spans="1:3">
      <c r="A3663" s="68">
        <v>37229</v>
      </c>
      <c r="B3663" s="32">
        <v>2304.13</v>
      </c>
      <c r="C3663">
        <f t="shared" si="87"/>
        <v>2001</v>
      </c>
    </row>
    <row r="3664" spans="1:3">
      <c r="A3664" s="68">
        <v>37230</v>
      </c>
      <c r="B3664" s="33">
        <v>2314.7600000000002</v>
      </c>
      <c r="C3664">
        <f t="shared" si="87"/>
        <v>2001</v>
      </c>
    </row>
    <row r="3665" spans="1:3">
      <c r="A3665" s="68">
        <v>37231</v>
      </c>
      <c r="B3665" s="32">
        <v>2315.36</v>
      </c>
      <c r="C3665">
        <f t="shared" si="87"/>
        <v>2001</v>
      </c>
    </row>
    <row r="3666" spans="1:3">
      <c r="A3666" s="68">
        <v>37232</v>
      </c>
      <c r="B3666" s="33">
        <v>2314.89</v>
      </c>
      <c r="C3666">
        <f t="shared" si="87"/>
        <v>2001</v>
      </c>
    </row>
    <row r="3667" spans="1:3">
      <c r="A3667" s="68">
        <v>37233</v>
      </c>
      <c r="B3667" s="32">
        <v>2310.9</v>
      </c>
      <c r="C3667">
        <f t="shared" si="87"/>
        <v>2001</v>
      </c>
    </row>
    <row r="3668" spans="1:3">
      <c r="A3668" s="68">
        <v>37234</v>
      </c>
      <c r="B3668" s="33">
        <v>2310.9</v>
      </c>
      <c r="C3668">
        <f t="shared" si="87"/>
        <v>2001</v>
      </c>
    </row>
    <row r="3669" spans="1:3">
      <c r="A3669" s="68">
        <v>37235</v>
      </c>
      <c r="B3669" s="32">
        <v>2310.9</v>
      </c>
      <c r="C3669">
        <f t="shared" si="87"/>
        <v>2001</v>
      </c>
    </row>
    <row r="3670" spans="1:3">
      <c r="A3670" s="68">
        <v>37236</v>
      </c>
      <c r="B3670" s="33">
        <v>2308.41</v>
      </c>
      <c r="C3670">
        <f t="shared" si="87"/>
        <v>2001</v>
      </c>
    </row>
    <row r="3671" spans="1:3">
      <c r="A3671" s="68">
        <v>37237</v>
      </c>
      <c r="B3671" s="32">
        <v>2306.56</v>
      </c>
      <c r="C3671">
        <f t="shared" si="87"/>
        <v>2001</v>
      </c>
    </row>
    <row r="3672" spans="1:3">
      <c r="A3672" s="68">
        <v>37238</v>
      </c>
      <c r="B3672" s="33">
        <v>2307.12</v>
      </c>
      <c r="C3672">
        <f t="shared" si="87"/>
        <v>2001</v>
      </c>
    </row>
    <row r="3673" spans="1:3">
      <c r="A3673" s="68">
        <v>37239</v>
      </c>
      <c r="B3673" s="32">
        <v>2312</v>
      </c>
      <c r="C3673">
        <f t="shared" si="87"/>
        <v>2001</v>
      </c>
    </row>
    <row r="3674" spans="1:3">
      <c r="A3674" s="68">
        <v>37240</v>
      </c>
      <c r="B3674" s="33">
        <v>2318.67</v>
      </c>
      <c r="C3674">
        <f t="shared" si="87"/>
        <v>2001</v>
      </c>
    </row>
    <row r="3675" spans="1:3">
      <c r="A3675" s="68">
        <v>37241</v>
      </c>
      <c r="B3675" s="32">
        <v>2318.67</v>
      </c>
      <c r="C3675">
        <f t="shared" si="87"/>
        <v>2001</v>
      </c>
    </row>
    <row r="3676" spans="1:3">
      <c r="A3676" s="68">
        <v>37242</v>
      </c>
      <c r="B3676" s="33">
        <v>2318.67</v>
      </c>
      <c r="C3676">
        <f t="shared" si="87"/>
        <v>2001</v>
      </c>
    </row>
    <row r="3677" spans="1:3">
      <c r="A3677" s="68">
        <v>37243</v>
      </c>
      <c r="B3677" s="32">
        <v>2310.58</v>
      </c>
      <c r="C3677">
        <f t="shared" si="87"/>
        <v>2001</v>
      </c>
    </row>
    <row r="3678" spans="1:3">
      <c r="A3678" s="68">
        <v>37244</v>
      </c>
      <c r="B3678" s="33">
        <v>2306.8200000000002</v>
      </c>
      <c r="C3678">
        <f t="shared" si="87"/>
        <v>2001</v>
      </c>
    </row>
    <row r="3679" spans="1:3">
      <c r="A3679" s="68">
        <v>37245</v>
      </c>
      <c r="B3679" s="32">
        <v>2307.1</v>
      </c>
      <c r="C3679">
        <f t="shared" si="87"/>
        <v>2001</v>
      </c>
    </row>
    <row r="3680" spans="1:3">
      <c r="A3680" s="68">
        <v>37246</v>
      </c>
      <c r="B3680" s="33">
        <v>2306.88</v>
      </c>
      <c r="C3680">
        <f t="shared" si="87"/>
        <v>2001</v>
      </c>
    </row>
    <row r="3681" spans="1:3">
      <c r="A3681" s="68">
        <v>37247</v>
      </c>
      <c r="B3681" s="32">
        <v>2303.15</v>
      </c>
      <c r="C3681">
        <f t="shared" si="87"/>
        <v>2001</v>
      </c>
    </row>
    <row r="3682" spans="1:3">
      <c r="A3682" s="68">
        <v>37248</v>
      </c>
      <c r="B3682" s="33">
        <v>2303.15</v>
      </c>
      <c r="C3682">
        <f t="shared" si="87"/>
        <v>2001</v>
      </c>
    </row>
    <row r="3683" spans="1:3">
      <c r="A3683" s="68">
        <v>37249</v>
      </c>
      <c r="B3683" s="32">
        <v>2303.15</v>
      </c>
      <c r="C3683">
        <f t="shared" si="87"/>
        <v>2001</v>
      </c>
    </row>
    <row r="3684" spans="1:3">
      <c r="A3684" s="68">
        <v>37250</v>
      </c>
      <c r="B3684" s="33">
        <v>2297.59</v>
      </c>
      <c r="C3684">
        <f t="shared" si="87"/>
        <v>2001</v>
      </c>
    </row>
    <row r="3685" spans="1:3">
      <c r="A3685" s="68">
        <v>37251</v>
      </c>
      <c r="B3685" s="32">
        <v>2297.59</v>
      </c>
      <c r="C3685">
        <f t="shared" si="87"/>
        <v>2001</v>
      </c>
    </row>
    <row r="3686" spans="1:3">
      <c r="A3686" s="68">
        <v>37252</v>
      </c>
      <c r="B3686" s="33">
        <v>2297.17</v>
      </c>
      <c r="C3686">
        <f t="shared" si="87"/>
        <v>2001</v>
      </c>
    </row>
    <row r="3687" spans="1:3">
      <c r="A3687" s="68">
        <v>37253</v>
      </c>
      <c r="B3687" s="32">
        <v>2301.33</v>
      </c>
      <c r="C3687">
        <f t="shared" si="87"/>
        <v>2001</v>
      </c>
    </row>
    <row r="3688" spans="1:3">
      <c r="A3688" s="68">
        <v>37254</v>
      </c>
      <c r="B3688" s="33">
        <v>2291.1799999999998</v>
      </c>
      <c r="C3688">
        <f t="shared" si="87"/>
        <v>2001</v>
      </c>
    </row>
    <row r="3689" spans="1:3">
      <c r="A3689" s="68">
        <v>37255</v>
      </c>
      <c r="B3689" s="32">
        <v>2291.1799999999998</v>
      </c>
      <c r="C3689">
        <f t="shared" si="87"/>
        <v>2001</v>
      </c>
    </row>
    <row r="3690" spans="1:3">
      <c r="A3690" s="68">
        <v>37256</v>
      </c>
      <c r="B3690" s="33">
        <v>2291.1799999999998</v>
      </c>
      <c r="C3690">
        <f t="shared" si="87"/>
        <v>2001</v>
      </c>
    </row>
    <row r="3691" spans="1:3">
      <c r="A3691" s="68">
        <v>37257</v>
      </c>
      <c r="B3691" s="32">
        <v>2291.1799999999998</v>
      </c>
      <c r="C3691">
        <f t="shared" si="87"/>
        <v>2002</v>
      </c>
    </row>
    <row r="3692" spans="1:3">
      <c r="A3692" s="68">
        <v>37258</v>
      </c>
      <c r="B3692" s="33">
        <v>2291.1799999999998</v>
      </c>
      <c r="C3692">
        <f t="shared" si="87"/>
        <v>2002</v>
      </c>
    </row>
    <row r="3693" spans="1:3">
      <c r="A3693" s="68">
        <v>37259</v>
      </c>
      <c r="B3693" s="32">
        <v>2289.42</v>
      </c>
      <c r="C3693">
        <f t="shared" si="87"/>
        <v>2002</v>
      </c>
    </row>
    <row r="3694" spans="1:3">
      <c r="A3694" s="68">
        <v>37260</v>
      </c>
      <c r="B3694" s="33">
        <v>2289.91</v>
      </c>
      <c r="C3694">
        <f t="shared" si="87"/>
        <v>2002</v>
      </c>
    </row>
    <row r="3695" spans="1:3">
      <c r="A3695" s="68">
        <v>37261</v>
      </c>
      <c r="B3695" s="32">
        <v>2295.59</v>
      </c>
      <c r="C3695">
        <f t="shared" si="87"/>
        <v>2002</v>
      </c>
    </row>
    <row r="3696" spans="1:3">
      <c r="A3696" s="68">
        <v>37262</v>
      </c>
      <c r="B3696" s="33">
        <v>2295.59</v>
      </c>
      <c r="C3696">
        <f t="shared" si="87"/>
        <v>2002</v>
      </c>
    </row>
    <row r="3697" spans="1:3">
      <c r="A3697" s="68">
        <v>37263</v>
      </c>
      <c r="B3697" s="32">
        <v>2295.59</v>
      </c>
      <c r="C3697">
        <f t="shared" si="87"/>
        <v>2002</v>
      </c>
    </row>
    <row r="3698" spans="1:3">
      <c r="A3698" s="68">
        <v>37264</v>
      </c>
      <c r="B3698" s="33">
        <v>2295.59</v>
      </c>
      <c r="C3698">
        <f t="shared" si="87"/>
        <v>2002</v>
      </c>
    </row>
    <row r="3699" spans="1:3">
      <c r="A3699" s="68">
        <v>37265</v>
      </c>
      <c r="B3699" s="32">
        <v>2306.31</v>
      </c>
      <c r="C3699">
        <f t="shared" si="87"/>
        <v>2002</v>
      </c>
    </row>
    <row r="3700" spans="1:3">
      <c r="A3700" s="68">
        <v>37266</v>
      </c>
      <c r="B3700" s="33">
        <v>2306.35</v>
      </c>
      <c r="C3700">
        <f t="shared" si="87"/>
        <v>2002</v>
      </c>
    </row>
    <row r="3701" spans="1:3">
      <c r="A3701" s="68">
        <v>37267</v>
      </c>
      <c r="B3701" s="32">
        <v>2311.5700000000002</v>
      </c>
      <c r="C3701">
        <f t="shared" si="87"/>
        <v>2002</v>
      </c>
    </row>
    <row r="3702" spans="1:3">
      <c r="A3702" s="68">
        <v>37268</v>
      </c>
      <c r="B3702" s="33">
        <v>2304.54</v>
      </c>
      <c r="C3702">
        <f t="shared" si="87"/>
        <v>2002</v>
      </c>
    </row>
    <row r="3703" spans="1:3">
      <c r="A3703" s="68">
        <v>37269</v>
      </c>
      <c r="B3703" s="32">
        <v>2304.54</v>
      </c>
      <c r="C3703">
        <f t="shared" si="87"/>
        <v>2002</v>
      </c>
    </row>
    <row r="3704" spans="1:3">
      <c r="A3704" s="68">
        <v>37270</v>
      </c>
      <c r="B3704" s="33">
        <v>2304.54</v>
      </c>
      <c r="C3704">
        <f t="shared" si="87"/>
        <v>2002</v>
      </c>
    </row>
    <row r="3705" spans="1:3">
      <c r="A3705" s="68">
        <v>37271</v>
      </c>
      <c r="B3705" s="32">
        <v>2297.31</v>
      </c>
      <c r="C3705">
        <f t="shared" si="87"/>
        <v>2002</v>
      </c>
    </row>
    <row r="3706" spans="1:3">
      <c r="A3706" s="68">
        <v>37272</v>
      </c>
      <c r="B3706" s="33">
        <v>2280.73</v>
      </c>
      <c r="C3706">
        <f t="shared" si="87"/>
        <v>2002</v>
      </c>
    </row>
    <row r="3707" spans="1:3">
      <c r="A3707" s="68">
        <v>37273</v>
      </c>
      <c r="B3707" s="32">
        <v>2265.66</v>
      </c>
      <c r="C3707">
        <f t="shared" si="87"/>
        <v>2002</v>
      </c>
    </row>
    <row r="3708" spans="1:3">
      <c r="A3708" s="68">
        <v>37274</v>
      </c>
      <c r="B3708" s="33">
        <v>2265.0100000000002</v>
      </c>
      <c r="C3708">
        <f t="shared" si="87"/>
        <v>2002</v>
      </c>
    </row>
    <row r="3709" spans="1:3">
      <c r="A3709" s="68">
        <v>37275</v>
      </c>
      <c r="B3709" s="32">
        <v>2269.7600000000002</v>
      </c>
      <c r="C3709">
        <f t="shared" si="87"/>
        <v>2002</v>
      </c>
    </row>
    <row r="3710" spans="1:3">
      <c r="A3710" s="68">
        <v>37276</v>
      </c>
      <c r="B3710" s="33">
        <v>2269.7600000000002</v>
      </c>
      <c r="C3710">
        <f t="shared" si="87"/>
        <v>2002</v>
      </c>
    </row>
    <row r="3711" spans="1:3">
      <c r="A3711" s="68">
        <v>37277</v>
      </c>
      <c r="B3711" s="32">
        <v>2269.7600000000002</v>
      </c>
      <c r="C3711">
        <f t="shared" si="87"/>
        <v>2002</v>
      </c>
    </row>
    <row r="3712" spans="1:3">
      <c r="A3712" s="68">
        <v>37278</v>
      </c>
      <c r="B3712" s="33">
        <v>2259.2399999999998</v>
      </c>
      <c r="C3712">
        <f t="shared" si="87"/>
        <v>2002</v>
      </c>
    </row>
    <row r="3713" spans="1:3">
      <c r="A3713" s="68">
        <v>37279</v>
      </c>
      <c r="B3713" s="32">
        <v>2247.29</v>
      </c>
      <c r="C3713">
        <f t="shared" si="87"/>
        <v>2002</v>
      </c>
    </row>
    <row r="3714" spans="1:3">
      <c r="A3714" s="68">
        <v>37280</v>
      </c>
      <c r="B3714" s="33">
        <v>2239.92</v>
      </c>
      <c r="C3714">
        <f t="shared" si="87"/>
        <v>2002</v>
      </c>
    </row>
    <row r="3715" spans="1:3">
      <c r="A3715" s="68">
        <v>37281</v>
      </c>
      <c r="B3715" s="32">
        <v>2231.98</v>
      </c>
      <c r="C3715">
        <f t="shared" si="87"/>
        <v>2002</v>
      </c>
    </row>
    <row r="3716" spans="1:3">
      <c r="A3716" s="68">
        <v>37282</v>
      </c>
      <c r="B3716" s="33">
        <v>2242.67</v>
      </c>
      <c r="C3716">
        <f t="shared" ref="C3716:C3779" si="88">YEAR(A3716)</f>
        <v>2002</v>
      </c>
    </row>
    <row r="3717" spans="1:3">
      <c r="A3717" s="68">
        <v>37283</v>
      </c>
      <c r="B3717" s="32">
        <v>2242.67</v>
      </c>
      <c r="C3717">
        <f t="shared" si="88"/>
        <v>2002</v>
      </c>
    </row>
    <row r="3718" spans="1:3">
      <c r="A3718" s="68">
        <v>37284</v>
      </c>
      <c r="B3718" s="33">
        <v>2242.67</v>
      </c>
      <c r="C3718">
        <f t="shared" si="88"/>
        <v>2002</v>
      </c>
    </row>
    <row r="3719" spans="1:3">
      <c r="A3719" s="68">
        <v>37285</v>
      </c>
      <c r="B3719" s="32">
        <v>2252.37</v>
      </c>
      <c r="C3719">
        <f t="shared" si="88"/>
        <v>2002</v>
      </c>
    </row>
    <row r="3720" spans="1:3">
      <c r="A3720" s="68">
        <v>37286</v>
      </c>
      <c r="B3720" s="33">
        <v>2262.4499999999998</v>
      </c>
      <c r="C3720">
        <f t="shared" si="88"/>
        <v>2002</v>
      </c>
    </row>
    <row r="3721" spans="1:3">
      <c r="A3721" s="68">
        <v>37287</v>
      </c>
      <c r="B3721" s="32">
        <v>2264.8200000000002</v>
      </c>
      <c r="C3721">
        <f t="shared" si="88"/>
        <v>2002</v>
      </c>
    </row>
    <row r="3722" spans="1:3">
      <c r="A3722" s="68">
        <v>37288</v>
      </c>
      <c r="B3722" s="33">
        <v>2265.9899999999998</v>
      </c>
      <c r="C3722">
        <f t="shared" si="88"/>
        <v>2002</v>
      </c>
    </row>
    <row r="3723" spans="1:3">
      <c r="A3723" s="68">
        <v>37289</v>
      </c>
      <c r="B3723" s="32">
        <v>2267.33</v>
      </c>
      <c r="C3723">
        <f t="shared" si="88"/>
        <v>2002</v>
      </c>
    </row>
    <row r="3724" spans="1:3">
      <c r="A3724" s="68">
        <v>37290</v>
      </c>
      <c r="B3724" s="33">
        <v>2267.33</v>
      </c>
      <c r="C3724">
        <f t="shared" si="88"/>
        <v>2002</v>
      </c>
    </row>
    <row r="3725" spans="1:3">
      <c r="A3725" s="68">
        <v>37291</v>
      </c>
      <c r="B3725" s="32">
        <v>2267.33</v>
      </c>
      <c r="C3725">
        <f t="shared" si="88"/>
        <v>2002</v>
      </c>
    </row>
    <row r="3726" spans="1:3">
      <c r="A3726" s="68">
        <v>37292</v>
      </c>
      <c r="B3726" s="33">
        <v>2266.61</v>
      </c>
      <c r="C3726">
        <f t="shared" si="88"/>
        <v>2002</v>
      </c>
    </row>
    <row r="3727" spans="1:3">
      <c r="A3727" s="68">
        <v>37293</v>
      </c>
      <c r="B3727" s="32">
        <v>2259.81</v>
      </c>
      <c r="C3727">
        <f t="shared" si="88"/>
        <v>2002</v>
      </c>
    </row>
    <row r="3728" spans="1:3">
      <c r="A3728" s="68">
        <v>37294</v>
      </c>
      <c r="B3728" s="33">
        <v>2254.98</v>
      </c>
      <c r="C3728">
        <f t="shared" si="88"/>
        <v>2002</v>
      </c>
    </row>
    <row r="3729" spans="1:3">
      <c r="A3729" s="68">
        <v>37295</v>
      </c>
      <c r="B3729" s="32">
        <v>2260.17</v>
      </c>
      <c r="C3729">
        <f t="shared" si="88"/>
        <v>2002</v>
      </c>
    </row>
    <row r="3730" spans="1:3">
      <c r="A3730" s="68">
        <v>37296</v>
      </c>
      <c r="B3730" s="33">
        <v>2272.7600000000002</v>
      </c>
      <c r="C3730">
        <f t="shared" si="88"/>
        <v>2002</v>
      </c>
    </row>
    <row r="3731" spans="1:3">
      <c r="A3731" s="68">
        <v>37297</v>
      </c>
      <c r="B3731" s="32">
        <v>2272.7600000000002</v>
      </c>
      <c r="C3731">
        <f t="shared" si="88"/>
        <v>2002</v>
      </c>
    </row>
    <row r="3732" spans="1:3">
      <c r="A3732" s="68">
        <v>37298</v>
      </c>
      <c r="B3732" s="33">
        <v>2272.7600000000002</v>
      </c>
      <c r="C3732">
        <f t="shared" si="88"/>
        <v>2002</v>
      </c>
    </row>
    <row r="3733" spans="1:3">
      <c r="A3733" s="68">
        <v>37299</v>
      </c>
      <c r="B3733" s="32">
        <v>2283.14</v>
      </c>
      <c r="C3733">
        <f t="shared" si="88"/>
        <v>2002</v>
      </c>
    </row>
    <row r="3734" spans="1:3">
      <c r="A3734" s="68">
        <v>37300</v>
      </c>
      <c r="B3734" s="33">
        <v>2290.19</v>
      </c>
      <c r="C3734">
        <f t="shared" si="88"/>
        <v>2002</v>
      </c>
    </row>
    <row r="3735" spans="1:3">
      <c r="A3735" s="68">
        <v>37301</v>
      </c>
      <c r="B3735" s="32">
        <v>2309.27</v>
      </c>
      <c r="C3735">
        <f t="shared" si="88"/>
        <v>2002</v>
      </c>
    </row>
    <row r="3736" spans="1:3">
      <c r="A3736" s="68">
        <v>37302</v>
      </c>
      <c r="B3736" s="33">
        <v>2312.0300000000002</v>
      </c>
      <c r="C3736">
        <f t="shared" si="88"/>
        <v>2002</v>
      </c>
    </row>
    <row r="3737" spans="1:3">
      <c r="A3737" s="68">
        <v>37303</v>
      </c>
      <c r="B3737" s="32">
        <v>2288.54</v>
      </c>
      <c r="C3737">
        <f t="shared" si="88"/>
        <v>2002</v>
      </c>
    </row>
    <row r="3738" spans="1:3">
      <c r="A3738" s="68">
        <v>37304</v>
      </c>
      <c r="B3738" s="33">
        <v>2288.54</v>
      </c>
      <c r="C3738">
        <f t="shared" si="88"/>
        <v>2002</v>
      </c>
    </row>
    <row r="3739" spans="1:3">
      <c r="A3739" s="68">
        <v>37305</v>
      </c>
      <c r="B3739" s="32">
        <v>2288.54</v>
      </c>
      <c r="C3739">
        <f t="shared" si="88"/>
        <v>2002</v>
      </c>
    </row>
    <row r="3740" spans="1:3">
      <c r="A3740" s="68">
        <v>37306</v>
      </c>
      <c r="B3740" s="33">
        <v>2288.98</v>
      </c>
      <c r="C3740">
        <f t="shared" si="88"/>
        <v>2002</v>
      </c>
    </row>
    <row r="3741" spans="1:3">
      <c r="A3741" s="68">
        <v>37307</v>
      </c>
      <c r="B3741" s="32">
        <v>2280.98</v>
      </c>
      <c r="C3741">
        <f t="shared" si="88"/>
        <v>2002</v>
      </c>
    </row>
    <row r="3742" spans="1:3">
      <c r="A3742" s="68">
        <v>37308</v>
      </c>
      <c r="B3742" s="33">
        <v>2282.94</v>
      </c>
      <c r="C3742">
        <f t="shared" si="88"/>
        <v>2002</v>
      </c>
    </row>
    <row r="3743" spans="1:3">
      <c r="A3743" s="68">
        <v>37309</v>
      </c>
      <c r="B3743" s="32">
        <v>2309.4499999999998</v>
      </c>
      <c r="C3743">
        <f t="shared" si="88"/>
        <v>2002</v>
      </c>
    </row>
    <row r="3744" spans="1:3">
      <c r="A3744" s="68">
        <v>37310</v>
      </c>
      <c r="B3744" s="33">
        <v>2307.75</v>
      </c>
      <c r="C3744">
        <f t="shared" si="88"/>
        <v>2002</v>
      </c>
    </row>
    <row r="3745" spans="1:3">
      <c r="A3745" s="68">
        <v>37311</v>
      </c>
      <c r="B3745" s="32">
        <v>2307.75</v>
      </c>
      <c r="C3745">
        <f t="shared" si="88"/>
        <v>2002</v>
      </c>
    </row>
    <row r="3746" spans="1:3">
      <c r="A3746" s="68">
        <v>37312</v>
      </c>
      <c r="B3746" s="33">
        <v>2307.75</v>
      </c>
      <c r="C3746">
        <f t="shared" si="88"/>
        <v>2002</v>
      </c>
    </row>
    <row r="3747" spans="1:3">
      <c r="A3747" s="68">
        <v>37313</v>
      </c>
      <c r="B3747" s="32">
        <v>2310.21</v>
      </c>
      <c r="C3747">
        <f t="shared" si="88"/>
        <v>2002</v>
      </c>
    </row>
    <row r="3748" spans="1:3">
      <c r="A3748" s="68">
        <v>37314</v>
      </c>
      <c r="B3748" s="33">
        <v>2313.13</v>
      </c>
      <c r="C3748">
        <f t="shared" si="88"/>
        <v>2002</v>
      </c>
    </row>
    <row r="3749" spans="1:3">
      <c r="A3749" s="68">
        <v>37315</v>
      </c>
      <c r="B3749" s="32">
        <v>2309.8200000000002</v>
      </c>
      <c r="C3749">
        <f t="shared" si="88"/>
        <v>2002</v>
      </c>
    </row>
    <row r="3750" spans="1:3">
      <c r="A3750" s="68">
        <v>37316</v>
      </c>
      <c r="B3750" s="33">
        <v>2306.4499999999998</v>
      </c>
      <c r="C3750">
        <f t="shared" si="88"/>
        <v>2002</v>
      </c>
    </row>
    <row r="3751" spans="1:3">
      <c r="A3751" s="68">
        <v>37317</v>
      </c>
      <c r="B3751" s="32">
        <v>2306.33</v>
      </c>
      <c r="C3751">
        <f t="shared" si="88"/>
        <v>2002</v>
      </c>
    </row>
    <row r="3752" spans="1:3">
      <c r="A3752" s="68">
        <v>37318</v>
      </c>
      <c r="B3752" s="33">
        <v>2306.33</v>
      </c>
      <c r="C3752">
        <f t="shared" si="88"/>
        <v>2002</v>
      </c>
    </row>
    <row r="3753" spans="1:3">
      <c r="A3753" s="68">
        <v>37319</v>
      </c>
      <c r="B3753" s="32">
        <v>2306.33</v>
      </c>
      <c r="C3753">
        <f t="shared" si="88"/>
        <v>2002</v>
      </c>
    </row>
    <row r="3754" spans="1:3">
      <c r="A3754" s="68">
        <v>37320</v>
      </c>
      <c r="B3754" s="33">
        <v>2299.15</v>
      </c>
      <c r="C3754">
        <f t="shared" si="88"/>
        <v>2002</v>
      </c>
    </row>
    <row r="3755" spans="1:3">
      <c r="A3755" s="68">
        <v>37321</v>
      </c>
      <c r="B3755" s="32">
        <v>2293.6</v>
      </c>
      <c r="C3755">
        <f t="shared" si="88"/>
        <v>2002</v>
      </c>
    </row>
    <row r="3756" spans="1:3">
      <c r="A3756" s="68">
        <v>37322</v>
      </c>
      <c r="B3756" s="33">
        <v>2290</v>
      </c>
      <c r="C3756">
        <f t="shared" si="88"/>
        <v>2002</v>
      </c>
    </row>
    <row r="3757" spans="1:3">
      <c r="A3757" s="68">
        <v>37323</v>
      </c>
      <c r="B3757" s="32">
        <v>2289.83</v>
      </c>
      <c r="C3757">
        <f t="shared" si="88"/>
        <v>2002</v>
      </c>
    </row>
    <row r="3758" spans="1:3">
      <c r="A3758" s="68">
        <v>37324</v>
      </c>
      <c r="B3758" s="33">
        <v>2283.83</v>
      </c>
      <c r="C3758">
        <f t="shared" si="88"/>
        <v>2002</v>
      </c>
    </row>
    <row r="3759" spans="1:3">
      <c r="A3759" s="68">
        <v>37325</v>
      </c>
      <c r="B3759" s="32">
        <v>2283.83</v>
      </c>
      <c r="C3759">
        <f t="shared" si="88"/>
        <v>2002</v>
      </c>
    </row>
    <row r="3760" spans="1:3">
      <c r="A3760" s="68">
        <v>37326</v>
      </c>
      <c r="B3760" s="33">
        <v>2283.83</v>
      </c>
      <c r="C3760">
        <f t="shared" si="88"/>
        <v>2002</v>
      </c>
    </row>
    <row r="3761" spans="1:3">
      <c r="A3761" s="68">
        <v>37327</v>
      </c>
      <c r="B3761" s="32">
        <v>2269.88</v>
      </c>
      <c r="C3761">
        <f t="shared" si="88"/>
        <v>2002</v>
      </c>
    </row>
    <row r="3762" spans="1:3">
      <c r="A3762" s="68">
        <v>37328</v>
      </c>
      <c r="B3762" s="33">
        <v>2269.17</v>
      </c>
      <c r="C3762">
        <f t="shared" si="88"/>
        <v>2002</v>
      </c>
    </row>
    <row r="3763" spans="1:3">
      <c r="A3763" s="68">
        <v>37329</v>
      </c>
      <c r="B3763" s="32">
        <v>2270.66</v>
      </c>
      <c r="C3763">
        <f t="shared" si="88"/>
        <v>2002</v>
      </c>
    </row>
    <row r="3764" spans="1:3">
      <c r="A3764" s="68">
        <v>37330</v>
      </c>
      <c r="B3764" s="33">
        <v>2272.27</v>
      </c>
      <c r="C3764">
        <f t="shared" si="88"/>
        <v>2002</v>
      </c>
    </row>
    <row r="3765" spans="1:3">
      <c r="A3765" s="68">
        <v>37331</v>
      </c>
      <c r="B3765" s="32">
        <v>2278.56</v>
      </c>
      <c r="C3765">
        <f t="shared" si="88"/>
        <v>2002</v>
      </c>
    </row>
    <row r="3766" spans="1:3">
      <c r="A3766" s="68">
        <v>37332</v>
      </c>
      <c r="B3766" s="33">
        <v>2278.56</v>
      </c>
      <c r="C3766">
        <f t="shared" si="88"/>
        <v>2002</v>
      </c>
    </row>
    <row r="3767" spans="1:3">
      <c r="A3767" s="68">
        <v>37333</v>
      </c>
      <c r="B3767" s="32">
        <v>2278.56</v>
      </c>
      <c r="C3767">
        <f t="shared" si="88"/>
        <v>2002</v>
      </c>
    </row>
    <row r="3768" spans="1:3">
      <c r="A3768" s="68">
        <v>37334</v>
      </c>
      <c r="B3768" s="33">
        <v>2282.25</v>
      </c>
      <c r="C3768">
        <f t="shared" si="88"/>
        <v>2002</v>
      </c>
    </row>
    <row r="3769" spans="1:3">
      <c r="A3769" s="68">
        <v>37335</v>
      </c>
      <c r="B3769" s="32">
        <v>2274.5300000000002</v>
      </c>
      <c r="C3769">
        <f t="shared" si="88"/>
        <v>2002</v>
      </c>
    </row>
    <row r="3770" spans="1:3">
      <c r="A3770" s="68">
        <v>37336</v>
      </c>
      <c r="B3770" s="33">
        <v>2279.6</v>
      </c>
      <c r="C3770">
        <f t="shared" si="88"/>
        <v>2002</v>
      </c>
    </row>
    <row r="3771" spans="1:3">
      <c r="A3771" s="68">
        <v>37337</v>
      </c>
      <c r="B3771" s="32">
        <v>2280</v>
      </c>
      <c r="C3771">
        <f t="shared" si="88"/>
        <v>2002</v>
      </c>
    </row>
    <row r="3772" spans="1:3">
      <c r="A3772" s="68">
        <v>37338</v>
      </c>
      <c r="B3772" s="33">
        <v>2274.4699999999998</v>
      </c>
      <c r="C3772">
        <f t="shared" si="88"/>
        <v>2002</v>
      </c>
    </row>
    <row r="3773" spans="1:3">
      <c r="A3773" s="68">
        <v>37339</v>
      </c>
      <c r="B3773" s="32">
        <v>2274.4699999999998</v>
      </c>
      <c r="C3773">
        <f t="shared" si="88"/>
        <v>2002</v>
      </c>
    </row>
    <row r="3774" spans="1:3">
      <c r="A3774" s="68">
        <v>37340</v>
      </c>
      <c r="B3774" s="33">
        <v>2274.4699999999998</v>
      </c>
      <c r="C3774">
        <f t="shared" si="88"/>
        <v>2002</v>
      </c>
    </row>
    <row r="3775" spans="1:3">
      <c r="A3775" s="68">
        <v>37341</v>
      </c>
      <c r="B3775" s="32">
        <v>2274.4699999999998</v>
      </c>
      <c r="C3775">
        <f t="shared" si="88"/>
        <v>2002</v>
      </c>
    </row>
    <row r="3776" spans="1:3">
      <c r="A3776" s="68">
        <v>37342</v>
      </c>
      <c r="B3776" s="33">
        <v>2261.37</v>
      </c>
      <c r="C3776">
        <f t="shared" si="88"/>
        <v>2002</v>
      </c>
    </row>
    <row r="3777" spans="1:3">
      <c r="A3777" s="68">
        <v>37343</v>
      </c>
      <c r="B3777" s="32">
        <v>2261.23</v>
      </c>
      <c r="C3777">
        <f t="shared" si="88"/>
        <v>2002</v>
      </c>
    </row>
    <row r="3778" spans="1:3">
      <c r="A3778" s="68">
        <v>37344</v>
      </c>
      <c r="B3778" s="33">
        <v>2261.23</v>
      </c>
      <c r="C3778">
        <f t="shared" si="88"/>
        <v>2002</v>
      </c>
    </row>
    <row r="3779" spans="1:3">
      <c r="A3779" s="68">
        <v>37345</v>
      </c>
      <c r="B3779" s="32">
        <v>2261.23</v>
      </c>
      <c r="C3779">
        <f t="shared" si="88"/>
        <v>2002</v>
      </c>
    </row>
    <row r="3780" spans="1:3">
      <c r="A3780" s="68">
        <v>37346</v>
      </c>
      <c r="B3780" s="33">
        <v>2261.23</v>
      </c>
      <c r="C3780">
        <f t="shared" ref="C3780:C3843" si="89">YEAR(A3780)</f>
        <v>2002</v>
      </c>
    </row>
    <row r="3781" spans="1:3">
      <c r="A3781" s="68">
        <v>37347</v>
      </c>
      <c r="B3781" s="32">
        <v>2261.23</v>
      </c>
      <c r="C3781">
        <f t="shared" si="89"/>
        <v>2002</v>
      </c>
    </row>
    <row r="3782" spans="1:3">
      <c r="A3782" s="68">
        <v>37348</v>
      </c>
      <c r="B3782" s="33">
        <v>2264.5700000000002</v>
      </c>
      <c r="C3782">
        <f t="shared" si="89"/>
        <v>2002</v>
      </c>
    </row>
    <row r="3783" spans="1:3">
      <c r="A3783" s="68">
        <v>37349</v>
      </c>
      <c r="B3783" s="32">
        <v>2257.16</v>
      </c>
      <c r="C3783">
        <f t="shared" si="89"/>
        <v>2002</v>
      </c>
    </row>
    <row r="3784" spans="1:3">
      <c r="A3784" s="68">
        <v>37350</v>
      </c>
      <c r="B3784" s="33">
        <v>2267.9899999999998</v>
      </c>
      <c r="C3784">
        <f t="shared" si="89"/>
        <v>2002</v>
      </c>
    </row>
    <row r="3785" spans="1:3">
      <c r="A3785" s="68">
        <v>37351</v>
      </c>
      <c r="B3785" s="32">
        <v>2269.35</v>
      </c>
      <c r="C3785">
        <f t="shared" si="89"/>
        <v>2002</v>
      </c>
    </row>
    <row r="3786" spans="1:3">
      <c r="A3786" s="68">
        <v>37352</v>
      </c>
      <c r="B3786" s="33">
        <v>2263.0300000000002</v>
      </c>
      <c r="C3786">
        <f t="shared" si="89"/>
        <v>2002</v>
      </c>
    </row>
    <row r="3787" spans="1:3">
      <c r="A3787" s="68">
        <v>37353</v>
      </c>
      <c r="B3787" s="32">
        <v>2263.0300000000002</v>
      </c>
      <c r="C3787">
        <f t="shared" si="89"/>
        <v>2002</v>
      </c>
    </row>
    <row r="3788" spans="1:3">
      <c r="A3788" s="68">
        <v>37354</v>
      </c>
      <c r="B3788" s="33">
        <v>2263.0300000000002</v>
      </c>
      <c r="C3788">
        <f t="shared" si="89"/>
        <v>2002</v>
      </c>
    </row>
    <row r="3789" spans="1:3">
      <c r="A3789" s="68">
        <v>37355</v>
      </c>
      <c r="B3789" s="32">
        <v>2255.02</v>
      </c>
      <c r="C3789">
        <f t="shared" si="89"/>
        <v>2002</v>
      </c>
    </row>
    <row r="3790" spans="1:3">
      <c r="A3790" s="68">
        <v>37356</v>
      </c>
      <c r="B3790" s="33">
        <v>2254.4499999999998</v>
      </c>
      <c r="C3790">
        <f t="shared" si="89"/>
        <v>2002</v>
      </c>
    </row>
    <row r="3791" spans="1:3">
      <c r="A3791" s="68">
        <v>37357</v>
      </c>
      <c r="B3791" s="32">
        <v>2257.7800000000002</v>
      </c>
      <c r="C3791">
        <f t="shared" si="89"/>
        <v>2002</v>
      </c>
    </row>
    <row r="3792" spans="1:3">
      <c r="A3792" s="68">
        <v>37358</v>
      </c>
      <c r="B3792" s="33">
        <v>2261.66</v>
      </c>
      <c r="C3792">
        <f t="shared" si="89"/>
        <v>2002</v>
      </c>
    </row>
    <row r="3793" spans="1:3">
      <c r="A3793" s="68">
        <v>37359</v>
      </c>
      <c r="B3793" s="32">
        <v>2264.98</v>
      </c>
      <c r="C3793">
        <f t="shared" si="89"/>
        <v>2002</v>
      </c>
    </row>
    <row r="3794" spans="1:3">
      <c r="A3794" s="68">
        <v>37360</v>
      </c>
      <c r="B3794" s="33">
        <v>2264.98</v>
      </c>
      <c r="C3794">
        <f t="shared" si="89"/>
        <v>2002</v>
      </c>
    </row>
    <row r="3795" spans="1:3">
      <c r="A3795" s="68">
        <v>37361</v>
      </c>
      <c r="B3795" s="32">
        <v>2264.98</v>
      </c>
      <c r="C3795">
        <f t="shared" si="89"/>
        <v>2002</v>
      </c>
    </row>
    <row r="3796" spans="1:3">
      <c r="A3796" s="68">
        <v>37362</v>
      </c>
      <c r="B3796" s="33">
        <v>2266.92</v>
      </c>
      <c r="C3796">
        <f t="shared" si="89"/>
        <v>2002</v>
      </c>
    </row>
    <row r="3797" spans="1:3">
      <c r="A3797" s="68">
        <v>37363</v>
      </c>
      <c r="B3797" s="32">
        <v>2262.56</v>
      </c>
      <c r="C3797">
        <f t="shared" si="89"/>
        <v>2002</v>
      </c>
    </row>
    <row r="3798" spans="1:3">
      <c r="A3798" s="68">
        <v>37364</v>
      </c>
      <c r="B3798" s="33">
        <v>2261.12</v>
      </c>
      <c r="C3798">
        <f t="shared" si="89"/>
        <v>2002</v>
      </c>
    </row>
    <row r="3799" spans="1:3">
      <c r="A3799" s="68">
        <v>37365</v>
      </c>
      <c r="B3799" s="32">
        <v>2256.66</v>
      </c>
      <c r="C3799">
        <f t="shared" si="89"/>
        <v>2002</v>
      </c>
    </row>
    <row r="3800" spans="1:3">
      <c r="A3800" s="68">
        <v>37366</v>
      </c>
      <c r="B3800" s="33">
        <v>2260.9</v>
      </c>
      <c r="C3800">
        <f t="shared" si="89"/>
        <v>2002</v>
      </c>
    </row>
    <row r="3801" spans="1:3">
      <c r="A3801" s="68">
        <v>37367</v>
      </c>
      <c r="B3801" s="32">
        <v>2260.9</v>
      </c>
      <c r="C3801">
        <f t="shared" si="89"/>
        <v>2002</v>
      </c>
    </row>
    <row r="3802" spans="1:3">
      <c r="A3802" s="68">
        <v>37368</v>
      </c>
      <c r="B3802" s="33">
        <v>2260.9</v>
      </c>
      <c r="C3802">
        <f t="shared" si="89"/>
        <v>2002</v>
      </c>
    </row>
    <row r="3803" spans="1:3">
      <c r="A3803" s="68">
        <v>37369</v>
      </c>
      <c r="B3803" s="32">
        <v>2259.88</v>
      </c>
      <c r="C3803">
        <f t="shared" si="89"/>
        <v>2002</v>
      </c>
    </row>
    <row r="3804" spans="1:3">
      <c r="A3804" s="68">
        <v>37370</v>
      </c>
      <c r="B3804" s="33">
        <v>2263.6799999999998</v>
      </c>
      <c r="C3804">
        <f t="shared" si="89"/>
        <v>2002</v>
      </c>
    </row>
    <row r="3805" spans="1:3">
      <c r="A3805" s="68">
        <v>37371</v>
      </c>
      <c r="B3805" s="32">
        <v>2265.6999999999998</v>
      </c>
      <c r="C3805">
        <f t="shared" si="89"/>
        <v>2002</v>
      </c>
    </row>
    <row r="3806" spans="1:3">
      <c r="A3806" s="68">
        <v>37372</v>
      </c>
      <c r="B3806" s="33">
        <v>2267.4</v>
      </c>
      <c r="C3806">
        <f t="shared" si="89"/>
        <v>2002</v>
      </c>
    </row>
    <row r="3807" spans="1:3">
      <c r="A3807" s="68">
        <v>37373</v>
      </c>
      <c r="B3807" s="32">
        <v>2270.92</v>
      </c>
      <c r="C3807">
        <f t="shared" si="89"/>
        <v>2002</v>
      </c>
    </row>
    <row r="3808" spans="1:3">
      <c r="A3808" s="68">
        <v>37374</v>
      </c>
      <c r="B3808" s="33">
        <v>2270.92</v>
      </c>
      <c r="C3808">
        <f t="shared" si="89"/>
        <v>2002</v>
      </c>
    </row>
    <row r="3809" spans="1:3">
      <c r="A3809" s="68">
        <v>37375</v>
      </c>
      <c r="B3809" s="32">
        <v>2270.92</v>
      </c>
      <c r="C3809">
        <f t="shared" si="89"/>
        <v>2002</v>
      </c>
    </row>
    <row r="3810" spans="1:3">
      <c r="A3810" s="68">
        <v>37376</v>
      </c>
      <c r="B3810" s="33">
        <v>2275.35</v>
      </c>
      <c r="C3810">
        <f t="shared" si="89"/>
        <v>2002</v>
      </c>
    </row>
    <row r="3811" spans="1:3">
      <c r="A3811" s="68">
        <v>37377</v>
      </c>
      <c r="B3811" s="32">
        <v>2275.4299999999998</v>
      </c>
      <c r="C3811">
        <f t="shared" si="89"/>
        <v>2002</v>
      </c>
    </row>
    <row r="3812" spans="1:3">
      <c r="A3812" s="68">
        <v>37378</v>
      </c>
      <c r="B3812" s="33">
        <v>2275.4299999999998</v>
      </c>
      <c r="C3812">
        <f t="shared" si="89"/>
        <v>2002</v>
      </c>
    </row>
    <row r="3813" spans="1:3">
      <c r="A3813" s="68">
        <v>37379</v>
      </c>
      <c r="B3813" s="32">
        <v>2279.56</v>
      </c>
      <c r="C3813">
        <f t="shared" si="89"/>
        <v>2002</v>
      </c>
    </row>
    <row r="3814" spans="1:3">
      <c r="A3814" s="68">
        <v>37380</v>
      </c>
      <c r="B3814" s="33">
        <v>2286.39</v>
      </c>
      <c r="C3814">
        <f t="shared" si="89"/>
        <v>2002</v>
      </c>
    </row>
    <row r="3815" spans="1:3">
      <c r="A3815" s="68">
        <v>37381</v>
      </c>
      <c r="B3815" s="32">
        <v>2286.39</v>
      </c>
      <c r="C3815">
        <f t="shared" si="89"/>
        <v>2002</v>
      </c>
    </row>
    <row r="3816" spans="1:3">
      <c r="A3816" s="68">
        <v>37382</v>
      </c>
      <c r="B3816" s="33">
        <v>2286.39</v>
      </c>
      <c r="C3816">
        <f t="shared" si="89"/>
        <v>2002</v>
      </c>
    </row>
    <row r="3817" spans="1:3">
      <c r="A3817" s="68">
        <v>37383</v>
      </c>
      <c r="B3817" s="32">
        <v>2285.64</v>
      </c>
      <c r="C3817">
        <f t="shared" si="89"/>
        <v>2002</v>
      </c>
    </row>
    <row r="3818" spans="1:3">
      <c r="A3818" s="68">
        <v>37384</v>
      </c>
      <c r="B3818" s="33">
        <v>2286.6</v>
      </c>
      <c r="C3818">
        <f t="shared" si="89"/>
        <v>2002</v>
      </c>
    </row>
    <row r="3819" spans="1:3">
      <c r="A3819" s="68">
        <v>37385</v>
      </c>
      <c r="B3819" s="32">
        <v>2284.9299999999998</v>
      </c>
      <c r="C3819">
        <f t="shared" si="89"/>
        <v>2002</v>
      </c>
    </row>
    <row r="3820" spans="1:3">
      <c r="A3820" s="68">
        <v>37386</v>
      </c>
      <c r="B3820" s="33">
        <v>2289.17</v>
      </c>
      <c r="C3820">
        <f t="shared" si="89"/>
        <v>2002</v>
      </c>
    </row>
    <row r="3821" spans="1:3">
      <c r="A3821" s="68">
        <v>37387</v>
      </c>
      <c r="B3821" s="32">
        <v>2292</v>
      </c>
      <c r="C3821">
        <f t="shared" si="89"/>
        <v>2002</v>
      </c>
    </row>
    <row r="3822" spans="1:3">
      <c r="A3822" s="68">
        <v>37388</v>
      </c>
      <c r="B3822" s="33">
        <v>2292</v>
      </c>
      <c r="C3822">
        <f t="shared" si="89"/>
        <v>2002</v>
      </c>
    </row>
    <row r="3823" spans="1:3">
      <c r="A3823" s="68">
        <v>37389</v>
      </c>
      <c r="B3823" s="32">
        <v>2292</v>
      </c>
      <c r="C3823">
        <f t="shared" si="89"/>
        <v>2002</v>
      </c>
    </row>
    <row r="3824" spans="1:3">
      <c r="A3824" s="68">
        <v>37390</v>
      </c>
      <c r="B3824" s="33">
        <v>2292</v>
      </c>
      <c r="C3824">
        <f t="shared" si="89"/>
        <v>2002</v>
      </c>
    </row>
    <row r="3825" spans="1:3">
      <c r="A3825" s="68">
        <v>37391</v>
      </c>
      <c r="B3825" s="32">
        <v>2293</v>
      </c>
      <c r="C3825">
        <f t="shared" si="89"/>
        <v>2002</v>
      </c>
    </row>
    <row r="3826" spans="1:3">
      <c r="A3826" s="68">
        <v>37392</v>
      </c>
      <c r="B3826" s="33">
        <v>2300.02</v>
      </c>
      <c r="C3826">
        <f t="shared" si="89"/>
        <v>2002</v>
      </c>
    </row>
    <row r="3827" spans="1:3">
      <c r="A3827" s="68">
        <v>37393</v>
      </c>
      <c r="B3827" s="32">
        <v>2314.21</v>
      </c>
      <c r="C3827">
        <f t="shared" si="89"/>
        <v>2002</v>
      </c>
    </row>
    <row r="3828" spans="1:3">
      <c r="A3828" s="68">
        <v>37394</v>
      </c>
      <c r="B3828" s="33">
        <v>2332.6799999999998</v>
      </c>
      <c r="C3828">
        <f t="shared" si="89"/>
        <v>2002</v>
      </c>
    </row>
    <row r="3829" spans="1:3">
      <c r="A3829" s="68">
        <v>37395</v>
      </c>
      <c r="B3829" s="32">
        <v>2332.6799999999998</v>
      </c>
      <c r="C3829">
        <f t="shared" si="89"/>
        <v>2002</v>
      </c>
    </row>
    <row r="3830" spans="1:3">
      <c r="A3830" s="68">
        <v>37396</v>
      </c>
      <c r="B3830" s="33">
        <v>2332.6799999999998</v>
      </c>
      <c r="C3830">
        <f t="shared" si="89"/>
        <v>2002</v>
      </c>
    </row>
    <row r="3831" spans="1:3">
      <c r="A3831" s="68">
        <v>37397</v>
      </c>
      <c r="B3831" s="32">
        <v>2350.1999999999998</v>
      </c>
      <c r="C3831">
        <f t="shared" si="89"/>
        <v>2002</v>
      </c>
    </row>
    <row r="3832" spans="1:3">
      <c r="A3832" s="68">
        <v>37398</v>
      </c>
      <c r="B3832" s="33">
        <v>2363.2800000000002</v>
      </c>
      <c r="C3832">
        <f t="shared" si="89"/>
        <v>2002</v>
      </c>
    </row>
    <row r="3833" spans="1:3">
      <c r="A3833" s="68">
        <v>37399</v>
      </c>
      <c r="B3833" s="32">
        <v>2349.8000000000002</v>
      </c>
      <c r="C3833">
        <f t="shared" si="89"/>
        <v>2002</v>
      </c>
    </row>
    <row r="3834" spans="1:3">
      <c r="A3834" s="68">
        <v>37400</v>
      </c>
      <c r="B3834" s="33">
        <v>2338.5500000000002</v>
      </c>
      <c r="C3834">
        <f t="shared" si="89"/>
        <v>2002</v>
      </c>
    </row>
    <row r="3835" spans="1:3">
      <c r="A3835" s="68">
        <v>37401</v>
      </c>
      <c r="B3835" s="32">
        <v>2331.0700000000002</v>
      </c>
      <c r="C3835">
        <f t="shared" si="89"/>
        <v>2002</v>
      </c>
    </row>
    <row r="3836" spans="1:3">
      <c r="A3836" s="68">
        <v>37402</v>
      </c>
      <c r="B3836" s="33">
        <v>2331.0700000000002</v>
      </c>
      <c r="C3836">
        <f t="shared" si="89"/>
        <v>2002</v>
      </c>
    </row>
    <row r="3837" spans="1:3">
      <c r="A3837" s="68">
        <v>37403</v>
      </c>
      <c r="B3837" s="32">
        <v>2331.0700000000002</v>
      </c>
      <c r="C3837">
        <f t="shared" si="89"/>
        <v>2002</v>
      </c>
    </row>
    <row r="3838" spans="1:3">
      <c r="A3838" s="68">
        <v>37404</v>
      </c>
      <c r="B3838" s="33">
        <v>2309.85</v>
      </c>
      <c r="C3838">
        <f t="shared" si="89"/>
        <v>2002</v>
      </c>
    </row>
    <row r="3839" spans="1:3">
      <c r="A3839" s="68">
        <v>37405</v>
      </c>
      <c r="B3839" s="32">
        <v>2314.3000000000002</v>
      </c>
      <c r="C3839">
        <f t="shared" si="89"/>
        <v>2002</v>
      </c>
    </row>
    <row r="3840" spans="1:3">
      <c r="A3840" s="68">
        <v>37406</v>
      </c>
      <c r="B3840" s="33">
        <v>2317.12</v>
      </c>
      <c r="C3840">
        <f t="shared" si="89"/>
        <v>2002</v>
      </c>
    </row>
    <row r="3841" spans="1:3">
      <c r="A3841" s="68">
        <v>37407</v>
      </c>
      <c r="B3841" s="32">
        <v>2321.16</v>
      </c>
      <c r="C3841">
        <f t="shared" si="89"/>
        <v>2002</v>
      </c>
    </row>
    <row r="3842" spans="1:3">
      <c r="A3842" s="68">
        <v>37408</v>
      </c>
      <c r="B3842" s="33">
        <v>2321.6799999999998</v>
      </c>
      <c r="C3842">
        <f t="shared" si="89"/>
        <v>2002</v>
      </c>
    </row>
    <row r="3843" spans="1:3">
      <c r="A3843" s="68">
        <v>37409</v>
      </c>
      <c r="B3843" s="32">
        <v>2321.6799999999998</v>
      </c>
      <c r="C3843">
        <f t="shared" si="89"/>
        <v>2002</v>
      </c>
    </row>
    <row r="3844" spans="1:3">
      <c r="A3844" s="68">
        <v>37410</v>
      </c>
      <c r="B3844" s="33">
        <v>2321.6799999999998</v>
      </c>
      <c r="C3844">
        <f t="shared" ref="C3844:C3907" si="90">YEAR(A3844)</f>
        <v>2002</v>
      </c>
    </row>
    <row r="3845" spans="1:3">
      <c r="A3845" s="68">
        <v>37411</v>
      </c>
      <c r="B3845" s="32">
        <v>2321.6799999999998</v>
      </c>
      <c r="C3845">
        <f t="shared" si="90"/>
        <v>2002</v>
      </c>
    </row>
    <row r="3846" spans="1:3">
      <c r="A3846" s="68">
        <v>37412</v>
      </c>
      <c r="B3846" s="33">
        <v>2324.54</v>
      </c>
      <c r="C3846">
        <f t="shared" si="90"/>
        <v>2002</v>
      </c>
    </row>
    <row r="3847" spans="1:3">
      <c r="A3847" s="68">
        <v>37413</v>
      </c>
      <c r="B3847" s="32">
        <v>2331.69</v>
      </c>
      <c r="C3847">
        <f t="shared" si="90"/>
        <v>2002</v>
      </c>
    </row>
    <row r="3848" spans="1:3">
      <c r="A3848" s="68">
        <v>37414</v>
      </c>
      <c r="B3848" s="33">
        <v>2335.3000000000002</v>
      </c>
      <c r="C3848">
        <f t="shared" si="90"/>
        <v>2002</v>
      </c>
    </row>
    <row r="3849" spans="1:3">
      <c r="A3849" s="68">
        <v>37415</v>
      </c>
      <c r="B3849" s="32">
        <v>2336.11</v>
      </c>
      <c r="C3849">
        <f t="shared" si="90"/>
        <v>2002</v>
      </c>
    </row>
    <row r="3850" spans="1:3">
      <c r="A3850" s="68">
        <v>37416</v>
      </c>
      <c r="B3850" s="33">
        <v>2336.11</v>
      </c>
      <c r="C3850">
        <f t="shared" si="90"/>
        <v>2002</v>
      </c>
    </row>
    <row r="3851" spans="1:3">
      <c r="A3851" s="68">
        <v>37417</v>
      </c>
      <c r="B3851" s="32">
        <v>2336.11</v>
      </c>
      <c r="C3851">
        <f t="shared" si="90"/>
        <v>2002</v>
      </c>
    </row>
    <row r="3852" spans="1:3">
      <c r="A3852" s="68">
        <v>37418</v>
      </c>
      <c r="B3852" s="33">
        <v>2336.11</v>
      </c>
      <c r="C3852">
        <f t="shared" si="90"/>
        <v>2002</v>
      </c>
    </row>
    <row r="3853" spans="1:3">
      <c r="A3853" s="68">
        <v>37419</v>
      </c>
      <c r="B3853" s="32">
        <v>2340.36</v>
      </c>
      <c r="C3853">
        <f t="shared" si="90"/>
        <v>2002</v>
      </c>
    </row>
    <row r="3854" spans="1:3">
      <c r="A3854" s="68">
        <v>37420</v>
      </c>
      <c r="B3854" s="33">
        <v>2347.6799999999998</v>
      </c>
      <c r="C3854">
        <f t="shared" si="90"/>
        <v>2002</v>
      </c>
    </row>
    <row r="3855" spans="1:3">
      <c r="A3855" s="68">
        <v>37421</v>
      </c>
      <c r="B3855" s="32">
        <v>2357.14</v>
      </c>
      <c r="C3855">
        <f t="shared" si="90"/>
        <v>2002</v>
      </c>
    </row>
    <row r="3856" spans="1:3">
      <c r="A3856" s="68">
        <v>37422</v>
      </c>
      <c r="B3856" s="33">
        <v>2369.12</v>
      </c>
      <c r="C3856">
        <f t="shared" si="90"/>
        <v>2002</v>
      </c>
    </row>
    <row r="3857" spans="1:3">
      <c r="A3857" s="68">
        <v>37423</v>
      </c>
      <c r="B3857" s="32">
        <v>2369.12</v>
      </c>
      <c r="C3857">
        <f t="shared" si="90"/>
        <v>2002</v>
      </c>
    </row>
    <row r="3858" spans="1:3">
      <c r="A3858" s="68">
        <v>37424</v>
      </c>
      <c r="B3858" s="33">
        <v>2369.12</v>
      </c>
      <c r="C3858">
        <f t="shared" si="90"/>
        <v>2002</v>
      </c>
    </row>
    <row r="3859" spans="1:3">
      <c r="A3859" s="68">
        <v>37425</v>
      </c>
      <c r="B3859" s="32">
        <v>2379.92</v>
      </c>
      <c r="C3859">
        <f t="shared" si="90"/>
        <v>2002</v>
      </c>
    </row>
    <row r="3860" spans="1:3">
      <c r="A3860" s="68">
        <v>37426</v>
      </c>
      <c r="B3860" s="33">
        <v>2383.31</v>
      </c>
      <c r="C3860">
        <f t="shared" si="90"/>
        <v>2002</v>
      </c>
    </row>
    <row r="3861" spans="1:3">
      <c r="A3861" s="68">
        <v>37427</v>
      </c>
      <c r="B3861" s="32">
        <v>2393.87</v>
      </c>
      <c r="C3861">
        <f t="shared" si="90"/>
        <v>2002</v>
      </c>
    </row>
    <row r="3862" spans="1:3">
      <c r="A3862" s="68">
        <v>37428</v>
      </c>
      <c r="B3862" s="33">
        <v>2391.65</v>
      </c>
      <c r="C3862">
        <f t="shared" si="90"/>
        <v>2002</v>
      </c>
    </row>
    <row r="3863" spans="1:3">
      <c r="A3863" s="68">
        <v>37429</v>
      </c>
      <c r="B3863" s="32">
        <v>2384.2199999999998</v>
      </c>
      <c r="C3863">
        <f t="shared" si="90"/>
        <v>2002</v>
      </c>
    </row>
    <row r="3864" spans="1:3">
      <c r="A3864" s="68">
        <v>37430</v>
      </c>
      <c r="B3864" s="33">
        <v>2384.2199999999998</v>
      </c>
      <c r="C3864">
        <f t="shared" si="90"/>
        <v>2002</v>
      </c>
    </row>
    <row r="3865" spans="1:3">
      <c r="A3865" s="68">
        <v>37431</v>
      </c>
      <c r="B3865" s="32">
        <v>2384.2199999999998</v>
      </c>
      <c r="C3865">
        <f t="shared" si="90"/>
        <v>2002</v>
      </c>
    </row>
    <row r="3866" spans="1:3">
      <c r="A3866" s="68">
        <v>37432</v>
      </c>
      <c r="B3866" s="33">
        <v>2383.41</v>
      </c>
      <c r="C3866">
        <f t="shared" si="90"/>
        <v>2002</v>
      </c>
    </row>
    <row r="3867" spans="1:3">
      <c r="A3867" s="68">
        <v>37433</v>
      </c>
      <c r="B3867" s="32">
        <v>2386.1799999999998</v>
      </c>
      <c r="C3867">
        <f t="shared" si="90"/>
        <v>2002</v>
      </c>
    </row>
    <row r="3868" spans="1:3">
      <c r="A3868" s="68">
        <v>37434</v>
      </c>
      <c r="B3868" s="33">
        <v>2392.13</v>
      </c>
      <c r="C3868">
        <f t="shared" si="90"/>
        <v>2002</v>
      </c>
    </row>
    <row r="3869" spans="1:3">
      <c r="A3869" s="68">
        <v>37435</v>
      </c>
      <c r="B3869" s="32">
        <v>2398.14</v>
      </c>
      <c r="C3869">
        <f t="shared" si="90"/>
        <v>2002</v>
      </c>
    </row>
    <row r="3870" spans="1:3">
      <c r="A3870" s="68">
        <v>37436</v>
      </c>
      <c r="B3870" s="33">
        <v>2398.8200000000002</v>
      </c>
      <c r="C3870">
        <f t="shared" si="90"/>
        <v>2002</v>
      </c>
    </row>
    <row r="3871" spans="1:3">
      <c r="A3871" s="68">
        <v>37437</v>
      </c>
      <c r="B3871" s="32">
        <v>2398.8200000000002</v>
      </c>
      <c r="C3871">
        <f t="shared" si="90"/>
        <v>2002</v>
      </c>
    </row>
    <row r="3872" spans="1:3">
      <c r="A3872" s="68">
        <v>37438</v>
      </c>
      <c r="B3872" s="33">
        <v>2398.8200000000002</v>
      </c>
      <c r="C3872">
        <f t="shared" si="90"/>
        <v>2002</v>
      </c>
    </row>
    <row r="3873" spans="1:3">
      <c r="A3873" s="68">
        <v>37439</v>
      </c>
      <c r="B3873" s="32">
        <v>2398.8200000000002</v>
      </c>
      <c r="C3873">
        <f t="shared" si="90"/>
        <v>2002</v>
      </c>
    </row>
    <row r="3874" spans="1:3">
      <c r="A3874" s="68">
        <v>37440</v>
      </c>
      <c r="B3874" s="33">
        <v>2410.54</v>
      </c>
      <c r="C3874">
        <f t="shared" si="90"/>
        <v>2002</v>
      </c>
    </row>
    <row r="3875" spans="1:3">
      <c r="A3875" s="68">
        <v>37441</v>
      </c>
      <c r="B3875" s="32">
        <v>2425.42</v>
      </c>
      <c r="C3875">
        <f t="shared" si="90"/>
        <v>2002</v>
      </c>
    </row>
    <row r="3876" spans="1:3">
      <c r="A3876" s="68">
        <v>37442</v>
      </c>
      <c r="B3876" s="33">
        <v>2426.4</v>
      </c>
      <c r="C3876">
        <f t="shared" si="90"/>
        <v>2002</v>
      </c>
    </row>
    <row r="3877" spans="1:3">
      <c r="A3877" s="68">
        <v>37443</v>
      </c>
      <c r="B3877" s="32">
        <v>2434.3200000000002</v>
      </c>
      <c r="C3877">
        <f t="shared" si="90"/>
        <v>2002</v>
      </c>
    </row>
    <row r="3878" spans="1:3">
      <c r="A3878" s="68">
        <v>37444</v>
      </c>
      <c r="B3878" s="33">
        <v>2434.3200000000002</v>
      </c>
      <c r="C3878">
        <f t="shared" si="90"/>
        <v>2002</v>
      </c>
    </row>
    <row r="3879" spans="1:3">
      <c r="A3879" s="68">
        <v>37445</v>
      </c>
      <c r="B3879" s="32">
        <v>2434.3200000000002</v>
      </c>
      <c r="C3879">
        <f t="shared" si="90"/>
        <v>2002</v>
      </c>
    </row>
    <row r="3880" spans="1:3">
      <c r="A3880" s="68">
        <v>37446</v>
      </c>
      <c r="B3880" s="33">
        <v>2457.39</v>
      </c>
      <c r="C3880">
        <f t="shared" si="90"/>
        <v>2002</v>
      </c>
    </row>
    <row r="3881" spans="1:3">
      <c r="A3881" s="68">
        <v>37447</v>
      </c>
      <c r="B3881" s="32">
        <v>2462.1799999999998</v>
      </c>
      <c r="C3881">
        <f t="shared" si="90"/>
        <v>2002</v>
      </c>
    </row>
    <row r="3882" spans="1:3">
      <c r="A3882" s="68">
        <v>37448</v>
      </c>
      <c r="B3882" s="33">
        <v>2482.21</v>
      </c>
      <c r="C3882">
        <f t="shared" si="90"/>
        <v>2002</v>
      </c>
    </row>
    <row r="3883" spans="1:3">
      <c r="A3883" s="68">
        <v>37449</v>
      </c>
      <c r="B3883" s="32">
        <v>2506.84</v>
      </c>
      <c r="C3883">
        <f t="shared" si="90"/>
        <v>2002</v>
      </c>
    </row>
    <row r="3884" spans="1:3">
      <c r="A3884" s="68">
        <v>37450</v>
      </c>
      <c r="B3884" s="33">
        <v>2513.9899999999998</v>
      </c>
      <c r="C3884">
        <f t="shared" si="90"/>
        <v>2002</v>
      </c>
    </row>
    <row r="3885" spans="1:3">
      <c r="A3885" s="68">
        <v>37451</v>
      </c>
      <c r="B3885" s="32">
        <v>2513.9899999999998</v>
      </c>
      <c r="C3885">
        <f t="shared" si="90"/>
        <v>2002</v>
      </c>
    </row>
    <row r="3886" spans="1:3">
      <c r="A3886" s="68">
        <v>37452</v>
      </c>
      <c r="B3886" s="33">
        <v>2513.9899999999998</v>
      </c>
      <c r="C3886">
        <f t="shared" si="90"/>
        <v>2002</v>
      </c>
    </row>
    <row r="3887" spans="1:3">
      <c r="A3887" s="68">
        <v>37453</v>
      </c>
      <c r="B3887" s="32">
        <v>2507.21</v>
      </c>
      <c r="C3887">
        <f t="shared" si="90"/>
        <v>2002</v>
      </c>
    </row>
    <row r="3888" spans="1:3">
      <c r="A3888" s="68">
        <v>37454</v>
      </c>
      <c r="B3888" s="33">
        <v>2499.92</v>
      </c>
      <c r="C3888">
        <f t="shared" si="90"/>
        <v>2002</v>
      </c>
    </row>
    <row r="3889" spans="1:3">
      <c r="A3889" s="68">
        <v>37455</v>
      </c>
      <c r="B3889" s="32">
        <v>2524.7600000000002</v>
      </c>
      <c r="C3889">
        <f t="shared" si="90"/>
        <v>2002</v>
      </c>
    </row>
    <row r="3890" spans="1:3">
      <c r="A3890" s="68">
        <v>37456</v>
      </c>
      <c r="B3890" s="33">
        <v>2538.4699999999998</v>
      </c>
      <c r="C3890">
        <f t="shared" si="90"/>
        <v>2002</v>
      </c>
    </row>
    <row r="3891" spans="1:3">
      <c r="A3891" s="68">
        <v>37457</v>
      </c>
      <c r="B3891" s="32">
        <v>2529.5700000000002</v>
      </c>
      <c r="C3891">
        <f t="shared" si="90"/>
        <v>2002</v>
      </c>
    </row>
    <row r="3892" spans="1:3">
      <c r="A3892" s="68">
        <v>37458</v>
      </c>
      <c r="B3892" s="33">
        <v>2529.5700000000002</v>
      </c>
      <c r="C3892">
        <f t="shared" si="90"/>
        <v>2002</v>
      </c>
    </row>
    <row r="3893" spans="1:3">
      <c r="A3893" s="68">
        <v>37459</v>
      </c>
      <c r="B3893" s="32">
        <v>2529.5700000000002</v>
      </c>
      <c r="C3893">
        <f t="shared" si="90"/>
        <v>2002</v>
      </c>
    </row>
    <row r="3894" spans="1:3">
      <c r="A3894" s="68">
        <v>37460</v>
      </c>
      <c r="B3894" s="33">
        <v>2517.42</v>
      </c>
      <c r="C3894">
        <f t="shared" si="90"/>
        <v>2002</v>
      </c>
    </row>
    <row r="3895" spans="1:3">
      <c r="A3895" s="68">
        <v>37461</v>
      </c>
      <c r="B3895" s="32">
        <v>2539</v>
      </c>
      <c r="C3895">
        <f t="shared" si="90"/>
        <v>2002</v>
      </c>
    </row>
    <row r="3896" spans="1:3">
      <c r="A3896" s="68">
        <v>37462</v>
      </c>
      <c r="B3896" s="33">
        <v>2572.42</v>
      </c>
      <c r="C3896">
        <f t="shared" si="90"/>
        <v>2002</v>
      </c>
    </row>
    <row r="3897" spans="1:3">
      <c r="A3897" s="68">
        <v>37463</v>
      </c>
      <c r="B3897" s="32">
        <v>2580.15</v>
      </c>
      <c r="C3897">
        <f t="shared" si="90"/>
        <v>2002</v>
      </c>
    </row>
    <row r="3898" spans="1:3">
      <c r="A3898" s="68">
        <v>37464</v>
      </c>
      <c r="B3898" s="33">
        <v>2596.2600000000002</v>
      </c>
      <c r="C3898">
        <f t="shared" si="90"/>
        <v>2002</v>
      </c>
    </row>
    <row r="3899" spans="1:3">
      <c r="A3899" s="68">
        <v>37465</v>
      </c>
      <c r="B3899" s="32">
        <v>2596.2600000000002</v>
      </c>
      <c r="C3899">
        <f t="shared" si="90"/>
        <v>2002</v>
      </c>
    </row>
    <row r="3900" spans="1:3">
      <c r="A3900" s="68">
        <v>37466</v>
      </c>
      <c r="B3900" s="33">
        <v>2596.2600000000002</v>
      </c>
      <c r="C3900">
        <f t="shared" si="90"/>
        <v>2002</v>
      </c>
    </row>
    <row r="3901" spans="1:3">
      <c r="A3901" s="68">
        <v>37467</v>
      </c>
      <c r="B3901" s="32">
        <v>2599.5700000000002</v>
      </c>
      <c r="C3901">
        <f t="shared" si="90"/>
        <v>2002</v>
      </c>
    </row>
    <row r="3902" spans="1:3">
      <c r="A3902" s="68">
        <v>37468</v>
      </c>
      <c r="B3902" s="33">
        <v>2625.06</v>
      </c>
      <c r="C3902">
        <f t="shared" si="90"/>
        <v>2002</v>
      </c>
    </row>
    <row r="3903" spans="1:3">
      <c r="A3903" s="68">
        <v>37469</v>
      </c>
      <c r="B3903" s="32">
        <v>2636.3</v>
      </c>
      <c r="C3903">
        <f t="shared" si="90"/>
        <v>2002</v>
      </c>
    </row>
    <row r="3904" spans="1:3">
      <c r="A3904" s="68">
        <v>37470</v>
      </c>
      <c r="B3904" s="33">
        <v>2640.35</v>
      </c>
      <c r="C3904">
        <f t="shared" si="90"/>
        <v>2002</v>
      </c>
    </row>
    <row r="3905" spans="1:3">
      <c r="A3905" s="68">
        <v>37471</v>
      </c>
      <c r="B3905" s="32">
        <v>2643.03</v>
      </c>
      <c r="C3905">
        <f t="shared" si="90"/>
        <v>2002</v>
      </c>
    </row>
    <row r="3906" spans="1:3">
      <c r="A3906" s="68">
        <v>37472</v>
      </c>
      <c r="B3906" s="33">
        <v>2643.03</v>
      </c>
      <c r="C3906">
        <f t="shared" si="90"/>
        <v>2002</v>
      </c>
    </row>
    <row r="3907" spans="1:3">
      <c r="A3907" s="68">
        <v>37473</v>
      </c>
      <c r="B3907" s="32">
        <v>2643.03</v>
      </c>
      <c r="C3907">
        <f t="shared" si="90"/>
        <v>2002</v>
      </c>
    </row>
    <row r="3908" spans="1:3">
      <c r="A3908" s="68">
        <v>37474</v>
      </c>
      <c r="B3908" s="33">
        <v>2663.81</v>
      </c>
      <c r="C3908">
        <f t="shared" ref="C3908:C3971" si="91">YEAR(A3908)</f>
        <v>2002</v>
      </c>
    </row>
    <row r="3909" spans="1:3">
      <c r="A3909" s="68">
        <v>37475</v>
      </c>
      <c r="B3909" s="32">
        <v>2670.61</v>
      </c>
      <c r="C3909">
        <f t="shared" si="91"/>
        <v>2002</v>
      </c>
    </row>
    <row r="3910" spans="1:3">
      <c r="A3910" s="68">
        <v>37476</v>
      </c>
      <c r="B3910" s="33">
        <v>2670.61</v>
      </c>
      <c r="C3910">
        <f t="shared" si="91"/>
        <v>2002</v>
      </c>
    </row>
    <row r="3911" spans="1:3">
      <c r="A3911" s="68">
        <v>37477</v>
      </c>
      <c r="B3911" s="32">
        <v>2649.32</v>
      </c>
      <c r="C3911">
        <f t="shared" si="91"/>
        <v>2002</v>
      </c>
    </row>
    <row r="3912" spans="1:3">
      <c r="A3912" s="68">
        <v>37478</v>
      </c>
      <c r="B3912" s="33">
        <v>2568.8000000000002</v>
      </c>
      <c r="C3912">
        <f t="shared" si="91"/>
        <v>2002</v>
      </c>
    </row>
    <row r="3913" spans="1:3">
      <c r="A3913" s="68">
        <v>37479</v>
      </c>
      <c r="B3913" s="32">
        <v>2568.8000000000002</v>
      </c>
      <c r="C3913">
        <f t="shared" si="91"/>
        <v>2002</v>
      </c>
    </row>
    <row r="3914" spans="1:3">
      <c r="A3914" s="68">
        <v>37480</v>
      </c>
      <c r="B3914" s="33">
        <v>2568.8000000000002</v>
      </c>
      <c r="C3914">
        <f t="shared" si="91"/>
        <v>2002</v>
      </c>
    </row>
    <row r="3915" spans="1:3">
      <c r="A3915" s="68">
        <v>37481</v>
      </c>
      <c r="B3915" s="32">
        <v>2595.8000000000002</v>
      </c>
      <c r="C3915">
        <f t="shared" si="91"/>
        <v>2002</v>
      </c>
    </row>
    <row r="3916" spans="1:3">
      <c r="A3916" s="68">
        <v>37482</v>
      </c>
      <c r="B3916" s="33">
        <v>2657.98</v>
      </c>
      <c r="C3916">
        <f t="shared" si="91"/>
        <v>2002</v>
      </c>
    </row>
    <row r="3917" spans="1:3">
      <c r="A3917" s="68">
        <v>37483</v>
      </c>
      <c r="B3917" s="32">
        <v>2635.87</v>
      </c>
      <c r="C3917">
        <f t="shared" si="91"/>
        <v>2002</v>
      </c>
    </row>
    <row r="3918" spans="1:3">
      <c r="A3918" s="68">
        <v>37484</v>
      </c>
      <c r="B3918" s="33">
        <v>2648.77</v>
      </c>
      <c r="C3918">
        <f t="shared" si="91"/>
        <v>2002</v>
      </c>
    </row>
    <row r="3919" spans="1:3">
      <c r="A3919" s="68">
        <v>37485</v>
      </c>
      <c r="B3919" s="32">
        <v>2663.61</v>
      </c>
      <c r="C3919">
        <f t="shared" si="91"/>
        <v>2002</v>
      </c>
    </row>
    <row r="3920" spans="1:3">
      <c r="A3920" s="68">
        <v>37486</v>
      </c>
      <c r="B3920" s="33">
        <v>2663.61</v>
      </c>
      <c r="C3920">
        <f t="shared" si="91"/>
        <v>2002</v>
      </c>
    </row>
    <row r="3921" spans="1:3">
      <c r="A3921" s="68">
        <v>37487</v>
      </c>
      <c r="B3921" s="32">
        <v>2663.61</v>
      </c>
      <c r="C3921">
        <f t="shared" si="91"/>
        <v>2002</v>
      </c>
    </row>
    <row r="3922" spans="1:3">
      <c r="A3922" s="68">
        <v>37488</v>
      </c>
      <c r="B3922" s="33">
        <v>2663.61</v>
      </c>
      <c r="C3922">
        <f t="shared" si="91"/>
        <v>2002</v>
      </c>
    </row>
    <row r="3923" spans="1:3">
      <c r="A3923" s="68">
        <v>37489</v>
      </c>
      <c r="B3923" s="32">
        <v>2620.91</v>
      </c>
      <c r="C3923">
        <f t="shared" si="91"/>
        <v>2002</v>
      </c>
    </row>
    <row r="3924" spans="1:3">
      <c r="A3924" s="68">
        <v>37490</v>
      </c>
      <c r="B3924" s="33">
        <v>2626.17</v>
      </c>
      <c r="C3924">
        <f t="shared" si="91"/>
        <v>2002</v>
      </c>
    </row>
    <row r="3925" spans="1:3">
      <c r="A3925" s="68">
        <v>37491</v>
      </c>
      <c r="B3925" s="32">
        <v>2652.96</v>
      </c>
      <c r="C3925">
        <f t="shared" si="91"/>
        <v>2002</v>
      </c>
    </row>
    <row r="3926" spans="1:3">
      <c r="A3926" s="68">
        <v>37492</v>
      </c>
      <c r="B3926" s="33">
        <v>2643.37</v>
      </c>
      <c r="C3926">
        <f t="shared" si="91"/>
        <v>2002</v>
      </c>
    </row>
    <row r="3927" spans="1:3">
      <c r="A3927" s="68">
        <v>37493</v>
      </c>
      <c r="B3927" s="32">
        <v>2643.37</v>
      </c>
      <c r="C3927">
        <f t="shared" si="91"/>
        <v>2002</v>
      </c>
    </row>
    <row r="3928" spans="1:3">
      <c r="A3928" s="68">
        <v>37494</v>
      </c>
      <c r="B3928" s="33">
        <v>2643.37</v>
      </c>
      <c r="C3928">
        <f t="shared" si="91"/>
        <v>2002</v>
      </c>
    </row>
    <row r="3929" spans="1:3">
      <c r="A3929" s="68">
        <v>37495</v>
      </c>
      <c r="B3929" s="32">
        <v>2653.29</v>
      </c>
      <c r="C3929">
        <f t="shared" si="91"/>
        <v>2002</v>
      </c>
    </row>
    <row r="3930" spans="1:3">
      <c r="A3930" s="68">
        <v>37496</v>
      </c>
      <c r="B3930" s="33">
        <v>2672.25</v>
      </c>
      <c r="C3930">
        <f t="shared" si="91"/>
        <v>2002</v>
      </c>
    </row>
    <row r="3931" spans="1:3">
      <c r="A3931" s="68">
        <v>37497</v>
      </c>
      <c r="B3931" s="32">
        <v>2688.64</v>
      </c>
      <c r="C3931">
        <f t="shared" si="91"/>
        <v>2002</v>
      </c>
    </row>
    <row r="3932" spans="1:3">
      <c r="A3932" s="68">
        <v>37498</v>
      </c>
      <c r="B3932" s="33">
        <v>2712.46</v>
      </c>
      <c r="C3932">
        <f t="shared" si="91"/>
        <v>2002</v>
      </c>
    </row>
    <row r="3933" spans="1:3">
      <c r="A3933" s="68">
        <v>37499</v>
      </c>
      <c r="B3933" s="32">
        <v>2703.55</v>
      </c>
      <c r="C3933">
        <f t="shared" si="91"/>
        <v>2002</v>
      </c>
    </row>
    <row r="3934" spans="1:3">
      <c r="A3934" s="68">
        <v>37500</v>
      </c>
      <c r="B3934" s="33">
        <v>2703.55</v>
      </c>
      <c r="C3934">
        <f t="shared" si="91"/>
        <v>2002</v>
      </c>
    </row>
    <row r="3935" spans="1:3">
      <c r="A3935" s="68">
        <v>37501</v>
      </c>
      <c r="B3935" s="32">
        <v>2703.55</v>
      </c>
      <c r="C3935">
        <f t="shared" si="91"/>
        <v>2002</v>
      </c>
    </row>
    <row r="3936" spans="1:3">
      <c r="A3936" s="68">
        <v>37502</v>
      </c>
      <c r="B3936" s="33">
        <v>2679.51</v>
      </c>
      <c r="C3936">
        <f t="shared" si="91"/>
        <v>2002</v>
      </c>
    </row>
    <row r="3937" spans="1:3">
      <c r="A3937" s="68">
        <v>37503</v>
      </c>
      <c r="B3937" s="32">
        <v>2677.39</v>
      </c>
      <c r="C3937">
        <f t="shared" si="91"/>
        <v>2002</v>
      </c>
    </row>
    <row r="3938" spans="1:3">
      <c r="A3938" s="68">
        <v>37504</v>
      </c>
      <c r="B3938" s="33">
        <v>2694.51</v>
      </c>
      <c r="C3938">
        <f t="shared" si="91"/>
        <v>2002</v>
      </c>
    </row>
    <row r="3939" spans="1:3">
      <c r="A3939" s="68">
        <v>37505</v>
      </c>
      <c r="B3939" s="32">
        <v>2714.77</v>
      </c>
      <c r="C3939">
        <f t="shared" si="91"/>
        <v>2002</v>
      </c>
    </row>
    <row r="3940" spans="1:3">
      <c r="A3940" s="68">
        <v>37506</v>
      </c>
      <c r="B3940" s="33">
        <v>2712.14</v>
      </c>
      <c r="C3940">
        <f t="shared" si="91"/>
        <v>2002</v>
      </c>
    </row>
    <row r="3941" spans="1:3">
      <c r="A3941" s="68">
        <v>37507</v>
      </c>
      <c r="B3941" s="32">
        <v>2712.14</v>
      </c>
      <c r="C3941">
        <f t="shared" si="91"/>
        <v>2002</v>
      </c>
    </row>
    <row r="3942" spans="1:3">
      <c r="A3942" s="68">
        <v>37508</v>
      </c>
      <c r="B3942" s="33">
        <v>2712.14</v>
      </c>
      <c r="C3942">
        <f t="shared" si="91"/>
        <v>2002</v>
      </c>
    </row>
    <row r="3943" spans="1:3">
      <c r="A3943" s="68">
        <v>37509</v>
      </c>
      <c r="B3943" s="32">
        <v>2703.63</v>
      </c>
      <c r="C3943">
        <f t="shared" si="91"/>
        <v>2002</v>
      </c>
    </row>
    <row r="3944" spans="1:3">
      <c r="A3944" s="68">
        <v>37510</v>
      </c>
      <c r="B3944" s="33">
        <v>2707.58</v>
      </c>
      <c r="C3944">
        <f t="shared" si="91"/>
        <v>2002</v>
      </c>
    </row>
    <row r="3945" spans="1:3">
      <c r="A3945" s="68">
        <v>37511</v>
      </c>
      <c r="B3945" s="32">
        <v>2718.85</v>
      </c>
      <c r="C3945">
        <f t="shared" si="91"/>
        <v>2002</v>
      </c>
    </row>
    <row r="3946" spans="1:3">
      <c r="A3946" s="68">
        <v>37512</v>
      </c>
      <c r="B3946" s="33">
        <v>2730.91</v>
      </c>
      <c r="C3946">
        <f t="shared" si="91"/>
        <v>2002</v>
      </c>
    </row>
    <row r="3947" spans="1:3">
      <c r="A3947" s="68">
        <v>37513</v>
      </c>
      <c r="B3947" s="32">
        <v>2741.29</v>
      </c>
      <c r="C3947">
        <f t="shared" si="91"/>
        <v>2002</v>
      </c>
    </row>
    <row r="3948" spans="1:3">
      <c r="A3948" s="68">
        <v>37514</v>
      </c>
      <c r="B3948" s="33">
        <v>2741.29</v>
      </c>
      <c r="C3948">
        <f t="shared" si="91"/>
        <v>2002</v>
      </c>
    </row>
    <row r="3949" spans="1:3">
      <c r="A3949" s="68">
        <v>37515</v>
      </c>
      <c r="B3949" s="32">
        <v>2741.29</v>
      </c>
      <c r="C3949">
        <f t="shared" si="91"/>
        <v>2002</v>
      </c>
    </row>
    <row r="3950" spans="1:3">
      <c r="A3950" s="68">
        <v>37516</v>
      </c>
      <c r="B3950" s="33">
        <v>2758.95</v>
      </c>
      <c r="C3950">
        <f t="shared" si="91"/>
        <v>2002</v>
      </c>
    </row>
    <row r="3951" spans="1:3">
      <c r="A3951" s="68">
        <v>37517</v>
      </c>
      <c r="B3951" s="32">
        <v>2783.44</v>
      </c>
      <c r="C3951">
        <f t="shared" si="91"/>
        <v>2002</v>
      </c>
    </row>
    <row r="3952" spans="1:3">
      <c r="A3952" s="68">
        <v>37518</v>
      </c>
      <c r="B3952" s="33">
        <v>2785.81</v>
      </c>
      <c r="C3952">
        <f t="shared" si="91"/>
        <v>2002</v>
      </c>
    </row>
    <row r="3953" spans="1:3">
      <c r="A3953" s="68">
        <v>37519</v>
      </c>
      <c r="B3953" s="32">
        <v>2789.01</v>
      </c>
      <c r="C3953">
        <f t="shared" si="91"/>
        <v>2002</v>
      </c>
    </row>
    <row r="3954" spans="1:3">
      <c r="A3954" s="68">
        <v>37520</v>
      </c>
      <c r="B3954" s="33">
        <v>2815.05</v>
      </c>
      <c r="C3954">
        <f t="shared" si="91"/>
        <v>2002</v>
      </c>
    </row>
    <row r="3955" spans="1:3">
      <c r="A3955" s="68">
        <v>37521</v>
      </c>
      <c r="B3955" s="32">
        <v>2815.05</v>
      </c>
      <c r="C3955">
        <f t="shared" si="91"/>
        <v>2002</v>
      </c>
    </row>
    <row r="3956" spans="1:3">
      <c r="A3956" s="68">
        <v>37522</v>
      </c>
      <c r="B3956" s="33">
        <v>2815.05</v>
      </c>
      <c r="C3956">
        <f t="shared" si="91"/>
        <v>2002</v>
      </c>
    </row>
    <row r="3957" spans="1:3">
      <c r="A3957" s="68">
        <v>37523</v>
      </c>
      <c r="B3957" s="32">
        <v>2793.36</v>
      </c>
      <c r="C3957">
        <f t="shared" si="91"/>
        <v>2002</v>
      </c>
    </row>
    <row r="3958" spans="1:3">
      <c r="A3958" s="68">
        <v>37524</v>
      </c>
      <c r="B3958" s="33">
        <v>2810.46</v>
      </c>
      <c r="C3958">
        <f t="shared" si="91"/>
        <v>2002</v>
      </c>
    </row>
    <row r="3959" spans="1:3">
      <c r="A3959" s="68">
        <v>37525</v>
      </c>
      <c r="B3959" s="32">
        <v>2802.32</v>
      </c>
      <c r="C3959">
        <f t="shared" si="91"/>
        <v>2002</v>
      </c>
    </row>
    <row r="3960" spans="1:3">
      <c r="A3960" s="68">
        <v>37526</v>
      </c>
      <c r="B3960" s="33">
        <v>2825.32</v>
      </c>
      <c r="C3960">
        <f t="shared" si="91"/>
        <v>2002</v>
      </c>
    </row>
    <row r="3961" spans="1:3">
      <c r="A3961" s="68">
        <v>37527</v>
      </c>
      <c r="B3961" s="32">
        <v>2828.08</v>
      </c>
      <c r="C3961">
        <f t="shared" si="91"/>
        <v>2002</v>
      </c>
    </row>
    <row r="3962" spans="1:3">
      <c r="A3962" s="68">
        <v>37528</v>
      </c>
      <c r="B3962" s="33">
        <v>2828.08</v>
      </c>
      <c r="C3962">
        <f t="shared" si="91"/>
        <v>2002</v>
      </c>
    </row>
    <row r="3963" spans="1:3">
      <c r="A3963" s="68">
        <v>37529</v>
      </c>
      <c r="B3963" s="32">
        <v>2828.08</v>
      </c>
      <c r="C3963">
        <f t="shared" si="91"/>
        <v>2002</v>
      </c>
    </row>
    <row r="3964" spans="1:3">
      <c r="A3964" s="68">
        <v>37530</v>
      </c>
      <c r="B3964" s="33">
        <v>2850.65</v>
      </c>
      <c r="C3964">
        <f t="shared" si="91"/>
        <v>2002</v>
      </c>
    </row>
    <row r="3965" spans="1:3">
      <c r="A3965" s="68">
        <v>37531</v>
      </c>
      <c r="B3965" s="32">
        <v>2885.48</v>
      </c>
      <c r="C3965">
        <f t="shared" si="91"/>
        <v>2002</v>
      </c>
    </row>
    <row r="3966" spans="1:3">
      <c r="A3966" s="68">
        <v>37532</v>
      </c>
      <c r="B3966" s="33">
        <v>2888.23</v>
      </c>
      <c r="C3966">
        <f t="shared" si="91"/>
        <v>2002</v>
      </c>
    </row>
    <row r="3967" spans="1:3">
      <c r="A3967" s="68">
        <v>37533</v>
      </c>
      <c r="B3967" s="32">
        <v>2881.78</v>
      </c>
      <c r="C3967">
        <f t="shared" si="91"/>
        <v>2002</v>
      </c>
    </row>
    <row r="3968" spans="1:3">
      <c r="A3968" s="68">
        <v>37534</v>
      </c>
      <c r="B3968" s="33">
        <v>2876.4</v>
      </c>
      <c r="C3968">
        <f t="shared" si="91"/>
        <v>2002</v>
      </c>
    </row>
    <row r="3969" spans="1:3">
      <c r="A3969" s="68">
        <v>37535</v>
      </c>
      <c r="B3969" s="32">
        <v>2876.4</v>
      </c>
      <c r="C3969">
        <f t="shared" si="91"/>
        <v>2002</v>
      </c>
    </row>
    <row r="3970" spans="1:3">
      <c r="A3970" s="68">
        <v>37536</v>
      </c>
      <c r="B3970" s="33">
        <v>2876.4</v>
      </c>
      <c r="C3970">
        <f t="shared" si="91"/>
        <v>2002</v>
      </c>
    </row>
    <row r="3971" spans="1:3">
      <c r="A3971" s="68">
        <v>37537</v>
      </c>
      <c r="B3971" s="32">
        <v>2869.73</v>
      </c>
      <c r="C3971">
        <f t="shared" si="91"/>
        <v>2002</v>
      </c>
    </row>
    <row r="3972" spans="1:3">
      <c r="A3972" s="68">
        <v>37538</v>
      </c>
      <c r="B3972" s="33">
        <v>2850.98</v>
      </c>
      <c r="C3972">
        <f t="shared" ref="C3972:C4035" si="92">YEAR(A3972)</f>
        <v>2002</v>
      </c>
    </row>
    <row r="3973" spans="1:3">
      <c r="A3973" s="68">
        <v>37539</v>
      </c>
      <c r="B3973" s="32">
        <v>2854.04</v>
      </c>
      <c r="C3973">
        <f t="shared" si="92"/>
        <v>2002</v>
      </c>
    </row>
    <row r="3974" spans="1:3">
      <c r="A3974" s="68">
        <v>37540</v>
      </c>
      <c r="B3974" s="33">
        <v>2870.63</v>
      </c>
      <c r="C3974">
        <f t="shared" si="92"/>
        <v>2002</v>
      </c>
    </row>
    <row r="3975" spans="1:3">
      <c r="A3975" s="68">
        <v>37541</v>
      </c>
      <c r="B3975" s="32">
        <v>2861.16</v>
      </c>
      <c r="C3975">
        <f t="shared" si="92"/>
        <v>2002</v>
      </c>
    </row>
    <row r="3976" spans="1:3">
      <c r="A3976" s="68">
        <v>37542</v>
      </c>
      <c r="B3976" s="33">
        <v>2861.16</v>
      </c>
      <c r="C3976">
        <f t="shared" si="92"/>
        <v>2002</v>
      </c>
    </row>
    <row r="3977" spans="1:3">
      <c r="A3977" s="68">
        <v>37543</v>
      </c>
      <c r="B3977" s="32">
        <v>2861.16</v>
      </c>
      <c r="C3977">
        <f t="shared" si="92"/>
        <v>2002</v>
      </c>
    </row>
    <row r="3978" spans="1:3">
      <c r="A3978" s="68">
        <v>37544</v>
      </c>
      <c r="B3978" s="33">
        <v>2861.16</v>
      </c>
      <c r="C3978">
        <f t="shared" si="92"/>
        <v>2002</v>
      </c>
    </row>
    <row r="3979" spans="1:3">
      <c r="A3979" s="68">
        <v>37545</v>
      </c>
      <c r="B3979" s="32">
        <v>2852.99</v>
      </c>
      <c r="C3979">
        <f t="shared" si="92"/>
        <v>2002</v>
      </c>
    </row>
    <row r="3980" spans="1:3">
      <c r="A3980" s="68">
        <v>37546</v>
      </c>
      <c r="B3980" s="33">
        <v>2857.13</v>
      </c>
      <c r="C3980">
        <f t="shared" si="92"/>
        <v>2002</v>
      </c>
    </row>
    <row r="3981" spans="1:3">
      <c r="A3981" s="68">
        <v>37547</v>
      </c>
      <c r="B3981" s="32">
        <v>2853.9</v>
      </c>
      <c r="C3981">
        <f t="shared" si="92"/>
        <v>2002</v>
      </c>
    </row>
    <row r="3982" spans="1:3">
      <c r="A3982" s="68">
        <v>37548</v>
      </c>
      <c r="B3982" s="33">
        <v>2836.34</v>
      </c>
      <c r="C3982">
        <f t="shared" si="92"/>
        <v>2002</v>
      </c>
    </row>
    <row r="3983" spans="1:3">
      <c r="A3983" s="68">
        <v>37549</v>
      </c>
      <c r="B3983" s="32">
        <v>2836.34</v>
      </c>
      <c r="C3983">
        <f t="shared" si="92"/>
        <v>2002</v>
      </c>
    </row>
    <row r="3984" spans="1:3">
      <c r="A3984" s="68">
        <v>37550</v>
      </c>
      <c r="B3984" s="33">
        <v>2836.34</v>
      </c>
      <c r="C3984">
        <f t="shared" si="92"/>
        <v>2002</v>
      </c>
    </row>
    <row r="3985" spans="1:3">
      <c r="A3985" s="68">
        <v>37551</v>
      </c>
      <c r="B3985" s="32">
        <v>2791.46</v>
      </c>
      <c r="C3985">
        <f t="shared" si="92"/>
        <v>2002</v>
      </c>
    </row>
    <row r="3986" spans="1:3">
      <c r="A3986" s="68">
        <v>37552</v>
      </c>
      <c r="B3986" s="33">
        <v>2758.76</v>
      </c>
      <c r="C3986">
        <f t="shared" si="92"/>
        <v>2002</v>
      </c>
    </row>
    <row r="3987" spans="1:3">
      <c r="A3987" s="68">
        <v>37553</v>
      </c>
      <c r="B3987" s="32">
        <v>2744.32</v>
      </c>
      <c r="C3987">
        <f t="shared" si="92"/>
        <v>2002</v>
      </c>
    </row>
    <row r="3988" spans="1:3">
      <c r="A3988" s="68">
        <v>37554</v>
      </c>
      <c r="B3988" s="33">
        <v>2747.07</v>
      </c>
      <c r="C3988">
        <f t="shared" si="92"/>
        <v>2002</v>
      </c>
    </row>
    <row r="3989" spans="1:3">
      <c r="A3989" s="68">
        <v>37555</v>
      </c>
      <c r="B3989" s="32">
        <v>2755.69</v>
      </c>
      <c r="C3989">
        <f t="shared" si="92"/>
        <v>2002</v>
      </c>
    </row>
    <row r="3990" spans="1:3">
      <c r="A3990" s="68">
        <v>37556</v>
      </c>
      <c r="B3990" s="33">
        <v>2755.69</v>
      </c>
      <c r="C3990">
        <f t="shared" si="92"/>
        <v>2002</v>
      </c>
    </row>
    <row r="3991" spans="1:3">
      <c r="A3991" s="68">
        <v>37557</v>
      </c>
      <c r="B3991" s="32">
        <v>2755.69</v>
      </c>
      <c r="C3991">
        <f t="shared" si="92"/>
        <v>2002</v>
      </c>
    </row>
    <row r="3992" spans="1:3">
      <c r="A3992" s="68">
        <v>37558</v>
      </c>
      <c r="B3992" s="33">
        <v>2770.73</v>
      </c>
      <c r="C3992">
        <f t="shared" si="92"/>
        <v>2002</v>
      </c>
    </row>
    <row r="3993" spans="1:3">
      <c r="A3993" s="68">
        <v>37559</v>
      </c>
      <c r="B3993" s="32">
        <v>2781.72</v>
      </c>
      <c r="C3993">
        <f t="shared" si="92"/>
        <v>2002</v>
      </c>
    </row>
    <row r="3994" spans="1:3">
      <c r="A3994" s="68">
        <v>37560</v>
      </c>
      <c r="B3994" s="33">
        <v>2773.73</v>
      </c>
      <c r="C3994">
        <f t="shared" si="92"/>
        <v>2002</v>
      </c>
    </row>
    <row r="3995" spans="1:3">
      <c r="A3995" s="68">
        <v>37561</v>
      </c>
      <c r="B3995" s="32">
        <v>2778.6</v>
      </c>
      <c r="C3995">
        <f t="shared" si="92"/>
        <v>2002</v>
      </c>
    </row>
    <row r="3996" spans="1:3">
      <c r="A3996" s="68">
        <v>37562</v>
      </c>
      <c r="B3996" s="33">
        <v>2778.47</v>
      </c>
      <c r="C3996">
        <f t="shared" si="92"/>
        <v>2002</v>
      </c>
    </row>
    <row r="3997" spans="1:3">
      <c r="A3997" s="68">
        <v>37563</v>
      </c>
      <c r="B3997" s="32">
        <v>2778.47</v>
      </c>
      <c r="C3997">
        <f t="shared" si="92"/>
        <v>2002</v>
      </c>
    </row>
    <row r="3998" spans="1:3">
      <c r="A3998" s="68">
        <v>37564</v>
      </c>
      <c r="B3998" s="33">
        <v>2778.47</v>
      </c>
      <c r="C3998">
        <f t="shared" si="92"/>
        <v>2002</v>
      </c>
    </row>
    <row r="3999" spans="1:3">
      <c r="A3999" s="68">
        <v>37565</v>
      </c>
      <c r="B3999" s="32">
        <v>2778.47</v>
      </c>
      <c r="C3999">
        <f t="shared" si="92"/>
        <v>2002</v>
      </c>
    </row>
    <row r="4000" spans="1:3">
      <c r="A4000" s="68">
        <v>37566</v>
      </c>
      <c r="B4000" s="33">
        <v>2774.58</v>
      </c>
      <c r="C4000">
        <f t="shared" si="92"/>
        <v>2002</v>
      </c>
    </row>
    <row r="4001" spans="1:3">
      <c r="A4001" s="68">
        <v>37567</v>
      </c>
      <c r="B4001" s="32">
        <v>2761.99</v>
      </c>
      <c r="C4001">
        <f t="shared" si="92"/>
        <v>2002</v>
      </c>
    </row>
    <row r="4002" spans="1:3">
      <c r="A4002" s="68">
        <v>37568</v>
      </c>
      <c r="B4002" s="33">
        <v>2743</v>
      </c>
      <c r="C4002">
        <f t="shared" si="92"/>
        <v>2002</v>
      </c>
    </row>
    <row r="4003" spans="1:3">
      <c r="A4003" s="68">
        <v>37569</v>
      </c>
      <c r="B4003" s="32">
        <v>2743.92</v>
      </c>
      <c r="C4003">
        <f t="shared" si="92"/>
        <v>2002</v>
      </c>
    </row>
    <row r="4004" spans="1:3">
      <c r="A4004" s="68">
        <v>37570</v>
      </c>
      <c r="B4004" s="33">
        <v>2743.92</v>
      </c>
      <c r="C4004">
        <f t="shared" si="92"/>
        <v>2002</v>
      </c>
    </row>
    <row r="4005" spans="1:3">
      <c r="A4005" s="68">
        <v>37571</v>
      </c>
      <c r="B4005" s="32">
        <v>2743.92</v>
      </c>
      <c r="C4005">
        <f t="shared" si="92"/>
        <v>2002</v>
      </c>
    </row>
    <row r="4006" spans="1:3">
      <c r="A4006" s="68">
        <v>37572</v>
      </c>
      <c r="B4006" s="33">
        <v>2743.92</v>
      </c>
      <c r="C4006">
        <f t="shared" si="92"/>
        <v>2002</v>
      </c>
    </row>
    <row r="4007" spans="1:3">
      <c r="A4007" s="68">
        <v>37573</v>
      </c>
      <c r="B4007" s="32">
        <v>2727.05</v>
      </c>
      <c r="C4007">
        <f t="shared" si="92"/>
        <v>2002</v>
      </c>
    </row>
    <row r="4008" spans="1:3">
      <c r="A4008" s="68">
        <v>37574</v>
      </c>
      <c r="B4008" s="33">
        <v>2717.89</v>
      </c>
      <c r="C4008">
        <f t="shared" si="92"/>
        <v>2002</v>
      </c>
    </row>
    <row r="4009" spans="1:3">
      <c r="A4009" s="68">
        <v>37575</v>
      </c>
      <c r="B4009" s="32">
        <v>2724.04</v>
      </c>
      <c r="C4009">
        <f t="shared" si="92"/>
        <v>2002</v>
      </c>
    </row>
    <row r="4010" spans="1:3">
      <c r="A4010" s="68">
        <v>37576</v>
      </c>
      <c r="B4010" s="33">
        <v>2703.75</v>
      </c>
      <c r="C4010">
        <f t="shared" si="92"/>
        <v>2002</v>
      </c>
    </row>
    <row r="4011" spans="1:3">
      <c r="A4011" s="68">
        <v>37577</v>
      </c>
      <c r="B4011" s="32">
        <v>2703.75</v>
      </c>
      <c r="C4011">
        <f t="shared" si="92"/>
        <v>2002</v>
      </c>
    </row>
    <row r="4012" spans="1:3">
      <c r="A4012" s="68">
        <v>37578</v>
      </c>
      <c r="B4012" s="33">
        <v>2703.75</v>
      </c>
      <c r="C4012">
        <f t="shared" si="92"/>
        <v>2002</v>
      </c>
    </row>
    <row r="4013" spans="1:3">
      <c r="A4013" s="68">
        <v>37579</v>
      </c>
      <c r="B4013" s="32">
        <v>2679.96</v>
      </c>
      <c r="C4013">
        <f t="shared" si="92"/>
        <v>2002</v>
      </c>
    </row>
    <row r="4014" spans="1:3">
      <c r="A4014" s="68">
        <v>37580</v>
      </c>
      <c r="B4014" s="33">
        <v>2683.04</v>
      </c>
      <c r="C4014">
        <f t="shared" si="92"/>
        <v>2002</v>
      </c>
    </row>
    <row r="4015" spans="1:3">
      <c r="A4015" s="68">
        <v>37581</v>
      </c>
      <c r="B4015" s="32">
        <v>2671.7</v>
      </c>
      <c r="C4015">
        <f t="shared" si="92"/>
        <v>2002</v>
      </c>
    </row>
    <row r="4016" spans="1:3">
      <c r="A4016" s="68">
        <v>37582</v>
      </c>
      <c r="B4016" s="33">
        <v>2666.41</v>
      </c>
      <c r="C4016">
        <f t="shared" si="92"/>
        <v>2002</v>
      </c>
    </row>
    <row r="4017" spans="1:3">
      <c r="A4017" s="68">
        <v>37583</v>
      </c>
      <c r="B4017" s="32">
        <v>2687.25</v>
      </c>
      <c r="C4017">
        <f t="shared" si="92"/>
        <v>2002</v>
      </c>
    </row>
    <row r="4018" spans="1:3">
      <c r="A4018" s="68">
        <v>37584</v>
      </c>
      <c r="B4018" s="33">
        <v>2687.25</v>
      </c>
      <c r="C4018">
        <f t="shared" si="92"/>
        <v>2002</v>
      </c>
    </row>
    <row r="4019" spans="1:3">
      <c r="A4019" s="68">
        <v>37585</v>
      </c>
      <c r="B4019" s="32">
        <v>2687.25</v>
      </c>
      <c r="C4019">
        <f t="shared" si="92"/>
        <v>2002</v>
      </c>
    </row>
    <row r="4020" spans="1:3">
      <c r="A4020" s="68">
        <v>37586</v>
      </c>
      <c r="B4020" s="33">
        <v>2716.95</v>
      </c>
      <c r="C4020">
        <f t="shared" si="92"/>
        <v>2002</v>
      </c>
    </row>
    <row r="4021" spans="1:3">
      <c r="A4021" s="68">
        <v>37587</v>
      </c>
      <c r="B4021" s="32">
        <v>2735.04</v>
      </c>
      <c r="C4021">
        <f t="shared" si="92"/>
        <v>2002</v>
      </c>
    </row>
    <row r="4022" spans="1:3">
      <c r="A4022" s="68">
        <v>37588</v>
      </c>
      <c r="B4022" s="33">
        <v>2754.67</v>
      </c>
      <c r="C4022">
        <f t="shared" si="92"/>
        <v>2002</v>
      </c>
    </row>
    <row r="4023" spans="1:3">
      <c r="A4023" s="68">
        <v>37589</v>
      </c>
      <c r="B4023" s="32">
        <v>2758.28</v>
      </c>
      <c r="C4023">
        <f t="shared" si="92"/>
        <v>2002</v>
      </c>
    </row>
    <row r="4024" spans="1:3">
      <c r="A4024" s="68">
        <v>37590</v>
      </c>
      <c r="B4024" s="33">
        <v>2784.21</v>
      </c>
      <c r="C4024">
        <f t="shared" si="92"/>
        <v>2002</v>
      </c>
    </row>
    <row r="4025" spans="1:3">
      <c r="A4025" s="68">
        <v>37591</v>
      </c>
      <c r="B4025" s="32">
        <v>2784.21</v>
      </c>
      <c r="C4025">
        <f t="shared" si="92"/>
        <v>2002</v>
      </c>
    </row>
    <row r="4026" spans="1:3">
      <c r="A4026" s="68">
        <v>37592</v>
      </c>
      <c r="B4026" s="33">
        <v>2784.21</v>
      </c>
      <c r="C4026">
        <f t="shared" si="92"/>
        <v>2002</v>
      </c>
    </row>
    <row r="4027" spans="1:3">
      <c r="A4027" s="68">
        <v>37593</v>
      </c>
      <c r="B4027" s="32">
        <v>2812.94</v>
      </c>
      <c r="C4027">
        <f t="shared" si="92"/>
        <v>2002</v>
      </c>
    </row>
    <row r="4028" spans="1:3">
      <c r="A4028" s="68">
        <v>37594</v>
      </c>
      <c r="B4028" s="33">
        <v>2826.1</v>
      </c>
      <c r="C4028">
        <f t="shared" si="92"/>
        <v>2002</v>
      </c>
    </row>
    <row r="4029" spans="1:3">
      <c r="A4029" s="68">
        <v>37595</v>
      </c>
      <c r="B4029" s="32">
        <v>2806.63</v>
      </c>
      <c r="C4029">
        <f t="shared" si="92"/>
        <v>2002</v>
      </c>
    </row>
    <row r="4030" spans="1:3">
      <c r="A4030" s="68">
        <v>37596</v>
      </c>
      <c r="B4030" s="33">
        <v>2788.72</v>
      </c>
      <c r="C4030">
        <f t="shared" si="92"/>
        <v>2002</v>
      </c>
    </row>
    <row r="4031" spans="1:3">
      <c r="A4031" s="68">
        <v>37597</v>
      </c>
      <c r="B4031" s="32">
        <v>2782.4</v>
      </c>
      <c r="C4031">
        <f t="shared" si="92"/>
        <v>2002</v>
      </c>
    </row>
    <row r="4032" spans="1:3">
      <c r="A4032" s="68">
        <v>37598</v>
      </c>
      <c r="B4032" s="33">
        <v>2782.4</v>
      </c>
      <c r="C4032">
        <f t="shared" si="92"/>
        <v>2002</v>
      </c>
    </row>
    <row r="4033" spans="1:3">
      <c r="A4033" s="68">
        <v>37599</v>
      </c>
      <c r="B4033" s="32">
        <v>2782.4</v>
      </c>
      <c r="C4033">
        <f t="shared" si="92"/>
        <v>2002</v>
      </c>
    </row>
    <row r="4034" spans="1:3">
      <c r="A4034" s="68">
        <v>37600</v>
      </c>
      <c r="B4034" s="33">
        <v>2815</v>
      </c>
      <c r="C4034">
        <f t="shared" si="92"/>
        <v>2002</v>
      </c>
    </row>
    <row r="4035" spans="1:3">
      <c r="A4035" s="68">
        <v>37601</v>
      </c>
      <c r="B4035" s="32">
        <v>2816.42</v>
      </c>
      <c r="C4035">
        <f t="shared" si="92"/>
        <v>2002</v>
      </c>
    </row>
    <row r="4036" spans="1:3">
      <c r="A4036" s="68">
        <v>37602</v>
      </c>
      <c r="B4036" s="33">
        <v>2801.01</v>
      </c>
      <c r="C4036">
        <f t="shared" ref="C4036:C4099" si="93">YEAR(A4036)</f>
        <v>2002</v>
      </c>
    </row>
    <row r="4037" spans="1:3">
      <c r="A4037" s="68">
        <v>37603</v>
      </c>
      <c r="B4037" s="32">
        <v>2793.16</v>
      </c>
      <c r="C4037">
        <f t="shared" si="93"/>
        <v>2002</v>
      </c>
    </row>
    <row r="4038" spans="1:3">
      <c r="A4038" s="68">
        <v>37604</v>
      </c>
      <c r="B4038" s="33">
        <v>2808.16</v>
      </c>
      <c r="C4038">
        <f t="shared" si="93"/>
        <v>2002</v>
      </c>
    </row>
    <row r="4039" spans="1:3">
      <c r="A4039" s="68">
        <v>37605</v>
      </c>
      <c r="B4039" s="32">
        <v>2808.16</v>
      </c>
      <c r="C4039">
        <f t="shared" si="93"/>
        <v>2002</v>
      </c>
    </row>
    <row r="4040" spans="1:3">
      <c r="A4040" s="68">
        <v>37606</v>
      </c>
      <c r="B4040" s="33">
        <v>2808.16</v>
      </c>
      <c r="C4040">
        <f t="shared" si="93"/>
        <v>2002</v>
      </c>
    </row>
    <row r="4041" spans="1:3">
      <c r="A4041" s="68">
        <v>37607</v>
      </c>
      <c r="B4041" s="32">
        <v>2807.61</v>
      </c>
      <c r="C4041">
        <f t="shared" si="93"/>
        <v>2002</v>
      </c>
    </row>
    <row r="4042" spans="1:3">
      <c r="A4042" s="68">
        <v>37608</v>
      </c>
      <c r="B4042" s="33">
        <v>2805.55</v>
      </c>
      <c r="C4042">
        <f t="shared" si="93"/>
        <v>2002</v>
      </c>
    </row>
    <row r="4043" spans="1:3">
      <c r="A4043" s="68">
        <v>37609</v>
      </c>
      <c r="B4043" s="32">
        <v>2818.81</v>
      </c>
      <c r="C4043">
        <f t="shared" si="93"/>
        <v>2002</v>
      </c>
    </row>
    <row r="4044" spans="1:3">
      <c r="A4044" s="68">
        <v>37610</v>
      </c>
      <c r="B4044" s="33">
        <v>2818.54</v>
      </c>
      <c r="C4044">
        <f t="shared" si="93"/>
        <v>2002</v>
      </c>
    </row>
    <row r="4045" spans="1:3">
      <c r="A4045" s="68">
        <v>37611</v>
      </c>
      <c r="B4045" s="32">
        <v>2814.71</v>
      </c>
      <c r="C4045">
        <f t="shared" si="93"/>
        <v>2002</v>
      </c>
    </row>
    <row r="4046" spans="1:3">
      <c r="A4046" s="68">
        <v>37612</v>
      </c>
      <c r="B4046" s="33">
        <v>2814.71</v>
      </c>
      <c r="C4046">
        <f t="shared" si="93"/>
        <v>2002</v>
      </c>
    </row>
    <row r="4047" spans="1:3">
      <c r="A4047" s="68">
        <v>37613</v>
      </c>
      <c r="B4047" s="32">
        <v>2814.71</v>
      </c>
      <c r="C4047">
        <f t="shared" si="93"/>
        <v>2002</v>
      </c>
    </row>
    <row r="4048" spans="1:3">
      <c r="A4048" s="68">
        <v>37614</v>
      </c>
      <c r="B4048" s="33">
        <v>2826.04</v>
      </c>
      <c r="C4048">
        <f t="shared" si="93"/>
        <v>2002</v>
      </c>
    </row>
    <row r="4049" spans="1:3">
      <c r="A4049" s="68">
        <v>37615</v>
      </c>
      <c r="B4049" s="32">
        <v>2823.95</v>
      </c>
      <c r="C4049">
        <f t="shared" si="93"/>
        <v>2002</v>
      </c>
    </row>
    <row r="4050" spans="1:3">
      <c r="A4050" s="68">
        <v>37616</v>
      </c>
      <c r="B4050" s="33">
        <v>2823.95</v>
      </c>
      <c r="C4050">
        <f t="shared" si="93"/>
        <v>2002</v>
      </c>
    </row>
    <row r="4051" spans="1:3">
      <c r="A4051" s="68">
        <v>37617</v>
      </c>
      <c r="B4051" s="32">
        <v>2843.57</v>
      </c>
      <c r="C4051">
        <f t="shared" si="93"/>
        <v>2002</v>
      </c>
    </row>
    <row r="4052" spans="1:3">
      <c r="A4052" s="68">
        <v>37618</v>
      </c>
      <c r="B4052" s="33">
        <v>2854.29</v>
      </c>
      <c r="C4052">
        <f t="shared" si="93"/>
        <v>2002</v>
      </c>
    </row>
    <row r="4053" spans="1:3">
      <c r="A4053" s="68">
        <v>37619</v>
      </c>
      <c r="B4053" s="32">
        <v>2854.29</v>
      </c>
      <c r="C4053">
        <f t="shared" si="93"/>
        <v>2002</v>
      </c>
    </row>
    <row r="4054" spans="1:3">
      <c r="A4054" s="68">
        <v>37620</v>
      </c>
      <c r="B4054" s="33">
        <v>2854.29</v>
      </c>
      <c r="C4054">
        <f t="shared" si="93"/>
        <v>2002</v>
      </c>
    </row>
    <row r="4055" spans="1:3">
      <c r="A4055" s="68">
        <v>37621</v>
      </c>
      <c r="B4055" s="32">
        <v>2864.79</v>
      </c>
      <c r="C4055">
        <f t="shared" si="93"/>
        <v>2002</v>
      </c>
    </row>
    <row r="4056" spans="1:3">
      <c r="A4056" s="68">
        <v>37622</v>
      </c>
      <c r="B4056" s="33">
        <v>2864.79</v>
      </c>
      <c r="C4056">
        <f t="shared" si="93"/>
        <v>2003</v>
      </c>
    </row>
    <row r="4057" spans="1:3">
      <c r="A4057" s="68">
        <v>37623</v>
      </c>
      <c r="B4057" s="32">
        <v>2864.79</v>
      </c>
      <c r="C4057">
        <f t="shared" si="93"/>
        <v>2003</v>
      </c>
    </row>
    <row r="4058" spans="1:3">
      <c r="A4058" s="68">
        <v>37624</v>
      </c>
      <c r="B4058" s="33">
        <v>2844.82</v>
      </c>
      <c r="C4058">
        <f t="shared" si="93"/>
        <v>2003</v>
      </c>
    </row>
    <row r="4059" spans="1:3">
      <c r="A4059" s="68">
        <v>37625</v>
      </c>
      <c r="B4059" s="32">
        <v>2841.56</v>
      </c>
      <c r="C4059">
        <f t="shared" si="93"/>
        <v>2003</v>
      </c>
    </row>
    <row r="4060" spans="1:3">
      <c r="A4060" s="68">
        <v>37626</v>
      </c>
      <c r="B4060" s="33">
        <v>2841.56</v>
      </c>
      <c r="C4060">
        <f t="shared" si="93"/>
        <v>2003</v>
      </c>
    </row>
    <row r="4061" spans="1:3">
      <c r="A4061" s="68">
        <v>37627</v>
      </c>
      <c r="B4061" s="32">
        <v>2841.56</v>
      </c>
      <c r="C4061">
        <f t="shared" si="93"/>
        <v>2003</v>
      </c>
    </row>
    <row r="4062" spans="1:3">
      <c r="A4062" s="68">
        <v>37628</v>
      </c>
      <c r="B4062" s="33">
        <v>2841.56</v>
      </c>
      <c r="C4062">
        <f t="shared" si="93"/>
        <v>2003</v>
      </c>
    </row>
    <row r="4063" spans="1:3">
      <c r="A4063" s="68">
        <v>37629</v>
      </c>
      <c r="B4063" s="32">
        <v>2881.83</v>
      </c>
      <c r="C4063">
        <f t="shared" si="93"/>
        <v>2003</v>
      </c>
    </row>
    <row r="4064" spans="1:3">
      <c r="A4064" s="68">
        <v>37630</v>
      </c>
      <c r="B4064" s="33">
        <v>2902.92</v>
      </c>
      <c r="C4064">
        <f t="shared" si="93"/>
        <v>2003</v>
      </c>
    </row>
    <row r="4065" spans="1:3">
      <c r="A4065" s="68">
        <v>37631</v>
      </c>
      <c r="B4065" s="32">
        <v>2915.01</v>
      </c>
      <c r="C4065">
        <f t="shared" si="93"/>
        <v>2003</v>
      </c>
    </row>
    <row r="4066" spans="1:3">
      <c r="A4066" s="68">
        <v>37632</v>
      </c>
      <c r="B4066" s="33">
        <v>2905.77</v>
      </c>
      <c r="C4066">
        <f t="shared" si="93"/>
        <v>2003</v>
      </c>
    </row>
    <row r="4067" spans="1:3">
      <c r="A4067" s="68">
        <v>37633</v>
      </c>
      <c r="B4067" s="32">
        <v>2905.77</v>
      </c>
      <c r="C4067">
        <f t="shared" si="93"/>
        <v>2003</v>
      </c>
    </row>
    <row r="4068" spans="1:3">
      <c r="A4068" s="68">
        <v>37634</v>
      </c>
      <c r="B4068" s="33">
        <v>2905.77</v>
      </c>
      <c r="C4068">
        <f t="shared" si="93"/>
        <v>2003</v>
      </c>
    </row>
    <row r="4069" spans="1:3">
      <c r="A4069" s="68">
        <v>37635</v>
      </c>
      <c r="B4069" s="32">
        <v>2906.49</v>
      </c>
      <c r="C4069">
        <f t="shared" si="93"/>
        <v>2003</v>
      </c>
    </row>
    <row r="4070" spans="1:3">
      <c r="A4070" s="68">
        <v>37636</v>
      </c>
      <c r="B4070" s="33">
        <v>2903.05</v>
      </c>
      <c r="C4070">
        <f t="shared" si="93"/>
        <v>2003</v>
      </c>
    </row>
    <row r="4071" spans="1:3">
      <c r="A4071" s="68">
        <v>37637</v>
      </c>
      <c r="B4071" s="32">
        <v>2905.41</v>
      </c>
      <c r="C4071">
        <f t="shared" si="93"/>
        <v>2003</v>
      </c>
    </row>
    <row r="4072" spans="1:3">
      <c r="A4072" s="68">
        <v>37638</v>
      </c>
      <c r="B4072" s="33">
        <v>2928.19</v>
      </c>
      <c r="C4072">
        <f t="shared" si="93"/>
        <v>2003</v>
      </c>
    </row>
    <row r="4073" spans="1:3">
      <c r="A4073" s="68">
        <v>37639</v>
      </c>
      <c r="B4073" s="32">
        <v>2923.58</v>
      </c>
      <c r="C4073">
        <f t="shared" si="93"/>
        <v>2003</v>
      </c>
    </row>
    <row r="4074" spans="1:3">
      <c r="A4074" s="68">
        <v>37640</v>
      </c>
      <c r="B4074" s="33">
        <v>2923.58</v>
      </c>
      <c r="C4074">
        <f t="shared" si="93"/>
        <v>2003</v>
      </c>
    </row>
    <row r="4075" spans="1:3">
      <c r="A4075" s="68">
        <v>37641</v>
      </c>
      <c r="B4075" s="32">
        <v>2923.58</v>
      </c>
      <c r="C4075">
        <f t="shared" si="93"/>
        <v>2003</v>
      </c>
    </row>
    <row r="4076" spans="1:3">
      <c r="A4076" s="68">
        <v>37642</v>
      </c>
      <c r="B4076" s="33">
        <v>2926.06</v>
      </c>
      <c r="C4076">
        <f t="shared" si="93"/>
        <v>2003</v>
      </c>
    </row>
    <row r="4077" spans="1:3">
      <c r="A4077" s="68">
        <v>37643</v>
      </c>
      <c r="B4077" s="32">
        <v>2933.81</v>
      </c>
      <c r="C4077">
        <f t="shared" si="93"/>
        <v>2003</v>
      </c>
    </row>
    <row r="4078" spans="1:3">
      <c r="A4078" s="68">
        <v>37644</v>
      </c>
      <c r="B4078" s="33">
        <v>2947.05</v>
      </c>
      <c r="C4078">
        <f t="shared" si="93"/>
        <v>2003</v>
      </c>
    </row>
    <row r="4079" spans="1:3">
      <c r="A4079" s="68">
        <v>37645</v>
      </c>
      <c r="B4079" s="32">
        <v>2926.88</v>
      </c>
      <c r="C4079">
        <f t="shared" si="93"/>
        <v>2003</v>
      </c>
    </row>
    <row r="4080" spans="1:3">
      <c r="A4080" s="68">
        <v>37646</v>
      </c>
      <c r="B4080" s="33">
        <v>2924.73</v>
      </c>
      <c r="C4080">
        <f t="shared" si="93"/>
        <v>2003</v>
      </c>
    </row>
    <row r="4081" spans="1:3">
      <c r="A4081" s="68">
        <v>37647</v>
      </c>
      <c r="B4081" s="32">
        <v>2924.73</v>
      </c>
      <c r="C4081">
        <f t="shared" si="93"/>
        <v>2003</v>
      </c>
    </row>
    <row r="4082" spans="1:3">
      <c r="A4082" s="68">
        <v>37648</v>
      </c>
      <c r="B4082" s="33">
        <v>2924.73</v>
      </c>
      <c r="C4082">
        <f t="shared" si="93"/>
        <v>2003</v>
      </c>
    </row>
    <row r="4083" spans="1:3">
      <c r="A4083" s="68">
        <v>37649</v>
      </c>
      <c r="B4083" s="32">
        <v>2948.3</v>
      </c>
      <c r="C4083">
        <f t="shared" si="93"/>
        <v>2003</v>
      </c>
    </row>
    <row r="4084" spans="1:3">
      <c r="A4084" s="68">
        <v>37650</v>
      </c>
      <c r="B4084" s="33">
        <v>2965.6</v>
      </c>
      <c r="C4084">
        <f t="shared" si="93"/>
        <v>2003</v>
      </c>
    </row>
    <row r="4085" spans="1:3">
      <c r="A4085" s="68">
        <v>37651</v>
      </c>
      <c r="B4085" s="32">
        <v>2950.71</v>
      </c>
      <c r="C4085">
        <f t="shared" si="93"/>
        <v>2003</v>
      </c>
    </row>
    <row r="4086" spans="1:3">
      <c r="A4086" s="68">
        <v>37652</v>
      </c>
      <c r="B4086" s="33">
        <v>2926.46</v>
      </c>
      <c r="C4086">
        <f t="shared" si="93"/>
        <v>2003</v>
      </c>
    </row>
    <row r="4087" spans="1:3">
      <c r="A4087" s="68">
        <v>37653</v>
      </c>
      <c r="B4087" s="32">
        <v>2940.26</v>
      </c>
      <c r="C4087">
        <f t="shared" si="93"/>
        <v>2003</v>
      </c>
    </row>
    <row r="4088" spans="1:3">
      <c r="A4088" s="68">
        <v>37654</v>
      </c>
      <c r="B4088" s="33">
        <v>2940.26</v>
      </c>
      <c r="C4088">
        <f t="shared" si="93"/>
        <v>2003</v>
      </c>
    </row>
    <row r="4089" spans="1:3">
      <c r="A4089" s="68">
        <v>37655</v>
      </c>
      <c r="B4089" s="32">
        <v>2940.26</v>
      </c>
      <c r="C4089">
        <f t="shared" si="93"/>
        <v>2003</v>
      </c>
    </row>
    <row r="4090" spans="1:3">
      <c r="A4090" s="68">
        <v>37656</v>
      </c>
      <c r="B4090" s="33">
        <v>2957.4</v>
      </c>
      <c r="C4090">
        <f t="shared" si="93"/>
        <v>2003</v>
      </c>
    </row>
    <row r="4091" spans="1:3">
      <c r="A4091" s="68">
        <v>37657</v>
      </c>
      <c r="B4091" s="32">
        <v>2966.78</v>
      </c>
      <c r="C4091">
        <f t="shared" si="93"/>
        <v>2003</v>
      </c>
    </row>
    <row r="4092" spans="1:3">
      <c r="A4092" s="68">
        <v>37658</v>
      </c>
      <c r="B4092" s="33">
        <v>2961.29</v>
      </c>
      <c r="C4092">
        <f t="shared" si="93"/>
        <v>2003</v>
      </c>
    </row>
    <row r="4093" spans="1:3">
      <c r="A4093" s="68">
        <v>37659</v>
      </c>
      <c r="B4093" s="32">
        <v>2963.28</v>
      </c>
      <c r="C4093">
        <f t="shared" si="93"/>
        <v>2003</v>
      </c>
    </row>
    <row r="4094" spans="1:3">
      <c r="A4094" s="68">
        <v>37660</v>
      </c>
      <c r="B4094" s="33">
        <v>2954.03</v>
      </c>
      <c r="C4094">
        <f t="shared" si="93"/>
        <v>2003</v>
      </c>
    </row>
    <row r="4095" spans="1:3">
      <c r="A4095" s="68">
        <v>37661</v>
      </c>
      <c r="B4095" s="32">
        <v>2954.03</v>
      </c>
      <c r="C4095">
        <f t="shared" si="93"/>
        <v>2003</v>
      </c>
    </row>
    <row r="4096" spans="1:3">
      <c r="A4096" s="68">
        <v>37662</v>
      </c>
      <c r="B4096" s="33">
        <v>2954.03</v>
      </c>
      <c r="C4096">
        <f t="shared" si="93"/>
        <v>2003</v>
      </c>
    </row>
    <row r="4097" spans="1:3">
      <c r="A4097" s="68">
        <v>37663</v>
      </c>
      <c r="B4097" s="32">
        <v>2968.88</v>
      </c>
      <c r="C4097">
        <f t="shared" si="93"/>
        <v>2003</v>
      </c>
    </row>
    <row r="4098" spans="1:3">
      <c r="A4098" s="68">
        <v>37664</v>
      </c>
      <c r="B4098" s="33">
        <v>2963.21</v>
      </c>
      <c r="C4098">
        <f t="shared" si="93"/>
        <v>2003</v>
      </c>
    </row>
    <row r="4099" spans="1:3">
      <c r="A4099" s="68">
        <v>37665</v>
      </c>
      <c r="B4099" s="32">
        <v>2960.77</v>
      </c>
      <c r="C4099">
        <f t="shared" si="93"/>
        <v>2003</v>
      </c>
    </row>
    <row r="4100" spans="1:3">
      <c r="A4100" s="68">
        <v>37666</v>
      </c>
      <c r="B4100" s="33">
        <v>2959.75</v>
      </c>
      <c r="C4100">
        <f t="shared" ref="C4100:C4163" si="94">YEAR(A4100)</f>
        <v>2003</v>
      </c>
    </row>
    <row r="4101" spans="1:3">
      <c r="A4101" s="68">
        <v>37667</v>
      </c>
      <c r="B4101" s="32">
        <v>2954.76</v>
      </c>
      <c r="C4101">
        <f t="shared" si="94"/>
        <v>2003</v>
      </c>
    </row>
    <row r="4102" spans="1:3">
      <c r="A4102" s="68">
        <v>37668</v>
      </c>
      <c r="B4102" s="33">
        <v>2954.76</v>
      </c>
      <c r="C4102">
        <f t="shared" si="94"/>
        <v>2003</v>
      </c>
    </row>
    <row r="4103" spans="1:3">
      <c r="A4103" s="68">
        <v>37669</v>
      </c>
      <c r="B4103" s="32">
        <v>2954.76</v>
      </c>
      <c r="C4103">
        <f t="shared" si="94"/>
        <v>2003</v>
      </c>
    </row>
    <row r="4104" spans="1:3">
      <c r="A4104" s="68">
        <v>37670</v>
      </c>
      <c r="B4104" s="33">
        <v>2934.58</v>
      </c>
      <c r="C4104">
        <f t="shared" si="94"/>
        <v>2003</v>
      </c>
    </row>
    <row r="4105" spans="1:3">
      <c r="A4105" s="68">
        <v>37671</v>
      </c>
      <c r="B4105" s="32">
        <v>2929.64</v>
      </c>
      <c r="C4105">
        <f t="shared" si="94"/>
        <v>2003</v>
      </c>
    </row>
    <row r="4106" spans="1:3">
      <c r="A4106" s="68">
        <v>37672</v>
      </c>
      <c r="B4106" s="33">
        <v>2937.44</v>
      </c>
      <c r="C4106">
        <f t="shared" si="94"/>
        <v>2003</v>
      </c>
    </row>
    <row r="4107" spans="1:3">
      <c r="A4107" s="68">
        <v>37673</v>
      </c>
      <c r="B4107" s="32">
        <v>2938.23</v>
      </c>
      <c r="C4107">
        <f t="shared" si="94"/>
        <v>2003</v>
      </c>
    </row>
    <row r="4108" spans="1:3">
      <c r="A4108" s="68">
        <v>37674</v>
      </c>
      <c r="B4108" s="33">
        <v>2939.92</v>
      </c>
      <c r="C4108">
        <f t="shared" si="94"/>
        <v>2003</v>
      </c>
    </row>
    <row r="4109" spans="1:3">
      <c r="A4109" s="68">
        <v>37675</v>
      </c>
      <c r="B4109" s="32">
        <v>2939.92</v>
      </c>
      <c r="C4109">
        <f t="shared" si="94"/>
        <v>2003</v>
      </c>
    </row>
    <row r="4110" spans="1:3">
      <c r="A4110" s="68">
        <v>37676</v>
      </c>
      <c r="B4110" s="33">
        <v>2939.92</v>
      </c>
      <c r="C4110">
        <f t="shared" si="94"/>
        <v>2003</v>
      </c>
    </row>
    <row r="4111" spans="1:3">
      <c r="A4111" s="68">
        <v>37677</v>
      </c>
      <c r="B4111" s="32">
        <v>2949.05</v>
      </c>
      <c r="C4111">
        <f t="shared" si="94"/>
        <v>2003</v>
      </c>
    </row>
    <row r="4112" spans="1:3">
      <c r="A4112" s="68">
        <v>37678</v>
      </c>
      <c r="B4112" s="33">
        <v>2951.81</v>
      </c>
      <c r="C4112">
        <f t="shared" si="94"/>
        <v>2003</v>
      </c>
    </row>
    <row r="4113" spans="1:3">
      <c r="A4113" s="68">
        <v>37679</v>
      </c>
      <c r="B4113" s="32">
        <v>2949.85</v>
      </c>
      <c r="C4113">
        <f t="shared" si="94"/>
        <v>2003</v>
      </c>
    </row>
    <row r="4114" spans="1:3">
      <c r="A4114" s="68">
        <v>37680</v>
      </c>
      <c r="B4114" s="33">
        <v>2956.31</v>
      </c>
      <c r="C4114">
        <f t="shared" si="94"/>
        <v>2003</v>
      </c>
    </row>
    <row r="4115" spans="1:3">
      <c r="A4115" s="68">
        <v>37681</v>
      </c>
      <c r="B4115" s="32">
        <v>2957.87</v>
      </c>
      <c r="C4115">
        <f t="shared" si="94"/>
        <v>2003</v>
      </c>
    </row>
    <row r="4116" spans="1:3">
      <c r="A4116" s="68">
        <v>37682</v>
      </c>
      <c r="B4116" s="33">
        <v>2957.87</v>
      </c>
      <c r="C4116">
        <f t="shared" si="94"/>
        <v>2003</v>
      </c>
    </row>
    <row r="4117" spans="1:3">
      <c r="A4117" s="68">
        <v>37683</v>
      </c>
      <c r="B4117" s="32">
        <v>2957.87</v>
      </c>
      <c r="C4117">
        <f t="shared" si="94"/>
        <v>2003</v>
      </c>
    </row>
    <row r="4118" spans="1:3">
      <c r="A4118" s="68">
        <v>37684</v>
      </c>
      <c r="B4118" s="33">
        <v>2959.97</v>
      </c>
      <c r="C4118">
        <f t="shared" si="94"/>
        <v>2003</v>
      </c>
    </row>
    <row r="4119" spans="1:3">
      <c r="A4119" s="68">
        <v>37685</v>
      </c>
      <c r="B4119" s="32">
        <v>2962.06</v>
      </c>
      <c r="C4119">
        <f t="shared" si="94"/>
        <v>2003</v>
      </c>
    </row>
    <row r="4120" spans="1:3">
      <c r="A4120" s="68">
        <v>37686</v>
      </c>
      <c r="B4120" s="33">
        <v>2960.77</v>
      </c>
      <c r="C4120">
        <f t="shared" si="94"/>
        <v>2003</v>
      </c>
    </row>
    <row r="4121" spans="1:3">
      <c r="A4121" s="68">
        <v>37687</v>
      </c>
      <c r="B4121" s="32">
        <v>2960.11</v>
      </c>
      <c r="C4121">
        <f t="shared" si="94"/>
        <v>2003</v>
      </c>
    </row>
    <row r="4122" spans="1:3">
      <c r="A4122" s="68">
        <v>37688</v>
      </c>
      <c r="B4122" s="33">
        <v>2959.75</v>
      </c>
      <c r="C4122">
        <f t="shared" si="94"/>
        <v>2003</v>
      </c>
    </row>
    <row r="4123" spans="1:3">
      <c r="A4123" s="68">
        <v>37689</v>
      </c>
      <c r="B4123" s="32">
        <v>2959.75</v>
      </c>
      <c r="C4123">
        <f t="shared" si="94"/>
        <v>2003</v>
      </c>
    </row>
    <row r="4124" spans="1:3">
      <c r="A4124" s="68">
        <v>37690</v>
      </c>
      <c r="B4124" s="33">
        <v>2959.75</v>
      </c>
      <c r="C4124">
        <f t="shared" si="94"/>
        <v>2003</v>
      </c>
    </row>
    <row r="4125" spans="1:3">
      <c r="A4125" s="68">
        <v>37691</v>
      </c>
      <c r="B4125" s="32">
        <v>2961.93</v>
      </c>
      <c r="C4125">
        <f t="shared" si="94"/>
        <v>2003</v>
      </c>
    </row>
    <row r="4126" spans="1:3">
      <c r="A4126" s="68">
        <v>37692</v>
      </c>
      <c r="B4126" s="33">
        <v>2962.76</v>
      </c>
      <c r="C4126">
        <f t="shared" si="94"/>
        <v>2003</v>
      </c>
    </row>
    <row r="4127" spans="1:3">
      <c r="A4127" s="68">
        <v>37693</v>
      </c>
      <c r="B4127" s="32">
        <v>2961.99</v>
      </c>
      <c r="C4127">
        <f t="shared" si="94"/>
        <v>2003</v>
      </c>
    </row>
    <row r="4128" spans="1:3">
      <c r="A4128" s="68">
        <v>37694</v>
      </c>
      <c r="B4128" s="33">
        <v>2959.39</v>
      </c>
      <c r="C4128">
        <f t="shared" si="94"/>
        <v>2003</v>
      </c>
    </row>
    <row r="4129" spans="1:3">
      <c r="A4129" s="68">
        <v>37695</v>
      </c>
      <c r="B4129" s="32">
        <v>2958.86</v>
      </c>
      <c r="C4129">
        <f t="shared" si="94"/>
        <v>2003</v>
      </c>
    </row>
    <row r="4130" spans="1:3">
      <c r="A4130" s="68">
        <v>37696</v>
      </c>
      <c r="B4130" s="33">
        <v>2958.86</v>
      </c>
      <c r="C4130">
        <f t="shared" si="94"/>
        <v>2003</v>
      </c>
    </row>
    <row r="4131" spans="1:3">
      <c r="A4131" s="68">
        <v>37697</v>
      </c>
      <c r="B4131" s="32">
        <v>2958.86</v>
      </c>
      <c r="C4131">
        <f t="shared" si="94"/>
        <v>2003</v>
      </c>
    </row>
    <row r="4132" spans="1:3">
      <c r="A4132" s="68">
        <v>37698</v>
      </c>
      <c r="B4132" s="33">
        <v>2956.47</v>
      </c>
      <c r="C4132">
        <f t="shared" si="94"/>
        <v>2003</v>
      </c>
    </row>
    <row r="4133" spans="1:3">
      <c r="A4133" s="68">
        <v>37699</v>
      </c>
      <c r="B4133" s="32">
        <v>2955.84</v>
      </c>
      <c r="C4133">
        <f t="shared" si="94"/>
        <v>2003</v>
      </c>
    </row>
    <row r="4134" spans="1:3">
      <c r="A4134" s="68">
        <v>37700</v>
      </c>
      <c r="B4134" s="33">
        <v>2955.64</v>
      </c>
      <c r="C4134">
        <f t="shared" si="94"/>
        <v>2003</v>
      </c>
    </row>
    <row r="4135" spans="1:3">
      <c r="A4135" s="68">
        <v>37701</v>
      </c>
      <c r="B4135" s="32">
        <v>2954.62</v>
      </c>
      <c r="C4135">
        <f t="shared" si="94"/>
        <v>2003</v>
      </c>
    </row>
    <row r="4136" spans="1:3">
      <c r="A4136" s="68">
        <v>37702</v>
      </c>
      <c r="B4136" s="33">
        <v>2956.06</v>
      </c>
      <c r="C4136">
        <f t="shared" si="94"/>
        <v>2003</v>
      </c>
    </row>
    <row r="4137" spans="1:3">
      <c r="A4137" s="68">
        <v>37703</v>
      </c>
      <c r="B4137" s="32">
        <v>2956.06</v>
      </c>
      <c r="C4137">
        <f t="shared" si="94"/>
        <v>2003</v>
      </c>
    </row>
    <row r="4138" spans="1:3">
      <c r="A4138" s="68">
        <v>37704</v>
      </c>
      <c r="B4138" s="33">
        <v>2956.06</v>
      </c>
      <c r="C4138">
        <f t="shared" si="94"/>
        <v>2003</v>
      </c>
    </row>
    <row r="4139" spans="1:3">
      <c r="A4139" s="68">
        <v>37705</v>
      </c>
      <c r="B4139" s="32">
        <v>2956.06</v>
      </c>
      <c r="C4139">
        <f t="shared" si="94"/>
        <v>2003</v>
      </c>
    </row>
    <row r="4140" spans="1:3">
      <c r="A4140" s="68">
        <v>37706</v>
      </c>
      <c r="B4140" s="33">
        <v>2959.26</v>
      </c>
      <c r="C4140">
        <f t="shared" si="94"/>
        <v>2003</v>
      </c>
    </row>
    <row r="4141" spans="1:3">
      <c r="A4141" s="68">
        <v>37707</v>
      </c>
      <c r="B4141" s="32">
        <v>2959.84</v>
      </c>
      <c r="C4141">
        <f t="shared" si="94"/>
        <v>2003</v>
      </c>
    </row>
    <row r="4142" spans="1:3">
      <c r="A4142" s="68">
        <v>37708</v>
      </c>
      <c r="B4142" s="33">
        <v>2958.73</v>
      </c>
      <c r="C4142">
        <f t="shared" si="94"/>
        <v>2003</v>
      </c>
    </row>
    <row r="4143" spans="1:3">
      <c r="A4143" s="68">
        <v>37709</v>
      </c>
      <c r="B4143" s="32">
        <v>2958.25</v>
      </c>
      <c r="C4143">
        <f t="shared" si="94"/>
        <v>2003</v>
      </c>
    </row>
    <row r="4144" spans="1:3">
      <c r="A4144" s="68">
        <v>37710</v>
      </c>
      <c r="B4144" s="33">
        <v>2958.25</v>
      </c>
      <c r="C4144">
        <f t="shared" si="94"/>
        <v>2003</v>
      </c>
    </row>
    <row r="4145" spans="1:3">
      <c r="A4145" s="68">
        <v>37711</v>
      </c>
      <c r="B4145" s="32">
        <v>2958.25</v>
      </c>
      <c r="C4145">
        <f t="shared" si="94"/>
        <v>2003</v>
      </c>
    </row>
    <row r="4146" spans="1:3">
      <c r="A4146" s="68">
        <v>37712</v>
      </c>
      <c r="B4146" s="33">
        <v>2958.15</v>
      </c>
      <c r="C4146">
        <f t="shared" si="94"/>
        <v>2003</v>
      </c>
    </row>
    <row r="4147" spans="1:3">
      <c r="A4147" s="68">
        <v>37713</v>
      </c>
      <c r="B4147" s="32">
        <v>2958.56</v>
      </c>
      <c r="C4147">
        <f t="shared" si="94"/>
        <v>2003</v>
      </c>
    </row>
    <row r="4148" spans="1:3">
      <c r="A4148" s="68">
        <v>37714</v>
      </c>
      <c r="B4148" s="33">
        <v>2956.5</v>
      </c>
      <c r="C4148">
        <f t="shared" si="94"/>
        <v>2003</v>
      </c>
    </row>
    <row r="4149" spans="1:3">
      <c r="A4149" s="68">
        <v>37715</v>
      </c>
      <c r="B4149" s="32">
        <v>2951.14</v>
      </c>
      <c r="C4149">
        <f t="shared" si="94"/>
        <v>2003</v>
      </c>
    </row>
    <row r="4150" spans="1:3">
      <c r="A4150" s="68">
        <v>37716</v>
      </c>
      <c r="B4150" s="33">
        <v>2946.79</v>
      </c>
      <c r="C4150">
        <f t="shared" si="94"/>
        <v>2003</v>
      </c>
    </row>
    <row r="4151" spans="1:3">
      <c r="A4151" s="68">
        <v>37717</v>
      </c>
      <c r="B4151" s="32">
        <v>2946.79</v>
      </c>
      <c r="C4151">
        <f t="shared" si="94"/>
        <v>2003</v>
      </c>
    </row>
    <row r="4152" spans="1:3">
      <c r="A4152" s="68">
        <v>37718</v>
      </c>
      <c r="B4152" s="33">
        <v>2946.79</v>
      </c>
      <c r="C4152">
        <f t="shared" si="94"/>
        <v>2003</v>
      </c>
    </row>
    <row r="4153" spans="1:3">
      <c r="A4153" s="68">
        <v>37719</v>
      </c>
      <c r="B4153" s="32">
        <v>2942.41</v>
      </c>
      <c r="C4153">
        <f t="shared" si="94"/>
        <v>2003</v>
      </c>
    </row>
    <row r="4154" spans="1:3">
      <c r="A4154" s="68">
        <v>37720</v>
      </c>
      <c r="B4154" s="33">
        <v>2938.32</v>
      </c>
      <c r="C4154">
        <f t="shared" si="94"/>
        <v>2003</v>
      </c>
    </row>
    <row r="4155" spans="1:3">
      <c r="A4155" s="68">
        <v>37721</v>
      </c>
      <c r="B4155" s="32">
        <v>2920.4</v>
      </c>
      <c r="C4155">
        <f t="shared" si="94"/>
        <v>2003</v>
      </c>
    </row>
    <row r="4156" spans="1:3">
      <c r="A4156" s="68">
        <v>37722</v>
      </c>
      <c r="B4156" s="33">
        <v>2911.74</v>
      </c>
      <c r="C4156">
        <f t="shared" si="94"/>
        <v>2003</v>
      </c>
    </row>
    <row r="4157" spans="1:3">
      <c r="A4157" s="68">
        <v>37723</v>
      </c>
      <c r="B4157" s="32">
        <v>2923.07</v>
      </c>
      <c r="C4157">
        <f t="shared" si="94"/>
        <v>2003</v>
      </c>
    </row>
    <row r="4158" spans="1:3">
      <c r="A4158" s="68">
        <v>37724</v>
      </c>
      <c r="B4158" s="33">
        <v>2923.07</v>
      </c>
      <c r="C4158">
        <f t="shared" si="94"/>
        <v>2003</v>
      </c>
    </row>
    <row r="4159" spans="1:3">
      <c r="A4159" s="68">
        <v>37725</v>
      </c>
      <c r="B4159" s="32">
        <v>2923.07</v>
      </c>
      <c r="C4159">
        <f t="shared" si="94"/>
        <v>2003</v>
      </c>
    </row>
    <row r="4160" spans="1:3">
      <c r="A4160" s="68">
        <v>37726</v>
      </c>
      <c r="B4160" s="33">
        <v>2931.69</v>
      </c>
      <c r="C4160">
        <f t="shared" si="94"/>
        <v>2003</v>
      </c>
    </row>
    <row r="4161" spans="1:3">
      <c r="A4161" s="68">
        <v>37727</v>
      </c>
      <c r="B4161" s="32">
        <v>2919.58</v>
      </c>
      <c r="C4161">
        <f t="shared" si="94"/>
        <v>2003</v>
      </c>
    </row>
    <row r="4162" spans="1:3">
      <c r="A4162" s="68">
        <v>37728</v>
      </c>
      <c r="B4162" s="33">
        <v>2918.01</v>
      </c>
      <c r="C4162">
        <f t="shared" si="94"/>
        <v>2003</v>
      </c>
    </row>
    <row r="4163" spans="1:3">
      <c r="A4163" s="68">
        <v>37729</v>
      </c>
      <c r="B4163" s="32">
        <v>2918.01</v>
      </c>
      <c r="C4163">
        <f t="shared" si="94"/>
        <v>2003</v>
      </c>
    </row>
    <row r="4164" spans="1:3">
      <c r="A4164" s="68">
        <v>37730</v>
      </c>
      <c r="B4164" s="33">
        <v>2918.01</v>
      </c>
      <c r="C4164">
        <f t="shared" ref="C4164:C4227" si="95">YEAR(A4164)</f>
        <v>2003</v>
      </c>
    </row>
    <row r="4165" spans="1:3">
      <c r="A4165" s="68">
        <v>37731</v>
      </c>
      <c r="B4165" s="32">
        <v>2918.01</v>
      </c>
      <c r="C4165">
        <f t="shared" si="95"/>
        <v>2003</v>
      </c>
    </row>
    <row r="4166" spans="1:3">
      <c r="A4166" s="68">
        <v>37732</v>
      </c>
      <c r="B4166" s="33">
        <v>2918.01</v>
      </c>
      <c r="C4166">
        <f t="shared" si="95"/>
        <v>2003</v>
      </c>
    </row>
    <row r="4167" spans="1:3">
      <c r="A4167" s="68">
        <v>37733</v>
      </c>
      <c r="B4167" s="32">
        <v>2920.04</v>
      </c>
      <c r="C4167">
        <f t="shared" si="95"/>
        <v>2003</v>
      </c>
    </row>
    <row r="4168" spans="1:3">
      <c r="A4168" s="68">
        <v>37734</v>
      </c>
      <c r="B4168" s="33">
        <v>2916.03</v>
      </c>
      <c r="C4168">
        <f t="shared" si="95"/>
        <v>2003</v>
      </c>
    </row>
    <row r="4169" spans="1:3">
      <c r="A4169" s="68">
        <v>37735</v>
      </c>
      <c r="B4169" s="32">
        <v>2911</v>
      </c>
      <c r="C4169">
        <f t="shared" si="95"/>
        <v>2003</v>
      </c>
    </row>
    <row r="4170" spans="1:3">
      <c r="A4170" s="68">
        <v>37736</v>
      </c>
      <c r="B4170" s="33">
        <v>2908.25</v>
      </c>
      <c r="C4170">
        <f t="shared" si="95"/>
        <v>2003</v>
      </c>
    </row>
    <row r="4171" spans="1:3">
      <c r="A4171" s="68">
        <v>37737</v>
      </c>
      <c r="B4171" s="32">
        <v>2912.83</v>
      </c>
      <c r="C4171">
        <f t="shared" si="95"/>
        <v>2003</v>
      </c>
    </row>
    <row r="4172" spans="1:3">
      <c r="A4172" s="68">
        <v>37738</v>
      </c>
      <c r="B4172" s="33">
        <v>2912.83</v>
      </c>
      <c r="C4172">
        <f t="shared" si="95"/>
        <v>2003</v>
      </c>
    </row>
    <row r="4173" spans="1:3">
      <c r="A4173" s="68">
        <v>37739</v>
      </c>
      <c r="B4173" s="32">
        <v>2912.83</v>
      </c>
      <c r="C4173">
        <f t="shared" si="95"/>
        <v>2003</v>
      </c>
    </row>
    <row r="4174" spans="1:3">
      <c r="A4174" s="68">
        <v>37740</v>
      </c>
      <c r="B4174" s="33">
        <v>2900</v>
      </c>
      <c r="C4174">
        <f t="shared" si="95"/>
        <v>2003</v>
      </c>
    </row>
    <row r="4175" spans="1:3">
      <c r="A4175" s="68">
        <v>37741</v>
      </c>
      <c r="B4175" s="32">
        <v>2887.82</v>
      </c>
      <c r="C4175">
        <f t="shared" si="95"/>
        <v>2003</v>
      </c>
    </row>
    <row r="4176" spans="1:3">
      <c r="A4176" s="68">
        <v>37742</v>
      </c>
      <c r="B4176" s="33">
        <v>2868.43</v>
      </c>
      <c r="C4176">
        <f t="shared" si="95"/>
        <v>2003</v>
      </c>
    </row>
    <row r="4177" spans="1:3">
      <c r="A4177" s="68">
        <v>37743</v>
      </c>
      <c r="B4177" s="32">
        <v>2868.43</v>
      </c>
      <c r="C4177">
        <f t="shared" si="95"/>
        <v>2003</v>
      </c>
    </row>
    <row r="4178" spans="1:3">
      <c r="A4178" s="68">
        <v>37744</v>
      </c>
      <c r="B4178" s="33">
        <v>2865.94</v>
      </c>
      <c r="C4178">
        <f t="shared" si="95"/>
        <v>2003</v>
      </c>
    </row>
    <row r="4179" spans="1:3">
      <c r="A4179" s="68">
        <v>37745</v>
      </c>
      <c r="B4179" s="32">
        <v>2865.94</v>
      </c>
      <c r="C4179">
        <f t="shared" si="95"/>
        <v>2003</v>
      </c>
    </row>
    <row r="4180" spans="1:3">
      <c r="A4180" s="68">
        <v>37746</v>
      </c>
      <c r="B4180" s="33">
        <v>2865.94</v>
      </c>
      <c r="C4180">
        <f t="shared" si="95"/>
        <v>2003</v>
      </c>
    </row>
    <row r="4181" spans="1:3">
      <c r="A4181" s="68">
        <v>37747</v>
      </c>
      <c r="B4181" s="32">
        <v>2858.37</v>
      </c>
      <c r="C4181">
        <f t="shared" si="95"/>
        <v>2003</v>
      </c>
    </row>
    <row r="4182" spans="1:3">
      <c r="A4182" s="68">
        <v>37748</v>
      </c>
      <c r="B4182" s="33">
        <v>2856.98</v>
      </c>
      <c r="C4182">
        <f t="shared" si="95"/>
        <v>2003</v>
      </c>
    </row>
    <row r="4183" spans="1:3">
      <c r="A4183" s="68">
        <v>37749</v>
      </c>
      <c r="B4183" s="32">
        <v>2866.06</v>
      </c>
      <c r="C4183">
        <f t="shared" si="95"/>
        <v>2003</v>
      </c>
    </row>
    <row r="4184" spans="1:3">
      <c r="A4184" s="68">
        <v>37750</v>
      </c>
      <c r="B4184" s="33">
        <v>2848.41</v>
      </c>
      <c r="C4184">
        <f t="shared" si="95"/>
        <v>2003</v>
      </c>
    </row>
    <row r="4185" spans="1:3">
      <c r="A4185" s="68">
        <v>37751</v>
      </c>
      <c r="B4185" s="32">
        <v>2840.04</v>
      </c>
      <c r="C4185">
        <f t="shared" si="95"/>
        <v>2003</v>
      </c>
    </row>
    <row r="4186" spans="1:3">
      <c r="A4186" s="68">
        <v>37752</v>
      </c>
      <c r="B4186" s="33">
        <v>2840.04</v>
      </c>
      <c r="C4186">
        <f t="shared" si="95"/>
        <v>2003</v>
      </c>
    </row>
    <row r="4187" spans="1:3">
      <c r="A4187" s="68">
        <v>37753</v>
      </c>
      <c r="B4187" s="32">
        <v>2840.04</v>
      </c>
      <c r="C4187">
        <f t="shared" si="95"/>
        <v>2003</v>
      </c>
    </row>
    <row r="4188" spans="1:3">
      <c r="A4188" s="68">
        <v>37754</v>
      </c>
      <c r="B4188" s="33">
        <v>2833.86</v>
      </c>
      <c r="C4188">
        <f t="shared" si="95"/>
        <v>2003</v>
      </c>
    </row>
    <row r="4189" spans="1:3">
      <c r="A4189" s="68">
        <v>37755</v>
      </c>
      <c r="B4189" s="32">
        <v>2813.6</v>
      </c>
      <c r="C4189">
        <f t="shared" si="95"/>
        <v>2003</v>
      </c>
    </row>
    <row r="4190" spans="1:3">
      <c r="A4190" s="68">
        <v>37756</v>
      </c>
      <c r="B4190" s="33">
        <v>2821.08</v>
      </c>
      <c r="C4190">
        <f t="shared" si="95"/>
        <v>2003</v>
      </c>
    </row>
    <row r="4191" spans="1:3">
      <c r="A4191" s="68">
        <v>37757</v>
      </c>
      <c r="B4191" s="32">
        <v>2827.99</v>
      </c>
      <c r="C4191">
        <f t="shared" si="95"/>
        <v>2003</v>
      </c>
    </row>
    <row r="4192" spans="1:3">
      <c r="A4192" s="68">
        <v>37758</v>
      </c>
      <c r="B4192" s="33">
        <v>2816.46</v>
      </c>
      <c r="C4192">
        <f t="shared" si="95"/>
        <v>2003</v>
      </c>
    </row>
    <row r="4193" spans="1:3">
      <c r="A4193" s="68">
        <v>37759</v>
      </c>
      <c r="B4193" s="32">
        <v>2816.46</v>
      </c>
      <c r="C4193">
        <f t="shared" si="95"/>
        <v>2003</v>
      </c>
    </row>
    <row r="4194" spans="1:3">
      <c r="A4194" s="68">
        <v>37760</v>
      </c>
      <c r="B4194" s="33">
        <v>2816.46</v>
      </c>
      <c r="C4194">
        <f t="shared" si="95"/>
        <v>2003</v>
      </c>
    </row>
    <row r="4195" spans="1:3">
      <c r="A4195" s="68">
        <v>37761</v>
      </c>
      <c r="B4195" s="32">
        <v>2874.77</v>
      </c>
      <c r="C4195">
        <f t="shared" si="95"/>
        <v>2003</v>
      </c>
    </row>
    <row r="4196" spans="1:3">
      <c r="A4196" s="68">
        <v>37762</v>
      </c>
      <c r="B4196" s="33">
        <v>2909.83</v>
      </c>
      <c r="C4196">
        <f t="shared" si="95"/>
        <v>2003</v>
      </c>
    </row>
    <row r="4197" spans="1:3">
      <c r="A4197" s="68">
        <v>37763</v>
      </c>
      <c r="B4197" s="32">
        <v>2912.46</v>
      </c>
      <c r="C4197">
        <f t="shared" si="95"/>
        <v>2003</v>
      </c>
    </row>
    <row r="4198" spans="1:3">
      <c r="A4198" s="68">
        <v>37764</v>
      </c>
      <c r="B4198" s="33">
        <v>2905.91</v>
      </c>
      <c r="C4198">
        <f t="shared" si="95"/>
        <v>2003</v>
      </c>
    </row>
    <row r="4199" spans="1:3">
      <c r="A4199" s="68">
        <v>37765</v>
      </c>
      <c r="B4199" s="32">
        <v>2868.37</v>
      </c>
      <c r="C4199">
        <f t="shared" si="95"/>
        <v>2003</v>
      </c>
    </row>
    <row r="4200" spans="1:3">
      <c r="A4200" s="68">
        <v>37766</v>
      </c>
      <c r="B4200" s="33">
        <v>2868.37</v>
      </c>
      <c r="C4200">
        <f t="shared" si="95"/>
        <v>2003</v>
      </c>
    </row>
    <row r="4201" spans="1:3">
      <c r="A4201" s="68">
        <v>37767</v>
      </c>
      <c r="B4201" s="32">
        <v>2868.37</v>
      </c>
      <c r="C4201">
        <f t="shared" si="95"/>
        <v>2003</v>
      </c>
    </row>
    <row r="4202" spans="1:3">
      <c r="A4202" s="68">
        <v>37768</v>
      </c>
      <c r="B4202" s="33">
        <v>2868.37</v>
      </c>
      <c r="C4202">
        <f t="shared" si="95"/>
        <v>2003</v>
      </c>
    </row>
    <row r="4203" spans="1:3">
      <c r="A4203" s="68">
        <v>37769</v>
      </c>
      <c r="B4203" s="32">
        <v>2850.03</v>
      </c>
      <c r="C4203">
        <f t="shared" si="95"/>
        <v>2003</v>
      </c>
    </row>
    <row r="4204" spans="1:3">
      <c r="A4204" s="68">
        <v>37770</v>
      </c>
      <c r="B4204" s="33">
        <v>2874.91</v>
      </c>
      <c r="C4204">
        <f t="shared" si="95"/>
        <v>2003</v>
      </c>
    </row>
    <row r="4205" spans="1:3">
      <c r="A4205" s="68">
        <v>37771</v>
      </c>
      <c r="B4205" s="32">
        <v>2855.88</v>
      </c>
      <c r="C4205">
        <f t="shared" si="95"/>
        <v>2003</v>
      </c>
    </row>
    <row r="4206" spans="1:3">
      <c r="A4206" s="68">
        <v>37772</v>
      </c>
      <c r="B4206" s="33">
        <v>2853.33</v>
      </c>
      <c r="C4206">
        <f t="shared" si="95"/>
        <v>2003</v>
      </c>
    </row>
    <row r="4207" spans="1:3">
      <c r="A4207" s="68">
        <v>37773</v>
      </c>
      <c r="B4207" s="32">
        <v>2853.33</v>
      </c>
      <c r="C4207">
        <f t="shared" si="95"/>
        <v>2003</v>
      </c>
    </row>
    <row r="4208" spans="1:3">
      <c r="A4208" s="68">
        <v>37774</v>
      </c>
      <c r="B4208" s="33">
        <v>2853.33</v>
      </c>
      <c r="C4208">
        <f t="shared" si="95"/>
        <v>2003</v>
      </c>
    </row>
    <row r="4209" spans="1:3">
      <c r="A4209" s="68">
        <v>37775</v>
      </c>
      <c r="B4209" s="32">
        <v>2853.33</v>
      </c>
      <c r="C4209">
        <f t="shared" si="95"/>
        <v>2003</v>
      </c>
    </row>
    <row r="4210" spans="1:3">
      <c r="A4210" s="68">
        <v>37776</v>
      </c>
      <c r="B4210" s="33">
        <v>2846.16</v>
      </c>
      <c r="C4210">
        <f t="shared" si="95"/>
        <v>2003</v>
      </c>
    </row>
    <row r="4211" spans="1:3">
      <c r="A4211" s="68">
        <v>37777</v>
      </c>
      <c r="B4211" s="32">
        <v>2849.71</v>
      </c>
      <c r="C4211">
        <f t="shared" si="95"/>
        <v>2003</v>
      </c>
    </row>
    <row r="4212" spans="1:3">
      <c r="A4212" s="68">
        <v>37778</v>
      </c>
      <c r="B4212" s="33">
        <v>2839.21</v>
      </c>
      <c r="C4212">
        <f t="shared" si="95"/>
        <v>2003</v>
      </c>
    </row>
    <row r="4213" spans="1:3">
      <c r="A4213" s="68">
        <v>37779</v>
      </c>
      <c r="B4213" s="32">
        <v>2828.2</v>
      </c>
      <c r="C4213">
        <f t="shared" si="95"/>
        <v>2003</v>
      </c>
    </row>
    <row r="4214" spans="1:3">
      <c r="A4214" s="68">
        <v>37780</v>
      </c>
      <c r="B4214" s="33">
        <v>2828.2</v>
      </c>
      <c r="C4214">
        <f t="shared" si="95"/>
        <v>2003</v>
      </c>
    </row>
    <row r="4215" spans="1:3">
      <c r="A4215" s="68">
        <v>37781</v>
      </c>
      <c r="B4215" s="32">
        <v>2828.2</v>
      </c>
      <c r="C4215">
        <f t="shared" si="95"/>
        <v>2003</v>
      </c>
    </row>
    <row r="4216" spans="1:3">
      <c r="A4216" s="68">
        <v>37782</v>
      </c>
      <c r="B4216" s="33">
        <v>2818.5</v>
      </c>
      <c r="C4216">
        <f t="shared" si="95"/>
        <v>2003</v>
      </c>
    </row>
    <row r="4217" spans="1:3">
      <c r="A4217" s="68">
        <v>37783</v>
      </c>
      <c r="B4217" s="32">
        <v>2809.63</v>
      </c>
      <c r="C4217">
        <f t="shared" si="95"/>
        <v>2003</v>
      </c>
    </row>
    <row r="4218" spans="1:3">
      <c r="A4218" s="68">
        <v>37784</v>
      </c>
      <c r="B4218" s="33">
        <v>2821.27</v>
      </c>
      <c r="C4218">
        <f t="shared" si="95"/>
        <v>2003</v>
      </c>
    </row>
    <row r="4219" spans="1:3">
      <c r="A4219" s="68">
        <v>37785</v>
      </c>
      <c r="B4219" s="32">
        <v>2832.2</v>
      </c>
      <c r="C4219">
        <f t="shared" si="95"/>
        <v>2003</v>
      </c>
    </row>
    <row r="4220" spans="1:3">
      <c r="A4220" s="68">
        <v>37786</v>
      </c>
      <c r="B4220" s="33">
        <v>2821.61</v>
      </c>
      <c r="C4220">
        <f t="shared" si="95"/>
        <v>2003</v>
      </c>
    </row>
    <row r="4221" spans="1:3">
      <c r="A4221" s="68">
        <v>37787</v>
      </c>
      <c r="B4221" s="32">
        <v>2821.61</v>
      </c>
      <c r="C4221">
        <f t="shared" si="95"/>
        <v>2003</v>
      </c>
    </row>
    <row r="4222" spans="1:3">
      <c r="A4222" s="68">
        <v>37788</v>
      </c>
      <c r="B4222" s="33">
        <v>2821.61</v>
      </c>
      <c r="C4222">
        <f t="shared" si="95"/>
        <v>2003</v>
      </c>
    </row>
    <row r="4223" spans="1:3">
      <c r="A4223" s="68">
        <v>37789</v>
      </c>
      <c r="B4223" s="32">
        <v>2818.62</v>
      </c>
      <c r="C4223">
        <f t="shared" si="95"/>
        <v>2003</v>
      </c>
    </row>
    <row r="4224" spans="1:3">
      <c r="A4224" s="68">
        <v>37790</v>
      </c>
      <c r="B4224" s="33">
        <v>2828.96</v>
      </c>
      <c r="C4224">
        <f t="shared" si="95"/>
        <v>2003</v>
      </c>
    </row>
    <row r="4225" spans="1:3">
      <c r="A4225" s="68">
        <v>37791</v>
      </c>
      <c r="B4225" s="32">
        <v>2829.42</v>
      </c>
      <c r="C4225">
        <f t="shared" si="95"/>
        <v>2003</v>
      </c>
    </row>
    <row r="4226" spans="1:3">
      <c r="A4226" s="68">
        <v>37792</v>
      </c>
      <c r="B4226" s="33">
        <v>2827.4</v>
      </c>
      <c r="C4226">
        <f t="shared" si="95"/>
        <v>2003</v>
      </c>
    </row>
    <row r="4227" spans="1:3">
      <c r="A4227" s="68">
        <v>37793</v>
      </c>
      <c r="B4227" s="32">
        <v>2826.36</v>
      </c>
      <c r="C4227">
        <f t="shared" si="95"/>
        <v>2003</v>
      </c>
    </row>
    <row r="4228" spans="1:3">
      <c r="A4228" s="68">
        <v>37794</v>
      </c>
      <c r="B4228" s="33">
        <v>2826.36</v>
      </c>
      <c r="C4228">
        <f t="shared" ref="C4228:C4291" si="96">YEAR(A4228)</f>
        <v>2003</v>
      </c>
    </row>
    <row r="4229" spans="1:3">
      <c r="A4229" s="68">
        <v>37795</v>
      </c>
      <c r="B4229" s="32">
        <v>2826.36</v>
      </c>
      <c r="C4229">
        <f t="shared" si="96"/>
        <v>2003</v>
      </c>
    </row>
    <row r="4230" spans="1:3">
      <c r="A4230" s="68">
        <v>37796</v>
      </c>
      <c r="B4230" s="33">
        <v>2826.36</v>
      </c>
      <c r="C4230">
        <f t="shared" si="96"/>
        <v>2003</v>
      </c>
    </row>
    <row r="4231" spans="1:3">
      <c r="A4231" s="68">
        <v>37797</v>
      </c>
      <c r="B4231" s="32">
        <v>2815.26</v>
      </c>
      <c r="C4231">
        <f t="shared" si="96"/>
        <v>2003</v>
      </c>
    </row>
    <row r="4232" spans="1:3">
      <c r="A4232" s="68">
        <v>37798</v>
      </c>
      <c r="B4232" s="33">
        <v>2806.96</v>
      </c>
      <c r="C4232">
        <f t="shared" si="96"/>
        <v>2003</v>
      </c>
    </row>
    <row r="4233" spans="1:3">
      <c r="A4233" s="68">
        <v>37799</v>
      </c>
      <c r="B4233" s="32">
        <v>2812.28</v>
      </c>
      <c r="C4233">
        <f t="shared" si="96"/>
        <v>2003</v>
      </c>
    </row>
    <row r="4234" spans="1:3">
      <c r="A4234" s="68">
        <v>37800</v>
      </c>
      <c r="B4234" s="33">
        <v>2817.32</v>
      </c>
      <c r="C4234">
        <f t="shared" si="96"/>
        <v>2003</v>
      </c>
    </row>
    <row r="4235" spans="1:3">
      <c r="A4235" s="68">
        <v>37801</v>
      </c>
      <c r="B4235" s="32">
        <v>2817.32</v>
      </c>
      <c r="C4235">
        <f t="shared" si="96"/>
        <v>2003</v>
      </c>
    </row>
    <row r="4236" spans="1:3">
      <c r="A4236" s="68">
        <v>37802</v>
      </c>
      <c r="B4236" s="33">
        <v>2817.32</v>
      </c>
      <c r="C4236">
        <f t="shared" si="96"/>
        <v>2003</v>
      </c>
    </row>
    <row r="4237" spans="1:3">
      <c r="A4237" s="68">
        <v>37803</v>
      </c>
      <c r="B4237" s="32">
        <v>2817.32</v>
      </c>
      <c r="C4237">
        <f t="shared" si="96"/>
        <v>2003</v>
      </c>
    </row>
    <row r="4238" spans="1:3">
      <c r="A4238" s="68">
        <v>37804</v>
      </c>
      <c r="B4238" s="33">
        <v>2817.63</v>
      </c>
      <c r="C4238">
        <f t="shared" si="96"/>
        <v>2003</v>
      </c>
    </row>
    <row r="4239" spans="1:3">
      <c r="A4239" s="68">
        <v>37805</v>
      </c>
      <c r="B4239" s="32">
        <v>2812.4</v>
      </c>
      <c r="C4239">
        <f t="shared" si="96"/>
        <v>2003</v>
      </c>
    </row>
    <row r="4240" spans="1:3">
      <c r="A4240" s="68">
        <v>37806</v>
      </c>
      <c r="B4240" s="33">
        <v>2815.14</v>
      </c>
      <c r="C4240">
        <f t="shared" si="96"/>
        <v>2003</v>
      </c>
    </row>
    <row r="4241" spans="1:3">
      <c r="A4241" s="68">
        <v>37807</v>
      </c>
      <c r="B4241" s="32">
        <v>2815.14</v>
      </c>
      <c r="C4241">
        <f t="shared" si="96"/>
        <v>2003</v>
      </c>
    </row>
    <row r="4242" spans="1:3">
      <c r="A4242" s="68">
        <v>37808</v>
      </c>
      <c r="B4242" s="33">
        <v>2815.14</v>
      </c>
      <c r="C4242">
        <f t="shared" si="96"/>
        <v>2003</v>
      </c>
    </row>
    <row r="4243" spans="1:3">
      <c r="A4243" s="68">
        <v>37809</v>
      </c>
      <c r="B4243" s="32">
        <v>2815.14</v>
      </c>
      <c r="C4243">
        <f t="shared" si="96"/>
        <v>2003</v>
      </c>
    </row>
    <row r="4244" spans="1:3">
      <c r="A4244" s="68">
        <v>37810</v>
      </c>
      <c r="B4244" s="33">
        <v>2820.85</v>
      </c>
      <c r="C4244">
        <f t="shared" si="96"/>
        <v>2003</v>
      </c>
    </row>
    <row r="4245" spans="1:3">
      <c r="A4245" s="68">
        <v>37811</v>
      </c>
      <c r="B4245" s="32">
        <v>2838.88</v>
      </c>
      <c r="C4245">
        <f t="shared" si="96"/>
        <v>2003</v>
      </c>
    </row>
    <row r="4246" spans="1:3">
      <c r="A4246" s="68">
        <v>37812</v>
      </c>
      <c r="B4246" s="33">
        <v>2846.89</v>
      </c>
      <c r="C4246">
        <f t="shared" si="96"/>
        <v>2003</v>
      </c>
    </row>
    <row r="4247" spans="1:3">
      <c r="A4247" s="68">
        <v>37813</v>
      </c>
      <c r="B4247" s="32">
        <v>2855.41</v>
      </c>
      <c r="C4247">
        <f t="shared" si="96"/>
        <v>2003</v>
      </c>
    </row>
    <row r="4248" spans="1:3">
      <c r="A4248" s="68">
        <v>37814</v>
      </c>
      <c r="B4248" s="33">
        <v>2856.96</v>
      </c>
      <c r="C4248">
        <f t="shared" si="96"/>
        <v>2003</v>
      </c>
    </row>
    <row r="4249" spans="1:3">
      <c r="A4249" s="68">
        <v>37815</v>
      </c>
      <c r="B4249" s="32">
        <v>2856.96</v>
      </c>
      <c r="C4249">
        <f t="shared" si="96"/>
        <v>2003</v>
      </c>
    </row>
    <row r="4250" spans="1:3">
      <c r="A4250" s="68">
        <v>37816</v>
      </c>
      <c r="B4250" s="33">
        <v>2856.96</v>
      </c>
      <c r="C4250">
        <f t="shared" si="96"/>
        <v>2003</v>
      </c>
    </row>
    <row r="4251" spans="1:3">
      <c r="A4251" s="68">
        <v>37817</v>
      </c>
      <c r="B4251" s="32">
        <v>2871.88</v>
      </c>
      <c r="C4251">
        <f t="shared" si="96"/>
        <v>2003</v>
      </c>
    </row>
    <row r="4252" spans="1:3">
      <c r="A4252" s="68">
        <v>37818</v>
      </c>
      <c r="B4252" s="33">
        <v>2879.37</v>
      </c>
      <c r="C4252">
        <f t="shared" si="96"/>
        <v>2003</v>
      </c>
    </row>
    <row r="4253" spans="1:3">
      <c r="A4253" s="68">
        <v>37819</v>
      </c>
      <c r="B4253" s="32">
        <v>2888.57</v>
      </c>
      <c r="C4253">
        <f t="shared" si="96"/>
        <v>2003</v>
      </c>
    </row>
    <row r="4254" spans="1:3">
      <c r="A4254" s="68">
        <v>37820</v>
      </c>
      <c r="B4254" s="33">
        <v>2883.9</v>
      </c>
      <c r="C4254">
        <f t="shared" si="96"/>
        <v>2003</v>
      </c>
    </row>
    <row r="4255" spans="1:3">
      <c r="A4255" s="68">
        <v>37821</v>
      </c>
      <c r="B4255" s="32">
        <v>2880.69</v>
      </c>
      <c r="C4255">
        <f t="shared" si="96"/>
        <v>2003</v>
      </c>
    </row>
    <row r="4256" spans="1:3">
      <c r="A4256" s="68">
        <v>37822</v>
      </c>
      <c r="B4256" s="33">
        <v>2880.69</v>
      </c>
      <c r="C4256">
        <f t="shared" si="96"/>
        <v>2003</v>
      </c>
    </row>
    <row r="4257" spans="1:3">
      <c r="A4257" s="68">
        <v>37823</v>
      </c>
      <c r="B4257" s="32">
        <v>2880.69</v>
      </c>
      <c r="C4257">
        <f t="shared" si="96"/>
        <v>2003</v>
      </c>
    </row>
    <row r="4258" spans="1:3">
      <c r="A4258" s="68">
        <v>37824</v>
      </c>
      <c r="B4258" s="33">
        <v>2878.33</v>
      </c>
      <c r="C4258">
        <f t="shared" si="96"/>
        <v>2003</v>
      </c>
    </row>
    <row r="4259" spans="1:3">
      <c r="A4259" s="68">
        <v>37825</v>
      </c>
      <c r="B4259" s="32">
        <v>2878.56</v>
      </c>
      <c r="C4259">
        <f t="shared" si="96"/>
        <v>2003</v>
      </c>
    </row>
    <row r="4260" spans="1:3">
      <c r="A4260" s="68">
        <v>37826</v>
      </c>
      <c r="B4260" s="33">
        <v>2882.7</v>
      </c>
      <c r="C4260">
        <f t="shared" si="96"/>
        <v>2003</v>
      </c>
    </row>
    <row r="4261" spans="1:3">
      <c r="A4261" s="68">
        <v>37827</v>
      </c>
      <c r="B4261" s="32">
        <v>2887.31</v>
      </c>
      <c r="C4261">
        <f t="shared" si="96"/>
        <v>2003</v>
      </c>
    </row>
    <row r="4262" spans="1:3">
      <c r="A4262" s="68">
        <v>37828</v>
      </c>
      <c r="B4262" s="33">
        <v>2888.32</v>
      </c>
      <c r="C4262">
        <f t="shared" si="96"/>
        <v>2003</v>
      </c>
    </row>
    <row r="4263" spans="1:3">
      <c r="A4263" s="68">
        <v>37829</v>
      </c>
      <c r="B4263" s="32">
        <v>2888.32</v>
      </c>
      <c r="C4263">
        <f t="shared" si="96"/>
        <v>2003</v>
      </c>
    </row>
    <row r="4264" spans="1:3">
      <c r="A4264" s="68">
        <v>37830</v>
      </c>
      <c r="B4264" s="33">
        <v>2888.32</v>
      </c>
      <c r="C4264">
        <f t="shared" si="96"/>
        <v>2003</v>
      </c>
    </row>
    <row r="4265" spans="1:3">
      <c r="A4265" s="68">
        <v>37831</v>
      </c>
      <c r="B4265" s="32">
        <v>2883.15</v>
      </c>
      <c r="C4265">
        <f t="shared" si="96"/>
        <v>2003</v>
      </c>
    </row>
    <row r="4266" spans="1:3">
      <c r="A4266" s="68">
        <v>37832</v>
      </c>
      <c r="B4266" s="33">
        <v>2873.17</v>
      </c>
      <c r="C4266">
        <f t="shared" si="96"/>
        <v>2003</v>
      </c>
    </row>
    <row r="4267" spans="1:3">
      <c r="A4267" s="68">
        <v>37833</v>
      </c>
      <c r="B4267" s="32">
        <v>2880.4</v>
      </c>
      <c r="C4267">
        <f t="shared" si="96"/>
        <v>2003</v>
      </c>
    </row>
    <row r="4268" spans="1:3">
      <c r="A4268" s="68">
        <v>37834</v>
      </c>
      <c r="B4268" s="33">
        <v>2879.6</v>
      </c>
      <c r="C4268">
        <f t="shared" si="96"/>
        <v>2003</v>
      </c>
    </row>
    <row r="4269" spans="1:3">
      <c r="A4269" s="68">
        <v>37835</v>
      </c>
      <c r="B4269" s="32">
        <v>2886.87</v>
      </c>
      <c r="C4269">
        <f t="shared" si="96"/>
        <v>2003</v>
      </c>
    </row>
    <row r="4270" spans="1:3">
      <c r="A4270" s="68">
        <v>37836</v>
      </c>
      <c r="B4270" s="33">
        <v>2886.87</v>
      </c>
      <c r="C4270">
        <f t="shared" si="96"/>
        <v>2003</v>
      </c>
    </row>
    <row r="4271" spans="1:3">
      <c r="A4271" s="68">
        <v>37837</v>
      </c>
      <c r="B4271" s="32">
        <v>2886.87</v>
      </c>
      <c r="C4271">
        <f t="shared" si="96"/>
        <v>2003</v>
      </c>
    </row>
    <row r="4272" spans="1:3">
      <c r="A4272" s="68">
        <v>37838</v>
      </c>
      <c r="B4272" s="33">
        <v>2894.58</v>
      </c>
      <c r="C4272">
        <f t="shared" si="96"/>
        <v>2003</v>
      </c>
    </row>
    <row r="4273" spans="1:3">
      <c r="A4273" s="68">
        <v>37839</v>
      </c>
      <c r="B4273" s="32">
        <v>2901.09</v>
      </c>
      <c r="C4273">
        <f t="shared" si="96"/>
        <v>2003</v>
      </c>
    </row>
    <row r="4274" spans="1:3">
      <c r="A4274" s="68">
        <v>37840</v>
      </c>
      <c r="B4274" s="33">
        <v>2887.05</v>
      </c>
      <c r="C4274">
        <f t="shared" si="96"/>
        <v>2003</v>
      </c>
    </row>
    <row r="4275" spans="1:3">
      <c r="A4275" s="68">
        <v>37841</v>
      </c>
      <c r="B4275" s="32">
        <v>2887.05</v>
      </c>
      <c r="C4275">
        <f t="shared" si="96"/>
        <v>2003</v>
      </c>
    </row>
    <row r="4276" spans="1:3">
      <c r="A4276" s="68">
        <v>37842</v>
      </c>
      <c r="B4276" s="33">
        <v>2875.18</v>
      </c>
      <c r="C4276">
        <f t="shared" si="96"/>
        <v>2003</v>
      </c>
    </row>
    <row r="4277" spans="1:3">
      <c r="A4277" s="68">
        <v>37843</v>
      </c>
      <c r="B4277" s="32">
        <v>2875.18</v>
      </c>
      <c r="C4277">
        <f t="shared" si="96"/>
        <v>2003</v>
      </c>
    </row>
    <row r="4278" spans="1:3">
      <c r="A4278" s="68">
        <v>37844</v>
      </c>
      <c r="B4278" s="33">
        <v>2875.18</v>
      </c>
      <c r="C4278">
        <f t="shared" si="96"/>
        <v>2003</v>
      </c>
    </row>
    <row r="4279" spans="1:3">
      <c r="A4279" s="68">
        <v>37845</v>
      </c>
      <c r="B4279" s="32">
        <v>2873.51</v>
      </c>
      <c r="C4279">
        <f t="shared" si="96"/>
        <v>2003</v>
      </c>
    </row>
    <row r="4280" spans="1:3">
      <c r="A4280" s="68">
        <v>37846</v>
      </c>
      <c r="B4280" s="33">
        <v>2868.5</v>
      </c>
      <c r="C4280">
        <f t="shared" si="96"/>
        <v>2003</v>
      </c>
    </row>
    <row r="4281" spans="1:3">
      <c r="A4281" s="68">
        <v>37847</v>
      </c>
      <c r="B4281" s="32">
        <v>2870.67</v>
      </c>
      <c r="C4281">
        <f t="shared" si="96"/>
        <v>2003</v>
      </c>
    </row>
    <row r="4282" spans="1:3">
      <c r="A4282" s="68">
        <v>37848</v>
      </c>
      <c r="B4282" s="33">
        <v>2864.81</v>
      </c>
      <c r="C4282">
        <f t="shared" si="96"/>
        <v>2003</v>
      </c>
    </row>
    <row r="4283" spans="1:3">
      <c r="A4283" s="68">
        <v>37849</v>
      </c>
      <c r="B4283" s="32">
        <v>2861.34</v>
      </c>
      <c r="C4283">
        <f t="shared" si="96"/>
        <v>2003</v>
      </c>
    </row>
    <row r="4284" spans="1:3">
      <c r="A4284" s="68">
        <v>37850</v>
      </c>
      <c r="B4284" s="33">
        <v>2861.34</v>
      </c>
      <c r="C4284">
        <f t="shared" si="96"/>
        <v>2003</v>
      </c>
    </row>
    <row r="4285" spans="1:3">
      <c r="A4285" s="68">
        <v>37851</v>
      </c>
      <c r="B4285" s="32">
        <v>2861.34</v>
      </c>
      <c r="C4285">
        <f t="shared" si="96"/>
        <v>2003</v>
      </c>
    </row>
    <row r="4286" spans="1:3">
      <c r="A4286" s="68">
        <v>37852</v>
      </c>
      <c r="B4286" s="33">
        <v>2861.34</v>
      </c>
      <c r="C4286">
        <f t="shared" si="96"/>
        <v>2003</v>
      </c>
    </row>
    <row r="4287" spans="1:3">
      <c r="A4287" s="68">
        <v>37853</v>
      </c>
      <c r="B4287" s="32">
        <v>2869.29</v>
      </c>
      <c r="C4287">
        <f t="shared" si="96"/>
        <v>2003</v>
      </c>
    </row>
    <row r="4288" spans="1:3">
      <c r="A4288" s="68">
        <v>37854</v>
      </c>
      <c r="B4288" s="33">
        <v>2861.63</v>
      </c>
      <c r="C4288">
        <f t="shared" si="96"/>
        <v>2003</v>
      </c>
    </row>
    <row r="4289" spans="1:3">
      <c r="A4289" s="68">
        <v>37855</v>
      </c>
      <c r="B4289" s="32">
        <v>2853.56</v>
      </c>
      <c r="C4289">
        <f t="shared" si="96"/>
        <v>2003</v>
      </c>
    </row>
    <row r="4290" spans="1:3">
      <c r="A4290" s="68">
        <v>37856</v>
      </c>
      <c r="B4290" s="33">
        <v>2841.25</v>
      </c>
      <c r="C4290">
        <f t="shared" si="96"/>
        <v>2003</v>
      </c>
    </row>
    <row r="4291" spans="1:3">
      <c r="A4291" s="68">
        <v>37857</v>
      </c>
      <c r="B4291" s="32">
        <v>2841.25</v>
      </c>
      <c r="C4291">
        <f t="shared" si="96"/>
        <v>2003</v>
      </c>
    </row>
    <row r="4292" spans="1:3">
      <c r="A4292" s="68">
        <v>37858</v>
      </c>
      <c r="B4292" s="33">
        <v>2841.25</v>
      </c>
      <c r="C4292">
        <f t="shared" ref="C4292:C4355" si="97">YEAR(A4292)</f>
        <v>2003</v>
      </c>
    </row>
    <row r="4293" spans="1:3">
      <c r="A4293" s="68">
        <v>37859</v>
      </c>
      <c r="B4293" s="32">
        <v>2843.66</v>
      </c>
      <c r="C4293">
        <f t="shared" si="97"/>
        <v>2003</v>
      </c>
    </row>
    <row r="4294" spans="1:3">
      <c r="A4294" s="68">
        <v>37860</v>
      </c>
      <c r="B4294" s="33">
        <v>2848.86</v>
      </c>
      <c r="C4294">
        <f t="shared" si="97"/>
        <v>2003</v>
      </c>
    </row>
    <row r="4295" spans="1:3">
      <c r="A4295" s="68">
        <v>37861</v>
      </c>
      <c r="B4295" s="32">
        <v>2850.89</v>
      </c>
      <c r="C4295">
        <f t="shared" si="97"/>
        <v>2003</v>
      </c>
    </row>
    <row r="4296" spans="1:3">
      <c r="A4296" s="68">
        <v>37862</v>
      </c>
      <c r="B4296" s="33">
        <v>2846.26</v>
      </c>
      <c r="C4296">
        <f t="shared" si="97"/>
        <v>2003</v>
      </c>
    </row>
    <row r="4297" spans="1:3">
      <c r="A4297" s="68">
        <v>37863</v>
      </c>
      <c r="B4297" s="32">
        <v>2832.94</v>
      </c>
      <c r="C4297">
        <f t="shared" si="97"/>
        <v>2003</v>
      </c>
    </row>
    <row r="4298" spans="1:3">
      <c r="A4298" s="68">
        <v>37864</v>
      </c>
      <c r="B4298" s="33">
        <v>2832.94</v>
      </c>
      <c r="C4298">
        <f t="shared" si="97"/>
        <v>2003</v>
      </c>
    </row>
    <row r="4299" spans="1:3">
      <c r="A4299" s="68">
        <v>37865</v>
      </c>
      <c r="B4299" s="32">
        <v>2832.94</v>
      </c>
      <c r="C4299">
        <f t="shared" si="97"/>
        <v>2003</v>
      </c>
    </row>
    <row r="4300" spans="1:3">
      <c r="A4300" s="68">
        <v>37866</v>
      </c>
      <c r="B4300" s="33">
        <v>2832.94</v>
      </c>
      <c r="C4300">
        <f t="shared" si="97"/>
        <v>2003</v>
      </c>
    </row>
    <row r="4301" spans="1:3">
      <c r="A4301" s="68">
        <v>37867</v>
      </c>
      <c r="B4301" s="32">
        <v>2841.02</v>
      </c>
      <c r="C4301">
        <f t="shared" si="97"/>
        <v>2003</v>
      </c>
    </row>
    <row r="4302" spans="1:3">
      <c r="A4302" s="68">
        <v>37868</v>
      </c>
      <c r="B4302" s="33">
        <v>2826.46</v>
      </c>
      <c r="C4302">
        <f t="shared" si="97"/>
        <v>2003</v>
      </c>
    </row>
    <row r="4303" spans="1:3">
      <c r="A4303" s="68">
        <v>37869</v>
      </c>
      <c r="B4303" s="32">
        <v>2816.74</v>
      </c>
      <c r="C4303">
        <f t="shared" si="97"/>
        <v>2003</v>
      </c>
    </row>
    <row r="4304" spans="1:3">
      <c r="A4304" s="68">
        <v>37870</v>
      </c>
      <c r="B4304" s="33">
        <v>2820.46</v>
      </c>
      <c r="C4304">
        <f t="shared" si="97"/>
        <v>2003</v>
      </c>
    </row>
    <row r="4305" spans="1:3">
      <c r="A4305" s="68">
        <v>37871</v>
      </c>
      <c r="B4305" s="32">
        <v>2820.46</v>
      </c>
      <c r="C4305">
        <f t="shared" si="97"/>
        <v>2003</v>
      </c>
    </row>
    <row r="4306" spans="1:3">
      <c r="A4306" s="68">
        <v>37872</v>
      </c>
      <c r="B4306" s="33">
        <v>2820.46</v>
      </c>
      <c r="C4306">
        <f t="shared" si="97"/>
        <v>2003</v>
      </c>
    </row>
    <row r="4307" spans="1:3">
      <c r="A4307" s="68">
        <v>37873</v>
      </c>
      <c r="B4307" s="32">
        <v>2822.85</v>
      </c>
      <c r="C4307">
        <f t="shared" si="97"/>
        <v>2003</v>
      </c>
    </row>
    <row r="4308" spans="1:3">
      <c r="A4308" s="68">
        <v>37874</v>
      </c>
      <c r="B4308" s="33">
        <v>2820.2</v>
      </c>
      <c r="C4308">
        <f t="shared" si="97"/>
        <v>2003</v>
      </c>
    </row>
    <row r="4309" spans="1:3">
      <c r="A4309" s="68">
        <v>37875</v>
      </c>
      <c r="B4309" s="32">
        <v>2825.28</v>
      </c>
      <c r="C4309">
        <f t="shared" si="97"/>
        <v>2003</v>
      </c>
    </row>
    <row r="4310" spans="1:3">
      <c r="A4310" s="68">
        <v>37876</v>
      </c>
      <c r="B4310" s="33">
        <v>2829.82</v>
      </c>
      <c r="C4310">
        <f t="shared" si="97"/>
        <v>2003</v>
      </c>
    </row>
    <row r="4311" spans="1:3">
      <c r="A4311" s="68">
        <v>37877</v>
      </c>
      <c r="B4311" s="32">
        <v>2824.88</v>
      </c>
      <c r="C4311">
        <f t="shared" si="97"/>
        <v>2003</v>
      </c>
    </row>
    <row r="4312" spans="1:3">
      <c r="A4312" s="68">
        <v>37878</v>
      </c>
      <c r="B4312" s="33">
        <v>2824.88</v>
      </c>
      <c r="C4312">
        <f t="shared" si="97"/>
        <v>2003</v>
      </c>
    </row>
    <row r="4313" spans="1:3">
      <c r="A4313" s="68">
        <v>37879</v>
      </c>
      <c r="B4313" s="32">
        <v>2824.88</v>
      </c>
      <c r="C4313">
        <f t="shared" si="97"/>
        <v>2003</v>
      </c>
    </row>
    <row r="4314" spans="1:3">
      <c r="A4314" s="68">
        <v>37880</v>
      </c>
      <c r="B4314" s="33">
        <v>2824.53</v>
      </c>
      <c r="C4314">
        <f t="shared" si="97"/>
        <v>2003</v>
      </c>
    </row>
    <row r="4315" spans="1:3">
      <c r="A4315" s="68">
        <v>37881</v>
      </c>
      <c r="B4315" s="32">
        <v>2823.79</v>
      </c>
      <c r="C4315">
        <f t="shared" si="97"/>
        <v>2003</v>
      </c>
    </row>
    <row r="4316" spans="1:3">
      <c r="A4316" s="68">
        <v>37882</v>
      </c>
      <c r="B4316" s="33">
        <v>2823.28</v>
      </c>
      <c r="C4316">
        <f t="shared" si="97"/>
        <v>2003</v>
      </c>
    </row>
    <row r="4317" spans="1:3">
      <c r="A4317" s="68">
        <v>37883</v>
      </c>
      <c r="B4317" s="32">
        <v>2833.64</v>
      </c>
      <c r="C4317">
        <f t="shared" si="97"/>
        <v>2003</v>
      </c>
    </row>
    <row r="4318" spans="1:3">
      <c r="A4318" s="68">
        <v>37884</v>
      </c>
      <c r="B4318" s="33">
        <v>2844.64</v>
      </c>
      <c r="C4318">
        <f t="shared" si="97"/>
        <v>2003</v>
      </c>
    </row>
    <row r="4319" spans="1:3">
      <c r="A4319" s="68">
        <v>37885</v>
      </c>
      <c r="B4319" s="32">
        <v>2844.64</v>
      </c>
      <c r="C4319">
        <f t="shared" si="97"/>
        <v>2003</v>
      </c>
    </row>
    <row r="4320" spans="1:3">
      <c r="A4320" s="68">
        <v>37886</v>
      </c>
      <c r="B4320" s="33">
        <v>2844.64</v>
      </c>
      <c r="C4320">
        <f t="shared" si="97"/>
        <v>2003</v>
      </c>
    </row>
    <row r="4321" spans="1:3">
      <c r="A4321" s="68">
        <v>37887</v>
      </c>
      <c r="B4321" s="32">
        <v>2859.37</v>
      </c>
      <c r="C4321">
        <f t="shared" si="97"/>
        <v>2003</v>
      </c>
    </row>
    <row r="4322" spans="1:3">
      <c r="A4322" s="68">
        <v>37888</v>
      </c>
      <c r="B4322" s="33">
        <v>2866.42</v>
      </c>
      <c r="C4322">
        <f t="shared" si="97"/>
        <v>2003</v>
      </c>
    </row>
    <row r="4323" spans="1:3">
      <c r="A4323" s="68">
        <v>37889</v>
      </c>
      <c r="B4323" s="32">
        <v>2872.3</v>
      </c>
      <c r="C4323">
        <f t="shared" si="97"/>
        <v>2003</v>
      </c>
    </row>
    <row r="4324" spans="1:3">
      <c r="A4324" s="68">
        <v>37890</v>
      </c>
      <c r="B4324" s="33">
        <v>2871.39</v>
      </c>
      <c r="C4324">
        <f t="shared" si="97"/>
        <v>2003</v>
      </c>
    </row>
    <row r="4325" spans="1:3">
      <c r="A4325" s="68">
        <v>37891</v>
      </c>
      <c r="B4325" s="32">
        <v>2879.32</v>
      </c>
      <c r="C4325">
        <f t="shared" si="97"/>
        <v>2003</v>
      </c>
    </row>
    <row r="4326" spans="1:3">
      <c r="A4326" s="68">
        <v>37892</v>
      </c>
      <c r="B4326" s="33">
        <v>2879.32</v>
      </c>
      <c r="C4326">
        <f t="shared" si="97"/>
        <v>2003</v>
      </c>
    </row>
    <row r="4327" spans="1:3">
      <c r="A4327" s="68">
        <v>37893</v>
      </c>
      <c r="B4327" s="32">
        <v>2879.32</v>
      </c>
      <c r="C4327">
        <f t="shared" si="97"/>
        <v>2003</v>
      </c>
    </row>
    <row r="4328" spans="1:3">
      <c r="A4328" s="68">
        <v>37894</v>
      </c>
      <c r="B4328" s="33">
        <v>2889.39</v>
      </c>
      <c r="C4328">
        <f t="shared" si="97"/>
        <v>2003</v>
      </c>
    </row>
    <row r="4329" spans="1:3">
      <c r="A4329" s="68">
        <v>37895</v>
      </c>
      <c r="B4329" s="32">
        <v>2888.21</v>
      </c>
      <c r="C4329">
        <f t="shared" si="97"/>
        <v>2003</v>
      </c>
    </row>
    <row r="4330" spans="1:3">
      <c r="A4330" s="68">
        <v>37896</v>
      </c>
      <c r="B4330" s="33">
        <v>2907.41</v>
      </c>
      <c r="C4330">
        <f t="shared" si="97"/>
        <v>2003</v>
      </c>
    </row>
    <row r="4331" spans="1:3">
      <c r="A4331" s="68">
        <v>37897</v>
      </c>
      <c r="B4331" s="32">
        <v>2905.12</v>
      </c>
      <c r="C4331">
        <f t="shared" si="97"/>
        <v>2003</v>
      </c>
    </row>
    <row r="4332" spans="1:3">
      <c r="A4332" s="68">
        <v>37898</v>
      </c>
      <c r="B4332" s="33">
        <v>2881.88</v>
      </c>
      <c r="C4332">
        <f t="shared" si="97"/>
        <v>2003</v>
      </c>
    </row>
    <row r="4333" spans="1:3">
      <c r="A4333" s="68">
        <v>37899</v>
      </c>
      <c r="B4333" s="32">
        <v>2881.88</v>
      </c>
      <c r="C4333">
        <f t="shared" si="97"/>
        <v>2003</v>
      </c>
    </row>
    <row r="4334" spans="1:3">
      <c r="A4334" s="68">
        <v>37900</v>
      </c>
      <c r="B4334" s="33">
        <v>2881.88</v>
      </c>
      <c r="C4334">
        <f t="shared" si="97"/>
        <v>2003</v>
      </c>
    </row>
    <row r="4335" spans="1:3">
      <c r="A4335" s="68">
        <v>37901</v>
      </c>
      <c r="B4335" s="32">
        <v>2872.7</v>
      </c>
      <c r="C4335">
        <f t="shared" si="97"/>
        <v>2003</v>
      </c>
    </row>
    <row r="4336" spans="1:3">
      <c r="A4336" s="68">
        <v>37902</v>
      </c>
      <c r="B4336" s="33">
        <v>2868.91</v>
      </c>
      <c r="C4336">
        <f t="shared" si="97"/>
        <v>2003</v>
      </c>
    </row>
    <row r="4337" spans="1:3">
      <c r="A4337" s="68">
        <v>37903</v>
      </c>
      <c r="B4337" s="32">
        <v>2887.59</v>
      </c>
      <c r="C4337">
        <f t="shared" si="97"/>
        <v>2003</v>
      </c>
    </row>
    <row r="4338" spans="1:3">
      <c r="A4338" s="68">
        <v>37904</v>
      </c>
      <c r="B4338" s="33">
        <v>2878.39</v>
      </c>
      <c r="C4338">
        <f t="shared" si="97"/>
        <v>2003</v>
      </c>
    </row>
    <row r="4339" spans="1:3">
      <c r="A4339" s="68">
        <v>37905</v>
      </c>
      <c r="B4339" s="32">
        <v>2868.85</v>
      </c>
      <c r="C4339">
        <f t="shared" si="97"/>
        <v>2003</v>
      </c>
    </row>
    <row r="4340" spans="1:3">
      <c r="A4340" s="68">
        <v>37906</v>
      </c>
      <c r="B4340" s="33">
        <v>2868.85</v>
      </c>
      <c r="C4340">
        <f t="shared" si="97"/>
        <v>2003</v>
      </c>
    </row>
    <row r="4341" spans="1:3">
      <c r="A4341" s="68">
        <v>37907</v>
      </c>
      <c r="B4341" s="32">
        <v>2868.85</v>
      </c>
      <c r="C4341">
        <f t="shared" si="97"/>
        <v>2003</v>
      </c>
    </row>
    <row r="4342" spans="1:3">
      <c r="A4342" s="68">
        <v>37908</v>
      </c>
      <c r="B4342" s="33">
        <v>2868.85</v>
      </c>
      <c r="C4342">
        <f t="shared" si="97"/>
        <v>2003</v>
      </c>
    </row>
    <row r="4343" spans="1:3">
      <c r="A4343" s="68">
        <v>37909</v>
      </c>
      <c r="B4343" s="32">
        <v>2865.32</v>
      </c>
      <c r="C4343">
        <f t="shared" si="97"/>
        <v>2003</v>
      </c>
    </row>
    <row r="4344" spans="1:3">
      <c r="A4344" s="68">
        <v>37910</v>
      </c>
      <c r="B4344" s="33">
        <v>2873.7</v>
      </c>
      <c r="C4344">
        <f t="shared" si="97"/>
        <v>2003</v>
      </c>
    </row>
    <row r="4345" spans="1:3">
      <c r="A4345" s="68">
        <v>37911</v>
      </c>
      <c r="B4345" s="32">
        <v>2867.75</v>
      </c>
      <c r="C4345">
        <f t="shared" si="97"/>
        <v>2003</v>
      </c>
    </row>
    <row r="4346" spans="1:3">
      <c r="A4346" s="68">
        <v>37912</v>
      </c>
      <c r="B4346" s="33">
        <v>2865.04</v>
      </c>
      <c r="C4346">
        <f t="shared" si="97"/>
        <v>2003</v>
      </c>
    </row>
    <row r="4347" spans="1:3">
      <c r="A4347" s="68">
        <v>37913</v>
      </c>
      <c r="B4347" s="32">
        <v>2865.04</v>
      </c>
      <c r="C4347">
        <f t="shared" si="97"/>
        <v>2003</v>
      </c>
    </row>
    <row r="4348" spans="1:3">
      <c r="A4348" s="68">
        <v>37914</v>
      </c>
      <c r="B4348" s="33">
        <v>2865.04</v>
      </c>
      <c r="C4348">
        <f t="shared" si="97"/>
        <v>2003</v>
      </c>
    </row>
    <row r="4349" spans="1:3">
      <c r="A4349" s="68">
        <v>37915</v>
      </c>
      <c r="B4349" s="32">
        <v>2864.34</v>
      </c>
      <c r="C4349">
        <f t="shared" si="97"/>
        <v>2003</v>
      </c>
    </row>
    <row r="4350" spans="1:3">
      <c r="A4350" s="68">
        <v>37916</v>
      </c>
      <c r="B4350" s="33">
        <v>2864.25</v>
      </c>
      <c r="C4350">
        <f t="shared" si="97"/>
        <v>2003</v>
      </c>
    </row>
    <row r="4351" spans="1:3">
      <c r="A4351" s="68">
        <v>37917</v>
      </c>
      <c r="B4351" s="32">
        <v>2870.01</v>
      </c>
      <c r="C4351">
        <f t="shared" si="97"/>
        <v>2003</v>
      </c>
    </row>
    <row r="4352" spans="1:3">
      <c r="A4352" s="68">
        <v>37918</v>
      </c>
      <c r="B4352" s="33">
        <v>2872.55</v>
      </c>
      <c r="C4352">
        <f t="shared" si="97"/>
        <v>2003</v>
      </c>
    </row>
    <row r="4353" spans="1:3">
      <c r="A4353" s="68">
        <v>37919</v>
      </c>
      <c r="B4353" s="32">
        <v>2857.88</v>
      </c>
      <c r="C4353">
        <f t="shared" si="97"/>
        <v>2003</v>
      </c>
    </row>
    <row r="4354" spans="1:3">
      <c r="A4354" s="68">
        <v>37920</v>
      </c>
      <c r="B4354" s="33">
        <v>2857.88</v>
      </c>
      <c r="C4354">
        <f t="shared" si="97"/>
        <v>2003</v>
      </c>
    </row>
    <row r="4355" spans="1:3">
      <c r="A4355" s="68">
        <v>37921</v>
      </c>
      <c r="B4355" s="32">
        <v>2857.88</v>
      </c>
      <c r="C4355">
        <f t="shared" si="97"/>
        <v>2003</v>
      </c>
    </row>
    <row r="4356" spans="1:3">
      <c r="A4356" s="68">
        <v>37922</v>
      </c>
      <c r="B4356" s="33">
        <v>2882.77</v>
      </c>
      <c r="C4356">
        <f t="shared" ref="C4356:C4419" si="98">YEAR(A4356)</f>
        <v>2003</v>
      </c>
    </row>
    <row r="4357" spans="1:3">
      <c r="A4357" s="68">
        <v>37923</v>
      </c>
      <c r="B4357" s="32">
        <v>2879.34</v>
      </c>
      <c r="C4357">
        <f t="shared" si="98"/>
        <v>2003</v>
      </c>
    </row>
    <row r="4358" spans="1:3">
      <c r="A4358" s="68">
        <v>37924</v>
      </c>
      <c r="B4358" s="33">
        <v>2870.11</v>
      </c>
      <c r="C4358">
        <f t="shared" si="98"/>
        <v>2003</v>
      </c>
    </row>
    <row r="4359" spans="1:3">
      <c r="A4359" s="68">
        <v>37925</v>
      </c>
      <c r="B4359" s="32">
        <v>2884.17</v>
      </c>
      <c r="C4359">
        <f t="shared" si="98"/>
        <v>2003</v>
      </c>
    </row>
    <row r="4360" spans="1:3">
      <c r="A4360" s="68">
        <v>37926</v>
      </c>
      <c r="B4360" s="33">
        <v>2878.05</v>
      </c>
      <c r="C4360">
        <f t="shared" si="98"/>
        <v>2003</v>
      </c>
    </row>
    <row r="4361" spans="1:3">
      <c r="A4361" s="68">
        <v>37927</v>
      </c>
      <c r="B4361" s="32">
        <v>2878.05</v>
      </c>
      <c r="C4361">
        <f t="shared" si="98"/>
        <v>2003</v>
      </c>
    </row>
    <row r="4362" spans="1:3">
      <c r="A4362" s="68">
        <v>37928</v>
      </c>
      <c r="B4362" s="33">
        <v>2878.05</v>
      </c>
      <c r="C4362">
        <f t="shared" si="98"/>
        <v>2003</v>
      </c>
    </row>
    <row r="4363" spans="1:3">
      <c r="A4363" s="68">
        <v>37929</v>
      </c>
      <c r="B4363" s="32">
        <v>2878.05</v>
      </c>
      <c r="C4363">
        <f t="shared" si="98"/>
        <v>2003</v>
      </c>
    </row>
    <row r="4364" spans="1:3">
      <c r="A4364" s="68">
        <v>37930</v>
      </c>
      <c r="B4364" s="33">
        <v>2869.46</v>
      </c>
      <c r="C4364">
        <f t="shared" si="98"/>
        <v>2003</v>
      </c>
    </row>
    <row r="4365" spans="1:3">
      <c r="A4365" s="68">
        <v>37931</v>
      </c>
      <c r="B4365" s="32">
        <v>2856.34</v>
      </c>
      <c r="C4365">
        <f t="shared" si="98"/>
        <v>2003</v>
      </c>
    </row>
    <row r="4366" spans="1:3">
      <c r="A4366" s="68">
        <v>37932</v>
      </c>
      <c r="B4366" s="33">
        <v>2854.17</v>
      </c>
      <c r="C4366">
        <f t="shared" si="98"/>
        <v>2003</v>
      </c>
    </row>
    <row r="4367" spans="1:3">
      <c r="A4367" s="68">
        <v>37933</v>
      </c>
      <c r="B4367" s="32">
        <v>2843.82</v>
      </c>
      <c r="C4367">
        <f t="shared" si="98"/>
        <v>2003</v>
      </c>
    </row>
    <row r="4368" spans="1:3">
      <c r="A4368" s="68">
        <v>37934</v>
      </c>
      <c r="B4368" s="33">
        <v>2843.82</v>
      </c>
      <c r="C4368">
        <f t="shared" si="98"/>
        <v>2003</v>
      </c>
    </row>
    <row r="4369" spans="1:3">
      <c r="A4369" s="68">
        <v>37935</v>
      </c>
      <c r="B4369" s="32">
        <v>2843.82</v>
      </c>
      <c r="C4369">
        <f t="shared" si="98"/>
        <v>2003</v>
      </c>
    </row>
    <row r="4370" spans="1:3">
      <c r="A4370" s="68">
        <v>37936</v>
      </c>
      <c r="B4370" s="33">
        <v>2840.41</v>
      </c>
      <c r="C4370">
        <f t="shared" si="98"/>
        <v>2003</v>
      </c>
    </row>
    <row r="4371" spans="1:3">
      <c r="A4371" s="68">
        <v>37937</v>
      </c>
      <c r="B4371" s="32">
        <v>2840.41</v>
      </c>
      <c r="C4371">
        <f t="shared" si="98"/>
        <v>2003</v>
      </c>
    </row>
    <row r="4372" spans="1:3">
      <c r="A4372" s="68">
        <v>37938</v>
      </c>
      <c r="B4372" s="33">
        <v>2845.69</v>
      </c>
      <c r="C4372">
        <f t="shared" si="98"/>
        <v>2003</v>
      </c>
    </row>
    <row r="4373" spans="1:3">
      <c r="A4373" s="68">
        <v>37939</v>
      </c>
      <c r="B4373" s="32">
        <v>2850.24</v>
      </c>
      <c r="C4373">
        <f t="shared" si="98"/>
        <v>2003</v>
      </c>
    </row>
    <row r="4374" spans="1:3">
      <c r="A4374" s="68">
        <v>37940</v>
      </c>
      <c r="B4374" s="33">
        <v>2842.53</v>
      </c>
      <c r="C4374">
        <f t="shared" si="98"/>
        <v>2003</v>
      </c>
    </row>
    <row r="4375" spans="1:3">
      <c r="A4375" s="68">
        <v>37941</v>
      </c>
      <c r="B4375" s="32">
        <v>2842.53</v>
      </c>
      <c r="C4375">
        <f t="shared" si="98"/>
        <v>2003</v>
      </c>
    </row>
    <row r="4376" spans="1:3">
      <c r="A4376" s="68">
        <v>37942</v>
      </c>
      <c r="B4376" s="33">
        <v>2842.53</v>
      </c>
      <c r="C4376">
        <f t="shared" si="98"/>
        <v>2003</v>
      </c>
    </row>
    <row r="4377" spans="1:3">
      <c r="A4377" s="68">
        <v>37943</v>
      </c>
      <c r="B4377" s="32">
        <v>2842.53</v>
      </c>
      <c r="C4377">
        <f t="shared" si="98"/>
        <v>2003</v>
      </c>
    </row>
    <row r="4378" spans="1:3">
      <c r="A4378" s="68">
        <v>37944</v>
      </c>
      <c r="B4378" s="33">
        <v>2831.97</v>
      </c>
      <c r="C4378">
        <f t="shared" si="98"/>
        <v>2003</v>
      </c>
    </row>
    <row r="4379" spans="1:3">
      <c r="A4379" s="68">
        <v>37945</v>
      </c>
      <c r="B4379" s="32">
        <v>2826.6</v>
      </c>
      <c r="C4379">
        <f t="shared" si="98"/>
        <v>2003</v>
      </c>
    </row>
    <row r="4380" spans="1:3">
      <c r="A4380" s="68">
        <v>37946</v>
      </c>
      <c r="B4380" s="33">
        <v>2831.1</v>
      </c>
      <c r="C4380">
        <f t="shared" si="98"/>
        <v>2003</v>
      </c>
    </row>
    <row r="4381" spans="1:3">
      <c r="A4381" s="68">
        <v>37947</v>
      </c>
      <c r="B4381" s="32">
        <v>2836.45</v>
      </c>
      <c r="C4381">
        <f t="shared" si="98"/>
        <v>2003</v>
      </c>
    </row>
    <row r="4382" spans="1:3">
      <c r="A4382" s="68">
        <v>37948</v>
      </c>
      <c r="B4382" s="33">
        <v>2836.45</v>
      </c>
      <c r="C4382">
        <f t="shared" si="98"/>
        <v>2003</v>
      </c>
    </row>
    <row r="4383" spans="1:3">
      <c r="A4383" s="68">
        <v>37949</v>
      </c>
      <c r="B4383" s="32">
        <v>2836.45</v>
      </c>
      <c r="C4383">
        <f t="shared" si="98"/>
        <v>2003</v>
      </c>
    </row>
    <row r="4384" spans="1:3">
      <c r="A4384" s="68">
        <v>37950</v>
      </c>
      <c r="B4384" s="33">
        <v>2838.02</v>
      </c>
      <c r="C4384">
        <f t="shared" si="98"/>
        <v>2003</v>
      </c>
    </row>
    <row r="4385" spans="1:3">
      <c r="A4385" s="68">
        <v>37951</v>
      </c>
      <c r="B4385" s="32">
        <v>2839.2</v>
      </c>
      <c r="C4385">
        <f t="shared" si="98"/>
        <v>2003</v>
      </c>
    </row>
    <row r="4386" spans="1:3">
      <c r="A4386" s="68">
        <v>37952</v>
      </c>
      <c r="B4386" s="33">
        <v>2838.7</v>
      </c>
      <c r="C4386">
        <f t="shared" si="98"/>
        <v>2003</v>
      </c>
    </row>
    <row r="4387" spans="1:3">
      <c r="A4387" s="68">
        <v>37953</v>
      </c>
      <c r="B4387" s="32">
        <v>2838.7</v>
      </c>
      <c r="C4387">
        <f t="shared" si="98"/>
        <v>2003</v>
      </c>
    </row>
    <row r="4388" spans="1:3">
      <c r="A4388" s="68">
        <v>37954</v>
      </c>
      <c r="B4388" s="33">
        <v>2836.05</v>
      </c>
      <c r="C4388">
        <f t="shared" si="98"/>
        <v>2003</v>
      </c>
    </row>
    <row r="4389" spans="1:3">
      <c r="A4389" s="68">
        <v>37955</v>
      </c>
      <c r="B4389" s="32">
        <v>2836.05</v>
      </c>
      <c r="C4389">
        <f t="shared" si="98"/>
        <v>2003</v>
      </c>
    </row>
    <row r="4390" spans="1:3">
      <c r="A4390" s="68">
        <v>37956</v>
      </c>
      <c r="B4390" s="33">
        <v>2836.05</v>
      </c>
      <c r="C4390">
        <f t="shared" si="98"/>
        <v>2003</v>
      </c>
    </row>
    <row r="4391" spans="1:3">
      <c r="A4391" s="68">
        <v>37957</v>
      </c>
      <c r="B4391" s="32">
        <v>2829.08</v>
      </c>
      <c r="C4391">
        <f t="shared" si="98"/>
        <v>2003</v>
      </c>
    </row>
    <row r="4392" spans="1:3">
      <c r="A4392" s="68">
        <v>37958</v>
      </c>
      <c r="B4392" s="33">
        <v>2817.14</v>
      </c>
      <c r="C4392">
        <f t="shared" si="98"/>
        <v>2003</v>
      </c>
    </row>
    <row r="4393" spans="1:3">
      <c r="A4393" s="68">
        <v>37959</v>
      </c>
      <c r="B4393" s="32">
        <v>2815.19</v>
      </c>
      <c r="C4393">
        <f t="shared" si="98"/>
        <v>2003</v>
      </c>
    </row>
    <row r="4394" spans="1:3">
      <c r="A4394" s="68">
        <v>37960</v>
      </c>
      <c r="B4394" s="33">
        <v>2815.33</v>
      </c>
      <c r="C4394">
        <f t="shared" si="98"/>
        <v>2003</v>
      </c>
    </row>
    <row r="4395" spans="1:3">
      <c r="A4395" s="68">
        <v>37961</v>
      </c>
      <c r="B4395" s="32">
        <v>2808.42</v>
      </c>
      <c r="C4395">
        <f t="shared" si="98"/>
        <v>2003</v>
      </c>
    </row>
    <row r="4396" spans="1:3">
      <c r="A4396" s="68">
        <v>37962</v>
      </c>
      <c r="B4396" s="33">
        <v>2808.42</v>
      </c>
      <c r="C4396">
        <f t="shared" si="98"/>
        <v>2003</v>
      </c>
    </row>
    <row r="4397" spans="1:3">
      <c r="A4397" s="68">
        <v>37963</v>
      </c>
      <c r="B4397" s="32">
        <v>2808.42</v>
      </c>
      <c r="C4397">
        <f t="shared" si="98"/>
        <v>2003</v>
      </c>
    </row>
    <row r="4398" spans="1:3">
      <c r="A4398" s="68">
        <v>37964</v>
      </c>
      <c r="B4398" s="33">
        <v>2808.42</v>
      </c>
      <c r="C4398">
        <f t="shared" si="98"/>
        <v>2003</v>
      </c>
    </row>
    <row r="4399" spans="1:3">
      <c r="A4399" s="68">
        <v>37965</v>
      </c>
      <c r="B4399" s="32">
        <v>2822.78</v>
      </c>
      <c r="C4399">
        <f t="shared" si="98"/>
        <v>2003</v>
      </c>
    </row>
    <row r="4400" spans="1:3">
      <c r="A4400" s="68">
        <v>37966</v>
      </c>
      <c r="B4400" s="33">
        <v>2815.45</v>
      </c>
      <c r="C4400">
        <f t="shared" si="98"/>
        <v>2003</v>
      </c>
    </row>
    <row r="4401" spans="1:3">
      <c r="A4401" s="68">
        <v>37967</v>
      </c>
      <c r="B4401" s="32">
        <v>2808.31</v>
      </c>
      <c r="C4401">
        <f t="shared" si="98"/>
        <v>2003</v>
      </c>
    </row>
    <row r="4402" spans="1:3">
      <c r="A4402" s="68">
        <v>37968</v>
      </c>
      <c r="B4402" s="33">
        <v>2812.81</v>
      </c>
      <c r="C4402">
        <f t="shared" si="98"/>
        <v>2003</v>
      </c>
    </row>
    <row r="4403" spans="1:3">
      <c r="A4403" s="68">
        <v>37969</v>
      </c>
      <c r="B4403" s="32">
        <v>2812.81</v>
      </c>
      <c r="C4403">
        <f t="shared" si="98"/>
        <v>2003</v>
      </c>
    </row>
    <row r="4404" spans="1:3">
      <c r="A4404" s="68">
        <v>37970</v>
      </c>
      <c r="B4404" s="33">
        <v>2812.81</v>
      </c>
      <c r="C4404">
        <f t="shared" si="98"/>
        <v>2003</v>
      </c>
    </row>
    <row r="4405" spans="1:3">
      <c r="A4405" s="68">
        <v>37971</v>
      </c>
      <c r="B4405" s="32">
        <v>2807.25</v>
      </c>
      <c r="C4405">
        <f t="shared" si="98"/>
        <v>2003</v>
      </c>
    </row>
    <row r="4406" spans="1:3">
      <c r="A4406" s="68">
        <v>37972</v>
      </c>
      <c r="B4406" s="33">
        <v>2793.06</v>
      </c>
      <c r="C4406">
        <f t="shared" si="98"/>
        <v>2003</v>
      </c>
    </row>
    <row r="4407" spans="1:3">
      <c r="A4407" s="68">
        <v>37973</v>
      </c>
      <c r="B4407" s="32">
        <v>2795.21</v>
      </c>
      <c r="C4407">
        <f t="shared" si="98"/>
        <v>2003</v>
      </c>
    </row>
    <row r="4408" spans="1:3">
      <c r="A4408" s="68">
        <v>37974</v>
      </c>
      <c r="B4408" s="33">
        <v>2801.67</v>
      </c>
      <c r="C4408">
        <f t="shared" si="98"/>
        <v>2003</v>
      </c>
    </row>
    <row r="4409" spans="1:3">
      <c r="A4409" s="68">
        <v>37975</v>
      </c>
      <c r="B4409" s="32">
        <v>2806.89</v>
      </c>
      <c r="C4409">
        <f t="shared" si="98"/>
        <v>2003</v>
      </c>
    </row>
    <row r="4410" spans="1:3">
      <c r="A4410" s="68">
        <v>37976</v>
      </c>
      <c r="B4410" s="33">
        <v>2806.89</v>
      </c>
      <c r="C4410">
        <f t="shared" si="98"/>
        <v>2003</v>
      </c>
    </row>
    <row r="4411" spans="1:3">
      <c r="A4411" s="68">
        <v>37977</v>
      </c>
      <c r="B4411" s="32">
        <v>2806.89</v>
      </c>
      <c r="C4411">
        <f t="shared" si="98"/>
        <v>2003</v>
      </c>
    </row>
    <row r="4412" spans="1:3">
      <c r="A4412" s="68">
        <v>37978</v>
      </c>
      <c r="B4412" s="33">
        <v>2809.09</v>
      </c>
      <c r="C4412">
        <f t="shared" si="98"/>
        <v>2003</v>
      </c>
    </row>
    <row r="4413" spans="1:3">
      <c r="A4413" s="68">
        <v>37979</v>
      </c>
      <c r="B4413" s="32">
        <v>2806.33</v>
      </c>
      <c r="C4413">
        <f t="shared" si="98"/>
        <v>2003</v>
      </c>
    </row>
    <row r="4414" spans="1:3">
      <c r="A4414" s="68">
        <v>37980</v>
      </c>
      <c r="B4414" s="33">
        <v>2796.89</v>
      </c>
      <c r="C4414">
        <f t="shared" si="98"/>
        <v>2003</v>
      </c>
    </row>
    <row r="4415" spans="1:3">
      <c r="A4415" s="68">
        <v>37981</v>
      </c>
      <c r="B4415" s="32">
        <v>2796.89</v>
      </c>
      <c r="C4415">
        <f t="shared" si="98"/>
        <v>2003</v>
      </c>
    </row>
    <row r="4416" spans="1:3">
      <c r="A4416" s="68">
        <v>37982</v>
      </c>
      <c r="B4416" s="33">
        <v>2795.21</v>
      </c>
      <c r="C4416">
        <f t="shared" si="98"/>
        <v>2003</v>
      </c>
    </row>
    <row r="4417" spans="1:3">
      <c r="A4417" s="68">
        <v>37983</v>
      </c>
      <c r="B4417" s="32">
        <v>2795.21</v>
      </c>
      <c r="C4417">
        <f t="shared" si="98"/>
        <v>2003</v>
      </c>
    </row>
    <row r="4418" spans="1:3">
      <c r="A4418" s="68">
        <v>37984</v>
      </c>
      <c r="B4418" s="33">
        <v>2795.21</v>
      </c>
      <c r="C4418">
        <f t="shared" si="98"/>
        <v>2003</v>
      </c>
    </row>
    <row r="4419" spans="1:3">
      <c r="A4419" s="68">
        <v>37985</v>
      </c>
      <c r="B4419" s="32">
        <v>2780.82</v>
      </c>
      <c r="C4419">
        <f t="shared" si="98"/>
        <v>2003</v>
      </c>
    </row>
    <row r="4420" spans="1:3">
      <c r="A4420" s="68">
        <v>37986</v>
      </c>
      <c r="B4420" s="33">
        <v>2778.21</v>
      </c>
      <c r="C4420">
        <f t="shared" ref="C4420:C4483" si="99">YEAR(A4420)</f>
        <v>2003</v>
      </c>
    </row>
    <row r="4421" spans="1:3">
      <c r="A4421" s="68">
        <v>37987</v>
      </c>
      <c r="B4421" s="32">
        <v>2778.21</v>
      </c>
      <c r="C4421">
        <f t="shared" si="99"/>
        <v>2004</v>
      </c>
    </row>
    <row r="4422" spans="1:3">
      <c r="A4422" s="68">
        <v>37988</v>
      </c>
      <c r="B4422" s="33">
        <v>2778.21</v>
      </c>
      <c r="C4422">
        <f t="shared" si="99"/>
        <v>2004</v>
      </c>
    </row>
    <row r="4423" spans="1:3">
      <c r="A4423" s="68">
        <v>37989</v>
      </c>
      <c r="B4423" s="32">
        <v>2777.96</v>
      </c>
      <c r="C4423">
        <f t="shared" si="99"/>
        <v>2004</v>
      </c>
    </row>
    <row r="4424" spans="1:3">
      <c r="A4424" s="68">
        <v>37990</v>
      </c>
      <c r="B4424" s="33">
        <v>2777.96</v>
      </c>
      <c r="C4424">
        <f t="shared" si="99"/>
        <v>2004</v>
      </c>
    </row>
    <row r="4425" spans="1:3">
      <c r="A4425" s="68">
        <v>37991</v>
      </c>
      <c r="B4425" s="32">
        <v>2777.96</v>
      </c>
      <c r="C4425">
        <f t="shared" si="99"/>
        <v>2004</v>
      </c>
    </row>
    <row r="4426" spans="1:3">
      <c r="A4426" s="68">
        <v>37992</v>
      </c>
      <c r="B4426" s="33">
        <v>2778.92</v>
      </c>
      <c r="C4426">
        <f t="shared" si="99"/>
        <v>2004</v>
      </c>
    </row>
    <row r="4427" spans="1:3">
      <c r="A4427" s="68">
        <v>37993</v>
      </c>
      <c r="B4427" s="32">
        <v>2765.76</v>
      </c>
      <c r="C4427">
        <f t="shared" si="99"/>
        <v>2004</v>
      </c>
    </row>
    <row r="4428" spans="1:3">
      <c r="A4428" s="68">
        <v>37994</v>
      </c>
      <c r="B4428" s="33">
        <v>2758.83</v>
      </c>
      <c r="C4428">
        <f t="shared" si="99"/>
        <v>2004</v>
      </c>
    </row>
    <row r="4429" spans="1:3">
      <c r="A4429" s="68">
        <v>37995</v>
      </c>
      <c r="B4429" s="32">
        <v>2750.89</v>
      </c>
      <c r="C4429">
        <f t="shared" si="99"/>
        <v>2004</v>
      </c>
    </row>
    <row r="4430" spans="1:3">
      <c r="A4430" s="68">
        <v>37996</v>
      </c>
      <c r="B4430" s="33">
        <v>2754.33</v>
      </c>
      <c r="C4430">
        <f t="shared" si="99"/>
        <v>2004</v>
      </c>
    </row>
    <row r="4431" spans="1:3">
      <c r="A4431" s="68">
        <v>37997</v>
      </c>
      <c r="B4431" s="32">
        <v>2754.33</v>
      </c>
      <c r="C4431">
        <f t="shared" si="99"/>
        <v>2004</v>
      </c>
    </row>
    <row r="4432" spans="1:3">
      <c r="A4432" s="68">
        <v>37998</v>
      </c>
      <c r="B4432" s="33">
        <v>2754.33</v>
      </c>
      <c r="C4432">
        <f t="shared" si="99"/>
        <v>2004</v>
      </c>
    </row>
    <row r="4433" spans="1:3">
      <c r="A4433" s="68">
        <v>37999</v>
      </c>
      <c r="B4433" s="32">
        <v>2754.33</v>
      </c>
      <c r="C4433">
        <f t="shared" si="99"/>
        <v>2004</v>
      </c>
    </row>
    <row r="4434" spans="1:3">
      <c r="A4434" s="68">
        <v>38000</v>
      </c>
      <c r="B4434" s="33">
        <v>2762.31</v>
      </c>
      <c r="C4434">
        <f t="shared" si="99"/>
        <v>2004</v>
      </c>
    </row>
    <row r="4435" spans="1:3">
      <c r="A4435" s="68">
        <v>38001</v>
      </c>
      <c r="B4435" s="32">
        <v>2747.06</v>
      </c>
      <c r="C4435">
        <f t="shared" si="99"/>
        <v>2004</v>
      </c>
    </row>
    <row r="4436" spans="1:3">
      <c r="A4436" s="68">
        <v>38002</v>
      </c>
      <c r="B4436" s="33">
        <v>2723.83</v>
      </c>
      <c r="C4436">
        <f t="shared" si="99"/>
        <v>2004</v>
      </c>
    </row>
    <row r="4437" spans="1:3">
      <c r="A4437" s="68">
        <v>38003</v>
      </c>
      <c r="B4437" s="32">
        <v>2728.7</v>
      </c>
      <c r="C4437">
        <f t="shared" si="99"/>
        <v>2004</v>
      </c>
    </row>
    <row r="4438" spans="1:3">
      <c r="A4438" s="68">
        <v>38004</v>
      </c>
      <c r="B4438" s="33">
        <v>2728.7</v>
      </c>
      <c r="C4438">
        <f t="shared" si="99"/>
        <v>2004</v>
      </c>
    </row>
    <row r="4439" spans="1:3">
      <c r="A4439" s="68">
        <v>38005</v>
      </c>
      <c r="B4439" s="32">
        <v>2728.7</v>
      </c>
      <c r="C4439">
        <f t="shared" si="99"/>
        <v>2004</v>
      </c>
    </row>
    <row r="4440" spans="1:3">
      <c r="A4440" s="68">
        <v>38006</v>
      </c>
      <c r="B4440" s="33">
        <v>2728.7</v>
      </c>
      <c r="C4440">
        <f t="shared" si="99"/>
        <v>2004</v>
      </c>
    </row>
    <row r="4441" spans="1:3">
      <c r="A4441" s="68">
        <v>38007</v>
      </c>
      <c r="B4441" s="32">
        <v>2730.75</v>
      </c>
      <c r="C4441">
        <f t="shared" si="99"/>
        <v>2004</v>
      </c>
    </row>
    <row r="4442" spans="1:3">
      <c r="A4442" s="68">
        <v>38008</v>
      </c>
      <c r="B4442" s="33">
        <v>2740.76</v>
      </c>
      <c r="C4442">
        <f t="shared" si="99"/>
        <v>2004</v>
      </c>
    </row>
    <row r="4443" spans="1:3">
      <c r="A4443" s="68">
        <v>38009</v>
      </c>
      <c r="B4443" s="32">
        <v>2742.88</v>
      </c>
      <c r="C4443">
        <f t="shared" si="99"/>
        <v>2004</v>
      </c>
    </row>
    <row r="4444" spans="1:3">
      <c r="A4444" s="68">
        <v>38010</v>
      </c>
      <c r="B4444" s="33">
        <v>2747.72</v>
      </c>
      <c r="C4444">
        <f t="shared" si="99"/>
        <v>2004</v>
      </c>
    </row>
    <row r="4445" spans="1:3">
      <c r="A4445" s="68">
        <v>38011</v>
      </c>
      <c r="B4445" s="32">
        <v>2747.72</v>
      </c>
      <c r="C4445">
        <f t="shared" si="99"/>
        <v>2004</v>
      </c>
    </row>
    <row r="4446" spans="1:3">
      <c r="A4446" s="68">
        <v>38012</v>
      </c>
      <c r="B4446" s="33">
        <v>2747.72</v>
      </c>
      <c r="C4446">
        <f t="shared" si="99"/>
        <v>2004</v>
      </c>
    </row>
    <row r="4447" spans="1:3">
      <c r="A4447" s="68">
        <v>38013</v>
      </c>
      <c r="B4447" s="32">
        <v>2766.89</v>
      </c>
      <c r="C4447">
        <f t="shared" si="99"/>
        <v>2004</v>
      </c>
    </row>
    <row r="4448" spans="1:3">
      <c r="A4448" s="68">
        <v>38014</v>
      </c>
      <c r="B4448" s="33">
        <v>2736.28</v>
      </c>
      <c r="C4448">
        <f t="shared" si="99"/>
        <v>2004</v>
      </c>
    </row>
    <row r="4449" spans="1:3">
      <c r="A4449" s="68">
        <v>38015</v>
      </c>
      <c r="B4449" s="32">
        <v>2721.56</v>
      </c>
      <c r="C4449">
        <f t="shared" si="99"/>
        <v>2004</v>
      </c>
    </row>
    <row r="4450" spans="1:3">
      <c r="A4450" s="68">
        <v>38016</v>
      </c>
      <c r="B4450" s="33">
        <v>2740.55</v>
      </c>
      <c r="C4450">
        <f t="shared" si="99"/>
        <v>2004</v>
      </c>
    </row>
    <row r="4451" spans="1:3">
      <c r="A4451" s="68">
        <v>38017</v>
      </c>
      <c r="B4451" s="32">
        <v>2742.47</v>
      </c>
      <c r="C4451">
        <f t="shared" si="99"/>
        <v>2004</v>
      </c>
    </row>
    <row r="4452" spans="1:3">
      <c r="A4452" s="68">
        <v>38018</v>
      </c>
      <c r="B4452" s="33">
        <v>2742.47</v>
      </c>
      <c r="C4452">
        <f t="shared" si="99"/>
        <v>2004</v>
      </c>
    </row>
    <row r="4453" spans="1:3">
      <c r="A4453" s="68">
        <v>38019</v>
      </c>
      <c r="B4453" s="32">
        <v>2742.47</v>
      </c>
      <c r="C4453">
        <f t="shared" si="99"/>
        <v>2004</v>
      </c>
    </row>
    <row r="4454" spans="1:3">
      <c r="A4454" s="68">
        <v>38020</v>
      </c>
      <c r="B4454" s="33">
        <v>2738.15</v>
      </c>
      <c r="C4454">
        <f t="shared" si="99"/>
        <v>2004</v>
      </c>
    </row>
    <row r="4455" spans="1:3">
      <c r="A4455" s="68">
        <v>38021</v>
      </c>
      <c r="B4455" s="32">
        <v>2747.28</v>
      </c>
      <c r="C4455">
        <f t="shared" si="99"/>
        <v>2004</v>
      </c>
    </row>
    <row r="4456" spans="1:3">
      <c r="A4456" s="68">
        <v>38022</v>
      </c>
      <c r="B4456" s="33">
        <v>2750.67</v>
      </c>
      <c r="C4456">
        <f t="shared" si="99"/>
        <v>2004</v>
      </c>
    </row>
    <row r="4457" spans="1:3">
      <c r="A4457" s="68">
        <v>38023</v>
      </c>
      <c r="B4457" s="32">
        <v>2748.9</v>
      </c>
      <c r="C4457">
        <f t="shared" si="99"/>
        <v>2004</v>
      </c>
    </row>
    <row r="4458" spans="1:3">
      <c r="A4458" s="68">
        <v>38024</v>
      </c>
      <c r="B4458" s="33">
        <v>2757.14</v>
      </c>
      <c r="C4458">
        <f t="shared" si="99"/>
        <v>2004</v>
      </c>
    </row>
    <row r="4459" spans="1:3">
      <c r="A4459" s="68">
        <v>38025</v>
      </c>
      <c r="B4459" s="32">
        <v>2757.14</v>
      </c>
      <c r="C4459">
        <f t="shared" si="99"/>
        <v>2004</v>
      </c>
    </row>
    <row r="4460" spans="1:3">
      <c r="A4460" s="68">
        <v>38026</v>
      </c>
      <c r="B4460" s="33">
        <v>2757.14</v>
      </c>
      <c r="C4460">
        <f t="shared" si="99"/>
        <v>2004</v>
      </c>
    </row>
    <row r="4461" spans="1:3">
      <c r="A4461" s="68">
        <v>38027</v>
      </c>
      <c r="B4461" s="32">
        <v>2741.17</v>
      </c>
      <c r="C4461">
        <f t="shared" si="99"/>
        <v>2004</v>
      </c>
    </row>
    <row r="4462" spans="1:3">
      <c r="A4462" s="68">
        <v>38028</v>
      </c>
      <c r="B4462" s="33">
        <v>2735.5</v>
      </c>
      <c r="C4462">
        <f t="shared" si="99"/>
        <v>2004</v>
      </c>
    </row>
    <row r="4463" spans="1:3">
      <c r="A4463" s="68">
        <v>38029</v>
      </c>
      <c r="B4463" s="32">
        <v>2736.94</v>
      </c>
      <c r="C4463">
        <f t="shared" si="99"/>
        <v>2004</v>
      </c>
    </row>
    <row r="4464" spans="1:3">
      <c r="A4464" s="68">
        <v>38030</v>
      </c>
      <c r="B4464" s="33">
        <v>2736.42</v>
      </c>
      <c r="C4464">
        <f t="shared" si="99"/>
        <v>2004</v>
      </c>
    </row>
    <row r="4465" spans="1:3">
      <c r="A4465" s="68">
        <v>38031</v>
      </c>
      <c r="B4465" s="32">
        <v>2724.36</v>
      </c>
      <c r="C4465">
        <f t="shared" si="99"/>
        <v>2004</v>
      </c>
    </row>
    <row r="4466" spans="1:3">
      <c r="A4466" s="68">
        <v>38032</v>
      </c>
      <c r="B4466" s="33">
        <v>2724.36</v>
      </c>
      <c r="C4466">
        <f t="shared" si="99"/>
        <v>2004</v>
      </c>
    </row>
    <row r="4467" spans="1:3">
      <c r="A4467" s="68">
        <v>38033</v>
      </c>
      <c r="B4467" s="32">
        <v>2724.36</v>
      </c>
      <c r="C4467">
        <f t="shared" si="99"/>
        <v>2004</v>
      </c>
    </row>
    <row r="4468" spans="1:3">
      <c r="A4468" s="68">
        <v>38034</v>
      </c>
      <c r="B4468" s="33">
        <v>2724.36</v>
      </c>
      <c r="C4468">
        <f t="shared" si="99"/>
        <v>2004</v>
      </c>
    </row>
    <row r="4469" spans="1:3">
      <c r="A4469" s="68">
        <v>38035</v>
      </c>
      <c r="B4469" s="32">
        <v>2715.2</v>
      </c>
      <c r="C4469">
        <f t="shared" si="99"/>
        <v>2004</v>
      </c>
    </row>
    <row r="4470" spans="1:3">
      <c r="A4470" s="68">
        <v>38036</v>
      </c>
      <c r="B4470" s="33">
        <v>2697.66</v>
      </c>
      <c r="C4470">
        <f t="shared" si="99"/>
        <v>2004</v>
      </c>
    </row>
    <row r="4471" spans="1:3">
      <c r="A4471" s="68">
        <v>38037</v>
      </c>
      <c r="B4471" s="32">
        <v>2693.84</v>
      </c>
      <c r="C4471">
        <f t="shared" si="99"/>
        <v>2004</v>
      </c>
    </row>
    <row r="4472" spans="1:3">
      <c r="A4472" s="68">
        <v>38038</v>
      </c>
      <c r="B4472" s="33">
        <v>2700.19</v>
      </c>
      <c r="C4472">
        <f t="shared" si="99"/>
        <v>2004</v>
      </c>
    </row>
    <row r="4473" spans="1:3">
      <c r="A4473" s="68">
        <v>38039</v>
      </c>
      <c r="B4473" s="32">
        <v>2700.19</v>
      </c>
      <c r="C4473">
        <f t="shared" si="99"/>
        <v>2004</v>
      </c>
    </row>
    <row r="4474" spans="1:3">
      <c r="A4474" s="68">
        <v>38040</v>
      </c>
      <c r="B4474" s="33">
        <v>2700.19</v>
      </c>
      <c r="C4474">
        <f t="shared" si="99"/>
        <v>2004</v>
      </c>
    </row>
    <row r="4475" spans="1:3">
      <c r="A4475" s="68">
        <v>38041</v>
      </c>
      <c r="B4475" s="32">
        <v>2665.83</v>
      </c>
      <c r="C4475">
        <f t="shared" si="99"/>
        <v>2004</v>
      </c>
    </row>
    <row r="4476" spans="1:3">
      <c r="A4476" s="68">
        <v>38042</v>
      </c>
      <c r="B4476" s="33">
        <v>2651.94</v>
      </c>
      <c r="C4476">
        <f t="shared" si="99"/>
        <v>2004</v>
      </c>
    </row>
    <row r="4477" spans="1:3">
      <c r="A4477" s="68">
        <v>38043</v>
      </c>
      <c r="B4477" s="32">
        <v>2664.3</v>
      </c>
      <c r="C4477">
        <f t="shared" si="99"/>
        <v>2004</v>
      </c>
    </row>
    <row r="4478" spans="1:3">
      <c r="A4478" s="68">
        <v>38044</v>
      </c>
      <c r="B4478" s="33">
        <v>2686.54</v>
      </c>
      <c r="C4478">
        <f t="shared" si="99"/>
        <v>2004</v>
      </c>
    </row>
    <row r="4479" spans="1:3">
      <c r="A4479" s="68">
        <v>38045</v>
      </c>
      <c r="B4479" s="32">
        <v>2682.34</v>
      </c>
      <c r="C4479">
        <f t="shared" si="99"/>
        <v>2004</v>
      </c>
    </row>
    <row r="4480" spans="1:3">
      <c r="A4480" s="68">
        <v>38046</v>
      </c>
      <c r="B4480" s="33">
        <v>2682.34</v>
      </c>
      <c r="C4480">
        <f t="shared" si="99"/>
        <v>2004</v>
      </c>
    </row>
    <row r="4481" spans="1:3">
      <c r="A4481" s="68">
        <v>38047</v>
      </c>
      <c r="B4481" s="32">
        <v>2682.34</v>
      </c>
      <c r="C4481">
        <f t="shared" si="99"/>
        <v>2004</v>
      </c>
    </row>
    <row r="4482" spans="1:3">
      <c r="A4482" s="68">
        <v>38048</v>
      </c>
      <c r="B4482" s="33">
        <v>2662.81</v>
      </c>
      <c r="C4482">
        <f t="shared" si="99"/>
        <v>2004</v>
      </c>
    </row>
    <row r="4483" spans="1:3">
      <c r="A4483" s="68">
        <v>38049</v>
      </c>
      <c r="B4483" s="32">
        <v>2660.42</v>
      </c>
      <c r="C4483">
        <f t="shared" si="99"/>
        <v>2004</v>
      </c>
    </row>
    <row r="4484" spans="1:3">
      <c r="A4484" s="68">
        <v>38050</v>
      </c>
      <c r="B4484" s="33">
        <v>2670.97</v>
      </c>
      <c r="C4484">
        <f t="shared" ref="C4484:C4547" si="100">YEAR(A4484)</f>
        <v>2004</v>
      </c>
    </row>
    <row r="4485" spans="1:3">
      <c r="A4485" s="68">
        <v>38051</v>
      </c>
      <c r="B4485" s="32">
        <v>2676.41</v>
      </c>
      <c r="C4485">
        <f t="shared" si="100"/>
        <v>2004</v>
      </c>
    </row>
    <row r="4486" spans="1:3">
      <c r="A4486" s="68">
        <v>38052</v>
      </c>
      <c r="B4486" s="33">
        <v>2673.29</v>
      </c>
      <c r="C4486">
        <f t="shared" si="100"/>
        <v>2004</v>
      </c>
    </row>
    <row r="4487" spans="1:3">
      <c r="A4487" s="68">
        <v>38053</v>
      </c>
      <c r="B4487" s="32">
        <v>2673.29</v>
      </c>
      <c r="C4487">
        <f t="shared" si="100"/>
        <v>2004</v>
      </c>
    </row>
    <row r="4488" spans="1:3">
      <c r="A4488" s="68">
        <v>38054</v>
      </c>
      <c r="B4488" s="33">
        <v>2673.29</v>
      </c>
      <c r="C4488">
        <f t="shared" si="100"/>
        <v>2004</v>
      </c>
    </row>
    <row r="4489" spans="1:3">
      <c r="A4489" s="68">
        <v>38055</v>
      </c>
      <c r="B4489" s="32">
        <v>2675.65</v>
      </c>
      <c r="C4489">
        <f t="shared" si="100"/>
        <v>2004</v>
      </c>
    </row>
    <row r="4490" spans="1:3">
      <c r="A4490" s="68">
        <v>38056</v>
      </c>
      <c r="B4490" s="33">
        <v>2679.22</v>
      </c>
      <c r="C4490">
        <f t="shared" si="100"/>
        <v>2004</v>
      </c>
    </row>
    <row r="4491" spans="1:3">
      <c r="A4491" s="68">
        <v>38057</v>
      </c>
      <c r="B4491" s="32">
        <v>2685.17</v>
      </c>
      <c r="C4491">
        <f t="shared" si="100"/>
        <v>2004</v>
      </c>
    </row>
    <row r="4492" spans="1:3">
      <c r="A4492" s="68">
        <v>38058</v>
      </c>
      <c r="B4492" s="33">
        <v>2683.08</v>
      </c>
      <c r="C4492">
        <f t="shared" si="100"/>
        <v>2004</v>
      </c>
    </row>
    <row r="4493" spans="1:3">
      <c r="A4493" s="68">
        <v>38059</v>
      </c>
      <c r="B4493" s="32">
        <v>2669.48</v>
      </c>
      <c r="C4493">
        <f t="shared" si="100"/>
        <v>2004</v>
      </c>
    </row>
    <row r="4494" spans="1:3">
      <c r="A4494" s="68">
        <v>38060</v>
      </c>
      <c r="B4494" s="33">
        <v>2669.48</v>
      </c>
      <c r="C4494">
        <f t="shared" si="100"/>
        <v>2004</v>
      </c>
    </row>
    <row r="4495" spans="1:3">
      <c r="A4495" s="68">
        <v>38061</v>
      </c>
      <c r="B4495" s="32">
        <v>2669.48</v>
      </c>
      <c r="C4495">
        <f t="shared" si="100"/>
        <v>2004</v>
      </c>
    </row>
    <row r="4496" spans="1:3">
      <c r="A4496" s="68">
        <v>38062</v>
      </c>
      <c r="B4496" s="33">
        <v>2661.45</v>
      </c>
      <c r="C4496">
        <f t="shared" si="100"/>
        <v>2004</v>
      </c>
    </row>
    <row r="4497" spans="1:3">
      <c r="A4497" s="68">
        <v>38063</v>
      </c>
      <c r="B4497" s="32">
        <v>2648.97</v>
      </c>
      <c r="C4497">
        <f t="shared" si="100"/>
        <v>2004</v>
      </c>
    </row>
    <row r="4498" spans="1:3">
      <c r="A4498" s="68">
        <v>38064</v>
      </c>
      <c r="B4498" s="33">
        <v>2650.21</v>
      </c>
      <c r="C4498">
        <f t="shared" si="100"/>
        <v>2004</v>
      </c>
    </row>
    <row r="4499" spans="1:3">
      <c r="A4499" s="68">
        <v>38065</v>
      </c>
      <c r="B4499" s="32">
        <v>2669.07</v>
      </c>
      <c r="C4499">
        <f t="shared" si="100"/>
        <v>2004</v>
      </c>
    </row>
    <row r="4500" spans="1:3">
      <c r="A4500" s="68">
        <v>38066</v>
      </c>
      <c r="B4500" s="33">
        <v>2669.39</v>
      </c>
      <c r="C4500">
        <f t="shared" si="100"/>
        <v>2004</v>
      </c>
    </row>
    <row r="4501" spans="1:3">
      <c r="A4501" s="68">
        <v>38067</v>
      </c>
      <c r="B4501" s="32">
        <v>2669.39</v>
      </c>
      <c r="C4501">
        <f t="shared" si="100"/>
        <v>2004</v>
      </c>
    </row>
    <row r="4502" spans="1:3">
      <c r="A4502" s="68">
        <v>38068</v>
      </c>
      <c r="B4502" s="33">
        <v>2669.39</v>
      </c>
      <c r="C4502">
        <f t="shared" si="100"/>
        <v>2004</v>
      </c>
    </row>
    <row r="4503" spans="1:3">
      <c r="A4503" s="68">
        <v>38069</v>
      </c>
      <c r="B4503" s="32">
        <v>2669.39</v>
      </c>
      <c r="C4503">
        <f t="shared" si="100"/>
        <v>2004</v>
      </c>
    </row>
    <row r="4504" spans="1:3">
      <c r="A4504" s="68">
        <v>38070</v>
      </c>
      <c r="B4504" s="33">
        <v>2664.5</v>
      </c>
      <c r="C4504">
        <f t="shared" si="100"/>
        <v>2004</v>
      </c>
    </row>
    <row r="4505" spans="1:3">
      <c r="A4505" s="68">
        <v>38071</v>
      </c>
      <c r="B4505" s="32">
        <v>2667.05</v>
      </c>
      <c r="C4505">
        <f t="shared" si="100"/>
        <v>2004</v>
      </c>
    </row>
    <row r="4506" spans="1:3">
      <c r="A4506" s="68">
        <v>38072</v>
      </c>
      <c r="B4506" s="33">
        <v>2679.33</v>
      </c>
      <c r="C4506">
        <f t="shared" si="100"/>
        <v>2004</v>
      </c>
    </row>
    <row r="4507" spans="1:3">
      <c r="A4507" s="68">
        <v>38073</v>
      </c>
      <c r="B4507" s="32">
        <v>2673.68</v>
      </c>
      <c r="C4507">
        <f t="shared" si="100"/>
        <v>2004</v>
      </c>
    </row>
    <row r="4508" spans="1:3">
      <c r="A4508" s="68">
        <v>38074</v>
      </c>
      <c r="B4508" s="33">
        <v>2673.68</v>
      </c>
      <c r="C4508">
        <f t="shared" si="100"/>
        <v>2004</v>
      </c>
    </row>
    <row r="4509" spans="1:3">
      <c r="A4509" s="68">
        <v>38075</v>
      </c>
      <c r="B4509" s="32">
        <v>2673.68</v>
      </c>
      <c r="C4509">
        <f t="shared" si="100"/>
        <v>2004</v>
      </c>
    </row>
    <row r="4510" spans="1:3">
      <c r="A4510" s="68">
        <v>38076</v>
      </c>
      <c r="B4510" s="33">
        <v>2676.93</v>
      </c>
      <c r="C4510">
        <f t="shared" si="100"/>
        <v>2004</v>
      </c>
    </row>
    <row r="4511" spans="1:3">
      <c r="A4511" s="68">
        <v>38077</v>
      </c>
      <c r="B4511" s="32">
        <v>2678.16</v>
      </c>
      <c r="C4511">
        <f t="shared" si="100"/>
        <v>2004</v>
      </c>
    </row>
    <row r="4512" spans="1:3">
      <c r="A4512" s="68">
        <v>38078</v>
      </c>
      <c r="B4512" s="33">
        <v>2682.09</v>
      </c>
      <c r="C4512">
        <f t="shared" si="100"/>
        <v>2004</v>
      </c>
    </row>
    <row r="4513" spans="1:3">
      <c r="A4513" s="68">
        <v>38079</v>
      </c>
      <c r="B4513" s="32">
        <v>2671.01</v>
      </c>
      <c r="C4513">
        <f t="shared" si="100"/>
        <v>2004</v>
      </c>
    </row>
    <row r="4514" spans="1:3">
      <c r="A4514" s="68">
        <v>38080</v>
      </c>
      <c r="B4514" s="33">
        <v>2666.55</v>
      </c>
      <c r="C4514">
        <f t="shared" si="100"/>
        <v>2004</v>
      </c>
    </row>
    <row r="4515" spans="1:3">
      <c r="A4515" s="68">
        <v>38081</v>
      </c>
      <c r="B4515" s="32">
        <v>2666.55</v>
      </c>
      <c r="C4515">
        <f t="shared" si="100"/>
        <v>2004</v>
      </c>
    </row>
    <row r="4516" spans="1:3">
      <c r="A4516" s="68">
        <v>38082</v>
      </c>
      <c r="B4516" s="33">
        <v>2666.55</v>
      </c>
      <c r="C4516">
        <f t="shared" si="100"/>
        <v>2004</v>
      </c>
    </row>
    <row r="4517" spans="1:3">
      <c r="A4517" s="68">
        <v>38083</v>
      </c>
      <c r="B4517" s="32">
        <v>2667.06</v>
      </c>
      <c r="C4517">
        <f t="shared" si="100"/>
        <v>2004</v>
      </c>
    </row>
    <row r="4518" spans="1:3">
      <c r="A4518" s="68">
        <v>38084</v>
      </c>
      <c r="B4518" s="33">
        <v>2663.05</v>
      </c>
      <c r="C4518">
        <f t="shared" si="100"/>
        <v>2004</v>
      </c>
    </row>
    <row r="4519" spans="1:3">
      <c r="A4519" s="68">
        <v>38085</v>
      </c>
      <c r="B4519" s="32">
        <v>2659.05</v>
      </c>
      <c r="C4519">
        <f t="shared" si="100"/>
        <v>2004</v>
      </c>
    </row>
    <row r="4520" spans="1:3">
      <c r="A4520" s="68">
        <v>38086</v>
      </c>
      <c r="B4520" s="33">
        <v>2659.05</v>
      </c>
      <c r="C4520">
        <f t="shared" si="100"/>
        <v>2004</v>
      </c>
    </row>
    <row r="4521" spans="1:3">
      <c r="A4521" s="68">
        <v>38087</v>
      </c>
      <c r="B4521" s="32">
        <v>2659.05</v>
      </c>
      <c r="C4521">
        <f t="shared" si="100"/>
        <v>2004</v>
      </c>
    </row>
    <row r="4522" spans="1:3">
      <c r="A4522" s="68">
        <v>38088</v>
      </c>
      <c r="B4522" s="33">
        <v>2659.05</v>
      </c>
      <c r="C4522">
        <f t="shared" si="100"/>
        <v>2004</v>
      </c>
    </row>
    <row r="4523" spans="1:3">
      <c r="A4523" s="68">
        <v>38089</v>
      </c>
      <c r="B4523" s="32">
        <v>2659.05</v>
      </c>
      <c r="C4523">
        <f t="shared" si="100"/>
        <v>2004</v>
      </c>
    </row>
    <row r="4524" spans="1:3">
      <c r="A4524" s="68">
        <v>38090</v>
      </c>
      <c r="B4524" s="33">
        <v>2648.8</v>
      </c>
      <c r="C4524">
        <f t="shared" si="100"/>
        <v>2004</v>
      </c>
    </row>
    <row r="4525" spans="1:3">
      <c r="A4525" s="68">
        <v>38091</v>
      </c>
      <c r="B4525" s="32">
        <v>2642.55</v>
      </c>
      <c r="C4525">
        <f t="shared" si="100"/>
        <v>2004</v>
      </c>
    </row>
    <row r="4526" spans="1:3">
      <c r="A4526" s="68">
        <v>38092</v>
      </c>
      <c r="B4526" s="33">
        <v>2631.72</v>
      </c>
      <c r="C4526">
        <f t="shared" si="100"/>
        <v>2004</v>
      </c>
    </row>
    <row r="4527" spans="1:3">
      <c r="A4527" s="68">
        <v>38093</v>
      </c>
      <c r="B4527" s="32">
        <v>2619.59</v>
      </c>
      <c r="C4527">
        <f t="shared" si="100"/>
        <v>2004</v>
      </c>
    </row>
    <row r="4528" spans="1:3">
      <c r="A4528" s="68">
        <v>38094</v>
      </c>
      <c r="B4528" s="33">
        <v>2620.19</v>
      </c>
      <c r="C4528">
        <f t="shared" si="100"/>
        <v>2004</v>
      </c>
    </row>
    <row r="4529" spans="1:3">
      <c r="A4529" s="68">
        <v>38095</v>
      </c>
      <c r="B4529" s="32">
        <v>2620.19</v>
      </c>
      <c r="C4529">
        <f t="shared" si="100"/>
        <v>2004</v>
      </c>
    </row>
    <row r="4530" spans="1:3">
      <c r="A4530" s="68">
        <v>38096</v>
      </c>
      <c r="B4530" s="33">
        <v>2620.19</v>
      </c>
      <c r="C4530">
        <f t="shared" si="100"/>
        <v>2004</v>
      </c>
    </row>
    <row r="4531" spans="1:3">
      <c r="A4531" s="68">
        <v>38097</v>
      </c>
      <c r="B4531" s="32">
        <v>2612.3000000000002</v>
      </c>
      <c r="C4531">
        <f t="shared" si="100"/>
        <v>2004</v>
      </c>
    </row>
    <row r="4532" spans="1:3">
      <c r="A4532" s="68">
        <v>38098</v>
      </c>
      <c r="B4532" s="33">
        <v>2620.94</v>
      </c>
      <c r="C4532">
        <f t="shared" si="100"/>
        <v>2004</v>
      </c>
    </row>
    <row r="4533" spans="1:3">
      <c r="A4533" s="68">
        <v>38099</v>
      </c>
      <c r="B4533" s="32">
        <v>2628.19</v>
      </c>
      <c r="C4533">
        <f t="shared" si="100"/>
        <v>2004</v>
      </c>
    </row>
    <row r="4534" spans="1:3">
      <c r="A4534" s="68">
        <v>38100</v>
      </c>
      <c r="B4534" s="33">
        <v>2618.21</v>
      </c>
      <c r="C4534">
        <f t="shared" si="100"/>
        <v>2004</v>
      </c>
    </row>
    <row r="4535" spans="1:3">
      <c r="A4535" s="68">
        <v>38101</v>
      </c>
      <c r="B4535" s="32">
        <v>2622.74</v>
      </c>
      <c r="C4535">
        <f t="shared" si="100"/>
        <v>2004</v>
      </c>
    </row>
    <row r="4536" spans="1:3">
      <c r="A4536" s="68">
        <v>38102</v>
      </c>
      <c r="B4536" s="33">
        <v>2622.74</v>
      </c>
      <c r="C4536">
        <f t="shared" si="100"/>
        <v>2004</v>
      </c>
    </row>
    <row r="4537" spans="1:3">
      <c r="A4537" s="68">
        <v>38103</v>
      </c>
      <c r="B4537" s="32">
        <v>2622.74</v>
      </c>
      <c r="C4537">
        <f t="shared" si="100"/>
        <v>2004</v>
      </c>
    </row>
    <row r="4538" spans="1:3">
      <c r="A4538" s="68">
        <v>38104</v>
      </c>
      <c r="B4538" s="33">
        <v>2613.94</v>
      </c>
      <c r="C4538">
        <f t="shared" si="100"/>
        <v>2004</v>
      </c>
    </row>
    <row r="4539" spans="1:3">
      <c r="A4539" s="68">
        <v>38105</v>
      </c>
      <c r="B4539" s="32">
        <v>2620.9699999999998</v>
      </c>
      <c r="C4539">
        <f t="shared" si="100"/>
        <v>2004</v>
      </c>
    </row>
    <row r="4540" spans="1:3">
      <c r="A4540" s="68">
        <v>38106</v>
      </c>
      <c r="B4540" s="33">
        <v>2635.96</v>
      </c>
      <c r="C4540">
        <f t="shared" si="100"/>
        <v>2004</v>
      </c>
    </row>
    <row r="4541" spans="1:3">
      <c r="A4541" s="68">
        <v>38107</v>
      </c>
      <c r="B4541" s="32">
        <v>2646.99</v>
      </c>
      <c r="C4541">
        <f t="shared" si="100"/>
        <v>2004</v>
      </c>
    </row>
    <row r="4542" spans="1:3">
      <c r="A4542" s="68">
        <v>38108</v>
      </c>
      <c r="B4542" s="33">
        <v>2655.18</v>
      </c>
      <c r="C4542">
        <f t="shared" si="100"/>
        <v>2004</v>
      </c>
    </row>
    <row r="4543" spans="1:3">
      <c r="A4543" s="68">
        <v>38109</v>
      </c>
      <c r="B4543" s="32">
        <v>2655.18</v>
      </c>
      <c r="C4543">
        <f t="shared" si="100"/>
        <v>2004</v>
      </c>
    </row>
    <row r="4544" spans="1:3">
      <c r="A4544" s="68">
        <v>38110</v>
      </c>
      <c r="B4544" s="33">
        <v>2655.18</v>
      </c>
      <c r="C4544">
        <f t="shared" si="100"/>
        <v>2004</v>
      </c>
    </row>
    <row r="4545" spans="1:3">
      <c r="A4545" s="68">
        <v>38111</v>
      </c>
      <c r="B4545" s="32">
        <v>2670.92</v>
      </c>
      <c r="C4545">
        <f t="shared" si="100"/>
        <v>2004</v>
      </c>
    </row>
    <row r="4546" spans="1:3">
      <c r="A4546" s="68">
        <v>38112</v>
      </c>
      <c r="B4546" s="33">
        <v>2664.79</v>
      </c>
      <c r="C4546">
        <f t="shared" si="100"/>
        <v>2004</v>
      </c>
    </row>
    <row r="4547" spans="1:3">
      <c r="A4547" s="68">
        <v>38113</v>
      </c>
      <c r="B4547" s="32">
        <v>2658.43</v>
      </c>
      <c r="C4547">
        <f t="shared" si="100"/>
        <v>2004</v>
      </c>
    </row>
    <row r="4548" spans="1:3">
      <c r="A4548" s="68">
        <v>38114</v>
      </c>
      <c r="B4548" s="33">
        <v>2690.68</v>
      </c>
      <c r="C4548">
        <f t="shared" ref="C4548:C4611" si="101">YEAR(A4548)</f>
        <v>2004</v>
      </c>
    </row>
    <row r="4549" spans="1:3">
      <c r="A4549" s="68">
        <v>38115</v>
      </c>
      <c r="B4549" s="32">
        <v>2708.02</v>
      </c>
      <c r="C4549">
        <f t="shared" si="101"/>
        <v>2004</v>
      </c>
    </row>
    <row r="4550" spans="1:3">
      <c r="A4550" s="68">
        <v>38116</v>
      </c>
      <c r="B4550" s="33">
        <v>2708.02</v>
      </c>
      <c r="C4550">
        <f t="shared" si="101"/>
        <v>2004</v>
      </c>
    </row>
    <row r="4551" spans="1:3">
      <c r="A4551" s="68">
        <v>38117</v>
      </c>
      <c r="B4551" s="32">
        <v>2708.02</v>
      </c>
      <c r="C4551">
        <f t="shared" si="101"/>
        <v>2004</v>
      </c>
    </row>
    <row r="4552" spans="1:3">
      <c r="A4552" s="68">
        <v>38118</v>
      </c>
      <c r="B4552" s="33">
        <v>2731.79</v>
      </c>
      <c r="C4552">
        <f t="shared" si="101"/>
        <v>2004</v>
      </c>
    </row>
    <row r="4553" spans="1:3">
      <c r="A4553" s="68">
        <v>38119</v>
      </c>
      <c r="B4553" s="32">
        <v>2729.54</v>
      </c>
      <c r="C4553">
        <f t="shared" si="101"/>
        <v>2004</v>
      </c>
    </row>
    <row r="4554" spans="1:3">
      <c r="A4554" s="68">
        <v>38120</v>
      </c>
      <c r="B4554" s="33">
        <v>2729.01</v>
      </c>
      <c r="C4554">
        <f t="shared" si="101"/>
        <v>2004</v>
      </c>
    </row>
    <row r="4555" spans="1:3">
      <c r="A4555" s="68">
        <v>38121</v>
      </c>
      <c r="B4555" s="32">
        <v>2741.66</v>
      </c>
      <c r="C4555">
        <f t="shared" si="101"/>
        <v>2004</v>
      </c>
    </row>
    <row r="4556" spans="1:3">
      <c r="A4556" s="68">
        <v>38122</v>
      </c>
      <c r="B4556" s="33">
        <v>2719.89</v>
      </c>
      <c r="C4556">
        <f t="shared" si="101"/>
        <v>2004</v>
      </c>
    </row>
    <row r="4557" spans="1:3">
      <c r="A4557" s="68">
        <v>38123</v>
      </c>
      <c r="B4557" s="32">
        <v>2719.89</v>
      </c>
      <c r="C4557">
        <f t="shared" si="101"/>
        <v>2004</v>
      </c>
    </row>
    <row r="4558" spans="1:3">
      <c r="A4558" s="68">
        <v>38124</v>
      </c>
      <c r="B4558" s="33">
        <v>2719.89</v>
      </c>
      <c r="C4558">
        <f t="shared" si="101"/>
        <v>2004</v>
      </c>
    </row>
    <row r="4559" spans="1:3">
      <c r="A4559" s="68">
        <v>38125</v>
      </c>
      <c r="B4559" s="32">
        <v>2713.3</v>
      </c>
      <c r="C4559">
        <f t="shared" si="101"/>
        <v>2004</v>
      </c>
    </row>
    <row r="4560" spans="1:3">
      <c r="A4560" s="68">
        <v>38126</v>
      </c>
      <c r="B4560" s="33">
        <v>2725.45</v>
      </c>
      <c r="C4560">
        <f t="shared" si="101"/>
        <v>2004</v>
      </c>
    </row>
    <row r="4561" spans="1:3">
      <c r="A4561" s="68">
        <v>38127</v>
      </c>
      <c r="B4561" s="32">
        <v>2737.55</v>
      </c>
      <c r="C4561">
        <f t="shared" si="101"/>
        <v>2004</v>
      </c>
    </row>
    <row r="4562" spans="1:3">
      <c r="A4562" s="68">
        <v>38128</v>
      </c>
      <c r="B4562" s="33">
        <v>2759.79</v>
      </c>
      <c r="C4562">
        <f t="shared" si="101"/>
        <v>2004</v>
      </c>
    </row>
    <row r="4563" spans="1:3">
      <c r="A4563" s="68">
        <v>38129</v>
      </c>
      <c r="B4563" s="32">
        <v>2766.83</v>
      </c>
      <c r="C4563">
        <f t="shared" si="101"/>
        <v>2004</v>
      </c>
    </row>
    <row r="4564" spans="1:3">
      <c r="A4564" s="68">
        <v>38130</v>
      </c>
      <c r="B4564" s="33">
        <v>2766.83</v>
      </c>
      <c r="C4564">
        <f t="shared" si="101"/>
        <v>2004</v>
      </c>
    </row>
    <row r="4565" spans="1:3">
      <c r="A4565" s="68">
        <v>38131</v>
      </c>
      <c r="B4565" s="32">
        <v>2766.83</v>
      </c>
      <c r="C4565">
        <f t="shared" si="101"/>
        <v>2004</v>
      </c>
    </row>
    <row r="4566" spans="1:3">
      <c r="A4566" s="68">
        <v>38132</v>
      </c>
      <c r="B4566" s="33">
        <v>2766.83</v>
      </c>
      <c r="C4566">
        <f t="shared" si="101"/>
        <v>2004</v>
      </c>
    </row>
    <row r="4567" spans="1:3">
      <c r="A4567" s="68">
        <v>38133</v>
      </c>
      <c r="B4567" s="32">
        <v>2760.06</v>
      </c>
      <c r="C4567">
        <f t="shared" si="101"/>
        <v>2004</v>
      </c>
    </row>
    <row r="4568" spans="1:3">
      <c r="A4568" s="68">
        <v>38134</v>
      </c>
      <c r="B4568" s="33">
        <v>2754.83</v>
      </c>
      <c r="C4568">
        <f t="shared" si="101"/>
        <v>2004</v>
      </c>
    </row>
    <row r="4569" spans="1:3">
      <c r="A4569" s="68">
        <v>38135</v>
      </c>
      <c r="B4569" s="32">
        <v>2745.91</v>
      </c>
      <c r="C4569">
        <f t="shared" si="101"/>
        <v>2004</v>
      </c>
    </row>
    <row r="4570" spans="1:3">
      <c r="A4570" s="68">
        <v>38136</v>
      </c>
      <c r="B4570" s="33">
        <v>2724.92</v>
      </c>
      <c r="C4570">
        <f t="shared" si="101"/>
        <v>2004</v>
      </c>
    </row>
    <row r="4571" spans="1:3">
      <c r="A4571" s="68">
        <v>38137</v>
      </c>
      <c r="B4571" s="32">
        <v>2724.92</v>
      </c>
      <c r="C4571">
        <f t="shared" si="101"/>
        <v>2004</v>
      </c>
    </row>
    <row r="4572" spans="1:3">
      <c r="A4572" s="68">
        <v>38138</v>
      </c>
      <c r="B4572" s="33">
        <v>2724.92</v>
      </c>
      <c r="C4572">
        <f t="shared" si="101"/>
        <v>2004</v>
      </c>
    </row>
    <row r="4573" spans="1:3">
      <c r="A4573" s="68">
        <v>38139</v>
      </c>
      <c r="B4573" s="32">
        <v>2724.92</v>
      </c>
      <c r="C4573">
        <f t="shared" si="101"/>
        <v>2004</v>
      </c>
    </row>
    <row r="4574" spans="1:3">
      <c r="A4574" s="68">
        <v>38140</v>
      </c>
      <c r="B4574" s="33">
        <v>2736.39</v>
      </c>
      <c r="C4574">
        <f t="shared" si="101"/>
        <v>2004</v>
      </c>
    </row>
    <row r="4575" spans="1:3">
      <c r="A4575" s="68">
        <v>38141</v>
      </c>
      <c r="B4575" s="32">
        <v>2727.68</v>
      </c>
      <c r="C4575">
        <f t="shared" si="101"/>
        <v>2004</v>
      </c>
    </row>
    <row r="4576" spans="1:3">
      <c r="A4576" s="68">
        <v>38142</v>
      </c>
      <c r="B4576" s="33">
        <v>2722.69</v>
      </c>
      <c r="C4576">
        <f t="shared" si="101"/>
        <v>2004</v>
      </c>
    </row>
    <row r="4577" spans="1:3">
      <c r="A4577" s="68">
        <v>38143</v>
      </c>
      <c r="B4577" s="32">
        <v>2715.37</v>
      </c>
      <c r="C4577">
        <f t="shared" si="101"/>
        <v>2004</v>
      </c>
    </row>
    <row r="4578" spans="1:3">
      <c r="A4578" s="68">
        <v>38144</v>
      </c>
      <c r="B4578" s="33">
        <v>2715.37</v>
      </c>
      <c r="C4578">
        <f t="shared" si="101"/>
        <v>2004</v>
      </c>
    </row>
    <row r="4579" spans="1:3">
      <c r="A4579" s="68">
        <v>38145</v>
      </c>
      <c r="B4579" s="32">
        <v>2715.37</v>
      </c>
      <c r="C4579">
        <f t="shared" si="101"/>
        <v>2004</v>
      </c>
    </row>
    <row r="4580" spans="1:3">
      <c r="A4580" s="68">
        <v>38146</v>
      </c>
      <c r="B4580" s="33">
        <v>2707.33</v>
      </c>
      <c r="C4580">
        <f t="shared" si="101"/>
        <v>2004</v>
      </c>
    </row>
    <row r="4581" spans="1:3">
      <c r="A4581" s="68">
        <v>38147</v>
      </c>
      <c r="B4581" s="32">
        <v>2705.97</v>
      </c>
      <c r="C4581">
        <f t="shared" si="101"/>
        <v>2004</v>
      </c>
    </row>
    <row r="4582" spans="1:3">
      <c r="A4582" s="68">
        <v>38148</v>
      </c>
      <c r="B4582" s="33">
        <v>2719.34</v>
      </c>
      <c r="C4582">
        <f t="shared" si="101"/>
        <v>2004</v>
      </c>
    </row>
    <row r="4583" spans="1:3">
      <c r="A4583" s="68">
        <v>38149</v>
      </c>
      <c r="B4583" s="32">
        <v>2732.4</v>
      </c>
      <c r="C4583">
        <f t="shared" si="101"/>
        <v>2004</v>
      </c>
    </row>
    <row r="4584" spans="1:3">
      <c r="A4584" s="68">
        <v>38150</v>
      </c>
      <c r="B4584" s="33">
        <v>2734.94</v>
      </c>
      <c r="C4584">
        <f t="shared" si="101"/>
        <v>2004</v>
      </c>
    </row>
    <row r="4585" spans="1:3">
      <c r="A4585" s="68">
        <v>38151</v>
      </c>
      <c r="B4585" s="32">
        <v>2734.94</v>
      </c>
      <c r="C4585">
        <f t="shared" si="101"/>
        <v>2004</v>
      </c>
    </row>
    <row r="4586" spans="1:3">
      <c r="A4586" s="68">
        <v>38152</v>
      </c>
      <c r="B4586" s="33">
        <v>2734.94</v>
      </c>
      <c r="C4586">
        <f t="shared" si="101"/>
        <v>2004</v>
      </c>
    </row>
    <row r="4587" spans="1:3">
      <c r="A4587" s="68">
        <v>38153</v>
      </c>
      <c r="B4587" s="32">
        <v>2734.94</v>
      </c>
      <c r="C4587">
        <f t="shared" si="101"/>
        <v>2004</v>
      </c>
    </row>
    <row r="4588" spans="1:3">
      <c r="A4588" s="68">
        <v>38154</v>
      </c>
      <c r="B4588" s="33">
        <v>2735.05</v>
      </c>
      <c r="C4588">
        <f t="shared" si="101"/>
        <v>2004</v>
      </c>
    </row>
    <row r="4589" spans="1:3">
      <c r="A4589" s="68">
        <v>38155</v>
      </c>
      <c r="B4589" s="32">
        <v>2725.87</v>
      </c>
      <c r="C4589">
        <f t="shared" si="101"/>
        <v>2004</v>
      </c>
    </row>
    <row r="4590" spans="1:3">
      <c r="A4590" s="68">
        <v>38156</v>
      </c>
      <c r="B4590" s="33">
        <v>2713.07</v>
      </c>
      <c r="C4590">
        <f t="shared" si="101"/>
        <v>2004</v>
      </c>
    </row>
    <row r="4591" spans="1:3">
      <c r="A4591" s="68">
        <v>38157</v>
      </c>
      <c r="B4591" s="32">
        <v>2710.99</v>
      </c>
      <c r="C4591">
        <f t="shared" si="101"/>
        <v>2004</v>
      </c>
    </row>
    <row r="4592" spans="1:3">
      <c r="A4592" s="68">
        <v>38158</v>
      </c>
      <c r="B4592" s="33">
        <v>2710.99</v>
      </c>
      <c r="C4592">
        <f t="shared" si="101"/>
        <v>2004</v>
      </c>
    </row>
    <row r="4593" spans="1:3">
      <c r="A4593" s="68">
        <v>38159</v>
      </c>
      <c r="B4593" s="32">
        <v>2710.99</v>
      </c>
      <c r="C4593">
        <f t="shared" si="101"/>
        <v>2004</v>
      </c>
    </row>
    <row r="4594" spans="1:3">
      <c r="A4594" s="68">
        <v>38160</v>
      </c>
      <c r="B4594" s="33">
        <v>2710.99</v>
      </c>
      <c r="C4594">
        <f t="shared" si="101"/>
        <v>2004</v>
      </c>
    </row>
    <row r="4595" spans="1:3">
      <c r="A4595" s="68">
        <v>38161</v>
      </c>
      <c r="B4595" s="32">
        <v>2709.3</v>
      </c>
      <c r="C4595">
        <f t="shared" si="101"/>
        <v>2004</v>
      </c>
    </row>
    <row r="4596" spans="1:3">
      <c r="A4596" s="68">
        <v>38162</v>
      </c>
      <c r="B4596" s="33">
        <v>2715.53</v>
      </c>
      <c r="C4596">
        <f t="shared" si="101"/>
        <v>2004</v>
      </c>
    </row>
    <row r="4597" spans="1:3">
      <c r="A4597" s="68">
        <v>38163</v>
      </c>
      <c r="B4597" s="32">
        <v>2702.6</v>
      </c>
      <c r="C4597">
        <f t="shared" si="101"/>
        <v>2004</v>
      </c>
    </row>
    <row r="4598" spans="1:3">
      <c r="A4598" s="68">
        <v>38164</v>
      </c>
      <c r="B4598" s="33">
        <v>2697.08</v>
      </c>
      <c r="C4598">
        <f t="shared" si="101"/>
        <v>2004</v>
      </c>
    </row>
    <row r="4599" spans="1:3">
      <c r="A4599" s="68">
        <v>38165</v>
      </c>
      <c r="B4599" s="32">
        <v>2697.08</v>
      </c>
      <c r="C4599">
        <f t="shared" si="101"/>
        <v>2004</v>
      </c>
    </row>
    <row r="4600" spans="1:3">
      <c r="A4600" s="68">
        <v>38166</v>
      </c>
      <c r="B4600" s="33">
        <v>2697.08</v>
      </c>
      <c r="C4600">
        <f t="shared" si="101"/>
        <v>2004</v>
      </c>
    </row>
    <row r="4601" spans="1:3">
      <c r="A4601" s="68">
        <v>38167</v>
      </c>
      <c r="B4601" s="32">
        <v>2695.02</v>
      </c>
      <c r="C4601">
        <f t="shared" si="101"/>
        <v>2004</v>
      </c>
    </row>
    <row r="4602" spans="1:3">
      <c r="A4602" s="68">
        <v>38168</v>
      </c>
      <c r="B4602" s="33">
        <v>2699.58</v>
      </c>
      <c r="C4602">
        <f t="shared" si="101"/>
        <v>2004</v>
      </c>
    </row>
    <row r="4603" spans="1:3">
      <c r="A4603" s="68">
        <v>38169</v>
      </c>
      <c r="B4603" s="32">
        <v>2694.09</v>
      </c>
      <c r="C4603">
        <f t="shared" si="101"/>
        <v>2004</v>
      </c>
    </row>
    <row r="4604" spans="1:3">
      <c r="A4604" s="68">
        <v>38170</v>
      </c>
      <c r="B4604" s="33">
        <v>2682.25</v>
      </c>
      <c r="C4604">
        <f t="shared" si="101"/>
        <v>2004</v>
      </c>
    </row>
    <row r="4605" spans="1:3">
      <c r="A4605" s="68">
        <v>38171</v>
      </c>
      <c r="B4605" s="32">
        <v>2674.1</v>
      </c>
      <c r="C4605">
        <f t="shared" si="101"/>
        <v>2004</v>
      </c>
    </row>
    <row r="4606" spans="1:3">
      <c r="A4606" s="68">
        <v>38172</v>
      </c>
      <c r="B4606" s="33">
        <v>2674.1</v>
      </c>
      <c r="C4606">
        <f t="shared" si="101"/>
        <v>2004</v>
      </c>
    </row>
    <row r="4607" spans="1:3">
      <c r="A4607" s="68">
        <v>38173</v>
      </c>
      <c r="B4607" s="32">
        <v>2674.1</v>
      </c>
      <c r="C4607">
        <f t="shared" si="101"/>
        <v>2004</v>
      </c>
    </row>
    <row r="4608" spans="1:3">
      <c r="A4608" s="68">
        <v>38174</v>
      </c>
      <c r="B4608" s="33">
        <v>2674.1</v>
      </c>
      <c r="C4608">
        <f t="shared" si="101"/>
        <v>2004</v>
      </c>
    </row>
    <row r="4609" spans="1:3">
      <c r="A4609" s="68">
        <v>38175</v>
      </c>
      <c r="B4609" s="32">
        <v>2672.95</v>
      </c>
      <c r="C4609">
        <f t="shared" si="101"/>
        <v>2004</v>
      </c>
    </row>
    <row r="4610" spans="1:3">
      <c r="A4610" s="68">
        <v>38176</v>
      </c>
      <c r="B4610" s="33">
        <v>2675.05</v>
      </c>
      <c r="C4610">
        <f t="shared" si="101"/>
        <v>2004</v>
      </c>
    </row>
    <row r="4611" spans="1:3">
      <c r="A4611" s="68">
        <v>38177</v>
      </c>
      <c r="B4611" s="32">
        <v>2677.42</v>
      </c>
      <c r="C4611">
        <f t="shared" si="101"/>
        <v>2004</v>
      </c>
    </row>
    <row r="4612" spans="1:3">
      <c r="A4612" s="68">
        <v>38178</v>
      </c>
      <c r="B4612" s="33">
        <v>2668.83</v>
      </c>
      <c r="C4612">
        <f t="shared" ref="C4612:C4675" si="102">YEAR(A4612)</f>
        <v>2004</v>
      </c>
    </row>
    <row r="4613" spans="1:3">
      <c r="A4613" s="68">
        <v>38179</v>
      </c>
      <c r="B4613" s="32">
        <v>2668.83</v>
      </c>
      <c r="C4613">
        <f t="shared" si="102"/>
        <v>2004</v>
      </c>
    </row>
    <row r="4614" spans="1:3">
      <c r="A4614" s="68">
        <v>38180</v>
      </c>
      <c r="B4614" s="33">
        <v>2668.83</v>
      </c>
      <c r="C4614">
        <f t="shared" si="102"/>
        <v>2004</v>
      </c>
    </row>
    <row r="4615" spans="1:3">
      <c r="A4615" s="68">
        <v>38181</v>
      </c>
      <c r="B4615" s="32">
        <v>2670.01</v>
      </c>
      <c r="C4615">
        <f t="shared" si="102"/>
        <v>2004</v>
      </c>
    </row>
    <row r="4616" spans="1:3">
      <c r="A4616" s="68">
        <v>38182</v>
      </c>
      <c r="B4616" s="33">
        <v>2674.41</v>
      </c>
      <c r="C4616">
        <f t="shared" si="102"/>
        <v>2004</v>
      </c>
    </row>
    <row r="4617" spans="1:3">
      <c r="A4617" s="68">
        <v>38183</v>
      </c>
      <c r="B4617" s="32">
        <v>2662.19</v>
      </c>
      <c r="C4617">
        <f t="shared" si="102"/>
        <v>2004</v>
      </c>
    </row>
    <row r="4618" spans="1:3">
      <c r="A4618" s="68">
        <v>38184</v>
      </c>
      <c r="B4618" s="33">
        <v>2642.78</v>
      </c>
      <c r="C4618">
        <f t="shared" si="102"/>
        <v>2004</v>
      </c>
    </row>
    <row r="4619" spans="1:3">
      <c r="A4619" s="68">
        <v>38185</v>
      </c>
      <c r="B4619" s="32">
        <v>2628.3</v>
      </c>
      <c r="C4619">
        <f t="shared" si="102"/>
        <v>2004</v>
      </c>
    </row>
    <row r="4620" spans="1:3">
      <c r="A4620" s="68">
        <v>38186</v>
      </c>
      <c r="B4620" s="33">
        <v>2628.3</v>
      </c>
      <c r="C4620">
        <f t="shared" si="102"/>
        <v>2004</v>
      </c>
    </row>
    <row r="4621" spans="1:3">
      <c r="A4621" s="68">
        <v>38187</v>
      </c>
      <c r="B4621" s="32">
        <v>2628.3</v>
      </c>
      <c r="C4621">
        <f t="shared" si="102"/>
        <v>2004</v>
      </c>
    </row>
    <row r="4622" spans="1:3">
      <c r="A4622" s="68">
        <v>38188</v>
      </c>
      <c r="B4622" s="33">
        <v>2632.64</v>
      </c>
      <c r="C4622">
        <f t="shared" si="102"/>
        <v>2004</v>
      </c>
    </row>
    <row r="4623" spans="1:3">
      <c r="A4623" s="68">
        <v>38189</v>
      </c>
      <c r="B4623" s="32">
        <v>2632.64</v>
      </c>
      <c r="C4623">
        <f t="shared" si="102"/>
        <v>2004</v>
      </c>
    </row>
    <row r="4624" spans="1:3">
      <c r="A4624" s="68">
        <v>38190</v>
      </c>
      <c r="B4624" s="33">
        <v>2633.14</v>
      </c>
      <c r="C4624">
        <f t="shared" si="102"/>
        <v>2004</v>
      </c>
    </row>
    <row r="4625" spans="1:3">
      <c r="A4625" s="68">
        <v>38191</v>
      </c>
      <c r="B4625" s="32">
        <v>2619.84</v>
      </c>
      <c r="C4625">
        <f t="shared" si="102"/>
        <v>2004</v>
      </c>
    </row>
    <row r="4626" spans="1:3">
      <c r="A4626" s="68">
        <v>38192</v>
      </c>
      <c r="B4626" s="33">
        <v>2628.46</v>
      </c>
      <c r="C4626">
        <f t="shared" si="102"/>
        <v>2004</v>
      </c>
    </row>
    <row r="4627" spans="1:3">
      <c r="A4627" s="68">
        <v>38193</v>
      </c>
      <c r="B4627" s="32">
        <v>2628.46</v>
      </c>
      <c r="C4627">
        <f t="shared" si="102"/>
        <v>2004</v>
      </c>
    </row>
    <row r="4628" spans="1:3">
      <c r="A4628" s="68">
        <v>38194</v>
      </c>
      <c r="B4628" s="33">
        <v>2628.46</v>
      </c>
      <c r="C4628">
        <f t="shared" si="102"/>
        <v>2004</v>
      </c>
    </row>
    <row r="4629" spans="1:3">
      <c r="A4629" s="68">
        <v>38195</v>
      </c>
      <c r="B4629" s="32">
        <v>2636.32</v>
      </c>
      <c r="C4629">
        <f t="shared" si="102"/>
        <v>2004</v>
      </c>
    </row>
    <row r="4630" spans="1:3">
      <c r="A4630" s="68">
        <v>38196</v>
      </c>
      <c r="B4630" s="33">
        <v>2639.72</v>
      </c>
      <c r="C4630">
        <f t="shared" si="102"/>
        <v>2004</v>
      </c>
    </row>
    <row r="4631" spans="1:3">
      <c r="A4631" s="68">
        <v>38197</v>
      </c>
      <c r="B4631" s="32">
        <v>2634.44</v>
      </c>
      <c r="C4631">
        <f t="shared" si="102"/>
        <v>2004</v>
      </c>
    </row>
    <row r="4632" spans="1:3">
      <c r="A4632" s="68">
        <v>38198</v>
      </c>
      <c r="B4632" s="33">
        <v>2619.5500000000002</v>
      </c>
      <c r="C4632">
        <f t="shared" si="102"/>
        <v>2004</v>
      </c>
    </row>
    <row r="4633" spans="1:3">
      <c r="A4633" s="68">
        <v>38199</v>
      </c>
      <c r="B4633" s="32">
        <v>2612.44</v>
      </c>
      <c r="C4633">
        <f t="shared" si="102"/>
        <v>2004</v>
      </c>
    </row>
    <row r="4634" spans="1:3">
      <c r="A4634" s="68">
        <v>38200</v>
      </c>
      <c r="B4634" s="33">
        <v>2612.44</v>
      </c>
      <c r="C4634">
        <f t="shared" si="102"/>
        <v>2004</v>
      </c>
    </row>
    <row r="4635" spans="1:3">
      <c r="A4635" s="68">
        <v>38201</v>
      </c>
      <c r="B4635" s="32">
        <v>2612.44</v>
      </c>
      <c r="C4635">
        <f t="shared" si="102"/>
        <v>2004</v>
      </c>
    </row>
    <row r="4636" spans="1:3">
      <c r="A4636" s="68">
        <v>38202</v>
      </c>
      <c r="B4636" s="33">
        <v>2613.58</v>
      </c>
      <c r="C4636">
        <f t="shared" si="102"/>
        <v>2004</v>
      </c>
    </row>
    <row r="4637" spans="1:3">
      <c r="A4637" s="68">
        <v>38203</v>
      </c>
      <c r="B4637" s="32">
        <v>2605.85</v>
      </c>
      <c r="C4637">
        <f t="shared" si="102"/>
        <v>2004</v>
      </c>
    </row>
    <row r="4638" spans="1:3">
      <c r="A4638" s="68">
        <v>38204</v>
      </c>
      <c r="B4638" s="33">
        <v>2609.39</v>
      </c>
      <c r="C4638">
        <f t="shared" si="102"/>
        <v>2004</v>
      </c>
    </row>
    <row r="4639" spans="1:3">
      <c r="A4639" s="68">
        <v>38205</v>
      </c>
      <c r="B4639" s="32">
        <v>2609.61</v>
      </c>
      <c r="C4639">
        <f t="shared" si="102"/>
        <v>2004</v>
      </c>
    </row>
    <row r="4640" spans="1:3">
      <c r="A4640" s="68">
        <v>38206</v>
      </c>
      <c r="B4640" s="33">
        <v>2602.91</v>
      </c>
      <c r="C4640">
        <f t="shared" si="102"/>
        <v>2004</v>
      </c>
    </row>
    <row r="4641" spans="1:3">
      <c r="A4641" s="68">
        <v>38207</v>
      </c>
      <c r="B4641" s="32">
        <v>2602.91</v>
      </c>
      <c r="C4641">
        <f t="shared" si="102"/>
        <v>2004</v>
      </c>
    </row>
    <row r="4642" spans="1:3">
      <c r="A4642" s="68">
        <v>38208</v>
      </c>
      <c r="B4642" s="33">
        <v>2602.91</v>
      </c>
      <c r="C4642">
        <f t="shared" si="102"/>
        <v>2004</v>
      </c>
    </row>
    <row r="4643" spans="1:3">
      <c r="A4643" s="68">
        <v>38209</v>
      </c>
      <c r="B4643" s="32">
        <v>2597.71</v>
      </c>
      <c r="C4643">
        <f t="shared" si="102"/>
        <v>2004</v>
      </c>
    </row>
    <row r="4644" spans="1:3">
      <c r="A4644" s="68">
        <v>38210</v>
      </c>
      <c r="B4644" s="33">
        <v>2598.98</v>
      </c>
      <c r="C4644">
        <f t="shared" si="102"/>
        <v>2004</v>
      </c>
    </row>
    <row r="4645" spans="1:3">
      <c r="A4645" s="68">
        <v>38211</v>
      </c>
      <c r="B4645" s="32">
        <v>2606.9299999999998</v>
      </c>
      <c r="C4645">
        <f t="shared" si="102"/>
        <v>2004</v>
      </c>
    </row>
    <row r="4646" spans="1:3">
      <c r="A4646" s="68">
        <v>38212</v>
      </c>
      <c r="B4646" s="33">
        <v>2614.9699999999998</v>
      </c>
      <c r="C4646">
        <f t="shared" si="102"/>
        <v>2004</v>
      </c>
    </row>
    <row r="4647" spans="1:3">
      <c r="A4647" s="68">
        <v>38213</v>
      </c>
      <c r="B4647" s="32">
        <v>2609.92</v>
      </c>
      <c r="C4647">
        <f t="shared" si="102"/>
        <v>2004</v>
      </c>
    </row>
    <row r="4648" spans="1:3">
      <c r="A4648" s="68">
        <v>38214</v>
      </c>
      <c r="B4648" s="33">
        <v>2609.92</v>
      </c>
      <c r="C4648">
        <f t="shared" si="102"/>
        <v>2004</v>
      </c>
    </row>
    <row r="4649" spans="1:3">
      <c r="A4649" s="68">
        <v>38215</v>
      </c>
      <c r="B4649" s="32">
        <v>2609.92</v>
      </c>
      <c r="C4649">
        <f t="shared" si="102"/>
        <v>2004</v>
      </c>
    </row>
    <row r="4650" spans="1:3">
      <c r="A4650" s="68">
        <v>38216</v>
      </c>
      <c r="B4650" s="33">
        <v>2609.92</v>
      </c>
      <c r="C4650">
        <f t="shared" si="102"/>
        <v>2004</v>
      </c>
    </row>
    <row r="4651" spans="1:3">
      <c r="A4651" s="68">
        <v>38217</v>
      </c>
      <c r="B4651" s="32">
        <v>2608.88</v>
      </c>
      <c r="C4651">
        <f t="shared" si="102"/>
        <v>2004</v>
      </c>
    </row>
    <row r="4652" spans="1:3">
      <c r="A4652" s="68">
        <v>38218</v>
      </c>
      <c r="B4652" s="33">
        <v>2609.88</v>
      </c>
      <c r="C4652">
        <f t="shared" si="102"/>
        <v>2004</v>
      </c>
    </row>
    <row r="4653" spans="1:3">
      <c r="A4653" s="68">
        <v>38219</v>
      </c>
      <c r="B4653" s="32">
        <v>2607.62</v>
      </c>
      <c r="C4653">
        <f t="shared" si="102"/>
        <v>2004</v>
      </c>
    </row>
    <row r="4654" spans="1:3">
      <c r="A4654" s="68">
        <v>38220</v>
      </c>
      <c r="B4654" s="33">
        <v>2606.5700000000002</v>
      </c>
      <c r="C4654">
        <f t="shared" si="102"/>
        <v>2004</v>
      </c>
    </row>
    <row r="4655" spans="1:3">
      <c r="A4655" s="68">
        <v>38221</v>
      </c>
      <c r="B4655" s="32">
        <v>2606.5700000000002</v>
      </c>
      <c r="C4655">
        <f t="shared" si="102"/>
        <v>2004</v>
      </c>
    </row>
    <row r="4656" spans="1:3">
      <c r="A4656" s="68">
        <v>38222</v>
      </c>
      <c r="B4656" s="33">
        <v>2606.5700000000002</v>
      </c>
      <c r="C4656">
        <f t="shared" si="102"/>
        <v>2004</v>
      </c>
    </row>
    <row r="4657" spans="1:3">
      <c r="A4657" s="68">
        <v>38223</v>
      </c>
      <c r="B4657" s="32">
        <v>2595.75</v>
      </c>
      <c r="C4657">
        <f t="shared" si="102"/>
        <v>2004</v>
      </c>
    </row>
    <row r="4658" spans="1:3">
      <c r="A4658" s="68">
        <v>38224</v>
      </c>
      <c r="B4658" s="33">
        <v>2589.25</v>
      </c>
      <c r="C4658">
        <f t="shared" si="102"/>
        <v>2004</v>
      </c>
    </row>
    <row r="4659" spans="1:3">
      <c r="A4659" s="68">
        <v>38225</v>
      </c>
      <c r="B4659" s="32">
        <v>2575.5100000000002</v>
      </c>
      <c r="C4659">
        <f t="shared" si="102"/>
        <v>2004</v>
      </c>
    </row>
    <row r="4660" spans="1:3">
      <c r="A4660" s="68">
        <v>38226</v>
      </c>
      <c r="B4660" s="33">
        <v>2568.6799999999998</v>
      </c>
      <c r="C4660">
        <f t="shared" si="102"/>
        <v>2004</v>
      </c>
    </row>
    <row r="4661" spans="1:3">
      <c r="A4661" s="68">
        <v>38227</v>
      </c>
      <c r="B4661" s="32">
        <v>2574.4899999999998</v>
      </c>
      <c r="C4661">
        <f t="shared" si="102"/>
        <v>2004</v>
      </c>
    </row>
    <row r="4662" spans="1:3">
      <c r="A4662" s="68">
        <v>38228</v>
      </c>
      <c r="B4662" s="33">
        <v>2574.4899999999998</v>
      </c>
      <c r="C4662">
        <f t="shared" si="102"/>
        <v>2004</v>
      </c>
    </row>
    <row r="4663" spans="1:3">
      <c r="A4663" s="68">
        <v>38229</v>
      </c>
      <c r="B4663" s="32">
        <v>2574.4899999999998</v>
      </c>
      <c r="C4663">
        <f t="shared" si="102"/>
        <v>2004</v>
      </c>
    </row>
    <row r="4664" spans="1:3">
      <c r="A4664" s="68">
        <v>38230</v>
      </c>
      <c r="B4664" s="33">
        <v>2551.4299999999998</v>
      </c>
      <c r="C4664">
        <f t="shared" si="102"/>
        <v>2004</v>
      </c>
    </row>
    <row r="4665" spans="1:3">
      <c r="A4665" s="68">
        <v>38231</v>
      </c>
      <c r="B4665" s="32">
        <v>2536.5100000000002</v>
      </c>
      <c r="C4665">
        <f t="shared" si="102"/>
        <v>2004</v>
      </c>
    </row>
    <row r="4666" spans="1:3">
      <c r="A4666" s="68">
        <v>38232</v>
      </c>
      <c r="B4666" s="33">
        <v>2538.59</v>
      </c>
      <c r="C4666">
        <f t="shared" si="102"/>
        <v>2004</v>
      </c>
    </row>
    <row r="4667" spans="1:3">
      <c r="A4667" s="68">
        <v>38233</v>
      </c>
      <c r="B4667" s="32">
        <v>2552.7800000000002</v>
      </c>
      <c r="C4667">
        <f t="shared" si="102"/>
        <v>2004</v>
      </c>
    </row>
    <row r="4668" spans="1:3">
      <c r="A4668" s="68">
        <v>38234</v>
      </c>
      <c r="B4668" s="33">
        <v>2564.89</v>
      </c>
      <c r="C4668">
        <f t="shared" si="102"/>
        <v>2004</v>
      </c>
    </row>
    <row r="4669" spans="1:3">
      <c r="A4669" s="68">
        <v>38235</v>
      </c>
      <c r="B4669" s="32">
        <v>2564.89</v>
      </c>
      <c r="C4669">
        <f t="shared" si="102"/>
        <v>2004</v>
      </c>
    </row>
    <row r="4670" spans="1:3">
      <c r="A4670" s="68">
        <v>38236</v>
      </c>
      <c r="B4670" s="33">
        <v>2564.89</v>
      </c>
      <c r="C4670">
        <f t="shared" si="102"/>
        <v>2004</v>
      </c>
    </row>
    <row r="4671" spans="1:3">
      <c r="A4671" s="68">
        <v>38237</v>
      </c>
      <c r="B4671" s="32">
        <v>2564.89</v>
      </c>
      <c r="C4671">
        <f t="shared" si="102"/>
        <v>2004</v>
      </c>
    </row>
    <row r="4672" spans="1:3">
      <c r="A4672" s="68">
        <v>38238</v>
      </c>
      <c r="B4672" s="33">
        <v>2552.7399999999998</v>
      </c>
      <c r="C4672">
        <f t="shared" si="102"/>
        <v>2004</v>
      </c>
    </row>
    <row r="4673" spans="1:3">
      <c r="A4673" s="68">
        <v>38239</v>
      </c>
      <c r="B4673" s="32">
        <v>2536</v>
      </c>
      <c r="C4673">
        <f t="shared" si="102"/>
        <v>2004</v>
      </c>
    </row>
    <row r="4674" spans="1:3">
      <c r="A4674" s="68">
        <v>38240</v>
      </c>
      <c r="B4674" s="33">
        <v>2523.08</v>
      </c>
      <c r="C4674">
        <f t="shared" si="102"/>
        <v>2004</v>
      </c>
    </row>
    <row r="4675" spans="1:3">
      <c r="A4675" s="68">
        <v>38241</v>
      </c>
      <c r="B4675" s="32">
        <v>2535.29</v>
      </c>
      <c r="C4675">
        <f t="shared" si="102"/>
        <v>2004</v>
      </c>
    </row>
    <row r="4676" spans="1:3">
      <c r="A4676" s="68">
        <v>38242</v>
      </c>
      <c r="B4676" s="33">
        <v>2535.29</v>
      </c>
      <c r="C4676">
        <f t="shared" ref="C4676:C4739" si="103">YEAR(A4676)</f>
        <v>2004</v>
      </c>
    </row>
    <row r="4677" spans="1:3">
      <c r="A4677" s="68">
        <v>38243</v>
      </c>
      <c r="B4677" s="32">
        <v>2535.29</v>
      </c>
      <c r="C4677">
        <f t="shared" si="103"/>
        <v>2004</v>
      </c>
    </row>
    <row r="4678" spans="1:3">
      <c r="A4678" s="68">
        <v>38244</v>
      </c>
      <c r="B4678" s="33">
        <v>2525.12</v>
      </c>
      <c r="C4678">
        <f t="shared" si="103"/>
        <v>2004</v>
      </c>
    </row>
    <row r="4679" spans="1:3">
      <c r="A4679" s="68">
        <v>38245</v>
      </c>
      <c r="B4679" s="32">
        <v>2521.77</v>
      </c>
      <c r="C4679">
        <f t="shared" si="103"/>
        <v>2004</v>
      </c>
    </row>
    <row r="4680" spans="1:3">
      <c r="A4680" s="68">
        <v>38246</v>
      </c>
      <c r="B4680" s="33">
        <v>2536.4</v>
      </c>
      <c r="C4680">
        <f t="shared" si="103"/>
        <v>2004</v>
      </c>
    </row>
    <row r="4681" spans="1:3">
      <c r="A4681" s="68">
        <v>38247</v>
      </c>
      <c r="B4681" s="32">
        <v>2522.5700000000002</v>
      </c>
      <c r="C4681">
        <f t="shared" si="103"/>
        <v>2004</v>
      </c>
    </row>
    <row r="4682" spans="1:3">
      <c r="A4682" s="68">
        <v>38248</v>
      </c>
      <c r="B4682" s="33">
        <v>2518.3000000000002</v>
      </c>
      <c r="C4682">
        <f t="shared" si="103"/>
        <v>2004</v>
      </c>
    </row>
    <row r="4683" spans="1:3">
      <c r="A4683" s="68">
        <v>38249</v>
      </c>
      <c r="B4683" s="32">
        <v>2518.3000000000002</v>
      </c>
      <c r="C4683">
        <f t="shared" si="103"/>
        <v>2004</v>
      </c>
    </row>
    <row r="4684" spans="1:3">
      <c r="A4684" s="68">
        <v>38250</v>
      </c>
      <c r="B4684" s="33">
        <v>2518.3000000000002</v>
      </c>
      <c r="C4684">
        <f t="shared" si="103"/>
        <v>2004</v>
      </c>
    </row>
    <row r="4685" spans="1:3">
      <c r="A4685" s="68">
        <v>38251</v>
      </c>
      <c r="B4685" s="32">
        <v>2548.1999999999998</v>
      </c>
      <c r="C4685">
        <f t="shared" si="103"/>
        <v>2004</v>
      </c>
    </row>
    <row r="4686" spans="1:3">
      <c r="A4686" s="68">
        <v>38252</v>
      </c>
      <c r="B4686" s="33">
        <v>2561.1999999999998</v>
      </c>
      <c r="C4686">
        <f t="shared" si="103"/>
        <v>2004</v>
      </c>
    </row>
    <row r="4687" spans="1:3">
      <c r="A4687" s="68">
        <v>38253</v>
      </c>
      <c r="B4687" s="32">
        <v>2560.66</v>
      </c>
      <c r="C4687">
        <f t="shared" si="103"/>
        <v>2004</v>
      </c>
    </row>
    <row r="4688" spans="1:3">
      <c r="A4688" s="68">
        <v>38254</v>
      </c>
      <c r="B4688" s="33">
        <v>2567.83</v>
      </c>
      <c r="C4688">
        <f t="shared" si="103"/>
        <v>2004</v>
      </c>
    </row>
    <row r="4689" spans="1:3">
      <c r="A4689" s="68">
        <v>38255</v>
      </c>
      <c r="B4689" s="32">
        <v>2602.1999999999998</v>
      </c>
      <c r="C4689">
        <f t="shared" si="103"/>
        <v>2004</v>
      </c>
    </row>
    <row r="4690" spans="1:3">
      <c r="A4690" s="68">
        <v>38256</v>
      </c>
      <c r="B4690" s="33">
        <v>2602.1999999999998</v>
      </c>
      <c r="C4690">
        <f t="shared" si="103"/>
        <v>2004</v>
      </c>
    </row>
    <row r="4691" spans="1:3">
      <c r="A4691" s="68">
        <v>38257</v>
      </c>
      <c r="B4691" s="32">
        <v>2602.1999999999998</v>
      </c>
      <c r="C4691">
        <f t="shared" si="103"/>
        <v>2004</v>
      </c>
    </row>
    <row r="4692" spans="1:3">
      <c r="A4692" s="68">
        <v>38258</v>
      </c>
      <c r="B4692" s="33">
        <v>2600.64</v>
      </c>
      <c r="C4692">
        <f t="shared" si="103"/>
        <v>2004</v>
      </c>
    </row>
    <row r="4693" spans="1:3">
      <c r="A4693" s="68">
        <v>38259</v>
      </c>
      <c r="B4693" s="32">
        <v>2596.2800000000002</v>
      </c>
      <c r="C4693">
        <f t="shared" si="103"/>
        <v>2004</v>
      </c>
    </row>
    <row r="4694" spans="1:3">
      <c r="A4694" s="68">
        <v>38260</v>
      </c>
      <c r="B4694" s="33">
        <v>2595.17</v>
      </c>
      <c r="C4694">
        <f t="shared" si="103"/>
        <v>2004</v>
      </c>
    </row>
    <row r="4695" spans="1:3">
      <c r="A4695" s="68">
        <v>38261</v>
      </c>
      <c r="B4695" s="32">
        <v>2608.3000000000002</v>
      </c>
      <c r="C4695">
        <f t="shared" si="103"/>
        <v>2004</v>
      </c>
    </row>
    <row r="4696" spans="1:3">
      <c r="A4696" s="68">
        <v>38262</v>
      </c>
      <c r="B4696" s="33">
        <v>2630.81</v>
      </c>
      <c r="C4696">
        <f t="shared" si="103"/>
        <v>2004</v>
      </c>
    </row>
    <row r="4697" spans="1:3">
      <c r="A4697" s="68">
        <v>38263</v>
      </c>
      <c r="B4697" s="32">
        <v>2630.81</v>
      </c>
      <c r="C4697">
        <f t="shared" si="103"/>
        <v>2004</v>
      </c>
    </row>
    <row r="4698" spans="1:3">
      <c r="A4698" s="68">
        <v>38264</v>
      </c>
      <c r="B4698" s="33">
        <v>2630.81</v>
      </c>
      <c r="C4698">
        <f t="shared" si="103"/>
        <v>2004</v>
      </c>
    </row>
    <row r="4699" spans="1:3">
      <c r="A4699" s="68">
        <v>38265</v>
      </c>
      <c r="B4699" s="32">
        <v>2629.65</v>
      </c>
      <c r="C4699">
        <f t="shared" si="103"/>
        <v>2004</v>
      </c>
    </row>
    <row r="4700" spans="1:3">
      <c r="A4700" s="68">
        <v>38266</v>
      </c>
      <c r="B4700" s="33">
        <v>2608.36</v>
      </c>
      <c r="C4700">
        <f t="shared" si="103"/>
        <v>2004</v>
      </c>
    </row>
    <row r="4701" spans="1:3">
      <c r="A4701" s="68">
        <v>38267</v>
      </c>
      <c r="B4701" s="32">
        <v>2603.34</v>
      </c>
      <c r="C4701">
        <f t="shared" si="103"/>
        <v>2004</v>
      </c>
    </row>
    <row r="4702" spans="1:3">
      <c r="A4702" s="68">
        <v>38268</v>
      </c>
      <c r="B4702" s="33">
        <v>2601.6999999999998</v>
      </c>
      <c r="C4702">
        <f t="shared" si="103"/>
        <v>2004</v>
      </c>
    </row>
    <row r="4703" spans="1:3">
      <c r="A4703" s="68">
        <v>38269</v>
      </c>
      <c r="B4703" s="32">
        <v>2583.7399999999998</v>
      </c>
      <c r="C4703">
        <f t="shared" si="103"/>
        <v>2004</v>
      </c>
    </row>
    <row r="4704" spans="1:3">
      <c r="A4704" s="68">
        <v>38270</v>
      </c>
      <c r="B4704" s="33">
        <v>2583.7399999999998</v>
      </c>
      <c r="C4704">
        <f t="shared" si="103"/>
        <v>2004</v>
      </c>
    </row>
    <row r="4705" spans="1:3">
      <c r="A4705" s="68">
        <v>38271</v>
      </c>
      <c r="B4705" s="32">
        <v>2583.7399999999998</v>
      </c>
      <c r="C4705">
        <f t="shared" si="103"/>
        <v>2004</v>
      </c>
    </row>
    <row r="4706" spans="1:3">
      <c r="A4706" s="68">
        <v>38272</v>
      </c>
      <c r="B4706" s="33">
        <v>2583.7399999999998</v>
      </c>
      <c r="C4706">
        <f t="shared" si="103"/>
        <v>2004</v>
      </c>
    </row>
    <row r="4707" spans="1:3">
      <c r="A4707" s="68">
        <v>38273</v>
      </c>
      <c r="B4707" s="32">
        <v>2558.04</v>
      </c>
      <c r="C4707">
        <f t="shared" si="103"/>
        <v>2004</v>
      </c>
    </row>
    <row r="4708" spans="1:3">
      <c r="A4708" s="68">
        <v>38274</v>
      </c>
      <c r="B4708" s="33">
        <v>2553.0700000000002</v>
      </c>
      <c r="C4708">
        <f t="shared" si="103"/>
        <v>2004</v>
      </c>
    </row>
    <row r="4709" spans="1:3">
      <c r="A4709" s="68">
        <v>38275</v>
      </c>
      <c r="B4709" s="32">
        <v>2549.1</v>
      </c>
      <c r="C4709">
        <f t="shared" si="103"/>
        <v>2004</v>
      </c>
    </row>
    <row r="4710" spans="1:3">
      <c r="A4710" s="68">
        <v>38276</v>
      </c>
      <c r="B4710" s="33">
        <v>2562.56</v>
      </c>
      <c r="C4710">
        <f t="shared" si="103"/>
        <v>2004</v>
      </c>
    </row>
    <row r="4711" spans="1:3">
      <c r="A4711" s="68">
        <v>38277</v>
      </c>
      <c r="B4711" s="32">
        <v>2562.56</v>
      </c>
      <c r="C4711">
        <f t="shared" si="103"/>
        <v>2004</v>
      </c>
    </row>
    <row r="4712" spans="1:3">
      <c r="A4712" s="68">
        <v>38278</v>
      </c>
      <c r="B4712" s="33">
        <v>2562.56</v>
      </c>
      <c r="C4712">
        <f t="shared" si="103"/>
        <v>2004</v>
      </c>
    </row>
    <row r="4713" spans="1:3">
      <c r="A4713" s="68">
        <v>38279</v>
      </c>
      <c r="B4713" s="32">
        <v>2562.56</v>
      </c>
      <c r="C4713">
        <f t="shared" si="103"/>
        <v>2004</v>
      </c>
    </row>
    <row r="4714" spans="1:3">
      <c r="A4714" s="68">
        <v>38280</v>
      </c>
      <c r="B4714" s="33">
        <v>2556.1799999999998</v>
      </c>
      <c r="C4714">
        <f t="shared" si="103"/>
        <v>2004</v>
      </c>
    </row>
    <row r="4715" spans="1:3">
      <c r="A4715" s="68">
        <v>38281</v>
      </c>
      <c r="B4715" s="32">
        <v>2561.33</v>
      </c>
      <c r="C4715">
        <f t="shared" si="103"/>
        <v>2004</v>
      </c>
    </row>
    <row r="4716" spans="1:3">
      <c r="A4716" s="68">
        <v>38282</v>
      </c>
      <c r="B4716" s="33">
        <v>2555.2600000000002</v>
      </c>
      <c r="C4716">
        <f t="shared" si="103"/>
        <v>2004</v>
      </c>
    </row>
    <row r="4717" spans="1:3">
      <c r="A4717" s="68">
        <v>38283</v>
      </c>
      <c r="B4717" s="32">
        <v>2553.02</v>
      </c>
      <c r="C4717">
        <f t="shared" si="103"/>
        <v>2004</v>
      </c>
    </row>
    <row r="4718" spans="1:3">
      <c r="A4718" s="68">
        <v>38284</v>
      </c>
      <c r="B4718" s="33">
        <v>2553.02</v>
      </c>
      <c r="C4718">
        <f t="shared" si="103"/>
        <v>2004</v>
      </c>
    </row>
    <row r="4719" spans="1:3">
      <c r="A4719" s="68">
        <v>38285</v>
      </c>
      <c r="B4719" s="32">
        <v>2553.02</v>
      </c>
      <c r="C4719">
        <f t="shared" si="103"/>
        <v>2004</v>
      </c>
    </row>
    <row r="4720" spans="1:3">
      <c r="A4720" s="68">
        <v>38286</v>
      </c>
      <c r="B4720" s="33">
        <v>2568.11</v>
      </c>
      <c r="C4720">
        <f t="shared" si="103"/>
        <v>2004</v>
      </c>
    </row>
    <row r="4721" spans="1:3">
      <c r="A4721" s="68">
        <v>38287</v>
      </c>
      <c r="B4721" s="32">
        <v>2582.39</v>
      </c>
      <c r="C4721">
        <f t="shared" si="103"/>
        <v>2004</v>
      </c>
    </row>
    <row r="4722" spans="1:3">
      <c r="A4722" s="68">
        <v>38288</v>
      </c>
      <c r="B4722" s="33">
        <v>2579.59</v>
      </c>
      <c r="C4722">
        <f t="shared" si="103"/>
        <v>2004</v>
      </c>
    </row>
    <row r="4723" spans="1:3">
      <c r="A4723" s="68">
        <v>38289</v>
      </c>
      <c r="B4723" s="32">
        <v>2585.8000000000002</v>
      </c>
      <c r="C4723">
        <f t="shared" si="103"/>
        <v>2004</v>
      </c>
    </row>
    <row r="4724" spans="1:3">
      <c r="A4724" s="68">
        <v>38290</v>
      </c>
      <c r="B4724" s="33">
        <v>2575.19</v>
      </c>
      <c r="C4724">
        <f t="shared" si="103"/>
        <v>2004</v>
      </c>
    </row>
    <row r="4725" spans="1:3">
      <c r="A4725" s="68">
        <v>38291</v>
      </c>
      <c r="B4725" s="32">
        <v>2575.19</v>
      </c>
      <c r="C4725">
        <f t="shared" si="103"/>
        <v>2004</v>
      </c>
    </row>
    <row r="4726" spans="1:3">
      <c r="A4726" s="68">
        <v>38292</v>
      </c>
      <c r="B4726" s="33">
        <v>2575.19</v>
      </c>
      <c r="C4726">
        <f t="shared" si="103"/>
        <v>2004</v>
      </c>
    </row>
    <row r="4727" spans="1:3">
      <c r="A4727" s="68">
        <v>38293</v>
      </c>
      <c r="B4727" s="32">
        <v>2575.19</v>
      </c>
      <c r="C4727">
        <f t="shared" si="103"/>
        <v>2004</v>
      </c>
    </row>
    <row r="4728" spans="1:3">
      <c r="A4728" s="68">
        <v>38294</v>
      </c>
      <c r="B4728" s="33">
        <v>2568.08</v>
      </c>
      <c r="C4728">
        <f t="shared" si="103"/>
        <v>2004</v>
      </c>
    </row>
    <row r="4729" spans="1:3">
      <c r="A4729" s="68">
        <v>38295</v>
      </c>
      <c r="B4729" s="32">
        <v>2561.2800000000002</v>
      </c>
      <c r="C4729">
        <f t="shared" si="103"/>
        <v>2004</v>
      </c>
    </row>
    <row r="4730" spans="1:3">
      <c r="A4730" s="68">
        <v>38296</v>
      </c>
      <c r="B4730" s="33">
        <v>2550.37</v>
      </c>
      <c r="C4730">
        <f t="shared" si="103"/>
        <v>2004</v>
      </c>
    </row>
    <row r="4731" spans="1:3">
      <c r="A4731" s="68">
        <v>38297</v>
      </c>
      <c r="B4731" s="32">
        <v>2547.79</v>
      </c>
      <c r="C4731">
        <f t="shared" si="103"/>
        <v>2004</v>
      </c>
    </row>
    <row r="4732" spans="1:3">
      <c r="A4732" s="68">
        <v>38298</v>
      </c>
      <c r="B4732" s="33">
        <v>2547.79</v>
      </c>
      <c r="C4732">
        <f t="shared" si="103"/>
        <v>2004</v>
      </c>
    </row>
    <row r="4733" spans="1:3">
      <c r="A4733" s="68">
        <v>38299</v>
      </c>
      <c r="B4733" s="32">
        <v>2547.79</v>
      </c>
      <c r="C4733">
        <f t="shared" si="103"/>
        <v>2004</v>
      </c>
    </row>
    <row r="4734" spans="1:3">
      <c r="A4734" s="68">
        <v>38300</v>
      </c>
      <c r="B4734" s="33">
        <v>2544.65</v>
      </c>
      <c r="C4734">
        <f t="shared" si="103"/>
        <v>2004</v>
      </c>
    </row>
    <row r="4735" spans="1:3">
      <c r="A4735" s="68">
        <v>38301</v>
      </c>
      <c r="B4735" s="32">
        <v>2542.1999999999998</v>
      </c>
      <c r="C4735">
        <f t="shared" si="103"/>
        <v>2004</v>
      </c>
    </row>
    <row r="4736" spans="1:3">
      <c r="A4736" s="68">
        <v>38302</v>
      </c>
      <c r="B4736" s="33">
        <v>2540.4699999999998</v>
      </c>
      <c r="C4736">
        <f t="shared" si="103"/>
        <v>2004</v>
      </c>
    </row>
    <row r="4737" spans="1:3">
      <c r="A4737" s="68">
        <v>38303</v>
      </c>
      <c r="B4737" s="32">
        <v>2540.4699999999998</v>
      </c>
      <c r="C4737">
        <f t="shared" si="103"/>
        <v>2004</v>
      </c>
    </row>
    <row r="4738" spans="1:3">
      <c r="A4738" s="68">
        <v>38304</v>
      </c>
      <c r="B4738" s="33">
        <v>2541.98</v>
      </c>
      <c r="C4738">
        <f t="shared" si="103"/>
        <v>2004</v>
      </c>
    </row>
    <row r="4739" spans="1:3">
      <c r="A4739" s="68">
        <v>38305</v>
      </c>
      <c r="B4739" s="32">
        <v>2541.98</v>
      </c>
      <c r="C4739">
        <f t="shared" si="103"/>
        <v>2004</v>
      </c>
    </row>
    <row r="4740" spans="1:3">
      <c r="A4740" s="68">
        <v>38306</v>
      </c>
      <c r="B4740" s="33">
        <v>2541.98</v>
      </c>
      <c r="C4740">
        <f t="shared" ref="C4740:C4803" si="104">YEAR(A4740)</f>
        <v>2004</v>
      </c>
    </row>
    <row r="4741" spans="1:3">
      <c r="A4741" s="68">
        <v>38307</v>
      </c>
      <c r="B4741" s="32">
        <v>2541.98</v>
      </c>
      <c r="C4741">
        <f t="shared" si="104"/>
        <v>2004</v>
      </c>
    </row>
    <row r="4742" spans="1:3">
      <c r="A4742" s="68">
        <v>38308</v>
      </c>
      <c r="B4742" s="33">
        <v>2535.89</v>
      </c>
      <c r="C4742">
        <f t="shared" si="104"/>
        <v>2004</v>
      </c>
    </row>
    <row r="4743" spans="1:3">
      <c r="A4743" s="68">
        <v>38309</v>
      </c>
      <c r="B4743" s="32">
        <v>2523.41</v>
      </c>
      <c r="C4743">
        <f t="shared" si="104"/>
        <v>2004</v>
      </c>
    </row>
    <row r="4744" spans="1:3">
      <c r="A4744" s="68">
        <v>38310</v>
      </c>
      <c r="B4744" s="33">
        <v>2515.3200000000002</v>
      </c>
      <c r="C4744">
        <f t="shared" si="104"/>
        <v>2004</v>
      </c>
    </row>
    <row r="4745" spans="1:3">
      <c r="A4745" s="68">
        <v>38311</v>
      </c>
      <c r="B4745" s="32">
        <v>2517.86</v>
      </c>
      <c r="C4745">
        <f t="shared" si="104"/>
        <v>2004</v>
      </c>
    </row>
    <row r="4746" spans="1:3">
      <c r="A4746" s="68">
        <v>38312</v>
      </c>
      <c r="B4746" s="33">
        <v>2517.86</v>
      </c>
      <c r="C4746">
        <f t="shared" si="104"/>
        <v>2004</v>
      </c>
    </row>
    <row r="4747" spans="1:3">
      <c r="A4747" s="68">
        <v>38313</v>
      </c>
      <c r="B4747" s="32">
        <v>2517.86</v>
      </c>
      <c r="C4747">
        <f t="shared" si="104"/>
        <v>2004</v>
      </c>
    </row>
    <row r="4748" spans="1:3">
      <c r="A4748" s="68">
        <v>38314</v>
      </c>
      <c r="B4748" s="33">
        <v>2521.81</v>
      </c>
      <c r="C4748">
        <f t="shared" si="104"/>
        <v>2004</v>
      </c>
    </row>
    <row r="4749" spans="1:3">
      <c r="A4749" s="68">
        <v>38315</v>
      </c>
      <c r="B4749" s="32">
        <v>2509.79</v>
      </c>
      <c r="C4749">
        <f t="shared" si="104"/>
        <v>2004</v>
      </c>
    </row>
    <row r="4750" spans="1:3">
      <c r="A4750" s="68">
        <v>38316</v>
      </c>
      <c r="B4750" s="33">
        <v>2501.88</v>
      </c>
      <c r="C4750">
        <f t="shared" si="104"/>
        <v>2004</v>
      </c>
    </row>
    <row r="4751" spans="1:3">
      <c r="A4751" s="68">
        <v>38317</v>
      </c>
      <c r="B4751" s="32">
        <v>2501.88</v>
      </c>
      <c r="C4751">
        <f t="shared" si="104"/>
        <v>2004</v>
      </c>
    </row>
    <row r="4752" spans="1:3">
      <c r="A4752" s="68">
        <v>38318</v>
      </c>
      <c r="B4752" s="33">
        <v>2484.36</v>
      </c>
      <c r="C4752">
        <f t="shared" si="104"/>
        <v>2004</v>
      </c>
    </row>
    <row r="4753" spans="1:3">
      <c r="A4753" s="68">
        <v>38319</v>
      </c>
      <c r="B4753" s="32">
        <v>2484.36</v>
      </c>
      <c r="C4753">
        <f t="shared" si="104"/>
        <v>2004</v>
      </c>
    </row>
    <row r="4754" spans="1:3">
      <c r="A4754" s="68">
        <v>38320</v>
      </c>
      <c r="B4754" s="33">
        <v>2484.36</v>
      </c>
      <c r="C4754">
        <f t="shared" si="104"/>
        <v>2004</v>
      </c>
    </row>
    <row r="4755" spans="1:3">
      <c r="A4755" s="68">
        <v>38321</v>
      </c>
      <c r="B4755" s="32">
        <v>2479.1</v>
      </c>
      <c r="C4755">
        <f t="shared" si="104"/>
        <v>2004</v>
      </c>
    </row>
    <row r="4756" spans="1:3">
      <c r="A4756" s="68">
        <v>38322</v>
      </c>
      <c r="B4756" s="33">
        <v>2479.1799999999998</v>
      </c>
      <c r="C4756">
        <f t="shared" si="104"/>
        <v>2004</v>
      </c>
    </row>
    <row r="4757" spans="1:3">
      <c r="A4757" s="68">
        <v>38323</v>
      </c>
      <c r="B4757" s="32">
        <v>2472.12</v>
      </c>
      <c r="C4757">
        <f t="shared" si="104"/>
        <v>2004</v>
      </c>
    </row>
    <row r="4758" spans="1:3">
      <c r="A4758" s="68">
        <v>38324</v>
      </c>
      <c r="B4758" s="33">
        <v>2481.9299999999998</v>
      </c>
      <c r="C4758">
        <f t="shared" si="104"/>
        <v>2004</v>
      </c>
    </row>
    <row r="4759" spans="1:3">
      <c r="A4759" s="68">
        <v>38325</v>
      </c>
      <c r="B4759" s="32">
        <v>2475.23</v>
      </c>
      <c r="C4759">
        <f t="shared" si="104"/>
        <v>2004</v>
      </c>
    </row>
    <row r="4760" spans="1:3">
      <c r="A4760" s="68">
        <v>38326</v>
      </c>
      <c r="B4760" s="33">
        <v>2475.23</v>
      </c>
      <c r="C4760">
        <f t="shared" si="104"/>
        <v>2004</v>
      </c>
    </row>
    <row r="4761" spans="1:3">
      <c r="A4761" s="68">
        <v>38327</v>
      </c>
      <c r="B4761" s="32">
        <v>2475.23</v>
      </c>
      <c r="C4761">
        <f t="shared" si="104"/>
        <v>2004</v>
      </c>
    </row>
    <row r="4762" spans="1:3">
      <c r="A4762" s="68">
        <v>38328</v>
      </c>
      <c r="B4762" s="33">
        <v>2466.71</v>
      </c>
      <c r="C4762">
        <f t="shared" si="104"/>
        <v>2004</v>
      </c>
    </row>
    <row r="4763" spans="1:3">
      <c r="A4763" s="68">
        <v>38329</v>
      </c>
      <c r="B4763" s="32">
        <v>2455.12</v>
      </c>
      <c r="C4763">
        <f t="shared" si="104"/>
        <v>2004</v>
      </c>
    </row>
    <row r="4764" spans="1:3">
      <c r="A4764" s="68">
        <v>38330</v>
      </c>
      <c r="B4764" s="33">
        <v>2455.12</v>
      </c>
      <c r="C4764">
        <f t="shared" si="104"/>
        <v>2004</v>
      </c>
    </row>
    <row r="4765" spans="1:3">
      <c r="A4765" s="68">
        <v>38331</v>
      </c>
      <c r="B4765" s="32">
        <v>2464.19</v>
      </c>
      <c r="C4765">
        <f t="shared" si="104"/>
        <v>2004</v>
      </c>
    </row>
    <row r="4766" spans="1:3">
      <c r="A4766" s="68">
        <v>38332</v>
      </c>
      <c r="B4766" s="33">
        <v>2440.7199999999998</v>
      </c>
      <c r="C4766">
        <f t="shared" si="104"/>
        <v>2004</v>
      </c>
    </row>
    <row r="4767" spans="1:3">
      <c r="A4767" s="68">
        <v>38333</v>
      </c>
      <c r="B4767" s="32">
        <v>2440.7199999999998</v>
      </c>
      <c r="C4767">
        <f t="shared" si="104"/>
        <v>2004</v>
      </c>
    </row>
    <row r="4768" spans="1:3">
      <c r="A4768" s="68">
        <v>38334</v>
      </c>
      <c r="B4768" s="33">
        <v>2440.7199999999998</v>
      </c>
      <c r="C4768">
        <f t="shared" si="104"/>
        <v>2004</v>
      </c>
    </row>
    <row r="4769" spans="1:3">
      <c r="A4769" s="68">
        <v>38335</v>
      </c>
      <c r="B4769" s="32">
        <v>2416.29</v>
      </c>
      <c r="C4769">
        <f t="shared" si="104"/>
        <v>2004</v>
      </c>
    </row>
    <row r="4770" spans="1:3">
      <c r="A4770" s="68">
        <v>38336</v>
      </c>
      <c r="B4770" s="33">
        <v>2385.1</v>
      </c>
      <c r="C4770">
        <f t="shared" si="104"/>
        <v>2004</v>
      </c>
    </row>
    <row r="4771" spans="1:3">
      <c r="A4771" s="68">
        <v>38337</v>
      </c>
      <c r="B4771" s="32">
        <v>2376.37</v>
      </c>
      <c r="C4771">
        <f t="shared" si="104"/>
        <v>2004</v>
      </c>
    </row>
    <row r="4772" spans="1:3">
      <c r="A4772" s="68">
        <v>38338</v>
      </c>
      <c r="B4772" s="33">
        <v>2365.75</v>
      </c>
      <c r="C4772">
        <f t="shared" si="104"/>
        <v>2004</v>
      </c>
    </row>
    <row r="4773" spans="1:3">
      <c r="A4773" s="68">
        <v>38339</v>
      </c>
      <c r="B4773" s="32">
        <v>2361.46</v>
      </c>
      <c r="C4773">
        <f t="shared" si="104"/>
        <v>2004</v>
      </c>
    </row>
    <row r="4774" spans="1:3">
      <c r="A4774" s="68">
        <v>38340</v>
      </c>
      <c r="B4774" s="33">
        <v>2361.46</v>
      </c>
      <c r="C4774">
        <f t="shared" si="104"/>
        <v>2004</v>
      </c>
    </row>
    <row r="4775" spans="1:3">
      <c r="A4775" s="68">
        <v>38341</v>
      </c>
      <c r="B4775" s="32">
        <v>2361.46</v>
      </c>
      <c r="C4775">
        <f t="shared" si="104"/>
        <v>2004</v>
      </c>
    </row>
    <row r="4776" spans="1:3">
      <c r="A4776" s="68">
        <v>38342</v>
      </c>
      <c r="B4776" s="33">
        <v>2329.79</v>
      </c>
      <c r="C4776">
        <f t="shared" si="104"/>
        <v>2004</v>
      </c>
    </row>
    <row r="4777" spans="1:3">
      <c r="A4777" s="68">
        <v>38343</v>
      </c>
      <c r="B4777" s="32">
        <v>2316.12</v>
      </c>
      <c r="C4777">
        <f t="shared" si="104"/>
        <v>2004</v>
      </c>
    </row>
    <row r="4778" spans="1:3">
      <c r="A4778" s="68">
        <v>38344</v>
      </c>
      <c r="B4778" s="33">
        <v>2381.0300000000002</v>
      </c>
      <c r="C4778">
        <f t="shared" si="104"/>
        <v>2004</v>
      </c>
    </row>
    <row r="4779" spans="1:3">
      <c r="A4779" s="68">
        <v>38345</v>
      </c>
      <c r="B4779" s="32">
        <v>2404.4</v>
      </c>
      <c r="C4779">
        <f t="shared" si="104"/>
        <v>2004</v>
      </c>
    </row>
    <row r="4780" spans="1:3">
      <c r="A4780" s="68">
        <v>38346</v>
      </c>
      <c r="B4780" s="33">
        <v>2375.9899999999998</v>
      </c>
      <c r="C4780">
        <f t="shared" si="104"/>
        <v>2004</v>
      </c>
    </row>
    <row r="4781" spans="1:3">
      <c r="A4781" s="68">
        <v>38347</v>
      </c>
      <c r="B4781" s="32">
        <v>2375.9899999999998</v>
      </c>
      <c r="C4781">
        <f t="shared" si="104"/>
        <v>2004</v>
      </c>
    </row>
    <row r="4782" spans="1:3">
      <c r="A4782" s="68">
        <v>38348</v>
      </c>
      <c r="B4782" s="33">
        <v>2375.9899999999998</v>
      </c>
      <c r="C4782">
        <f t="shared" si="104"/>
        <v>2004</v>
      </c>
    </row>
    <row r="4783" spans="1:3">
      <c r="A4783" s="68">
        <v>38349</v>
      </c>
      <c r="B4783" s="32">
        <v>2385.3200000000002</v>
      </c>
      <c r="C4783">
        <f t="shared" si="104"/>
        <v>2004</v>
      </c>
    </row>
    <row r="4784" spans="1:3">
      <c r="A4784" s="68">
        <v>38350</v>
      </c>
      <c r="B4784" s="33">
        <v>2415.37</v>
      </c>
      <c r="C4784">
        <f t="shared" si="104"/>
        <v>2004</v>
      </c>
    </row>
    <row r="4785" spans="1:3">
      <c r="A4785" s="68">
        <v>38351</v>
      </c>
      <c r="B4785" s="32">
        <v>2412.1</v>
      </c>
      <c r="C4785">
        <f t="shared" si="104"/>
        <v>2004</v>
      </c>
    </row>
    <row r="4786" spans="1:3">
      <c r="A4786" s="68">
        <v>38352</v>
      </c>
      <c r="B4786" s="33">
        <v>2389.75</v>
      </c>
      <c r="C4786">
        <f t="shared" si="104"/>
        <v>2004</v>
      </c>
    </row>
    <row r="4787" spans="1:3">
      <c r="A4787" s="68">
        <v>38353</v>
      </c>
      <c r="B4787" s="32">
        <v>2389.75</v>
      </c>
      <c r="C4787">
        <f t="shared" si="104"/>
        <v>2005</v>
      </c>
    </row>
    <row r="4788" spans="1:3">
      <c r="A4788" s="68">
        <v>38354</v>
      </c>
      <c r="B4788" s="33">
        <v>2389.75</v>
      </c>
      <c r="C4788">
        <f t="shared" si="104"/>
        <v>2005</v>
      </c>
    </row>
    <row r="4789" spans="1:3">
      <c r="A4789" s="68">
        <v>38355</v>
      </c>
      <c r="B4789" s="32">
        <v>2389.75</v>
      </c>
      <c r="C4789">
        <f t="shared" si="104"/>
        <v>2005</v>
      </c>
    </row>
    <row r="4790" spans="1:3">
      <c r="A4790" s="68">
        <v>38356</v>
      </c>
      <c r="B4790" s="33">
        <v>2338.84</v>
      </c>
      <c r="C4790">
        <f t="shared" si="104"/>
        <v>2005</v>
      </c>
    </row>
    <row r="4791" spans="1:3">
      <c r="A4791" s="68">
        <v>38357</v>
      </c>
      <c r="B4791" s="32">
        <v>2315.4499999999998</v>
      </c>
      <c r="C4791">
        <f t="shared" si="104"/>
        <v>2005</v>
      </c>
    </row>
    <row r="4792" spans="1:3">
      <c r="A4792" s="68">
        <v>38358</v>
      </c>
      <c r="B4792" s="33">
        <v>2344.4499999999998</v>
      </c>
      <c r="C4792">
        <f t="shared" si="104"/>
        <v>2005</v>
      </c>
    </row>
    <row r="4793" spans="1:3">
      <c r="A4793" s="68">
        <v>38359</v>
      </c>
      <c r="B4793" s="32">
        <v>2386.67</v>
      </c>
      <c r="C4793">
        <f t="shared" si="104"/>
        <v>2005</v>
      </c>
    </row>
    <row r="4794" spans="1:3">
      <c r="A4794" s="68">
        <v>38360</v>
      </c>
      <c r="B4794" s="33">
        <v>2358.54</v>
      </c>
      <c r="C4794">
        <f t="shared" si="104"/>
        <v>2005</v>
      </c>
    </row>
    <row r="4795" spans="1:3">
      <c r="A4795" s="68">
        <v>38361</v>
      </c>
      <c r="B4795" s="32">
        <v>2358.54</v>
      </c>
      <c r="C4795">
        <f t="shared" si="104"/>
        <v>2005</v>
      </c>
    </row>
    <row r="4796" spans="1:3">
      <c r="A4796" s="68">
        <v>38362</v>
      </c>
      <c r="B4796" s="33">
        <v>2358.54</v>
      </c>
      <c r="C4796">
        <f t="shared" si="104"/>
        <v>2005</v>
      </c>
    </row>
    <row r="4797" spans="1:3">
      <c r="A4797" s="68">
        <v>38363</v>
      </c>
      <c r="B4797" s="32">
        <v>2358.54</v>
      </c>
      <c r="C4797">
        <f t="shared" si="104"/>
        <v>2005</v>
      </c>
    </row>
    <row r="4798" spans="1:3">
      <c r="A4798" s="68">
        <v>38364</v>
      </c>
      <c r="B4798" s="33">
        <v>2380.96</v>
      </c>
      <c r="C4798">
        <f t="shared" si="104"/>
        <v>2005</v>
      </c>
    </row>
    <row r="4799" spans="1:3">
      <c r="A4799" s="68">
        <v>38365</v>
      </c>
      <c r="B4799" s="32">
        <v>2358.64</v>
      </c>
      <c r="C4799">
        <f t="shared" si="104"/>
        <v>2005</v>
      </c>
    </row>
    <row r="4800" spans="1:3">
      <c r="A4800" s="68">
        <v>38366</v>
      </c>
      <c r="B4800" s="33">
        <v>2340.42</v>
      </c>
      <c r="C4800">
        <f t="shared" si="104"/>
        <v>2005</v>
      </c>
    </row>
    <row r="4801" spans="1:3">
      <c r="A4801" s="68">
        <v>38367</v>
      </c>
      <c r="B4801" s="32">
        <v>2351.23</v>
      </c>
      <c r="C4801">
        <f t="shared" si="104"/>
        <v>2005</v>
      </c>
    </row>
    <row r="4802" spans="1:3">
      <c r="A4802" s="68">
        <v>38368</v>
      </c>
      <c r="B4802" s="33">
        <v>2351.23</v>
      </c>
      <c r="C4802">
        <f t="shared" si="104"/>
        <v>2005</v>
      </c>
    </row>
    <row r="4803" spans="1:3">
      <c r="A4803" s="68">
        <v>38369</v>
      </c>
      <c r="B4803" s="32">
        <v>2351.23</v>
      </c>
      <c r="C4803">
        <f t="shared" si="104"/>
        <v>2005</v>
      </c>
    </row>
    <row r="4804" spans="1:3">
      <c r="A4804" s="68">
        <v>38370</v>
      </c>
      <c r="B4804" s="33">
        <v>2351.23</v>
      </c>
      <c r="C4804">
        <f t="shared" ref="C4804:C4867" si="105">YEAR(A4804)</f>
        <v>2005</v>
      </c>
    </row>
    <row r="4805" spans="1:3">
      <c r="A4805" s="68">
        <v>38371</v>
      </c>
      <c r="B4805" s="32">
        <v>2371.77</v>
      </c>
      <c r="C4805">
        <f t="shared" si="105"/>
        <v>2005</v>
      </c>
    </row>
    <row r="4806" spans="1:3">
      <c r="A4806" s="68">
        <v>38372</v>
      </c>
      <c r="B4806" s="33">
        <v>2363.69</v>
      </c>
      <c r="C4806">
        <f t="shared" si="105"/>
        <v>2005</v>
      </c>
    </row>
    <row r="4807" spans="1:3">
      <c r="A4807" s="68">
        <v>38373</v>
      </c>
      <c r="B4807" s="32">
        <v>2381.54</v>
      </c>
      <c r="C4807">
        <f t="shared" si="105"/>
        <v>2005</v>
      </c>
    </row>
    <row r="4808" spans="1:3">
      <c r="A4808" s="68">
        <v>38374</v>
      </c>
      <c r="B4808" s="33">
        <v>2373.86</v>
      </c>
      <c r="C4808">
        <f t="shared" si="105"/>
        <v>2005</v>
      </c>
    </row>
    <row r="4809" spans="1:3">
      <c r="A4809" s="68">
        <v>38375</v>
      </c>
      <c r="B4809" s="32">
        <v>2373.86</v>
      </c>
      <c r="C4809">
        <f t="shared" si="105"/>
        <v>2005</v>
      </c>
    </row>
    <row r="4810" spans="1:3">
      <c r="A4810" s="68">
        <v>38376</v>
      </c>
      <c r="B4810" s="33">
        <v>2373.86</v>
      </c>
      <c r="C4810">
        <f t="shared" si="105"/>
        <v>2005</v>
      </c>
    </row>
    <row r="4811" spans="1:3">
      <c r="A4811" s="68">
        <v>38377</v>
      </c>
      <c r="B4811" s="32">
        <v>2370.77</v>
      </c>
      <c r="C4811">
        <f t="shared" si="105"/>
        <v>2005</v>
      </c>
    </row>
    <row r="4812" spans="1:3">
      <c r="A4812" s="68">
        <v>38378</v>
      </c>
      <c r="B4812" s="33">
        <v>2370.08</v>
      </c>
      <c r="C4812">
        <f t="shared" si="105"/>
        <v>2005</v>
      </c>
    </row>
    <row r="4813" spans="1:3">
      <c r="A4813" s="68">
        <v>38379</v>
      </c>
      <c r="B4813" s="32">
        <v>2370.9499999999998</v>
      </c>
      <c r="C4813">
        <f t="shared" si="105"/>
        <v>2005</v>
      </c>
    </row>
    <row r="4814" spans="1:3">
      <c r="A4814" s="68">
        <v>38380</v>
      </c>
      <c r="B4814" s="33">
        <v>2372.63</v>
      </c>
      <c r="C4814">
        <f t="shared" si="105"/>
        <v>2005</v>
      </c>
    </row>
    <row r="4815" spans="1:3">
      <c r="A4815" s="68">
        <v>38381</v>
      </c>
      <c r="B4815" s="32">
        <v>2367.7600000000002</v>
      </c>
      <c r="C4815">
        <f t="shared" si="105"/>
        <v>2005</v>
      </c>
    </row>
    <row r="4816" spans="1:3">
      <c r="A4816" s="68">
        <v>38382</v>
      </c>
      <c r="B4816" s="33">
        <v>2367.7600000000002</v>
      </c>
      <c r="C4816">
        <f t="shared" si="105"/>
        <v>2005</v>
      </c>
    </row>
    <row r="4817" spans="1:3">
      <c r="A4817" s="68">
        <v>38383</v>
      </c>
      <c r="B4817" s="32">
        <v>2367.7600000000002</v>
      </c>
      <c r="C4817">
        <f t="shared" si="105"/>
        <v>2005</v>
      </c>
    </row>
    <row r="4818" spans="1:3">
      <c r="A4818" s="68">
        <v>38384</v>
      </c>
      <c r="B4818" s="33">
        <v>2363.75</v>
      </c>
      <c r="C4818">
        <f t="shared" si="105"/>
        <v>2005</v>
      </c>
    </row>
    <row r="4819" spans="1:3">
      <c r="A4819" s="68">
        <v>38385</v>
      </c>
      <c r="B4819" s="32">
        <v>2358.16</v>
      </c>
      <c r="C4819">
        <f t="shared" si="105"/>
        <v>2005</v>
      </c>
    </row>
    <row r="4820" spans="1:3">
      <c r="A4820" s="68">
        <v>38386</v>
      </c>
      <c r="B4820" s="33">
        <v>2364.13</v>
      </c>
      <c r="C4820">
        <f t="shared" si="105"/>
        <v>2005</v>
      </c>
    </row>
    <row r="4821" spans="1:3">
      <c r="A4821" s="68">
        <v>38387</v>
      </c>
      <c r="B4821" s="32">
        <v>2365.08</v>
      </c>
      <c r="C4821">
        <f t="shared" si="105"/>
        <v>2005</v>
      </c>
    </row>
    <row r="4822" spans="1:3">
      <c r="A4822" s="68">
        <v>38388</v>
      </c>
      <c r="B4822" s="33">
        <v>2361.92</v>
      </c>
      <c r="C4822">
        <f t="shared" si="105"/>
        <v>2005</v>
      </c>
    </row>
    <row r="4823" spans="1:3">
      <c r="A4823" s="68">
        <v>38389</v>
      </c>
      <c r="B4823" s="32">
        <v>2361.92</v>
      </c>
      <c r="C4823">
        <f t="shared" si="105"/>
        <v>2005</v>
      </c>
    </row>
    <row r="4824" spans="1:3">
      <c r="A4824" s="68">
        <v>38390</v>
      </c>
      <c r="B4824" s="33">
        <v>2361.92</v>
      </c>
      <c r="C4824">
        <f t="shared" si="105"/>
        <v>2005</v>
      </c>
    </row>
    <row r="4825" spans="1:3">
      <c r="A4825" s="68">
        <v>38391</v>
      </c>
      <c r="B4825" s="32">
        <v>2365.79</v>
      </c>
      <c r="C4825">
        <f t="shared" si="105"/>
        <v>2005</v>
      </c>
    </row>
    <row r="4826" spans="1:3">
      <c r="A4826" s="68">
        <v>38392</v>
      </c>
      <c r="B4826" s="33">
        <v>2364.16</v>
      </c>
      <c r="C4826">
        <f t="shared" si="105"/>
        <v>2005</v>
      </c>
    </row>
    <row r="4827" spans="1:3">
      <c r="A4827" s="68">
        <v>38393</v>
      </c>
      <c r="B4827" s="32">
        <v>2358.61</v>
      </c>
      <c r="C4827">
        <f t="shared" si="105"/>
        <v>2005</v>
      </c>
    </row>
    <row r="4828" spans="1:3">
      <c r="A4828" s="68">
        <v>38394</v>
      </c>
      <c r="B4828" s="33">
        <v>2344.94</v>
      </c>
      <c r="C4828">
        <f t="shared" si="105"/>
        <v>2005</v>
      </c>
    </row>
    <row r="4829" spans="1:3">
      <c r="A4829" s="68">
        <v>38395</v>
      </c>
      <c r="B4829" s="32">
        <v>2346.04</v>
      </c>
      <c r="C4829">
        <f t="shared" si="105"/>
        <v>2005</v>
      </c>
    </row>
    <row r="4830" spans="1:3">
      <c r="A4830" s="68">
        <v>38396</v>
      </c>
      <c r="B4830" s="33">
        <v>2346.04</v>
      </c>
      <c r="C4830">
        <f t="shared" si="105"/>
        <v>2005</v>
      </c>
    </row>
    <row r="4831" spans="1:3">
      <c r="A4831" s="68">
        <v>38397</v>
      </c>
      <c r="B4831" s="32">
        <v>2346.04</v>
      </c>
      <c r="C4831">
        <f t="shared" si="105"/>
        <v>2005</v>
      </c>
    </row>
    <row r="4832" spans="1:3">
      <c r="A4832" s="68">
        <v>38398</v>
      </c>
      <c r="B4832" s="33">
        <v>2338.27</v>
      </c>
      <c r="C4832">
        <f t="shared" si="105"/>
        <v>2005</v>
      </c>
    </row>
    <row r="4833" spans="1:3">
      <c r="A4833" s="68">
        <v>38399</v>
      </c>
      <c r="B4833" s="32">
        <v>2330.62</v>
      </c>
      <c r="C4833">
        <f t="shared" si="105"/>
        <v>2005</v>
      </c>
    </row>
    <row r="4834" spans="1:3">
      <c r="A4834" s="68">
        <v>38400</v>
      </c>
      <c r="B4834" s="33">
        <v>2331.6999999999998</v>
      </c>
      <c r="C4834">
        <f t="shared" si="105"/>
        <v>2005</v>
      </c>
    </row>
    <row r="4835" spans="1:3">
      <c r="A4835" s="68">
        <v>38401</v>
      </c>
      <c r="B4835" s="32">
        <v>2327.4499999999998</v>
      </c>
      <c r="C4835">
        <f t="shared" si="105"/>
        <v>2005</v>
      </c>
    </row>
    <row r="4836" spans="1:3">
      <c r="A4836" s="68">
        <v>38402</v>
      </c>
      <c r="B4836" s="33">
        <v>2318.12</v>
      </c>
      <c r="C4836">
        <f t="shared" si="105"/>
        <v>2005</v>
      </c>
    </row>
    <row r="4837" spans="1:3">
      <c r="A4837" s="68">
        <v>38403</v>
      </c>
      <c r="B4837" s="32">
        <v>2318.12</v>
      </c>
      <c r="C4837">
        <f t="shared" si="105"/>
        <v>2005</v>
      </c>
    </row>
    <row r="4838" spans="1:3">
      <c r="A4838" s="68">
        <v>38404</v>
      </c>
      <c r="B4838" s="33">
        <v>2318.12</v>
      </c>
      <c r="C4838">
        <f t="shared" si="105"/>
        <v>2005</v>
      </c>
    </row>
    <row r="4839" spans="1:3">
      <c r="A4839" s="68">
        <v>38405</v>
      </c>
      <c r="B4839" s="32">
        <v>2318.12</v>
      </c>
      <c r="C4839">
        <f t="shared" si="105"/>
        <v>2005</v>
      </c>
    </row>
    <row r="4840" spans="1:3">
      <c r="A4840" s="68">
        <v>38406</v>
      </c>
      <c r="B4840" s="33">
        <v>2311.83</v>
      </c>
      <c r="C4840">
        <f t="shared" si="105"/>
        <v>2005</v>
      </c>
    </row>
    <row r="4841" spans="1:3">
      <c r="A4841" s="68">
        <v>38407</v>
      </c>
      <c r="B4841" s="32">
        <v>2308.58</v>
      </c>
      <c r="C4841">
        <f t="shared" si="105"/>
        <v>2005</v>
      </c>
    </row>
    <row r="4842" spans="1:3">
      <c r="A4842" s="68">
        <v>38408</v>
      </c>
      <c r="B4842" s="33">
        <v>2308.6999999999998</v>
      </c>
      <c r="C4842">
        <f t="shared" si="105"/>
        <v>2005</v>
      </c>
    </row>
    <row r="4843" spans="1:3">
      <c r="A4843" s="68">
        <v>38409</v>
      </c>
      <c r="B4843" s="32">
        <v>2323.77</v>
      </c>
      <c r="C4843">
        <f t="shared" si="105"/>
        <v>2005</v>
      </c>
    </row>
    <row r="4844" spans="1:3">
      <c r="A4844" s="68">
        <v>38410</v>
      </c>
      <c r="B4844" s="33">
        <v>2323.77</v>
      </c>
      <c r="C4844">
        <f t="shared" si="105"/>
        <v>2005</v>
      </c>
    </row>
    <row r="4845" spans="1:3">
      <c r="A4845" s="68">
        <v>38411</v>
      </c>
      <c r="B4845" s="32">
        <v>2323.77</v>
      </c>
      <c r="C4845">
        <f t="shared" si="105"/>
        <v>2005</v>
      </c>
    </row>
    <row r="4846" spans="1:3">
      <c r="A4846" s="68">
        <v>38412</v>
      </c>
      <c r="B4846" s="33">
        <v>2327.98</v>
      </c>
      <c r="C4846">
        <f t="shared" si="105"/>
        <v>2005</v>
      </c>
    </row>
    <row r="4847" spans="1:3">
      <c r="A4847" s="68">
        <v>38413</v>
      </c>
      <c r="B4847" s="32">
        <v>2329.67</v>
      </c>
      <c r="C4847">
        <f t="shared" si="105"/>
        <v>2005</v>
      </c>
    </row>
    <row r="4848" spans="1:3">
      <c r="A4848" s="68">
        <v>38414</v>
      </c>
      <c r="B4848" s="33">
        <v>2333.65</v>
      </c>
      <c r="C4848">
        <f t="shared" si="105"/>
        <v>2005</v>
      </c>
    </row>
    <row r="4849" spans="1:3">
      <c r="A4849" s="68">
        <v>38415</v>
      </c>
      <c r="B4849" s="32">
        <v>2333.6999999999998</v>
      </c>
      <c r="C4849">
        <f t="shared" si="105"/>
        <v>2005</v>
      </c>
    </row>
    <row r="4850" spans="1:3">
      <c r="A4850" s="68">
        <v>38416</v>
      </c>
      <c r="B4850" s="33">
        <v>2338.9299999999998</v>
      </c>
      <c r="C4850">
        <f t="shared" si="105"/>
        <v>2005</v>
      </c>
    </row>
    <row r="4851" spans="1:3">
      <c r="A4851" s="68">
        <v>38417</v>
      </c>
      <c r="B4851" s="32">
        <v>2338.9299999999998</v>
      </c>
      <c r="C4851">
        <f t="shared" si="105"/>
        <v>2005</v>
      </c>
    </row>
    <row r="4852" spans="1:3">
      <c r="A4852" s="68">
        <v>38418</v>
      </c>
      <c r="B4852" s="33">
        <v>2338.9299999999998</v>
      </c>
      <c r="C4852">
        <f t="shared" si="105"/>
        <v>2005</v>
      </c>
    </row>
    <row r="4853" spans="1:3">
      <c r="A4853" s="68">
        <v>38419</v>
      </c>
      <c r="B4853" s="32">
        <v>2324.89</v>
      </c>
      <c r="C4853">
        <f t="shared" si="105"/>
        <v>2005</v>
      </c>
    </row>
    <row r="4854" spans="1:3">
      <c r="A4854" s="68">
        <v>38420</v>
      </c>
      <c r="B4854" s="33">
        <v>2325.69</v>
      </c>
      <c r="C4854">
        <f t="shared" si="105"/>
        <v>2005</v>
      </c>
    </row>
    <row r="4855" spans="1:3">
      <c r="A4855" s="68">
        <v>38421</v>
      </c>
      <c r="B4855" s="32">
        <v>2334.11</v>
      </c>
      <c r="C4855">
        <f t="shared" si="105"/>
        <v>2005</v>
      </c>
    </row>
    <row r="4856" spans="1:3">
      <c r="A4856" s="68">
        <v>38422</v>
      </c>
      <c r="B4856" s="33">
        <v>2340.34</v>
      </c>
      <c r="C4856">
        <f t="shared" si="105"/>
        <v>2005</v>
      </c>
    </row>
    <row r="4857" spans="1:3">
      <c r="A4857" s="68">
        <v>38423</v>
      </c>
      <c r="B4857" s="32">
        <v>2332.7199999999998</v>
      </c>
      <c r="C4857">
        <f t="shared" si="105"/>
        <v>2005</v>
      </c>
    </row>
    <row r="4858" spans="1:3">
      <c r="A4858" s="68">
        <v>38424</v>
      </c>
      <c r="B4858" s="33">
        <v>2332.7199999999998</v>
      </c>
      <c r="C4858">
        <f t="shared" si="105"/>
        <v>2005</v>
      </c>
    </row>
    <row r="4859" spans="1:3">
      <c r="A4859" s="68">
        <v>38425</v>
      </c>
      <c r="B4859" s="32">
        <v>2332.7199999999998</v>
      </c>
      <c r="C4859">
        <f t="shared" si="105"/>
        <v>2005</v>
      </c>
    </row>
    <row r="4860" spans="1:3">
      <c r="A4860" s="68">
        <v>38426</v>
      </c>
      <c r="B4860" s="33">
        <v>2346.71</v>
      </c>
      <c r="C4860">
        <f t="shared" si="105"/>
        <v>2005</v>
      </c>
    </row>
    <row r="4861" spans="1:3">
      <c r="A4861" s="68">
        <v>38427</v>
      </c>
      <c r="B4861" s="32">
        <v>2362.36</v>
      </c>
      <c r="C4861">
        <f t="shared" si="105"/>
        <v>2005</v>
      </c>
    </row>
    <row r="4862" spans="1:3">
      <c r="A4862" s="68">
        <v>38428</v>
      </c>
      <c r="B4862" s="33">
        <v>2386.4699999999998</v>
      </c>
      <c r="C4862">
        <f t="shared" si="105"/>
        <v>2005</v>
      </c>
    </row>
    <row r="4863" spans="1:3">
      <c r="A4863" s="68">
        <v>38429</v>
      </c>
      <c r="B4863" s="32">
        <v>2374.46</v>
      </c>
      <c r="C4863">
        <f t="shared" si="105"/>
        <v>2005</v>
      </c>
    </row>
    <row r="4864" spans="1:3">
      <c r="A4864" s="68">
        <v>38430</v>
      </c>
      <c r="B4864" s="33">
        <v>2371.4299999999998</v>
      </c>
      <c r="C4864">
        <f t="shared" si="105"/>
        <v>2005</v>
      </c>
    </row>
    <row r="4865" spans="1:3">
      <c r="A4865" s="68">
        <v>38431</v>
      </c>
      <c r="B4865" s="32">
        <v>2371.4299999999998</v>
      </c>
      <c r="C4865">
        <f t="shared" si="105"/>
        <v>2005</v>
      </c>
    </row>
    <row r="4866" spans="1:3">
      <c r="A4866" s="68">
        <v>38432</v>
      </c>
      <c r="B4866" s="33">
        <v>2371.4299999999998</v>
      </c>
      <c r="C4866">
        <f t="shared" si="105"/>
        <v>2005</v>
      </c>
    </row>
    <row r="4867" spans="1:3">
      <c r="A4867" s="68">
        <v>38433</v>
      </c>
      <c r="B4867" s="32">
        <v>2371.4299999999998</v>
      </c>
      <c r="C4867">
        <f t="shared" si="105"/>
        <v>2005</v>
      </c>
    </row>
    <row r="4868" spans="1:3">
      <c r="A4868" s="68">
        <v>38434</v>
      </c>
      <c r="B4868" s="33">
        <v>2361.7800000000002</v>
      </c>
      <c r="C4868">
        <f t="shared" ref="C4868:C4931" si="106">YEAR(A4868)</f>
        <v>2005</v>
      </c>
    </row>
    <row r="4869" spans="1:3">
      <c r="A4869" s="68">
        <v>38435</v>
      </c>
      <c r="B4869" s="32">
        <v>2382.3000000000002</v>
      </c>
      <c r="C4869">
        <f t="shared" si="106"/>
        <v>2005</v>
      </c>
    </row>
    <row r="4870" spans="1:3">
      <c r="A4870" s="68">
        <v>38436</v>
      </c>
      <c r="B4870" s="33">
        <v>2382.3000000000002</v>
      </c>
      <c r="C4870">
        <f t="shared" si="106"/>
        <v>2005</v>
      </c>
    </row>
    <row r="4871" spans="1:3">
      <c r="A4871" s="68">
        <v>38437</v>
      </c>
      <c r="B4871" s="32">
        <v>2382.3000000000002</v>
      </c>
      <c r="C4871">
        <f t="shared" si="106"/>
        <v>2005</v>
      </c>
    </row>
    <row r="4872" spans="1:3">
      <c r="A4872" s="68">
        <v>38438</v>
      </c>
      <c r="B4872" s="33">
        <v>2382.3000000000002</v>
      </c>
      <c r="C4872">
        <f t="shared" si="106"/>
        <v>2005</v>
      </c>
    </row>
    <row r="4873" spans="1:3">
      <c r="A4873" s="68">
        <v>38439</v>
      </c>
      <c r="B4873" s="32">
        <v>2382.3000000000002</v>
      </c>
      <c r="C4873">
        <f t="shared" si="106"/>
        <v>2005</v>
      </c>
    </row>
    <row r="4874" spans="1:3">
      <c r="A4874" s="68">
        <v>38440</v>
      </c>
      <c r="B4874" s="33">
        <v>2397.25</v>
      </c>
      <c r="C4874">
        <f t="shared" si="106"/>
        <v>2005</v>
      </c>
    </row>
    <row r="4875" spans="1:3">
      <c r="A4875" s="68">
        <v>38441</v>
      </c>
      <c r="B4875" s="32">
        <v>2393.3200000000002</v>
      </c>
      <c r="C4875">
        <f t="shared" si="106"/>
        <v>2005</v>
      </c>
    </row>
    <row r="4876" spans="1:3">
      <c r="A4876" s="68">
        <v>38442</v>
      </c>
      <c r="B4876" s="33">
        <v>2376.48</v>
      </c>
      <c r="C4876">
        <f t="shared" si="106"/>
        <v>2005</v>
      </c>
    </row>
    <row r="4877" spans="1:3">
      <c r="A4877" s="68">
        <v>38443</v>
      </c>
      <c r="B4877" s="32">
        <v>2363.23</v>
      </c>
      <c r="C4877">
        <f t="shared" si="106"/>
        <v>2005</v>
      </c>
    </row>
    <row r="4878" spans="1:3">
      <c r="A4878" s="68">
        <v>38444</v>
      </c>
      <c r="B4878" s="33">
        <v>2365.98</v>
      </c>
      <c r="C4878">
        <f t="shared" si="106"/>
        <v>2005</v>
      </c>
    </row>
    <row r="4879" spans="1:3">
      <c r="A4879" s="68">
        <v>38445</v>
      </c>
      <c r="B4879" s="32">
        <v>2365.98</v>
      </c>
      <c r="C4879">
        <f t="shared" si="106"/>
        <v>2005</v>
      </c>
    </row>
    <row r="4880" spans="1:3">
      <c r="A4880" s="68">
        <v>38446</v>
      </c>
      <c r="B4880" s="33">
        <v>2365.98</v>
      </c>
      <c r="C4880">
        <f t="shared" si="106"/>
        <v>2005</v>
      </c>
    </row>
    <row r="4881" spans="1:3">
      <c r="A4881" s="68">
        <v>38447</v>
      </c>
      <c r="B4881" s="32">
        <v>2374.4699999999998</v>
      </c>
      <c r="C4881">
        <f t="shared" si="106"/>
        <v>2005</v>
      </c>
    </row>
    <row r="4882" spans="1:3">
      <c r="A4882" s="68">
        <v>38448</v>
      </c>
      <c r="B4882" s="33">
        <v>2369.67</v>
      </c>
      <c r="C4882">
        <f t="shared" si="106"/>
        <v>2005</v>
      </c>
    </row>
    <row r="4883" spans="1:3">
      <c r="A4883" s="68">
        <v>38449</v>
      </c>
      <c r="B4883" s="32">
        <v>2362.2800000000002</v>
      </c>
      <c r="C4883">
        <f t="shared" si="106"/>
        <v>2005</v>
      </c>
    </row>
    <row r="4884" spans="1:3">
      <c r="A4884" s="68">
        <v>38450</v>
      </c>
      <c r="B4884" s="33">
        <v>2353.16</v>
      </c>
      <c r="C4884">
        <f t="shared" si="106"/>
        <v>2005</v>
      </c>
    </row>
    <row r="4885" spans="1:3">
      <c r="A4885" s="68">
        <v>38451</v>
      </c>
      <c r="B4885" s="32">
        <v>2349.8000000000002</v>
      </c>
      <c r="C4885">
        <f t="shared" si="106"/>
        <v>2005</v>
      </c>
    </row>
    <row r="4886" spans="1:3">
      <c r="A4886" s="68">
        <v>38452</v>
      </c>
      <c r="B4886" s="33">
        <v>2349.8000000000002</v>
      </c>
      <c r="C4886">
        <f t="shared" si="106"/>
        <v>2005</v>
      </c>
    </row>
    <row r="4887" spans="1:3">
      <c r="A4887" s="68">
        <v>38453</v>
      </c>
      <c r="B4887" s="32">
        <v>2349.8000000000002</v>
      </c>
      <c r="C4887">
        <f t="shared" si="106"/>
        <v>2005</v>
      </c>
    </row>
    <row r="4888" spans="1:3">
      <c r="A4888" s="68">
        <v>38454</v>
      </c>
      <c r="B4888" s="33">
        <v>2331.9499999999998</v>
      </c>
      <c r="C4888">
        <f t="shared" si="106"/>
        <v>2005</v>
      </c>
    </row>
    <row r="4889" spans="1:3">
      <c r="A4889" s="68">
        <v>38455</v>
      </c>
      <c r="B4889" s="32">
        <v>2335.4</v>
      </c>
      <c r="C4889">
        <f t="shared" si="106"/>
        <v>2005</v>
      </c>
    </row>
    <row r="4890" spans="1:3">
      <c r="A4890" s="68">
        <v>38456</v>
      </c>
      <c r="B4890" s="33">
        <v>2328.7399999999998</v>
      </c>
      <c r="C4890">
        <f t="shared" si="106"/>
        <v>2005</v>
      </c>
    </row>
    <row r="4891" spans="1:3">
      <c r="A4891" s="68">
        <v>38457</v>
      </c>
      <c r="B4891" s="32">
        <v>2346.09</v>
      </c>
      <c r="C4891">
        <f t="shared" si="106"/>
        <v>2005</v>
      </c>
    </row>
    <row r="4892" spans="1:3">
      <c r="A4892" s="68">
        <v>38458</v>
      </c>
      <c r="B4892" s="33">
        <v>2363.96</v>
      </c>
      <c r="C4892">
        <f t="shared" si="106"/>
        <v>2005</v>
      </c>
    </row>
    <row r="4893" spans="1:3">
      <c r="A4893" s="68">
        <v>38459</v>
      </c>
      <c r="B4893" s="32">
        <v>2363.96</v>
      </c>
      <c r="C4893">
        <f t="shared" si="106"/>
        <v>2005</v>
      </c>
    </row>
    <row r="4894" spans="1:3">
      <c r="A4894" s="68">
        <v>38460</v>
      </c>
      <c r="B4894" s="33">
        <v>2363.96</v>
      </c>
      <c r="C4894">
        <f t="shared" si="106"/>
        <v>2005</v>
      </c>
    </row>
    <row r="4895" spans="1:3">
      <c r="A4895" s="68">
        <v>38461</v>
      </c>
      <c r="B4895" s="32">
        <v>2363.3000000000002</v>
      </c>
      <c r="C4895">
        <f t="shared" si="106"/>
        <v>2005</v>
      </c>
    </row>
    <row r="4896" spans="1:3">
      <c r="A4896" s="68">
        <v>38462</v>
      </c>
      <c r="B4896" s="33">
        <v>2355.64</v>
      </c>
      <c r="C4896">
        <f t="shared" si="106"/>
        <v>2005</v>
      </c>
    </row>
    <row r="4897" spans="1:3">
      <c r="A4897" s="68">
        <v>38463</v>
      </c>
      <c r="B4897" s="32">
        <v>2344.4499999999998</v>
      </c>
      <c r="C4897">
        <f t="shared" si="106"/>
        <v>2005</v>
      </c>
    </row>
    <row r="4898" spans="1:3">
      <c r="A4898" s="68">
        <v>38464</v>
      </c>
      <c r="B4898" s="33">
        <v>2336.35</v>
      </c>
      <c r="C4898">
        <f t="shared" si="106"/>
        <v>2005</v>
      </c>
    </row>
    <row r="4899" spans="1:3">
      <c r="A4899" s="68">
        <v>38465</v>
      </c>
      <c r="B4899" s="32">
        <v>2336.25</v>
      </c>
      <c r="C4899">
        <f t="shared" si="106"/>
        <v>2005</v>
      </c>
    </row>
    <row r="4900" spans="1:3">
      <c r="A4900" s="68">
        <v>38466</v>
      </c>
      <c r="B4900" s="33">
        <v>2336.25</v>
      </c>
      <c r="C4900">
        <f t="shared" si="106"/>
        <v>2005</v>
      </c>
    </row>
    <row r="4901" spans="1:3">
      <c r="A4901" s="68">
        <v>38467</v>
      </c>
      <c r="B4901" s="32">
        <v>2336.25</v>
      </c>
      <c r="C4901">
        <f t="shared" si="106"/>
        <v>2005</v>
      </c>
    </row>
    <row r="4902" spans="1:3">
      <c r="A4902" s="68">
        <v>38468</v>
      </c>
      <c r="B4902" s="33">
        <v>2343.9699999999998</v>
      </c>
      <c r="C4902">
        <f t="shared" si="106"/>
        <v>2005</v>
      </c>
    </row>
    <row r="4903" spans="1:3">
      <c r="A4903" s="68">
        <v>38469</v>
      </c>
      <c r="B4903" s="32">
        <v>2342.56</v>
      </c>
      <c r="C4903">
        <f t="shared" si="106"/>
        <v>2005</v>
      </c>
    </row>
    <row r="4904" spans="1:3">
      <c r="A4904" s="68">
        <v>38470</v>
      </c>
      <c r="B4904" s="33">
        <v>2338.0700000000002</v>
      </c>
      <c r="C4904">
        <f t="shared" si="106"/>
        <v>2005</v>
      </c>
    </row>
    <row r="4905" spans="1:3">
      <c r="A4905" s="68">
        <v>38471</v>
      </c>
      <c r="B4905" s="32">
        <v>2344.87</v>
      </c>
      <c r="C4905">
        <f t="shared" si="106"/>
        <v>2005</v>
      </c>
    </row>
    <row r="4906" spans="1:3">
      <c r="A4906" s="68">
        <v>38472</v>
      </c>
      <c r="B4906" s="33">
        <v>2348.3200000000002</v>
      </c>
      <c r="C4906">
        <f t="shared" si="106"/>
        <v>2005</v>
      </c>
    </row>
    <row r="4907" spans="1:3">
      <c r="A4907" s="68">
        <v>38473</v>
      </c>
      <c r="B4907" s="32">
        <v>2348.3200000000002</v>
      </c>
      <c r="C4907">
        <f t="shared" si="106"/>
        <v>2005</v>
      </c>
    </row>
    <row r="4908" spans="1:3">
      <c r="A4908" s="68">
        <v>38474</v>
      </c>
      <c r="B4908" s="33">
        <v>2348.3200000000002</v>
      </c>
      <c r="C4908">
        <f t="shared" si="106"/>
        <v>2005</v>
      </c>
    </row>
    <row r="4909" spans="1:3">
      <c r="A4909" s="68">
        <v>38475</v>
      </c>
      <c r="B4909" s="32">
        <v>2349.59</v>
      </c>
      <c r="C4909">
        <f t="shared" si="106"/>
        <v>2005</v>
      </c>
    </row>
    <row r="4910" spans="1:3">
      <c r="A4910" s="68">
        <v>38476</v>
      </c>
      <c r="B4910" s="33">
        <v>2345.4499999999998</v>
      </c>
      <c r="C4910">
        <f t="shared" si="106"/>
        <v>2005</v>
      </c>
    </row>
    <row r="4911" spans="1:3">
      <c r="A4911" s="68">
        <v>38477</v>
      </c>
      <c r="B4911" s="32">
        <v>2337.08</v>
      </c>
      <c r="C4911">
        <f t="shared" si="106"/>
        <v>2005</v>
      </c>
    </row>
    <row r="4912" spans="1:3">
      <c r="A4912" s="68">
        <v>38478</v>
      </c>
      <c r="B4912" s="33">
        <v>2338.44</v>
      </c>
      <c r="C4912">
        <f t="shared" si="106"/>
        <v>2005</v>
      </c>
    </row>
    <row r="4913" spans="1:3">
      <c r="A4913" s="68">
        <v>38479</v>
      </c>
      <c r="B4913" s="32">
        <v>2339.06</v>
      </c>
      <c r="C4913">
        <f t="shared" si="106"/>
        <v>2005</v>
      </c>
    </row>
    <row r="4914" spans="1:3">
      <c r="A4914" s="68">
        <v>38480</v>
      </c>
      <c r="B4914" s="33">
        <v>2339.06</v>
      </c>
      <c r="C4914">
        <f t="shared" si="106"/>
        <v>2005</v>
      </c>
    </row>
    <row r="4915" spans="1:3">
      <c r="A4915" s="68">
        <v>38481</v>
      </c>
      <c r="B4915" s="32">
        <v>2339.06</v>
      </c>
      <c r="C4915">
        <f t="shared" si="106"/>
        <v>2005</v>
      </c>
    </row>
    <row r="4916" spans="1:3">
      <c r="A4916" s="68">
        <v>38482</v>
      </c>
      <c r="B4916" s="33">
        <v>2339.06</v>
      </c>
      <c r="C4916">
        <f t="shared" si="106"/>
        <v>2005</v>
      </c>
    </row>
    <row r="4917" spans="1:3">
      <c r="A4917" s="68">
        <v>38483</v>
      </c>
      <c r="B4917" s="32">
        <v>2339.77</v>
      </c>
      <c r="C4917">
        <f t="shared" si="106"/>
        <v>2005</v>
      </c>
    </row>
    <row r="4918" spans="1:3">
      <c r="A4918" s="68">
        <v>38484</v>
      </c>
      <c r="B4918" s="33">
        <v>2340.9899999999998</v>
      </c>
      <c r="C4918">
        <f t="shared" si="106"/>
        <v>2005</v>
      </c>
    </row>
    <row r="4919" spans="1:3">
      <c r="A4919" s="68">
        <v>38485</v>
      </c>
      <c r="B4919" s="32">
        <v>2344</v>
      </c>
      <c r="C4919">
        <f t="shared" si="106"/>
        <v>2005</v>
      </c>
    </row>
    <row r="4920" spans="1:3">
      <c r="A4920" s="68">
        <v>38486</v>
      </c>
      <c r="B4920" s="33">
        <v>2348.69</v>
      </c>
      <c r="C4920">
        <f t="shared" si="106"/>
        <v>2005</v>
      </c>
    </row>
    <row r="4921" spans="1:3">
      <c r="A4921" s="68">
        <v>38487</v>
      </c>
      <c r="B4921" s="32">
        <v>2348.69</v>
      </c>
      <c r="C4921">
        <f t="shared" si="106"/>
        <v>2005</v>
      </c>
    </row>
    <row r="4922" spans="1:3">
      <c r="A4922" s="68">
        <v>38488</v>
      </c>
      <c r="B4922" s="33">
        <v>2348.69</v>
      </c>
      <c r="C4922">
        <f t="shared" si="106"/>
        <v>2005</v>
      </c>
    </row>
    <row r="4923" spans="1:3">
      <c r="A4923" s="68">
        <v>38489</v>
      </c>
      <c r="B4923" s="32">
        <v>2347.25</v>
      </c>
      <c r="C4923">
        <f t="shared" si="106"/>
        <v>2005</v>
      </c>
    </row>
    <row r="4924" spans="1:3">
      <c r="A4924" s="68">
        <v>38490</v>
      </c>
      <c r="B4924" s="33">
        <v>2341.7199999999998</v>
      </c>
      <c r="C4924">
        <f t="shared" si="106"/>
        <v>2005</v>
      </c>
    </row>
    <row r="4925" spans="1:3">
      <c r="A4925" s="68">
        <v>38491</v>
      </c>
      <c r="B4925" s="32">
        <v>2339.44</v>
      </c>
      <c r="C4925">
        <f t="shared" si="106"/>
        <v>2005</v>
      </c>
    </row>
    <row r="4926" spans="1:3">
      <c r="A4926" s="68">
        <v>38492</v>
      </c>
      <c r="B4926" s="33">
        <v>2336.9899999999998</v>
      </c>
      <c r="C4926">
        <f t="shared" si="106"/>
        <v>2005</v>
      </c>
    </row>
    <row r="4927" spans="1:3">
      <c r="A4927" s="68">
        <v>38493</v>
      </c>
      <c r="B4927" s="32">
        <v>2337</v>
      </c>
      <c r="C4927">
        <f t="shared" si="106"/>
        <v>2005</v>
      </c>
    </row>
    <row r="4928" spans="1:3">
      <c r="A4928" s="68">
        <v>38494</v>
      </c>
      <c r="B4928" s="33">
        <v>2337</v>
      </c>
      <c r="C4928">
        <f t="shared" si="106"/>
        <v>2005</v>
      </c>
    </row>
    <row r="4929" spans="1:3">
      <c r="A4929" s="68">
        <v>38495</v>
      </c>
      <c r="B4929" s="32">
        <v>2337</v>
      </c>
      <c r="C4929">
        <f t="shared" si="106"/>
        <v>2005</v>
      </c>
    </row>
    <row r="4930" spans="1:3">
      <c r="A4930" s="68">
        <v>38496</v>
      </c>
      <c r="B4930" s="33">
        <v>2329.0500000000002</v>
      </c>
      <c r="C4930">
        <f t="shared" si="106"/>
        <v>2005</v>
      </c>
    </row>
    <row r="4931" spans="1:3">
      <c r="A4931" s="68">
        <v>38497</v>
      </c>
      <c r="B4931" s="32">
        <v>2328.69</v>
      </c>
      <c r="C4931">
        <f t="shared" si="106"/>
        <v>2005</v>
      </c>
    </row>
    <row r="4932" spans="1:3">
      <c r="A4932" s="68">
        <v>38498</v>
      </c>
      <c r="B4932" s="33">
        <v>2329.35</v>
      </c>
      <c r="C4932">
        <f t="shared" ref="C4932:C4995" si="107">YEAR(A4932)</f>
        <v>2005</v>
      </c>
    </row>
    <row r="4933" spans="1:3">
      <c r="A4933" s="68">
        <v>38499</v>
      </c>
      <c r="B4933" s="32">
        <v>2330.79</v>
      </c>
      <c r="C4933">
        <f t="shared" si="107"/>
        <v>2005</v>
      </c>
    </row>
    <row r="4934" spans="1:3">
      <c r="A4934" s="68">
        <v>38500</v>
      </c>
      <c r="B4934" s="33">
        <v>2332.79</v>
      </c>
      <c r="C4934">
        <f t="shared" si="107"/>
        <v>2005</v>
      </c>
    </row>
    <row r="4935" spans="1:3">
      <c r="A4935" s="68">
        <v>38501</v>
      </c>
      <c r="B4935" s="32">
        <v>2332.79</v>
      </c>
      <c r="C4935">
        <f t="shared" si="107"/>
        <v>2005</v>
      </c>
    </row>
    <row r="4936" spans="1:3">
      <c r="A4936" s="68">
        <v>38502</v>
      </c>
      <c r="B4936" s="33">
        <v>2332.79</v>
      </c>
      <c r="C4936">
        <f t="shared" si="107"/>
        <v>2005</v>
      </c>
    </row>
    <row r="4937" spans="1:3">
      <c r="A4937" s="68">
        <v>38503</v>
      </c>
      <c r="B4937" s="32">
        <v>2332.79</v>
      </c>
      <c r="C4937">
        <f t="shared" si="107"/>
        <v>2005</v>
      </c>
    </row>
    <row r="4938" spans="1:3">
      <c r="A4938" s="68">
        <v>38504</v>
      </c>
      <c r="B4938" s="33">
        <v>2338.89</v>
      </c>
      <c r="C4938">
        <f t="shared" si="107"/>
        <v>2005</v>
      </c>
    </row>
    <row r="4939" spans="1:3">
      <c r="A4939" s="68">
        <v>38505</v>
      </c>
      <c r="B4939" s="32">
        <v>2339.67</v>
      </c>
      <c r="C4939">
        <f t="shared" si="107"/>
        <v>2005</v>
      </c>
    </row>
    <row r="4940" spans="1:3">
      <c r="A4940" s="68">
        <v>38506</v>
      </c>
      <c r="B4940" s="33">
        <v>2336.65</v>
      </c>
      <c r="C4940">
        <f t="shared" si="107"/>
        <v>2005</v>
      </c>
    </row>
    <row r="4941" spans="1:3">
      <c r="A4941" s="68">
        <v>38507</v>
      </c>
      <c r="B4941" s="32">
        <v>2330.9299999999998</v>
      </c>
      <c r="C4941">
        <f t="shared" si="107"/>
        <v>2005</v>
      </c>
    </row>
    <row r="4942" spans="1:3">
      <c r="A4942" s="68">
        <v>38508</v>
      </c>
      <c r="B4942" s="33">
        <v>2330.9299999999998</v>
      </c>
      <c r="C4942">
        <f t="shared" si="107"/>
        <v>2005</v>
      </c>
    </row>
    <row r="4943" spans="1:3">
      <c r="A4943" s="68">
        <v>38509</v>
      </c>
      <c r="B4943" s="32">
        <v>2330.9299999999998</v>
      </c>
      <c r="C4943">
        <f t="shared" si="107"/>
        <v>2005</v>
      </c>
    </row>
    <row r="4944" spans="1:3">
      <c r="A4944" s="68">
        <v>38510</v>
      </c>
      <c r="B4944" s="33">
        <v>2330.9299999999998</v>
      </c>
      <c r="C4944">
        <f t="shared" si="107"/>
        <v>2005</v>
      </c>
    </row>
    <row r="4945" spans="1:3">
      <c r="A4945" s="68">
        <v>38511</v>
      </c>
      <c r="B4945" s="32">
        <v>2331.38</v>
      </c>
      <c r="C4945">
        <f t="shared" si="107"/>
        <v>2005</v>
      </c>
    </row>
    <row r="4946" spans="1:3">
      <c r="A4946" s="68">
        <v>38512</v>
      </c>
      <c r="B4946" s="33">
        <v>2347.83</v>
      </c>
      <c r="C4946">
        <f t="shared" si="107"/>
        <v>2005</v>
      </c>
    </row>
    <row r="4947" spans="1:3">
      <c r="A4947" s="68">
        <v>38513</v>
      </c>
      <c r="B4947" s="32">
        <v>2361.41</v>
      </c>
      <c r="C4947">
        <f t="shared" si="107"/>
        <v>2005</v>
      </c>
    </row>
    <row r="4948" spans="1:3">
      <c r="A4948" s="68">
        <v>38514</v>
      </c>
      <c r="B4948" s="33">
        <v>2349.17</v>
      </c>
      <c r="C4948">
        <f t="shared" si="107"/>
        <v>2005</v>
      </c>
    </row>
    <row r="4949" spans="1:3">
      <c r="A4949" s="68">
        <v>38515</v>
      </c>
      <c r="B4949" s="32">
        <v>2349.17</v>
      </c>
      <c r="C4949">
        <f t="shared" si="107"/>
        <v>2005</v>
      </c>
    </row>
    <row r="4950" spans="1:3">
      <c r="A4950" s="68">
        <v>38516</v>
      </c>
      <c r="B4950" s="33">
        <v>2349.17</v>
      </c>
      <c r="C4950">
        <f t="shared" si="107"/>
        <v>2005</v>
      </c>
    </row>
    <row r="4951" spans="1:3">
      <c r="A4951" s="68">
        <v>38517</v>
      </c>
      <c r="B4951" s="32">
        <v>2345.6</v>
      </c>
      <c r="C4951">
        <f t="shared" si="107"/>
        <v>2005</v>
      </c>
    </row>
    <row r="4952" spans="1:3">
      <c r="A4952" s="68">
        <v>38518</v>
      </c>
      <c r="B4952" s="33">
        <v>2334.27</v>
      </c>
      <c r="C4952">
        <f t="shared" si="107"/>
        <v>2005</v>
      </c>
    </row>
    <row r="4953" spans="1:3">
      <c r="A4953" s="68">
        <v>38519</v>
      </c>
      <c r="B4953" s="32">
        <v>2330.33</v>
      </c>
      <c r="C4953">
        <f t="shared" si="107"/>
        <v>2005</v>
      </c>
    </row>
    <row r="4954" spans="1:3">
      <c r="A4954" s="68">
        <v>38520</v>
      </c>
      <c r="B4954" s="33">
        <v>2326.4299999999998</v>
      </c>
      <c r="C4954">
        <f t="shared" si="107"/>
        <v>2005</v>
      </c>
    </row>
    <row r="4955" spans="1:3">
      <c r="A4955" s="68">
        <v>38521</v>
      </c>
      <c r="B4955" s="32">
        <v>2322.0500000000002</v>
      </c>
      <c r="C4955">
        <f t="shared" si="107"/>
        <v>2005</v>
      </c>
    </row>
    <row r="4956" spans="1:3">
      <c r="A4956" s="68">
        <v>38522</v>
      </c>
      <c r="B4956" s="33">
        <v>2322.0500000000002</v>
      </c>
      <c r="C4956">
        <f t="shared" si="107"/>
        <v>2005</v>
      </c>
    </row>
    <row r="4957" spans="1:3">
      <c r="A4957" s="68">
        <v>38523</v>
      </c>
      <c r="B4957" s="32">
        <v>2322.0500000000002</v>
      </c>
      <c r="C4957">
        <f t="shared" si="107"/>
        <v>2005</v>
      </c>
    </row>
    <row r="4958" spans="1:3">
      <c r="A4958" s="68">
        <v>38524</v>
      </c>
      <c r="B4958" s="33">
        <v>2319.11</v>
      </c>
      <c r="C4958">
        <f t="shared" si="107"/>
        <v>2005</v>
      </c>
    </row>
    <row r="4959" spans="1:3">
      <c r="A4959" s="68">
        <v>38525</v>
      </c>
      <c r="B4959" s="32">
        <v>2314.89</v>
      </c>
      <c r="C4959">
        <f t="shared" si="107"/>
        <v>2005</v>
      </c>
    </row>
    <row r="4960" spans="1:3">
      <c r="A4960" s="68">
        <v>38526</v>
      </c>
      <c r="B4960" s="33">
        <v>2316.4499999999998</v>
      </c>
      <c r="C4960">
        <f t="shared" si="107"/>
        <v>2005</v>
      </c>
    </row>
    <row r="4961" spans="1:3">
      <c r="A4961" s="68">
        <v>38527</v>
      </c>
      <c r="B4961" s="32">
        <v>2319.27</v>
      </c>
      <c r="C4961">
        <f t="shared" si="107"/>
        <v>2005</v>
      </c>
    </row>
    <row r="4962" spans="1:3">
      <c r="A4962" s="68">
        <v>38528</v>
      </c>
      <c r="B4962" s="33">
        <v>2320.29</v>
      </c>
      <c r="C4962">
        <f t="shared" si="107"/>
        <v>2005</v>
      </c>
    </row>
    <row r="4963" spans="1:3">
      <c r="A4963" s="68">
        <v>38529</v>
      </c>
      <c r="B4963" s="32">
        <v>2320.29</v>
      </c>
      <c r="C4963">
        <f t="shared" si="107"/>
        <v>2005</v>
      </c>
    </row>
    <row r="4964" spans="1:3">
      <c r="A4964" s="68">
        <v>38530</v>
      </c>
      <c r="B4964" s="33">
        <v>2320.29</v>
      </c>
      <c r="C4964">
        <f t="shared" si="107"/>
        <v>2005</v>
      </c>
    </row>
    <row r="4965" spans="1:3">
      <c r="A4965" s="68">
        <v>38531</v>
      </c>
      <c r="B4965" s="32">
        <v>2323.19</v>
      </c>
      <c r="C4965">
        <f t="shared" si="107"/>
        <v>2005</v>
      </c>
    </row>
    <row r="4966" spans="1:3">
      <c r="A4966" s="68">
        <v>38532</v>
      </c>
      <c r="B4966" s="33">
        <v>2327.9</v>
      </c>
      <c r="C4966">
        <f t="shared" si="107"/>
        <v>2005</v>
      </c>
    </row>
    <row r="4967" spans="1:3">
      <c r="A4967" s="68">
        <v>38533</v>
      </c>
      <c r="B4967" s="32">
        <v>2331.81</v>
      </c>
      <c r="C4967">
        <f t="shared" si="107"/>
        <v>2005</v>
      </c>
    </row>
    <row r="4968" spans="1:3">
      <c r="A4968" s="68">
        <v>38534</v>
      </c>
      <c r="B4968" s="33">
        <v>2324.2199999999998</v>
      </c>
      <c r="C4968">
        <f t="shared" si="107"/>
        <v>2005</v>
      </c>
    </row>
    <row r="4969" spans="1:3">
      <c r="A4969" s="68">
        <v>38535</v>
      </c>
      <c r="B4969" s="32">
        <v>2324.69</v>
      </c>
      <c r="C4969">
        <f t="shared" si="107"/>
        <v>2005</v>
      </c>
    </row>
    <row r="4970" spans="1:3">
      <c r="A4970" s="68">
        <v>38536</v>
      </c>
      <c r="B4970" s="33">
        <v>2324.69</v>
      </c>
      <c r="C4970">
        <f t="shared" si="107"/>
        <v>2005</v>
      </c>
    </row>
    <row r="4971" spans="1:3">
      <c r="A4971" s="68">
        <v>38537</v>
      </c>
      <c r="B4971" s="32">
        <v>2324.69</v>
      </c>
      <c r="C4971">
        <f t="shared" si="107"/>
        <v>2005</v>
      </c>
    </row>
    <row r="4972" spans="1:3">
      <c r="A4972" s="68">
        <v>38538</v>
      </c>
      <c r="B4972" s="33">
        <v>2324.69</v>
      </c>
      <c r="C4972">
        <f t="shared" si="107"/>
        <v>2005</v>
      </c>
    </row>
    <row r="4973" spans="1:3">
      <c r="A4973" s="68">
        <v>38539</v>
      </c>
      <c r="B4973" s="32">
        <v>2338.17</v>
      </c>
      <c r="C4973">
        <f t="shared" si="107"/>
        <v>2005</v>
      </c>
    </row>
    <row r="4974" spans="1:3">
      <c r="A4974" s="68">
        <v>38540</v>
      </c>
      <c r="B4974" s="33">
        <v>2338.86</v>
      </c>
      <c r="C4974">
        <f t="shared" si="107"/>
        <v>2005</v>
      </c>
    </row>
    <row r="4975" spans="1:3">
      <c r="A4975" s="68">
        <v>38541</v>
      </c>
      <c r="B4975" s="32">
        <v>2332.6999999999998</v>
      </c>
      <c r="C4975">
        <f t="shared" si="107"/>
        <v>2005</v>
      </c>
    </row>
    <row r="4976" spans="1:3">
      <c r="A4976" s="68">
        <v>38542</v>
      </c>
      <c r="B4976" s="33">
        <v>2330.7199999999998</v>
      </c>
      <c r="C4976">
        <f t="shared" si="107"/>
        <v>2005</v>
      </c>
    </row>
    <row r="4977" spans="1:3">
      <c r="A4977" s="68">
        <v>38543</v>
      </c>
      <c r="B4977" s="32">
        <v>2330.7199999999998</v>
      </c>
      <c r="C4977">
        <f t="shared" si="107"/>
        <v>2005</v>
      </c>
    </row>
    <row r="4978" spans="1:3">
      <c r="A4978" s="68">
        <v>38544</v>
      </c>
      <c r="B4978" s="33">
        <v>2330.7199999999998</v>
      </c>
      <c r="C4978">
        <f t="shared" si="107"/>
        <v>2005</v>
      </c>
    </row>
    <row r="4979" spans="1:3">
      <c r="A4979" s="68">
        <v>38545</v>
      </c>
      <c r="B4979" s="32">
        <v>2324.37</v>
      </c>
      <c r="C4979">
        <f t="shared" si="107"/>
        <v>2005</v>
      </c>
    </row>
    <row r="4980" spans="1:3">
      <c r="A4980" s="68">
        <v>38546</v>
      </c>
      <c r="B4980" s="33">
        <v>2323.08</v>
      </c>
      <c r="C4980">
        <f t="shared" si="107"/>
        <v>2005</v>
      </c>
    </row>
    <row r="4981" spans="1:3">
      <c r="A4981" s="68">
        <v>38547</v>
      </c>
      <c r="B4981" s="32">
        <v>2326.09</v>
      </c>
      <c r="C4981">
        <f t="shared" si="107"/>
        <v>2005</v>
      </c>
    </row>
    <row r="4982" spans="1:3">
      <c r="A4982" s="68">
        <v>38548</v>
      </c>
      <c r="B4982" s="33">
        <v>2329.4</v>
      </c>
      <c r="C4982">
        <f t="shared" si="107"/>
        <v>2005</v>
      </c>
    </row>
    <row r="4983" spans="1:3">
      <c r="A4983" s="68">
        <v>38549</v>
      </c>
      <c r="B4983" s="32">
        <v>2332.0700000000002</v>
      </c>
      <c r="C4983">
        <f t="shared" si="107"/>
        <v>2005</v>
      </c>
    </row>
    <row r="4984" spans="1:3">
      <c r="A4984" s="68">
        <v>38550</v>
      </c>
      <c r="B4984" s="33">
        <v>2332.0700000000002</v>
      </c>
      <c r="C4984">
        <f t="shared" si="107"/>
        <v>2005</v>
      </c>
    </row>
    <row r="4985" spans="1:3">
      <c r="A4985" s="68">
        <v>38551</v>
      </c>
      <c r="B4985" s="32">
        <v>2332.0700000000002</v>
      </c>
      <c r="C4985">
        <f t="shared" si="107"/>
        <v>2005</v>
      </c>
    </row>
    <row r="4986" spans="1:3">
      <c r="A4986" s="68">
        <v>38552</v>
      </c>
      <c r="B4986" s="33">
        <v>2320.2600000000002</v>
      </c>
      <c r="C4986">
        <f t="shared" si="107"/>
        <v>2005</v>
      </c>
    </row>
    <row r="4987" spans="1:3">
      <c r="A4987" s="68">
        <v>38553</v>
      </c>
      <c r="B4987" s="32">
        <v>2312.73</v>
      </c>
      <c r="C4987">
        <f t="shared" si="107"/>
        <v>2005</v>
      </c>
    </row>
    <row r="4988" spans="1:3">
      <c r="A4988" s="68">
        <v>38554</v>
      </c>
      <c r="B4988" s="33">
        <v>2312.73</v>
      </c>
      <c r="C4988">
        <f t="shared" si="107"/>
        <v>2005</v>
      </c>
    </row>
    <row r="4989" spans="1:3">
      <c r="A4989" s="68">
        <v>38555</v>
      </c>
      <c r="B4989" s="32">
        <v>2312.8200000000002</v>
      </c>
      <c r="C4989">
        <f t="shared" si="107"/>
        <v>2005</v>
      </c>
    </row>
    <row r="4990" spans="1:3">
      <c r="A4990" s="68">
        <v>38556</v>
      </c>
      <c r="B4990" s="33">
        <v>2316.42</v>
      </c>
      <c r="C4990">
        <f t="shared" si="107"/>
        <v>2005</v>
      </c>
    </row>
    <row r="4991" spans="1:3">
      <c r="A4991" s="68">
        <v>38557</v>
      </c>
      <c r="B4991" s="32">
        <v>2316.42</v>
      </c>
      <c r="C4991">
        <f t="shared" si="107"/>
        <v>2005</v>
      </c>
    </row>
    <row r="4992" spans="1:3">
      <c r="A4992" s="68">
        <v>38558</v>
      </c>
      <c r="B4992" s="33">
        <v>2316.42</v>
      </c>
      <c r="C4992">
        <f t="shared" si="107"/>
        <v>2005</v>
      </c>
    </row>
    <row r="4993" spans="1:3">
      <c r="A4993" s="68">
        <v>38559</v>
      </c>
      <c r="B4993" s="32">
        <v>2315.39</v>
      </c>
      <c r="C4993">
        <f t="shared" si="107"/>
        <v>2005</v>
      </c>
    </row>
    <row r="4994" spans="1:3">
      <c r="A4994" s="68">
        <v>38560</v>
      </c>
      <c r="B4994" s="33">
        <v>2316.9299999999998</v>
      </c>
      <c r="C4994">
        <f t="shared" si="107"/>
        <v>2005</v>
      </c>
    </row>
    <row r="4995" spans="1:3">
      <c r="A4995" s="68">
        <v>38561</v>
      </c>
      <c r="B4995" s="32">
        <v>2313.84</v>
      </c>
      <c r="C4995">
        <f t="shared" si="107"/>
        <v>2005</v>
      </c>
    </row>
    <row r="4996" spans="1:3">
      <c r="A4996" s="68">
        <v>38562</v>
      </c>
      <c r="B4996" s="33">
        <v>2311.4299999999998</v>
      </c>
      <c r="C4996">
        <f t="shared" ref="C4996:C5059" si="108">YEAR(A4996)</f>
        <v>2005</v>
      </c>
    </row>
    <row r="4997" spans="1:3">
      <c r="A4997" s="68">
        <v>38563</v>
      </c>
      <c r="B4997" s="32">
        <v>2308.4899999999998</v>
      </c>
      <c r="C4997">
        <f t="shared" si="108"/>
        <v>2005</v>
      </c>
    </row>
    <row r="4998" spans="1:3">
      <c r="A4998" s="68">
        <v>38564</v>
      </c>
      <c r="B4998" s="33">
        <v>2308.4899999999998</v>
      </c>
      <c r="C4998">
        <f t="shared" si="108"/>
        <v>2005</v>
      </c>
    </row>
    <row r="4999" spans="1:3">
      <c r="A4999" s="68">
        <v>38565</v>
      </c>
      <c r="B4999" s="32">
        <v>2308.4899999999998</v>
      </c>
      <c r="C4999">
        <f t="shared" si="108"/>
        <v>2005</v>
      </c>
    </row>
    <row r="5000" spans="1:3">
      <c r="A5000" s="68">
        <v>38566</v>
      </c>
      <c r="B5000" s="33">
        <v>2308.42</v>
      </c>
      <c r="C5000">
        <f t="shared" si="108"/>
        <v>2005</v>
      </c>
    </row>
    <row r="5001" spans="1:3">
      <c r="A5001" s="68">
        <v>38567</v>
      </c>
      <c r="B5001" s="32">
        <v>2305.9499999999998</v>
      </c>
      <c r="C5001">
        <f t="shared" si="108"/>
        <v>2005</v>
      </c>
    </row>
    <row r="5002" spans="1:3">
      <c r="A5002" s="68">
        <v>38568</v>
      </c>
      <c r="B5002" s="33">
        <v>2306.5100000000002</v>
      </c>
      <c r="C5002">
        <f t="shared" si="108"/>
        <v>2005</v>
      </c>
    </row>
    <row r="5003" spans="1:3">
      <c r="A5003" s="68">
        <v>38569</v>
      </c>
      <c r="B5003" s="32">
        <v>2307.4</v>
      </c>
      <c r="C5003">
        <f t="shared" si="108"/>
        <v>2005</v>
      </c>
    </row>
    <row r="5004" spans="1:3">
      <c r="A5004" s="68">
        <v>38570</v>
      </c>
      <c r="B5004" s="33">
        <v>2307.69</v>
      </c>
      <c r="C5004">
        <f t="shared" si="108"/>
        <v>2005</v>
      </c>
    </row>
    <row r="5005" spans="1:3">
      <c r="A5005" s="68">
        <v>38571</v>
      </c>
      <c r="B5005" s="32">
        <v>2307.69</v>
      </c>
      <c r="C5005">
        <f t="shared" si="108"/>
        <v>2005</v>
      </c>
    </row>
    <row r="5006" spans="1:3">
      <c r="A5006" s="68">
        <v>38572</v>
      </c>
      <c r="B5006" s="33">
        <v>2307.69</v>
      </c>
      <c r="C5006">
        <f t="shared" si="108"/>
        <v>2005</v>
      </c>
    </row>
    <row r="5007" spans="1:3">
      <c r="A5007" s="68">
        <v>38573</v>
      </c>
      <c r="B5007" s="32">
        <v>2308.3000000000002</v>
      </c>
      <c r="C5007">
        <f t="shared" si="108"/>
        <v>2005</v>
      </c>
    </row>
    <row r="5008" spans="1:3">
      <c r="A5008" s="68">
        <v>38574</v>
      </c>
      <c r="B5008" s="33">
        <v>2305.63</v>
      </c>
      <c r="C5008">
        <f t="shared" si="108"/>
        <v>2005</v>
      </c>
    </row>
    <row r="5009" spans="1:3">
      <c r="A5009" s="68">
        <v>38575</v>
      </c>
      <c r="B5009" s="32">
        <v>2299.75</v>
      </c>
      <c r="C5009">
        <f t="shared" si="108"/>
        <v>2005</v>
      </c>
    </row>
    <row r="5010" spans="1:3">
      <c r="A5010" s="68">
        <v>38576</v>
      </c>
      <c r="B5010" s="33">
        <v>2313.52</v>
      </c>
      <c r="C5010">
        <f t="shared" si="108"/>
        <v>2005</v>
      </c>
    </row>
    <row r="5011" spans="1:3">
      <c r="A5011" s="68">
        <v>38577</v>
      </c>
      <c r="B5011" s="32">
        <v>2308.38</v>
      </c>
      <c r="C5011">
        <f t="shared" si="108"/>
        <v>2005</v>
      </c>
    </row>
    <row r="5012" spans="1:3">
      <c r="A5012" s="68">
        <v>38578</v>
      </c>
      <c r="B5012" s="33">
        <v>2308.38</v>
      </c>
      <c r="C5012">
        <f t="shared" si="108"/>
        <v>2005</v>
      </c>
    </row>
    <row r="5013" spans="1:3">
      <c r="A5013" s="68">
        <v>38579</v>
      </c>
      <c r="B5013" s="32">
        <v>2308.38</v>
      </c>
      <c r="C5013">
        <f t="shared" si="108"/>
        <v>2005</v>
      </c>
    </row>
    <row r="5014" spans="1:3">
      <c r="A5014" s="68">
        <v>38580</v>
      </c>
      <c r="B5014" s="33">
        <v>2308.38</v>
      </c>
      <c r="C5014">
        <f t="shared" si="108"/>
        <v>2005</v>
      </c>
    </row>
    <row r="5015" spans="1:3">
      <c r="A5015" s="68">
        <v>38581</v>
      </c>
      <c r="B5015" s="32">
        <v>2301.7399999999998</v>
      </c>
      <c r="C5015">
        <f t="shared" si="108"/>
        <v>2005</v>
      </c>
    </row>
    <row r="5016" spans="1:3">
      <c r="A5016" s="68">
        <v>38582</v>
      </c>
      <c r="B5016" s="33">
        <v>2303.1999999999998</v>
      </c>
      <c r="C5016">
        <f t="shared" si="108"/>
        <v>2005</v>
      </c>
    </row>
    <row r="5017" spans="1:3">
      <c r="A5017" s="68">
        <v>38583</v>
      </c>
      <c r="B5017" s="32">
        <v>2307.4499999999998</v>
      </c>
      <c r="C5017">
        <f t="shared" si="108"/>
        <v>2005</v>
      </c>
    </row>
    <row r="5018" spans="1:3">
      <c r="A5018" s="68">
        <v>38584</v>
      </c>
      <c r="B5018" s="33">
        <v>2309.83</v>
      </c>
      <c r="C5018">
        <f t="shared" si="108"/>
        <v>2005</v>
      </c>
    </row>
    <row r="5019" spans="1:3">
      <c r="A5019" s="68">
        <v>38585</v>
      </c>
      <c r="B5019" s="32">
        <v>2309.83</v>
      </c>
      <c r="C5019">
        <f t="shared" si="108"/>
        <v>2005</v>
      </c>
    </row>
    <row r="5020" spans="1:3">
      <c r="A5020" s="68">
        <v>38586</v>
      </c>
      <c r="B5020" s="33">
        <v>2309.83</v>
      </c>
      <c r="C5020">
        <f t="shared" si="108"/>
        <v>2005</v>
      </c>
    </row>
    <row r="5021" spans="1:3">
      <c r="A5021" s="68">
        <v>38587</v>
      </c>
      <c r="B5021" s="32">
        <v>2304.2600000000002</v>
      </c>
      <c r="C5021">
        <f t="shared" si="108"/>
        <v>2005</v>
      </c>
    </row>
    <row r="5022" spans="1:3">
      <c r="A5022" s="68">
        <v>38588</v>
      </c>
      <c r="B5022" s="33">
        <v>2302.59</v>
      </c>
      <c r="C5022">
        <f t="shared" si="108"/>
        <v>2005</v>
      </c>
    </row>
    <row r="5023" spans="1:3">
      <c r="A5023" s="68">
        <v>38589</v>
      </c>
      <c r="B5023" s="32">
        <v>2305.0500000000002</v>
      </c>
      <c r="C5023">
        <f t="shared" si="108"/>
        <v>2005</v>
      </c>
    </row>
    <row r="5024" spans="1:3">
      <c r="A5024" s="68">
        <v>38590</v>
      </c>
      <c r="B5024" s="33">
        <v>2305.87</v>
      </c>
      <c r="C5024">
        <f t="shared" si="108"/>
        <v>2005</v>
      </c>
    </row>
    <row r="5025" spans="1:3">
      <c r="A5025" s="68">
        <v>38591</v>
      </c>
      <c r="B5025" s="32">
        <v>2306.71</v>
      </c>
      <c r="C5025">
        <f t="shared" si="108"/>
        <v>2005</v>
      </c>
    </row>
    <row r="5026" spans="1:3">
      <c r="A5026" s="68">
        <v>38592</v>
      </c>
      <c r="B5026" s="33">
        <v>2306.71</v>
      </c>
      <c r="C5026">
        <f t="shared" si="108"/>
        <v>2005</v>
      </c>
    </row>
    <row r="5027" spans="1:3">
      <c r="A5027" s="68">
        <v>38593</v>
      </c>
      <c r="B5027" s="32">
        <v>2306.71</v>
      </c>
      <c r="C5027">
        <f t="shared" si="108"/>
        <v>2005</v>
      </c>
    </row>
    <row r="5028" spans="1:3">
      <c r="A5028" s="68">
        <v>38594</v>
      </c>
      <c r="B5028" s="33">
        <v>2305.15</v>
      </c>
      <c r="C5028">
        <f t="shared" si="108"/>
        <v>2005</v>
      </c>
    </row>
    <row r="5029" spans="1:3">
      <c r="A5029" s="68">
        <v>38595</v>
      </c>
      <c r="B5029" s="32">
        <v>2304.3000000000002</v>
      </c>
      <c r="C5029">
        <f t="shared" si="108"/>
        <v>2005</v>
      </c>
    </row>
    <row r="5030" spans="1:3">
      <c r="A5030" s="68">
        <v>38596</v>
      </c>
      <c r="B5030" s="33">
        <v>2302.7800000000002</v>
      </c>
      <c r="C5030">
        <f t="shared" si="108"/>
        <v>2005</v>
      </c>
    </row>
    <row r="5031" spans="1:3">
      <c r="A5031" s="68">
        <v>38597</v>
      </c>
      <c r="B5031" s="32">
        <v>2298.85</v>
      </c>
      <c r="C5031">
        <f t="shared" si="108"/>
        <v>2005</v>
      </c>
    </row>
    <row r="5032" spans="1:3">
      <c r="A5032" s="68">
        <v>38598</v>
      </c>
      <c r="B5032" s="33">
        <v>2295.31</v>
      </c>
      <c r="C5032">
        <f t="shared" si="108"/>
        <v>2005</v>
      </c>
    </row>
    <row r="5033" spans="1:3">
      <c r="A5033" s="68">
        <v>38599</v>
      </c>
      <c r="B5033" s="32">
        <v>2295.31</v>
      </c>
      <c r="C5033">
        <f t="shared" si="108"/>
        <v>2005</v>
      </c>
    </row>
    <row r="5034" spans="1:3">
      <c r="A5034" s="68">
        <v>38600</v>
      </c>
      <c r="B5034" s="33">
        <v>2295.31</v>
      </c>
      <c r="C5034">
        <f t="shared" si="108"/>
        <v>2005</v>
      </c>
    </row>
    <row r="5035" spans="1:3">
      <c r="A5035" s="68">
        <v>38601</v>
      </c>
      <c r="B5035" s="32">
        <v>2295.31</v>
      </c>
      <c r="C5035">
        <f t="shared" si="108"/>
        <v>2005</v>
      </c>
    </row>
    <row r="5036" spans="1:3">
      <c r="A5036" s="68">
        <v>38602</v>
      </c>
      <c r="B5036" s="33">
        <v>2286.61</v>
      </c>
      <c r="C5036">
        <f t="shared" si="108"/>
        <v>2005</v>
      </c>
    </row>
    <row r="5037" spans="1:3">
      <c r="A5037" s="68">
        <v>38603</v>
      </c>
      <c r="B5037" s="32">
        <v>2279.9499999999998</v>
      </c>
      <c r="C5037">
        <f t="shared" si="108"/>
        <v>2005</v>
      </c>
    </row>
    <row r="5038" spans="1:3">
      <c r="A5038" s="68">
        <v>38604</v>
      </c>
      <c r="B5038" s="33">
        <v>2289.3000000000002</v>
      </c>
      <c r="C5038">
        <f t="shared" si="108"/>
        <v>2005</v>
      </c>
    </row>
    <row r="5039" spans="1:3">
      <c r="A5039" s="68">
        <v>38605</v>
      </c>
      <c r="B5039" s="32">
        <v>2305.09</v>
      </c>
      <c r="C5039">
        <f t="shared" si="108"/>
        <v>2005</v>
      </c>
    </row>
    <row r="5040" spans="1:3">
      <c r="A5040" s="68">
        <v>38606</v>
      </c>
      <c r="B5040" s="33">
        <v>2305.09</v>
      </c>
      <c r="C5040">
        <f t="shared" si="108"/>
        <v>2005</v>
      </c>
    </row>
    <row r="5041" spans="1:3">
      <c r="A5041" s="68">
        <v>38607</v>
      </c>
      <c r="B5041" s="32">
        <v>2305.09</v>
      </c>
      <c r="C5041">
        <f t="shared" si="108"/>
        <v>2005</v>
      </c>
    </row>
    <row r="5042" spans="1:3">
      <c r="A5042" s="68">
        <v>38608</v>
      </c>
      <c r="B5042" s="33">
        <v>2306.71</v>
      </c>
      <c r="C5042">
        <f t="shared" si="108"/>
        <v>2005</v>
      </c>
    </row>
    <row r="5043" spans="1:3">
      <c r="A5043" s="68">
        <v>38609</v>
      </c>
      <c r="B5043" s="32">
        <v>2295.02</v>
      </c>
      <c r="C5043">
        <f t="shared" si="108"/>
        <v>2005</v>
      </c>
    </row>
    <row r="5044" spans="1:3">
      <c r="A5044" s="68">
        <v>38610</v>
      </c>
      <c r="B5044" s="33">
        <v>2290.02</v>
      </c>
      <c r="C5044">
        <f t="shared" si="108"/>
        <v>2005</v>
      </c>
    </row>
    <row r="5045" spans="1:3">
      <c r="A5045" s="68">
        <v>38611</v>
      </c>
      <c r="B5045" s="32">
        <v>2299.8200000000002</v>
      </c>
      <c r="C5045">
        <f t="shared" si="108"/>
        <v>2005</v>
      </c>
    </row>
    <row r="5046" spans="1:3">
      <c r="A5046" s="68">
        <v>38612</v>
      </c>
      <c r="B5046" s="33">
        <v>2301.9899999999998</v>
      </c>
      <c r="C5046">
        <f t="shared" si="108"/>
        <v>2005</v>
      </c>
    </row>
    <row r="5047" spans="1:3">
      <c r="A5047" s="68">
        <v>38613</v>
      </c>
      <c r="B5047" s="32">
        <v>2301.9899999999998</v>
      </c>
      <c r="C5047">
        <f t="shared" si="108"/>
        <v>2005</v>
      </c>
    </row>
    <row r="5048" spans="1:3">
      <c r="A5048" s="68">
        <v>38614</v>
      </c>
      <c r="B5048" s="33">
        <v>2301.9899999999998</v>
      </c>
      <c r="C5048">
        <f t="shared" si="108"/>
        <v>2005</v>
      </c>
    </row>
    <row r="5049" spans="1:3">
      <c r="A5049" s="68">
        <v>38615</v>
      </c>
      <c r="B5049" s="32">
        <v>2295.5700000000002</v>
      </c>
      <c r="C5049">
        <f t="shared" si="108"/>
        <v>2005</v>
      </c>
    </row>
    <row r="5050" spans="1:3">
      <c r="A5050" s="68">
        <v>38616</v>
      </c>
      <c r="B5050" s="33">
        <v>2300.58</v>
      </c>
      <c r="C5050">
        <f t="shared" si="108"/>
        <v>2005</v>
      </c>
    </row>
    <row r="5051" spans="1:3">
      <c r="A5051" s="68">
        <v>38617</v>
      </c>
      <c r="B5051" s="32">
        <v>2291.0500000000002</v>
      </c>
      <c r="C5051">
        <f t="shared" si="108"/>
        <v>2005</v>
      </c>
    </row>
    <row r="5052" spans="1:3">
      <c r="A5052" s="68">
        <v>38618</v>
      </c>
      <c r="B5052" s="33">
        <v>2292.59</v>
      </c>
      <c r="C5052">
        <f t="shared" si="108"/>
        <v>2005</v>
      </c>
    </row>
    <row r="5053" spans="1:3">
      <c r="A5053" s="68">
        <v>38619</v>
      </c>
      <c r="B5053" s="32">
        <v>2290.0300000000002</v>
      </c>
      <c r="C5053">
        <f t="shared" si="108"/>
        <v>2005</v>
      </c>
    </row>
    <row r="5054" spans="1:3">
      <c r="A5054" s="68">
        <v>38620</v>
      </c>
      <c r="B5054" s="33">
        <v>2290.0300000000002</v>
      </c>
      <c r="C5054">
        <f t="shared" si="108"/>
        <v>2005</v>
      </c>
    </row>
    <row r="5055" spans="1:3">
      <c r="A5055" s="68">
        <v>38621</v>
      </c>
      <c r="B5055" s="32">
        <v>2290.0300000000002</v>
      </c>
      <c r="C5055">
        <f t="shared" si="108"/>
        <v>2005</v>
      </c>
    </row>
    <row r="5056" spans="1:3">
      <c r="A5056" s="68">
        <v>38622</v>
      </c>
      <c r="B5056" s="33">
        <v>2289.1799999999998</v>
      </c>
      <c r="C5056">
        <f t="shared" si="108"/>
        <v>2005</v>
      </c>
    </row>
    <row r="5057" spans="1:3">
      <c r="A5057" s="68">
        <v>38623</v>
      </c>
      <c r="B5057" s="32">
        <v>2290.7399999999998</v>
      </c>
      <c r="C5057">
        <f t="shared" si="108"/>
        <v>2005</v>
      </c>
    </row>
    <row r="5058" spans="1:3">
      <c r="A5058" s="68">
        <v>38624</v>
      </c>
      <c r="B5058" s="33">
        <v>2293.29</v>
      </c>
      <c r="C5058">
        <f t="shared" si="108"/>
        <v>2005</v>
      </c>
    </row>
    <row r="5059" spans="1:3">
      <c r="A5059" s="68">
        <v>38625</v>
      </c>
      <c r="B5059" s="32">
        <v>2289.61</v>
      </c>
      <c r="C5059">
        <f t="shared" si="108"/>
        <v>2005</v>
      </c>
    </row>
    <row r="5060" spans="1:3">
      <c r="A5060" s="68">
        <v>38626</v>
      </c>
      <c r="B5060" s="33">
        <v>2288.2199999999998</v>
      </c>
      <c r="C5060">
        <f t="shared" ref="C5060:C5123" si="109">YEAR(A5060)</f>
        <v>2005</v>
      </c>
    </row>
    <row r="5061" spans="1:3">
      <c r="A5061" s="68">
        <v>38627</v>
      </c>
      <c r="B5061" s="32">
        <v>2288.2199999999998</v>
      </c>
      <c r="C5061">
        <f t="shared" si="109"/>
        <v>2005</v>
      </c>
    </row>
    <row r="5062" spans="1:3">
      <c r="A5062" s="68">
        <v>38628</v>
      </c>
      <c r="B5062" s="33">
        <v>2288.2199999999998</v>
      </c>
      <c r="C5062">
        <f t="shared" si="109"/>
        <v>2005</v>
      </c>
    </row>
    <row r="5063" spans="1:3">
      <c r="A5063" s="68">
        <v>38629</v>
      </c>
      <c r="B5063" s="32">
        <v>2289.13</v>
      </c>
      <c r="C5063">
        <f t="shared" si="109"/>
        <v>2005</v>
      </c>
    </row>
    <row r="5064" spans="1:3">
      <c r="A5064" s="68">
        <v>38630</v>
      </c>
      <c r="B5064" s="33">
        <v>2289.79</v>
      </c>
      <c r="C5064">
        <f t="shared" si="109"/>
        <v>2005</v>
      </c>
    </row>
    <row r="5065" spans="1:3">
      <c r="A5065" s="68">
        <v>38631</v>
      </c>
      <c r="B5065" s="32">
        <v>2294.12</v>
      </c>
      <c r="C5065">
        <f t="shared" si="109"/>
        <v>2005</v>
      </c>
    </row>
    <row r="5066" spans="1:3">
      <c r="A5066" s="68">
        <v>38632</v>
      </c>
      <c r="B5066" s="33">
        <v>2302.79</v>
      </c>
      <c r="C5066">
        <f t="shared" si="109"/>
        <v>2005</v>
      </c>
    </row>
    <row r="5067" spans="1:3">
      <c r="A5067" s="68">
        <v>38633</v>
      </c>
      <c r="B5067" s="32">
        <v>2303.0100000000002</v>
      </c>
      <c r="C5067">
        <f t="shared" si="109"/>
        <v>2005</v>
      </c>
    </row>
    <row r="5068" spans="1:3">
      <c r="A5068" s="68">
        <v>38634</v>
      </c>
      <c r="B5068" s="33">
        <v>2303.0100000000002</v>
      </c>
      <c r="C5068">
        <f t="shared" si="109"/>
        <v>2005</v>
      </c>
    </row>
    <row r="5069" spans="1:3">
      <c r="A5069" s="68">
        <v>38635</v>
      </c>
      <c r="B5069" s="32">
        <v>2303.0100000000002</v>
      </c>
      <c r="C5069">
        <f t="shared" si="109"/>
        <v>2005</v>
      </c>
    </row>
    <row r="5070" spans="1:3">
      <c r="A5070" s="68">
        <v>38636</v>
      </c>
      <c r="B5070" s="33">
        <v>2303.0100000000002</v>
      </c>
      <c r="C5070">
        <f t="shared" si="109"/>
        <v>2005</v>
      </c>
    </row>
    <row r="5071" spans="1:3">
      <c r="A5071" s="68">
        <v>38637</v>
      </c>
      <c r="B5071" s="32">
        <v>2299.94</v>
      </c>
      <c r="C5071">
        <f t="shared" si="109"/>
        <v>2005</v>
      </c>
    </row>
    <row r="5072" spans="1:3">
      <c r="A5072" s="68">
        <v>38638</v>
      </c>
      <c r="B5072" s="33">
        <v>2299.4699999999998</v>
      </c>
      <c r="C5072">
        <f t="shared" si="109"/>
        <v>2005</v>
      </c>
    </row>
    <row r="5073" spans="1:3">
      <c r="A5073" s="68">
        <v>38639</v>
      </c>
      <c r="B5073" s="32">
        <v>2298.9899999999998</v>
      </c>
      <c r="C5073">
        <f t="shared" si="109"/>
        <v>2005</v>
      </c>
    </row>
    <row r="5074" spans="1:3">
      <c r="A5074" s="68">
        <v>38640</v>
      </c>
      <c r="B5074" s="33">
        <v>2294.75</v>
      </c>
      <c r="C5074">
        <f t="shared" si="109"/>
        <v>2005</v>
      </c>
    </row>
    <row r="5075" spans="1:3">
      <c r="A5075" s="68">
        <v>38641</v>
      </c>
      <c r="B5075" s="32">
        <v>2294.75</v>
      </c>
      <c r="C5075">
        <f t="shared" si="109"/>
        <v>2005</v>
      </c>
    </row>
    <row r="5076" spans="1:3">
      <c r="A5076" s="68">
        <v>38642</v>
      </c>
      <c r="B5076" s="33">
        <v>2294.75</v>
      </c>
      <c r="C5076">
        <f t="shared" si="109"/>
        <v>2005</v>
      </c>
    </row>
    <row r="5077" spans="1:3">
      <c r="A5077" s="68">
        <v>38643</v>
      </c>
      <c r="B5077" s="32">
        <v>2294.75</v>
      </c>
      <c r="C5077">
        <f t="shared" si="109"/>
        <v>2005</v>
      </c>
    </row>
    <row r="5078" spans="1:3">
      <c r="A5078" s="68">
        <v>38644</v>
      </c>
      <c r="B5078" s="33">
        <v>2288.69</v>
      </c>
      <c r="C5078">
        <f t="shared" si="109"/>
        <v>2005</v>
      </c>
    </row>
    <row r="5079" spans="1:3">
      <c r="A5079" s="68">
        <v>38645</v>
      </c>
      <c r="B5079" s="32">
        <v>2283.96</v>
      </c>
      <c r="C5079">
        <f t="shared" si="109"/>
        <v>2005</v>
      </c>
    </row>
    <row r="5080" spans="1:3">
      <c r="A5080" s="68">
        <v>38646</v>
      </c>
      <c r="B5080" s="33">
        <v>2289.15</v>
      </c>
      <c r="C5080">
        <f t="shared" si="109"/>
        <v>2005</v>
      </c>
    </row>
    <row r="5081" spans="1:3">
      <c r="A5081" s="68">
        <v>38647</v>
      </c>
      <c r="B5081" s="32">
        <v>2288.69</v>
      </c>
      <c r="C5081">
        <f t="shared" si="109"/>
        <v>2005</v>
      </c>
    </row>
    <row r="5082" spans="1:3">
      <c r="A5082" s="68">
        <v>38648</v>
      </c>
      <c r="B5082" s="33">
        <v>2288.69</v>
      </c>
      <c r="C5082">
        <f t="shared" si="109"/>
        <v>2005</v>
      </c>
    </row>
    <row r="5083" spans="1:3">
      <c r="A5083" s="68">
        <v>38649</v>
      </c>
      <c r="B5083" s="32">
        <v>2288.69</v>
      </c>
      <c r="C5083">
        <f t="shared" si="109"/>
        <v>2005</v>
      </c>
    </row>
    <row r="5084" spans="1:3">
      <c r="A5084" s="68">
        <v>38650</v>
      </c>
      <c r="B5084" s="33">
        <v>2285.37</v>
      </c>
      <c r="C5084">
        <f t="shared" si="109"/>
        <v>2005</v>
      </c>
    </row>
    <row r="5085" spans="1:3">
      <c r="A5085" s="68">
        <v>38651</v>
      </c>
      <c r="B5085" s="32">
        <v>2284.0500000000002</v>
      </c>
      <c r="C5085">
        <f t="shared" si="109"/>
        <v>2005</v>
      </c>
    </row>
    <row r="5086" spans="1:3">
      <c r="A5086" s="68">
        <v>38652</v>
      </c>
      <c r="B5086" s="33">
        <v>2288.52</v>
      </c>
      <c r="C5086">
        <f t="shared" si="109"/>
        <v>2005</v>
      </c>
    </row>
    <row r="5087" spans="1:3">
      <c r="A5087" s="68">
        <v>38653</v>
      </c>
      <c r="B5087" s="32">
        <v>2289.87</v>
      </c>
      <c r="C5087">
        <f t="shared" si="109"/>
        <v>2005</v>
      </c>
    </row>
    <row r="5088" spans="1:3">
      <c r="A5088" s="68">
        <v>38654</v>
      </c>
      <c r="B5088" s="33">
        <v>2289.5700000000002</v>
      </c>
      <c r="C5088">
        <f t="shared" si="109"/>
        <v>2005</v>
      </c>
    </row>
    <row r="5089" spans="1:3">
      <c r="A5089" s="68">
        <v>38655</v>
      </c>
      <c r="B5089" s="32">
        <v>2289.5700000000002</v>
      </c>
      <c r="C5089">
        <f t="shared" si="109"/>
        <v>2005</v>
      </c>
    </row>
    <row r="5090" spans="1:3">
      <c r="A5090" s="68">
        <v>38656</v>
      </c>
      <c r="B5090" s="33">
        <v>2289.5700000000002</v>
      </c>
      <c r="C5090">
        <f t="shared" si="109"/>
        <v>2005</v>
      </c>
    </row>
    <row r="5091" spans="1:3">
      <c r="A5091" s="68">
        <v>38657</v>
      </c>
      <c r="B5091" s="32">
        <v>2287.5100000000002</v>
      </c>
      <c r="C5091">
        <f t="shared" si="109"/>
        <v>2005</v>
      </c>
    </row>
    <row r="5092" spans="1:3">
      <c r="A5092" s="68">
        <v>38658</v>
      </c>
      <c r="B5092" s="33">
        <v>2285.83</v>
      </c>
      <c r="C5092">
        <f t="shared" si="109"/>
        <v>2005</v>
      </c>
    </row>
    <row r="5093" spans="1:3">
      <c r="A5093" s="68">
        <v>38659</v>
      </c>
      <c r="B5093" s="32">
        <v>2285.2399999999998</v>
      </c>
      <c r="C5093">
        <f t="shared" si="109"/>
        <v>2005</v>
      </c>
    </row>
    <row r="5094" spans="1:3">
      <c r="A5094" s="68">
        <v>38660</v>
      </c>
      <c r="B5094" s="33">
        <v>2283.7800000000002</v>
      </c>
      <c r="C5094">
        <f t="shared" si="109"/>
        <v>2005</v>
      </c>
    </row>
    <row r="5095" spans="1:3">
      <c r="A5095" s="68">
        <v>38661</v>
      </c>
      <c r="B5095" s="32">
        <v>2282.7600000000002</v>
      </c>
      <c r="C5095">
        <f t="shared" si="109"/>
        <v>2005</v>
      </c>
    </row>
    <row r="5096" spans="1:3">
      <c r="A5096" s="68">
        <v>38662</v>
      </c>
      <c r="B5096" s="33">
        <v>2282.7600000000002</v>
      </c>
      <c r="C5096">
        <f t="shared" si="109"/>
        <v>2005</v>
      </c>
    </row>
    <row r="5097" spans="1:3">
      <c r="A5097" s="68">
        <v>38663</v>
      </c>
      <c r="B5097" s="32">
        <v>2282.7600000000002</v>
      </c>
      <c r="C5097">
        <f t="shared" si="109"/>
        <v>2005</v>
      </c>
    </row>
    <row r="5098" spans="1:3">
      <c r="A5098" s="68">
        <v>38664</v>
      </c>
      <c r="B5098" s="33">
        <v>2282.7600000000002</v>
      </c>
      <c r="C5098">
        <f t="shared" si="109"/>
        <v>2005</v>
      </c>
    </row>
    <row r="5099" spans="1:3">
      <c r="A5099" s="68">
        <v>38665</v>
      </c>
      <c r="B5099" s="32">
        <v>2282.67</v>
      </c>
      <c r="C5099">
        <f t="shared" si="109"/>
        <v>2005</v>
      </c>
    </row>
    <row r="5100" spans="1:3">
      <c r="A5100" s="68">
        <v>38666</v>
      </c>
      <c r="B5100" s="33">
        <v>2280.94</v>
      </c>
      <c r="C5100">
        <f t="shared" si="109"/>
        <v>2005</v>
      </c>
    </row>
    <row r="5101" spans="1:3">
      <c r="A5101" s="68">
        <v>38667</v>
      </c>
      <c r="B5101" s="32">
        <v>2280.19</v>
      </c>
      <c r="C5101">
        <f t="shared" si="109"/>
        <v>2005</v>
      </c>
    </row>
    <row r="5102" spans="1:3">
      <c r="A5102" s="68">
        <v>38668</v>
      </c>
      <c r="B5102" s="33">
        <v>2280.19</v>
      </c>
      <c r="C5102">
        <f t="shared" si="109"/>
        <v>2005</v>
      </c>
    </row>
    <row r="5103" spans="1:3">
      <c r="A5103" s="68">
        <v>38669</v>
      </c>
      <c r="B5103" s="32">
        <v>2280.19</v>
      </c>
      <c r="C5103">
        <f t="shared" si="109"/>
        <v>2005</v>
      </c>
    </row>
    <row r="5104" spans="1:3">
      <c r="A5104" s="68">
        <v>38670</v>
      </c>
      <c r="B5104" s="33">
        <v>2280.19</v>
      </c>
      <c r="C5104">
        <f t="shared" si="109"/>
        <v>2005</v>
      </c>
    </row>
    <row r="5105" spans="1:3">
      <c r="A5105" s="68">
        <v>38671</v>
      </c>
      <c r="B5105" s="32">
        <v>2280.19</v>
      </c>
      <c r="C5105">
        <f t="shared" si="109"/>
        <v>2005</v>
      </c>
    </row>
    <row r="5106" spans="1:3">
      <c r="A5106" s="68">
        <v>38672</v>
      </c>
      <c r="B5106" s="33">
        <v>2280.4299999999998</v>
      </c>
      <c r="C5106">
        <f t="shared" si="109"/>
        <v>2005</v>
      </c>
    </row>
    <row r="5107" spans="1:3">
      <c r="A5107" s="68">
        <v>38673</v>
      </c>
      <c r="B5107" s="32">
        <v>2278.23</v>
      </c>
      <c r="C5107">
        <f t="shared" si="109"/>
        <v>2005</v>
      </c>
    </row>
    <row r="5108" spans="1:3">
      <c r="A5108" s="68">
        <v>38674</v>
      </c>
      <c r="B5108" s="33">
        <v>2277.9899999999998</v>
      </c>
      <c r="C5108">
        <f t="shared" si="109"/>
        <v>2005</v>
      </c>
    </row>
    <row r="5109" spans="1:3">
      <c r="A5109" s="68">
        <v>38675</v>
      </c>
      <c r="B5109" s="32">
        <v>2277.73</v>
      </c>
      <c r="C5109">
        <f t="shared" si="109"/>
        <v>2005</v>
      </c>
    </row>
    <row r="5110" spans="1:3">
      <c r="A5110" s="68">
        <v>38676</v>
      </c>
      <c r="B5110" s="33">
        <v>2277.73</v>
      </c>
      <c r="C5110">
        <f t="shared" si="109"/>
        <v>2005</v>
      </c>
    </row>
    <row r="5111" spans="1:3">
      <c r="A5111" s="68">
        <v>38677</v>
      </c>
      <c r="B5111" s="32">
        <v>2277.73</v>
      </c>
      <c r="C5111">
        <f t="shared" si="109"/>
        <v>2005</v>
      </c>
    </row>
    <row r="5112" spans="1:3">
      <c r="A5112" s="68">
        <v>38678</v>
      </c>
      <c r="B5112" s="33">
        <v>2276.64</v>
      </c>
      <c r="C5112">
        <f t="shared" si="109"/>
        <v>2005</v>
      </c>
    </row>
    <row r="5113" spans="1:3">
      <c r="A5113" s="68">
        <v>38679</v>
      </c>
      <c r="B5113" s="32">
        <v>2278.48</v>
      </c>
      <c r="C5113">
        <f t="shared" si="109"/>
        <v>2005</v>
      </c>
    </row>
    <row r="5114" spans="1:3">
      <c r="A5114" s="68">
        <v>38680</v>
      </c>
      <c r="B5114" s="33">
        <v>2277.92</v>
      </c>
      <c r="C5114">
        <f t="shared" si="109"/>
        <v>2005</v>
      </c>
    </row>
    <row r="5115" spans="1:3">
      <c r="A5115" s="68">
        <v>38681</v>
      </c>
      <c r="B5115" s="32">
        <v>2277.92</v>
      </c>
      <c r="C5115">
        <f t="shared" si="109"/>
        <v>2005</v>
      </c>
    </row>
    <row r="5116" spans="1:3">
      <c r="A5116" s="68">
        <v>38682</v>
      </c>
      <c r="B5116" s="33">
        <v>2275.4</v>
      </c>
      <c r="C5116">
        <f t="shared" si="109"/>
        <v>2005</v>
      </c>
    </row>
    <row r="5117" spans="1:3">
      <c r="A5117" s="68">
        <v>38683</v>
      </c>
      <c r="B5117" s="32">
        <v>2275.4</v>
      </c>
      <c r="C5117">
        <f t="shared" si="109"/>
        <v>2005</v>
      </c>
    </row>
    <row r="5118" spans="1:3">
      <c r="A5118" s="68">
        <v>38684</v>
      </c>
      <c r="B5118" s="33">
        <v>2275.4</v>
      </c>
      <c r="C5118">
        <f t="shared" si="109"/>
        <v>2005</v>
      </c>
    </row>
    <row r="5119" spans="1:3">
      <c r="A5119" s="68">
        <v>38685</v>
      </c>
      <c r="B5119" s="32">
        <v>2273.08</v>
      </c>
      <c r="C5119">
        <f t="shared" si="109"/>
        <v>2005</v>
      </c>
    </row>
    <row r="5120" spans="1:3">
      <c r="A5120" s="68">
        <v>38686</v>
      </c>
      <c r="B5120" s="33">
        <v>2274.04</v>
      </c>
      <c r="C5120">
        <f t="shared" si="109"/>
        <v>2005</v>
      </c>
    </row>
    <row r="5121" spans="1:3">
      <c r="A5121" s="68">
        <v>38687</v>
      </c>
      <c r="B5121" s="32">
        <v>2274.71</v>
      </c>
      <c r="C5121">
        <f t="shared" si="109"/>
        <v>2005</v>
      </c>
    </row>
    <row r="5122" spans="1:3">
      <c r="A5122" s="68">
        <v>38688</v>
      </c>
      <c r="B5122" s="33">
        <v>2272.9499999999998</v>
      </c>
      <c r="C5122">
        <f t="shared" si="109"/>
        <v>2005</v>
      </c>
    </row>
    <row r="5123" spans="1:3">
      <c r="A5123" s="68">
        <v>38689</v>
      </c>
      <c r="B5123" s="32">
        <v>2274.39</v>
      </c>
      <c r="C5123">
        <f t="shared" si="109"/>
        <v>2005</v>
      </c>
    </row>
    <row r="5124" spans="1:3">
      <c r="A5124" s="68">
        <v>38690</v>
      </c>
      <c r="B5124" s="33">
        <v>2274.39</v>
      </c>
      <c r="C5124">
        <f t="shared" ref="C5124:C5187" si="110">YEAR(A5124)</f>
        <v>2005</v>
      </c>
    </row>
    <row r="5125" spans="1:3">
      <c r="A5125" s="68">
        <v>38691</v>
      </c>
      <c r="B5125" s="32">
        <v>2274.39</v>
      </c>
      <c r="C5125">
        <f t="shared" si="110"/>
        <v>2005</v>
      </c>
    </row>
    <row r="5126" spans="1:3">
      <c r="A5126" s="68">
        <v>38692</v>
      </c>
      <c r="B5126" s="33">
        <v>2274.1</v>
      </c>
      <c r="C5126">
        <f t="shared" si="110"/>
        <v>2005</v>
      </c>
    </row>
    <row r="5127" spans="1:3">
      <c r="A5127" s="68">
        <v>38693</v>
      </c>
      <c r="B5127" s="32">
        <v>2274.19</v>
      </c>
      <c r="C5127">
        <f t="shared" si="110"/>
        <v>2005</v>
      </c>
    </row>
    <row r="5128" spans="1:3">
      <c r="A5128" s="68">
        <v>38694</v>
      </c>
      <c r="B5128" s="33">
        <v>2274.06</v>
      </c>
      <c r="C5128">
        <f t="shared" si="110"/>
        <v>2005</v>
      </c>
    </row>
    <row r="5129" spans="1:3">
      <c r="A5129" s="68">
        <v>38695</v>
      </c>
      <c r="B5129" s="32">
        <v>2274.06</v>
      </c>
      <c r="C5129">
        <f t="shared" si="110"/>
        <v>2005</v>
      </c>
    </row>
    <row r="5130" spans="1:3">
      <c r="A5130" s="68">
        <v>38696</v>
      </c>
      <c r="B5130" s="33">
        <v>2275.09</v>
      </c>
      <c r="C5130">
        <f t="shared" si="110"/>
        <v>2005</v>
      </c>
    </row>
    <row r="5131" spans="1:3">
      <c r="A5131" s="68">
        <v>38697</v>
      </c>
      <c r="B5131" s="32">
        <v>2275.09</v>
      </c>
      <c r="C5131">
        <f t="shared" si="110"/>
        <v>2005</v>
      </c>
    </row>
    <row r="5132" spans="1:3">
      <c r="A5132" s="68">
        <v>38698</v>
      </c>
      <c r="B5132" s="33">
        <v>2275.09</v>
      </c>
      <c r="C5132">
        <f t="shared" si="110"/>
        <v>2005</v>
      </c>
    </row>
    <row r="5133" spans="1:3">
      <c r="A5133" s="68">
        <v>38699</v>
      </c>
      <c r="B5133" s="32">
        <v>2275.4699999999998</v>
      </c>
      <c r="C5133">
        <f t="shared" si="110"/>
        <v>2005</v>
      </c>
    </row>
    <row r="5134" spans="1:3">
      <c r="A5134" s="68">
        <v>38700</v>
      </c>
      <c r="B5134" s="33">
        <v>2275.33</v>
      </c>
      <c r="C5134">
        <f t="shared" si="110"/>
        <v>2005</v>
      </c>
    </row>
    <row r="5135" spans="1:3">
      <c r="A5135" s="68">
        <v>38701</v>
      </c>
      <c r="B5135" s="32">
        <v>2275.4499999999998</v>
      </c>
      <c r="C5135">
        <f t="shared" si="110"/>
        <v>2005</v>
      </c>
    </row>
    <row r="5136" spans="1:3">
      <c r="A5136" s="68">
        <v>38702</v>
      </c>
      <c r="B5136" s="33">
        <v>2276.6999999999998</v>
      </c>
      <c r="C5136">
        <f t="shared" si="110"/>
        <v>2005</v>
      </c>
    </row>
    <row r="5137" spans="1:3">
      <c r="A5137" s="68">
        <v>38703</v>
      </c>
      <c r="B5137" s="32">
        <v>2277.85</v>
      </c>
      <c r="C5137">
        <f t="shared" si="110"/>
        <v>2005</v>
      </c>
    </row>
    <row r="5138" spans="1:3">
      <c r="A5138" s="68">
        <v>38704</v>
      </c>
      <c r="B5138" s="33">
        <v>2277.85</v>
      </c>
      <c r="C5138">
        <f t="shared" si="110"/>
        <v>2005</v>
      </c>
    </row>
    <row r="5139" spans="1:3">
      <c r="A5139" s="68">
        <v>38705</v>
      </c>
      <c r="B5139" s="32">
        <v>2277.85</v>
      </c>
      <c r="C5139">
        <f t="shared" si="110"/>
        <v>2005</v>
      </c>
    </row>
    <row r="5140" spans="1:3">
      <c r="A5140" s="68">
        <v>38706</v>
      </c>
      <c r="B5140" s="33">
        <v>2286.83</v>
      </c>
      <c r="C5140">
        <f t="shared" si="110"/>
        <v>2005</v>
      </c>
    </row>
    <row r="5141" spans="1:3">
      <c r="A5141" s="68">
        <v>38707</v>
      </c>
      <c r="B5141" s="32">
        <v>2286.46</v>
      </c>
      <c r="C5141">
        <f t="shared" si="110"/>
        <v>2005</v>
      </c>
    </row>
    <row r="5142" spans="1:3">
      <c r="A5142" s="68">
        <v>38708</v>
      </c>
      <c r="B5142" s="33">
        <v>2285.61</v>
      </c>
      <c r="C5142">
        <f t="shared" si="110"/>
        <v>2005</v>
      </c>
    </row>
    <row r="5143" spans="1:3">
      <c r="A5143" s="68">
        <v>38709</v>
      </c>
      <c r="B5143" s="32">
        <v>2283.4699999999998</v>
      </c>
      <c r="C5143">
        <f t="shared" si="110"/>
        <v>2005</v>
      </c>
    </row>
    <row r="5144" spans="1:3">
      <c r="A5144" s="68">
        <v>38710</v>
      </c>
      <c r="B5144" s="33">
        <v>2282.36</v>
      </c>
      <c r="C5144">
        <f t="shared" si="110"/>
        <v>2005</v>
      </c>
    </row>
    <row r="5145" spans="1:3">
      <c r="A5145" s="68">
        <v>38711</v>
      </c>
      <c r="B5145" s="32">
        <v>2282.36</v>
      </c>
      <c r="C5145">
        <f t="shared" si="110"/>
        <v>2005</v>
      </c>
    </row>
    <row r="5146" spans="1:3">
      <c r="A5146" s="68">
        <v>38712</v>
      </c>
      <c r="B5146" s="33">
        <v>2282.36</v>
      </c>
      <c r="C5146">
        <f t="shared" si="110"/>
        <v>2005</v>
      </c>
    </row>
    <row r="5147" spans="1:3">
      <c r="A5147" s="68">
        <v>38713</v>
      </c>
      <c r="B5147" s="32">
        <v>2282.36</v>
      </c>
      <c r="C5147">
        <f t="shared" si="110"/>
        <v>2005</v>
      </c>
    </row>
    <row r="5148" spans="1:3">
      <c r="A5148" s="68">
        <v>38714</v>
      </c>
      <c r="B5148" s="33">
        <v>2283.11</v>
      </c>
      <c r="C5148">
        <f t="shared" si="110"/>
        <v>2005</v>
      </c>
    </row>
    <row r="5149" spans="1:3">
      <c r="A5149" s="68">
        <v>38715</v>
      </c>
      <c r="B5149" s="32">
        <v>2282.35</v>
      </c>
      <c r="C5149">
        <f t="shared" si="110"/>
        <v>2005</v>
      </c>
    </row>
    <row r="5150" spans="1:3">
      <c r="A5150" s="68">
        <v>38716</v>
      </c>
      <c r="B5150" s="33">
        <v>2284.2199999999998</v>
      </c>
      <c r="C5150">
        <f t="shared" si="110"/>
        <v>2005</v>
      </c>
    </row>
    <row r="5151" spans="1:3">
      <c r="A5151" s="68">
        <v>38717</v>
      </c>
      <c r="B5151" s="32">
        <v>2284.2199999999998</v>
      </c>
      <c r="C5151">
        <f t="shared" si="110"/>
        <v>2005</v>
      </c>
    </row>
    <row r="5152" spans="1:3">
      <c r="A5152" s="68">
        <v>38718</v>
      </c>
      <c r="B5152" s="33">
        <v>2284.2199999999998</v>
      </c>
      <c r="C5152">
        <f t="shared" si="110"/>
        <v>2006</v>
      </c>
    </row>
    <row r="5153" spans="1:3">
      <c r="A5153" s="68">
        <v>38719</v>
      </c>
      <c r="B5153" s="32">
        <v>2284.2199999999998</v>
      </c>
      <c r="C5153">
        <f t="shared" si="110"/>
        <v>2006</v>
      </c>
    </row>
    <row r="5154" spans="1:3">
      <c r="A5154" s="68">
        <v>38720</v>
      </c>
      <c r="B5154" s="33">
        <v>2284.2199999999998</v>
      </c>
      <c r="C5154">
        <f t="shared" si="110"/>
        <v>2006</v>
      </c>
    </row>
    <row r="5155" spans="1:3">
      <c r="A5155" s="68">
        <v>38721</v>
      </c>
      <c r="B5155" s="32">
        <v>2282.27</v>
      </c>
      <c r="C5155">
        <f t="shared" si="110"/>
        <v>2006</v>
      </c>
    </row>
    <row r="5156" spans="1:3">
      <c r="A5156" s="68">
        <v>38722</v>
      </c>
      <c r="B5156" s="33">
        <v>2282.13</v>
      </c>
      <c r="C5156">
        <f t="shared" si="110"/>
        <v>2006</v>
      </c>
    </row>
    <row r="5157" spans="1:3">
      <c r="A5157" s="68">
        <v>38723</v>
      </c>
      <c r="B5157" s="32">
        <v>2279.9899999999998</v>
      </c>
      <c r="C5157">
        <f t="shared" si="110"/>
        <v>2006</v>
      </c>
    </row>
    <row r="5158" spans="1:3">
      <c r="A5158" s="68">
        <v>38724</v>
      </c>
      <c r="B5158" s="33">
        <v>2278.4</v>
      </c>
      <c r="C5158">
        <f t="shared" si="110"/>
        <v>2006</v>
      </c>
    </row>
    <row r="5159" spans="1:3">
      <c r="A5159" s="68">
        <v>38725</v>
      </c>
      <c r="B5159" s="32">
        <v>2278.4</v>
      </c>
      <c r="C5159">
        <f t="shared" si="110"/>
        <v>2006</v>
      </c>
    </row>
    <row r="5160" spans="1:3">
      <c r="A5160" s="68">
        <v>38726</v>
      </c>
      <c r="B5160" s="33">
        <v>2278.4</v>
      </c>
      <c r="C5160">
        <f t="shared" si="110"/>
        <v>2006</v>
      </c>
    </row>
    <row r="5161" spans="1:3">
      <c r="A5161" s="68">
        <v>38727</v>
      </c>
      <c r="B5161" s="32">
        <v>2278.4</v>
      </c>
      <c r="C5161">
        <f t="shared" si="110"/>
        <v>2006</v>
      </c>
    </row>
    <row r="5162" spans="1:3">
      <c r="A5162" s="68">
        <v>38728</v>
      </c>
      <c r="B5162" s="33">
        <v>2276.58</v>
      </c>
      <c r="C5162">
        <f t="shared" si="110"/>
        <v>2006</v>
      </c>
    </row>
    <row r="5163" spans="1:3">
      <c r="A5163" s="68">
        <v>38729</v>
      </c>
      <c r="B5163" s="32">
        <v>2274.73</v>
      </c>
      <c r="C5163">
        <f t="shared" si="110"/>
        <v>2006</v>
      </c>
    </row>
    <row r="5164" spans="1:3">
      <c r="A5164" s="68">
        <v>38730</v>
      </c>
      <c r="B5164" s="33">
        <v>2274.59</v>
      </c>
      <c r="C5164">
        <f t="shared" si="110"/>
        <v>2006</v>
      </c>
    </row>
    <row r="5165" spans="1:3">
      <c r="A5165" s="68">
        <v>38731</v>
      </c>
      <c r="B5165" s="32">
        <v>2273.31</v>
      </c>
      <c r="C5165">
        <f t="shared" si="110"/>
        <v>2006</v>
      </c>
    </row>
    <row r="5166" spans="1:3">
      <c r="A5166" s="68">
        <v>38732</v>
      </c>
      <c r="B5166" s="33">
        <v>2273.31</v>
      </c>
      <c r="C5166">
        <f t="shared" si="110"/>
        <v>2006</v>
      </c>
    </row>
    <row r="5167" spans="1:3">
      <c r="A5167" s="68">
        <v>38733</v>
      </c>
      <c r="B5167" s="32">
        <v>2273.31</v>
      </c>
      <c r="C5167">
        <f t="shared" si="110"/>
        <v>2006</v>
      </c>
    </row>
    <row r="5168" spans="1:3">
      <c r="A5168" s="68">
        <v>38734</v>
      </c>
      <c r="B5168" s="33">
        <v>2273.31</v>
      </c>
      <c r="C5168">
        <f t="shared" si="110"/>
        <v>2006</v>
      </c>
    </row>
    <row r="5169" spans="1:3">
      <c r="A5169" s="68">
        <v>38735</v>
      </c>
      <c r="B5169" s="32">
        <v>2270.88</v>
      </c>
      <c r="C5169">
        <f t="shared" si="110"/>
        <v>2006</v>
      </c>
    </row>
    <row r="5170" spans="1:3">
      <c r="A5170" s="68">
        <v>38736</v>
      </c>
      <c r="B5170" s="33">
        <v>2271.5500000000002</v>
      </c>
      <c r="C5170">
        <f t="shared" si="110"/>
        <v>2006</v>
      </c>
    </row>
    <row r="5171" spans="1:3">
      <c r="A5171" s="68">
        <v>38737</v>
      </c>
      <c r="B5171" s="32">
        <v>2269.6999999999998</v>
      </c>
      <c r="C5171">
        <f t="shared" si="110"/>
        <v>2006</v>
      </c>
    </row>
    <row r="5172" spans="1:3">
      <c r="A5172" s="68">
        <v>38738</v>
      </c>
      <c r="B5172" s="33">
        <v>2269.41</v>
      </c>
      <c r="C5172">
        <f t="shared" si="110"/>
        <v>2006</v>
      </c>
    </row>
    <row r="5173" spans="1:3">
      <c r="A5173" s="68">
        <v>38739</v>
      </c>
      <c r="B5173" s="32">
        <v>2269.41</v>
      </c>
      <c r="C5173">
        <f t="shared" si="110"/>
        <v>2006</v>
      </c>
    </row>
    <row r="5174" spans="1:3">
      <c r="A5174" s="68">
        <v>38740</v>
      </c>
      <c r="B5174" s="33">
        <v>2269.41</v>
      </c>
      <c r="C5174">
        <f t="shared" si="110"/>
        <v>2006</v>
      </c>
    </row>
    <row r="5175" spans="1:3">
      <c r="A5175" s="68">
        <v>38741</v>
      </c>
      <c r="B5175" s="32">
        <v>2262.04</v>
      </c>
      <c r="C5175">
        <f t="shared" si="110"/>
        <v>2006</v>
      </c>
    </row>
    <row r="5176" spans="1:3">
      <c r="A5176" s="68">
        <v>38742</v>
      </c>
      <c r="B5176" s="33">
        <v>2262.87</v>
      </c>
      <c r="C5176">
        <f t="shared" si="110"/>
        <v>2006</v>
      </c>
    </row>
    <row r="5177" spans="1:3">
      <c r="A5177" s="68">
        <v>38743</v>
      </c>
      <c r="B5177" s="32">
        <v>2273.5</v>
      </c>
      <c r="C5177">
        <f t="shared" si="110"/>
        <v>2006</v>
      </c>
    </row>
    <row r="5178" spans="1:3">
      <c r="A5178" s="68">
        <v>38744</v>
      </c>
      <c r="B5178" s="33">
        <v>2270.85</v>
      </c>
      <c r="C5178">
        <f t="shared" si="110"/>
        <v>2006</v>
      </c>
    </row>
    <row r="5179" spans="1:3">
      <c r="A5179" s="68">
        <v>38745</v>
      </c>
      <c r="B5179" s="32">
        <v>2266.66</v>
      </c>
      <c r="C5179">
        <f t="shared" si="110"/>
        <v>2006</v>
      </c>
    </row>
    <row r="5180" spans="1:3">
      <c r="A5180" s="68">
        <v>38746</v>
      </c>
      <c r="B5180" s="33">
        <v>2266.66</v>
      </c>
      <c r="C5180">
        <f t="shared" si="110"/>
        <v>2006</v>
      </c>
    </row>
    <row r="5181" spans="1:3">
      <c r="A5181" s="68">
        <v>38747</v>
      </c>
      <c r="B5181" s="32">
        <v>2266.66</v>
      </c>
      <c r="C5181">
        <f t="shared" si="110"/>
        <v>2006</v>
      </c>
    </row>
    <row r="5182" spans="1:3">
      <c r="A5182" s="68">
        <v>38748</v>
      </c>
      <c r="B5182" s="33">
        <v>2265.65</v>
      </c>
      <c r="C5182">
        <f t="shared" si="110"/>
        <v>2006</v>
      </c>
    </row>
    <row r="5183" spans="1:3">
      <c r="A5183" s="68">
        <v>38749</v>
      </c>
      <c r="B5183" s="32">
        <v>2267.63</v>
      </c>
      <c r="C5183">
        <f t="shared" si="110"/>
        <v>2006</v>
      </c>
    </row>
    <row r="5184" spans="1:3">
      <c r="A5184" s="68">
        <v>38750</v>
      </c>
      <c r="B5184" s="33">
        <v>2267.39</v>
      </c>
      <c r="C5184">
        <f t="shared" si="110"/>
        <v>2006</v>
      </c>
    </row>
    <row r="5185" spans="1:3">
      <c r="A5185" s="68">
        <v>38751</v>
      </c>
      <c r="B5185" s="32">
        <v>2266.0700000000002</v>
      </c>
      <c r="C5185">
        <f t="shared" si="110"/>
        <v>2006</v>
      </c>
    </row>
    <row r="5186" spans="1:3">
      <c r="A5186" s="68">
        <v>38752</v>
      </c>
      <c r="B5186" s="33">
        <v>2265.2199999999998</v>
      </c>
      <c r="C5186">
        <f t="shared" si="110"/>
        <v>2006</v>
      </c>
    </row>
    <row r="5187" spans="1:3">
      <c r="A5187" s="68">
        <v>38753</v>
      </c>
      <c r="B5187" s="32">
        <v>2265.2199999999998</v>
      </c>
      <c r="C5187">
        <f t="shared" si="110"/>
        <v>2006</v>
      </c>
    </row>
    <row r="5188" spans="1:3">
      <c r="A5188" s="68">
        <v>38754</v>
      </c>
      <c r="B5188" s="33">
        <v>2265.2199999999998</v>
      </c>
      <c r="C5188">
        <f t="shared" ref="C5188:C5251" si="111">YEAR(A5188)</f>
        <v>2006</v>
      </c>
    </row>
    <row r="5189" spans="1:3">
      <c r="A5189" s="68">
        <v>38755</v>
      </c>
      <c r="B5189" s="32">
        <v>2259.64</v>
      </c>
      <c r="C5189">
        <f t="shared" si="111"/>
        <v>2006</v>
      </c>
    </row>
    <row r="5190" spans="1:3">
      <c r="A5190" s="68">
        <v>38756</v>
      </c>
      <c r="B5190" s="33">
        <v>2256.5700000000002</v>
      </c>
      <c r="C5190">
        <f t="shared" si="111"/>
        <v>2006</v>
      </c>
    </row>
    <row r="5191" spans="1:3">
      <c r="A5191" s="68">
        <v>38757</v>
      </c>
      <c r="B5191" s="32">
        <v>2259.0700000000002</v>
      </c>
      <c r="C5191">
        <f t="shared" si="111"/>
        <v>2006</v>
      </c>
    </row>
    <row r="5192" spans="1:3">
      <c r="A5192" s="68">
        <v>38758</v>
      </c>
      <c r="B5192" s="33">
        <v>2256.9499999999998</v>
      </c>
      <c r="C5192">
        <f t="shared" si="111"/>
        <v>2006</v>
      </c>
    </row>
    <row r="5193" spans="1:3">
      <c r="A5193" s="68">
        <v>38759</v>
      </c>
      <c r="B5193" s="32">
        <v>2253.1</v>
      </c>
      <c r="C5193">
        <f t="shared" si="111"/>
        <v>2006</v>
      </c>
    </row>
    <row r="5194" spans="1:3">
      <c r="A5194" s="68">
        <v>38760</v>
      </c>
      <c r="B5194" s="33">
        <v>2253.1</v>
      </c>
      <c r="C5194">
        <f t="shared" si="111"/>
        <v>2006</v>
      </c>
    </row>
    <row r="5195" spans="1:3">
      <c r="A5195" s="68">
        <v>38761</v>
      </c>
      <c r="B5195" s="32">
        <v>2253.1</v>
      </c>
      <c r="C5195">
        <f t="shared" si="111"/>
        <v>2006</v>
      </c>
    </row>
    <row r="5196" spans="1:3">
      <c r="A5196" s="68">
        <v>38762</v>
      </c>
      <c r="B5196" s="33">
        <v>2254.0300000000002</v>
      </c>
      <c r="C5196">
        <f t="shared" si="111"/>
        <v>2006</v>
      </c>
    </row>
    <row r="5197" spans="1:3">
      <c r="A5197" s="68">
        <v>38763</v>
      </c>
      <c r="B5197" s="32">
        <v>2254.98</v>
      </c>
      <c r="C5197">
        <f t="shared" si="111"/>
        <v>2006</v>
      </c>
    </row>
    <row r="5198" spans="1:3">
      <c r="A5198" s="68">
        <v>38764</v>
      </c>
      <c r="B5198" s="33">
        <v>2253.6799999999998</v>
      </c>
      <c r="C5198">
        <f t="shared" si="111"/>
        <v>2006</v>
      </c>
    </row>
    <row r="5199" spans="1:3">
      <c r="A5199" s="68">
        <v>38765</v>
      </c>
      <c r="B5199" s="32">
        <v>2254.11</v>
      </c>
      <c r="C5199">
        <f t="shared" si="111"/>
        <v>2006</v>
      </c>
    </row>
    <row r="5200" spans="1:3">
      <c r="A5200" s="68">
        <v>38766</v>
      </c>
      <c r="B5200" s="33">
        <v>2253.89</v>
      </c>
      <c r="C5200">
        <f t="shared" si="111"/>
        <v>2006</v>
      </c>
    </row>
    <row r="5201" spans="1:3">
      <c r="A5201" s="68">
        <v>38767</v>
      </c>
      <c r="B5201" s="32">
        <v>2253.89</v>
      </c>
      <c r="C5201">
        <f t="shared" si="111"/>
        <v>2006</v>
      </c>
    </row>
    <row r="5202" spans="1:3">
      <c r="A5202" s="68">
        <v>38768</v>
      </c>
      <c r="B5202" s="33">
        <v>2253.89</v>
      </c>
      <c r="C5202">
        <f t="shared" si="111"/>
        <v>2006</v>
      </c>
    </row>
    <row r="5203" spans="1:3">
      <c r="A5203" s="68">
        <v>38769</v>
      </c>
      <c r="B5203" s="32">
        <v>2253.89</v>
      </c>
      <c r="C5203">
        <f t="shared" si="111"/>
        <v>2006</v>
      </c>
    </row>
    <row r="5204" spans="1:3">
      <c r="A5204" s="68">
        <v>38770</v>
      </c>
      <c r="B5204" s="33">
        <v>2253.42</v>
      </c>
      <c r="C5204">
        <f t="shared" si="111"/>
        <v>2006</v>
      </c>
    </row>
    <row r="5205" spans="1:3">
      <c r="A5205" s="68">
        <v>38771</v>
      </c>
      <c r="B5205" s="32">
        <v>2251.7800000000002</v>
      </c>
      <c r="C5205">
        <f t="shared" si="111"/>
        <v>2006</v>
      </c>
    </row>
    <row r="5206" spans="1:3">
      <c r="A5206" s="68">
        <v>38772</v>
      </c>
      <c r="B5206" s="33">
        <v>2249.9</v>
      </c>
      <c r="C5206">
        <f t="shared" si="111"/>
        <v>2006</v>
      </c>
    </row>
    <row r="5207" spans="1:3">
      <c r="A5207" s="68">
        <v>38773</v>
      </c>
      <c r="B5207" s="32">
        <v>2246.1799999999998</v>
      </c>
      <c r="C5207">
        <f t="shared" si="111"/>
        <v>2006</v>
      </c>
    </row>
    <row r="5208" spans="1:3">
      <c r="A5208" s="68">
        <v>38774</v>
      </c>
      <c r="B5208" s="33">
        <v>2246.1799999999998</v>
      </c>
      <c r="C5208">
        <f t="shared" si="111"/>
        <v>2006</v>
      </c>
    </row>
    <row r="5209" spans="1:3">
      <c r="A5209" s="68">
        <v>38775</v>
      </c>
      <c r="B5209" s="32">
        <v>2246.1799999999998</v>
      </c>
      <c r="C5209">
        <f t="shared" si="111"/>
        <v>2006</v>
      </c>
    </row>
    <row r="5210" spans="1:3">
      <c r="A5210" s="68">
        <v>38776</v>
      </c>
      <c r="B5210" s="33">
        <v>2247.3200000000002</v>
      </c>
      <c r="C5210">
        <f t="shared" si="111"/>
        <v>2006</v>
      </c>
    </row>
    <row r="5211" spans="1:3">
      <c r="A5211" s="68">
        <v>38777</v>
      </c>
      <c r="B5211" s="32">
        <v>2245.71</v>
      </c>
      <c r="C5211">
        <f t="shared" si="111"/>
        <v>2006</v>
      </c>
    </row>
    <row r="5212" spans="1:3">
      <c r="A5212" s="68">
        <v>38778</v>
      </c>
      <c r="B5212" s="33">
        <v>2247.48</v>
      </c>
      <c r="C5212">
        <f t="shared" si="111"/>
        <v>2006</v>
      </c>
    </row>
    <row r="5213" spans="1:3">
      <c r="A5213" s="68">
        <v>38779</v>
      </c>
      <c r="B5213" s="32">
        <v>2251.4499999999998</v>
      </c>
      <c r="C5213">
        <f t="shared" si="111"/>
        <v>2006</v>
      </c>
    </row>
    <row r="5214" spans="1:3">
      <c r="A5214" s="68">
        <v>38780</v>
      </c>
      <c r="B5214" s="33">
        <v>2256.17</v>
      </c>
      <c r="C5214">
        <f t="shared" si="111"/>
        <v>2006</v>
      </c>
    </row>
    <row r="5215" spans="1:3">
      <c r="A5215" s="68">
        <v>38781</v>
      </c>
      <c r="B5215" s="32">
        <v>2256.17</v>
      </c>
      <c r="C5215">
        <f t="shared" si="111"/>
        <v>2006</v>
      </c>
    </row>
    <row r="5216" spans="1:3">
      <c r="A5216" s="68">
        <v>38782</v>
      </c>
      <c r="B5216" s="33">
        <v>2256.17</v>
      </c>
      <c r="C5216">
        <f t="shared" si="111"/>
        <v>2006</v>
      </c>
    </row>
    <row r="5217" spans="1:3">
      <c r="A5217" s="68">
        <v>38783</v>
      </c>
      <c r="B5217" s="32">
        <v>2259.12</v>
      </c>
      <c r="C5217">
        <f t="shared" si="111"/>
        <v>2006</v>
      </c>
    </row>
    <row r="5218" spans="1:3">
      <c r="A5218" s="68">
        <v>38784</v>
      </c>
      <c r="B5218" s="33">
        <v>2258.11</v>
      </c>
      <c r="C5218">
        <f t="shared" si="111"/>
        <v>2006</v>
      </c>
    </row>
    <row r="5219" spans="1:3">
      <c r="A5219" s="68">
        <v>38785</v>
      </c>
      <c r="B5219" s="32">
        <v>2254.5500000000002</v>
      </c>
      <c r="C5219">
        <f t="shared" si="111"/>
        <v>2006</v>
      </c>
    </row>
    <row r="5220" spans="1:3">
      <c r="A5220" s="68">
        <v>38786</v>
      </c>
      <c r="B5220" s="33">
        <v>2257.67</v>
      </c>
      <c r="C5220">
        <f t="shared" si="111"/>
        <v>2006</v>
      </c>
    </row>
    <row r="5221" spans="1:3">
      <c r="A5221" s="68">
        <v>38787</v>
      </c>
      <c r="B5221" s="32">
        <v>2265.15</v>
      </c>
      <c r="C5221">
        <f t="shared" si="111"/>
        <v>2006</v>
      </c>
    </row>
    <row r="5222" spans="1:3">
      <c r="A5222" s="68">
        <v>38788</v>
      </c>
      <c r="B5222" s="33">
        <v>2265.15</v>
      </c>
      <c r="C5222">
        <f t="shared" si="111"/>
        <v>2006</v>
      </c>
    </row>
    <row r="5223" spans="1:3">
      <c r="A5223" s="68">
        <v>38789</v>
      </c>
      <c r="B5223" s="32">
        <v>2265.15</v>
      </c>
      <c r="C5223">
        <f t="shared" si="111"/>
        <v>2006</v>
      </c>
    </row>
    <row r="5224" spans="1:3">
      <c r="A5224" s="68">
        <v>38790</v>
      </c>
      <c r="B5224" s="33">
        <v>2263.46</v>
      </c>
      <c r="C5224">
        <f t="shared" si="111"/>
        <v>2006</v>
      </c>
    </row>
    <row r="5225" spans="1:3">
      <c r="A5225" s="68">
        <v>38791</v>
      </c>
      <c r="B5225" s="32">
        <v>2262.41</v>
      </c>
      <c r="C5225">
        <f t="shared" si="111"/>
        <v>2006</v>
      </c>
    </row>
    <row r="5226" spans="1:3">
      <c r="A5226" s="68">
        <v>38792</v>
      </c>
      <c r="B5226" s="33">
        <v>2259.5300000000002</v>
      </c>
      <c r="C5226">
        <f t="shared" si="111"/>
        <v>2006</v>
      </c>
    </row>
    <row r="5227" spans="1:3">
      <c r="A5227" s="68">
        <v>38793</v>
      </c>
      <c r="B5227" s="32">
        <v>2258.0100000000002</v>
      </c>
      <c r="C5227">
        <f t="shared" si="111"/>
        <v>2006</v>
      </c>
    </row>
    <row r="5228" spans="1:3">
      <c r="A5228" s="68">
        <v>38794</v>
      </c>
      <c r="B5228" s="33">
        <v>2257.0100000000002</v>
      </c>
      <c r="C5228">
        <f t="shared" si="111"/>
        <v>2006</v>
      </c>
    </row>
    <row r="5229" spans="1:3">
      <c r="A5229" s="68">
        <v>38795</v>
      </c>
      <c r="B5229" s="32">
        <v>2257.0100000000002</v>
      </c>
      <c r="C5229">
        <f t="shared" si="111"/>
        <v>2006</v>
      </c>
    </row>
    <row r="5230" spans="1:3">
      <c r="A5230" s="68">
        <v>38796</v>
      </c>
      <c r="B5230" s="33">
        <v>2257.0100000000002</v>
      </c>
      <c r="C5230">
        <f t="shared" si="111"/>
        <v>2006</v>
      </c>
    </row>
    <row r="5231" spans="1:3">
      <c r="A5231" s="68">
        <v>38797</v>
      </c>
      <c r="B5231" s="32">
        <v>2257.0100000000002</v>
      </c>
      <c r="C5231">
        <f t="shared" si="111"/>
        <v>2006</v>
      </c>
    </row>
    <row r="5232" spans="1:3">
      <c r="A5232" s="68">
        <v>38798</v>
      </c>
      <c r="B5232" s="33">
        <v>2259.19</v>
      </c>
      <c r="C5232">
        <f t="shared" si="111"/>
        <v>2006</v>
      </c>
    </row>
    <row r="5233" spans="1:3">
      <c r="A5233" s="68">
        <v>38799</v>
      </c>
      <c r="B5233" s="32">
        <v>2263.31</v>
      </c>
      <c r="C5233">
        <f t="shared" si="111"/>
        <v>2006</v>
      </c>
    </row>
    <row r="5234" spans="1:3">
      <c r="A5234" s="68">
        <v>38800</v>
      </c>
      <c r="B5234" s="33">
        <v>2265.4899999999998</v>
      </c>
      <c r="C5234">
        <f t="shared" si="111"/>
        <v>2006</v>
      </c>
    </row>
    <row r="5235" spans="1:3">
      <c r="A5235" s="68">
        <v>38801</v>
      </c>
      <c r="B5235" s="32">
        <v>2266.9499999999998</v>
      </c>
      <c r="C5235">
        <f t="shared" si="111"/>
        <v>2006</v>
      </c>
    </row>
    <row r="5236" spans="1:3">
      <c r="A5236" s="68">
        <v>38802</v>
      </c>
      <c r="B5236" s="33">
        <v>2266.9499999999998</v>
      </c>
      <c r="C5236">
        <f t="shared" si="111"/>
        <v>2006</v>
      </c>
    </row>
    <row r="5237" spans="1:3">
      <c r="A5237" s="68">
        <v>38803</v>
      </c>
      <c r="B5237" s="32">
        <v>2266.9499999999998</v>
      </c>
      <c r="C5237">
        <f t="shared" si="111"/>
        <v>2006</v>
      </c>
    </row>
    <row r="5238" spans="1:3">
      <c r="A5238" s="68">
        <v>38804</v>
      </c>
      <c r="B5238" s="33">
        <v>2268.35</v>
      </c>
      <c r="C5238">
        <f t="shared" si="111"/>
        <v>2006</v>
      </c>
    </row>
    <row r="5239" spans="1:3">
      <c r="A5239" s="68">
        <v>38805</v>
      </c>
      <c r="B5239" s="32">
        <v>2276.08</v>
      </c>
      <c r="C5239">
        <f t="shared" si="111"/>
        <v>2006</v>
      </c>
    </row>
    <row r="5240" spans="1:3">
      <c r="A5240" s="68">
        <v>38806</v>
      </c>
      <c r="B5240" s="33">
        <v>2286.73</v>
      </c>
      <c r="C5240">
        <f t="shared" si="111"/>
        <v>2006</v>
      </c>
    </row>
    <row r="5241" spans="1:3">
      <c r="A5241" s="68">
        <v>38807</v>
      </c>
      <c r="B5241" s="32">
        <v>2289.98</v>
      </c>
      <c r="C5241">
        <f t="shared" si="111"/>
        <v>2006</v>
      </c>
    </row>
    <row r="5242" spans="1:3">
      <c r="A5242" s="68">
        <v>38808</v>
      </c>
      <c r="B5242" s="33">
        <v>2293.38</v>
      </c>
      <c r="C5242">
        <f t="shared" si="111"/>
        <v>2006</v>
      </c>
    </row>
    <row r="5243" spans="1:3">
      <c r="A5243" s="68">
        <v>38809</v>
      </c>
      <c r="B5243" s="32">
        <v>2293.38</v>
      </c>
      <c r="C5243">
        <f t="shared" si="111"/>
        <v>2006</v>
      </c>
    </row>
    <row r="5244" spans="1:3">
      <c r="A5244" s="68">
        <v>38810</v>
      </c>
      <c r="B5244" s="33">
        <v>2293.38</v>
      </c>
      <c r="C5244">
        <f t="shared" si="111"/>
        <v>2006</v>
      </c>
    </row>
    <row r="5245" spans="1:3">
      <c r="A5245" s="68">
        <v>38811</v>
      </c>
      <c r="B5245" s="32">
        <v>2296.1799999999998</v>
      </c>
      <c r="C5245">
        <f t="shared" si="111"/>
        <v>2006</v>
      </c>
    </row>
    <row r="5246" spans="1:3">
      <c r="A5246" s="68">
        <v>38812</v>
      </c>
      <c r="B5246" s="33">
        <v>2288.67</v>
      </c>
      <c r="C5246">
        <f t="shared" si="111"/>
        <v>2006</v>
      </c>
    </row>
    <row r="5247" spans="1:3">
      <c r="A5247" s="68">
        <v>38813</v>
      </c>
      <c r="B5247" s="32">
        <v>2294.9899999999998</v>
      </c>
      <c r="C5247">
        <f t="shared" si="111"/>
        <v>2006</v>
      </c>
    </row>
    <row r="5248" spans="1:3">
      <c r="A5248" s="68">
        <v>38814</v>
      </c>
      <c r="B5248" s="33">
        <v>2313.0500000000002</v>
      </c>
      <c r="C5248">
        <f t="shared" si="111"/>
        <v>2006</v>
      </c>
    </row>
    <row r="5249" spans="1:3">
      <c r="A5249" s="68">
        <v>38815</v>
      </c>
      <c r="B5249" s="32">
        <v>2342.35</v>
      </c>
      <c r="C5249">
        <f t="shared" si="111"/>
        <v>2006</v>
      </c>
    </row>
    <row r="5250" spans="1:3">
      <c r="A5250" s="68">
        <v>38816</v>
      </c>
      <c r="B5250" s="33">
        <v>2342.35</v>
      </c>
      <c r="C5250">
        <f t="shared" si="111"/>
        <v>2006</v>
      </c>
    </row>
    <row r="5251" spans="1:3">
      <c r="A5251" s="68">
        <v>38817</v>
      </c>
      <c r="B5251" s="32">
        <v>2342.35</v>
      </c>
      <c r="C5251">
        <f t="shared" si="111"/>
        <v>2006</v>
      </c>
    </row>
    <row r="5252" spans="1:3">
      <c r="A5252" s="68">
        <v>38818</v>
      </c>
      <c r="B5252" s="33">
        <v>2352.58</v>
      </c>
      <c r="C5252">
        <f t="shared" ref="C5252:C5315" si="112">YEAR(A5252)</f>
        <v>2006</v>
      </c>
    </row>
    <row r="5253" spans="1:3">
      <c r="A5253" s="68">
        <v>38819</v>
      </c>
      <c r="B5253" s="32">
        <v>2336.2600000000002</v>
      </c>
      <c r="C5253">
        <f t="shared" si="112"/>
        <v>2006</v>
      </c>
    </row>
    <row r="5254" spans="1:3">
      <c r="A5254" s="68">
        <v>38820</v>
      </c>
      <c r="B5254" s="33">
        <v>2335.16</v>
      </c>
      <c r="C5254">
        <f t="shared" si="112"/>
        <v>2006</v>
      </c>
    </row>
    <row r="5255" spans="1:3">
      <c r="A5255" s="68">
        <v>38821</v>
      </c>
      <c r="B5255" s="32">
        <v>2335.16</v>
      </c>
      <c r="C5255">
        <f t="shared" si="112"/>
        <v>2006</v>
      </c>
    </row>
    <row r="5256" spans="1:3">
      <c r="A5256" s="68">
        <v>38822</v>
      </c>
      <c r="B5256" s="33">
        <v>2335.16</v>
      </c>
      <c r="C5256">
        <f t="shared" si="112"/>
        <v>2006</v>
      </c>
    </row>
    <row r="5257" spans="1:3">
      <c r="A5257" s="68">
        <v>38823</v>
      </c>
      <c r="B5257" s="32">
        <v>2335.16</v>
      </c>
      <c r="C5257">
        <f t="shared" si="112"/>
        <v>2006</v>
      </c>
    </row>
    <row r="5258" spans="1:3">
      <c r="A5258" s="68">
        <v>38824</v>
      </c>
      <c r="B5258" s="33">
        <v>2335.16</v>
      </c>
      <c r="C5258">
        <f t="shared" si="112"/>
        <v>2006</v>
      </c>
    </row>
    <row r="5259" spans="1:3">
      <c r="A5259" s="68">
        <v>38825</v>
      </c>
      <c r="B5259" s="32">
        <v>2366.15</v>
      </c>
      <c r="C5259">
        <f t="shared" si="112"/>
        <v>2006</v>
      </c>
    </row>
    <row r="5260" spans="1:3">
      <c r="A5260" s="68">
        <v>38826</v>
      </c>
      <c r="B5260" s="33">
        <v>2349.0300000000002</v>
      </c>
      <c r="C5260">
        <f t="shared" si="112"/>
        <v>2006</v>
      </c>
    </row>
    <row r="5261" spans="1:3">
      <c r="A5261" s="68">
        <v>38827</v>
      </c>
      <c r="B5261" s="32">
        <v>2344.73</v>
      </c>
      <c r="C5261">
        <f t="shared" si="112"/>
        <v>2006</v>
      </c>
    </row>
    <row r="5262" spans="1:3">
      <c r="A5262" s="68">
        <v>38828</v>
      </c>
      <c r="B5262" s="33">
        <v>2336.1</v>
      </c>
      <c r="C5262">
        <f t="shared" si="112"/>
        <v>2006</v>
      </c>
    </row>
    <row r="5263" spans="1:3">
      <c r="A5263" s="68">
        <v>38829</v>
      </c>
      <c r="B5263" s="32">
        <v>2337.42</v>
      </c>
      <c r="C5263">
        <f t="shared" si="112"/>
        <v>2006</v>
      </c>
    </row>
    <row r="5264" spans="1:3">
      <c r="A5264" s="68">
        <v>38830</v>
      </c>
      <c r="B5264" s="33">
        <v>2337.42</v>
      </c>
      <c r="C5264">
        <f t="shared" si="112"/>
        <v>2006</v>
      </c>
    </row>
    <row r="5265" spans="1:3">
      <c r="A5265" s="68">
        <v>38831</v>
      </c>
      <c r="B5265" s="32">
        <v>2337.42</v>
      </c>
      <c r="C5265">
        <f t="shared" si="112"/>
        <v>2006</v>
      </c>
    </row>
    <row r="5266" spans="1:3">
      <c r="A5266" s="68">
        <v>38832</v>
      </c>
      <c r="B5266" s="33">
        <v>2332.9899999999998</v>
      </c>
      <c r="C5266">
        <f t="shared" si="112"/>
        <v>2006</v>
      </c>
    </row>
    <row r="5267" spans="1:3">
      <c r="A5267" s="68">
        <v>38833</v>
      </c>
      <c r="B5267" s="32">
        <v>2348.4899999999998</v>
      </c>
      <c r="C5267">
        <f t="shared" si="112"/>
        <v>2006</v>
      </c>
    </row>
    <row r="5268" spans="1:3">
      <c r="A5268" s="68">
        <v>38834</v>
      </c>
      <c r="B5268" s="33">
        <v>2373.94</v>
      </c>
      <c r="C5268">
        <f t="shared" si="112"/>
        <v>2006</v>
      </c>
    </row>
    <row r="5269" spans="1:3">
      <c r="A5269" s="68">
        <v>38835</v>
      </c>
      <c r="B5269" s="32">
        <v>2375.66</v>
      </c>
      <c r="C5269">
        <f t="shared" si="112"/>
        <v>2006</v>
      </c>
    </row>
    <row r="5270" spans="1:3">
      <c r="A5270" s="68">
        <v>38836</v>
      </c>
      <c r="B5270" s="33">
        <v>2375.0300000000002</v>
      </c>
      <c r="C5270">
        <f t="shared" si="112"/>
        <v>2006</v>
      </c>
    </row>
    <row r="5271" spans="1:3">
      <c r="A5271" s="68">
        <v>38837</v>
      </c>
      <c r="B5271" s="32">
        <v>2375.0300000000002</v>
      </c>
      <c r="C5271">
        <f t="shared" si="112"/>
        <v>2006</v>
      </c>
    </row>
    <row r="5272" spans="1:3">
      <c r="A5272" s="68">
        <v>38838</v>
      </c>
      <c r="B5272" s="33">
        <v>2375.0300000000002</v>
      </c>
      <c r="C5272">
        <f t="shared" si="112"/>
        <v>2006</v>
      </c>
    </row>
    <row r="5273" spans="1:3">
      <c r="A5273" s="68">
        <v>38839</v>
      </c>
      <c r="B5273" s="32">
        <v>2375.0300000000002</v>
      </c>
      <c r="C5273">
        <f t="shared" si="112"/>
        <v>2006</v>
      </c>
    </row>
    <row r="5274" spans="1:3">
      <c r="A5274" s="68">
        <v>38840</v>
      </c>
      <c r="B5274" s="33">
        <v>2380.31</v>
      </c>
      <c r="C5274">
        <f t="shared" si="112"/>
        <v>2006</v>
      </c>
    </row>
    <row r="5275" spans="1:3">
      <c r="A5275" s="68">
        <v>38841</v>
      </c>
      <c r="B5275" s="32">
        <v>2377.59</v>
      </c>
      <c r="C5275">
        <f t="shared" si="112"/>
        <v>2006</v>
      </c>
    </row>
    <row r="5276" spans="1:3">
      <c r="A5276" s="68">
        <v>38842</v>
      </c>
      <c r="B5276" s="33">
        <v>2381.36</v>
      </c>
      <c r="C5276">
        <f t="shared" si="112"/>
        <v>2006</v>
      </c>
    </row>
    <row r="5277" spans="1:3">
      <c r="A5277" s="68">
        <v>38843</v>
      </c>
      <c r="B5277" s="32">
        <v>2370.63</v>
      </c>
      <c r="C5277">
        <f t="shared" si="112"/>
        <v>2006</v>
      </c>
    </row>
    <row r="5278" spans="1:3">
      <c r="A5278" s="68">
        <v>38844</v>
      </c>
      <c r="B5278" s="33">
        <v>2370.63</v>
      </c>
      <c r="C5278">
        <f t="shared" si="112"/>
        <v>2006</v>
      </c>
    </row>
    <row r="5279" spans="1:3">
      <c r="A5279" s="68">
        <v>38845</v>
      </c>
      <c r="B5279" s="32">
        <v>2370.63</v>
      </c>
      <c r="C5279">
        <f t="shared" si="112"/>
        <v>2006</v>
      </c>
    </row>
    <row r="5280" spans="1:3">
      <c r="A5280" s="68">
        <v>38846</v>
      </c>
      <c r="B5280" s="33">
        <v>2351.06</v>
      </c>
      <c r="C5280">
        <f t="shared" si="112"/>
        <v>2006</v>
      </c>
    </row>
    <row r="5281" spans="1:3">
      <c r="A5281" s="68">
        <v>38847</v>
      </c>
      <c r="B5281" s="32">
        <v>2338.7600000000002</v>
      </c>
      <c r="C5281">
        <f t="shared" si="112"/>
        <v>2006</v>
      </c>
    </row>
    <row r="5282" spans="1:3">
      <c r="A5282" s="68">
        <v>38848</v>
      </c>
      <c r="B5282" s="33">
        <v>2329.35</v>
      </c>
      <c r="C5282">
        <f t="shared" si="112"/>
        <v>2006</v>
      </c>
    </row>
    <row r="5283" spans="1:3">
      <c r="A5283" s="68">
        <v>38849</v>
      </c>
      <c r="B5283" s="32">
        <v>2346.06</v>
      </c>
      <c r="C5283">
        <f t="shared" si="112"/>
        <v>2006</v>
      </c>
    </row>
    <row r="5284" spans="1:3">
      <c r="A5284" s="68">
        <v>38850</v>
      </c>
      <c r="B5284" s="33">
        <v>2375.86</v>
      </c>
      <c r="C5284">
        <f t="shared" si="112"/>
        <v>2006</v>
      </c>
    </row>
    <row r="5285" spans="1:3">
      <c r="A5285" s="68">
        <v>38851</v>
      </c>
      <c r="B5285" s="32">
        <v>2375.86</v>
      </c>
      <c r="C5285">
        <f t="shared" si="112"/>
        <v>2006</v>
      </c>
    </row>
    <row r="5286" spans="1:3">
      <c r="A5286" s="68">
        <v>38852</v>
      </c>
      <c r="B5286" s="33">
        <v>2375.86</v>
      </c>
      <c r="C5286">
        <f t="shared" si="112"/>
        <v>2006</v>
      </c>
    </row>
    <row r="5287" spans="1:3">
      <c r="A5287" s="68">
        <v>38853</v>
      </c>
      <c r="B5287" s="32">
        <v>2424.27</v>
      </c>
      <c r="C5287">
        <f t="shared" si="112"/>
        <v>2006</v>
      </c>
    </row>
    <row r="5288" spans="1:3">
      <c r="A5288" s="68">
        <v>38854</v>
      </c>
      <c r="B5288" s="33">
        <v>2410.96</v>
      </c>
      <c r="C5288">
        <f t="shared" si="112"/>
        <v>2006</v>
      </c>
    </row>
    <row r="5289" spans="1:3">
      <c r="A5289" s="68">
        <v>38855</v>
      </c>
      <c r="B5289" s="32">
        <v>2435.52</v>
      </c>
      <c r="C5289">
        <f t="shared" si="112"/>
        <v>2006</v>
      </c>
    </row>
    <row r="5290" spans="1:3">
      <c r="A5290" s="68">
        <v>38856</v>
      </c>
      <c r="B5290" s="33">
        <v>2450.63</v>
      </c>
      <c r="C5290">
        <f t="shared" si="112"/>
        <v>2006</v>
      </c>
    </row>
    <row r="5291" spans="1:3">
      <c r="A5291" s="68">
        <v>38857</v>
      </c>
      <c r="B5291" s="32">
        <v>2452.5</v>
      </c>
      <c r="C5291">
        <f t="shared" si="112"/>
        <v>2006</v>
      </c>
    </row>
    <row r="5292" spans="1:3">
      <c r="A5292" s="68">
        <v>38858</v>
      </c>
      <c r="B5292" s="33">
        <v>2452.5</v>
      </c>
      <c r="C5292">
        <f t="shared" si="112"/>
        <v>2006</v>
      </c>
    </row>
    <row r="5293" spans="1:3">
      <c r="A5293" s="68">
        <v>38859</v>
      </c>
      <c r="B5293" s="32">
        <v>2452.5</v>
      </c>
      <c r="C5293">
        <f t="shared" si="112"/>
        <v>2006</v>
      </c>
    </row>
    <row r="5294" spans="1:3">
      <c r="A5294" s="68">
        <v>38860</v>
      </c>
      <c r="B5294" s="33">
        <v>2493.98</v>
      </c>
      <c r="C5294">
        <f t="shared" si="112"/>
        <v>2006</v>
      </c>
    </row>
    <row r="5295" spans="1:3">
      <c r="A5295" s="68">
        <v>38861</v>
      </c>
      <c r="B5295" s="32">
        <v>2490.06</v>
      </c>
      <c r="C5295">
        <f t="shared" si="112"/>
        <v>2006</v>
      </c>
    </row>
    <row r="5296" spans="1:3">
      <c r="A5296" s="68">
        <v>38862</v>
      </c>
      <c r="B5296" s="33">
        <v>2518.34</v>
      </c>
      <c r="C5296">
        <f t="shared" si="112"/>
        <v>2006</v>
      </c>
    </row>
    <row r="5297" spans="1:3">
      <c r="A5297" s="68">
        <v>38863</v>
      </c>
      <c r="B5297" s="32">
        <v>2517.44</v>
      </c>
      <c r="C5297">
        <f t="shared" si="112"/>
        <v>2006</v>
      </c>
    </row>
    <row r="5298" spans="1:3">
      <c r="A5298" s="68">
        <v>38864</v>
      </c>
      <c r="B5298" s="33">
        <v>2475.75</v>
      </c>
      <c r="C5298">
        <f t="shared" si="112"/>
        <v>2006</v>
      </c>
    </row>
    <row r="5299" spans="1:3">
      <c r="A5299" s="68">
        <v>38865</v>
      </c>
      <c r="B5299" s="32">
        <v>2475.75</v>
      </c>
      <c r="C5299">
        <f t="shared" si="112"/>
        <v>2006</v>
      </c>
    </row>
    <row r="5300" spans="1:3">
      <c r="A5300" s="68">
        <v>38866</v>
      </c>
      <c r="B5300" s="33">
        <v>2475.75</v>
      </c>
      <c r="C5300">
        <f t="shared" si="112"/>
        <v>2006</v>
      </c>
    </row>
    <row r="5301" spans="1:3">
      <c r="A5301" s="68">
        <v>38867</v>
      </c>
      <c r="B5301" s="32">
        <v>2475.75</v>
      </c>
      <c r="C5301">
        <f t="shared" si="112"/>
        <v>2006</v>
      </c>
    </row>
    <row r="5302" spans="1:3">
      <c r="A5302" s="68">
        <v>38868</v>
      </c>
      <c r="B5302" s="33">
        <v>2482.41</v>
      </c>
      <c r="C5302">
        <f t="shared" si="112"/>
        <v>2006</v>
      </c>
    </row>
    <row r="5303" spans="1:3">
      <c r="A5303" s="68">
        <v>38869</v>
      </c>
      <c r="B5303" s="32">
        <v>2486.0700000000002</v>
      </c>
      <c r="C5303">
        <f t="shared" si="112"/>
        <v>2006</v>
      </c>
    </row>
    <row r="5304" spans="1:3">
      <c r="A5304" s="68">
        <v>38870</v>
      </c>
      <c r="B5304" s="33">
        <v>2484.62</v>
      </c>
      <c r="C5304">
        <f t="shared" si="112"/>
        <v>2006</v>
      </c>
    </row>
    <row r="5305" spans="1:3">
      <c r="A5305" s="68">
        <v>38871</v>
      </c>
      <c r="B5305" s="32">
        <v>2450.8000000000002</v>
      </c>
      <c r="C5305">
        <f t="shared" si="112"/>
        <v>2006</v>
      </c>
    </row>
    <row r="5306" spans="1:3">
      <c r="A5306" s="68">
        <v>38872</v>
      </c>
      <c r="B5306" s="33">
        <v>2450.8000000000002</v>
      </c>
      <c r="C5306">
        <f t="shared" si="112"/>
        <v>2006</v>
      </c>
    </row>
    <row r="5307" spans="1:3">
      <c r="A5307" s="68">
        <v>38873</v>
      </c>
      <c r="B5307" s="32">
        <v>2450.8000000000002</v>
      </c>
      <c r="C5307">
        <f t="shared" si="112"/>
        <v>2006</v>
      </c>
    </row>
    <row r="5308" spans="1:3">
      <c r="A5308" s="68">
        <v>38874</v>
      </c>
      <c r="B5308" s="33">
        <v>2443.7199999999998</v>
      </c>
      <c r="C5308">
        <f t="shared" si="112"/>
        <v>2006</v>
      </c>
    </row>
    <row r="5309" spans="1:3">
      <c r="A5309" s="68">
        <v>38875</v>
      </c>
      <c r="B5309" s="32">
        <v>2470.9899999999998</v>
      </c>
      <c r="C5309">
        <f t="shared" si="112"/>
        <v>2006</v>
      </c>
    </row>
    <row r="5310" spans="1:3">
      <c r="A5310" s="68">
        <v>38876</v>
      </c>
      <c r="B5310" s="33">
        <v>2482.15</v>
      </c>
      <c r="C5310">
        <f t="shared" si="112"/>
        <v>2006</v>
      </c>
    </row>
    <row r="5311" spans="1:3">
      <c r="A5311" s="68">
        <v>38877</v>
      </c>
      <c r="B5311" s="32">
        <v>2511.34</v>
      </c>
      <c r="C5311">
        <f t="shared" si="112"/>
        <v>2006</v>
      </c>
    </row>
    <row r="5312" spans="1:3">
      <c r="A5312" s="68">
        <v>38878</v>
      </c>
      <c r="B5312" s="33">
        <v>2510.8200000000002</v>
      </c>
      <c r="C5312">
        <f t="shared" si="112"/>
        <v>2006</v>
      </c>
    </row>
    <row r="5313" spans="1:3">
      <c r="A5313" s="68">
        <v>38879</v>
      </c>
      <c r="B5313" s="32">
        <v>2510.8200000000002</v>
      </c>
      <c r="C5313">
        <f t="shared" si="112"/>
        <v>2006</v>
      </c>
    </row>
    <row r="5314" spans="1:3">
      <c r="A5314" s="68">
        <v>38880</v>
      </c>
      <c r="B5314" s="33">
        <v>2510.8200000000002</v>
      </c>
      <c r="C5314">
        <f t="shared" si="112"/>
        <v>2006</v>
      </c>
    </row>
    <row r="5315" spans="1:3">
      <c r="A5315" s="68">
        <v>38881</v>
      </c>
      <c r="B5315" s="32">
        <v>2534.83</v>
      </c>
      <c r="C5315">
        <f t="shared" si="112"/>
        <v>2006</v>
      </c>
    </row>
    <row r="5316" spans="1:3">
      <c r="A5316" s="68">
        <v>38882</v>
      </c>
      <c r="B5316" s="33">
        <v>2569.1</v>
      </c>
      <c r="C5316">
        <f t="shared" ref="C5316:C5379" si="113">YEAR(A5316)</f>
        <v>2006</v>
      </c>
    </row>
    <row r="5317" spans="1:3">
      <c r="A5317" s="68">
        <v>38883</v>
      </c>
      <c r="B5317" s="32">
        <v>2570.11</v>
      </c>
      <c r="C5317">
        <f t="shared" si="113"/>
        <v>2006</v>
      </c>
    </row>
    <row r="5318" spans="1:3">
      <c r="A5318" s="68">
        <v>38884</v>
      </c>
      <c r="B5318" s="33">
        <v>2564.3000000000002</v>
      </c>
      <c r="C5318">
        <f t="shared" si="113"/>
        <v>2006</v>
      </c>
    </row>
    <row r="5319" spans="1:3">
      <c r="A5319" s="68">
        <v>38885</v>
      </c>
      <c r="B5319" s="32">
        <v>2559.04</v>
      </c>
      <c r="C5319">
        <f t="shared" si="113"/>
        <v>2006</v>
      </c>
    </row>
    <row r="5320" spans="1:3">
      <c r="A5320" s="68">
        <v>38886</v>
      </c>
      <c r="B5320" s="33">
        <v>2559.04</v>
      </c>
      <c r="C5320">
        <f t="shared" si="113"/>
        <v>2006</v>
      </c>
    </row>
    <row r="5321" spans="1:3">
      <c r="A5321" s="68">
        <v>38887</v>
      </c>
      <c r="B5321" s="32">
        <v>2559.04</v>
      </c>
      <c r="C5321">
        <f t="shared" si="113"/>
        <v>2006</v>
      </c>
    </row>
    <row r="5322" spans="1:3">
      <c r="A5322" s="68">
        <v>38888</v>
      </c>
      <c r="B5322" s="33">
        <v>2559.04</v>
      </c>
      <c r="C5322">
        <f t="shared" si="113"/>
        <v>2006</v>
      </c>
    </row>
    <row r="5323" spans="1:3">
      <c r="A5323" s="68">
        <v>38889</v>
      </c>
      <c r="B5323" s="32">
        <v>2568.12</v>
      </c>
      <c r="C5323">
        <f t="shared" si="113"/>
        <v>2006</v>
      </c>
    </row>
    <row r="5324" spans="1:3">
      <c r="A5324" s="68">
        <v>38890</v>
      </c>
      <c r="B5324" s="33">
        <v>2566.7600000000002</v>
      </c>
      <c r="C5324">
        <f t="shared" si="113"/>
        <v>2006</v>
      </c>
    </row>
    <row r="5325" spans="1:3">
      <c r="A5325" s="68">
        <v>38891</v>
      </c>
      <c r="B5325" s="32">
        <v>2578.02</v>
      </c>
      <c r="C5325">
        <f t="shared" si="113"/>
        <v>2006</v>
      </c>
    </row>
    <row r="5326" spans="1:3">
      <c r="A5326" s="68">
        <v>38892</v>
      </c>
      <c r="B5326" s="33">
        <v>2607.13</v>
      </c>
      <c r="C5326">
        <f t="shared" si="113"/>
        <v>2006</v>
      </c>
    </row>
    <row r="5327" spans="1:3">
      <c r="A5327" s="68">
        <v>38893</v>
      </c>
      <c r="B5327" s="32">
        <v>2607.13</v>
      </c>
      <c r="C5327">
        <f t="shared" si="113"/>
        <v>2006</v>
      </c>
    </row>
    <row r="5328" spans="1:3">
      <c r="A5328" s="68">
        <v>38894</v>
      </c>
      <c r="B5328" s="33">
        <v>2607.13</v>
      </c>
      <c r="C5328">
        <f t="shared" si="113"/>
        <v>2006</v>
      </c>
    </row>
    <row r="5329" spans="1:3">
      <c r="A5329" s="68">
        <v>38895</v>
      </c>
      <c r="B5329" s="32">
        <v>2607.13</v>
      </c>
      <c r="C5329">
        <f t="shared" si="113"/>
        <v>2006</v>
      </c>
    </row>
    <row r="5330" spans="1:3">
      <c r="A5330" s="68">
        <v>38896</v>
      </c>
      <c r="B5330" s="33">
        <v>2619.75</v>
      </c>
      <c r="C5330">
        <f t="shared" si="113"/>
        <v>2006</v>
      </c>
    </row>
    <row r="5331" spans="1:3">
      <c r="A5331" s="68">
        <v>38897</v>
      </c>
      <c r="B5331" s="32">
        <v>2634.06</v>
      </c>
      <c r="C5331">
        <f t="shared" si="113"/>
        <v>2006</v>
      </c>
    </row>
    <row r="5332" spans="1:3">
      <c r="A5332" s="68">
        <v>38898</v>
      </c>
      <c r="B5332" s="33">
        <v>2633.12</v>
      </c>
      <c r="C5332">
        <f t="shared" si="113"/>
        <v>2006</v>
      </c>
    </row>
    <row r="5333" spans="1:3">
      <c r="A5333" s="68">
        <v>38899</v>
      </c>
      <c r="B5333" s="32">
        <v>2579.08</v>
      </c>
      <c r="C5333">
        <f t="shared" si="113"/>
        <v>2006</v>
      </c>
    </row>
    <row r="5334" spans="1:3">
      <c r="A5334" s="68">
        <v>38900</v>
      </c>
      <c r="B5334" s="33">
        <v>2579.08</v>
      </c>
      <c r="C5334">
        <f t="shared" si="113"/>
        <v>2006</v>
      </c>
    </row>
    <row r="5335" spans="1:3">
      <c r="A5335" s="68">
        <v>38901</v>
      </c>
      <c r="B5335" s="32">
        <v>2579.08</v>
      </c>
      <c r="C5335">
        <f t="shared" si="113"/>
        <v>2006</v>
      </c>
    </row>
    <row r="5336" spans="1:3">
      <c r="A5336" s="68">
        <v>38902</v>
      </c>
      <c r="B5336" s="33">
        <v>2579.08</v>
      </c>
      <c r="C5336">
        <f t="shared" si="113"/>
        <v>2006</v>
      </c>
    </row>
    <row r="5337" spans="1:3">
      <c r="A5337" s="68">
        <v>38903</v>
      </c>
      <c r="B5337" s="32">
        <v>2579.08</v>
      </c>
      <c r="C5337">
        <f t="shared" si="113"/>
        <v>2006</v>
      </c>
    </row>
    <row r="5338" spans="1:3">
      <c r="A5338" s="68">
        <v>38904</v>
      </c>
      <c r="B5338" s="33">
        <v>2574.7399999999998</v>
      </c>
      <c r="C5338">
        <f t="shared" si="113"/>
        <v>2006</v>
      </c>
    </row>
    <row r="5339" spans="1:3">
      <c r="A5339" s="68">
        <v>38905</v>
      </c>
      <c r="B5339" s="32">
        <v>2562.85</v>
      </c>
      <c r="C5339">
        <f t="shared" si="113"/>
        <v>2006</v>
      </c>
    </row>
    <row r="5340" spans="1:3">
      <c r="A5340" s="68">
        <v>38906</v>
      </c>
      <c r="B5340" s="33">
        <v>2525.5</v>
      </c>
      <c r="C5340">
        <f t="shared" si="113"/>
        <v>2006</v>
      </c>
    </row>
    <row r="5341" spans="1:3">
      <c r="A5341" s="68">
        <v>38907</v>
      </c>
      <c r="B5341" s="32">
        <v>2525.5</v>
      </c>
      <c r="C5341">
        <f t="shared" si="113"/>
        <v>2006</v>
      </c>
    </row>
    <row r="5342" spans="1:3">
      <c r="A5342" s="68">
        <v>38908</v>
      </c>
      <c r="B5342" s="33">
        <v>2525.5</v>
      </c>
      <c r="C5342">
        <f t="shared" si="113"/>
        <v>2006</v>
      </c>
    </row>
    <row r="5343" spans="1:3">
      <c r="A5343" s="68">
        <v>38909</v>
      </c>
      <c r="B5343" s="32">
        <v>2491.4499999999998</v>
      </c>
      <c r="C5343">
        <f t="shared" si="113"/>
        <v>2006</v>
      </c>
    </row>
    <row r="5344" spans="1:3">
      <c r="A5344" s="68">
        <v>38910</v>
      </c>
      <c r="B5344" s="33">
        <v>2488.33</v>
      </c>
      <c r="C5344">
        <f t="shared" si="113"/>
        <v>2006</v>
      </c>
    </row>
    <row r="5345" spans="1:3">
      <c r="A5345" s="68">
        <v>38911</v>
      </c>
      <c r="B5345" s="32">
        <v>2512.4</v>
      </c>
      <c r="C5345">
        <f t="shared" si="113"/>
        <v>2006</v>
      </c>
    </row>
    <row r="5346" spans="1:3">
      <c r="A5346" s="68">
        <v>38912</v>
      </c>
      <c r="B5346" s="33">
        <v>2534.13</v>
      </c>
      <c r="C5346">
        <f t="shared" si="113"/>
        <v>2006</v>
      </c>
    </row>
    <row r="5347" spans="1:3">
      <c r="A5347" s="68">
        <v>38913</v>
      </c>
      <c r="B5347" s="32">
        <v>2549.77</v>
      </c>
      <c r="C5347">
        <f t="shared" si="113"/>
        <v>2006</v>
      </c>
    </row>
    <row r="5348" spans="1:3">
      <c r="A5348" s="68">
        <v>38914</v>
      </c>
      <c r="B5348" s="33">
        <v>2549.77</v>
      </c>
      <c r="C5348">
        <f t="shared" si="113"/>
        <v>2006</v>
      </c>
    </row>
    <row r="5349" spans="1:3">
      <c r="A5349" s="68">
        <v>38915</v>
      </c>
      <c r="B5349" s="32">
        <v>2549.77</v>
      </c>
      <c r="C5349">
        <f t="shared" si="113"/>
        <v>2006</v>
      </c>
    </row>
    <row r="5350" spans="1:3">
      <c r="A5350" s="68">
        <v>38916</v>
      </c>
      <c r="B5350" s="33">
        <v>2556.7199999999998</v>
      </c>
      <c r="C5350">
        <f t="shared" si="113"/>
        <v>2006</v>
      </c>
    </row>
    <row r="5351" spans="1:3">
      <c r="A5351" s="68">
        <v>38917</v>
      </c>
      <c r="B5351" s="32">
        <v>2531.85</v>
      </c>
      <c r="C5351">
        <f t="shared" si="113"/>
        <v>2006</v>
      </c>
    </row>
    <row r="5352" spans="1:3">
      <c r="A5352" s="68">
        <v>38918</v>
      </c>
      <c r="B5352" s="33">
        <v>2521.1799999999998</v>
      </c>
      <c r="C5352">
        <f t="shared" si="113"/>
        <v>2006</v>
      </c>
    </row>
    <row r="5353" spans="1:3">
      <c r="A5353" s="68">
        <v>38919</v>
      </c>
      <c r="B5353" s="32">
        <v>2521.1799999999998</v>
      </c>
      <c r="C5353">
        <f t="shared" si="113"/>
        <v>2006</v>
      </c>
    </row>
    <row r="5354" spans="1:3">
      <c r="A5354" s="68">
        <v>38920</v>
      </c>
      <c r="B5354" s="33">
        <v>2470.3200000000002</v>
      </c>
      <c r="C5354">
        <f t="shared" si="113"/>
        <v>2006</v>
      </c>
    </row>
    <row r="5355" spans="1:3">
      <c r="A5355" s="68">
        <v>38921</v>
      </c>
      <c r="B5355" s="32">
        <v>2470.3200000000002</v>
      </c>
      <c r="C5355">
        <f t="shared" si="113"/>
        <v>2006</v>
      </c>
    </row>
    <row r="5356" spans="1:3">
      <c r="A5356" s="68">
        <v>38922</v>
      </c>
      <c r="B5356" s="33">
        <v>2470.3200000000002</v>
      </c>
      <c r="C5356">
        <f t="shared" si="113"/>
        <v>2006</v>
      </c>
    </row>
    <row r="5357" spans="1:3">
      <c r="A5357" s="68">
        <v>38923</v>
      </c>
      <c r="B5357" s="32">
        <v>2450.79</v>
      </c>
      <c r="C5357">
        <f t="shared" si="113"/>
        <v>2006</v>
      </c>
    </row>
    <row r="5358" spans="1:3">
      <c r="A5358" s="68">
        <v>38924</v>
      </c>
      <c r="B5358" s="33">
        <v>2458.56</v>
      </c>
      <c r="C5358">
        <f t="shared" si="113"/>
        <v>2006</v>
      </c>
    </row>
    <row r="5359" spans="1:3">
      <c r="A5359" s="68">
        <v>38925</v>
      </c>
      <c r="B5359" s="32">
        <v>2466.9499999999998</v>
      </c>
      <c r="C5359">
        <f t="shared" si="113"/>
        <v>2006</v>
      </c>
    </row>
    <row r="5360" spans="1:3">
      <c r="A5360" s="68">
        <v>38926</v>
      </c>
      <c r="B5360" s="33">
        <v>2443.35</v>
      </c>
      <c r="C5360">
        <f t="shared" si="113"/>
        <v>2006</v>
      </c>
    </row>
    <row r="5361" spans="1:3">
      <c r="A5361" s="68">
        <v>38927</v>
      </c>
      <c r="B5361" s="32">
        <v>2426</v>
      </c>
      <c r="C5361">
        <f t="shared" si="113"/>
        <v>2006</v>
      </c>
    </row>
    <row r="5362" spans="1:3">
      <c r="A5362" s="68">
        <v>38928</v>
      </c>
      <c r="B5362" s="33">
        <v>2426</v>
      </c>
      <c r="C5362">
        <f t="shared" si="113"/>
        <v>2006</v>
      </c>
    </row>
    <row r="5363" spans="1:3">
      <c r="A5363" s="68">
        <v>38929</v>
      </c>
      <c r="B5363" s="32">
        <v>2426</v>
      </c>
      <c r="C5363">
        <f t="shared" si="113"/>
        <v>2006</v>
      </c>
    </row>
    <row r="5364" spans="1:3">
      <c r="A5364" s="68">
        <v>38930</v>
      </c>
      <c r="B5364" s="33">
        <v>2426.52</v>
      </c>
      <c r="C5364">
        <f t="shared" si="113"/>
        <v>2006</v>
      </c>
    </row>
    <row r="5365" spans="1:3">
      <c r="A5365" s="68">
        <v>38931</v>
      </c>
      <c r="B5365" s="32">
        <v>2436.4299999999998</v>
      </c>
      <c r="C5365">
        <f t="shared" si="113"/>
        <v>2006</v>
      </c>
    </row>
    <row r="5366" spans="1:3">
      <c r="A5366" s="68">
        <v>38932</v>
      </c>
      <c r="B5366" s="33">
        <v>2429.2399999999998</v>
      </c>
      <c r="C5366">
        <f t="shared" si="113"/>
        <v>2006</v>
      </c>
    </row>
    <row r="5367" spans="1:3">
      <c r="A5367" s="68">
        <v>38933</v>
      </c>
      <c r="B5367" s="32">
        <v>2415.5100000000002</v>
      </c>
      <c r="C5367">
        <f t="shared" si="113"/>
        <v>2006</v>
      </c>
    </row>
    <row r="5368" spans="1:3">
      <c r="A5368" s="68">
        <v>38934</v>
      </c>
      <c r="B5368" s="33">
        <v>2389.87</v>
      </c>
      <c r="C5368">
        <f t="shared" si="113"/>
        <v>2006</v>
      </c>
    </row>
    <row r="5369" spans="1:3">
      <c r="A5369" s="68">
        <v>38935</v>
      </c>
      <c r="B5369" s="32">
        <v>2389.87</v>
      </c>
      <c r="C5369">
        <f t="shared" si="113"/>
        <v>2006</v>
      </c>
    </row>
    <row r="5370" spans="1:3">
      <c r="A5370" s="68">
        <v>38936</v>
      </c>
      <c r="B5370" s="33">
        <v>2389.87</v>
      </c>
      <c r="C5370">
        <f t="shared" si="113"/>
        <v>2006</v>
      </c>
    </row>
    <row r="5371" spans="1:3">
      <c r="A5371" s="68">
        <v>38937</v>
      </c>
      <c r="B5371" s="32">
        <v>2389.87</v>
      </c>
      <c r="C5371">
        <f t="shared" si="113"/>
        <v>2006</v>
      </c>
    </row>
    <row r="5372" spans="1:3">
      <c r="A5372" s="68">
        <v>38938</v>
      </c>
      <c r="B5372" s="33">
        <v>2388.13</v>
      </c>
      <c r="C5372">
        <f t="shared" si="113"/>
        <v>2006</v>
      </c>
    </row>
    <row r="5373" spans="1:3">
      <c r="A5373" s="68">
        <v>38939</v>
      </c>
      <c r="B5373" s="32">
        <v>2363.8200000000002</v>
      </c>
      <c r="C5373">
        <f t="shared" si="113"/>
        <v>2006</v>
      </c>
    </row>
    <row r="5374" spans="1:3">
      <c r="A5374" s="68">
        <v>38940</v>
      </c>
      <c r="B5374" s="33">
        <v>2363.56</v>
      </c>
      <c r="C5374">
        <f t="shared" si="113"/>
        <v>2006</v>
      </c>
    </row>
    <row r="5375" spans="1:3">
      <c r="A5375" s="68">
        <v>38941</v>
      </c>
      <c r="B5375" s="32">
        <v>2371.77</v>
      </c>
      <c r="C5375">
        <f t="shared" si="113"/>
        <v>2006</v>
      </c>
    </row>
    <row r="5376" spans="1:3">
      <c r="A5376" s="68">
        <v>38942</v>
      </c>
      <c r="B5376" s="33">
        <v>2371.77</v>
      </c>
      <c r="C5376">
        <f t="shared" si="113"/>
        <v>2006</v>
      </c>
    </row>
    <row r="5377" spans="1:3">
      <c r="A5377" s="68">
        <v>38943</v>
      </c>
      <c r="B5377" s="32">
        <v>2371.77</v>
      </c>
      <c r="C5377">
        <f t="shared" si="113"/>
        <v>2006</v>
      </c>
    </row>
    <row r="5378" spans="1:3">
      <c r="A5378" s="68">
        <v>38944</v>
      </c>
      <c r="B5378" s="33">
        <v>2372.9499999999998</v>
      </c>
      <c r="C5378">
        <f t="shared" si="113"/>
        <v>2006</v>
      </c>
    </row>
    <row r="5379" spans="1:3">
      <c r="A5379" s="68">
        <v>38945</v>
      </c>
      <c r="B5379" s="32">
        <v>2362.2800000000002</v>
      </c>
      <c r="C5379">
        <f t="shared" si="113"/>
        <v>2006</v>
      </c>
    </row>
    <row r="5380" spans="1:3">
      <c r="A5380" s="68">
        <v>38946</v>
      </c>
      <c r="B5380" s="33">
        <v>2356.4899999999998</v>
      </c>
      <c r="C5380">
        <f t="shared" ref="C5380:C5443" si="114">YEAR(A5380)</f>
        <v>2006</v>
      </c>
    </row>
    <row r="5381" spans="1:3">
      <c r="A5381" s="68">
        <v>38947</v>
      </c>
      <c r="B5381" s="32">
        <v>2366.36</v>
      </c>
      <c r="C5381">
        <f t="shared" si="114"/>
        <v>2006</v>
      </c>
    </row>
    <row r="5382" spans="1:3">
      <c r="A5382" s="68">
        <v>38948</v>
      </c>
      <c r="B5382" s="33">
        <v>2370.4899999999998</v>
      </c>
      <c r="C5382">
        <f t="shared" si="114"/>
        <v>2006</v>
      </c>
    </row>
    <row r="5383" spans="1:3">
      <c r="A5383" s="68">
        <v>38949</v>
      </c>
      <c r="B5383" s="32">
        <v>2370.4899999999998</v>
      </c>
      <c r="C5383">
        <f t="shared" si="114"/>
        <v>2006</v>
      </c>
    </row>
    <row r="5384" spans="1:3">
      <c r="A5384" s="68">
        <v>38950</v>
      </c>
      <c r="B5384" s="33">
        <v>2370.4899999999998</v>
      </c>
      <c r="C5384">
        <f t="shared" si="114"/>
        <v>2006</v>
      </c>
    </row>
    <row r="5385" spans="1:3">
      <c r="A5385" s="68">
        <v>38951</v>
      </c>
      <c r="B5385" s="32">
        <v>2370.4899999999998</v>
      </c>
      <c r="C5385">
        <f t="shared" si="114"/>
        <v>2006</v>
      </c>
    </row>
    <row r="5386" spans="1:3">
      <c r="A5386" s="68">
        <v>38952</v>
      </c>
      <c r="B5386" s="33">
        <v>2362.67</v>
      </c>
      <c r="C5386">
        <f t="shared" si="114"/>
        <v>2006</v>
      </c>
    </row>
    <row r="5387" spans="1:3">
      <c r="A5387" s="68">
        <v>38953</v>
      </c>
      <c r="B5387" s="32">
        <v>2374.59</v>
      </c>
      <c r="C5387">
        <f t="shared" si="114"/>
        <v>2006</v>
      </c>
    </row>
    <row r="5388" spans="1:3">
      <c r="A5388" s="68">
        <v>38954</v>
      </c>
      <c r="B5388" s="33">
        <v>2398</v>
      </c>
      <c r="C5388">
        <f t="shared" si="114"/>
        <v>2006</v>
      </c>
    </row>
    <row r="5389" spans="1:3">
      <c r="A5389" s="68">
        <v>38955</v>
      </c>
      <c r="B5389" s="32">
        <v>2425.65</v>
      </c>
      <c r="C5389">
        <f t="shared" si="114"/>
        <v>2006</v>
      </c>
    </row>
    <row r="5390" spans="1:3">
      <c r="A5390" s="68">
        <v>38956</v>
      </c>
      <c r="B5390" s="33">
        <v>2425.65</v>
      </c>
      <c r="C5390">
        <f t="shared" si="114"/>
        <v>2006</v>
      </c>
    </row>
    <row r="5391" spans="1:3">
      <c r="A5391" s="68">
        <v>38957</v>
      </c>
      <c r="B5391" s="32">
        <v>2425.65</v>
      </c>
      <c r="C5391">
        <f t="shared" si="114"/>
        <v>2006</v>
      </c>
    </row>
    <row r="5392" spans="1:3">
      <c r="A5392" s="68">
        <v>38958</v>
      </c>
      <c r="B5392" s="33">
        <v>2409.54</v>
      </c>
      <c r="C5392">
        <f t="shared" si="114"/>
        <v>2006</v>
      </c>
    </row>
    <row r="5393" spans="1:3">
      <c r="A5393" s="68">
        <v>38959</v>
      </c>
      <c r="B5393" s="32">
        <v>2402.0700000000002</v>
      </c>
      <c r="C5393">
        <f t="shared" si="114"/>
        <v>2006</v>
      </c>
    </row>
    <row r="5394" spans="1:3">
      <c r="A5394" s="68">
        <v>38960</v>
      </c>
      <c r="B5394" s="33">
        <v>2396.63</v>
      </c>
      <c r="C5394">
        <f t="shared" si="114"/>
        <v>2006</v>
      </c>
    </row>
    <row r="5395" spans="1:3">
      <c r="A5395" s="68">
        <v>38961</v>
      </c>
      <c r="B5395" s="32">
        <v>2398.56</v>
      </c>
      <c r="C5395">
        <f t="shared" si="114"/>
        <v>2006</v>
      </c>
    </row>
    <row r="5396" spans="1:3">
      <c r="A5396" s="68">
        <v>38962</v>
      </c>
      <c r="B5396" s="33">
        <v>2398.83</v>
      </c>
      <c r="C5396">
        <f t="shared" si="114"/>
        <v>2006</v>
      </c>
    </row>
    <row r="5397" spans="1:3">
      <c r="A5397" s="68">
        <v>38963</v>
      </c>
      <c r="B5397" s="32">
        <v>2398.83</v>
      </c>
      <c r="C5397">
        <f t="shared" si="114"/>
        <v>2006</v>
      </c>
    </row>
    <row r="5398" spans="1:3">
      <c r="A5398" s="68">
        <v>38964</v>
      </c>
      <c r="B5398" s="33">
        <v>2398.83</v>
      </c>
      <c r="C5398">
        <f t="shared" si="114"/>
        <v>2006</v>
      </c>
    </row>
    <row r="5399" spans="1:3">
      <c r="A5399" s="68">
        <v>38965</v>
      </c>
      <c r="B5399" s="32">
        <v>2398.83</v>
      </c>
      <c r="C5399">
        <f t="shared" si="114"/>
        <v>2006</v>
      </c>
    </row>
    <row r="5400" spans="1:3">
      <c r="A5400" s="68">
        <v>38966</v>
      </c>
      <c r="B5400" s="33">
        <v>2377.1799999999998</v>
      </c>
      <c r="C5400">
        <f t="shared" si="114"/>
        <v>2006</v>
      </c>
    </row>
    <row r="5401" spans="1:3">
      <c r="A5401" s="68">
        <v>38967</v>
      </c>
      <c r="B5401" s="32">
        <v>2381.46</v>
      </c>
      <c r="C5401">
        <f t="shared" si="114"/>
        <v>2006</v>
      </c>
    </row>
    <row r="5402" spans="1:3">
      <c r="A5402" s="68">
        <v>38968</v>
      </c>
      <c r="B5402" s="33">
        <v>2387.31</v>
      </c>
      <c r="C5402">
        <f t="shared" si="114"/>
        <v>2006</v>
      </c>
    </row>
    <row r="5403" spans="1:3">
      <c r="A5403" s="68">
        <v>38969</v>
      </c>
      <c r="B5403" s="32">
        <v>2388.54</v>
      </c>
      <c r="C5403">
        <f t="shared" si="114"/>
        <v>2006</v>
      </c>
    </row>
    <row r="5404" spans="1:3">
      <c r="A5404" s="68">
        <v>38970</v>
      </c>
      <c r="B5404" s="33">
        <v>2388.54</v>
      </c>
      <c r="C5404">
        <f t="shared" si="114"/>
        <v>2006</v>
      </c>
    </row>
    <row r="5405" spans="1:3">
      <c r="A5405" s="68">
        <v>38971</v>
      </c>
      <c r="B5405" s="32">
        <v>2388.54</v>
      </c>
      <c r="C5405">
        <f t="shared" si="114"/>
        <v>2006</v>
      </c>
    </row>
    <row r="5406" spans="1:3">
      <c r="A5406" s="68">
        <v>38972</v>
      </c>
      <c r="B5406" s="33">
        <v>2409.9299999999998</v>
      </c>
      <c r="C5406">
        <f t="shared" si="114"/>
        <v>2006</v>
      </c>
    </row>
    <row r="5407" spans="1:3">
      <c r="A5407" s="68">
        <v>38973</v>
      </c>
      <c r="B5407" s="32">
        <v>2406.89</v>
      </c>
      <c r="C5407">
        <f t="shared" si="114"/>
        <v>2006</v>
      </c>
    </row>
    <row r="5408" spans="1:3">
      <c r="A5408" s="68">
        <v>38974</v>
      </c>
      <c r="B5408" s="33">
        <v>2399.92</v>
      </c>
      <c r="C5408">
        <f t="shared" si="114"/>
        <v>2006</v>
      </c>
    </row>
    <row r="5409" spans="1:3">
      <c r="A5409" s="68">
        <v>38975</v>
      </c>
      <c r="B5409" s="32">
        <v>2392.81</v>
      </c>
      <c r="C5409">
        <f t="shared" si="114"/>
        <v>2006</v>
      </c>
    </row>
    <row r="5410" spans="1:3">
      <c r="A5410" s="68">
        <v>38976</v>
      </c>
      <c r="B5410" s="33">
        <v>2390.66</v>
      </c>
      <c r="C5410">
        <f t="shared" si="114"/>
        <v>2006</v>
      </c>
    </row>
    <row r="5411" spans="1:3">
      <c r="A5411" s="68">
        <v>38977</v>
      </c>
      <c r="B5411" s="32">
        <v>2390.66</v>
      </c>
      <c r="C5411">
        <f t="shared" si="114"/>
        <v>2006</v>
      </c>
    </row>
    <row r="5412" spans="1:3">
      <c r="A5412" s="68">
        <v>38978</v>
      </c>
      <c r="B5412" s="33">
        <v>2390.66</v>
      </c>
      <c r="C5412">
        <f t="shared" si="114"/>
        <v>2006</v>
      </c>
    </row>
    <row r="5413" spans="1:3">
      <c r="A5413" s="68">
        <v>38979</v>
      </c>
      <c r="B5413" s="32">
        <v>2395.4299999999998</v>
      </c>
      <c r="C5413">
        <f t="shared" si="114"/>
        <v>2006</v>
      </c>
    </row>
    <row r="5414" spans="1:3">
      <c r="A5414" s="68">
        <v>38980</v>
      </c>
      <c r="B5414" s="33">
        <v>2396.41</v>
      </c>
      <c r="C5414">
        <f t="shared" si="114"/>
        <v>2006</v>
      </c>
    </row>
    <row r="5415" spans="1:3">
      <c r="A5415" s="68">
        <v>38981</v>
      </c>
      <c r="B5415" s="32">
        <v>2399.46</v>
      </c>
      <c r="C5415">
        <f t="shared" si="114"/>
        <v>2006</v>
      </c>
    </row>
    <row r="5416" spans="1:3">
      <c r="A5416" s="68">
        <v>38982</v>
      </c>
      <c r="B5416" s="33">
        <v>2408.62</v>
      </c>
      <c r="C5416">
        <f t="shared" si="114"/>
        <v>2006</v>
      </c>
    </row>
    <row r="5417" spans="1:3">
      <c r="A5417" s="68">
        <v>38983</v>
      </c>
      <c r="B5417" s="32">
        <v>2417.23</v>
      </c>
      <c r="C5417">
        <f t="shared" si="114"/>
        <v>2006</v>
      </c>
    </row>
    <row r="5418" spans="1:3">
      <c r="A5418" s="68">
        <v>38984</v>
      </c>
      <c r="B5418" s="33">
        <v>2417.23</v>
      </c>
      <c r="C5418">
        <f t="shared" si="114"/>
        <v>2006</v>
      </c>
    </row>
    <row r="5419" spans="1:3">
      <c r="A5419" s="68">
        <v>38985</v>
      </c>
      <c r="B5419" s="32">
        <v>2417.23</v>
      </c>
      <c r="C5419">
        <f t="shared" si="114"/>
        <v>2006</v>
      </c>
    </row>
    <row r="5420" spans="1:3">
      <c r="A5420" s="68">
        <v>38986</v>
      </c>
      <c r="B5420" s="33">
        <v>2420.25</v>
      </c>
      <c r="C5420">
        <f t="shared" si="114"/>
        <v>2006</v>
      </c>
    </row>
    <row r="5421" spans="1:3">
      <c r="A5421" s="68">
        <v>38987</v>
      </c>
      <c r="B5421" s="32">
        <v>2411.6799999999998</v>
      </c>
      <c r="C5421">
        <f t="shared" si="114"/>
        <v>2006</v>
      </c>
    </row>
    <row r="5422" spans="1:3">
      <c r="A5422" s="68">
        <v>38988</v>
      </c>
      <c r="B5422" s="33">
        <v>2399.36</v>
      </c>
      <c r="C5422">
        <f t="shared" si="114"/>
        <v>2006</v>
      </c>
    </row>
    <row r="5423" spans="1:3">
      <c r="A5423" s="68">
        <v>38989</v>
      </c>
      <c r="B5423" s="32">
        <v>2397.0700000000002</v>
      </c>
      <c r="C5423">
        <f t="shared" si="114"/>
        <v>2006</v>
      </c>
    </row>
    <row r="5424" spans="1:3">
      <c r="A5424" s="68">
        <v>38990</v>
      </c>
      <c r="B5424" s="33">
        <v>2394.31</v>
      </c>
      <c r="C5424">
        <f t="shared" si="114"/>
        <v>2006</v>
      </c>
    </row>
    <row r="5425" spans="1:3">
      <c r="A5425" s="68">
        <v>38991</v>
      </c>
      <c r="B5425" s="32">
        <v>2394.31</v>
      </c>
      <c r="C5425">
        <f t="shared" si="114"/>
        <v>2006</v>
      </c>
    </row>
    <row r="5426" spans="1:3">
      <c r="A5426" s="68">
        <v>38992</v>
      </c>
      <c r="B5426" s="33">
        <v>2394.31</v>
      </c>
      <c r="C5426">
        <f t="shared" si="114"/>
        <v>2006</v>
      </c>
    </row>
    <row r="5427" spans="1:3">
      <c r="A5427" s="68">
        <v>38993</v>
      </c>
      <c r="B5427" s="32">
        <v>2390.41</v>
      </c>
      <c r="C5427">
        <f t="shared" si="114"/>
        <v>2006</v>
      </c>
    </row>
    <row r="5428" spans="1:3">
      <c r="A5428" s="68">
        <v>38994</v>
      </c>
      <c r="B5428" s="33">
        <v>2396.38</v>
      </c>
      <c r="C5428">
        <f t="shared" si="114"/>
        <v>2006</v>
      </c>
    </row>
    <row r="5429" spans="1:3">
      <c r="A5429" s="68">
        <v>38995</v>
      </c>
      <c r="B5429" s="32">
        <v>2403.4299999999998</v>
      </c>
      <c r="C5429">
        <f t="shared" si="114"/>
        <v>2006</v>
      </c>
    </row>
    <row r="5430" spans="1:3">
      <c r="A5430" s="68">
        <v>38996</v>
      </c>
      <c r="B5430" s="33">
        <v>2393.4699999999998</v>
      </c>
      <c r="C5430">
        <f t="shared" si="114"/>
        <v>2006</v>
      </c>
    </row>
    <row r="5431" spans="1:3">
      <c r="A5431" s="68">
        <v>38997</v>
      </c>
      <c r="B5431" s="32">
        <v>2395.23</v>
      </c>
      <c r="C5431">
        <f t="shared" si="114"/>
        <v>2006</v>
      </c>
    </row>
    <row r="5432" spans="1:3">
      <c r="A5432" s="68">
        <v>38998</v>
      </c>
      <c r="B5432" s="33">
        <v>2395.23</v>
      </c>
      <c r="C5432">
        <f t="shared" si="114"/>
        <v>2006</v>
      </c>
    </row>
    <row r="5433" spans="1:3">
      <c r="A5433" s="68">
        <v>38999</v>
      </c>
      <c r="B5433" s="32">
        <v>2395.23</v>
      </c>
      <c r="C5433">
        <f t="shared" si="114"/>
        <v>2006</v>
      </c>
    </row>
    <row r="5434" spans="1:3">
      <c r="A5434" s="68">
        <v>39000</v>
      </c>
      <c r="B5434" s="33">
        <v>2395.23</v>
      </c>
      <c r="C5434">
        <f t="shared" si="114"/>
        <v>2006</v>
      </c>
    </row>
    <row r="5435" spans="1:3">
      <c r="A5435" s="68">
        <v>39001</v>
      </c>
      <c r="B5435" s="32">
        <v>2387.11</v>
      </c>
      <c r="C5435">
        <f t="shared" si="114"/>
        <v>2006</v>
      </c>
    </row>
    <row r="5436" spans="1:3">
      <c r="A5436" s="68">
        <v>39002</v>
      </c>
      <c r="B5436" s="33">
        <v>2389.0700000000002</v>
      </c>
      <c r="C5436">
        <f t="shared" si="114"/>
        <v>2006</v>
      </c>
    </row>
    <row r="5437" spans="1:3">
      <c r="A5437" s="68">
        <v>39003</v>
      </c>
      <c r="B5437" s="32">
        <v>2374.5100000000002</v>
      </c>
      <c r="C5437">
        <f t="shared" si="114"/>
        <v>2006</v>
      </c>
    </row>
    <row r="5438" spans="1:3">
      <c r="A5438" s="68">
        <v>39004</v>
      </c>
      <c r="B5438" s="33">
        <v>2356.5300000000002</v>
      </c>
      <c r="C5438">
        <f t="shared" si="114"/>
        <v>2006</v>
      </c>
    </row>
    <row r="5439" spans="1:3">
      <c r="A5439" s="68">
        <v>39005</v>
      </c>
      <c r="B5439" s="32">
        <v>2356.5300000000002</v>
      </c>
      <c r="C5439">
        <f t="shared" si="114"/>
        <v>2006</v>
      </c>
    </row>
    <row r="5440" spans="1:3">
      <c r="A5440" s="68">
        <v>39006</v>
      </c>
      <c r="B5440" s="33">
        <v>2356.5300000000002</v>
      </c>
      <c r="C5440">
        <f t="shared" si="114"/>
        <v>2006</v>
      </c>
    </row>
    <row r="5441" spans="1:3">
      <c r="A5441" s="68">
        <v>39007</v>
      </c>
      <c r="B5441" s="32">
        <v>2356.5300000000002</v>
      </c>
      <c r="C5441">
        <f t="shared" si="114"/>
        <v>2006</v>
      </c>
    </row>
    <row r="5442" spans="1:3">
      <c r="A5442" s="68">
        <v>39008</v>
      </c>
      <c r="B5442" s="33">
        <v>2359.41</v>
      </c>
      <c r="C5442">
        <f t="shared" si="114"/>
        <v>2006</v>
      </c>
    </row>
    <row r="5443" spans="1:3">
      <c r="A5443" s="68">
        <v>39009</v>
      </c>
      <c r="B5443" s="32">
        <v>2348.4299999999998</v>
      </c>
      <c r="C5443">
        <f t="shared" si="114"/>
        <v>2006</v>
      </c>
    </row>
    <row r="5444" spans="1:3">
      <c r="A5444" s="68">
        <v>39010</v>
      </c>
      <c r="B5444" s="33">
        <v>2345.4899999999998</v>
      </c>
      <c r="C5444">
        <f t="shared" ref="C5444:C5507" si="115">YEAR(A5444)</f>
        <v>2006</v>
      </c>
    </row>
    <row r="5445" spans="1:3">
      <c r="A5445" s="68">
        <v>39011</v>
      </c>
      <c r="B5445" s="32">
        <v>2340.89</v>
      </c>
      <c r="C5445">
        <f t="shared" si="115"/>
        <v>2006</v>
      </c>
    </row>
    <row r="5446" spans="1:3">
      <c r="A5446" s="68">
        <v>39012</v>
      </c>
      <c r="B5446" s="33">
        <v>2340.89</v>
      </c>
      <c r="C5446">
        <f t="shared" si="115"/>
        <v>2006</v>
      </c>
    </row>
    <row r="5447" spans="1:3">
      <c r="A5447" s="68">
        <v>39013</v>
      </c>
      <c r="B5447" s="32">
        <v>2340.89</v>
      </c>
      <c r="C5447">
        <f t="shared" si="115"/>
        <v>2006</v>
      </c>
    </row>
    <row r="5448" spans="1:3">
      <c r="A5448" s="68">
        <v>39014</v>
      </c>
      <c r="B5448" s="33">
        <v>2341.5100000000002</v>
      </c>
      <c r="C5448">
        <f t="shared" si="115"/>
        <v>2006</v>
      </c>
    </row>
    <row r="5449" spans="1:3">
      <c r="A5449" s="68">
        <v>39015</v>
      </c>
      <c r="B5449" s="32">
        <v>2341.33</v>
      </c>
      <c r="C5449">
        <f t="shared" si="115"/>
        <v>2006</v>
      </c>
    </row>
    <row r="5450" spans="1:3">
      <c r="A5450" s="68">
        <v>39016</v>
      </c>
      <c r="B5450" s="33">
        <v>2339.92</v>
      </c>
      <c r="C5450">
        <f t="shared" si="115"/>
        <v>2006</v>
      </c>
    </row>
    <row r="5451" spans="1:3">
      <c r="A5451" s="68">
        <v>39017</v>
      </c>
      <c r="B5451" s="32">
        <v>2327.23</v>
      </c>
      <c r="C5451">
        <f t="shared" si="115"/>
        <v>2006</v>
      </c>
    </row>
    <row r="5452" spans="1:3">
      <c r="A5452" s="68">
        <v>39018</v>
      </c>
      <c r="B5452" s="33">
        <v>2314.7600000000002</v>
      </c>
      <c r="C5452">
        <f t="shared" si="115"/>
        <v>2006</v>
      </c>
    </row>
    <row r="5453" spans="1:3">
      <c r="A5453" s="68">
        <v>39019</v>
      </c>
      <c r="B5453" s="32">
        <v>2314.7600000000002</v>
      </c>
      <c r="C5453">
        <f t="shared" si="115"/>
        <v>2006</v>
      </c>
    </row>
    <row r="5454" spans="1:3">
      <c r="A5454" s="68">
        <v>39020</v>
      </c>
      <c r="B5454" s="33">
        <v>2314.7600000000002</v>
      </c>
      <c r="C5454">
        <f t="shared" si="115"/>
        <v>2006</v>
      </c>
    </row>
    <row r="5455" spans="1:3">
      <c r="A5455" s="68">
        <v>39021</v>
      </c>
      <c r="B5455" s="32">
        <v>2315.38</v>
      </c>
      <c r="C5455">
        <f t="shared" si="115"/>
        <v>2006</v>
      </c>
    </row>
    <row r="5456" spans="1:3">
      <c r="A5456" s="68">
        <v>39022</v>
      </c>
      <c r="B5456" s="33">
        <v>2308.4899999999998</v>
      </c>
      <c r="C5456">
        <f t="shared" si="115"/>
        <v>2006</v>
      </c>
    </row>
    <row r="5457" spans="1:3">
      <c r="A5457" s="68">
        <v>39023</v>
      </c>
      <c r="B5457" s="32">
        <v>2302.64</v>
      </c>
      <c r="C5457">
        <f t="shared" si="115"/>
        <v>2006</v>
      </c>
    </row>
    <row r="5458" spans="1:3">
      <c r="A5458" s="68">
        <v>39024</v>
      </c>
      <c r="B5458" s="33">
        <v>2296.65</v>
      </c>
      <c r="C5458">
        <f t="shared" si="115"/>
        <v>2006</v>
      </c>
    </row>
    <row r="5459" spans="1:3">
      <c r="A5459" s="68">
        <v>39025</v>
      </c>
      <c r="B5459" s="32">
        <v>2300.88</v>
      </c>
      <c r="C5459">
        <f t="shared" si="115"/>
        <v>2006</v>
      </c>
    </row>
    <row r="5460" spans="1:3">
      <c r="A5460" s="68">
        <v>39026</v>
      </c>
      <c r="B5460" s="33">
        <v>2300.88</v>
      </c>
      <c r="C5460">
        <f t="shared" si="115"/>
        <v>2006</v>
      </c>
    </row>
    <row r="5461" spans="1:3">
      <c r="A5461" s="68">
        <v>39027</v>
      </c>
      <c r="B5461" s="32">
        <v>2300.88</v>
      </c>
      <c r="C5461">
        <f t="shared" si="115"/>
        <v>2006</v>
      </c>
    </row>
    <row r="5462" spans="1:3">
      <c r="A5462" s="68">
        <v>39028</v>
      </c>
      <c r="B5462" s="33">
        <v>2300.88</v>
      </c>
      <c r="C5462">
        <f t="shared" si="115"/>
        <v>2006</v>
      </c>
    </row>
    <row r="5463" spans="1:3">
      <c r="A5463" s="68">
        <v>39029</v>
      </c>
      <c r="B5463" s="32">
        <v>2288.13</v>
      </c>
      <c r="C5463">
        <f t="shared" si="115"/>
        <v>2006</v>
      </c>
    </row>
    <row r="5464" spans="1:3">
      <c r="A5464" s="68">
        <v>39030</v>
      </c>
      <c r="B5464" s="33">
        <v>2282.52</v>
      </c>
      <c r="C5464">
        <f t="shared" si="115"/>
        <v>2006</v>
      </c>
    </row>
    <row r="5465" spans="1:3">
      <c r="A5465" s="68">
        <v>39031</v>
      </c>
      <c r="B5465" s="32">
        <v>2268.4699999999998</v>
      </c>
      <c r="C5465">
        <f t="shared" si="115"/>
        <v>2006</v>
      </c>
    </row>
    <row r="5466" spans="1:3">
      <c r="A5466" s="68">
        <v>39032</v>
      </c>
      <c r="B5466" s="33">
        <v>2277.66</v>
      </c>
      <c r="C5466">
        <f t="shared" si="115"/>
        <v>2006</v>
      </c>
    </row>
    <row r="5467" spans="1:3">
      <c r="A5467" s="68">
        <v>39033</v>
      </c>
      <c r="B5467" s="32">
        <v>2277.66</v>
      </c>
      <c r="C5467">
        <f t="shared" si="115"/>
        <v>2006</v>
      </c>
    </row>
    <row r="5468" spans="1:3">
      <c r="A5468" s="68">
        <v>39034</v>
      </c>
      <c r="B5468" s="33">
        <v>2277.66</v>
      </c>
      <c r="C5468">
        <f t="shared" si="115"/>
        <v>2006</v>
      </c>
    </row>
    <row r="5469" spans="1:3">
      <c r="A5469" s="68">
        <v>39035</v>
      </c>
      <c r="B5469" s="32">
        <v>2277.66</v>
      </c>
      <c r="C5469">
        <f t="shared" si="115"/>
        <v>2006</v>
      </c>
    </row>
    <row r="5470" spans="1:3">
      <c r="A5470" s="68">
        <v>39036</v>
      </c>
      <c r="B5470" s="33">
        <v>2277.21</v>
      </c>
      <c r="C5470">
        <f t="shared" si="115"/>
        <v>2006</v>
      </c>
    </row>
    <row r="5471" spans="1:3">
      <c r="A5471" s="68">
        <v>39037</v>
      </c>
      <c r="B5471" s="32">
        <v>2274.2600000000002</v>
      </c>
      <c r="C5471">
        <f t="shared" si="115"/>
        <v>2006</v>
      </c>
    </row>
    <row r="5472" spans="1:3">
      <c r="A5472" s="68">
        <v>39038</v>
      </c>
      <c r="B5472" s="33">
        <v>2276.37</v>
      </c>
      <c r="C5472">
        <f t="shared" si="115"/>
        <v>2006</v>
      </c>
    </row>
    <row r="5473" spans="1:3">
      <c r="A5473" s="68">
        <v>39039</v>
      </c>
      <c r="B5473" s="32">
        <v>2285.65</v>
      </c>
      <c r="C5473">
        <f t="shared" si="115"/>
        <v>2006</v>
      </c>
    </row>
    <row r="5474" spans="1:3">
      <c r="A5474" s="68">
        <v>39040</v>
      </c>
      <c r="B5474" s="33">
        <v>2285.65</v>
      </c>
      <c r="C5474">
        <f t="shared" si="115"/>
        <v>2006</v>
      </c>
    </row>
    <row r="5475" spans="1:3">
      <c r="A5475" s="68">
        <v>39041</v>
      </c>
      <c r="B5475" s="32">
        <v>2285.65</v>
      </c>
      <c r="C5475">
        <f t="shared" si="115"/>
        <v>2006</v>
      </c>
    </row>
    <row r="5476" spans="1:3">
      <c r="A5476" s="68">
        <v>39042</v>
      </c>
      <c r="B5476" s="33">
        <v>2283.9899999999998</v>
      </c>
      <c r="C5476">
        <f t="shared" si="115"/>
        <v>2006</v>
      </c>
    </row>
    <row r="5477" spans="1:3">
      <c r="A5477" s="68">
        <v>39043</v>
      </c>
      <c r="B5477" s="32">
        <v>2282.67</v>
      </c>
      <c r="C5477">
        <f t="shared" si="115"/>
        <v>2006</v>
      </c>
    </row>
    <row r="5478" spans="1:3">
      <c r="A5478" s="68">
        <v>39044</v>
      </c>
      <c r="B5478" s="33">
        <v>2283.33</v>
      </c>
      <c r="C5478">
        <f t="shared" si="115"/>
        <v>2006</v>
      </c>
    </row>
    <row r="5479" spans="1:3">
      <c r="A5479" s="68">
        <v>39045</v>
      </c>
      <c r="B5479" s="32">
        <v>2283.33</v>
      </c>
      <c r="C5479">
        <f t="shared" si="115"/>
        <v>2006</v>
      </c>
    </row>
    <row r="5480" spans="1:3">
      <c r="A5480" s="68">
        <v>39046</v>
      </c>
      <c r="B5480" s="33">
        <v>2298.52</v>
      </c>
      <c r="C5480">
        <f t="shared" si="115"/>
        <v>2006</v>
      </c>
    </row>
    <row r="5481" spans="1:3">
      <c r="A5481" s="68">
        <v>39047</v>
      </c>
      <c r="B5481" s="32">
        <v>2298.52</v>
      </c>
      <c r="C5481">
        <f t="shared" si="115"/>
        <v>2006</v>
      </c>
    </row>
    <row r="5482" spans="1:3">
      <c r="A5482" s="68">
        <v>39048</v>
      </c>
      <c r="B5482" s="33">
        <v>2298.52</v>
      </c>
      <c r="C5482">
        <f t="shared" si="115"/>
        <v>2006</v>
      </c>
    </row>
    <row r="5483" spans="1:3">
      <c r="A5483" s="68">
        <v>39049</v>
      </c>
      <c r="B5483" s="32">
        <v>2320.64</v>
      </c>
      <c r="C5483">
        <f t="shared" si="115"/>
        <v>2006</v>
      </c>
    </row>
    <row r="5484" spans="1:3">
      <c r="A5484" s="68">
        <v>39050</v>
      </c>
      <c r="B5484" s="33">
        <v>2317.35</v>
      </c>
      <c r="C5484">
        <f t="shared" si="115"/>
        <v>2006</v>
      </c>
    </row>
    <row r="5485" spans="1:3">
      <c r="A5485" s="68">
        <v>39051</v>
      </c>
      <c r="B5485" s="32">
        <v>2300.42</v>
      </c>
      <c r="C5485">
        <f t="shared" si="115"/>
        <v>2006</v>
      </c>
    </row>
    <row r="5486" spans="1:3">
      <c r="A5486" s="68">
        <v>39052</v>
      </c>
      <c r="B5486" s="33">
        <v>2295.9899999999998</v>
      </c>
      <c r="C5486">
        <f t="shared" si="115"/>
        <v>2006</v>
      </c>
    </row>
    <row r="5487" spans="1:3">
      <c r="A5487" s="68">
        <v>39053</v>
      </c>
      <c r="B5487" s="32">
        <v>2293.42</v>
      </c>
      <c r="C5487">
        <f t="shared" si="115"/>
        <v>2006</v>
      </c>
    </row>
    <row r="5488" spans="1:3">
      <c r="A5488" s="68">
        <v>39054</v>
      </c>
      <c r="B5488" s="33">
        <v>2293.42</v>
      </c>
      <c r="C5488">
        <f t="shared" si="115"/>
        <v>2006</v>
      </c>
    </row>
    <row r="5489" spans="1:3">
      <c r="A5489" s="68">
        <v>39055</v>
      </c>
      <c r="B5489" s="32">
        <v>2293.42</v>
      </c>
      <c r="C5489">
        <f t="shared" si="115"/>
        <v>2006</v>
      </c>
    </row>
    <row r="5490" spans="1:3">
      <c r="A5490" s="68">
        <v>39056</v>
      </c>
      <c r="B5490" s="33">
        <v>2292.63</v>
      </c>
      <c r="C5490">
        <f t="shared" si="115"/>
        <v>2006</v>
      </c>
    </row>
    <row r="5491" spans="1:3">
      <c r="A5491" s="68">
        <v>39057</v>
      </c>
      <c r="B5491" s="32">
        <v>2278.9699999999998</v>
      </c>
      <c r="C5491">
        <f t="shared" si="115"/>
        <v>2006</v>
      </c>
    </row>
    <row r="5492" spans="1:3">
      <c r="A5492" s="68">
        <v>39058</v>
      </c>
      <c r="B5492" s="33">
        <v>2279.8200000000002</v>
      </c>
      <c r="C5492">
        <f t="shared" si="115"/>
        <v>2006</v>
      </c>
    </row>
    <row r="5493" spans="1:3">
      <c r="A5493" s="68">
        <v>39059</v>
      </c>
      <c r="B5493" s="32">
        <v>2280.5</v>
      </c>
      <c r="C5493">
        <f t="shared" si="115"/>
        <v>2006</v>
      </c>
    </row>
    <row r="5494" spans="1:3">
      <c r="A5494" s="68">
        <v>39060</v>
      </c>
      <c r="B5494" s="33">
        <v>2280.5</v>
      </c>
      <c r="C5494">
        <f t="shared" si="115"/>
        <v>2006</v>
      </c>
    </row>
    <row r="5495" spans="1:3">
      <c r="A5495" s="68">
        <v>39061</v>
      </c>
      <c r="B5495" s="32">
        <v>2280.5</v>
      </c>
      <c r="C5495">
        <f t="shared" si="115"/>
        <v>2006</v>
      </c>
    </row>
    <row r="5496" spans="1:3">
      <c r="A5496" s="68">
        <v>39062</v>
      </c>
      <c r="B5496" s="33">
        <v>2280.5</v>
      </c>
      <c r="C5496">
        <f t="shared" si="115"/>
        <v>2006</v>
      </c>
    </row>
    <row r="5497" spans="1:3">
      <c r="A5497" s="68">
        <v>39063</v>
      </c>
      <c r="B5497" s="32">
        <v>2272.09</v>
      </c>
      <c r="C5497">
        <f t="shared" si="115"/>
        <v>2006</v>
      </c>
    </row>
    <row r="5498" spans="1:3">
      <c r="A5498" s="68">
        <v>39064</v>
      </c>
      <c r="B5498" s="33">
        <v>2272.27</v>
      </c>
      <c r="C5498">
        <f t="shared" si="115"/>
        <v>2006</v>
      </c>
    </row>
    <row r="5499" spans="1:3">
      <c r="A5499" s="68">
        <v>39065</v>
      </c>
      <c r="B5499" s="32">
        <v>2272.75</v>
      </c>
      <c r="C5499">
        <f t="shared" si="115"/>
        <v>2006</v>
      </c>
    </row>
    <row r="5500" spans="1:3">
      <c r="A5500" s="68">
        <v>39066</v>
      </c>
      <c r="B5500" s="33">
        <v>2270.1799999999998</v>
      </c>
      <c r="C5500">
        <f t="shared" si="115"/>
        <v>2006</v>
      </c>
    </row>
    <row r="5501" spans="1:3">
      <c r="A5501" s="68">
        <v>39067</v>
      </c>
      <c r="B5501" s="32">
        <v>2262.15</v>
      </c>
      <c r="C5501">
        <f t="shared" si="115"/>
        <v>2006</v>
      </c>
    </row>
    <row r="5502" spans="1:3">
      <c r="A5502" s="68">
        <v>39068</v>
      </c>
      <c r="B5502" s="33">
        <v>2262.15</v>
      </c>
      <c r="C5502">
        <f t="shared" si="115"/>
        <v>2006</v>
      </c>
    </row>
    <row r="5503" spans="1:3">
      <c r="A5503" s="68">
        <v>39069</v>
      </c>
      <c r="B5503" s="32">
        <v>2262.15</v>
      </c>
      <c r="C5503">
        <f t="shared" si="115"/>
        <v>2006</v>
      </c>
    </row>
    <row r="5504" spans="1:3">
      <c r="A5504" s="68">
        <v>39070</v>
      </c>
      <c r="B5504" s="33">
        <v>2255.38</v>
      </c>
      <c r="C5504">
        <f t="shared" si="115"/>
        <v>2006</v>
      </c>
    </row>
    <row r="5505" spans="1:3">
      <c r="A5505" s="68">
        <v>39071</v>
      </c>
      <c r="B5505" s="32">
        <v>2249.2800000000002</v>
      </c>
      <c r="C5505">
        <f t="shared" si="115"/>
        <v>2006</v>
      </c>
    </row>
    <row r="5506" spans="1:3">
      <c r="A5506" s="68">
        <v>39072</v>
      </c>
      <c r="B5506" s="33">
        <v>2234.36</v>
      </c>
      <c r="C5506">
        <f t="shared" si="115"/>
        <v>2006</v>
      </c>
    </row>
    <row r="5507" spans="1:3">
      <c r="A5507" s="68">
        <v>39073</v>
      </c>
      <c r="B5507" s="32">
        <v>2229.2800000000002</v>
      </c>
      <c r="C5507">
        <f t="shared" si="115"/>
        <v>2006</v>
      </c>
    </row>
    <row r="5508" spans="1:3">
      <c r="A5508" s="68">
        <v>39074</v>
      </c>
      <c r="B5508" s="33">
        <v>2228.7600000000002</v>
      </c>
      <c r="C5508">
        <f t="shared" ref="C5508:C5571" si="116">YEAR(A5508)</f>
        <v>2006</v>
      </c>
    </row>
    <row r="5509" spans="1:3">
      <c r="A5509" s="68">
        <v>39075</v>
      </c>
      <c r="B5509" s="32">
        <v>2228.7600000000002</v>
      </c>
      <c r="C5509">
        <f t="shared" si="116"/>
        <v>2006</v>
      </c>
    </row>
    <row r="5510" spans="1:3">
      <c r="A5510" s="68">
        <v>39076</v>
      </c>
      <c r="B5510" s="33">
        <v>2228.7600000000002</v>
      </c>
      <c r="C5510">
        <f t="shared" si="116"/>
        <v>2006</v>
      </c>
    </row>
    <row r="5511" spans="1:3">
      <c r="A5511" s="68">
        <v>39077</v>
      </c>
      <c r="B5511" s="32">
        <v>2228.7600000000002</v>
      </c>
      <c r="C5511">
        <f t="shared" si="116"/>
        <v>2006</v>
      </c>
    </row>
    <row r="5512" spans="1:3">
      <c r="A5512" s="68">
        <v>39078</v>
      </c>
      <c r="B5512" s="33">
        <v>2225.44</v>
      </c>
      <c r="C5512">
        <f t="shared" si="116"/>
        <v>2006</v>
      </c>
    </row>
    <row r="5513" spans="1:3">
      <c r="A5513" s="68">
        <v>39079</v>
      </c>
      <c r="B5513" s="32">
        <v>2233.31</v>
      </c>
      <c r="C5513">
        <f t="shared" si="116"/>
        <v>2006</v>
      </c>
    </row>
    <row r="5514" spans="1:3">
      <c r="A5514" s="68">
        <v>39080</v>
      </c>
      <c r="B5514" s="33">
        <v>2238.79</v>
      </c>
      <c r="C5514">
        <f t="shared" si="116"/>
        <v>2006</v>
      </c>
    </row>
    <row r="5515" spans="1:3">
      <c r="A5515" s="68">
        <v>39081</v>
      </c>
      <c r="B5515" s="32">
        <v>2238.79</v>
      </c>
      <c r="C5515">
        <f t="shared" si="116"/>
        <v>2006</v>
      </c>
    </row>
    <row r="5516" spans="1:3">
      <c r="A5516" s="68">
        <v>39082</v>
      </c>
      <c r="B5516" s="33">
        <v>2238.79</v>
      </c>
      <c r="C5516">
        <f t="shared" si="116"/>
        <v>2006</v>
      </c>
    </row>
    <row r="5517" spans="1:3">
      <c r="A5517" s="68">
        <v>39083</v>
      </c>
      <c r="B5517" s="32">
        <v>2238.79</v>
      </c>
      <c r="C5517">
        <f t="shared" si="116"/>
        <v>2007</v>
      </c>
    </row>
    <row r="5518" spans="1:3">
      <c r="A5518" s="68">
        <v>39084</v>
      </c>
      <c r="B5518" s="33">
        <v>2238.79</v>
      </c>
      <c r="C5518">
        <f t="shared" si="116"/>
        <v>2007</v>
      </c>
    </row>
    <row r="5519" spans="1:3">
      <c r="A5519" s="68">
        <v>39085</v>
      </c>
      <c r="B5519" s="32">
        <v>2231.42</v>
      </c>
      <c r="C5519">
        <f t="shared" si="116"/>
        <v>2007</v>
      </c>
    </row>
    <row r="5520" spans="1:3">
      <c r="A5520" s="68">
        <v>39086</v>
      </c>
      <c r="B5520" s="33">
        <v>2218.11</v>
      </c>
      <c r="C5520">
        <f t="shared" si="116"/>
        <v>2007</v>
      </c>
    </row>
    <row r="5521" spans="1:3">
      <c r="A5521" s="68">
        <v>39087</v>
      </c>
      <c r="B5521" s="32">
        <v>2218.0500000000002</v>
      </c>
      <c r="C5521">
        <f t="shared" si="116"/>
        <v>2007</v>
      </c>
    </row>
    <row r="5522" spans="1:3">
      <c r="A5522" s="68">
        <v>39088</v>
      </c>
      <c r="B5522" s="33">
        <v>2228.38</v>
      </c>
      <c r="C5522">
        <f t="shared" si="116"/>
        <v>2007</v>
      </c>
    </row>
    <row r="5523" spans="1:3">
      <c r="A5523" s="68">
        <v>39089</v>
      </c>
      <c r="B5523" s="32">
        <v>2228.38</v>
      </c>
      <c r="C5523">
        <f t="shared" si="116"/>
        <v>2007</v>
      </c>
    </row>
    <row r="5524" spans="1:3">
      <c r="A5524" s="68">
        <v>39090</v>
      </c>
      <c r="B5524" s="33">
        <v>2228.38</v>
      </c>
      <c r="C5524">
        <f t="shared" si="116"/>
        <v>2007</v>
      </c>
    </row>
    <row r="5525" spans="1:3">
      <c r="A5525" s="68">
        <v>39091</v>
      </c>
      <c r="B5525" s="32">
        <v>2228.38</v>
      </c>
      <c r="C5525">
        <f t="shared" si="116"/>
        <v>2007</v>
      </c>
    </row>
    <row r="5526" spans="1:3">
      <c r="A5526" s="68">
        <v>39092</v>
      </c>
      <c r="B5526" s="33">
        <v>2238.52</v>
      </c>
      <c r="C5526">
        <f t="shared" si="116"/>
        <v>2007</v>
      </c>
    </row>
    <row r="5527" spans="1:3">
      <c r="A5527" s="68">
        <v>39093</v>
      </c>
      <c r="B5527" s="32">
        <v>2250.6</v>
      </c>
      <c r="C5527">
        <f t="shared" si="116"/>
        <v>2007</v>
      </c>
    </row>
    <row r="5528" spans="1:3">
      <c r="A5528" s="68">
        <v>39094</v>
      </c>
      <c r="B5528" s="33">
        <v>2231.48</v>
      </c>
      <c r="C5528">
        <f t="shared" si="116"/>
        <v>2007</v>
      </c>
    </row>
    <row r="5529" spans="1:3">
      <c r="A5529" s="68">
        <v>39095</v>
      </c>
      <c r="B5529" s="32">
        <v>2221.35</v>
      </c>
      <c r="C5529">
        <f t="shared" si="116"/>
        <v>2007</v>
      </c>
    </row>
    <row r="5530" spans="1:3">
      <c r="A5530" s="68">
        <v>39096</v>
      </c>
      <c r="B5530" s="33">
        <v>2221.35</v>
      </c>
      <c r="C5530">
        <f t="shared" si="116"/>
        <v>2007</v>
      </c>
    </row>
    <row r="5531" spans="1:3">
      <c r="A5531" s="68">
        <v>39097</v>
      </c>
      <c r="B5531" s="32">
        <v>2221.35</v>
      </c>
      <c r="C5531">
        <f t="shared" si="116"/>
        <v>2007</v>
      </c>
    </row>
    <row r="5532" spans="1:3">
      <c r="A5532" s="68">
        <v>39098</v>
      </c>
      <c r="B5532" s="33">
        <v>2221.35</v>
      </c>
      <c r="C5532">
        <f t="shared" si="116"/>
        <v>2007</v>
      </c>
    </row>
    <row r="5533" spans="1:3">
      <c r="A5533" s="68">
        <v>39099</v>
      </c>
      <c r="B5533" s="32">
        <v>2221.96</v>
      </c>
      <c r="C5533">
        <f t="shared" si="116"/>
        <v>2007</v>
      </c>
    </row>
    <row r="5534" spans="1:3">
      <c r="A5534" s="68">
        <v>39100</v>
      </c>
      <c r="B5534" s="33">
        <v>2224.2199999999998</v>
      </c>
      <c r="C5534">
        <f t="shared" si="116"/>
        <v>2007</v>
      </c>
    </row>
    <row r="5535" spans="1:3">
      <c r="A5535" s="68">
        <v>39101</v>
      </c>
      <c r="B5535" s="32">
        <v>2226.06</v>
      </c>
      <c r="C5535">
        <f t="shared" si="116"/>
        <v>2007</v>
      </c>
    </row>
    <row r="5536" spans="1:3">
      <c r="A5536" s="68">
        <v>39102</v>
      </c>
      <c r="B5536" s="33">
        <v>2229.29</v>
      </c>
      <c r="C5536">
        <f t="shared" si="116"/>
        <v>2007</v>
      </c>
    </row>
    <row r="5537" spans="1:3">
      <c r="A5537" s="68">
        <v>39103</v>
      </c>
      <c r="B5537" s="32">
        <v>2229.29</v>
      </c>
      <c r="C5537">
        <f t="shared" si="116"/>
        <v>2007</v>
      </c>
    </row>
    <row r="5538" spans="1:3">
      <c r="A5538" s="68">
        <v>39104</v>
      </c>
      <c r="B5538" s="33">
        <v>2229.29</v>
      </c>
      <c r="C5538">
        <f t="shared" si="116"/>
        <v>2007</v>
      </c>
    </row>
    <row r="5539" spans="1:3">
      <c r="A5539" s="68">
        <v>39105</v>
      </c>
      <c r="B5539" s="32">
        <v>2240.3200000000002</v>
      </c>
      <c r="C5539">
        <f t="shared" si="116"/>
        <v>2007</v>
      </c>
    </row>
    <row r="5540" spans="1:3">
      <c r="A5540" s="68">
        <v>39106</v>
      </c>
      <c r="B5540" s="33">
        <v>2250.38</v>
      </c>
      <c r="C5540">
        <f t="shared" si="116"/>
        <v>2007</v>
      </c>
    </row>
    <row r="5541" spans="1:3">
      <c r="A5541" s="68">
        <v>39107</v>
      </c>
      <c r="B5541" s="32">
        <v>2254.67</v>
      </c>
      <c r="C5541">
        <f t="shared" si="116"/>
        <v>2007</v>
      </c>
    </row>
    <row r="5542" spans="1:3">
      <c r="A5542" s="68">
        <v>39108</v>
      </c>
      <c r="B5542" s="33">
        <v>2252.88</v>
      </c>
      <c r="C5542">
        <f t="shared" si="116"/>
        <v>2007</v>
      </c>
    </row>
    <row r="5543" spans="1:3">
      <c r="A5543" s="68">
        <v>39109</v>
      </c>
      <c r="B5543" s="32">
        <v>2259.4299999999998</v>
      </c>
      <c r="C5543">
        <f t="shared" si="116"/>
        <v>2007</v>
      </c>
    </row>
    <row r="5544" spans="1:3">
      <c r="A5544" s="68">
        <v>39110</v>
      </c>
      <c r="B5544" s="33">
        <v>2259.4299999999998</v>
      </c>
      <c r="C5544">
        <f t="shared" si="116"/>
        <v>2007</v>
      </c>
    </row>
    <row r="5545" spans="1:3">
      <c r="A5545" s="68">
        <v>39111</v>
      </c>
      <c r="B5545" s="32">
        <v>2259.4299999999998</v>
      </c>
      <c r="C5545">
        <f t="shared" si="116"/>
        <v>2007</v>
      </c>
    </row>
    <row r="5546" spans="1:3">
      <c r="A5546" s="68">
        <v>39112</v>
      </c>
      <c r="B5546" s="33">
        <v>2261.2199999999998</v>
      </c>
      <c r="C5546">
        <f t="shared" si="116"/>
        <v>2007</v>
      </c>
    </row>
    <row r="5547" spans="1:3">
      <c r="A5547" s="68">
        <v>39113</v>
      </c>
      <c r="B5547" s="32">
        <v>2259.7199999999998</v>
      </c>
      <c r="C5547">
        <f t="shared" si="116"/>
        <v>2007</v>
      </c>
    </row>
    <row r="5548" spans="1:3">
      <c r="A5548" s="68">
        <v>39114</v>
      </c>
      <c r="B5548" s="33">
        <v>2255.17</v>
      </c>
      <c r="C5548">
        <f t="shared" si="116"/>
        <v>2007</v>
      </c>
    </row>
    <row r="5549" spans="1:3">
      <c r="A5549" s="68">
        <v>39115</v>
      </c>
      <c r="B5549" s="32">
        <v>2246.06</v>
      </c>
      <c r="C5549">
        <f t="shared" si="116"/>
        <v>2007</v>
      </c>
    </row>
    <row r="5550" spans="1:3">
      <c r="A5550" s="68">
        <v>39116</v>
      </c>
      <c r="B5550" s="33">
        <v>2241.5300000000002</v>
      </c>
      <c r="C5550">
        <f t="shared" si="116"/>
        <v>2007</v>
      </c>
    </row>
    <row r="5551" spans="1:3">
      <c r="A5551" s="68">
        <v>39117</v>
      </c>
      <c r="B5551" s="32">
        <v>2241.5300000000002</v>
      </c>
      <c r="C5551">
        <f t="shared" si="116"/>
        <v>2007</v>
      </c>
    </row>
    <row r="5552" spans="1:3">
      <c r="A5552" s="68">
        <v>39118</v>
      </c>
      <c r="B5552" s="33">
        <v>2241.5300000000002</v>
      </c>
      <c r="C5552">
        <f t="shared" si="116"/>
        <v>2007</v>
      </c>
    </row>
    <row r="5553" spans="1:3">
      <c r="A5553" s="68">
        <v>39119</v>
      </c>
      <c r="B5553" s="32">
        <v>2229.3000000000002</v>
      </c>
      <c r="C5553">
        <f t="shared" si="116"/>
        <v>2007</v>
      </c>
    </row>
    <row r="5554" spans="1:3">
      <c r="A5554" s="68">
        <v>39120</v>
      </c>
      <c r="B5554" s="33">
        <v>2232.37</v>
      </c>
      <c r="C5554">
        <f t="shared" si="116"/>
        <v>2007</v>
      </c>
    </row>
    <row r="5555" spans="1:3">
      <c r="A5555" s="68">
        <v>39121</v>
      </c>
      <c r="B5555" s="32">
        <v>2235.3000000000002</v>
      </c>
      <c r="C5555">
        <f t="shared" si="116"/>
        <v>2007</v>
      </c>
    </row>
    <row r="5556" spans="1:3">
      <c r="A5556" s="68">
        <v>39122</v>
      </c>
      <c r="B5556" s="33">
        <v>2239.1999999999998</v>
      </c>
      <c r="C5556">
        <f t="shared" si="116"/>
        <v>2007</v>
      </c>
    </row>
    <row r="5557" spans="1:3">
      <c r="A5557" s="68">
        <v>39123</v>
      </c>
      <c r="B5557" s="32">
        <v>2229.87</v>
      </c>
      <c r="C5557">
        <f t="shared" si="116"/>
        <v>2007</v>
      </c>
    </row>
    <row r="5558" spans="1:3">
      <c r="A5558" s="68">
        <v>39124</v>
      </c>
      <c r="B5558" s="33">
        <v>2229.87</v>
      </c>
      <c r="C5558">
        <f t="shared" si="116"/>
        <v>2007</v>
      </c>
    </row>
    <row r="5559" spans="1:3">
      <c r="A5559" s="68">
        <v>39125</v>
      </c>
      <c r="B5559" s="32">
        <v>2229.87</v>
      </c>
      <c r="C5559">
        <f t="shared" si="116"/>
        <v>2007</v>
      </c>
    </row>
    <row r="5560" spans="1:3">
      <c r="A5560" s="68">
        <v>39126</v>
      </c>
      <c r="B5560" s="33">
        <v>2230.4</v>
      </c>
      <c r="C5560">
        <f t="shared" si="116"/>
        <v>2007</v>
      </c>
    </row>
    <row r="5561" spans="1:3">
      <c r="A5561" s="68">
        <v>39127</v>
      </c>
      <c r="B5561" s="32">
        <v>2223.3000000000002</v>
      </c>
      <c r="C5561">
        <f t="shared" si="116"/>
        <v>2007</v>
      </c>
    </row>
    <row r="5562" spans="1:3">
      <c r="A5562" s="68">
        <v>39128</v>
      </c>
      <c r="B5562" s="33">
        <v>2221.4299999999998</v>
      </c>
      <c r="C5562">
        <f t="shared" si="116"/>
        <v>2007</v>
      </c>
    </row>
    <row r="5563" spans="1:3">
      <c r="A5563" s="68">
        <v>39129</v>
      </c>
      <c r="B5563" s="32">
        <v>2219.15</v>
      </c>
      <c r="C5563">
        <f t="shared" si="116"/>
        <v>2007</v>
      </c>
    </row>
    <row r="5564" spans="1:3">
      <c r="A5564" s="68">
        <v>39130</v>
      </c>
      <c r="B5564" s="33">
        <v>2221.6999999999998</v>
      </c>
      <c r="C5564">
        <f t="shared" si="116"/>
        <v>2007</v>
      </c>
    </row>
    <row r="5565" spans="1:3">
      <c r="A5565" s="68">
        <v>39131</v>
      </c>
      <c r="B5565" s="32">
        <v>2221.6999999999998</v>
      </c>
      <c r="C5565">
        <f t="shared" si="116"/>
        <v>2007</v>
      </c>
    </row>
    <row r="5566" spans="1:3">
      <c r="A5566" s="68">
        <v>39132</v>
      </c>
      <c r="B5566" s="33">
        <v>2221.6999999999998</v>
      </c>
      <c r="C5566">
        <f t="shared" si="116"/>
        <v>2007</v>
      </c>
    </row>
    <row r="5567" spans="1:3">
      <c r="A5567" s="68">
        <v>39133</v>
      </c>
      <c r="B5567" s="32">
        <v>2221.6999999999998</v>
      </c>
      <c r="C5567">
        <f t="shared" si="116"/>
        <v>2007</v>
      </c>
    </row>
    <row r="5568" spans="1:3">
      <c r="A5568" s="68">
        <v>39134</v>
      </c>
      <c r="B5568" s="33">
        <v>2220.7600000000002</v>
      </c>
      <c r="C5568">
        <f t="shared" si="116"/>
        <v>2007</v>
      </c>
    </row>
    <row r="5569" spans="1:3">
      <c r="A5569" s="68">
        <v>39135</v>
      </c>
      <c r="B5569" s="32">
        <v>2218.7800000000002</v>
      </c>
      <c r="C5569">
        <f t="shared" si="116"/>
        <v>2007</v>
      </c>
    </row>
    <row r="5570" spans="1:3">
      <c r="A5570" s="68">
        <v>39136</v>
      </c>
      <c r="B5570" s="33">
        <v>2214.44</v>
      </c>
      <c r="C5570">
        <f t="shared" si="116"/>
        <v>2007</v>
      </c>
    </row>
    <row r="5571" spans="1:3">
      <c r="A5571" s="68">
        <v>39137</v>
      </c>
      <c r="B5571" s="32">
        <v>2216.5700000000002</v>
      </c>
      <c r="C5571">
        <f t="shared" si="116"/>
        <v>2007</v>
      </c>
    </row>
    <row r="5572" spans="1:3">
      <c r="A5572" s="68">
        <v>39138</v>
      </c>
      <c r="B5572" s="33">
        <v>2216.5700000000002</v>
      </c>
      <c r="C5572">
        <f t="shared" ref="C5572:C5635" si="117">YEAR(A5572)</f>
        <v>2007</v>
      </c>
    </row>
    <row r="5573" spans="1:3">
      <c r="A5573" s="68">
        <v>39139</v>
      </c>
      <c r="B5573" s="32">
        <v>2216.5700000000002</v>
      </c>
      <c r="C5573">
        <f t="shared" si="117"/>
        <v>2007</v>
      </c>
    </row>
    <row r="5574" spans="1:3">
      <c r="A5574" s="68">
        <v>39140</v>
      </c>
      <c r="B5574" s="33">
        <v>2211.46</v>
      </c>
      <c r="C5574">
        <f t="shared" si="117"/>
        <v>2007</v>
      </c>
    </row>
    <row r="5575" spans="1:3">
      <c r="A5575" s="68">
        <v>39141</v>
      </c>
      <c r="B5575" s="32">
        <v>2224.12</v>
      </c>
      <c r="C5575">
        <f t="shared" si="117"/>
        <v>2007</v>
      </c>
    </row>
    <row r="5576" spans="1:3">
      <c r="A5576" s="68">
        <v>39142</v>
      </c>
      <c r="B5576" s="33">
        <v>2231.94</v>
      </c>
      <c r="C5576">
        <f t="shared" si="117"/>
        <v>2007</v>
      </c>
    </row>
    <row r="5577" spans="1:3">
      <c r="A5577" s="68">
        <v>39143</v>
      </c>
      <c r="B5577" s="32">
        <v>2246.88</v>
      </c>
      <c r="C5577">
        <f t="shared" si="117"/>
        <v>2007</v>
      </c>
    </row>
    <row r="5578" spans="1:3">
      <c r="A5578" s="68">
        <v>39144</v>
      </c>
      <c r="B5578" s="33">
        <v>2242.62</v>
      </c>
      <c r="C5578">
        <f t="shared" si="117"/>
        <v>2007</v>
      </c>
    </row>
    <row r="5579" spans="1:3">
      <c r="A5579" s="68">
        <v>39145</v>
      </c>
      <c r="B5579" s="32">
        <v>2242.62</v>
      </c>
      <c r="C5579">
        <f t="shared" si="117"/>
        <v>2007</v>
      </c>
    </row>
    <row r="5580" spans="1:3">
      <c r="A5580" s="68">
        <v>39146</v>
      </c>
      <c r="B5580" s="33">
        <v>2242.62</v>
      </c>
      <c r="C5580">
        <f t="shared" si="117"/>
        <v>2007</v>
      </c>
    </row>
    <row r="5581" spans="1:3">
      <c r="A5581" s="68">
        <v>39147</v>
      </c>
      <c r="B5581" s="32">
        <v>2245.71</v>
      </c>
      <c r="C5581">
        <f t="shared" si="117"/>
        <v>2007</v>
      </c>
    </row>
    <row r="5582" spans="1:3">
      <c r="A5582" s="68">
        <v>39148</v>
      </c>
      <c r="B5582" s="33">
        <v>2222.4499999999998</v>
      </c>
      <c r="C5582">
        <f t="shared" si="117"/>
        <v>2007</v>
      </c>
    </row>
    <row r="5583" spans="1:3">
      <c r="A5583" s="68">
        <v>39149</v>
      </c>
      <c r="B5583" s="32">
        <v>2218.94</v>
      </c>
      <c r="C5583">
        <f t="shared" si="117"/>
        <v>2007</v>
      </c>
    </row>
    <row r="5584" spans="1:3">
      <c r="A5584" s="68">
        <v>39150</v>
      </c>
      <c r="B5584" s="33">
        <v>2214.0500000000002</v>
      </c>
      <c r="C5584">
        <f t="shared" si="117"/>
        <v>2007</v>
      </c>
    </row>
    <row r="5585" spans="1:3">
      <c r="A5585" s="68">
        <v>39151</v>
      </c>
      <c r="B5585" s="32">
        <v>2210.98</v>
      </c>
      <c r="C5585">
        <f t="shared" si="117"/>
        <v>2007</v>
      </c>
    </row>
    <row r="5586" spans="1:3">
      <c r="A5586" s="68">
        <v>39152</v>
      </c>
      <c r="B5586" s="33">
        <v>2210.98</v>
      </c>
      <c r="C5586">
        <f t="shared" si="117"/>
        <v>2007</v>
      </c>
    </row>
    <row r="5587" spans="1:3">
      <c r="A5587" s="68">
        <v>39153</v>
      </c>
      <c r="B5587" s="32">
        <v>2210.98</v>
      </c>
      <c r="C5587">
        <f t="shared" si="117"/>
        <v>2007</v>
      </c>
    </row>
    <row r="5588" spans="1:3">
      <c r="A5588" s="68">
        <v>39154</v>
      </c>
      <c r="B5588" s="33">
        <v>2205.77</v>
      </c>
      <c r="C5588">
        <f t="shared" si="117"/>
        <v>2007</v>
      </c>
    </row>
    <row r="5589" spans="1:3">
      <c r="A5589" s="68">
        <v>39155</v>
      </c>
      <c r="B5589" s="32">
        <v>2206.38</v>
      </c>
      <c r="C5589">
        <f t="shared" si="117"/>
        <v>2007</v>
      </c>
    </row>
    <row r="5590" spans="1:3">
      <c r="A5590" s="68">
        <v>39156</v>
      </c>
      <c r="B5590" s="33">
        <v>2210.12</v>
      </c>
      <c r="C5590">
        <f t="shared" si="117"/>
        <v>2007</v>
      </c>
    </row>
    <row r="5591" spans="1:3">
      <c r="A5591" s="68">
        <v>39157</v>
      </c>
      <c r="B5591" s="32">
        <v>2197.7600000000002</v>
      </c>
      <c r="C5591">
        <f t="shared" si="117"/>
        <v>2007</v>
      </c>
    </row>
    <row r="5592" spans="1:3">
      <c r="A5592" s="68">
        <v>39158</v>
      </c>
      <c r="B5592" s="33">
        <v>2204.0500000000002</v>
      </c>
      <c r="C5592">
        <f t="shared" si="117"/>
        <v>2007</v>
      </c>
    </row>
    <row r="5593" spans="1:3">
      <c r="A5593" s="68">
        <v>39159</v>
      </c>
      <c r="B5593" s="32">
        <v>2204.0500000000002</v>
      </c>
      <c r="C5593">
        <f t="shared" si="117"/>
        <v>2007</v>
      </c>
    </row>
    <row r="5594" spans="1:3">
      <c r="A5594" s="68">
        <v>39160</v>
      </c>
      <c r="B5594" s="33">
        <v>2204.0500000000002</v>
      </c>
      <c r="C5594">
        <f t="shared" si="117"/>
        <v>2007</v>
      </c>
    </row>
    <row r="5595" spans="1:3">
      <c r="A5595" s="68">
        <v>39161</v>
      </c>
      <c r="B5595" s="32">
        <v>2204.0500000000002</v>
      </c>
      <c r="C5595">
        <f t="shared" si="117"/>
        <v>2007</v>
      </c>
    </row>
    <row r="5596" spans="1:3">
      <c r="A5596" s="68">
        <v>39162</v>
      </c>
      <c r="B5596" s="33">
        <v>2186.21</v>
      </c>
      <c r="C5596">
        <f t="shared" si="117"/>
        <v>2007</v>
      </c>
    </row>
    <row r="5597" spans="1:3">
      <c r="A5597" s="68">
        <v>39163</v>
      </c>
      <c r="B5597" s="32">
        <v>2172.6</v>
      </c>
      <c r="C5597">
        <f t="shared" si="117"/>
        <v>2007</v>
      </c>
    </row>
    <row r="5598" spans="1:3">
      <c r="A5598" s="68">
        <v>39164</v>
      </c>
      <c r="B5598" s="33">
        <v>2168.9499999999998</v>
      </c>
      <c r="C5598">
        <f t="shared" si="117"/>
        <v>2007</v>
      </c>
    </row>
    <row r="5599" spans="1:3">
      <c r="A5599" s="68">
        <v>39165</v>
      </c>
      <c r="B5599" s="32">
        <v>2174.7199999999998</v>
      </c>
      <c r="C5599">
        <f t="shared" si="117"/>
        <v>2007</v>
      </c>
    </row>
    <row r="5600" spans="1:3">
      <c r="A5600" s="68">
        <v>39166</v>
      </c>
      <c r="B5600" s="33">
        <v>2174.7199999999998</v>
      </c>
      <c r="C5600">
        <f t="shared" si="117"/>
        <v>2007</v>
      </c>
    </row>
    <row r="5601" spans="1:3">
      <c r="A5601" s="68">
        <v>39167</v>
      </c>
      <c r="B5601" s="32">
        <v>2174.7199999999998</v>
      </c>
      <c r="C5601">
        <f t="shared" si="117"/>
        <v>2007</v>
      </c>
    </row>
    <row r="5602" spans="1:3">
      <c r="A5602" s="68">
        <v>39168</v>
      </c>
      <c r="B5602" s="33">
        <v>2172.14</v>
      </c>
      <c r="C5602">
        <f t="shared" si="117"/>
        <v>2007</v>
      </c>
    </row>
    <row r="5603" spans="1:3">
      <c r="A5603" s="68">
        <v>39169</v>
      </c>
      <c r="B5603" s="32">
        <v>2172.09</v>
      </c>
      <c r="C5603">
        <f t="shared" si="117"/>
        <v>2007</v>
      </c>
    </row>
    <row r="5604" spans="1:3">
      <c r="A5604" s="68">
        <v>39170</v>
      </c>
      <c r="B5604" s="33">
        <v>2169.67</v>
      </c>
      <c r="C5604">
        <f t="shared" si="117"/>
        <v>2007</v>
      </c>
    </row>
    <row r="5605" spans="1:3">
      <c r="A5605" s="68">
        <v>39171</v>
      </c>
      <c r="B5605" s="32">
        <v>2155.06</v>
      </c>
      <c r="C5605">
        <f t="shared" si="117"/>
        <v>2007</v>
      </c>
    </row>
    <row r="5606" spans="1:3">
      <c r="A5606" s="68">
        <v>39172</v>
      </c>
      <c r="B5606" s="33">
        <v>2190.3000000000002</v>
      </c>
      <c r="C5606">
        <f t="shared" si="117"/>
        <v>2007</v>
      </c>
    </row>
    <row r="5607" spans="1:3">
      <c r="A5607" s="68">
        <v>39173</v>
      </c>
      <c r="B5607" s="32">
        <v>2190.3000000000002</v>
      </c>
      <c r="C5607">
        <f t="shared" si="117"/>
        <v>2007</v>
      </c>
    </row>
    <row r="5608" spans="1:3">
      <c r="A5608" s="68">
        <v>39174</v>
      </c>
      <c r="B5608" s="33">
        <v>2190.3000000000002</v>
      </c>
      <c r="C5608">
        <f t="shared" si="117"/>
        <v>2007</v>
      </c>
    </row>
    <row r="5609" spans="1:3">
      <c r="A5609" s="68">
        <v>39175</v>
      </c>
      <c r="B5609" s="32">
        <v>2189.1799999999998</v>
      </c>
      <c r="C5609">
        <f t="shared" si="117"/>
        <v>2007</v>
      </c>
    </row>
    <row r="5610" spans="1:3">
      <c r="A5610" s="68">
        <v>39176</v>
      </c>
      <c r="B5610" s="33">
        <v>2171.4699999999998</v>
      </c>
      <c r="C5610">
        <f t="shared" si="117"/>
        <v>2007</v>
      </c>
    </row>
    <row r="5611" spans="1:3">
      <c r="A5611" s="68">
        <v>39177</v>
      </c>
      <c r="B5611" s="32">
        <v>2166.9299999999998</v>
      </c>
      <c r="C5611">
        <f t="shared" si="117"/>
        <v>2007</v>
      </c>
    </row>
    <row r="5612" spans="1:3">
      <c r="A5612" s="68">
        <v>39178</v>
      </c>
      <c r="B5612" s="33">
        <v>2166.9299999999998</v>
      </c>
      <c r="C5612">
        <f t="shared" si="117"/>
        <v>2007</v>
      </c>
    </row>
    <row r="5613" spans="1:3">
      <c r="A5613" s="68">
        <v>39179</v>
      </c>
      <c r="B5613" s="32">
        <v>2166.9299999999998</v>
      </c>
      <c r="C5613">
        <f t="shared" si="117"/>
        <v>2007</v>
      </c>
    </row>
    <row r="5614" spans="1:3">
      <c r="A5614" s="68">
        <v>39180</v>
      </c>
      <c r="B5614" s="33">
        <v>2166.9299999999998</v>
      </c>
      <c r="C5614">
        <f t="shared" si="117"/>
        <v>2007</v>
      </c>
    </row>
    <row r="5615" spans="1:3">
      <c r="A5615" s="68">
        <v>39181</v>
      </c>
      <c r="B5615" s="32">
        <v>2166.9299999999998</v>
      </c>
      <c r="C5615">
        <f t="shared" si="117"/>
        <v>2007</v>
      </c>
    </row>
    <row r="5616" spans="1:3">
      <c r="A5616" s="68">
        <v>39182</v>
      </c>
      <c r="B5616" s="33">
        <v>2164.5500000000002</v>
      </c>
      <c r="C5616">
        <f t="shared" si="117"/>
        <v>2007</v>
      </c>
    </row>
    <row r="5617" spans="1:3">
      <c r="A5617" s="68">
        <v>39183</v>
      </c>
      <c r="B5617" s="32">
        <v>2157.8200000000002</v>
      </c>
      <c r="C5617">
        <f t="shared" si="117"/>
        <v>2007</v>
      </c>
    </row>
    <row r="5618" spans="1:3">
      <c r="A5618" s="68">
        <v>39184</v>
      </c>
      <c r="B5618" s="33">
        <v>2154.61</v>
      </c>
      <c r="C5618">
        <f t="shared" si="117"/>
        <v>2007</v>
      </c>
    </row>
    <row r="5619" spans="1:3">
      <c r="A5619" s="68">
        <v>39185</v>
      </c>
      <c r="B5619" s="32">
        <v>2152.65</v>
      </c>
      <c r="C5619">
        <f t="shared" si="117"/>
        <v>2007</v>
      </c>
    </row>
    <row r="5620" spans="1:3">
      <c r="A5620" s="68">
        <v>39186</v>
      </c>
      <c r="B5620" s="33">
        <v>2138.7399999999998</v>
      </c>
      <c r="C5620">
        <f t="shared" si="117"/>
        <v>2007</v>
      </c>
    </row>
    <row r="5621" spans="1:3">
      <c r="A5621" s="68">
        <v>39187</v>
      </c>
      <c r="B5621" s="32">
        <v>2138.7399999999998</v>
      </c>
      <c r="C5621">
        <f t="shared" si="117"/>
        <v>2007</v>
      </c>
    </row>
    <row r="5622" spans="1:3">
      <c r="A5622" s="68">
        <v>39188</v>
      </c>
      <c r="B5622" s="33">
        <v>2138.7399999999998</v>
      </c>
      <c r="C5622">
        <f t="shared" si="117"/>
        <v>2007</v>
      </c>
    </row>
    <row r="5623" spans="1:3">
      <c r="A5623" s="68">
        <v>39189</v>
      </c>
      <c r="B5623" s="32">
        <v>2136.8200000000002</v>
      </c>
      <c r="C5623">
        <f t="shared" si="117"/>
        <v>2007</v>
      </c>
    </row>
    <row r="5624" spans="1:3">
      <c r="A5624" s="68">
        <v>39190</v>
      </c>
      <c r="B5624" s="33">
        <v>2141.35</v>
      </c>
      <c r="C5624">
        <f t="shared" si="117"/>
        <v>2007</v>
      </c>
    </row>
    <row r="5625" spans="1:3">
      <c r="A5625" s="68">
        <v>39191</v>
      </c>
      <c r="B5625" s="32">
        <v>2148.46</v>
      </c>
      <c r="C5625">
        <f t="shared" si="117"/>
        <v>2007</v>
      </c>
    </row>
    <row r="5626" spans="1:3">
      <c r="A5626" s="68">
        <v>39192</v>
      </c>
      <c r="B5626" s="33">
        <v>2143.31</v>
      </c>
      <c r="C5626">
        <f t="shared" si="117"/>
        <v>2007</v>
      </c>
    </row>
    <row r="5627" spans="1:3">
      <c r="A5627" s="68">
        <v>39193</v>
      </c>
      <c r="B5627" s="32">
        <v>2121.42</v>
      </c>
      <c r="C5627">
        <f t="shared" si="117"/>
        <v>2007</v>
      </c>
    </row>
    <row r="5628" spans="1:3">
      <c r="A5628" s="68">
        <v>39194</v>
      </c>
      <c r="B5628" s="33">
        <v>2121.42</v>
      </c>
      <c r="C5628">
        <f t="shared" si="117"/>
        <v>2007</v>
      </c>
    </row>
    <row r="5629" spans="1:3">
      <c r="A5629" s="68">
        <v>39195</v>
      </c>
      <c r="B5629" s="32">
        <v>2121.42</v>
      </c>
      <c r="C5629">
        <f t="shared" si="117"/>
        <v>2007</v>
      </c>
    </row>
    <row r="5630" spans="1:3">
      <c r="A5630" s="68">
        <v>39196</v>
      </c>
      <c r="B5630" s="33">
        <v>2115.56</v>
      </c>
      <c r="C5630">
        <f t="shared" si="117"/>
        <v>2007</v>
      </c>
    </row>
    <row r="5631" spans="1:3">
      <c r="A5631" s="68">
        <v>39197</v>
      </c>
      <c r="B5631" s="32">
        <v>2119.37</v>
      </c>
      <c r="C5631">
        <f t="shared" si="117"/>
        <v>2007</v>
      </c>
    </row>
    <row r="5632" spans="1:3">
      <c r="A5632" s="68">
        <v>39198</v>
      </c>
      <c r="B5632" s="33">
        <v>2112.61</v>
      </c>
      <c r="C5632">
        <f t="shared" si="117"/>
        <v>2007</v>
      </c>
    </row>
    <row r="5633" spans="1:3">
      <c r="A5633" s="68">
        <v>39199</v>
      </c>
      <c r="B5633" s="32">
        <v>2111.52</v>
      </c>
      <c r="C5633">
        <f t="shared" si="117"/>
        <v>2007</v>
      </c>
    </row>
    <row r="5634" spans="1:3">
      <c r="A5634" s="68">
        <v>39200</v>
      </c>
      <c r="B5634" s="33">
        <v>2110.67</v>
      </c>
      <c r="C5634">
        <f t="shared" si="117"/>
        <v>2007</v>
      </c>
    </row>
    <row r="5635" spans="1:3">
      <c r="A5635" s="68">
        <v>39201</v>
      </c>
      <c r="B5635" s="32">
        <v>2110.67</v>
      </c>
      <c r="C5635">
        <f t="shared" si="117"/>
        <v>2007</v>
      </c>
    </row>
    <row r="5636" spans="1:3">
      <c r="A5636" s="68">
        <v>39202</v>
      </c>
      <c r="B5636" s="33">
        <v>2110.67</v>
      </c>
      <c r="C5636">
        <f t="shared" ref="C5636:C5699" si="118">YEAR(A5636)</f>
        <v>2007</v>
      </c>
    </row>
    <row r="5637" spans="1:3">
      <c r="A5637" s="68">
        <v>39203</v>
      </c>
      <c r="B5637" s="32">
        <v>2104.16</v>
      </c>
      <c r="C5637">
        <f t="shared" si="118"/>
        <v>2007</v>
      </c>
    </row>
    <row r="5638" spans="1:3">
      <c r="A5638" s="68">
        <v>39204</v>
      </c>
      <c r="B5638" s="33">
        <v>2104.16</v>
      </c>
      <c r="C5638">
        <f t="shared" si="118"/>
        <v>2007</v>
      </c>
    </row>
    <row r="5639" spans="1:3">
      <c r="A5639" s="68">
        <v>39205</v>
      </c>
      <c r="B5639" s="32">
        <v>2085.1799999999998</v>
      </c>
      <c r="C5639">
        <f t="shared" si="118"/>
        <v>2007</v>
      </c>
    </row>
    <row r="5640" spans="1:3">
      <c r="A5640" s="68">
        <v>39206</v>
      </c>
      <c r="B5640" s="33">
        <v>2077.12</v>
      </c>
      <c r="C5640">
        <f t="shared" si="118"/>
        <v>2007</v>
      </c>
    </row>
    <row r="5641" spans="1:3">
      <c r="A5641" s="68">
        <v>39207</v>
      </c>
      <c r="B5641" s="32">
        <v>2069.0100000000002</v>
      </c>
      <c r="C5641">
        <f t="shared" si="118"/>
        <v>2007</v>
      </c>
    </row>
    <row r="5642" spans="1:3">
      <c r="A5642" s="68">
        <v>39208</v>
      </c>
      <c r="B5642" s="33">
        <v>2069.0100000000002</v>
      </c>
      <c r="C5642">
        <f t="shared" si="118"/>
        <v>2007</v>
      </c>
    </row>
    <row r="5643" spans="1:3">
      <c r="A5643" s="68">
        <v>39209</v>
      </c>
      <c r="B5643" s="32">
        <v>2069.0100000000002</v>
      </c>
      <c r="C5643">
        <f t="shared" si="118"/>
        <v>2007</v>
      </c>
    </row>
    <row r="5644" spans="1:3">
      <c r="A5644" s="68">
        <v>39210</v>
      </c>
      <c r="B5644" s="33">
        <v>2081.2399999999998</v>
      </c>
      <c r="C5644">
        <f t="shared" si="118"/>
        <v>2007</v>
      </c>
    </row>
    <row r="5645" spans="1:3">
      <c r="A5645" s="68">
        <v>39211</v>
      </c>
      <c r="B5645" s="32">
        <v>2074.0300000000002</v>
      </c>
      <c r="C5645">
        <f t="shared" si="118"/>
        <v>2007</v>
      </c>
    </row>
    <row r="5646" spans="1:3">
      <c r="A5646" s="68">
        <v>39212</v>
      </c>
      <c r="B5646" s="33">
        <v>2045.51</v>
      </c>
      <c r="C5646">
        <f t="shared" si="118"/>
        <v>2007</v>
      </c>
    </row>
    <row r="5647" spans="1:3">
      <c r="A5647" s="68">
        <v>39213</v>
      </c>
      <c r="B5647" s="32">
        <v>2041.39</v>
      </c>
      <c r="C5647">
        <f t="shared" si="118"/>
        <v>2007</v>
      </c>
    </row>
    <row r="5648" spans="1:3">
      <c r="A5648" s="68">
        <v>39214</v>
      </c>
      <c r="B5648" s="33">
        <v>2029.2</v>
      </c>
      <c r="C5648">
        <f t="shared" si="118"/>
        <v>2007</v>
      </c>
    </row>
    <row r="5649" spans="1:3">
      <c r="A5649" s="68">
        <v>39215</v>
      </c>
      <c r="B5649" s="32">
        <v>2029.2</v>
      </c>
      <c r="C5649">
        <f t="shared" si="118"/>
        <v>2007</v>
      </c>
    </row>
    <row r="5650" spans="1:3">
      <c r="A5650" s="68">
        <v>39216</v>
      </c>
      <c r="B5650" s="33">
        <v>2029.2</v>
      </c>
      <c r="C5650">
        <f t="shared" si="118"/>
        <v>2007</v>
      </c>
    </row>
    <row r="5651" spans="1:3">
      <c r="A5651" s="68">
        <v>39217</v>
      </c>
      <c r="B5651" s="32">
        <v>2002.04</v>
      </c>
      <c r="C5651">
        <f t="shared" si="118"/>
        <v>2007</v>
      </c>
    </row>
    <row r="5652" spans="1:3">
      <c r="A5652" s="68">
        <v>39218</v>
      </c>
      <c r="B5652" s="33">
        <v>1995.17</v>
      </c>
      <c r="C5652">
        <f t="shared" si="118"/>
        <v>2007</v>
      </c>
    </row>
    <row r="5653" spans="1:3">
      <c r="A5653" s="68">
        <v>39219</v>
      </c>
      <c r="B5653" s="32">
        <v>1988.01</v>
      </c>
      <c r="C5653">
        <f t="shared" si="118"/>
        <v>2007</v>
      </c>
    </row>
    <row r="5654" spans="1:3">
      <c r="A5654" s="68">
        <v>39220</v>
      </c>
      <c r="B5654" s="33">
        <v>1990.43</v>
      </c>
      <c r="C5654">
        <f t="shared" si="118"/>
        <v>2007</v>
      </c>
    </row>
    <row r="5655" spans="1:3">
      <c r="A5655" s="68">
        <v>39221</v>
      </c>
      <c r="B5655" s="32">
        <v>1985.33</v>
      </c>
      <c r="C5655">
        <f t="shared" si="118"/>
        <v>2007</v>
      </c>
    </row>
    <row r="5656" spans="1:3">
      <c r="A5656" s="68">
        <v>39222</v>
      </c>
      <c r="B5656" s="33">
        <v>1985.33</v>
      </c>
      <c r="C5656">
        <f t="shared" si="118"/>
        <v>2007</v>
      </c>
    </row>
    <row r="5657" spans="1:3">
      <c r="A5657" s="68">
        <v>39223</v>
      </c>
      <c r="B5657" s="32">
        <v>1985.33</v>
      </c>
      <c r="C5657">
        <f t="shared" si="118"/>
        <v>2007</v>
      </c>
    </row>
    <row r="5658" spans="1:3">
      <c r="A5658" s="68">
        <v>39224</v>
      </c>
      <c r="B5658" s="33">
        <v>1985.33</v>
      </c>
      <c r="C5658">
        <f t="shared" si="118"/>
        <v>2007</v>
      </c>
    </row>
    <row r="5659" spans="1:3">
      <c r="A5659" s="68">
        <v>39225</v>
      </c>
      <c r="B5659" s="32">
        <v>1957.54</v>
      </c>
      <c r="C5659">
        <f t="shared" si="118"/>
        <v>2007</v>
      </c>
    </row>
    <row r="5660" spans="1:3">
      <c r="A5660" s="68">
        <v>39226</v>
      </c>
      <c r="B5660" s="33">
        <v>1963.56</v>
      </c>
      <c r="C5660">
        <f t="shared" si="118"/>
        <v>2007</v>
      </c>
    </row>
    <row r="5661" spans="1:3">
      <c r="A5661" s="68">
        <v>39227</v>
      </c>
      <c r="B5661" s="32">
        <v>1962.59</v>
      </c>
      <c r="C5661">
        <f t="shared" si="118"/>
        <v>2007</v>
      </c>
    </row>
    <row r="5662" spans="1:3">
      <c r="A5662" s="68">
        <v>39228</v>
      </c>
      <c r="B5662" s="33">
        <v>1934.55</v>
      </c>
      <c r="C5662">
        <f t="shared" si="118"/>
        <v>2007</v>
      </c>
    </row>
    <row r="5663" spans="1:3">
      <c r="A5663" s="68">
        <v>39229</v>
      </c>
      <c r="B5663" s="32">
        <v>1934.55</v>
      </c>
      <c r="C5663">
        <f t="shared" si="118"/>
        <v>2007</v>
      </c>
    </row>
    <row r="5664" spans="1:3">
      <c r="A5664" s="68">
        <v>39230</v>
      </c>
      <c r="B5664" s="33">
        <v>1934.55</v>
      </c>
      <c r="C5664">
        <f t="shared" si="118"/>
        <v>2007</v>
      </c>
    </row>
    <row r="5665" spans="1:3">
      <c r="A5665" s="68">
        <v>39231</v>
      </c>
      <c r="B5665" s="32">
        <v>1934.55</v>
      </c>
      <c r="C5665">
        <f t="shared" si="118"/>
        <v>2007</v>
      </c>
    </row>
    <row r="5666" spans="1:3">
      <c r="A5666" s="68">
        <v>39232</v>
      </c>
      <c r="B5666" s="33">
        <v>1914.96</v>
      </c>
      <c r="C5666">
        <f t="shared" si="118"/>
        <v>2007</v>
      </c>
    </row>
    <row r="5667" spans="1:3">
      <c r="A5667" s="68">
        <v>39233</v>
      </c>
      <c r="B5667" s="32">
        <v>1930.64</v>
      </c>
      <c r="C5667">
        <f t="shared" si="118"/>
        <v>2007</v>
      </c>
    </row>
    <row r="5668" spans="1:3">
      <c r="A5668" s="68">
        <v>39234</v>
      </c>
      <c r="B5668" s="33">
        <v>1900.09</v>
      </c>
      <c r="C5668">
        <f t="shared" si="118"/>
        <v>2007</v>
      </c>
    </row>
    <row r="5669" spans="1:3">
      <c r="A5669" s="68">
        <v>39235</v>
      </c>
      <c r="B5669" s="32">
        <v>1885.8</v>
      </c>
      <c r="C5669">
        <f t="shared" si="118"/>
        <v>2007</v>
      </c>
    </row>
    <row r="5670" spans="1:3">
      <c r="A5670" s="68">
        <v>39236</v>
      </c>
      <c r="B5670" s="33">
        <v>1885.8</v>
      </c>
      <c r="C5670">
        <f t="shared" si="118"/>
        <v>2007</v>
      </c>
    </row>
    <row r="5671" spans="1:3">
      <c r="A5671" s="68">
        <v>39237</v>
      </c>
      <c r="B5671" s="32">
        <v>1885.8</v>
      </c>
      <c r="C5671">
        <f t="shared" si="118"/>
        <v>2007</v>
      </c>
    </row>
    <row r="5672" spans="1:3">
      <c r="A5672" s="68">
        <v>39238</v>
      </c>
      <c r="B5672" s="33">
        <v>1882.06</v>
      </c>
      <c r="C5672">
        <f t="shared" si="118"/>
        <v>2007</v>
      </c>
    </row>
    <row r="5673" spans="1:3">
      <c r="A5673" s="68">
        <v>39239</v>
      </c>
      <c r="B5673" s="32">
        <v>1877.88</v>
      </c>
      <c r="C5673">
        <f t="shared" si="118"/>
        <v>2007</v>
      </c>
    </row>
    <row r="5674" spans="1:3">
      <c r="A5674" s="68">
        <v>39240</v>
      </c>
      <c r="B5674" s="33">
        <v>1886.92</v>
      </c>
      <c r="C5674">
        <f t="shared" si="118"/>
        <v>2007</v>
      </c>
    </row>
    <row r="5675" spans="1:3">
      <c r="A5675" s="68">
        <v>39241</v>
      </c>
      <c r="B5675" s="32">
        <v>1900.68</v>
      </c>
      <c r="C5675">
        <f t="shared" si="118"/>
        <v>2007</v>
      </c>
    </row>
    <row r="5676" spans="1:3">
      <c r="A5676" s="68">
        <v>39242</v>
      </c>
      <c r="B5676" s="33">
        <v>1924.54</v>
      </c>
      <c r="C5676">
        <f t="shared" si="118"/>
        <v>2007</v>
      </c>
    </row>
    <row r="5677" spans="1:3">
      <c r="A5677" s="68">
        <v>39243</v>
      </c>
      <c r="B5677" s="32">
        <v>1924.54</v>
      </c>
      <c r="C5677">
        <f t="shared" si="118"/>
        <v>2007</v>
      </c>
    </row>
    <row r="5678" spans="1:3">
      <c r="A5678" s="68">
        <v>39244</v>
      </c>
      <c r="B5678" s="33">
        <v>1924.54</v>
      </c>
      <c r="C5678">
        <f t="shared" si="118"/>
        <v>2007</v>
      </c>
    </row>
    <row r="5679" spans="1:3">
      <c r="A5679" s="68">
        <v>39245</v>
      </c>
      <c r="B5679" s="32">
        <v>1924.54</v>
      </c>
      <c r="C5679">
        <f t="shared" si="118"/>
        <v>2007</v>
      </c>
    </row>
    <row r="5680" spans="1:3">
      <c r="A5680" s="68">
        <v>39246</v>
      </c>
      <c r="B5680" s="33">
        <v>1931.36</v>
      </c>
      <c r="C5680">
        <f t="shared" si="118"/>
        <v>2007</v>
      </c>
    </row>
    <row r="5681" spans="1:3">
      <c r="A5681" s="68">
        <v>39247</v>
      </c>
      <c r="B5681" s="32">
        <v>1947.37</v>
      </c>
      <c r="C5681">
        <f t="shared" si="118"/>
        <v>2007</v>
      </c>
    </row>
    <row r="5682" spans="1:3">
      <c r="A5682" s="68">
        <v>39248</v>
      </c>
      <c r="B5682" s="33">
        <v>1945.09</v>
      </c>
      <c r="C5682">
        <f t="shared" si="118"/>
        <v>2007</v>
      </c>
    </row>
    <row r="5683" spans="1:3">
      <c r="A5683" s="68">
        <v>39249</v>
      </c>
      <c r="B5683" s="32">
        <v>1920.25</v>
      </c>
      <c r="C5683">
        <f t="shared" si="118"/>
        <v>2007</v>
      </c>
    </row>
    <row r="5684" spans="1:3">
      <c r="A5684" s="68">
        <v>39250</v>
      </c>
      <c r="B5684" s="33">
        <v>1920.25</v>
      </c>
      <c r="C5684">
        <f t="shared" si="118"/>
        <v>2007</v>
      </c>
    </row>
    <row r="5685" spans="1:3">
      <c r="A5685" s="68">
        <v>39251</v>
      </c>
      <c r="B5685" s="32">
        <v>1920.25</v>
      </c>
      <c r="C5685">
        <f t="shared" si="118"/>
        <v>2007</v>
      </c>
    </row>
    <row r="5686" spans="1:3">
      <c r="A5686" s="68">
        <v>39252</v>
      </c>
      <c r="B5686" s="33">
        <v>1920.25</v>
      </c>
      <c r="C5686">
        <f t="shared" si="118"/>
        <v>2007</v>
      </c>
    </row>
    <row r="5687" spans="1:3">
      <c r="A5687" s="68">
        <v>39253</v>
      </c>
      <c r="B5687" s="32">
        <v>1896.07</v>
      </c>
      <c r="C5687">
        <f t="shared" si="118"/>
        <v>2007</v>
      </c>
    </row>
    <row r="5688" spans="1:3">
      <c r="A5688" s="68">
        <v>39254</v>
      </c>
      <c r="B5688" s="33">
        <v>1905.13</v>
      </c>
      <c r="C5688">
        <f t="shared" si="118"/>
        <v>2007</v>
      </c>
    </row>
    <row r="5689" spans="1:3">
      <c r="A5689" s="68">
        <v>39255</v>
      </c>
      <c r="B5689" s="32">
        <v>1938.17</v>
      </c>
      <c r="C5689">
        <f t="shared" si="118"/>
        <v>2007</v>
      </c>
    </row>
    <row r="5690" spans="1:3">
      <c r="A5690" s="68">
        <v>39256</v>
      </c>
      <c r="B5690" s="33">
        <v>1944.01</v>
      </c>
      <c r="C5690">
        <f t="shared" si="118"/>
        <v>2007</v>
      </c>
    </row>
    <row r="5691" spans="1:3">
      <c r="A5691" s="68">
        <v>39257</v>
      </c>
      <c r="B5691" s="32">
        <v>1944.01</v>
      </c>
      <c r="C5691">
        <f t="shared" si="118"/>
        <v>2007</v>
      </c>
    </row>
    <row r="5692" spans="1:3">
      <c r="A5692" s="68">
        <v>39258</v>
      </c>
      <c r="B5692" s="33">
        <v>1944.01</v>
      </c>
      <c r="C5692">
        <f t="shared" si="118"/>
        <v>2007</v>
      </c>
    </row>
    <row r="5693" spans="1:3">
      <c r="A5693" s="68">
        <v>39259</v>
      </c>
      <c r="B5693" s="32">
        <v>1960.32</v>
      </c>
      <c r="C5693">
        <f t="shared" si="118"/>
        <v>2007</v>
      </c>
    </row>
    <row r="5694" spans="1:3">
      <c r="A5694" s="68">
        <v>39260</v>
      </c>
      <c r="B5694" s="33">
        <v>1965.31</v>
      </c>
      <c r="C5694">
        <f t="shared" si="118"/>
        <v>2007</v>
      </c>
    </row>
    <row r="5695" spans="1:3">
      <c r="A5695" s="68">
        <v>39261</v>
      </c>
      <c r="B5695" s="32">
        <v>1982.29</v>
      </c>
      <c r="C5695">
        <f t="shared" si="118"/>
        <v>2007</v>
      </c>
    </row>
    <row r="5696" spans="1:3">
      <c r="A5696" s="68">
        <v>39262</v>
      </c>
      <c r="B5696" s="33">
        <v>1958.09</v>
      </c>
      <c r="C5696">
        <f t="shared" si="118"/>
        <v>2007</v>
      </c>
    </row>
    <row r="5697" spans="1:3">
      <c r="A5697" s="68">
        <v>39263</v>
      </c>
      <c r="B5697" s="32">
        <v>1960.61</v>
      </c>
      <c r="C5697">
        <f t="shared" si="118"/>
        <v>2007</v>
      </c>
    </row>
    <row r="5698" spans="1:3">
      <c r="A5698" s="68">
        <v>39264</v>
      </c>
      <c r="B5698" s="33">
        <v>1960.61</v>
      </c>
      <c r="C5698">
        <f t="shared" si="118"/>
        <v>2007</v>
      </c>
    </row>
    <row r="5699" spans="1:3">
      <c r="A5699" s="68">
        <v>39265</v>
      </c>
      <c r="B5699" s="32">
        <v>1960.61</v>
      </c>
      <c r="C5699">
        <f t="shared" si="118"/>
        <v>2007</v>
      </c>
    </row>
    <row r="5700" spans="1:3">
      <c r="A5700" s="68">
        <v>39266</v>
      </c>
      <c r="B5700" s="33">
        <v>1960.61</v>
      </c>
      <c r="C5700">
        <f t="shared" ref="C5700:C5763" si="119">YEAR(A5700)</f>
        <v>2007</v>
      </c>
    </row>
    <row r="5701" spans="1:3">
      <c r="A5701" s="68">
        <v>39267</v>
      </c>
      <c r="B5701" s="32">
        <v>1958.95</v>
      </c>
      <c r="C5701">
        <f t="shared" si="119"/>
        <v>2007</v>
      </c>
    </row>
    <row r="5702" spans="1:3">
      <c r="A5702" s="68">
        <v>39268</v>
      </c>
      <c r="B5702" s="33">
        <v>1958.95</v>
      </c>
      <c r="C5702">
        <f t="shared" si="119"/>
        <v>2007</v>
      </c>
    </row>
    <row r="5703" spans="1:3">
      <c r="A5703" s="68">
        <v>39269</v>
      </c>
      <c r="B5703" s="32">
        <v>1969.36</v>
      </c>
      <c r="C5703">
        <f t="shared" si="119"/>
        <v>2007</v>
      </c>
    </row>
    <row r="5704" spans="1:3">
      <c r="A5704" s="68">
        <v>39270</v>
      </c>
      <c r="B5704" s="33">
        <v>1962.55</v>
      </c>
      <c r="C5704">
        <f t="shared" si="119"/>
        <v>2007</v>
      </c>
    </row>
    <row r="5705" spans="1:3">
      <c r="A5705" s="68">
        <v>39271</v>
      </c>
      <c r="B5705" s="32">
        <v>1962.55</v>
      </c>
      <c r="C5705">
        <f t="shared" si="119"/>
        <v>2007</v>
      </c>
    </row>
    <row r="5706" spans="1:3">
      <c r="A5706" s="68">
        <v>39272</v>
      </c>
      <c r="B5706" s="33">
        <v>1962.55</v>
      </c>
      <c r="C5706">
        <f t="shared" si="119"/>
        <v>2007</v>
      </c>
    </row>
    <row r="5707" spans="1:3">
      <c r="A5707" s="68">
        <v>39273</v>
      </c>
      <c r="B5707" s="32">
        <v>1945.94</v>
      </c>
      <c r="C5707">
        <f t="shared" si="119"/>
        <v>2007</v>
      </c>
    </row>
    <row r="5708" spans="1:3">
      <c r="A5708" s="68">
        <v>39274</v>
      </c>
      <c r="B5708" s="33">
        <v>1960.31</v>
      </c>
      <c r="C5708">
        <f t="shared" si="119"/>
        <v>2007</v>
      </c>
    </row>
    <row r="5709" spans="1:3">
      <c r="A5709" s="68">
        <v>39275</v>
      </c>
      <c r="B5709" s="32">
        <v>1964.82</v>
      </c>
      <c r="C5709">
        <f t="shared" si="119"/>
        <v>2007</v>
      </c>
    </row>
    <row r="5710" spans="1:3">
      <c r="A5710" s="68">
        <v>39276</v>
      </c>
      <c r="B5710" s="33">
        <v>1954.48</v>
      </c>
      <c r="C5710">
        <f t="shared" si="119"/>
        <v>2007</v>
      </c>
    </row>
    <row r="5711" spans="1:3">
      <c r="A5711" s="68">
        <v>39277</v>
      </c>
      <c r="B5711" s="32">
        <v>1956.05</v>
      </c>
      <c r="C5711">
        <f t="shared" si="119"/>
        <v>2007</v>
      </c>
    </row>
    <row r="5712" spans="1:3">
      <c r="A5712" s="68">
        <v>39278</v>
      </c>
      <c r="B5712" s="33">
        <v>1956.05</v>
      </c>
      <c r="C5712">
        <f t="shared" si="119"/>
        <v>2007</v>
      </c>
    </row>
    <row r="5713" spans="1:3">
      <c r="A5713" s="68">
        <v>39279</v>
      </c>
      <c r="B5713" s="32">
        <v>1956.05</v>
      </c>
      <c r="C5713">
        <f t="shared" si="119"/>
        <v>2007</v>
      </c>
    </row>
    <row r="5714" spans="1:3">
      <c r="A5714" s="68">
        <v>39280</v>
      </c>
      <c r="B5714" s="33">
        <v>1942.43</v>
      </c>
      <c r="C5714">
        <f t="shared" si="119"/>
        <v>2007</v>
      </c>
    </row>
    <row r="5715" spans="1:3">
      <c r="A5715" s="68">
        <v>39281</v>
      </c>
      <c r="B5715" s="32">
        <v>1931.04</v>
      </c>
      <c r="C5715">
        <f t="shared" si="119"/>
        <v>2007</v>
      </c>
    </row>
    <row r="5716" spans="1:3">
      <c r="A5716" s="68">
        <v>39282</v>
      </c>
      <c r="B5716" s="33">
        <v>1928.59</v>
      </c>
      <c r="C5716">
        <f t="shared" si="119"/>
        <v>2007</v>
      </c>
    </row>
    <row r="5717" spans="1:3">
      <c r="A5717" s="68">
        <v>39283</v>
      </c>
      <c r="B5717" s="32">
        <v>1921.04</v>
      </c>
      <c r="C5717">
        <f t="shared" si="119"/>
        <v>2007</v>
      </c>
    </row>
    <row r="5718" spans="1:3">
      <c r="A5718" s="68">
        <v>39284</v>
      </c>
      <c r="B5718" s="33">
        <v>1921.04</v>
      </c>
      <c r="C5718">
        <f t="shared" si="119"/>
        <v>2007</v>
      </c>
    </row>
    <row r="5719" spans="1:3">
      <c r="A5719" s="68">
        <v>39285</v>
      </c>
      <c r="B5719" s="32">
        <v>1921.04</v>
      </c>
      <c r="C5719">
        <f t="shared" si="119"/>
        <v>2007</v>
      </c>
    </row>
    <row r="5720" spans="1:3">
      <c r="A5720" s="68">
        <v>39286</v>
      </c>
      <c r="B5720" s="33">
        <v>1921.04</v>
      </c>
      <c r="C5720">
        <f t="shared" si="119"/>
        <v>2007</v>
      </c>
    </row>
    <row r="5721" spans="1:3">
      <c r="A5721" s="68">
        <v>39287</v>
      </c>
      <c r="B5721" s="32">
        <v>1912.9</v>
      </c>
      <c r="C5721">
        <f t="shared" si="119"/>
        <v>2007</v>
      </c>
    </row>
    <row r="5722" spans="1:3">
      <c r="A5722" s="68">
        <v>39288</v>
      </c>
      <c r="B5722" s="33">
        <v>1916.23</v>
      </c>
      <c r="C5722">
        <f t="shared" si="119"/>
        <v>2007</v>
      </c>
    </row>
    <row r="5723" spans="1:3">
      <c r="A5723" s="68">
        <v>39289</v>
      </c>
      <c r="B5723" s="32">
        <v>1935.68</v>
      </c>
      <c r="C5723">
        <f t="shared" si="119"/>
        <v>2007</v>
      </c>
    </row>
    <row r="5724" spans="1:3">
      <c r="A5724" s="68">
        <v>39290</v>
      </c>
      <c r="B5724" s="33">
        <v>1981.58</v>
      </c>
      <c r="C5724">
        <f t="shared" si="119"/>
        <v>2007</v>
      </c>
    </row>
    <row r="5725" spans="1:3">
      <c r="A5725" s="68">
        <v>39291</v>
      </c>
      <c r="B5725" s="32">
        <v>1984.1</v>
      </c>
      <c r="C5725">
        <f t="shared" si="119"/>
        <v>2007</v>
      </c>
    </row>
    <row r="5726" spans="1:3">
      <c r="A5726" s="68">
        <v>39292</v>
      </c>
      <c r="B5726" s="33">
        <v>1984.1</v>
      </c>
      <c r="C5726">
        <f t="shared" si="119"/>
        <v>2007</v>
      </c>
    </row>
    <row r="5727" spans="1:3">
      <c r="A5727" s="68">
        <v>39293</v>
      </c>
      <c r="B5727" s="32">
        <v>1984.1</v>
      </c>
      <c r="C5727">
        <f t="shared" si="119"/>
        <v>2007</v>
      </c>
    </row>
    <row r="5728" spans="1:3">
      <c r="A5728" s="68">
        <v>39294</v>
      </c>
      <c r="B5728" s="33">
        <v>1971.8</v>
      </c>
      <c r="C5728">
        <f t="shared" si="119"/>
        <v>2007</v>
      </c>
    </row>
    <row r="5729" spans="1:3">
      <c r="A5729" s="68">
        <v>39295</v>
      </c>
      <c r="B5729" s="32">
        <v>1958.5</v>
      </c>
      <c r="C5729">
        <f t="shared" si="119"/>
        <v>2007</v>
      </c>
    </row>
    <row r="5730" spans="1:3">
      <c r="A5730" s="68">
        <v>39296</v>
      </c>
      <c r="B5730" s="33">
        <v>1971.2</v>
      </c>
      <c r="C5730">
        <f t="shared" si="119"/>
        <v>2007</v>
      </c>
    </row>
    <row r="5731" spans="1:3">
      <c r="A5731" s="68">
        <v>39297</v>
      </c>
      <c r="B5731" s="32">
        <v>1957.68</v>
      </c>
      <c r="C5731">
        <f t="shared" si="119"/>
        <v>2007</v>
      </c>
    </row>
    <row r="5732" spans="1:3">
      <c r="A5732" s="68">
        <v>39298</v>
      </c>
      <c r="B5732" s="33">
        <v>1963.69</v>
      </c>
      <c r="C5732">
        <f t="shared" si="119"/>
        <v>2007</v>
      </c>
    </row>
    <row r="5733" spans="1:3">
      <c r="A5733" s="68">
        <v>39299</v>
      </c>
      <c r="B5733" s="32">
        <v>1963.69</v>
      </c>
      <c r="C5733">
        <f t="shared" si="119"/>
        <v>2007</v>
      </c>
    </row>
    <row r="5734" spans="1:3">
      <c r="A5734" s="68">
        <v>39300</v>
      </c>
      <c r="B5734" s="33">
        <v>1963.69</v>
      </c>
      <c r="C5734">
        <f t="shared" si="119"/>
        <v>2007</v>
      </c>
    </row>
    <row r="5735" spans="1:3">
      <c r="A5735" s="68">
        <v>39301</v>
      </c>
      <c r="B5735" s="32">
        <v>1976.89</v>
      </c>
      <c r="C5735">
        <f t="shared" si="119"/>
        <v>2007</v>
      </c>
    </row>
    <row r="5736" spans="1:3">
      <c r="A5736" s="68">
        <v>39302</v>
      </c>
      <c r="B5736" s="33">
        <v>1976.89</v>
      </c>
      <c r="C5736">
        <f t="shared" si="119"/>
        <v>2007</v>
      </c>
    </row>
    <row r="5737" spans="1:3">
      <c r="A5737" s="68">
        <v>39303</v>
      </c>
      <c r="B5737" s="32">
        <v>1957.58</v>
      </c>
      <c r="C5737">
        <f t="shared" si="119"/>
        <v>2007</v>
      </c>
    </row>
    <row r="5738" spans="1:3">
      <c r="A5738" s="68">
        <v>39304</v>
      </c>
      <c r="B5738" s="33">
        <v>1981.9</v>
      </c>
      <c r="C5738">
        <f t="shared" si="119"/>
        <v>2007</v>
      </c>
    </row>
    <row r="5739" spans="1:3">
      <c r="A5739" s="68">
        <v>39305</v>
      </c>
      <c r="B5739" s="32">
        <v>2006.79</v>
      </c>
      <c r="C5739">
        <f t="shared" si="119"/>
        <v>2007</v>
      </c>
    </row>
    <row r="5740" spans="1:3">
      <c r="A5740" s="68">
        <v>39306</v>
      </c>
      <c r="B5740" s="33">
        <v>2006.79</v>
      </c>
      <c r="C5740">
        <f t="shared" si="119"/>
        <v>2007</v>
      </c>
    </row>
    <row r="5741" spans="1:3">
      <c r="A5741" s="68">
        <v>39307</v>
      </c>
      <c r="B5741" s="32">
        <v>2006.79</v>
      </c>
      <c r="C5741">
        <f t="shared" si="119"/>
        <v>2007</v>
      </c>
    </row>
    <row r="5742" spans="1:3">
      <c r="A5742" s="68">
        <v>39308</v>
      </c>
      <c r="B5742" s="33">
        <v>1997.38</v>
      </c>
      <c r="C5742">
        <f t="shared" si="119"/>
        <v>2007</v>
      </c>
    </row>
    <row r="5743" spans="1:3">
      <c r="A5743" s="68">
        <v>39309</v>
      </c>
      <c r="B5743" s="32">
        <v>2016.3</v>
      </c>
      <c r="C5743">
        <f t="shared" si="119"/>
        <v>2007</v>
      </c>
    </row>
    <row r="5744" spans="1:3">
      <c r="A5744" s="68">
        <v>39310</v>
      </c>
      <c r="B5744" s="33">
        <v>2048.44</v>
      </c>
      <c r="C5744">
        <f t="shared" si="119"/>
        <v>2007</v>
      </c>
    </row>
    <row r="5745" spans="1:3">
      <c r="A5745" s="68">
        <v>39311</v>
      </c>
      <c r="B5745" s="32">
        <v>2124.4</v>
      </c>
      <c r="C5745">
        <f t="shared" si="119"/>
        <v>2007</v>
      </c>
    </row>
    <row r="5746" spans="1:3">
      <c r="A5746" s="68">
        <v>39312</v>
      </c>
      <c r="B5746" s="33">
        <v>2113.54</v>
      </c>
      <c r="C5746">
        <f t="shared" si="119"/>
        <v>2007</v>
      </c>
    </row>
    <row r="5747" spans="1:3">
      <c r="A5747" s="68">
        <v>39313</v>
      </c>
      <c r="B5747" s="32">
        <v>2113.54</v>
      </c>
      <c r="C5747">
        <f t="shared" si="119"/>
        <v>2007</v>
      </c>
    </row>
    <row r="5748" spans="1:3">
      <c r="A5748" s="68">
        <v>39314</v>
      </c>
      <c r="B5748" s="33">
        <v>2113.54</v>
      </c>
      <c r="C5748">
        <f t="shared" si="119"/>
        <v>2007</v>
      </c>
    </row>
    <row r="5749" spans="1:3">
      <c r="A5749" s="68">
        <v>39315</v>
      </c>
      <c r="B5749" s="32">
        <v>2113.54</v>
      </c>
      <c r="C5749">
        <f t="shared" si="119"/>
        <v>2007</v>
      </c>
    </row>
    <row r="5750" spans="1:3">
      <c r="A5750" s="68">
        <v>39316</v>
      </c>
      <c r="B5750" s="33">
        <v>2154.94</v>
      </c>
      <c r="C5750">
        <f t="shared" si="119"/>
        <v>2007</v>
      </c>
    </row>
    <row r="5751" spans="1:3">
      <c r="A5751" s="68">
        <v>39317</v>
      </c>
      <c r="B5751" s="32">
        <v>2133.04</v>
      </c>
      <c r="C5751">
        <f t="shared" si="119"/>
        <v>2007</v>
      </c>
    </row>
    <row r="5752" spans="1:3">
      <c r="A5752" s="68">
        <v>39318</v>
      </c>
      <c r="B5752" s="33">
        <v>2138.13</v>
      </c>
      <c r="C5752">
        <f t="shared" si="119"/>
        <v>2007</v>
      </c>
    </row>
    <row r="5753" spans="1:3">
      <c r="A5753" s="68">
        <v>39319</v>
      </c>
      <c r="B5753" s="32">
        <v>2128.17</v>
      </c>
      <c r="C5753">
        <f t="shared" si="119"/>
        <v>2007</v>
      </c>
    </row>
    <row r="5754" spans="1:3">
      <c r="A5754" s="68">
        <v>39320</v>
      </c>
      <c r="B5754" s="33">
        <v>2128.17</v>
      </c>
      <c r="C5754">
        <f t="shared" si="119"/>
        <v>2007</v>
      </c>
    </row>
    <row r="5755" spans="1:3">
      <c r="A5755" s="68">
        <v>39321</v>
      </c>
      <c r="B5755" s="32">
        <v>2128.17</v>
      </c>
      <c r="C5755">
        <f t="shared" si="119"/>
        <v>2007</v>
      </c>
    </row>
    <row r="5756" spans="1:3">
      <c r="A5756" s="68">
        <v>39322</v>
      </c>
      <c r="B5756" s="33">
        <v>2114.15</v>
      </c>
      <c r="C5756">
        <f t="shared" si="119"/>
        <v>2007</v>
      </c>
    </row>
    <row r="5757" spans="1:3">
      <c r="A5757" s="68">
        <v>39323</v>
      </c>
      <c r="B5757" s="32">
        <v>2147.34</v>
      </c>
      <c r="C5757">
        <f t="shared" si="119"/>
        <v>2007</v>
      </c>
    </row>
    <row r="5758" spans="1:3">
      <c r="A5758" s="68">
        <v>39324</v>
      </c>
      <c r="B5758" s="33">
        <v>2160.65</v>
      </c>
      <c r="C5758">
        <f t="shared" si="119"/>
        <v>2007</v>
      </c>
    </row>
    <row r="5759" spans="1:3">
      <c r="A5759" s="68">
        <v>39325</v>
      </c>
      <c r="B5759" s="32">
        <v>2173.17</v>
      </c>
      <c r="C5759">
        <f t="shared" si="119"/>
        <v>2007</v>
      </c>
    </row>
    <row r="5760" spans="1:3">
      <c r="A5760" s="68">
        <v>39326</v>
      </c>
      <c r="B5760" s="33">
        <v>2160.9899999999998</v>
      </c>
      <c r="C5760">
        <f t="shared" si="119"/>
        <v>2007</v>
      </c>
    </row>
    <row r="5761" spans="1:3">
      <c r="A5761" s="68">
        <v>39327</v>
      </c>
      <c r="B5761" s="32">
        <v>2160.9899999999998</v>
      </c>
      <c r="C5761">
        <f t="shared" si="119"/>
        <v>2007</v>
      </c>
    </row>
    <row r="5762" spans="1:3">
      <c r="A5762" s="68">
        <v>39328</v>
      </c>
      <c r="B5762" s="33">
        <v>2160.9899999999998</v>
      </c>
      <c r="C5762">
        <f t="shared" si="119"/>
        <v>2007</v>
      </c>
    </row>
    <row r="5763" spans="1:3">
      <c r="A5763" s="68">
        <v>39329</v>
      </c>
      <c r="B5763" s="32">
        <v>2160.9899999999998</v>
      </c>
      <c r="C5763">
        <f t="shared" si="119"/>
        <v>2007</v>
      </c>
    </row>
    <row r="5764" spans="1:3">
      <c r="A5764" s="68">
        <v>39330</v>
      </c>
      <c r="B5764" s="33">
        <v>2161.56</v>
      </c>
      <c r="C5764">
        <f t="shared" ref="C5764:C5827" si="120">YEAR(A5764)</f>
        <v>2007</v>
      </c>
    </row>
    <row r="5765" spans="1:3">
      <c r="A5765" s="68">
        <v>39331</v>
      </c>
      <c r="B5765" s="32">
        <v>2174.56</v>
      </c>
      <c r="C5765">
        <f t="shared" si="120"/>
        <v>2007</v>
      </c>
    </row>
    <row r="5766" spans="1:3">
      <c r="A5766" s="68">
        <v>39332</v>
      </c>
      <c r="B5766" s="33">
        <v>2166.6</v>
      </c>
      <c r="C5766">
        <f t="shared" si="120"/>
        <v>2007</v>
      </c>
    </row>
    <row r="5767" spans="1:3">
      <c r="A5767" s="68">
        <v>39333</v>
      </c>
      <c r="B5767" s="32">
        <v>2191</v>
      </c>
      <c r="C5767">
        <f t="shared" si="120"/>
        <v>2007</v>
      </c>
    </row>
    <row r="5768" spans="1:3">
      <c r="A5768" s="68">
        <v>39334</v>
      </c>
      <c r="B5768" s="33">
        <v>2191</v>
      </c>
      <c r="C5768">
        <f t="shared" si="120"/>
        <v>2007</v>
      </c>
    </row>
    <row r="5769" spans="1:3">
      <c r="A5769" s="68">
        <v>39335</v>
      </c>
      <c r="B5769" s="32">
        <v>2191</v>
      </c>
      <c r="C5769">
        <f t="shared" si="120"/>
        <v>2007</v>
      </c>
    </row>
    <row r="5770" spans="1:3">
      <c r="A5770" s="68">
        <v>39336</v>
      </c>
      <c r="B5770" s="33">
        <v>2194.65</v>
      </c>
      <c r="C5770">
        <f t="shared" si="120"/>
        <v>2007</v>
      </c>
    </row>
    <row r="5771" spans="1:3">
      <c r="A5771" s="68">
        <v>39337</v>
      </c>
      <c r="B5771" s="32">
        <v>2185.89</v>
      </c>
      <c r="C5771">
        <f t="shared" si="120"/>
        <v>2007</v>
      </c>
    </row>
    <row r="5772" spans="1:3">
      <c r="A5772" s="68">
        <v>39338</v>
      </c>
      <c r="B5772" s="33">
        <v>2182.2199999999998</v>
      </c>
      <c r="C5772">
        <f t="shared" si="120"/>
        <v>2007</v>
      </c>
    </row>
    <row r="5773" spans="1:3">
      <c r="A5773" s="68">
        <v>39339</v>
      </c>
      <c r="B5773" s="32">
        <v>2157.75</v>
      </c>
      <c r="C5773">
        <f t="shared" si="120"/>
        <v>2007</v>
      </c>
    </row>
    <row r="5774" spans="1:3">
      <c r="A5774" s="68">
        <v>39340</v>
      </c>
      <c r="B5774" s="33">
        <v>2128.5</v>
      </c>
      <c r="C5774">
        <f t="shared" si="120"/>
        <v>2007</v>
      </c>
    </row>
    <row r="5775" spans="1:3">
      <c r="A5775" s="68">
        <v>39341</v>
      </c>
      <c r="B5775" s="32">
        <v>2128.5</v>
      </c>
      <c r="C5775">
        <f t="shared" si="120"/>
        <v>2007</v>
      </c>
    </row>
    <row r="5776" spans="1:3">
      <c r="A5776" s="68">
        <v>39342</v>
      </c>
      <c r="B5776" s="33">
        <v>2128.5</v>
      </c>
      <c r="C5776">
        <f t="shared" si="120"/>
        <v>2007</v>
      </c>
    </row>
    <row r="5777" spans="1:3">
      <c r="A5777" s="68">
        <v>39343</v>
      </c>
      <c r="B5777" s="32">
        <v>2130.66</v>
      </c>
      <c r="C5777">
        <f t="shared" si="120"/>
        <v>2007</v>
      </c>
    </row>
    <row r="5778" spans="1:3">
      <c r="A5778" s="68">
        <v>39344</v>
      </c>
      <c r="B5778" s="33">
        <v>2124.36</v>
      </c>
      <c r="C5778">
        <f t="shared" si="120"/>
        <v>2007</v>
      </c>
    </row>
    <row r="5779" spans="1:3">
      <c r="A5779" s="68">
        <v>39345</v>
      </c>
      <c r="B5779" s="32">
        <v>2055.2800000000002</v>
      </c>
      <c r="C5779">
        <f t="shared" si="120"/>
        <v>2007</v>
      </c>
    </row>
    <row r="5780" spans="1:3">
      <c r="A5780" s="68">
        <v>39346</v>
      </c>
      <c r="B5780" s="33">
        <v>2042.63</v>
      </c>
      <c r="C5780">
        <f t="shared" si="120"/>
        <v>2007</v>
      </c>
    </row>
    <row r="5781" spans="1:3">
      <c r="A5781" s="68">
        <v>39347</v>
      </c>
      <c r="B5781" s="32">
        <v>2026.33</v>
      </c>
      <c r="C5781">
        <f t="shared" si="120"/>
        <v>2007</v>
      </c>
    </row>
    <row r="5782" spans="1:3">
      <c r="A5782" s="68">
        <v>39348</v>
      </c>
      <c r="B5782" s="33">
        <v>2026.33</v>
      </c>
      <c r="C5782">
        <f t="shared" si="120"/>
        <v>2007</v>
      </c>
    </row>
    <row r="5783" spans="1:3">
      <c r="A5783" s="68">
        <v>39349</v>
      </c>
      <c r="B5783" s="32">
        <v>2026.33</v>
      </c>
      <c r="C5783">
        <f t="shared" si="120"/>
        <v>2007</v>
      </c>
    </row>
    <row r="5784" spans="1:3">
      <c r="A5784" s="68">
        <v>39350</v>
      </c>
      <c r="B5784" s="33">
        <v>2028.95</v>
      </c>
      <c r="C5784">
        <f t="shared" si="120"/>
        <v>2007</v>
      </c>
    </row>
    <row r="5785" spans="1:3">
      <c r="A5785" s="68">
        <v>39351</v>
      </c>
      <c r="B5785" s="32">
        <v>2045.51</v>
      </c>
      <c r="C5785">
        <f t="shared" si="120"/>
        <v>2007</v>
      </c>
    </row>
    <row r="5786" spans="1:3">
      <c r="A5786" s="68">
        <v>39352</v>
      </c>
      <c r="B5786" s="33">
        <v>2009.46</v>
      </c>
      <c r="C5786">
        <f t="shared" si="120"/>
        <v>2007</v>
      </c>
    </row>
    <row r="5787" spans="1:3">
      <c r="A5787" s="68">
        <v>39353</v>
      </c>
      <c r="B5787" s="32">
        <v>2013.18</v>
      </c>
      <c r="C5787">
        <f t="shared" si="120"/>
        <v>2007</v>
      </c>
    </row>
    <row r="5788" spans="1:3">
      <c r="A5788" s="68">
        <v>39354</v>
      </c>
      <c r="B5788" s="33">
        <v>2023.19</v>
      </c>
      <c r="C5788">
        <f t="shared" si="120"/>
        <v>2007</v>
      </c>
    </row>
    <row r="5789" spans="1:3">
      <c r="A5789" s="68">
        <v>39355</v>
      </c>
      <c r="B5789" s="32">
        <v>2023.19</v>
      </c>
      <c r="C5789">
        <f t="shared" si="120"/>
        <v>2007</v>
      </c>
    </row>
    <row r="5790" spans="1:3">
      <c r="A5790" s="68">
        <v>39356</v>
      </c>
      <c r="B5790" s="33">
        <v>2023.19</v>
      </c>
      <c r="C5790">
        <f t="shared" si="120"/>
        <v>2007</v>
      </c>
    </row>
    <row r="5791" spans="1:3">
      <c r="A5791" s="68">
        <v>39357</v>
      </c>
      <c r="B5791" s="32">
        <v>2015.75</v>
      </c>
      <c r="C5791">
        <f t="shared" si="120"/>
        <v>2007</v>
      </c>
    </row>
    <row r="5792" spans="1:3">
      <c r="A5792" s="68">
        <v>39358</v>
      </c>
      <c r="B5792" s="33">
        <v>2013.39</v>
      </c>
      <c r="C5792">
        <f t="shared" si="120"/>
        <v>2007</v>
      </c>
    </row>
    <row r="5793" spans="1:3">
      <c r="A5793" s="68">
        <v>39359</v>
      </c>
      <c r="B5793" s="32">
        <v>2017.69</v>
      </c>
      <c r="C5793">
        <f t="shared" si="120"/>
        <v>2007</v>
      </c>
    </row>
    <row r="5794" spans="1:3">
      <c r="A5794" s="68">
        <v>39360</v>
      </c>
      <c r="B5794" s="33">
        <v>2018.45</v>
      </c>
      <c r="C5794">
        <f t="shared" si="120"/>
        <v>2007</v>
      </c>
    </row>
    <row r="5795" spans="1:3">
      <c r="A5795" s="68">
        <v>39361</v>
      </c>
      <c r="B5795" s="32">
        <v>1999.95</v>
      </c>
      <c r="C5795">
        <f t="shared" si="120"/>
        <v>2007</v>
      </c>
    </row>
    <row r="5796" spans="1:3">
      <c r="A5796" s="68">
        <v>39362</v>
      </c>
      <c r="B5796" s="33">
        <v>1999.95</v>
      </c>
      <c r="C5796">
        <f t="shared" si="120"/>
        <v>2007</v>
      </c>
    </row>
    <row r="5797" spans="1:3">
      <c r="A5797" s="68">
        <v>39363</v>
      </c>
      <c r="B5797" s="32">
        <v>1999.95</v>
      </c>
      <c r="C5797">
        <f t="shared" si="120"/>
        <v>2007</v>
      </c>
    </row>
    <row r="5798" spans="1:3">
      <c r="A5798" s="68">
        <v>39364</v>
      </c>
      <c r="B5798" s="33">
        <v>1999.95</v>
      </c>
      <c r="C5798">
        <f t="shared" si="120"/>
        <v>2007</v>
      </c>
    </row>
    <row r="5799" spans="1:3">
      <c r="A5799" s="68">
        <v>39365</v>
      </c>
      <c r="B5799" s="32">
        <v>1968.13</v>
      </c>
      <c r="C5799">
        <f t="shared" si="120"/>
        <v>2007</v>
      </c>
    </row>
    <row r="5800" spans="1:3">
      <c r="A5800" s="68">
        <v>39366</v>
      </c>
      <c r="B5800" s="33">
        <v>1972.81</v>
      </c>
      <c r="C5800">
        <f t="shared" si="120"/>
        <v>2007</v>
      </c>
    </row>
    <row r="5801" spans="1:3">
      <c r="A5801" s="68">
        <v>39367</v>
      </c>
      <c r="B5801" s="32">
        <v>1963.03</v>
      </c>
      <c r="C5801">
        <f t="shared" si="120"/>
        <v>2007</v>
      </c>
    </row>
    <row r="5802" spans="1:3">
      <c r="A5802" s="68">
        <v>39368</v>
      </c>
      <c r="B5802" s="33">
        <v>1978.97</v>
      </c>
      <c r="C5802">
        <f t="shared" si="120"/>
        <v>2007</v>
      </c>
    </row>
    <row r="5803" spans="1:3">
      <c r="A5803" s="68">
        <v>39369</v>
      </c>
      <c r="B5803" s="32">
        <v>1978.97</v>
      </c>
      <c r="C5803">
        <f t="shared" si="120"/>
        <v>2007</v>
      </c>
    </row>
    <row r="5804" spans="1:3">
      <c r="A5804" s="68">
        <v>39370</v>
      </c>
      <c r="B5804" s="33">
        <v>1978.97</v>
      </c>
      <c r="C5804">
        <f t="shared" si="120"/>
        <v>2007</v>
      </c>
    </row>
    <row r="5805" spans="1:3">
      <c r="A5805" s="68">
        <v>39371</v>
      </c>
      <c r="B5805" s="32">
        <v>1978.97</v>
      </c>
      <c r="C5805">
        <f t="shared" si="120"/>
        <v>2007</v>
      </c>
    </row>
    <row r="5806" spans="1:3">
      <c r="A5806" s="68">
        <v>39372</v>
      </c>
      <c r="B5806" s="33">
        <v>2004.58</v>
      </c>
      <c r="C5806">
        <f t="shared" si="120"/>
        <v>2007</v>
      </c>
    </row>
    <row r="5807" spans="1:3">
      <c r="A5807" s="68">
        <v>39373</v>
      </c>
      <c r="B5807" s="32">
        <v>1994.06</v>
      </c>
      <c r="C5807">
        <f t="shared" si="120"/>
        <v>2007</v>
      </c>
    </row>
    <row r="5808" spans="1:3">
      <c r="A5808" s="68">
        <v>39374</v>
      </c>
      <c r="B5808" s="33">
        <v>2018.55</v>
      </c>
      <c r="C5808">
        <f t="shared" si="120"/>
        <v>2007</v>
      </c>
    </row>
    <row r="5809" spans="1:3">
      <c r="A5809" s="68">
        <v>39375</v>
      </c>
      <c r="B5809" s="32">
        <v>2007.24</v>
      </c>
      <c r="C5809">
        <f t="shared" si="120"/>
        <v>2007</v>
      </c>
    </row>
    <row r="5810" spans="1:3">
      <c r="A5810" s="68">
        <v>39376</v>
      </c>
      <c r="B5810" s="33">
        <v>2007.24</v>
      </c>
      <c r="C5810">
        <f t="shared" si="120"/>
        <v>2007</v>
      </c>
    </row>
    <row r="5811" spans="1:3">
      <c r="A5811" s="68">
        <v>39377</v>
      </c>
      <c r="B5811" s="32">
        <v>2007.24</v>
      </c>
      <c r="C5811">
        <f t="shared" si="120"/>
        <v>2007</v>
      </c>
    </row>
    <row r="5812" spans="1:3">
      <c r="A5812" s="68">
        <v>39378</v>
      </c>
      <c r="B5812" s="33">
        <v>2022.76</v>
      </c>
      <c r="C5812">
        <f t="shared" si="120"/>
        <v>2007</v>
      </c>
    </row>
    <row r="5813" spans="1:3">
      <c r="A5813" s="68">
        <v>39379</v>
      </c>
      <c r="B5813" s="32">
        <v>2006.67</v>
      </c>
      <c r="C5813">
        <f t="shared" si="120"/>
        <v>2007</v>
      </c>
    </row>
    <row r="5814" spans="1:3">
      <c r="A5814" s="68">
        <v>39380</v>
      </c>
      <c r="B5814" s="33">
        <v>2025.7</v>
      </c>
      <c r="C5814">
        <f t="shared" si="120"/>
        <v>2007</v>
      </c>
    </row>
    <row r="5815" spans="1:3">
      <c r="A5815" s="68">
        <v>39381</v>
      </c>
      <c r="B5815" s="32">
        <v>2020.29</v>
      </c>
      <c r="C5815">
        <f t="shared" si="120"/>
        <v>2007</v>
      </c>
    </row>
    <row r="5816" spans="1:3">
      <c r="A5816" s="68">
        <v>39382</v>
      </c>
      <c r="B5816" s="33">
        <v>2005.28</v>
      </c>
      <c r="C5816">
        <f t="shared" si="120"/>
        <v>2007</v>
      </c>
    </row>
    <row r="5817" spans="1:3">
      <c r="A5817" s="68">
        <v>39383</v>
      </c>
      <c r="B5817" s="32">
        <v>2005.28</v>
      </c>
      <c r="C5817">
        <f t="shared" si="120"/>
        <v>2007</v>
      </c>
    </row>
    <row r="5818" spans="1:3">
      <c r="A5818" s="68">
        <v>39384</v>
      </c>
      <c r="B5818" s="33">
        <v>2005.28</v>
      </c>
      <c r="C5818">
        <f t="shared" si="120"/>
        <v>2007</v>
      </c>
    </row>
    <row r="5819" spans="1:3">
      <c r="A5819" s="68">
        <v>39385</v>
      </c>
      <c r="B5819" s="32">
        <v>1995.94</v>
      </c>
      <c r="C5819">
        <f t="shared" si="120"/>
        <v>2007</v>
      </c>
    </row>
    <row r="5820" spans="1:3">
      <c r="A5820" s="68">
        <v>39386</v>
      </c>
      <c r="B5820" s="33">
        <v>1999.44</v>
      </c>
      <c r="C5820">
        <f t="shared" si="120"/>
        <v>2007</v>
      </c>
    </row>
    <row r="5821" spans="1:3">
      <c r="A5821" s="68">
        <v>39387</v>
      </c>
      <c r="B5821" s="32">
        <v>1987.69</v>
      </c>
      <c r="C5821">
        <f t="shared" si="120"/>
        <v>2007</v>
      </c>
    </row>
    <row r="5822" spans="1:3">
      <c r="A5822" s="68">
        <v>39388</v>
      </c>
      <c r="B5822" s="33">
        <v>2008.11</v>
      </c>
      <c r="C5822">
        <f t="shared" si="120"/>
        <v>2007</v>
      </c>
    </row>
    <row r="5823" spans="1:3">
      <c r="A5823" s="68">
        <v>39389</v>
      </c>
      <c r="B5823" s="32">
        <v>2014.12</v>
      </c>
      <c r="C5823">
        <f t="shared" si="120"/>
        <v>2007</v>
      </c>
    </row>
    <row r="5824" spans="1:3">
      <c r="A5824" s="68">
        <v>39390</v>
      </c>
      <c r="B5824" s="33">
        <v>2014.12</v>
      </c>
      <c r="C5824">
        <f t="shared" si="120"/>
        <v>2007</v>
      </c>
    </row>
    <row r="5825" spans="1:3">
      <c r="A5825" s="68">
        <v>39391</v>
      </c>
      <c r="B5825" s="32">
        <v>2014.12</v>
      </c>
      <c r="C5825">
        <f t="shared" si="120"/>
        <v>2007</v>
      </c>
    </row>
    <row r="5826" spans="1:3">
      <c r="A5826" s="68">
        <v>39392</v>
      </c>
      <c r="B5826" s="33">
        <v>2014.12</v>
      </c>
      <c r="C5826">
        <f t="shared" si="120"/>
        <v>2007</v>
      </c>
    </row>
    <row r="5827" spans="1:3">
      <c r="A5827" s="68">
        <v>39393</v>
      </c>
      <c r="B5827" s="32">
        <v>2012.89</v>
      </c>
      <c r="C5827">
        <f t="shared" si="120"/>
        <v>2007</v>
      </c>
    </row>
    <row r="5828" spans="1:3">
      <c r="A5828" s="68">
        <v>39394</v>
      </c>
      <c r="B5828" s="33">
        <v>2023.99</v>
      </c>
      <c r="C5828">
        <f t="shared" ref="C5828:C5891" si="121">YEAR(A5828)</f>
        <v>2007</v>
      </c>
    </row>
    <row r="5829" spans="1:3">
      <c r="A5829" s="68">
        <v>39395</v>
      </c>
      <c r="B5829" s="32">
        <v>2033.94</v>
      </c>
      <c r="C5829">
        <f t="shared" si="121"/>
        <v>2007</v>
      </c>
    </row>
    <row r="5830" spans="1:3">
      <c r="A5830" s="68">
        <v>39396</v>
      </c>
      <c r="B5830" s="33">
        <v>2045.59</v>
      </c>
      <c r="C5830">
        <f t="shared" si="121"/>
        <v>2007</v>
      </c>
    </row>
    <row r="5831" spans="1:3">
      <c r="A5831" s="68">
        <v>39397</v>
      </c>
      <c r="B5831" s="32">
        <v>2045.59</v>
      </c>
      <c r="C5831">
        <f t="shared" si="121"/>
        <v>2007</v>
      </c>
    </row>
    <row r="5832" spans="1:3">
      <c r="A5832" s="68">
        <v>39398</v>
      </c>
      <c r="B5832" s="33">
        <v>2045.59</v>
      </c>
      <c r="C5832">
        <f t="shared" si="121"/>
        <v>2007</v>
      </c>
    </row>
    <row r="5833" spans="1:3">
      <c r="A5833" s="68">
        <v>39399</v>
      </c>
      <c r="B5833" s="32">
        <v>2045.59</v>
      </c>
      <c r="C5833">
        <f t="shared" si="121"/>
        <v>2007</v>
      </c>
    </row>
    <row r="5834" spans="1:3">
      <c r="A5834" s="68">
        <v>39400</v>
      </c>
      <c r="B5834" s="33">
        <v>2051.88</v>
      </c>
      <c r="C5834">
        <f t="shared" si="121"/>
        <v>2007</v>
      </c>
    </row>
    <row r="5835" spans="1:3">
      <c r="A5835" s="68">
        <v>39401</v>
      </c>
      <c r="B5835" s="32">
        <v>2032.04</v>
      </c>
      <c r="C5835">
        <f t="shared" si="121"/>
        <v>2007</v>
      </c>
    </row>
    <row r="5836" spans="1:3">
      <c r="A5836" s="68">
        <v>39402</v>
      </c>
      <c r="B5836" s="33">
        <v>2044.7</v>
      </c>
      <c r="C5836">
        <f t="shared" si="121"/>
        <v>2007</v>
      </c>
    </row>
    <row r="5837" spans="1:3">
      <c r="A5837" s="68">
        <v>39403</v>
      </c>
      <c r="B5837" s="32">
        <v>2040.35</v>
      </c>
      <c r="C5837">
        <f t="shared" si="121"/>
        <v>2007</v>
      </c>
    </row>
    <row r="5838" spans="1:3">
      <c r="A5838" s="68">
        <v>39404</v>
      </c>
      <c r="B5838" s="33">
        <v>2040.35</v>
      </c>
      <c r="C5838">
        <f t="shared" si="121"/>
        <v>2007</v>
      </c>
    </row>
    <row r="5839" spans="1:3">
      <c r="A5839" s="68">
        <v>39405</v>
      </c>
      <c r="B5839" s="32">
        <v>2040.35</v>
      </c>
      <c r="C5839">
        <f t="shared" si="121"/>
        <v>2007</v>
      </c>
    </row>
    <row r="5840" spans="1:3">
      <c r="A5840" s="68">
        <v>39406</v>
      </c>
      <c r="B5840" s="33">
        <v>2054.3000000000002</v>
      </c>
      <c r="C5840">
        <f t="shared" si="121"/>
        <v>2007</v>
      </c>
    </row>
    <row r="5841" spans="1:3">
      <c r="A5841" s="68">
        <v>39407</v>
      </c>
      <c r="B5841" s="32">
        <v>2056.2800000000002</v>
      </c>
      <c r="C5841">
        <f t="shared" si="121"/>
        <v>2007</v>
      </c>
    </row>
    <row r="5842" spans="1:3">
      <c r="A5842" s="68">
        <v>39408</v>
      </c>
      <c r="B5842" s="33">
        <v>2074.6</v>
      </c>
      <c r="C5842">
        <f t="shared" si="121"/>
        <v>2007</v>
      </c>
    </row>
    <row r="5843" spans="1:3">
      <c r="A5843" s="68">
        <v>39409</v>
      </c>
      <c r="B5843" s="32">
        <v>2074.6</v>
      </c>
      <c r="C5843">
        <f t="shared" si="121"/>
        <v>2007</v>
      </c>
    </row>
    <row r="5844" spans="1:3">
      <c r="A5844" s="68">
        <v>39410</v>
      </c>
      <c r="B5844" s="33">
        <v>2088.2399999999998</v>
      </c>
      <c r="C5844">
        <f t="shared" si="121"/>
        <v>2007</v>
      </c>
    </row>
    <row r="5845" spans="1:3">
      <c r="A5845" s="68">
        <v>39411</v>
      </c>
      <c r="B5845" s="32">
        <v>2088.2399999999998</v>
      </c>
      <c r="C5845">
        <f t="shared" si="121"/>
        <v>2007</v>
      </c>
    </row>
    <row r="5846" spans="1:3">
      <c r="A5846" s="68">
        <v>39412</v>
      </c>
      <c r="B5846" s="33">
        <v>2088.2399999999998</v>
      </c>
      <c r="C5846">
        <f t="shared" si="121"/>
        <v>2007</v>
      </c>
    </row>
    <row r="5847" spans="1:3">
      <c r="A5847" s="68">
        <v>39413</v>
      </c>
      <c r="B5847" s="32">
        <v>2089.11</v>
      </c>
      <c r="C5847">
        <f t="shared" si="121"/>
        <v>2007</v>
      </c>
    </row>
    <row r="5848" spans="1:3">
      <c r="A5848" s="68">
        <v>39414</v>
      </c>
      <c r="B5848" s="33">
        <v>2094.7399999999998</v>
      </c>
      <c r="C5848">
        <f t="shared" si="121"/>
        <v>2007</v>
      </c>
    </row>
    <row r="5849" spans="1:3">
      <c r="A5849" s="68">
        <v>39415</v>
      </c>
      <c r="B5849" s="32">
        <v>2066.81</v>
      </c>
      <c r="C5849">
        <f t="shared" si="121"/>
        <v>2007</v>
      </c>
    </row>
    <row r="5850" spans="1:3">
      <c r="A5850" s="68">
        <v>39416</v>
      </c>
      <c r="B5850" s="33">
        <v>2060.42</v>
      </c>
      <c r="C5850">
        <f t="shared" si="121"/>
        <v>2007</v>
      </c>
    </row>
    <row r="5851" spans="1:3">
      <c r="A5851" s="68">
        <v>39417</v>
      </c>
      <c r="B5851" s="32">
        <v>2043.11</v>
      </c>
      <c r="C5851">
        <f t="shared" si="121"/>
        <v>2007</v>
      </c>
    </row>
    <row r="5852" spans="1:3">
      <c r="A5852" s="68">
        <v>39418</v>
      </c>
      <c r="B5852" s="33">
        <v>2043.11</v>
      </c>
      <c r="C5852">
        <f t="shared" si="121"/>
        <v>2007</v>
      </c>
    </row>
    <row r="5853" spans="1:3">
      <c r="A5853" s="68">
        <v>39419</v>
      </c>
      <c r="B5853" s="32">
        <v>2043.11</v>
      </c>
      <c r="C5853">
        <f t="shared" si="121"/>
        <v>2007</v>
      </c>
    </row>
    <row r="5854" spans="1:3">
      <c r="A5854" s="68">
        <v>39420</v>
      </c>
      <c r="B5854" s="33">
        <v>2052.1799999999998</v>
      </c>
      <c r="C5854">
        <f t="shared" si="121"/>
        <v>2007</v>
      </c>
    </row>
    <row r="5855" spans="1:3">
      <c r="A5855" s="68">
        <v>39421</v>
      </c>
      <c r="B5855" s="32">
        <v>2057.4</v>
      </c>
      <c r="C5855">
        <f t="shared" si="121"/>
        <v>2007</v>
      </c>
    </row>
    <row r="5856" spans="1:3">
      <c r="A5856" s="68">
        <v>39422</v>
      </c>
      <c r="B5856" s="33">
        <v>2036.6</v>
      </c>
      <c r="C5856">
        <f t="shared" si="121"/>
        <v>2007</v>
      </c>
    </row>
    <row r="5857" spans="1:3">
      <c r="A5857" s="68">
        <v>39423</v>
      </c>
      <c r="B5857" s="32">
        <v>2023.18</v>
      </c>
      <c r="C5857">
        <f t="shared" si="121"/>
        <v>2007</v>
      </c>
    </row>
    <row r="5858" spans="1:3">
      <c r="A5858" s="68">
        <v>39424</v>
      </c>
      <c r="B5858" s="33">
        <v>2016.77</v>
      </c>
      <c r="C5858">
        <f t="shared" si="121"/>
        <v>2007</v>
      </c>
    </row>
    <row r="5859" spans="1:3">
      <c r="A5859" s="68">
        <v>39425</v>
      </c>
      <c r="B5859" s="32">
        <v>2016.77</v>
      </c>
      <c r="C5859">
        <f t="shared" si="121"/>
        <v>2007</v>
      </c>
    </row>
    <row r="5860" spans="1:3">
      <c r="A5860" s="68">
        <v>39426</v>
      </c>
      <c r="B5860" s="33">
        <v>2016.77</v>
      </c>
      <c r="C5860">
        <f t="shared" si="121"/>
        <v>2007</v>
      </c>
    </row>
    <row r="5861" spans="1:3">
      <c r="A5861" s="68">
        <v>39427</v>
      </c>
      <c r="B5861" s="32">
        <v>2009.83</v>
      </c>
      <c r="C5861">
        <f t="shared" si="121"/>
        <v>2007</v>
      </c>
    </row>
    <row r="5862" spans="1:3">
      <c r="A5862" s="68">
        <v>39428</v>
      </c>
      <c r="B5862" s="33">
        <v>2005.82</v>
      </c>
      <c r="C5862">
        <f t="shared" si="121"/>
        <v>2007</v>
      </c>
    </row>
    <row r="5863" spans="1:3">
      <c r="A5863" s="68">
        <v>39429</v>
      </c>
      <c r="B5863" s="32">
        <v>2003.9</v>
      </c>
      <c r="C5863">
        <f t="shared" si="121"/>
        <v>2007</v>
      </c>
    </row>
    <row r="5864" spans="1:3">
      <c r="A5864" s="68">
        <v>39430</v>
      </c>
      <c r="B5864" s="33">
        <v>2017.36</v>
      </c>
      <c r="C5864">
        <f t="shared" si="121"/>
        <v>2007</v>
      </c>
    </row>
    <row r="5865" spans="1:3">
      <c r="A5865" s="68">
        <v>39431</v>
      </c>
      <c r="B5865" s="32">
        <v>2009.85</v>
      </c>
      <c r="C5865">
        <f t="shared" si="121"/>
        <v>2007</v>
      </c>
    </row>
    <row r="5866" spans="1:3">
      <c r="A5866" s="68">
        <v>39432</v>
      </c>
      <c r="B5866" s="33">
        <v>2009.85</v>
      </c>
      <c r="C5866">
        <f t="shared" si="121"/>
        <v>2007</v>
      </c>
    </row>
    <row r="5867" spans="1:3">
      <c r="A5867" s="68">
        <v>39433</v>
      </c>
      <c r="B5867" s="32">
        <v>2009.85</v>
      </c>
      <c r="C5867">
        <f t="shared" si="121"/>
        <v>2007</v>
      </c>
    </row>
    <row r="5868" spans="1:3">
      <c r="A5868" s="68">
        <v>39434</v>
      </c>
      <c r="B5868" s="33">
        <v>2006.48</v>
      </c>
      <c r="C5868">
        <f t="shared" si="121"/>
        <v>2007</v>
      </c>
    </row>
    <row r="5869" spans="1:3">
      <c r="A5869" s="68">
        <v>39435</v>
      </c>
      <c r="B5869" s="32">
        <v>2007.98</v>
      </c>
      <c r="C5869">
        <f t="shared" si="121"/>
        <v>2007</v>
      </c>
    </row>
    <row r="5870" spans="1:3">
      <c r="A5870" s="68">
        <v>39436</v>
      </c>
      <c r="B5870" s="33">
        <v>2005.92</v>
      </c>
      <c r="C5870">
        <f t="shared" si="121"/>
        <v>2007</v>
      </c>
    </row>
    <row r="5871" spans="1:3">
      <c r="A5871" s="68">
        <v>39437</v>
      </c>
      <c r="B5871" s="32">
        <v>2000.58</v>
      </c>
      <c r="C5871">
        <f t="shared" si="121"/>
        <v>2007</v>
      </c>
    </row>
    <row r="5872" spans="1:3">
      <c r="A5872" s="68">
        <v>39438</v>
      </c>
      <c r="B5872" s="33">
        <v>1993.08</v>
      </c>
      <c r="C5872">
        <f t="shared" si="121"/>
        <v>2007</v>
      </c>
    </row>
    <row r="5873" spans="1:3">
      <c r="A5873" s="68">
        <v>39439</v>
      </c>
      <c r="B5873" s="32">
        <v>1993.08</v>
      </c>
      <c r="C5873">
        <f t="shared" si="121"/>
        <v>2007</v>
      </c>
    </row>
    <row r="5874" spans="1:3">
      <c r="A5874" s="68">
        <v>39440</v>
      </c>
      <c r="B5874" s="33">
        <v>1993.08</v>
      </c>
      <c r="C5874">
        <f t="shared" si="121"/>
        <v>2007</v>
      </c>
    </row>
    <row r="5875" spans="1:3">
      <c r="A5875" s="68">
        <v>39441</v>
      </c>
      <c r="B5875" s="32">
        <v>1989.7</v>
      </c>
      <c r="C5875">
        <f t="shared" si="121"/>
        <v>2007</v>
      </c>
    </row>
    <row r="5876" spans="1:3">
      <c r="A5876" s="68">
        <v>39442</v>
      </c>
      <c r="B5876" s="33">
        <v>1989.7</v>
      </c>
      <c r="C5876">
        <f t="shared" si="121"/>
        <v>2007</v>
      </c>
    </row>
    <row r="5877" spans="1:3">
      <c r="A5877" s="68">
        <v>39443</v>
      </c>
      <c r="B5877" s="32">
        <v>1987.81</v>
      </c>
      <c r="C5877">
        <f t="shared" si="121"/>
        <v>2007</v>
      </c>
    </row>
    <row r="5878" spans="1:3">
      <c r="A5878" s="68">
        <v>39444</v>
      </c>
      <c r="B5878" s="33">
        <v>2001.72</v>
      </c>
      <c r="C5878">
        <f t="shared" si="121"/>
        <v>2007</v>
      </c>
    </row>
    <row r="5879" spans="1:3">
      <c r="A5879" s="68">
        <v>39445</v>
      </c>
      <c r="B5879" s="32">
        <v>2014.76</v>
      </c>
      <c r="C5879">
        <f t="shared" si="121"/>
        <v>2007</v>
      </c>
    </row>
    <row r="5880" spans="1:3">
      <c r="A5880" s="68">
        <v>39446</v>
      </c>
      <c r="B5880" s="33">
        <v>2014.76</v>
      </c>
      <c r="C5880">
        <f t="shared" si="121"/>
        <v>2007</v>
      </c>
    </row>
    <row r="5881" spans="1:3">
      <c r="A5881" s="68">
        <v>39447</v>
      </c>
      <c r="B5881" s="32">
        <v>2014.76</v>
      </c>
      <c r="C5881">
        <f t="shared" si="121"/>
        <v>2007</v>
      </c>
    </row>
    <row r="5882" spans="1:3">
      <c r="A5882" s="68">
        <v>39448</v>
      </c>
      <c r="B5882" s="33">
        <v>2014.76</v>
      </c>
      <c r="C5882">
        <f t="shared" si="121"/>
        <v>2008</v>
      </c>
    </row>
    <row r="5883" spans="1:3">
      <c r="A5883" s="68">
        <v>39449</v>
      </c>
      <c r="B5883" s="32">
        <v>2014.76</v>
      </c>
      <c r="C5883">
        <f t="shared" si="121"/>
        <v>2008</v>
      </c>
    </row>
    <row r="5884" spans="1:3">
      <c r="A5884" s="68">
        <v>39450</v>
      </c>
      <c r="B5884" s="33">
        <v>2012.82</v>
      </c>
      <c r="C5884">
        <f t="shared" si="121"/>
        <v>2008</v>
      </c>
    </row>
    <row r="5885" spans="1:3">
      <c r="A5885" s="68">
        <v>39451</v>
      </c>
      <c r="B5885" s="32">
        <v>2013.27</v>
      </c>
      <c r="C5885">
        <f t="shared" si="121"/>
        <v>2008</v>
      </c>
    </row>
    <row r="5886" spans="1:3">
      <c r="A5886" s="68">
        <v>39452</v>
      </c>
      <c r="B5886" s="33">
        <v>2013.98</v>
      </c>
      <c r="C5886">
        <f t="shared" si="121"/>
        <v>2008</v>
      </c>
    </row>
    <row r="5887" spans="1:3">
      <c r="A5887" s="68">
        <v>39453</v>
      </c>
      <c r="B5887" s="32">
        <v>2013.98</v>
      </c>
      <c r="C5887">
        <f t="shared" si="121"/>
        <v>2008</v>
      </c>
    </row>
    <row r="5888" spans="1:3">
      <c r="A5888" s="68">
        <v>39454</v>
      </c>
      <c r="B5888" s="33">
        <v>2013.98</v>
      </c>
      <c r="C5888">
        <f t="shared" si="121"/>
        <v>2008</v>
      </c>
    </row>
    <row r="5889" spans="1:3">
      <c r="A5889" s="68">
        <v>39455</v>
      </c>
      <c r="B5889" s="32">
        <v>2013.98</v>
      </c>
      <c r="C5889">
        <f t="shared" si="121"/>
        <v>2008</v>
      </c>
    </row>
    <row r="5890" spans="1:3">
      <c r="A5890" s="68">
        <v>39456</v>
      </c>
      <c r="B5890" s="33">
        <v>2000.91</v>
      </c>
      <c r="C5890">
        <f t="shared" si="121"/>
        <v>2008</v>
      </c>
    </row>
    <row r="5891" spans="1:3">
      <c r="A5891" s="68">
        <v>39457</v>
      </c>
      <c r="B5891" s="32">
        <v>2004.7</v>
      </c>
      <c r="C5891">
        <f t="shared" si="121"/>
        <v>2008</v>
      </c>
    </row>
    <row r="5892" spans="1:3">
      <c r="A5892" s="68">
        <v>39458</v>
      </c>
      <c r="B5892" s="33">
        <v>2003.74</v>
      </c>
      <c r="C5892">
        <f t="shared" ref="C5892:C5955" si="122">YEAR(A5892)</f>
        <v>2008</v>
      </c>
    </row>
    <row r="5893" spans="1:3">
      <c r="A5893" s="68">
        <v>39459</v>
      </c>
      <c r="B5893" s="32">
        <v>1985.35</v>
      </c>
      <c r="C5893">
        <f t="shared" si="122"/>
        <v>2008</v>
      </c>
    </row>
    <row r="5894" spans="1:3">
      <c r="A5894" s="68">
        <v>39460</v>
      </c>
      <c r="B5894" s="33">
        <v>1985.35</v>
      </c>
      <c r="C5894">
        <f t="shared" si="122"/>
        <v>2008</v>
      </c>
    </row>
    <row r="5895" spans="1:3">
      <c r="A5895" s="68">
        <v>39461</v>
      </c>
      <c r="B5895" s="32">
        <v>1985.35</v>
      </c>
      <c r="C5895">
        <f t="shared" si="122"/>
        <v>2008</v>
      </c>
    </row>
    <row r="5896" spans="1:3">
      <c r="A5896" s="68">
        <v>39462</v>
      </c>
      <c r="B5896" s="33">
        <v>1949.43</v>
      </c>
      <c r="C5896">
        <f t="shared" si="122"/>
        <v>2008</v>
      </c>
    </row>
    <row r="5897" spans="1:3">
      <c r="A5897" s="68">
        <v>39463</v>
      </c>
      <c r="B5897" s="32">
        <v>1948.91</v>
      </c>
      <c r="C5897">
        <f t="shared" si="122"/>
        <v>2008</v>
      </c>
    </row>
    <row r="5898" spans="1:3">
      <c r="A5898" s="68">
        <v>39464</v>
      </c>
      <c r="B5898" s="33">
        <v>1960.49</v>
      </c>
      <c r="C5898">
        <f t="shared" si="122"/>
        <v>2008</v>
      </c>
    </row>
    <row r="5899" spans="1:3">
      <c r="A5899" s="68">
        <v>39465</v>
      </c>
      <c r="B5899" s="32">
        <v>1947.6</v>
      </c>
      <c r="C5899">
        <f t="shared" si="122"/>
        <v>2008</v>
      </c>
    </row>
    <row r="5900" spans="1:3">
      <c r="A5900" s="68">
        <v>39466</v>
      </c>
      <c r="B5900" s="33">
        <v>1968.13</v>
      </c>
      <c r="C5900">
        <f t="shared" si="122"/>
        <v>2008</v>
      </c>
    </row>
    <row r="5901" spans="1:3">
      <c r="A5901" s="68">
        <v>39467</v>
      </c>
      <c r="B5901" s="32">
        <v>1968.13</v>
      </c>
      <c r="C5901">
        <f t="shared" si="122"/>
        <v>2008</v>
      </c>
    </row>
    <row r="5902" spans="1:3">
      <c r="A5902" s="68">
        <v>39468</v>
      </c>
      <c r="B5902" s="33">
        <v>1968.13</v>
      </c>
      <c r="C5902">
        <f t="shared" si="122"/>
        <v>2008</v>
      </c>
    </row>
    <row r="5903" spans="1:3">
      <c r="A5903" s="68">
        <v>39469</v>
      </c>
      <c r="B5903" s="32">
        <v>1968.13</v>
      </c>
      <c r="C5903">
        <f t="shared" si="122"/>
        <v>2008</v>
      </c>
    </row>
    <row r="5904" spans="1:3">
      <c r="A5904" s="68">
        <v>39470</v>
      </c>
      <c r="B5904" s="33">
        <v>2007.41</v>
      </c>
      <c r="C5904">
        <f t="shared" si="122"/>
        <v>2008</v>
      </c>
    </row>
    <row r="5905" spans="1:3">
      <c r="A5905" s="68">
        <v>39471</v>
      </c>
      <c r="B5905" s="32">
        <v>2005.08</v>
      </c>
      <c r="C5905">
        <f t="shared" si="122"/>
        <v>2008</v>
      </c>
    </row>
    <row r="5906" spans="1:3">
      <c r="A5906" s="68">
        <v>39472</v>
      </c>
      <c r="B5906" s="33">
        <v>1970.65</v>
      </c>
      <c r="C5906">
        <f t="shared" si="122"/>
        <v>2008</v>
      </c>
    </row>
    <row r="5907" spans="1:3">
      <c r="A5907" s="68">
        <v>39473</v>
      </c>
      <c r="B5907" s="32">
        <v>1961.3</v>
      </c>
      <c r="C5907">
        <f t="shared" si="122"/>
        <v>2008</v>
      </c>
    </row>
    <row r="5908" spans="1:3">
      <c r="A5908" s="68">
        <v>39474</v>
      </c>
      <c r="B5908" s="33">
        <v>1961.3</v>
      </c>
      <c r="C5908">
        <f t="shared" si="122"/>
        <v>2008</v>
      </c>
    </row>
    <row r="5909" spans="1:3">
      <c r="A5909" s="68">
        <v>39475</v>
      </c>
      <c r="B5909" s="32">
        <v>1961.3</v>
      </c>
      <c r="C5909">
        <f t="shared" si="122"/>
        <v>2008</v>
      </c>
    </row>
    <row r="5910" spans="1:3">
      <c r="A5910" s="68">
        <v>39476</v>
      </c>
      <c r="B5910" s="33">
        <v>1969.65</v>
      </c>
      <c r="C5910">
        <f t="shared" si="122"/>
        <v>2008</v>
      </c>
    </row>
    <row r="5911" spans="1:3">
      <c r="A5911" s="68">
        <v>39477</v>
      </c>
      <c r="B5911" s="32">
        <v>1946.54</v>
      </c>
      <c r="C5911">
        <f t="shared" si="122"/>
        <v>2008</v>
      </c>
    </row>
    <row r="5912" spans="1:3">
      <c r="A5912" s="68">
        <v>39478</v>
      </c>
      <c r="B5912" s="33">
        <v>1939.6</v>
      </c>
      <c r="C5912">
        <f t="shared" si="122"/>
        <v>2008</v>
      </c>
    </row>
    <row r="5913" spans="1:3">
      <c r="A5913" s="68">
        <v>39479</v>
      </c>
      <c r="B5913" s="32">
        <v>1939.77</v>
      </c>
      <c r="C5913">
        <f t="shared" si="122"/>
        <v>2008</v>
      </c>
    </row>
    <row r="5914" spans="1:3">
      <c r="A5914" s="68">
        <v>39480</v>
      </c>
      <c r="B5914" s="33">
        <v>1921.94</v>
      </c>
      <c r="C5914">
        <f t="shared" si="122"/>
        <v>2008</v>
      </c>
    </row>
    <row r="5915" spans="1:3">
      <c r="A5915" s="68">
        <v>39481</v>
      </c>
      <c r="B5915" s="32">
        <v>1921.94</v>
      </c>
      <c r="C5915">
        <f t="shared" si="122"/>
        <v>2008</v>
      </c>
    </row>
    <row r="5916" spans="1:3">
      <c r="A5916" s="68">
        <v>39482</v>
      </c>
      <c r="B5916" s="33">
        <v>1921.94</v>
      </c>
      <c r="C5916">
        <f t="shared" si="122"/>
        <v>2008</v>
      </c>
    </row>
    <row r="5917" spans="1:3">
      <c r="A5917" s="68">
        <v>39483</v>
      </c>
      <c r="B5917" s="32">
        <v>1917.26</v>
      </c>
      <c r="C5917">
        <f t="shared" si="122"/>
        <v>2008</v>
      </c>
    </row>
    <row r="5918" spans="1:3">
      <c r="A5918" s="68">
        <v>39484</v>
      </c>
      <c r="B5918" s="33">
        <v>1928.3</v>
      </c>
      <c r="C5918">
        <f t="shared" si="122"/>
        <v>2008</v>
      </c>
    </row>
    <row r="5919" spans="1:3">
      <c r="A5919" s="68">
        <v>39485</v>
      </c>
      <c r="B5919" s="32">
        <v>1929.7</v>
      </c>
      <c r="C5919">
        <f t="shared" si="122"/>
        <v>2008</v>
      </c>
    </row>
    <row r="5920" spans="1:3">
      <c r="A5920" s="68">
        <v>39486</v>
      </c>
      <c r="B5920" s="33">
        <v>1935.49</v>
      </c>
      <c r="C5920">
        <f t="shared" si="122"/>
        <v>2008</v>
      </c>
    </row>
    <row r="5921" spans="1:3">
      <c r="A5921" s="68">
        <v>39487</v>
      </c>
      <c r="B5921" s="32">
        <v>1923.08</v>
      </c>
      <c r="C5921">
        <f t="shared" si="122"/>
        <v>2008</v>
      </c>
    </row>
    <row r="5922" spans="1:3">
      <c r="A5922" s="68">
        <v>39488</v>
      </c>
      <c r="B5922" s="33">
        <v>1923.08</v>
      </c>
      <c r="C5922">
        <f t="shared" si="122"/>
        <v>2008</v>
      </c>
    </row>
    <row r="5923" spans="1:3">
      <c r="A5923" s="68">
        <v>39489</v>
      </c>
      <c r="B5923" s="32">
        <v>1923.08</v>
      </c>
      <c r="C5923">
        <f t="shared" si="122"/>
        <v>2008</v>
      </c>
    </row>
    <row r="5924" spans="1:3">
      <c r="A5924" s="68">
        <v>39490</v>
      </c>
      <c r="B5924" s="33">
        <v>1912.8</v>
      </c>
      <c r="C5924">
        <f t="shared" si="122"/>
        <v>2008</v>
      </c>
    </row>
    <row r="5925" spans="1:3">
      <c r="A5925" s="68">
        <v>39491</v>
      </c>
      <c r="B5925" s="32">
        <v>1901.38</v>
      </c>
      <c r="C5925">
        <f t="shared" si="122"/>
        <v>2008</v>
      </c>
    </row>
    <row r="5926" spans="1:3">
      <c r="A5926" s="68">
        <v>39492</v>
      </c>
      <c r="B5926" s="33">
        <v>1898.4</v>
      </c>
      <c r="C5926">
        <f t="shared" si="122"/>
        <v>2008</v>
      </c>
    </row>
    <row r="5927" spans="1:3">
      <c r="A5927" s="68">
        <v>39493</v>
      </c>
      <c r="B5927" s="32">
        <v>1894.87</v>
      </c>
      <c r="C5927">
        <f t="shared" si="122"/>
        <v>2008</v>
      </c>
    </row>
    <row r="5928" spans="1:3">
      <c r="A5928" s="68">
        <v>39494</v>
      </c>
      <c r="B5928" s="33">
        <v>1905.37</v>
      </c>
      <c r="C5928">
        <f t="shared" si="122"/>
        <v>2008</v>
      </c>
    </row>
    <row r="5929" spans="1:3">
      <c r="A5929" s="68">
        <v>39495</v>
      </c>
      <c r="B5929" s="32">
        <v>1905.37</v>
      </c>
      <c r="C5929">
        <f t="shared" si="122"/>
        <v>2008</v>
      </c>
    </row>
    <row r="5930" spans="1:3">
      <c r="A5930" s="68">
        <v>39496</v>
      </c>
      <c r="B5930" s="33">
        <v>1905.37</v>
      </c>
      <c r="C5930">
        <f t="shared" si="122"/>
        <v>2008</v>
      </c>
    </row>
    <row r="5931" spans="1:3">
      <c r="A5931" s="68">
        <v>39497</v>
      </c>
      <c r="B5931" s="32">
        <v>1905.37</v>
      </c>
      <c r="C5931">
        <f t="shared" si="122"/>
        <v>2008</v>
      </c>
    </row>
    <row r="5932" spans="1:3">
      <c r="A5932" s="68">
        <v>39498</v>
      </c>
      <c r="B5932" s="33">
        <v>1890.74</v>
      </c>
      <c r="C5932">
        <f t="shared" si="122"/>
        <v>2008</v>
      </c>
    </row>
    <row r="5933" spans="1:3">
      <c r="A5933" s="68">
        <v>39499</v>
      </c>
      <c r="B5933" s="32">
        <v>1910.81</v>
      </c>
      <c r="C5933">
        <f t="shared" si="122"/>
        <v>2008</v>
      </c>
    </row>
    <row r="5934" spans="1:3">
      <c r="A5934" s="68">
        <v>39500</v>
      </c>
      <c r="B5934" s="33">
        <v>1895.85</v>
      </c>
      <c r="C5934">
        <f t="shared" si="122"/>
        <v>2008</v>
      </c>
    </row>
    <row r="5935" spans="1:3">
      <c r="A5935" s="68">
        <v>39501</v>
      </c>
      <c r="B5935" s="32">
        <v>1892</v>
      </c>
      <c r="C5935">
        <f t="shared" si="122"/>
        <v>2008</v>
      </c>
    </row>
    <row r="5936" spans="1:3">
      <c r="A5936" s="68">
        <v>39502</v>
      </c>
      <c r="B5936" s="33">
        <v>1892</v>
      </c>
      <c r="C5936">
        <f t="shared" si="122"/>
        <v>2008</v>
      </c>
    </row>
    <row r="5937" spans="1:3">
      <c r="A5937" s="68">
        <v>39503</v>
      </c>
      <c r="B5937" s="32">
        <v>1892</v>
      </c>
      <c r="C5937">
        <f t="shared" si="122"/>
        <v>2008</v>
      </c>
    </row>
    <row r="5938" spans="1:3">
      <c r="A5938" s="68">
        <v>39504</v>
      </c>
      <c r="B5938" s="33">
        <v>1887.97</v>
      </c>
      <c r="C5938">
        <f t="shared" si="122"/>
        <v>2008</v>
      </c>
    </row>
    <row r="5939" spans="1:3">
      <c r="A5939" s="68">
        <v>39505</v>
      </c>
      <c r="B5939" s="32">
        <v>1879.19</v>
      </c>
      <c r="C5939">
        <f t="shared" si="122"/>
        <v>2008</v>
      </c>
    </row>
    <row r="5940" spans="1:3">
      <c r="A5940" s="68">
        <v>39506</v>
      </c>
      <c r="B5940" s="33">
        <v>1854.87</v>
      </c>
      <c r="C5940">
        <f t="shared" si="122"/>
        <v>2008</v>
      </c>
    </row>
    <row r="5941" spans="1:3">
      <c r="A5941" s="68">
        <v>39507</v>
      </c>
      <c r="B5941" s="32">
        <v>1843.59</v>
      </c>
      <c r="C5941">
        <f t="shared" si="122"/>
        <v>2008</v>
      </c>
    </row>
    <row r="5942" spans="1:3">
      <c r="A5942" s="68">
        <v>39508</v>
      </c>
      <c r="B5942" s="33">
        <v>1845.17</v>
      </c>
      <c r="C5942">
        <f t="shared" si="122"/>
        <v>2008</v>
      </c>
    </row>
    <row r="5943" spans="1:3">
      <c r="A5943" s="68">
        <v>39509</v>
      </c>
      <c r="B5943" s="32">
        <v>1845.17</v>
      </c>
      <c r="C5943">
        <f t="shared" si="122"/>
        <v>2008</v>
      </c>
    </row>
    <row r="5944" spans="1:3">
      <c r="A5944" s="68">
        <v>39510</v>
      </c>
      <c r="B5944" s="33">
        <v>1845.17</v>
      </c>
      <c r="C5944">
        <f t="shared" si="122"/>
        <v>2008</v>
      </c>
    </row>
    <row r="5945" spans="1:3">
      <c r="A5945" s="68">
        <v>39511</v>
      </c>
      <c r="B5945" s="32">
        <v>1849.46</v>
      </c>
      <c r="C5945">
        <f t="shared" si="122"/>
        <v>2008</v>
      </c>
    </row>
    <row r="5946" spans="1:3">
      <c r="A5946" s="68">
        <v>39512</v>
      </c>
      <c r="B5946" s="33">
        <v>1841.61</v>
      </c>
      <c r="C5946">
        <f t="shared" si="122"/>
        <v>2008</v>
      </c>
    </row>
    <row r="5947" spans="1:3">
      <c r="A5947" s="68">
        <v>39513</v>
      </c>
      <c r="B5947" s="32">
        <v>1856.69</v>
      </c>
      <c r="C5947">
        <f t="shared" si="122"/>
        <v>2008</v>
      </c>
    </row>
    <row r="5948" spans="1:3">
      <c r="A5948" s="68">
        <v>39514</v>
      </c>
      <c r="B5948" s="33">
        <v>1880.12</v>
      </c>
      <c r="C5948">
        <f t="shared" si="122"/>
        <v>2008</v>
      </c>
    </row>
    <row r="5949" spans="1:3">
      <c r="A5949" s="68">
        <v>39515</v>
      </c>
      <c r="B5949" s="32">
        <v>1902.17</v>
      </c>
      <c r="C5949">
        <f t="shared" si="122"/>
        <v>2008</v>
      </c>
    </row>
    <row r="5950" spans="1:3">
      <c r="A5950" s="68">
        <v>39516</v>
      </c>
      <c r="B5950" s="33">
        <v>1902.17</v>
      </c>
      <c r="C5950">
        <f t="shared" si="122"/>
        <v>2008</v>
      </c>
    </row>
    <row r="5951" spans="1:3">
      <c r="A5951" s="68">
        <v>39517</v>
      </c>
      <c r="B5951" s="32">
        <v>1902.17</v>
      </c>
      <c r="C5951">
        <f t="shared" si="122"/>
        <v>2008</v>
      </c>
    </row>
    <row r="5952" spans="1:3">
      <c r="A5952" s="68">
        <v>39518</v>
      </c>
      <c r="B5952" s="33">
        <v>1864.78</v>
      </c>
      <c r="C5952">
        <f t="shared" si="122"/>
        <v>2008</v>
      </c>
    </row>
    <row r="5953" spans="1:3">
      <c r="A5953" s="68">
        <v>39519</v>
      </c>
      <c r="B5953" s="32">
        <v>1865.98</v>
      </c>
      <c r="C5953">
        <f t="shared" si="122"/>
        <v>2008</v>
      </c>
    </row>
    <row r="5954" spans="1:3">
      <c r="A5954" s="68">
        <v>39520</v>
      </c>
      <c r="B5954" s="33">
        <v>1853.41</v>
      </c>
      <c r="C5954">
        <f t="shared" si="122"/>
        <v>2008</v>
      </c>
    </row>
    <row r="5955" spans="1:3">
      <c r="A5955" s="68">
        <v>39521</v>
      </c>
      <c r="B5955" s="32">
        <v>1856.01</v>
      </c>
      <c r="C5955">
        <f t="shared" si="122"/>
        <v>2008</v>
      </c>
    </row>
    <row r="5956" spans="1:3">
      <c r="A5956" s="68">
        <v>39522</v>
      </c>
      <c r="B5956" s="33">
        <v>1843.95</v>
      </c>
      <c r="C5956">
        <f t="shared" ref="C5956:C6019" si="123">YEAR(A5956)</f>
        <v>2008</v>
      </c>
    </row>
    <row r="5957" spans="1:3">
      <c r="A5957" s="68">
        <v>39523</v>
      </c>
      <c r="B5957" s="32">
        <v>1843.95</v>
      </c>
      <c r="C5957">
        <f t="shared" si="123"/>
        <v>2008</v>
      </c>
    </row>
    <row r="5958" spans="1:3">
      <c r="A5958" s="68">
        <v>39524</v>
      </c>
      <c r="B5958" s="33">
        <v>1843.95</v>
      </c>
      <c r="C5958">
        <f t="shared" si="123"/>
        <v>2008</v>
      </c>
    </row>
    <row r="5959" spans="1:3">
      <c r="A5959" s="68">
        <v>39525</v>
      </c>
      <c r="B5959" s="32">
        <v>1857.55</v>
      </c>
      <c r="C5959">
        <f t="shared" si="123"/>
        <v>2008</v>
      </c>
    </row>
    <row r="5960" spans="1:3">
      <c r="A5960" s="68">
        <v>39526</v>
      </c>
      <c r="B5960" s="33">
        <v>1823.11</v>
      </c>
      <c r="C5960">
        <f t="shared" si="123"/>
        <v>2008</v>
      </c>
    </row>
    <row r="5961" spans="1:3">
      <c r="A5961" s="68">
        <v>39527</v>
      </c>
      <c r="B5961" s="32">
        <v>1815.65</v>
      </c>
      <c r="C5961">
        <f t="shared" si="123"/>
        <v>2008</v>
      </c>
    </row>
    <row r="5962" spans="1:3">
      <c r="A5962" s="68">
        <v>39528</v>
      </c>
      <c r="B5962" s="33">
        <v>1815.65</v>
      </c>
      <c r="C5962">
        <f t="shared" si="123"/>
        <v>2008</v>
      </c>
    </row>
    <row r="5963" spans="1:3">
      <c r="A5963" s="68">
        <v>39529</v>
      </c>
      <c r="B5963" s="32">
        <v>1815.65</v>
      </c>
      <c r="C5963">
        <f t="shared" si="123"/>
        <v>2008</v>
      </c>
    </row>
    <row r="5964" spans="1:3">
      <c r="A5964" s="68">
        <v>39530</v>
      </c>
      <c r="B5964" s="33">
        <v>1815.65</v>
      </c>
      <c r="C5964">
        <f t="shared" si="123"/>
        <v>2008</v>
      </c>
    </row>
    <row r="5965" spans="1:3">
      <c r="A5965" s="68">
        <v>39531</v>
      </c>
      <c r="B5965" s="32">
        <v>1815.65</v>
      </c>
      <c r="C5965">
        <f t="shared" si="123"/>
        <v>2008</v>
      </c>
    </row>
    <row r="5966" spans="1:3">
      <c r="A5966" s="68">
        <v>39532</v>
      </c>
      <c r="B5966" s="33">
        <v>1815.65</v>
      </c>
      <c r="C5966">
        <f t="shared" si="123"/>
        <v>2008</v>
      </c>
    </row>
    <row r="5967" spans="1:3">
      <c r="A5967" s="68">
        <v>39533</v>
      </c>
      <c r="B5967" s="32">
        <v>1835.01</v>
      </c>
      <c r="C5967">
        <f t="shared" si="123"/>
        <v>2008</v>
      </c>
    </row>
    <row r="5968" spans="1:3">
      <c r="A5968" s="68">
        <v>39534</v>
      </c>
      <c r="B5968" s="33">
        <v>1821.31</v>
      </c>
      <c r="C5968">
        <f t="shared" si="123"/>
        <v>2008</v>
      </c>
    </row>
    <row r="5969" spans="1:3">
      <c r="A5969" s="68">
        <v>39535</v>
      </c>
      <c r="B5969" s="32">
        <v>1810.68</v>
      </c>
      <c r="C5969">
        <f t="shared" si="123"/>
        <v>2008</v>
      </c>
    </row>
    <row r="5970" spans="1:3">
      <c r="A5970" s="68">
        <v>39536</v>
      </c>
      <c r="B5970" s="33">
        <v>1821.6</v>
      </c>
      <c r="C5970">
        <f t="shared" si="123"/>
        <v>2008</v>
      </c>
    </row>
    <row r="5971" spans="1:3">
      <c r="A5971" s="68">
        <v>39537</v>
      </c>
      <c r="B5971" s="32">
        <v>1821.6</v>
      </c>
      <c r="C5971">
        <f t="shared" si="123"/>
        <v>2008</v>
      </c>
    </row>
    <row r="5972" spans="1:3">
      <c r="A5972" s="68">
        <v>39538</v>
      </c>
      <c r="B5972" s="33">
        <v>1821.6</v>
      </c>
      <c r="C5972">
        <f t="shared" si="123"/>
        <v>2008</v>
      </c>
    </row>
    <row r="5973" spans="1:3">
      <c r="A5973" s="68">
        <v>39539</v>
      </c>
      <c r="B5973" s="32">
        <v>1834.96</v>
      </c>
      <c r="C5973">
        <f t="shared" si="123"/>
        <v>2008</v>
      </c>
    </row>
    <row r="5974" spans="1:3">
      <c r="A5974" s="68">
        <v>39540</v>
      </c>
      <c r="B5974" s="33">
        <v>1827.94</v>
      </c>
      <c r="C5974">
        <f t="shared" si="123"/>
        <v>2008</v>
      </c>
    </row>
    <row r="5975" spans="1:3">
      <c r="A5975" s="68">
        <v>39541</v>
      </c>
      <c r="B5975" s="32">
        <v>1826.34</v>
      </c>
      <c r="C5975">
        <f t="shared" si="123"/>
        <v>2008</v>
      </c>
    </row>
    <row r="5976" spans="1:3">
      <c r="A5976" s="68">
        <v>39542</v>
      </c>
      <c r="B5976" s="33">
        <v>1824.39</v>
      </c>
      <c r="C5976">
        <f t="shared" si="123"/>
        <v>2008</v>
      </c>
    </row>
    <row r="5977" spans="1:3">
      <c r="A5977" s="68">
        <v>39543</v>
      </c>
      <c r="B5977" s="32">
        <v>1816.28</v>
      </c>
      <c r="C5977">
        <f t="shared" si="123"/>
        <v>2008</v>
      </c>
    </row>
    <row r="5978" spans="1:3">
      <c r="A5978" s="68">
        <v>39544</v>
      </c>
      <c r="B5978" s="33">
        <v>1816.28</v>
      </c>
      <c r="C5978">
        <f t="shared" si="123"/>
        <v>2008</v>
      </c>
    </row>
    <row r="5979" spans="1:3">
      <c r="A5979" s="68">
        <v>39545</v>
      </c>
      <c r="B5979" s="32">
        <v>1816.28</v>
      </c>
      <c r="C5979">
        <f t="shared" si="123"/>
        <v>2008</v>
      </c>
    </row>
    <row r="5980" spans="1:3">
      <c r="A5980" s="68">
        <v>39546</v>
      </c>
      <c r="B5980" s="33">
        <v>1811.23</v>
      </c>
      <c r="C5980">
        <f t="shared" si="123"/>
        <v>2008</v>
      </c>
    </row>
    <row r="5981" spans="1:3">
      <c r="A5981" s="68">
        <v>39547</v>
      </c>
      <c r="B5981" s="32">
        <v>1812.85</v>
      </c>
      <c r="C5981">
        <f t="shared" si="123"/>
        <v>2008</v>
      </c>
    </row>
    <row r="5982" spans="1:3">
      <c r="A5982" s="68">
        <v>39548</v>
      </c>
      <c r="B5982" s="33">
        <v>1799.07</v>
      </c>
      <c r="C5982">
        <f t="shared" si="123"/>
        <v>2008</v>
      </c>
    </row>
    <row r="5983" spans="1:3">
      <c r="A5983" s="68">
        <v>39549</v>
      </c>
      <c r="B5983" s="32">
        <v>1791.63</v>
      </c>
      <c r="C5983">
        <f t="shared" si="123"/>
        <v>2008</v>
      </c>
    </row>
    <row r="5984" spans="1:3">
      <c r="A5984" s="68">
        <v>39550</v>
      </c>
      <c r="B5984" s="33">
        <v>1792.49</v>
      </c>
      <c r="C5984">
        <f t="shared" si="123"/>
        <v>2008</v>
      </c>
    </row>
    <row r="5985" spans="1:3">
      <c r="A5985" s="68">
        <v>39551</v>
      </c>
      <c r="B5985" s="32">
        <v>1792.49</v>
      </c>
      <c r="C5985">
        <f t="shared" si="123"/>
        <v>2008</v>
      </c>
    </row>
    <row r="5986" spans="1:3">
      <c r="A5986" s="68">
        <v>39552</v>
      </c>
      <c r="B5986" s="33">
        <v>1792.49</v>
      </c>
      <c r="C5986">
        <f t="shared" si="123"/>
        <v>2008</v>
      </c>
    </row>
    <row r="5987" spans="1:3">
      <c r="A5987" s="68">
        <v>39553</v>
      </c>
      <c r="B5987" s="32">
        <v>1792.69</v>
      </c>
      <c r="C5987">
        <f t="shared" si="123"/>
        <v>2008</v>
      </c>
    </row>
    <row r="5988" spans="1:3">
      <c r="A5988" s="68">
        <v>39554</v>
      </c>
      <c r="B5988" s="33">
        <v>1797.89</v>
      </c>
      <c r="C5988">
        <f t="shared" si="123"/>
        <v>2008</v>
      </c>
    </row>
    <row r="5989" spans="1:3">
      <c r="A5989" s="68">
        <v>39555</v>
      </c>
      <c r="B5989" s="32">
        <v>1798.89</v>
      </c>
      <c r="C5989">
        <f t="shared" si="123"/>
        <v>2008</v>
      </c>
    </row>
    <row r="5990" spans="1:3">
      <c r="A5990" s="68">
        <v>39556</v>
      </c>
      <c r="B5990" s="33">
        <v>1792.87</v>
      </c>
      <c r="C5990">
        <f t="shared" si="123"/>
        <v>2008</v>
      </c>
    </row>
    <row r="5991" spans="1:3">
      <c r="A5991" s="68">
        <v>39557</v>
      </c>
      <c r="B5991" s="32">
        <v>1785.17</v>
      </c>
      <c r="C5991">
        <f t="shared" si="123"/>
        <v>2008</v>
      </c>
    </row>
    <row r="5992" spans="1:3">
      <c r="A5992" s="68">
        <v>39558</v>
      </c>
      <c r="B5992" s="33">
        <v>1785.17</v>
      </c>
      <c r="C5992">
        <f t="shared" si="123"/>
        <v>2008</v>
      </c>
    </row>
    <row r="5993" spans="1:3">
      <c r="A5993" s="68">
        <v>39559</v>
      </c>
      <c r="B5993" s="32">
        <v>1785.17</v>
      </c>
      <c r="C5993">
        <f t="shared" si="123"/>
        <v>2008</v>
      </c>
    </row>
    <row r="5994" spans="1:3">
      <c r="A5994" s="68">
        <v>39560</v>
      </c>
      <c r="B5994" s="33">
        <v>1780.79</v>
      </c>
      <c r="C5994">
        <f t="shared" si="123"/>
        <v>2008</v>
      </c>
    </row>
    <row r="5995" spans="1:3">
      <c r="A5995" s="68">
        <v>39561</v>
      </c>
      <c r="B5995" s="32">
        <v>1775.08</v>
      </c>
      <c r="C5995">
        <f t="shared" si="123"/>
        <v>2008</v>
      </c>
    </row>
    <row r="5996" spans="1:3">
      <c r="A5996" s="68">
        <v>39562</v>
      </c>
      <c r="B5996" s="33">
        <v>1765.3</v>
      </c>
      <c r="C5996">
        <f t="shared" si="123"/>
        <v>2008</v>
      </c>
    </row>
    <row r="5997" spans="1:3">
      <c r="A5997" s="68">
        <v>39563</v>
      </c>
      <c r="B5997" s="32">
        <v>1765.75</v>
      </c>
      <c r="C5997">
        <f t="shared" si="123"/>
        <v>2008</v>
      </c>
    </row>
    <row r="5998" spans="1:3">
      <c r="A5998" s="68">
        <v>39564</v>
      </c>
      <c r="B5998" s="33">
        <v>1775.22</v>
      </c>
      <c r="C5998">
        <f t="shared" si="123"/>
        <v>2008</v>
      </c>
    </row>
    <row r="5999" spans="1:3">
      <c r="A5999" s="68">
        <v>39565</v>
      </c>
      <c r="B5999" s="32">
        <v>1775.22</v>
      </c>
      <c r="C5999">
        <f t="shared" si="123"/>
        <v>2008</v>
      </c>
    </row>
    <row r="6000" spans="1:3">
      <c r="A6000" s="68">
        <v>39566</v>
      </c>
      <c r="B6000" s="33">
        <v>1775.22</v>
      </c>
      <c r="C6000">
        <f t="shared" si="123"/>
        <v>2008</v>
      </c>
    </row>
    <row r="6001" spans="1:3">
      <c r="A6001" s="68">
        <v>39567</v>
      </c>
      <c r="B6001" s="32">
        <v>1767.73</v>
      </c>
      <c r="C6001">
        <f t="shared" si="123"/>
        <v>2008</v>
      </c>
    </row>
    <row r="6002" spans="1:3">
      <c r="A6002" s="68">
        <v>39568</v>
      </c>
      <c r="B6002" s="33">
        <v>1780.21</v>
      </c>
      <c r="C6002">
        <f t="shared" si="123"/>
        <v>2008</v>
      </c>
    </row>
    <row r="6003" spans="1:3">
      <c r="A6003" s="68">
        <v>39569</v>
      </c>
      <c r="B6003" s="32">
        <v>1767.27</v>
      </c>
      <c r="C6003">
        <f t="shared" si="123"/>
        <v>2008</v>
      </c>
    </row>
    <row r="6004" spans="1:3">
      <c r="A6004" s="68">
        <v>39570</v>
      </c>
      <c r="B6004" s="33">
        <v>1767.27</v>
      </c>
      <c r="C6004">
        <f t="shared" si="123"/>
        <v>2008</v>
      </c>
    </row>
    <row r="6005" spans="1:3">
      <c r="A6005" s="68">
        <v>39571</v>
      </c>
      <c r="B6005" s="32">
        <v>1756.25</v>
      </c>
      <c r="C6005">
        <f t="shared" si="123"/>
        <v>2008</v>
      </c>
    </row>
    <row r="6006" spans="1:3">
      <c r="A6006" s="68">
        <v>39572</v>
      </c>
      <c r="B6006" s="33">
        <v>1756.25</v>
      </c>
      <c r="C6006">
        <f t="shared" si="123"/>
        <v>2008</v>
      </c>
    </row>
    <row r="6007" spans="1:3">
      <c r="A6007" s="68">
        <v>39573</v>
      </c>
      <c r="B6007" s="32">
        <v>1756.25</v>
      </c>
      <c r="C6007">
        <f t="shared" si="123"/>
        <v>2008</v>
      </c>
    </row>
    <row r="6008" spans="1:3">
      <c r="A6008" s="68">
        <v>39574</v>
      </c>
      <c r="B6008" s="33">
        <v>1756.25</v>
      </c>
      <c r="C6008">
        <f t="shared" si="123"/>
        <v>2008</v>
      </c>
    </row>
    <row r="6009" spans="1:3">
      <c r="A6009" s="68">
        <v>39575</v>
      </c>
      <c r="B6009" s="32">
        <v>1769.32</v>
      </c>
      <c r="C6009">
        <f t="shared" si="123"/>
        <v>2008</v>
      </c>
    </row>
    <row r="6010" spans="1:3">
      <c r="A6010" s="68">
        <v>39576</v>
      </c>
      <c r="B6010" s="33">
        <v>1787.62</v>
      </c>
      <c r="C6010">
        <f t="shared" si="123"/>
        <v>2008</v>
      </c>
    </row>
    <row r="6011" spans="1:3">
      <c r="A6011" s="68">
        <v>39577</v>
      </c>
      <c r="B6011" s="32">
        <v>1793.13</v>
      </c>
      <c r="C6011">
        <f t="shared" si="123"/>
        <v>2008</v>
      </c>
    </row>
    <row r="6012" spans="1:3">
      <c r="A6012" s="68">
        <v>39578</v>
      </c>
      <c r="B6012" s="33">
        <v>1781.79</v>
      </c>
      <c r="C6012">
        <f t="shared" si="123"/>
        <v>2008</v>
      </c>
    </row>
    <row r="6013" spans="1:3">
      <c r="A6013" s="68">
        <v>39579</v>
      </c>
      <c r="B6013" s="32">
        <v>1781.79</v>
      </c>
      <c r="C6013">
        <f t="shared" si="123"/>
        <v>2008</v>
      </c>
    </row>
    <row r="6014" spans="1:3">
      <c r="A6014" s="68">
        <v>39580</v>
      </c>
      <c r="B6014" s="33">
        <v>1781.79</v>
      </c>
      <c r="C6014">
        <f t="shared" si="123"/>
        <v>2008</v>
      </c>
    </row>
    <row r="6015" spans="1:3">
      <c r="A6015" s="68">
        <v>39581</v>
      </c>
      <c r="B6015" s="32">
        <v>1781.29</v>
      </c>
      <c r="C6015">
        <f t="shared" si="123"/>
        <v>2008</v>
      </c>
    </row>
    <row r="6016" spans="1:3">
      <c r="A6016" s="68">
        <v>39582</v>
      </c>
      <c r="B6016" s="33">
        <v>1780.01</v>
      </c>
      <c r="C6016">
        <f t="shared" si="123"/>
        <v>2008</v>
      </c>
    </row>
    <row r="6017" spans="1:3">
      <c r="A6017" s="68">
        <v>39583</v>
      </c>
      <c r="B6017" s="32">
        <v>1787.65</v>
      </c>
      <c r="C6017">
        <f t="shared" si="123"/>
        <v>2008</v>
      </c>
    </row>
    <row r="6018" spans="1:3">
      <c r="A6018" s="68">
        <v>39584</v>
      </c>
      <c r="B6018" s="33">
        <v>1792.94</v>
      </c>
      <c r="C6018">
        <f t="shared" si="123"/>
        <v>2008</v>
      </c>
    </row>
    <row r="6019" spans="1:3">
      <c r="A6019" s="68">
        <v>39585</v>
      </c>
      <c r="B6019" s="32">
        <v>1785.04</v>
      </c>
      <c r="C6019">
        <f t="shared" si="123"/>
        <v>2008</v>
      </c>
    </row>
    <row r="6020" spans="1:3">
      <c r="A6020" s="68">
        <v>39586</v>
      </c>
      <c r="B6020" s="33">
        <v>1785.04</v>
      </c>
      <c r="C6020">
        <f t="shared" ref="C6020:C6083" si="124">YEAR(A6020)</f>
        <v>2008</v>
      </c>
    </row>
    <row r="6021" spans="1:3">
      <c r="A6021" s="68">
        <v>39587</v>
      </c>
      <c r="B6021" s="32">
        <v>1785.04</v>
      </c>
      <c r="C6021">
        <f t="shared" si="124"/>
        <v>2008</v>
      </c>
    </row>
    <row r="6022" spans="1:3">
      <c r="A6022" s="68">
        <v>39588</v>
      </c>
      <c r="B6022" s="33">
        <v>1779.35</v>
      </c>
      <c r="C6022">
        <f t="shared" si="124"/>
        <v>2008</v>
      </c>
    </row>
    <row r="6023" spans="1:3">
      <c r="A6023" s="68">
        <v>39589</v>
      </c>
      <c r="B6023" s="32">
        <v>1787.59</v>
      </c>
      <c r="C6023">
        <f t="shared" si="124"/>
        <v>2008</v>
      </c>
    </row>
    <row r="6024" spans="1:3">
      <c r="A6024" s="68">
        <v>39590</v>
      </c>
      <c r="B6024" s="33">
        <v>1779.48</v>
      </c>
      <c r="C6024">
        <f t="shared" si="124"/>
        <v>2008</v>
      </c>
    </row>
    <row r="6025" spans="1:3">
      <c r="A6025" s="68">
        <v>39591</v>
      </c>
      <c r="B6025" s="32">
        <v>1779.59</v>
      </c>
      <c r="C6025">
        <f t="shared" si="124"/>
        <v>2008</v>
      </c>
    </row>
    <row r="6026" spans="1:3">
      <c r="A6026" s="68">
        <v>39592</v>
      </c>
      <c r="B6026" s="33">
        <v>1777.98</v>
      </c>
      <c r="C6026">
        <f t="shared" si="124"/>
        <v>2008</v>
      </c>
    </row>
    <row r="6027" spans="1:3">
      <c r="A6027" s="68">
        <v>39593</v>
      </c>
      <c r="B6027" s="32">
        <v>1777.98</v>
      </c>
      <c r="C6027">
        <f t="shared" si="124"/>
        <v>2008</v>
      </c>
    </row>
    <row r="6028" spans="1:3">
      <c r="A6028" s="68">
        <v>39594</v>
      </c>
      <c r="B6028" s="33">
        <v>1777.98</v>
      </c>
      <c r="C6028">
        <f t="shared" si="124"/>
        <v>2008</v>
      </c>
    </row>
    <row r="6029" spans="1:3">
      <c r="A6029" s="68">
        <v>39595</v>
      </c>
      <c r="B6029" s="32">
        <v>1777.98</v>
      </c>
      <c r="C6029">
        <f t="shared" si="124"/>
        <v>2008</v>
      </c>
    </row>
    <row r="6030" spans="1:3">
      <c r="A6030" s="68">
        <v>39596</v>
      </c>
      <c r="B6030" s="33">
        <v>1772.55</v>
      </c>
      <c r="C6030">
        <f t="shared" si="124"/>
        <v>2008</v>
      </c>
    </row>
    <row r="6031" spans="1:3">
      <c r="A6031" s="68">
        <v>39597</v>
      </c>
      <c r="B6031" s="32">
        <v>1767.41</v>
      </c>
      <c r="C6031">
        <f t="shared" si="124"/>
        <v>2008</v>
      </c>
    </row>
    <row r="6032" spans="1:3">
      <c r="A6032" s="68">
        <v>39598</v>
      </c>
      <c r="B6032" s="33">
        <v>1755.95</v>
      </c>
      <c r="C6032">
        <f t="shared" si="124"/>
        <v>2008</v>
      </c>
    </row>
    <row r="6033" spans="1:3">
      <c r="A6033" s="68">
        <v>39599</v>
      </c>
      <c r="B6033" s="32">
        <v>1744.01</v>
      </c>
      <c r="C6033">
        <f t="shared" si="124"/>
        <v>2008</v>
      </c>
    </row>
    <row r="6034" spans="1:3">
      <c r="A6034" s="68">
        <v>39600</v>
      </c>
      <c r="B6034" s="33">
        <v>1744.01</v>
      </c>
      <c r="C6034">
        <f t="shared" si="124"/>
        <v>2008</v>
      </c>
    </row>
    <row r="6035" spans="1:3">
      <c r="A6035" s="68">
        <v>39601</v>
      </c>
      <c r="B6035" s="32">
        <v>1744.01</v>
      </c>
      <c r="C6035">
        <f t="shared" si="124"/>
        <v>2008</v>
      </c>
    </row>
    <row r="6036" spans="1:3">
      <c r="A6036" s="68">
        <v>39602</v>
      </c>
      <c r="B6036" s="33">
        <v>1744.01</v>
      </c>
      <c r="C6036">
        <f t="shared" si="124"/>
        <v>2008</v>
      </c>
    </row>
    <row r="6037" spans="1:3">
      <c r="A6037" s="68">
        <v>39603</v>
      </c>
      <c r="B6037" s="32">
        <v>1730.61</v>
      </c>
      <c r="C6037">
        <f t="shared" si="124"/>
        <v>2008</v>
      </c>
    </row>
    <row r="6038" spans="1:3">
      <c r="A6038" s="68">
        <v>39604</v>
      </c>
      <c r="B6038" s="33">
        <v>1728.76</v>
      </c>
      <c r="C6038">
        <f t="shared" si="124"/>
        <v>2008</v>
      </c>
    </row>
    <row r="6039" spans="1:3">
      <c r="A6039" s="68">
        <v>39605</v>
      </c>
      <c r="B6039" s="32">
        <v>1709.95</v>
      </c>
      <c r="C6039">
        <f t="shared" si="124"/>
        <v>2008</v>
      </c>
    </row>
    <row r="6040" spans="1:3">
      <c r="A6040" s="68">
        <v>39606</v>
      </c>
      <c r="B6040" s="33">
        <v>1702.44</v>
      </c>
      <c r="C6040">
        <f t="shared" si="124"/>
        <v>2008</v>
      </c>
    </row>
    <row r="6041" spans="1:3">
      <c r="A6041" s="68">
        <v>39607</v>
      </c>
      <c r="B6041" s="32">
        <v>1702.44</v>
      </c>
      <c r="C6041">
        <f t="shared" si="124"/>
        <v>2008</v>
      </c>
    </row>
    <row r="6042" spans="1:3">
      <c r="A6042" s="68">
        <v>39608</v>
      </c>
      <c r="B6042" s="33">
        <v>1702.44</v>
      </c>
      <c r="C6042">
        <f t="shared" si="124"/>
        <v>2008</v>
      </c>
    </row>
    <row r="6043" spans="1:3">
      <c r="A6043" s="68">
        <v>39609</v>
      </c>
      <c r="B6043" s="32">
        <v>1687.13</v>
      </c>
      <c r="C6043">
        <f t="shared" si="124"/>
        <v>2008</v>
      </c>
    </row>
    <row r="6044" spans="1:3">
      <c r="A6044" s="68">
        <v>39610</v>
      </c>
      <c r="B6044" s="33">
        <v>1696.79</v>
      </c>
      <c r="C6044">
        <f t="shared" si="124"/>
        <v>2008</v>
      </c>
    </row>
    <row r="6045" spans="1:3">
      <c r="A6045" s="68">
        <v>39611</v>
      </c>
      <c r="B6045" s="32">
        <v>1700.94</v>
      </c>
      <c r="C6045">
        <f t="shared" si="124"/>
        <v>2008</v>
      </c>
    </row>
    <row r="6046" spans="1:3">
      <c r="A6046" s="68">
        <v>39612</v>
      </c>
      <c r="B6046" s="33">
        <v>1705.35</v>
      </c>
      <c r="C6046">
        <f t="shared" si="124"/>
        <v>2008</v>
      </c>
    </row>
    <row r="6047" spans="1:3">
      <c r="A6047" s="68">
        <v>39613</v>
      </c>
      <c r="B6047" s="32">
        <v>1707.87</v>
      </c>
      <c r="C6047">
        <f t="shared" si="124"/>
        <v>2008</v>
      </c>
    </row>
    <row r="6048" spans="1:3">
      <c r="A6048" s="68">
        <v>39614</v>
      </c>
      <c r="B6048" s="33">
        <v>1707.87</v>
      </c>
      <c r="C6048">
        <f t="shared" si="124"/>
        <v>2008</v>
      </c>
    </row>
    <row r="6049" spans="1:3">
      <c r="A6049" s="68">
        <v>39615</v>
      </c>
      <c r="B6049" s="32">
        <v>1707.87</v>
      </c>
      <c r="C6049">
        <f t="shared" si="124"/>
        <v>2008</v>
      </c>
    </row>
    <row r="6050" spans="1:3">
      <c r="A6050" s="68">
        <v>39616</v>
      </c>
      <c r="B6050" s="33">
        <v>1684.52</v>
      </c>
      <c r="C6050">
        <f t="shared" si="124"/>
        <v>2008</v>
      </c>
    </row>
    <row r="6051" spans="1:3">
      <c r="A6051" s="68">
        <v>39617</v>
      </c>
      <c r="B6051" s="32">
        <v>1655.42</v>
      </c>
      <c r="C6051">
        <f t="shared" si="124"/>
        <v>2008</v>
      </c>
    </row>
    <row r="6052" spans="1:3">
      <c r="A6052" s="68">
        <v>39618</v>
      </c>
      <c r="B6052" s="33">
        <v>1652.41</v>
      </c>
      <c r="C6052">
        <f t="shared" si="124"/>
        <v>2008</v>
      </c>
    </row>
    <row r="6053" spans="1:3">
      <c r="A6053" s="68">
        <v>39619</v>
      </c>
      <c r="B6053" s="32">
        <v>1670.31</v>
      </c>
      <c r="C6053">
        <f t="shared" si="124"/>
        <v>2008</v>
      </c>
    </row>
    <row r="6054" spans="1:3">
      <c r="A6054" s="68">
        <v>39620</v>
      </c>
      <c r="B6054" s="33">
        <v>1678.82</v>
      </c>
      <c r="C6054">
        <f t="shared" si="124"/>
        <v>2008</v>
      </c>
    </row>
    <row r="6055" spans="1:3">
      <c r="A6055" s="68">
        <v>39621</v>
      </c>
      <c r="B6055" s="32">
        <v>1678.82</v>
      </c>
      <c r="C6055">
        <f t="shared" si="124"/>
        <v>2008</v>
      </c>
    </row>
    <row r="6056" spans="1:3">
      <c r="A6056" s="68">
        <v>39622</v>
      </c>
      <c r="B6056" s="33">
        <v>1678.82</v>
      </c>
      <c r="C6056">
        <f t="shared" si="124"/>
        <v>2008</v>
      </c>
    </row>
    <row r="6057" spans="1:3">
      <c r="A6057" s="68">
        <v>39623</v>
      </c>
      <c r="B6057" s="32">
        <v>1713.63</v>
      </c>
      <c r="C6057">
        <f t="shared" si="124"/>
        <v>2008</v>
      </c>
    </row>
    <row r="6058" spans="1:3">
      <c r="A6058" s="68">
        <v>39624</v>
      </c>
      <c r="B6058" s="33">
        <v>1748.04</v>
      </c>
      <c r="C6058">
        <f t="shared" si="124"/>
        <v>2008</v>
      </c>
    </row>
    <row r="6059" spans="1:3">
      <c r="A6059" s="68">
        <v>39625</v>
      </c>
      <c r="B6059" s="32">
        <v>1783.44</v>
      </c>
      <c r="C6059">
        <f t="shared" si="124"/>
        <v>2008</v>
      </c>
    </row>
    <row r="6060" spans="1:3">
      <c r="A6060" s="68">
        <v>39626</v>
      </c>
      <c r="B6060" s="33">
        <v>1832.81</v>
      </c>
      <c r="C6060">
        <f t="shared" si="124"/>
        <v>2008</v>
      </c>
    </row>
    <row r="6061" spans="1:3">
      <c r="A6061" s="68">
        <v>39627</v>
      </c>
      <c r="B6061" s="32">
        <v>1923.02</v>
      </c>
      <c r="C6061">
        <f t="shared" si="124"/>
        <v>2008</v>
      </c>
    </row>
    <row r="6062" spans="1:3">
      <c r="A6062" s="68">
        <v>39628</v>
      </c>
      <c r="B6062" s="33">
        <v>1923.02</v>
      </c>
      <c r="C6062">
        <f t="shared" si="124"/>
        <v>2008</v>
      </c>
    </row>
    <row r="6063" spans="1:3">
      <c r="A6063" s="68">
        <v>39629</v>
      </c>
      <c r="B6063" s="32">
        <v>1923.02</v>
      </c>
      <c r="C6063">
        <f t="shared" si="124"/>
        <v>2008</v>
      </c>
    </row>
    <row r="6064" spans="1:3">
      <c r="A6064" s="68">
        <v>39630</v>
      </c>
      <c r="B6064" s="33">
        <v>1923.02</v>
      </c>
      <c r="C6064">
        <f t="shared" si="124"/>
        <v>2008</v>
      </c>
    </row>
    <row r="6065" spans="1:3">
      <c r="A6065" s="68">
        <v>39631</v>
      </c>
      <c r="B6065" s="32">
        <v>1915.44</v>
      </c>
      <c r="C6065">
        <f t="shared" si="124"/>
        <v>2008</v>
      </c>
    </row>
    <row r="6066" spans="1:3">
      <c r="A6066" s="68">
        <v>39632</v>
      </c>
      <c r="B6066" s="33">
        <v>1818.6</v>
      </c>
      <c r="C6066">
        <f t="shared" si="124"/>
        <v>2008</v>
      </c>
    </row>
    <row r="6067" spans="1:3">
      <c r="A6067" s="68">
        <v>39633</v>
      </c>
      <c r="B6067" s="32">
        <v>1748.43</v>
      </c>
      <c r="C6067">
        <f t="shared" si="124"/>
        <v>2008</v>
      </c>
    </row>
    <row r="6068" spans="1:3">
      <c r="A6068" s="68">
        <v>39634</v>
      </c>
      <c r="B6068" s="33">
        <v>1748.43</v>
      </c>
      <c r="C6068">
        <f t="shared" si="124"/>
        <v>2008</v>
      </c>
    </row>
    <row r="6069" spans="1:3">
      <c r="A6069" s="68">
        <v>39635</v>
      </c>
      <c r="B6069" s="32">
        <v>1748.43</v>
      </c>
      <c r="C6069">
        <f t="shared" si="124"/>
        <v>2008</v>
      </c>
    </row>
    <row r="6070" spans="1:3">
      <c r="A6070" s="68">
        <v>39636</v>
      </c>
      <c r="B6070" s="33">
        <v>1748.43</v>
      </c>
      <c r="C6070">
        <f t="shared" si="124"/>
        <v>2008</v>
      </c>
    </row>
    <row r="6071" spans="1:3">
      <c r="A6071" s="68">
        <v>39637</v>
      </c>
      <c r="B6071" s="32">
        <v>1719.48</v>
      </c>
      <c r="C6071">
        <f t="shared" si="124"/>
        <v>2008</v>
      </c>
    </row>
    <row r="6072" spans="1:3">
      <c r="A6072" s="68">
        <v>39638</v>
      </c>
      <c r="B6072" s="33">
        <v>1736.49</v>
      </c>
      <c r="C6072">
        <f t="shared" si="124"/>
        <v>2008</v>
      </c>
    </row>
    <row r="6073" spans="1:3">
      <c r="A6073" s="68">
        <v>39639</v>
      </c>
      <c r="B6073" s="32">
        <v>1728.74</v>
      </c>
      <c r="C6073">
        <f t="shared" si="124"/>
        <v>2008</v>
      </c>
    </row>
    <row r="6074" spans="1:3">
      <c r="A6074" s="68">
        <v>39640</v>
      </c>
      <c r="B6074" s="33">
        <v>1768.09</v>
      </c>
      <c r="C6074">
        <f t="shared" si="124"/>
        <v>2008</v>
      </c>
    </row>
    <row r="6075" spans="1:3">
      <c r="A6075" s="68">
        <v>39641</v>
      </c>
      <c r="B6075" s="32">
        <v>1778.8</v>
      </c>
      <c r="C6075">
        <f t="shared" si="124"/>
        <v>2008</v>
      </c>
    </row>
    <row r="6076" spans="1:3">
      <c r="A6076" s="68">
        <v>39642</v>
      </c>
      <c r="B6076" s="33">
        <v>1778.8</v>
      </c>
      <c r="C6076">
        <f t="shared" si="124"/>
        <v>2008</v>
      </c>
    </row>
    <row r="6077" spans="1:3">
      <c r="A6077" s="68">
        <v>39643</v>
      </c>
      <c r="B6077" s="32">
        <v>1778.8</v>
      </c>
      <c r="C6077">
        <f t="shared" si="124"/>
        <v>2008</v>
      </c>
    </row>
    <row r="6078" spans="1:3">
      <c r="A6078" s="68">
        <v>39644</v>
      </c>
      <c r="B6078" s="33">
        <v>1753.51</v>
      </c>
      <c r="C6078">
        <f t="shared" si="124"/>
        <v>2008</v>
      </c>
    </row>
    <row r="6079" spans="1:3">
      <c r="A6079" s="68">
        <v>39645</v>
      </c>
      <c r="B6079" s="32">
        <v>1777.17</v>
      </c>
      <c r="C6079">
        <f t="shared" si="124"/>
        <v>2008</v>
      </c>
    </row>
    <row r="6080" spans="1:3">
      <c r="A6080" s="68">
        <v>39646</v>
      </c>
      <c r="B6080" s="33">
        <v>1768.53</v>
      </c>
      <c r="C6080">
        <f t="shared" si="124"/>
        <v>2008</v>
      </c>
    </row>
    <row r="6081" spans="1:3">
      <c r="A6081" s="68">
        <v>39647</v>
      </c>
      <c r="B6081" s="32">
        <v>1757.79</v>
      </c>
      <c r="C6081">
        <f t="shared" si="124"/>
        <v>2008</v>
      </c>
    </row>
    <row r="6082" spans="1:3">
      <c r="A6082" s="68">
        <v>39648</v>
      </c>
      <c r="B6082" s="33">
        <v>1788.24</v>
      </c>
      <c r="C6082">
        <f t="shared" si="124"/>
        <v>2008</v>
      </c>
    </row>
    <row r="6083" spans="1:3">
      <c r="A6083" s="68">
        <v>39649</v>
      </c>
      <c r="B6083" s="32">
        <v>1788.24</v>
      </c>
      <c r="C6083">
        <f t="shared" si="124"/>
        <v>2008</v>
      </c>
    </row>
    <row r="6084" spans="1:3">
      <c r="A6084" s="68">
        <v>39650</v>
      </c>
      <c r="B6084" s="33">
        <v>1788.24</v>
      </c>
      <c r="C6084">
        <f t="shared" ref="C6084:C6147" si="125">YEAR(A6084)</f>
        <v>2008</v>
      </c>
    </row>
    <row r="6085" spans="1:3">
      <c r="A6085" s="68">
        <v>39651</v>
      </c>
      <c r="B6085" s="32">
        <v>1802.01</v>
      </c>
      <c r="C6085">
        <f t="shared" si="125"/>
        <v>2008</v>
      </c>
    </row>
    <row r="6086" spans="1:3">
      <c r="A6086" s="68">
        <v>39652</v>
      </c>
      <c r="B6086" s="33">
        <v>1797.43</v>
      </c>
      <c r="C6086">
        <f t="shared" si="125"/>
        <v>2008</v>
      </c>
    </row>
    <row r="6087" spans="1:3">
      <c r="A6087" s="68">
        <v>39653</v>
      </c>
      <c r="B6087" s="32">
        <v>1772.25</v>
      </c>
      <c r="C6087">
        <f t="shared" si="125"/>
        <v>2008</v>
      </c>
    </row>
    <row r="6088" spans="1:3">
      <c r="A6088" s="68">
        <v>39654</v>
      </c>
      <c r="B6088" s="33">
        <v>1777.1</v>
      </c>
      <c r="C6088">
        <f t="shared" si="125"/>
        <v>2008</v>
      </c>
    </row>
    <row r="6089" spans="1:3">
      <c r="A6089" s="68">
        <v>39655</v>
      </c>
      <c r="B6089" s="32">
        <v>1785.17</v>
      </c>
      <c r="C6089">
        <f t="shared" si="125"/>
        <v>2008</v>
      </c>
    </row>
    <row r="6090" spans="1:3">
      <c r="A6090" s="68">
        <v>39656</v>
      </c>
      <c r="B6090" s="33">
        <v>1785.17</v>
      </c>
      <c r="C6090">
        <f t="shared" si="125"/>
        <v>2008</v>
      </c>
    </row>
    <row r="6091" spans="1:3">
      <c r="A6091" s="68">
        <v>39657</v>
      </c>
      <c r="B6091" s="32">
        <v>1785.17</v>
      </c>
      <c r="C6091">
        <f t="shared" si="125"/>
        <v>2008</v>
      </c>
    </row>
    <row r="6092" spans="1:3">
      <c r="A6092" s="68">
        <v>39658</v>
      </c>
      <c r="B6092" s="33">
        <v>1764.48</v>
      </c>
      <c r="C6092">
        <f t="shared" si="125"/>
        <v>2008</v>
      </c>
    </row>
    <row r="6093" spans="1:3">
      <c r="A6093" s="68">
        <v>39659</v>
      </c>
      <c r="B6093" s="32">
        <v>1789.68</v>
      </c>
      <c r="C6093">
        <f t="shared" si="125"/>
        <v>2008</v>
      </c>
    </row>
    <row r="6094" spans="1:3">
      <c r="A6094" s="68">
        <v>39660</v>
      </c>
      <c r="B6094" s="33">
        <v>1792.24</v>
      </c>
      <c r="C6094">
        <f t="shared" si="125"/>
        <v>2008</v>
      </c>
    </row>
    <row r="6095" spans="1:3">
      <c r="A6095" s="68">
        <v>39661</v>
      </c>
      <c r="B6095" s="32">
        <v>1800.54</v>
      </c>
      <c r="C6095">
        <f t="shared" si="125"/>
        <v>2008</v>
      </c>
    </row>
    <row r="6096" spans="1:3">
      <c r="A6096" s="68">
        <v>39662</v>
      </c>
      <c r="B6096" s="33">
        <v>1779.97</v>
      </c>
      <c r="C6096">
        <f t="shared" si="125"/>
        <v>2008</v>
      </c>
    </row>
    <row r="6097" spans="1:3">
      <c r="A6097" s="68">
        <v>39663</v>
      </c>
      <c r="B6097" s="32">
        <v>1779.97</v>
      </c>
      <c r="C6097">
        <f t="shared" si="125"/>
        <v>2008</v>
      </c>
    </row>
    <row r="6098" spans="1:3">
      <c r="A6098" s="68">
        <v>39664</v>
      </c>
      <c r="B6098" s="33">
        <v>1779.97</v>
      </c>
      <c r="C6098">
        <f t="shared" si="125"/>
        <v>2008</v>
      </c>
    </row>
    <row r="6099" spans="1:3">
      <c r="A6099" s="68">
        <v>39665</v>
      </c>
      <c r="B6099" s="32">
        <v>1771.31</v>
      </c>
      <c r="C6099">
        <f t="shared" si="125"/>
        <v>2008</v>
      </c>
    </row>
    <row r="6100" spans="1:3">
      <c r="A6100" s="68">
        <v>39666</v>
      </c>
      <c r="B6100" s="33">
        <v>1772.16</v>
      </c>
      <c r="C6100">
        <f t="shared" si="125"/>
        <v>2008</v>
      </c>
    </row>
    <row r="6101" spans="1:3">
      <c r="A6101" s="68">
        <v>39667</v>
      </c>
      <c r="B6101" s="32">
        <v>1782.92</v>
      </c>
      <c r="C6101">
        <f t="shared" si="125"/>
        <v>2008</v>
      </c>
    </row>
    <row r="6102" spans="1:3">
      <c r="A6102" s="68">
        <v>39668</v>
      </c>
      <c r="B6102" s="33">
        <v>1782.92</v>
      </c>
      <c r="C6102">
        <f t="shared" si="125"/>
        <v>2008</v>
      </c>
    </row>
    <row r="6103" spans="1:3">
      <c r="A6103" s="68">
        <v>39669</v>
      </c>
      <c r="B6103" s="32">
        <v>1816.25</v>
      </c>
      <c r="C6103">
        <f t="shared" si="125"/>
        <v>2008</v>
      </c>
    </row>
    <row r="6104" spans="1:3">
      <c r="A6104" s="68">
        <v>39670</v>
      </c>
      <c r="B6104" s="33">
        <v>1816.25</v>
      </c>
      <c r="C6104">
        <f t="shared" si="125"/>
        <v>2008</v>
      </c>
    </row>
    <row r="6105" spans="1:3">
      <c r="A6105" s="68">
        <v>39671</v>
      </c>
      <c r="B6105" s="32">
        <v>1816.25</v>
      </c>
      <c r="C6105">
        <f t="shared" si="125"/>
        <v>2008</v>
      </c>
    </row>
    <row r="6106" spans="1:3">
      <c r="A6106" s="68">
        <v>39672</v>
      </c>
      <c r="B6106" s="33">
        <v>1821.76</v>
      </c>
      <c r="C6106">
        <f t="shared" si="125"/>
        <v>2008</v>
      </c>
    </row>
    <row r="6107" spans="1:3">
      <c r="A6107" s="68">
        <v>39673</v>
      </c>
      <c r="B6107" s="32">
        <v>1836.25</v>
      </c>
      <c r="C6107">
        <f t="shared" si="125"/>
        <v>2008</v>
      </c>
    </row>
    <row r="6108" spans="1:3">
      <c r="A6108" s="68">
        <v>39674</v>
      </c>
      <c r="B6108" s="33">
        <v>1854.16</v>
      </c>
      <c r="C6108">
        <f t="shared" si="125"/>
        <v>2008</v>
      </c>
    </row>
    <row r="6109" spans="1:3">
      <c r="A6109" s="68">
        <v>39675</v>
      </c>
      <c r="B6109" s="32">
        <v>1853.45</v>
      </c>
      <c r="C6109">
        <f t="shared" si="125"/>
        <v>2008</v>
      </c>
    </row>
    <row r="6110" spans="1:3">
      <c r="A6110" s="68">
        <v>39676</v>
      </c>
      <c r="B6110" s="33">
        <v>1882.11</v>
      </c>
      <c r="C6110">
        <f t="shared" si="125"/>
        <v>2008</v>
      </c>
    </row>
    <row r="6111" spans="1:3">
      <c r="A6111" s="68">
        <v>39677</v>
      </c>
      <c r="B6111" s="32">
        <v>1882.11</v>
      </c>
      <c r="C6111">
        <f t="shared" si="125"/>
        <v>2008</v>
      </c>
    </row>
    <row r="6112" spans="1:3">
      <c r="A6112" s="68">
        <v>39678</v>
      </c>
      <c r="B6112" s="33">
        <v>1882.11</v>
      </c>
      <c r="C6112">
        <f t="shared" si="125"/>
        <v>2008</v>
      </c>
    </row>
    <row r="6113" spans="1:3">
      <c r="A6113" s="68">
        <v>39679</v>
      </c>
      <c r="B6113" s="32">
        <v>1882.11</v>
      </c>
      <c r="C6113">
        <f t="shared" si="125"/>
        <v>2008</v>
      </c>
    </row>
    <row r="6114" spans="1:3">
      <c r="A6114" s="68">
        <v>39680</v>
      </c>
      <c r="B6114" s="33">
        <v>1891.99</v>
      </c>
      <c r="C6114">
        <f t="shared" si="125"/>
        <v>2008</v>
      </c>
    </row>
    <row r="6115" spans="1:3">
      <c r="A6115" s="68">
        <v>39681</v>
      </c>
      <c r="B6115" s="32">
        <v>1880.69</v>
      </c>
      <c r="C6115">
        <f t="shared" si="125"/>
        <v>2008</v>
      </c>
    </row>
    <row r="6116" spans="1:3">
      <c r="A6116" s="68">
        <v>39682</v>
      </c>
      <c r="B6116" s="33">
        <v>1864.26</v>
      </c>
      <c r="C6116">
        <f t="shared" si="125"/>
        <v>2008</v>
      </c>
    </row>
    <row r="6117" spans="1:3">
      <c r="A6117" s="68">
        <v>39683</v>
      </c>
      <c r="B6117" s="32">
        <v>1872.07</v>
      </c>
      <c r="C6117">
        <f t="shared" si="125"/>
        <v>2008</v>
      </c>
    </row>
    <row r="6118" spans="1:3">
      <c r="A6118" s="68">
        <v>39684</v>
      </c>
      <c r="B6118" s="33">
        <v>1872.07</v>
      </c>
      <c r="C6118">
        <f t="shared" si="125"/>
        <v>2008</v>
      </c>
    </row>
    <row r="6119" spans="1:3">
      <c r="A6119" s="68">
        <v>39685</v>
      </c>
      <c r="B6119" s="32">
        <v>1872.07</v>
      </c>
      <c r="C6119">
        <f t="shared" si="125"/>
        <v>2008</v>
      </c>
    </row>
    <row r="6120" spans="1:3">
      <c r="A6120" s="68">
        <v>39686</v>
      </c>
      <c r="B6120" s="33">
        <v>1873.94</v>
      </c>
      <c r="C6120">
        <f t="shared" si="125"/>
        <v>2008</v>
      </c>
    </row>
    <row r="6121" spans="1:3">
      <c r="A6121" s="68">
        <v>39687</v>
      </c>
      <c r="B6121" s="32">
        <v>1892.06</v>
      </c>
      <c r="C6121">
        <f t="shared" si="125"/>
        <v>2008</v>
      </c>
    </row>
    <row r="6122" spans="1:3">
      <c r="A6122" s="68">
        <v>39688</v>
      </c>
      <c r="B6122" s="33">
        <v>1887.71</v>
      </c>
      <c r="C6122">
        <f t="shared" si="125"/>
        <v>2008</v>
      </c>
    </row>
    <row r="6123" spans="1:3">
      <c r="A6123" s="68">
        <v>39689</v>
      </c>
      <c r="B6123" s="32">
        <v>1907.97</v>
      </c>
      <c r="C6123">
        <f t="shared" si="125"/>
        <v>2008</v>
      </c>
    </row>
    <row r="6124" spans="1:3">
      <c r="A6124" s="68">
        <v>39690</v>
      </c>
      <c r="B6124" s="33">
        <v>1932.2</v>
      </c>
      <c r="C6124">
        <f t="shared" si="125"/>
        <v>2008</v>
      </c>
    </row>
    <row r="6125" spans="1:3">
      <c r="A6125" s="68">
        <v>39691</v>
      </c>
      <c r="B6125" s="32">
        <v>1932.2</v>
      </c>
      <c r="C6125">
        <f t="shared" si="125"/>
        <v>2008</v>
      </c>
    </row>
    <row r="6126" spans="1:3">
      <c r="A6126" s="68">
        <v>39692</v>
      </c>
      <c r="B6126" s="33">
        <v>1932.2</v>
      </c>
      <c r="C6126">
        <f t="shared" si="125"/>
        <v>2008</v>
      </c>
    </row>
    <row r="6127" spans="1:3">
      <c r="A6127" s="68">
        <v>39693</v>
      </c>
      <c r="B6127" s="32">
        <v>1932.2</v>
      </c>
      <c r="C6127">
        <f t="shared" si="125"/>
        <v>2008</v>
      </c>
    </row>
    <row r="6128" spans="1:3">
      <c r="A6128" s="68">
        <v>39694</v>
      </c>
      <c r="B6128" s="33">
        <v>1975.1</v>
      </c>
      <c r="C6128">
        <f t="shared" si="125"/>
        <v>2008</v>
      </c>
    </row>
    <row r="6129" spans="1:3">
      <c r="A6129" s="68">
        <v>39695</v>
      </c>
      <c r="B6129" s="32">
        <v>1992.59</v>
      </c>
      <c r="C6129">
        <f t="shared" si="125"/>
        <v>2008</v>
      </c>
    </row>
    <row r="6130" spans="1:3">
      <c r="A6130" s="68">
        <v>39696</v>
      </c>
      <c r="B6130" s="33">
        <v>2017.53</v>
      </c>
      <c r="C6130">
        <f t="shared" si="125"/>
        <v>2008</v>
      </c>
    </row>
    <row r="6131" spans="1:3">
      <c r="A6131" s="68">
        <v>39697</v>
      </c>
      <c r="B6131" s="32">
        <v>2041.81</v>
      </c>
      <c r="C6131">
        <f t="shared" si="125"/>
        <v>2008</v>
      </c>
    </row>
    <row r="6132" spans="1:3">
      <c r="A6132" s="68">
        <v>39698</v>
      </c>
      <c r="B6132" s="33">
        <v>2041.81</v>
      </c>
      <c r="C6132">
        <f t="shared" si="125"/>
        <v>2008</v>
      </c>
    </row>
    <row r="6133" spans="1:3">
      <c r="A6133" s="68">
        <v>39699</v>
      </c>
      <c r="B6133" s="32">
        <v>2041.81</v>
      </c>
      <c r="C6133">
        <f t="shared" si="125"/>
        <v>2008</v>
      </c>
    </row>
    <row r="6134" spans="1:3">
      <c r="A6134" s="68">
        <v>39700</v>
      </c>
      <c r="B6134" s="33">
        <v>2031.12</v>
      </c>
      <c r="C6134">
        <f t="shared" si="125"/>
        <v>2008</v>
      </c>
    </row>
    <row r="6135" spans="1:3">
      <c r="A6135" s="68">
        <v>39701</v>
      </c>
      <c r="B6135" s="32">
        <v>2071.2399999999998</v>
      </c>
      <c r="C6135">
        <f t="shared" si="125"/>
        <v>2008</v>
      </c>
    </row>
    <row r="6136" spans="1:3">
      <c r="A6136" s="68">
        <v>39702</v>
      </c>
      <c r="B6136" s="33">
        <v>2081.3200000000002</v>
      </c>
      <c r="C6136">
        <f t="shared" si="125"/>
        <v>2008</v>
      </c>
    </row>
    <row r="6137" spans="1:3">
      <c r="A6137" s="68">
        <v>39703</v>
      </c>
      <c r="B6137" s="32">
        <v>2082.46</v>
      </c>
      <c r="C6137">
        <f t="shared" si="125"/>
        <v>2008</v>
      </c>
    </row>
    <row r="6138" spans="1:3">
      <c r="A6138" s="68">
        <v>39704</v>
      </c>
      <c r="B6138" s="33">
        <v>2051.5500000000002</v>
      </c>
      <c r="C6138">
        <f t="shared" si="125"/>
        <v>2008</v>
      </c>
    </row>
    <row r="6139" spans="1:3">
      <c r="A6139" s="68">
        <v>39705</v>
      </c>
      <c r="B6139" s="32">
        <v>2051.5500000000002</v>
      </c>
      <c r="C6139">
        <f t="shared" si="125"/>
        <v>2008</v>
      </c>
    </row>
    <row r="6140" spans="1:3">
      <c r="A6140" s="68">
        <v>39706</v>
      </c>
      <c r="B6140" s="33">
        <v>2051.5500000000002</v>
      </c>
      <c r="C6140">
        <f t="shared" si="125"/>
        <v>2008</v>
      </c>
    </row>
    <row r="6141" spans="1:3">
      <c r="A6141" s="68">
        <v>39707</v>
      </c>
      <c r="B6141" s="32">
        <v>2071.29</v>
      </c>
      <c r="C6141">
        <f t="shared" si="125"/>
        <v>2008</v>
      </c>
    </row>
    <row r="6142" spans="1:3">
      <c r="A6142" s="68">
        <v>39708</v>
      </c>
      <c r="B6142" s="33">
        <v>2109.37</v>
      </c>
      <c r="C6142">
        <f t="shared" si="125"/>
        <v>2008</v>
      </c>
    </row>
    <row r="6143" spans="1:3">
      <c r="A6143" s="68">
        <v>39709</v>
      </c>
      <c r="B6143" s="32">
        <v>2139.14</v>
      </c>
      <c r="C6143">
        <f t="shared" si="125"/>
        <v>2008</v>
      </c>
    </row>
    <row r="6144" spans="1:3">
      <c r="A6144" s="68">
        <v>39710</v>
      </c>
      <c r="B6144" s="33">
        <v>2187.0100000000002</v>
      </c>
      <c r="C6144">
        <f t="shared" si="125"/>
        <v>2008</v>
      </c>
    </row>
    <row r="6145" spans="1:3">
      <c r="A6145" s="68">
        <v>39711</v>
      </c>
      <c r="B6145" s="32">
        <v>2067.4499999999998</v>
      </c>
      <c r="C6145">
        <f t="shared" si="125"/>
        <v>2008</v>
      </c>
    </row>
    <row r="6146" spans="1:3">
      <c r="A6146" s="68">
        <v>39712</v>
      </c>
      <c r="B6146" s="33">
        <v>2067.4499999999998</v>
      </c>
      <c r="C6146">
        <f t="shared" si="125"/>
        <v>2008</v>
      </c>
    </row>
    <row r="6147" spans="1:3">
      <c r="A6147" s="68">
        <v>39713</v>
      </c>
      <c r="B6147" s="32">
        <v>2067.4499999999998</v>
      </c>
      <c r="C6147">
        <f t="shared" si="125"/>
        <v>2008</v>
      </c>
    </row>
    <row r="6148" spans="1:3">
      <c r="A6148" s="68">
        <v>39714</v>
      </c>
      <c r="B6148" s="33">
        <v>2045.85</v>
      </c>
      <c r="C6148">
        <f t="shared" ref="C6148:C6211" si="126">YEAR(A6148)</f>
        <v>2008</v>
      </c>
    </row>
    <row r="6149" spans="1:3">
      <c r="A6149" s="68">
        <v>39715</v>
      </c>
      <c r="B6149" s="32">
        <v>2077.59</v>
      </c>
      <c r="C6149">
        <f t="shared" si="126"/>
        <v>2008</v>
      </c>
    </row>
    <row r="6150" spans="1:3">
      <c r="A6150" s="68">
        <v>39716</v>
      </c>
      <c r="B6150" s="33">
        <v>2147.41</v>
      </c>
      <c r="C6150">
        <f t="shared" si="126"/>
        <v>2008</v>
      </c>
    </row>
    <row r="6151" spans="1:3">
      <c r="A6151" s="68">
        <v>39717</v>
      </c>
      <c r="B6151" s="32">
        <v>2118.31</v>
      </c>
      <c r="C6151">
        <f t="shared" si="126"/>
        <v>2008</v>
      </c>
    </row>
    <row r="6152" spans="1:3">
      <c r="A6152" s="68">
        <v>39718</v>
      </c>
      <c r="B6152" s="33">
        <v>2105.61</v>
      </c>
      <c r="C6152">
        <f t="shared" si="126"/>
        <v>2008</v>
      </c>
    </row>
    <row r="6153" spans="1:3">
      <c r="A6153" s="68">
        <v>39719</v>
      </c>
      <c r="B6153" s="32">
        <v>2105.61</v>
      </c>
      <c r="C6153">
        <f t="shared" si="126"/>
        <v>2008</v>
      </c>
    </row>
    <row r="6154" spans="1:3">
      <c r="A6154" s="68">
        <v>39720</v>
      </c>
      <c r="B6154" s="33">
        <v>2105.61</v>
      </c>
      <c r="C6154">
        <f t="shared" si="126"/>
        <v>2008</v>
      </c>
    </row>
    <row r="6155" spans="1:3">
      <c r="A6155" s="68">
        <v>39721</v>
      </c>
      <c r="B6155" s="32">
        <v>2174.62</v>
      </c>
      <c r="C6155">
        <f t="shared" si="126"/>
        <v>2008</v>
      </c>
    </row>
    <row r="6156" spans="1:3">
      <c r="A6156" s="68">
        <v>39722</v>
      </c>
      <c r="B6156" s="33">
        <v>2184.7600000000002</v>
      </c>
      <c r="C6156">
        <f t="shared" si="126"/>
        <v>2008</v>
      </c>
    </row>
    <row r="6157" spans="1:3">
      <c r="A6157" s="68">
        <v>39723</v>
      </c>
      <c r="B6157" s="32">
        <v>2166.0500000000002</v>
      </c>
      <c r="C6157">
        <f t="shared" si="126"/>
        <v>2008</v>
      </c>
    </row>
    <row r="6158" spans="1:3">
      <c r="A6158" s="68">
        <v>39724</v>
      </c>
      <c r="B6158" s="33">
        <v>2192.69</v>
      </c>
      <c r="C6158">
        <f t="shared" si="126"/>
        <v>2008</v>
      </c>
    </row>
    <row r="6159" spans="1:3">
      <c r="A6159" s="68">
        <v>39725</v>
      </c>
      <c r="B6159" s="32">
        <v>2160.08</v>
      </c>
      <c r="C6159">
        <f t="shared" si="126"/>
        <v>2008</v>
      </c>
    </row>
    <row r="6160" spans="1:3">
      <c r="A6160" s="68">
        <v>39726</v>
      </c>
      <c r="B6160" s="33">
        <v>2160.08</v>
      </c>
      <c r="C6160">
        <f t="shared" si="126"/>
        <v>2008</v>
      </c>
    </row>
    <row r="6161" spans="1:3">
      <c r="A6161" s="68">
        <v>39727</v>
      </c>
      <c r="B6161" s="32">
        <v>2160.08</v>
      </c>
      <c r="C6161">
        <f t="shared" si="126"/>
        <v>2008</v>
      </c>
    </row>
    <row r="6162" spans="1:3">
      <c r="A6162" s="68">
        <v>39728</v>
      </c>
      <c r="B6162" s="33">
        <v>2250.73</v>
      </c>
      <c r="C6162">
        <f t="shared" si="126"/>
        <v>2008</v>
      </c>
    </row>
    <row r="6163" spans="1:3">
      <c r="A6163" s="68">
        <v>39729</v>
      </c>
      <c r="B6163" s="32">
        <v>2261.96</v>
      </c>
      <c r="C6163">
        <f t="shared" si="126"/>
        <v>2008</v>
      </c>
    </row>
    <row r="6164" spans="1:3">
      <c r="A6164" s="68">
        <v>39730</v>
      </c>
      <c r="B6164" s="33">
        <v>2326.41</v>
      </c>
      <c r="C6164">
        <f t="shared" si="126"/>
        <v>2008</v>
      </c>
    </row>
    <row r="6165" spans="1:3">
      <c r="A6165" s="68">
        <v>39731</v>
      </c>
      <c r="B6165" s="32">
        <v>2254.2399999999998</v>
      </c>
      <c r="C6165">
        <f t="shared" si="126"/>
        <v>2008</v>
      </c>
    </row>
    <row r="6166" spans="1:3">
      <c r="A6166" s="68">
        <v>39732</v>
      </c>
      <c r="B6166" s="33">
        <v>2318.63</v>
      </c>
      <c r="C6166">
        <f t="shared" si="126"/>
        <v>2008</v>
      </c>
    </row>
    <row r="6167" spans="1:3">
      <c r="A6167" s="68">
        <v>39733</v>
      </c>
      <c r="B6167" s="32">
        <v>2318.63</v>
      </c>
      <c r="C6167">
        <f t="shared" si="126"/>
        <v>2008</v>
      </c>
    </row>
    <row r="6168" spans="1:3">
      <c r="A6168" s="68">
        <v>39734</v>
      </c>
      <c r="B6168" s="33">
        <v>2318.63</v>
      </c>
      <c r="C6168">
        <f t="shared" si="126"/>
        <v>2008</v>
      </c>
    </row>
    <row r="6169" spans="1:3">
      <c r="A6169" s="68">
        <v>39735</v>
      </c>
      <c r="B6169" s="32">
        <v>2318.63</v>
      </c>
      <c r="C6169">
        <f t="shared" si="126"/>
        <v>2008</v>
      </c>
    </row>
    <row r="6170" spans="1:3">
      <c r="A6170" s="68">
        <v>39736</v>
      </c>
      <c r="B6170" s="33">
        <v>2223.94</v>
      </c>
      <c r="C6170">
        <f t="shared" si="126"/>
        <v>2008</v>
      </c>
    </row>
    <row r="6171" spans="1:3">
      <c r="A6171" s="68">
        <v>39737</v>
      </c>
      <c r="B6171" s="32">
        <v>2316.54</v>
      </c>
      <c r="C6171">
        <f t="shared" si="126"/>
        <v>2008</v>
      </c>
    </row>
    <row r="6172" spans="1:3">
      <c r="A6172" s="68">
        <v>39738</v>
      </c>
      <c r="B6172" s="33">
        <v>2304.6799999999998</v>
      </c>
      <c r="C6172">
        <f t="shared" si="126"/>
        <v>2008</v>
      </c>
    </row>
    <row r="6173" spans="1:3">
      <c r="A6173" s="68">
        <v>39739</v>
      </c>
      <c r="B6173" s="32">
        <v>2271.98</v>
      </c>
      <c r="C6173">
        <f t="shared" si="126"/>
        <v>2008</v>
      </c>
    </row>
    <row r="6174" spans="1:3">
      <c r="A6174" s="68">
        <v>39740</v>
      </c>
      <c r="B6174" s="33">
        <v>2271.98</v>
      </c>
      <c r="C6174">
        <f t="shared" si="126"/>
        <v>2008</v>
      </c>
    </row>
    <row r="6175" spans="1:3">
      <c r="A6175" s="68">
        <v>39741</v>
      </c>
      <c r="B6175" s="32">
        <v>2271.98</v>
      </c>
      <c r="C6175">
        <f t="shared" si="126"/>
        <v>2008</v>
      </c>
    </row>
    <row r="6176" spans="1:3">
      <c r="A6176" s="68">
        <v>39742</v>
      </c>
      <c r="B6176" s="33">
        <v>2243.4899999999998</v>
      </c>
      <c r="C6176">
        <f t="shared" si="126"/>
        <v>2008</v>
      </c>
    </row>
    <row r="6177" spans="1:3">
      <c r="A6177" s="68">
        <v>39743</v>
      </c>
      <c r="B6177" s="32">
        <v>2296.3200000000002</v>
      </c>
      <c r="C6177">
        <f t="shared" si="126"/>
        <v>2008</v>
      </c>
    </row>
    <row r="6178" spans="1:3">
      <c r="A6178" s="68">
        <v>39744</v>
      </c>
      <c r="B6178" s="33">
        <v>2346.4699999999998</v>
      </c>
      <c r="C6178">
        <f t="shared" si="126"/>
        <v>2008</v>
      </c>
    </row>
    <row r="6179" spans="1:3">
      <c r="A6179" s="68">
        <v>39745</v>
      </c>
      <c r="B6179" s="32">
        <v>2361.0100000000002</v>
      </c>
      <c r="C6179">
        <f t="shared" si="126"/>
        <v>2008</v>
      </c>
    </row>
    <row r="6180" spans="1:3">
      <c r="A6180" s="68">
        <v>39746</v>
      </c>
      <c r="B6180" s="33">
        <v>2386.48</v>
      </c>
      <c r="C6180">
        <f t="shared" si="126"/>
        <v>2008</v>
      </c>
    </row>
    <row r="6181" spans="1:3">
      <c r="A6181" s="68">
        <v>39747</v>
      </c>
      <c r="B6181" s="32">
        <v>2386.48</v>
      </c>
      <c r="C6181">
        <f t="shared" si="126"/>
        <v>2008</v>
      </c>
    </row>
    <row r="6182" spans="1:3">
      <c r="A6182" s="68">
        <v>39748</v>
      </c>
      <c r="B6182" s="33">
        <v>2386.48</v>
      </c>
      <c r="C6182">
        <f t="shared" si="126"/>
        <v>2008</v>
      </c>
    </row>
    <row r="6183" spans="1:3">
      <c r="A6183" s="68">
        <v>39749</v>
      </c>
      <c r="B6183" s="32">
        <v>2379.2399999999998</v>
      </c>
      <c r="C6183">
        <f t="shared" si="126"/>
        <v>2008</v>
      </c>
    </row>
    <row r="6184" spans="1:3">
      <c r="A6184" s="68">
        <v>39750</v>
      </c>
      <c r="B6184" s="33">
        <v>2382.31</v>
      </c>
      <c r="C6184">
        <f t="shared" si="126"/>
        <v>2008</v>
      </c>
    </row>
    <row r="6185" spans="1:3">
      <c r="A6185" s="68">
        <v>39751</v>
      </c>
      <c r="B6185" s="32">
        <v>2374.1</v>
      </c>
      <c r="C6185">
        <f t="shared" si="126"/>
        <v>2008</v>
      </c>
    </row>
    <row r="6186" spans="1:3">
      <c r="A6186" s="68">
        <v>39752</v>
      </c>
      <c r="B6186" s="33">
        <v>2359.52</v>
      </c>
      <c r="C6186">
        <f t="shared" si="126"/>
        <v>2008</v>
      </c>
    </row>
    <row r="6187" spans="1:3">
      <c r="A6187" s="68">
        <v>39753</v>
      </c>
      <c r="B6187" s="32">
        <v>2392.2800000000002</v>
      </c>
      <c r="C6187">
        <f t="shared" si="126"/>
        <v>2008</v>
      </c>
    </row>
    <row r="6188" spans="1:3">
      <c r="A6188" s="68">
        <v>39754</v>
      </c>
      <c r="B6188" s="33">
        <v>2392.2800000000002</v>
      </c>
      <c r="C6188">
        <f t="shared" si="126"/>
        <v>2008</v>
      </c>
    </row>
    <row r="6189" spans="1:3">
      <c r="A6189" s="68">
        <v>39755</v>
      </c>
      <c r="B6189" s="32">
        <v>2392.2800000000002</v>
      </c>
      <c r="C6189">
        <f t="shared" si="126"/>
        <v>2008</v>
      </c>
    </row>
    <row r="6190" spans="1:3">
      <c r="A6190" s="68">
        <v>39756</v>
      </c>
      <c r="B6190" s="33">
        <v>2392.2800000000002</v>
      </c>
      <c r="C6190">
        <f t="shared" si="126"/>
        <v>2008</v>
      </c>
    </row>
    <row r="6191" spans="1:3">
      <c r="A6191" s="68">
        <v>39757</v>
      </c>
      <c r="B6191" s="32">
        <v>2351.56</v>
      </c>
      <c r="C6191">
        <f t="shared" si="126"/>
        <v>2008</v>
      </c>
    </row>
    <row r="6192" spans="1:3">
      <c r="A6192" s="68">
        <v>39758</v>
      </c>
      <c r="B6192" s="33">
        <v>2327.7800000000002</v>
      </c>
      <c r="C6192">
        <f t="shared" si="126"/>
        <v>2008</v>
      </c>
    </row>
    <row r="6193" spans="1:3">
      <c r="A6193" s="68">
        <v>39759</v>
      </c>
      <c r="B6193" s="32">
        <v>2342.65</v>
      </c>
      <c r="C6193">
        <f t="shared" si="126"/>
        <v>2008</v>
      </c>
    </row>
    <row r="6194" spans="1:3">
      <c r="A6194" s="68">
        <v>39760</v>
      </c>
      <c r="B6194" s="33">
        <v>2317.34</v>
      </c>
      <c r="C6194">
        <f t="shared" si="126"/>
        <v>2008</v>
      </c>
    </row>
    <row r="6195" spans="1:3">
      <c r="A6195" s="68">
        <v>39761</v>
      </c>
      <c r="B6195" s="32">
        <v>2317.34</v>
      </c>
      <c r="C6195">
        <f t="shared" si="126"/>
        <v>2008</v>
      </c>
    </row>
    <row r="6196" spans="1:3">
      <c r="A6196" s="68">
        <v>39762</v>
      </c>
      <c r="B6196" s="33">
        <v>2317.34</v>
      </c>
      <c r="C6196">
        <f t="shared" si="126"/>
        <v>2008</v>
      </c>
    </row>
    <row r="6197" spans="1:3">
      <c r="A6197" s="68">
        <v>39763</v>
      </c>
      <c r="B6197" s="32">
        <v>2281.2399999999998</v>
      </c>
      <c r="C6197">
        <f t="shared" si="126"/>
        <v>2008</v>
      </c>
    </row>
    <row r="6198" spans="1:3">
      <c r="A6198" s="68">
        <v>39764</v>
      </c>
      <c r="B6198" s="33">
        <v>2281.2399999999998</v>
      </c>
      <c r="C6198">
        <f t="shared" si="126"/>
        <v>2008</v>
      </c>
    </row>
    <row r="6199" spans="1:3">
      <c r="A6199" s="68">
        <v>39765</v>
      </c>
      <c r="B6199" s="32">
        <v>2335.02</v>
      </c>
      <c r="C6199">
        <f t="shared" si="126"/>
        <v>2008</v>
      </c>
    </row>
    <row r="6200" spans="1:3">
      <c r="A6200" s="68">
        <v>39766</v>
      </c>
      <c r="B6200" s="33">
        <v>2329.8200000000002</v>
      </c>
      <c r="C6200">
        <f t="shared" si="126"/>
        <v>2008</v>
      </c>
    </row>
    <row r="6201" spans="1:3">
      <c r="A6201" s="68">
        <v>39767</v>
      </c>
      <c r="B6201" s="32">
        <v>2308.65</v>
      </c>
      <c r="C6201">
        <f t="shared" si="126"/>
        <v>2008</v>
      </c>
    </row>
    <row r="6202" spans="1:3">
      <c r="A6202" s="68">
        <v>39768</v>
      </c>
      <c r="B6202" s="33">
        <v>2308.65</v>
      </c>
      <c r="C6202">
        <f t="shared" si="126"/>
        <v>2008</v>
      </c>
    </row>
    <row r="6203" spans="1:3">
      <c r="A6203" s="68">
        <v>39769</v>
      </c>
      <c r="B6203" s="32">
        <v>2308.65</v>
      </c>
      <c r="C6203">
        <f t="shared" si="126"/>
        <v>2008</v>
      </c>
    </row>
    <row r="6204" spans="1:3">
      <c r="A6204" s="68">
        <v>39770</v>
      </c>
      <c r="B6204" s="33">
        <v>2308.65</v>
      </c>
      <c r="C6204">
        <f t="shared" si="126"/>
        <v>2008</v>
      </c>
    </row>
    <row r="6205" spans="1:3">
      <c r="A6205" s="68">
        <v>39771</v>
      </c>
      <c r="B6205" s="32">
        <v>2329.9</v>
      </c>
      <c r="C6205">
        <f t="shared" si="126"/>
        <v>2008</v>
      </c>
    </row>
    <row r="6206" spans="1:3">
      <c r="A6206" s="68">
        <v>39772</v>
      </c>
      <c r="B6206" s="33">
        <v>2342.1799999999998</v>
      </c>
      <c r="C6206">
        <f t="shared" si="126"/>
        <v>2008</v>
      </c>
    </row>
    <row r="6207" spans="1:3">
      <c r="A6207" s="68">
        <v>39773</v>
      </c>
      <c r="B6207" s="32">
        <v>2359.2600000000002</v>
      </c>
      <c r="C6207">
        <f t="shared" si="126"/>
        <v>2008</v>
      </c>
    </row>
    <row r="6208" spans="1:3">
      <c r="A6208" s="68">
        <v>39774</v>
      </c>
      <c r="B6208" s="33">
        <v>2355.71</v>
      </c>
      <c r="C6208">
        <f t="shared" si="126"/>
        <v>2008</v>
      </c>
    </row>
    <row r="6209" spans="1:3">
      <c r="A6209" s="68">
        <v>39775</v>
      </c>
      <c r="B6209" s="32">
        <v>2355.71</v>
      </c>
      <c r="C6209">
        <f t="shared" si="126"/>
        <v>2008</v>
      </c>
    </row>
    <row r="6210" spans="1:3">
      <c r="A6210" s="68">
        <v>39776</v>
      </c>
      <c r="B6210" s="33">
        <v>2355.71</v>
      </c>
      <c r="C6210">
        <f t="shared" si="126"/>
        <v>2008</v>
      </c>
    </row>
    <row r="6211" spans="1:3">
      <c r="A6211" s="68">
        <v>39777</v>
      </c>
      <c r="B6211" s="32">
        <v>2314.7199999999998</v>
      </c>
      <c r="C6211">
        <f t="shared" si="126"/>
        <v>2008</v>
      </c>
    </row>
    <row r="6212" spans="1:3">
      <c r="A6212" s="68">
        <v>39778</v>
      </c>
      <c r="B6212" s="33">
        <v>2307.37</v>
      </c>
      <c r="C6212">
        <f t="shared" ref="C6212:C6275" si="127">YEAR(A6212)</f>
        <v>2008</v>
      </c>
    </row>
    <row r="6213" spans="1:3">
      <c r="A6213" s="68">
        <v>39779</v>
      </c>
      <c r="B6213" s="32">
        <v>2324.1</v>
      </c>
      <c r="C6213">
        <f t="shared" si="127"/>
        <v>2008</v>
      </c>
    </row>
    <row r="6214" spans="1:3">
      <c r="A6214" s="68">
        <v>39780</v>
      </c>
      <c r="B6214" s="33">
        <v>2324.1</v>
      </c>
      <c r="C6214">
        <f t="shared" si="127"/>
        <v>2008</v>
      </c>
    </row>
    <row r="6215" spans="1:3">
      <c r="A6215" s="68">
        <v>39781</v>
      </c>
      <c r="B6215" s="32">
        <v>2318</v>
      </c>
      <c r="C6215">
        <f t="shared" si="127"/>
        <v>2008</v>
      </c>
    </row>
    <row r="6216" spans="1:3">
      <c r="A6216" s="68">
        <v>39782</v>
      </c>
      <c r="B6216" s="33">
        <v>2318</v>
      </c>
      <c r="C6216">
        <f t="shared" si="127"/>
        <v>2008</v>
      </c>
    </row>
    <row r="6217" spans="1:3">
      <c r="A6217" s="68">
        <v>39783</v>
      </c>
      <c r="B6217" s="32">
        <v>2318</v>
      </c>
      <c r="C6217">
        <f t="shared" si="127"/>
        <v>2008</v>
      </c>
    </row>
    <row r="6218" spans="1:3">
      <c r="A6218" s="68">
        <v>39784</v>
      </c>
      <c r="B6218" s="33">
        <v>2320.12</v>
      </c>
      <c r="C6218">
        <f t="shared" si="127"/>
        <v>2008</v>
      </c>
    </row>
    <row r="6219" spans="1:3">
      <c r="A6219" s="68">
        <v>39785</v>
      </c>
      <c r="B6219" s="32">
        <v>2315.35</v>
      </c>
      <c r="C6219">
        <f t="shared" si="127"/>
        <v>2008</v>
      </c>
    </row>
    <row r="6220" spans="1:3">
      <c r="A6220" s="68">
        <v>39786</v>
      </c>
      <c r="B6220" s="33">
        <v>2317.48</v>
      </c>
      <c r="C6220">
        <f t="shared" si="127"/>
        <v>2008</v>
      </c>
    </row>
    <row r="6221" spans="1:3">
      <c r="A6221" s="68">
        <v>39787</v>
      </c>
      <c r="B6221" s="32">
        <v>2323.2800000000002</v>
      </c>
      <c r="C6221">
        <f t="shared" si="127"/>
        <v>2008</v>
      </c>
    </row>
    <row r="6222" spans="1:3">
      <c r="A6222" s="68">
        <v>39788</v>
      </c>
      <c r="B6222" s="33">
        <v>2333.54</v>
      </c>
      <c r="C6222">
        <f t="shared" si="127"/>
        <v>2008</v>
      </c>
    </row>
    <row r="6223" spans="1:3">
      <c r="A6223" s="68">
        <v>39789</v>
      </c>
      <c r="B6223" s="32">
        <v>2333.54</v>
      </c>
      <c r="C6223">
        <f t="shared" si="127"/>
        <v>2008</v>
      </c>
    </row>
    <row r="6224" spans="1:3">
      <c r="A6224" s="68">
        <v>39790</v>
      </c>
      <c r="B6224" s="33">
        <v>2333.54</v>
      </c>
      <c r="C6224">
        <f t="shared" si="127"/>
        <v>2008</v>
      </c>
    </row>
    <row r="6225" spans="1:3">
      <c r="A6225" s="68">
        <v>39791</v>
      </c>
      <c r="B6225" s="32">
        <v>2333.54</v>
      </c>
      <c r="C6225">
        <f t="shared" si="127"/>
        <v>2008</v>
      </c>
    </row>
    <row r="6226" spans="1:3">
      <c r="A6226" s="68">
        <v>39792</v>
      </c>
      <c r="B6226" s="33">
        <v>2311.6999999999998</v>
      </c>
      <c r="C6226">
        <f t="shared" si="127"/>
        <v>2008</v>
      </c>
    </row>
    <row r="6227" spans="1:3">
      <c r="A6227" s="68">
        <v>39793</v>
      </c>
      <c r="B6227" s="32">
        <v>2302.9299999999998</v>
      </c>
      <c r="C6227">
        <f t="shared" si="127"/>
        <v>2008</v>
      </c>
    </row>
    <row r="6228" spans="1:3">
      <c r="A6228" s="68">
        <v>39794</v>
      </c>
      <c r="B6228" s="33">
        <v>2278.29</v>
      </c>
      <c r="C6228">
        <f t="shared" si="127"/>
        <v>2008</v>
      </c>
    </row>
    <row r="6229" spans="1:3">
      <c r="A6229" s="68">
        <v>39795</v>
      </c>
      <c r="B6229" s="32">
        <v>2273.2399999999998</v>
      </c>
      <c r="C6229">
        <f t="shared" si="127"/>
        <v>2008</v>
      </c>
    </row>
    <row r="6230" spans="1:3">
      <c r="A6230" s="68">
        <v>39796</v>
      </c>
      <c r="B6230" s="33">
        <v>2273.2399999999998</v>
      </c>
      <c r="C6230">
        <f t="shared" si="127"/>
        <v>2008</v>
      </c>
    </row>
    <row r="6231" spans="1:3">
      <c r="A6231" s="68">
        <v>39797</v>
      </c>
      <c r="B6231" s="32">
        <v>2273.2399999999998</v>
      </c>
      <c r="C6231">
        <f t="shared" si="127"/>
        <v>2008</v>
      </c>
    </row>
    <row r="6232" spans="1:3">
      <c r="A6232" s="68">
        <v>39798</v>
      </c>
      <c r="B6232" s="33">
        <v>2254.5</v>
      </c>
      <c r="C6232">
        <f t="shared" si="127"/>
        <v>2008</v>
      </c>
    </row>
    <row r="6233" spans="1:3">
      <c r="A6233" s="68">
        <v>39799</v>
      </c>
      <c r="B6233" s="32">
        <v>2223.3000000000002</v>
      </c>
      <c r="C6233">
        <f t="shared" si="127"/>
        <v>2008</v>
      </c>
    </row>
    <row r="6234" spans="1:3">
      <c r="A6234" s="68">
        <v>39800</v>
      </c>
      <c r="B6234" s="33">
        <v>2173.86</v>
      </c>
      <c r="C6234">
        <f t="shared" si="127"/>
        <v>2008</v>
      </c>
    </row>
    <row r="6235" spans="1:3">
      <c r="A6235" s="68">
        <v>39801</v>
      </c>
      <c r="B6235" s="32">
        <v>2163.14</v>
      </c>
      <c r="C6235">
        <f t="shared" si="127"/>
        <v>2008</v>
      </c>
    </row>
    <row r="6236" spans="1:3">
      <c r="A6236" s="68">
        <v>39802</v>
      </c>
      <c r="B6236" s="33">
        <v>2167.35</v>
      </c>
      <c r="C6236">
        <f t="shared" si="127"/>
        <v>2008</v>
      </c>
    </row>
    <row r="6237" spans="1:3">
      <c r="A6237" s="68">
        <v>39803</v>
      </c>
      <c r="B6237" s="32">
        <v>2167.35</v>
      </c>
      <c r="C6237">
        <f t="shared" si="127"/>
        <v>2008</v>
      </c>
    </row>
    <row r="6238" spans="1:3">
      <c r="A6238" s="68">
        <v>39804</v>
      </c>
      <c r="B6238" s="33">
        <v>2167.35</v>
      </c>
      <c r="C6238">
        <f t="shared" si="127"/>
        <v>2008</v>
      </c>
    </row>
    <row r="6239" spans="1:3">
      <c r="A6239" s="68">
        <v>39805</v>
      </c>
      <c r="B6239" s="32">
        <v>2169.83</v>
      </c>
      <c r="C6239">
        <f t="shared" si="127"/>
        <v>2008</v>
      </c>
    </row>
    <row r="6240" spans="1:3">
      <c r="A6240" s="68">
        <v>39806</v>
      </c>
      <c r="B6240" s="33">
        <v>2180.4899999999998</v>
      </c>
      <c r="C6240">
        <f t="shared" si="127"/>
        <v>2008</v>
      </c>
    </row>
    <row r="6241" spans="1:3">
      <c r="A6241" s="68">
        <v>39807</v>
      </c>
      <c r="B6241" s="32">
        <v>2198.09</v>
      </c>
      <c r="C6241">
        <f t="shared" si="127"/>
        <v>2008</v>
      </c>
    </row>
    <row r="6242" spans="1:3">
      <c r="A6242" s="68">
        <v>39808</v>
      </c>
      <c r="B6242" s="33">
        <v>2198.09</v>
      </c>
      <c r="C6242">
        <f t="shared" si="127"/>
        <v>2008</v>
      </c>
    </row>
    <row r="6243" spans="1:3">
      <c r="A6243" s="68">
        <v>39809</v>
      </c>
      <c r="B6243" s="32">
        <v>2204.9499999999998</v>
      </c>
      <c r="C6243">
        <f t="shared" si="127"/>
        <v>2008</v>
      </c>
    </row>
    <row r="6244" spans="1:3">
      <c r="A6244" s="68">
        <v>39810</v>
      </c>
      <c r="B6244" s="33">
        <v>2204.9499999999998</v>
      </c>
      <c r="C6244">
        <f t="shared" si="127"/>
        <v>2008</v>
      </c>
    </row>
    <row r="6245" spans="1:3">
      <c r="A6245" s="68">
        <v>39811</v>
      </c>
      <c r="B6245" s="32">
        <v>2204.9499999999998</v>
      </c>
      <c r="C6245">
        <f t="shared" si="127"/>
        <v>2008</v>
      </c>
    </row>
    <row r="6246" spans="1:3">
      <c r="A6246" s="68">
        <v>39812</v>
      </c>
      <c r="B6246" s="33">
        <v>2234</v>
      </c>
      <c r="C6246">
        <f t="shared" si="127"/>
        <v>2008</v>
      </c>
    </row>
    <row r="6247" spans="1:3">
      <c r="A6247" s="68">
        <v>39813</v>
      </c>
      <c r="B6247" s="32">
        <v>2243.59</v>
      </c>
      <c r="C6247">
        <f t="shared" si="127"/>
        <v>2008</v>
      </c>
    </row>
    <row r="6248" spans="1:3">
      <c r="A6248" s="68">
        <v>39814</v>
      </c>
      <c r="B6248" s="33">
        <v>2243.59</v>
      </c>
      <c r="C6248">
        <f t="shared" si="127"/>
        <v>2009</v>
      </c>
    </row>
    <row r="6249" spans="1:3">
      <c r="A6249" s="68">
        <v>39815</v>
      </c>
      <c r="B6249" s="32">
        <v>2243.59</v>
      </c>
      <c r="C6249">
        <f t="shared" si="127"/>
        <v>2009</v>
      </c>
    </row>
    <row r="6250" spans="1:3">
      <c r="A6250" s="68">
        <v>39816</v>
      </c>
      <c r="B6250" s="33">
        <v>2234.81</v>
      </c>
      <c r="C6250">
        <f t="shared" si="127"/>
        <v>2009</v>
      </c>
    </row>
    <row r="6251" spans="1:3">
      <c r="A6251" s="68">
        <v>39817</v>
      </c>
      <c r="B6251" s="32">
        <v>2234.81</v>
      </c>
      <c r="C6251">
        <f t="shared" si="127"/>
        <v>2009</v>
      </c>
    </row>
    <row r="6252" spans="1:3">
      <c r="A6252" s="68">
        <v>39818</v>
      </c>
      <c r="B6252" s="33">
        <v>2234.81</v>
      </c>
      <c r="C6252">
        <f t="shared" si="127"/>
        <v>2009</v>
      </c>
    </row>
    <row r="6253" spans="1:3">
      <c r="A6253" s="68">
        <v>39819</v>
      </c>
      <c r="B6253" s="32">
        <v>2227.2399999999998</v>
      </c>
      <c r="C6253">
        <f t="shared" si="127"/>
        <v>2009</v>
      </c>
    </row>
    <row r="6254" spans="1:3">
      <c r="A6254" s="68">
        <v>39820</v>
      </c>
      <c r="B6254" s="33">
        <v>2197.7199999999998</v>
      </c>
      <c r="C6254">
        <f t="shared" si="127"/>
        <v>2009</v>
      </c>
    </row>
    <row r="6255" spans="1:3">
      <c r="A6255" s="68">
        <v>39821</v>
      </c>
      <c r="B6255" s="32">
        <v>2214.13</v>
      </c>
      <c r="C6255">
        <f t="shared" si="127"/>
        <v>2009</v>
      </c>
    </row>
    <row r="6256" spans="1:3">
      <c r="A6256" s="68">
        <v>39822</v>
      </c>
      <c r="B6256" s="33">
        <v>2220.8200000000002</v>
      </c>
      <c r="C6256">
        <f t="shared" si="127"/>
        <v>2009</v>
      </c>
    </row>
    <row r="6257" spans="1:3">
      <c r="A6257" s="68">
        <v>39823</v>
      </c>
      <c r="B6257" s="32">
        <v>2216.23</v>
      </c>
      <c r="C6257">
        <f t="shared" si="127"/>
        <v>2009</v>
      </c>
    </row>
    <row r="6258" spans="1:3">
      <c r="A6258" s="68">
        <v>39824</v>
      </c>
      <c r="B6258" s="33">
        <v>2216.23</v>
      </c>
      <c r="C6258">
        <f t="shared" si="127"/>
        <v>2009</v>
      </c>
    </row>
    <row r="6259" spans="1:3">
      <c r="A6259" s="68">
        <v>39825</v>
      </c>
      <c r="B6259" s="32">
        <v>2216.23</v>
      </c>
      <c r="C6259">
        <f t="shared" si="127"/>
        <v>2009</v>
      </c>
    </row>
    <row r="6260" spans="1:3">
      <c r="A6260" s="68">
        <v>39826</v>
      </c>
      <c r="B6260" s="33">
        <v>2216.23</v>
      </c>
      <c r="C6260">
        <f t="shared" si="127"/>
        <v>2009</v>
      </c>
    </row>
    <row r="6261" spans="1:3">
      <c r="A6261" s="68">
        <v>39827</v>
      </c>
      <c r="B6261" s="32">
        <v>2226.87</v>
      </c>
      <c r="C6261">
        <f t="shared" si="127"/>
        <v>2009</v>
      </c>
    </row>
    <row r="6262" spans="1:3">
      <c r="A6262" s="68">
        <v>39828</v>
      </c>
      <c r="B6262" s="33">
        <v>2234.4</v>
      </c>
      <c r="C6262">
        <f t="shared" si="127"/>
        <v>2009</v>
      </c>
    </row>
    <row r="6263" spans="1:3">
      <c r="A6263" s="68">
        <v>39829</v>
      </c>
      <c r="B6263" s="32">
        <v>2249.64</v>
      </c>
      <c r="C6263">
        <f t="shared" si="127"/>
        <v>2009</v>
      </c>
    </row>
    <row r="6264" spans="1:3">
      <c r="A6264" s="68">
        <v>39830</v>
      </c>
      <c r="B6264" s="33">
        <v>2227.6799999999998</v>
      </c>
      <c r="C6264">
        <f t="shared" si="127"/>
        <v>2009</v>
      </c>
    </row>
    <row r="6265" spans="1:3">
      <c r="A6265" s="68">
        <v>39831</v>
      </c>
      <c r="B6265" s="32">
        <v>2227.6799999999998</v>
      </c>
      <c r="C6265">
        <f t="shared" si="127"/>
        <v>2009</v>
      </c>
    </row>
    <row r="6266" spans="1:3">
      <c r="A6266" s="68">
        <v>39832</v>
      </c>
      <c r="B6266" s="33">
        <v>2227.6799999999998</v>
      </c>
      <c r="C6266">
        <f t="shared" si="127"/>
        <v>2009</v>
      </c>
    </row>
    <row r="6267" spans="1:3">
      <c r="A6267" s="68">
        <v>39833</v>
      </c>
      <c r="B6267" s="32">
        <v>2227.6799999999998</v>
      </c>
      <c r="C6267">
        <f t="shared" si="127"/>
        <v>2009</v>
      </c>
    </row>
    <row r="6268" spans="1:3">
      <c r="A6268" s="68">
        <v>39834</v>
      </c>
      <c r="B6268" s="33">
        <v>2245.2800000000002</v>
      </c>
      <c r="C6268">
        <f t="shared" si="127"/>
        <v>2009</v>
      </c>
    </row>
    <row r="6269" spans="1:3">
      <c r="A6269" s="68">
        <v>39835</v>
      </c>
      <c r="B6269" s="32">
        <v>2245.9699999999998</v>
      </c>
      <c r="C6269">
        <f t="shared" si="127"/>
        <v>2009</v>
      </c>
    </row>
    <row r="6270" spans="1:3">
      <c r="A6270" s="68">
        <v>39836</v>
      </c>
      <c r="B6270" s="33">
        <v>2247.87</v>
      </c>
      <c r="C6270">
        <f t="shared" si="127"/>
        <v>2009</v>
      </c>
    </row>
    <row r="6271" spans="1:3">
      <c r="A6271" s="68">
        <v>39837</v>
      </c>
      <c r="B6271" s="32">
        <v>2280.77</v>
      </c>
      <c r="C6271">
        <f t="shared" si="127"/>
        <v>2009</v>
      </c>
    </row>
    <row r="6272" spans="1:3">
      <c r="A6272" s="68">
        <v>39838</v>
      </c>
      <c r="B6272" s="33">
        <v>2280.77</v>
      </c>
      <c r="C6272">
        <f t="shared" si="127"/>
        <v>2009</v>
      </c>
    </row>
    <row r="6273" spans="1:3">
      <c r="A6273" s="68">
        <v>39839</v>
      </c>
      <c r="B6273" s="32">
        <v>2280.77</v>
      </c>
      <c r="C6273">
        <f t="shared" si="127"/>
        <v>2009</v>
      </c>
    </row>
    <row r="6274" spans="1:3">
      <c r="A6274" s="68">
        <v>39840</v>
      </c>
      <c r="B6274" s="33">
        <v>2280.4299999999998</v>
      </c>
      <c r="C6274">
        <f t="shared" si="127"/>
        <v>2009</v>
      </c>
    </row>
    <row r="6275" spans="1:3">
      <c r="A6275" s="68">
        <v>39841</v>
      </c>
      <c r="B6275" s="32">
        <v>2310.83</v>
      </c>
      <c r="C6275">
        <f t="shared" si="127"/>
        <v>2009</v>
      </c>
    </row>
    <row r="6276" spans="1:3">
      <c r="A6276" s="68">
        <v>39842</v>
      </c>
      <c r="B6276" s="33">
        <v>2341.09</v>
      </c>
      <c r="C6276">
        <f t="shared" ref="C6276:C6339" si="128">YEAR(A6276)</f>
        <v>2009</v>
      </c>
    </row>
    <row r="6277" spans="1:3">
      <c r="A6277" s="68">
        <v>39843</v>
      </c>
      <c r="B6277" s="32">
        <v>2386.58</v>
      </c>
      <c r="C6277">
        <f t="shared" si="128"/>
        <v>2009</v>
      </c>
    </row>
    <row r="6278" spans="1:3">
      <c r="A6278" s="68">
        <v>39844</v>
      </c>
      <c r="B6278" s="33">
        <v>2420.2600000000002</v>
      </c>
      <c r="C6278">
        <f t="shared" si="128"/>
        <v>2009</v>
      </c>
    </row>
    <row r="6279" spans="1:3">
      <c r="A6279" s="68">
        <v>39845</v>
      </c>
      <c r="B6279" s="32">
        <v>2420.2600000000002</v>
      </c>
      <c r="C6279">
        <f t="shared" si="128"/>
        <v>2009</v>
      </c>
    </row>
    <row r="6280" spans="1:3">
      <c r="A6280" s="68">
        <v>39846</v>
      </c>
      <c r="B6280" s="33">
        <v>2420.2600000000002</v>
      </c>
      <c r="C6280">
        <f t="shared" si="128"/>
        <v>2009</v>
      </c>
    </row>
    <row r="6281" spans="1:3">
      <c r="A6281" s="68">
        <v>39847</v>
      </c>
      <c r="B6281" s="32">
        <v>2450.7800000000002</v>
      </c>
      <c r="C6281">
        <f t="shared" si="128"/>
        <v>2009</v>
      </c>
    </row>
    <row r="6282" spans="1:3">
      <c r="A6282" s="68">
        <v>39848</v>
      </c>
      <c r="B6282" s="33">
        <v>2443.67</v>
      </c>
      <c r="C6282">
        <f t="shared" si="128"/>
        <v>2009</v>
      </c>
    </row>
    <row r="6283" spans="1:3">
      <c r="A6283" s="68">
        <v>39849</v>
      </c>
      <c r="B6283" s="32">
        <v>2469.02</v>
      </c>
      <c r="C6283">
        <f t="shared" si="128"/>
        <v>2009</v>
      </c>
    </row>
    <row r="6284" spans="1:3">
      <c r="A6284" s="68">
        <v>39850</v>
      </c>
      <c r="B6284" s="33">
        <v>2472.65</v>
      </c>
      <c r="C6284">
        <f t="shared" si="128"/>
        <v>2009</v>
      </c>
    </row>
    <row r="6285" spans="1:3">
      <c r="A6285" s="68">
        <v>39851</v>
      </c>
      <c r="B6285" s="32">
        <v>2449.4899999999998</v>
      </c>
      <c r="C6285">
        <f t="shared" si="128"/>
        <v>2009</v>
      </c>
    </row>
    <row r="6286" spans="1:3">
      <c r="A6286" s="68">
        <v>39852</v>
      </c>
      <c r="B6286" s="33">
        <v>2449.4899999999998</v>
      </c>
      <c r="C6286">
        <f t="shared" si="128"/>
        <v>2009</v>
      </c>
    </row>
    <row r="6287" spans="1:3">
      <c r="A6287" s="68">
        <v>39853</v>
      </c>
      <c r="B6287" s="32">
        <v>2449.4899999999998</v>
      </c>
      <c r="C6287">
        <f t="shared" si="128"/>
        <v>2009</v>
      </c>
    </row>
    <row r="6288" spans="1:3">
      <c r="A6288" s="68">
        <v>39854</v>
      </c>
      <c r="B6288" s="33">
        <v>2450.6</v>
      </c>
      <c r="C6288">
        <f t="shared" si="128"/>
        <v>2009</v>
      </c>
    </row>
    <row r="6289" spans="1:3">
      <c r="A6289" s="68">
        <v>39855</v>
      </c>
      <c r="B6289" s="32">
        <v>2494.0700000000002</v>
      </c>
      <c r="C6289">
        <f t="shared" si="128"/>
        <v>2009</v>
      </c>
    </row>
    <row r="6290" spans="1:3">
      <c r="A6290" s="68">
        <v>39856</v>
      </c>
      <c r="B6290" s="33">
        <v>2537.8200000000002</v>
      </c>
      <c r="C6290">
        <f t="shared" si="128"/>
        <v>2009</v>
      </c>
    </row>
    <row r="6291" spans="1:3">
      <c r="A6291" s="68">
        <v>39857</v>
      </c>
      <c r="B6291" s="32">
        <v>2520.06</v>
      </c>
      <c r="C6291">
        <f t="shared" si="128"/>
        <v>2009</v>
      </c>
    </row>
    <row r="6292" spans="1:3">
      <c r="A6292" s="68">
        <v>39858</v>
      </c>
      <c r="B6292" s="33">
        <v>2509.5</v>
      </c>
      <c r="C6292">
        <f t="shared" si="128"/>
        <v>2009</v>
      </c>
    </row>
    <row r="6293" spans="1:3">
      <c r="A6293" s="68">
        <v>39859</v>
      </c>
      <c r="B6293" s="32">
        <v>2509.5</v>
      </c>
      <c r="C6293">
        <f t="shared" si="128"/>
        <v>2009</v>
      </c>
    </row>
    <row r="6294" spans="1:3">
      <c r="A6294" s="68">
        <v>39860</v>
      </c>
      <c r="B6294" s="33">
        <v>2509.5</v>
      </c>
      <c r="C6294">
        <f t="shared" si="128"/>
        <v>2009</v>
      </c>
    </row>
    <row r="6295" spans="1:3">
      <c r="A6295" s="68">
        <v>39861</v>
      </c>
      <c r="B6295" s="32">
        <v>2509.5</v>
      </c>
      <c r="C6295">
        <f t="shared" si="128"/>
        <v>2009</v>
      </c>
    </row>
    <row r="6296" spans="1:3">
      <c r="A6296" s="68">
        <v>39862</v>
      </c>
      <c r="B6296" s="33">
        <v>2554.4</v>
      </c>
      <c r="C6296">
        <f t="shared" si="128"/>
        <v>2009</v>
      </c>
    </row>
    <row r="6297" spans="1:3">
      <c r="A6297" s="68">
        <v>39863</v>
      </c>
      <c r="B6297" s="32">
        <v>2558.14</v>
      </c>
      <c r="C6297">
        <f t="shared" si="128"/>
        <v>2009</v>
      </c>
    </row>
    <row r="6298" spans="1:3">
      <c r="A6298" s="68">
        <v>39864</v>
      </c>
      <c r="B6298" s="33">
        <v>2547.4</v>
      </c>
      <c r="C6298">
        <f t="shared" si="128"/>
        <v>2009</v>
      </c>
    </row>
    <row r="6299" spans="1:3">
      <c r="A6299" s="68">
        <v>39865</v>
      </c>
      <c r="B6299" s="32">
        <v>2588.31</v>
      </c>
      <c r="C6299">
        <f t="shared" si="128"/>
        <v>2009</v>
      </c>
    </row>
    <row r="6300" spans="1:3">
      <c r="A6300" s="68">
        <v>39866</v>
      </c>
      <c r="B6300" s="33">
        <v>2588.31</v>
      </c>
      <c r="C6300">
        <f t="shared" si="128"/>
        <v>2009</v>
      </c>
    </row>
    <row r="6301" spans="1:3">
      <c r="A6301" s="68">
        <v>39867</v>
      </c>
      <c r="B6301" s="32">
        <v>2588.31</v>
      </c>
      <c r="C6301">
        <f t="shared" si="128"/>
        <v>2009</v>
      </c>
    </row>
    <row r="6302" spans="1:3">
      <c r="A6302" s="68">
        <v>39868</v>
      </c>
      <c r="B6302" s="33">
        <v>2572.3000000000002</v>
      </c>
      <c r="C6302">
        <f t="shared" si="128"/>
        <v>2009</v>
      </c>
    </row>
    <row r="6303" spans="1:3">
      <c r="A6303" s="68">
        <v>39869</v>
      </c>
      <c r="B6303" s="32">
        <v>2596.37</v>
      </c>
      <c r="C6303">
        <f t="shared" si="128"/>
        <v>2009</v>
      </c>
    </row>
    <row r="6304" spans="1:3">
      <c r="A6304" s="68">
        <v>39870</v>
      </c>
      <c r="B6304" s="33">
        <v>2575.5</v>
      </c>
      <c r="C6304">
        <f t="shared" si="128"/>
        <v>2009</v>
      </c>
    </row>
    <row r="6305" spans="1:3">
      <c r="A6305" s="68">
        <v>39871</v>
      </c>
      <c r="B6305" s="32">
        <v>2555.0500000000002</v>
      </c>
      <c r="C6305">
        <f t="shared" si="128"/>
        <v>2009</v>
      </c>
    </row>
    <row r="6306" spans="1:3">
      <c r="A6306" s="68">
        <v>39872</v>
      </c>
      <c r="B6306" s="33">
        <v>2555.89</v>
      </c>
      <c r="C6306">
        <f t="shared" si="128"/>
        <v>2009</v>
      </c>
    </row>
    <row r="6307" spans="1:3">
      <c r="A6307" s="68">
        <v>39873</v>
      </c>
      <c r="B6307" s="32">
        <v>2555.89</v>
      </c>
      <c r="C6307">
        <f t="shared" si="128"/>
        <v>2009</v>
      </c>
    </row>
    <row r="6308" spans="1:3">
      <c r="A6308" s="68">
        <v>39874</v>
      </c>
      <c r="B6308" s="33">
        <v>2555.89</v>
      </c>
      <c r="C6308">
        <f t="shared" si="128"/>
        <v>2009</v>
      </c>
    </row>
    <row r="6309" spans="1:3">
      <c r="A6309" s="68">
        <v>39875</v>
      </c>
      <c r="B6309" s="32">
        <v>2590.9699999999998</v>
      </c>
      <c r="C6309">
        <f t="shared" si="128"/>
        <v>2009</v>
      </c>
    </row>
    <row r="6310" spans="1:3">
      <c r="A6310" s="68">
        <v>39876</v>
      </c>
      <c r="B6310" s="33">
        <v>2588.96</v>
      </c>
      <c r="C6310">
        <f t="shared" si="128"/>
        <v>2009</v>
      </c>
    </row>
    <row r="6311" spans="1:3">
      <c r="A6311" s="68">
        <v>39877</v>
      </c>
      <c r="B6311" s="32">
        <v>2589.48</v>
      </c>
      <c r="C6311">
        <f t="shared" si="128"/>
        <v>2009</v>
      </c>
    </row>
    <row r="6312" spans="1:3">
      <c r="A6312" s="68">
        <v>39878</v>
      </c>
      <c r="B6312" s="33">
        <v>2572.92</v>
      </c>
      <c r="C6312">
        <f t="shared" si="128"/>
        <v>2009</v>
      </c>
    </row>
    <row r="6313" spans="1:3">
      <c r="A6313" s="68">
        <v>39879</v>
      </c>
      <c r="B6313" s="32">
        <v>2548.5700000000002</v>
      </c>
      <c r="C6313">
        <f t="shared" si="128"/>
        <v>2009</v>
      </c>
    </row>
    <row r="6314" spans="1:3">
      <c r="A6314" s="68">
        <v>39880</v>
      </c>
      <c r="B6314" s="33">
        <v>2548.5700000000002</v>
      </c>
      <c r="C6314">
        <f t="shared" si="128"/>
        <v>2009</v>
      </c>
    </row>
    <row r="6315" spans="1:3">
      <c r="A6315" s="68">
        <v>39881</v>
      </c>
      <c r="B6315" s="32">
        <v>2548.5700000000002</v>
      </c>
      <c r="C6315">
        <f t="shared" si="128"/>
        <v>2009</v>
      </c>
    </row>
    <row r="6316" spans="1:3">
      <c r="A6316" s="68">
        <v>39882</v>
      </c>
      <c r="B6316" s="33">
        <v>2559.36</v>
      </c>
      <c r="C6316">
        <f t="shared" si="128"/>
        <v>2009</v>
      </c>
    </row>
    <row r="6317" spans="1:3">
      <c r="A6317" s="68">
        <v>39883</v>
      </c>
      <c r="B6317" s="32">
        <v>2525.06</v>
      </c>
      <c r="C6317">
        <f t="shared" si="128"/>
        <v>2009</v>
      </c>
    </row>
    <row r="6318" spans="1:3">
      <c r="A6318" s="68">
        <v>39884</v>
      </c>
      <c r="B6318" s="33">
        <v>2506.73</v>
      </c>
      <c r="C6318">
        <f t="shared" si="128"/>
        <v>2009</v>
      </c>
    </row>
    <row r="6319" spans="1:3">
      <c r="A6319" s="68">
        <v>39885</v>
      </c>
      <c r="B6319" s="32">
        <v>2481.2600000000002</v>
      </c>
      <c r="C6319">
        <f t="shared" si="128"/>
        <v>2009</v>
      </c>
    </row>
    <row r="6320" spans="1:3">
      <c r="A6320" s="68">
        <v>39886</v>
      </c>
      <c r="B6320" s="33">
        <v>2445.3000000000002</v>
      </c>
      <c r="C6320">
        <f t="shared" si="128"/>
        <v>2009</v>
      </c>
    </row>
    <row r="6321" spans="1:3">
      <c r="A6321" s="68">
        <v>39887</v>
      </c>
      <c r="B6321" s="32">
        <v>2445.3000000000002</v>
      </c>
      <c r="C6321">
        <f t="shared" si="128"/>
        <v>2009</v>
      </c>
    </row>
    <row r="6322" spans="1:3">
      <c r="A6322" s="68">
        <v>39888</v>
      </c>
      <c r="B6322" s="33">
        <v>2445.3000000000002</v>
      </c>
      <c r="C6322">
        <f t="shared" si="128"/>
        <v>2009</v>
      </c>
    </row>
    <row r="6323" spans="1:3">
      <c r="A6323" s="68">
        <v>39889</v>
      </c>
      <c r="B6323" s="32">
        <v>2390.96</v>
      </c>
      <c r="C6323">
        <f t="shared" si="128"/>
        <v>2009</v>
      </c>
    </row>
    <row r="6324" spans="1:3">
      <c r="A6324" s="68">
        <v>39890</v>
      </c>
      <c r="B6324" s="33">
        <v>2390.98</v>
      </c>
      <c r="C6324">
        <f t="shared" si="128"/>
        <v>2009</v>
      </c>
    </row>
    <row r="6325" spans="1:3">
      <c r="A6325" s="68">
        <v>39891</v>
      </c>
      <c r="B6325" s="32">
        <v>2383.15</v>
      </c>
      <c r="C6325">
        <f t="shared" si="128"/>
        <v>2009</v>
      </c>
    </row>
    <row r="6326" spans="1:3">
      <c r="A6326" s="68">
        <v>39892</v>
      </c>
      <c r="B6326" s="33">
        <v>2335.29</v>
      </c>
      <c r="C6326">
        <f t="shared" si="128"/>
        <v>2009</v>
      </c>
    </row>
    <row r="6327" spans="1:3">
      <c r="A6327" s="68">
        <v>39893</v>
      </c>
      <c r="B6327" s="32">
        <v>2340.83</v>
      </c>
      <c r="C6327">
        <f t="shared" si="128"/>
        <v>2009</v>
      </c>
    </row>
    <row r="6328" spans="1:3">
      <c r="A6328" s="68">
        <v>39894</v>
      </c>
      <c r="B6328" s="33">
        <v>2340.83</v>
      </c>
      <c r="C6328">
        <f t="shared" si="128"/>
        <v>2009</v>
      </c>
    </row>
    <row r="6329" spans="1:3">
      <c r="A6329" s="68">
        <v>39895</v>
      </c>
      <c r="B6329" s="32">
        <v>2340.83</v>
      </c>
      <c r="C6329">
        <f t="shared" si="128"/>
        <v>2009</v>
      </c>
    </row>
    <row r="6330" spans="1:3">
      <c r="A6330" s="68">
        <v>39896</v>
      </c>
      <c r="B6330" s="33">
        <v>2340.83</v>
      </c>
      <c r="C6330">
        <f t="shared" si="128"/>
        <v>2009</v>
      </c>
    </row>
    <row r="6331" spans="1:3">
      <c r="A6331" s="68">
        <v>39897</v>
      </c>
      <c r="B6331" s="32">
        <v>2353.21</v>
      </c>
      <c r="C6331">
        <f t="shared" si="128"/>
        <v>2009</v>
      </c>
    </row>
    <row r="6332" spans="1:3">
      <c r="A6332" s="68">
        <v>39898</v>
      </c>
      <c r="B6332" s="33">
        <v>2379.94</v>
      </c>
      <c r="C6332">
        <f t="shared" si="128"/>
        <v>2009</v>
      </c>
    </row>
    <row r="6333" spans="1:3">
      <c r="A6333" s="68">
        <v>39899</v>
      </c>
      <c r="B6333" s="32">
        <v>2435.81</v>
      </c>
      <c r="C6333">
        <f t="shared" si="128"/>
        <v>2009</v>
      </c>
    </row>
    <row r="6334" spans="1:3">
      <c r="A6334" s="68">
        <v>39900</v>
      </c>
      <c r="B6334" s="33">
        <v>2485.56</v>
      </c>
      <c r="C6334">
        <f t="shared" si="128"/>
        <v>2009</v>
      </c>
    </row>
    <row r="6335" spans="1:3">
      <c r="A6335" s="68">
        <v>39901</v>
      </c>
      <c r="B6335" s="32">
        <v>2485.56</v>
      </c>
      <c r="C6335">
        <f t="shared" si="128"/>
        <v>2009</v>
      </c>
    </row>
    <row r="6336" spans="1:3">
      <c r="A6336" s="68">
        <v>39902</v>
      </c>
      <c r="B6336" s="33">
        <v>2485.56</v>
      </c>
      <c r="C6336">
        <f t="shared" si="128"/>
        <v>2009</v>
      </c>
    </row>
    <row r="6337" spans="1:3">
      <c r="A6337" s="68">
        <v>39903</v>
      </c>
      <c r="B6337" s="32">
        <v>2561.21</v>
      </c>
      <c r="C6337">
        <f t="shared" si="128"/>
        <v>2009</v>
      </c>
    </row>
    <row r="6338" spans="1:3">
      <c r="A6338" s="68">
        <v>39904</v>
      </c>
      <c r="B6338" s="33">
        <v>2544.2399999999998</v>
      </c>
      <c r="C6338">
        <f t="shared" si="128"/>
        <v>2009</v>
      </c>
    </row>
    <row r="6339" spans="1:3">
      <c r="A6339" s="68">
        <v>39905</v>
      </c>
      <c r="B6339" s="32">
        <v>2534.9899999999998</v>
      </c>
      <c r="C6339">
        <f t="shared" si="128"/>
        <v>2009</v>
      </c>
    </row>
    <row r="6340" spans="1:3">
      <c r="A6340" s="68">
        <v>39906</v>
      </c>
      <c r="B6340" s="33">
        <v>2451.7199999999998</v>
      </c>
      <c r="C6340">
        <f t="shared" ref="C6340:C6403" si="129">YEAR(A6340)</f>
        <v>2009</v>
      </c>
    </row>
    <row r="6341" spans="1:3">
      <c r="A6341" s="68">
        <v>39907</v>
      </c>
      <c r="B6341" s="32">
        <v>2422.71</v>
      </c>
      <c r="C6341">
        <f t="shared" si="129"/>
        <v>2009</v>
      </c>
    </row>
    <row r="6342" spans="1:3">
      <c r="A6342" s="68">
        <v>39908</v>
      </c>
      <c r="B6342" s="33">
        <v>2422.71</v>
      </c>
      <c r="C6342">
        <f t="shared" si="129"/>
        <v>2009</v>
      </c>
    </row>
    <row r="6343" spans="1:3">
      <c r="A6343" s="68">
        <v>39909</v>
      </c>
      <c r="B6343" s="32">
        <v>2422.71</v>
      </c>
      <c r="C6343">
        <f t="shared" si="129"/>
        <v>2009</v>
      </c>
    </row>
    <row r="6344" spans="1:3">
      <c r="A6344" s="68">
        <v>39910</v>
      </c>
      <c r="B6344" s="33">
        <v>2408.42</v>
      </c>
      <c r="C6344">
        <f t="shared" si="129"/>
        <v>2009</v>
      </c>
    </row>
    <row r="6345" spans="1:3">
      <c r="A6345" s="68">
        <v>39911</v>
      </c>
      <c r="B6345" s="32">
        <v>2416.63</v>
      </c>
      <c r="C6345">
        <f t="shared" si="129"/>
        <v>2009</v>
      </c>
    </row>
    <row r="6346" spans="1:3">
      <c r="A6346" s="68">
        <v>39912</v>
      </c>
      <c r="B6346" s="33">
        <v>2388.11</v>
      </c>
      <c r="C6346">
        <f t="shared" si="129"/>
        <v>2009</v>
      </c>
    </row>
    <row r="6347" spans="1:3">
      <c r="A6347" s="68">
        <v>39913</v>
      </c>
      <c r="B6347" s="32">
        <v>2388.11</v>
      </c>
      <c r="C6347">
        <f t="shared" si="129"/>
        <v>2009</v>
      </c>
    </row>
    <row r="6348" spans="1:3">
      <c r="A6348" s="68">
        <v>39914</v>
      </c>
      <c r="B6348" s="33">
        <v>2388.11</v>
      </c>
      <c r="C6348">
        <f t="shared" si="129"/>
        <v>2009</v>
      </c>
    </row>
    <row r="6349" spans="1:3">
      <c r="A6349" s="68">
        <v>39915</v>
      </c>
      <c r="B6349" s="32">
        <v>2388.11</v>
      </c>
      <c r="C6349">
        <f t="shared" si="129"/>
        <v>2009</v>
      </c>
    </row>
    <row r="6350" spans="1:3">
      <c r="A6350" s="68">
        <v>39916</v>
      </c>
      <c r="B6350" s="33">
        <v>2388.11</v>
      </c>
      <c r="C6350">
        <f t="shared" si="129"/>
        <v>2009</v>
      </c>
    </row>
    <row r="6351" spans="1:3">
      <c r="A6351" s="68">
        <v>39917</v>
      </c>
      <c r="B6351" s="32">
        <v>2392.2199999999998</v>
      </c>
      <c r="C6351">
        <f t="shared" si="129"/>
        <v>2009</v>
      </c>
    </row>
    <row r="6352" spans="1:3">
      <c r="A6352" s="68">
        <v>39918</v>
      </c>
      <c r="B6352" s="33">
        <v>2394.27</v>
      </c>
      <c r="C6352">
        <f t="shared" si="129"/>
        <v>2009</v>
      </c>
    </row>
    <row r="6353" spans="1:3">
      <c r="A6353" s="68">
        <v>39919</v>
      </c>
      <c r="B6353" s="32">
        <v>2380.69</v>
      </c>
      <c r="C6353">
        <f t="shared" si="129"/>
        <v>2009</v>
      </c>
    </row>
    <row r="6354" spans="1:3">
      <c r="A6354" s="68">
        <v>39920</v>
      </c>
      <c r="B6354" s="33">
        <v>2344.98</v>
      </c>
      <c r="C6354">
        <f t="shared" si="129"/>
        <v>2009</v>
      </c>
    </row>
    <row r="6355" spans="1:3">
      <c r="A6355" s="68">
        <v>39921</v>
      </c>
      <c r="B6355" s="32">
        <v>2343.34</v>
      </c>
      <c r="C6355">
        <f t="shared" si="129"/>
        <v>2009</v>
      </c>
    </row>
    <row r="6356" spans="1:3">
      <c r="A6356" s="68">
        <v>39922</v>
      </c>
      <c r="B6356" s="33">
        <v>2343.34</v>
      </c>
      <c r="C6356">
        <f t="shared" si="129"/>
        <v>2009</v>
      </c>
    </row>
    <row r="6357" spans="1:3">
      <c r="A6357" s="68">
        <v>39923</v>
      </c>
      <c r="B6357" s="32">
        <v>2343.34</v>
      </c>
      <c r="C6357">
        <f t="shared" si="129"/>
        <v>2009</v>
      </c>
    </row>
    <row r="6358" spans="1:3">
      <c r="A6358" s="68">
        <v>39924</v>
      </c>
      <c r="B6358" s="33">
        <v>2376.38</v>
      </c>
      <c r="C6358">
        <f t="shared" si="129"/>
        <v>2009</v>
      </c>
    </row>
    <row r="6359" spans="1:3">
      <c r="A6359" s="68">
        <v>39925</v>
      </c>
      <c r="B6359" s="32">
        <v>2338.6</v>
      </c>
      <c r="C6359">
        <f t="shared" si="129"/>
        <v>2009</v>
      </c>
    </row>
    <row r="6360" spans="1:3">
      <c r="A6360" s="68">
        <v>39926</v>
      </c>
      <c r="B6360" s="33">
        <v>2318.83</v>
      </c>
      <c r="C6360">
        <f t="shared" si="129"/>
        <v>2009</v>
      </c>
    </row>
    <row r="6361" spans="1:3">
      <c r="A6361" s="68">
        <v>39927</v>
      </c>
      <c r="B6361" s="32">
        <v>2300.7399999999998</v>
      </c>
      <c r="C6361">
        <f t="shared" si="129"/>
        <v>2009</v>
      </c>
    </row>
    <row r="6362" spans="1:3">
      <c r="A6362" s="68">
        <v>39928</v>
      </c>
      <c r="B6362" s="33">
        <v>2283.1999999999998</v>
      </c>
      <c r="C6362">
        <f t="shared" si="129"/>
        <v>2009</v>
      </c>
    </row>
    <row r="6363" spans="1:3">
      <c r="A6363" s="68">
        <v>39929</v>
      </c>
      <c r="B6363" s="32">
        <v>2283.1999999999998</v>
      </c>
      <c r="C6363">
        <f t="shared" si="129"/>
        <v>2009</v>
      </c>
    </row>
    <row r="6364" spans="1:3">
      <c r="A6364" s="68">
        <v>39930</v>
      </c>
      <c r="B6364" s="33">
        <v>2283.1999999999998</v>
      </c>
      <c r="C6364">
        <f t="shared" si="129"/>
        <v>2009</v>
      </c>
    </row>
    <row r="6365" spans="1:3">
      <c r="A6365" s="68">
        <v>39931</v>
      </c>
      <c r="B6365" s="32">
        <v>2325.02</v>
      </c>
      <c r="C6365">
        <f t="shared" si="129"/>
        <v>2009</v>
      </c>
    </row>
    <row r="6366" spans="1:3">
      <c r="A6366" s="68">
        <v>39932</v>
      </c>
      <c r="B6366" s="33">
        <v>2332.4699999999998</v>
      </c>
      <c r="C6366">
        <f t="shared" si="129"/>
        <v>2009</v>
      </c>
    </row>
    <row r="6367" spans="1:3">
      <c r="A6367" s="68">
        <v>39933</v>
      </c>
      <c r="B6367" s="32">
        <v>2289.73</v>
      </c>
      <c r="C6367">
        <f t="shared" si="129"/>
        <v>2009</v>
      </c>
    </row>
    <row r="6368" spans="1:3">
      <c r="A6368" s="68">
        <v>39934</v>
      </c>
      <c r="B6368" s="33">
        <v>2288.64</v>
      </c>
      <c r="C6368">
        <f t="shared" si="129"/>
        <v>2009</v>
      </c>
    </row>
    <row r="6369" spans="1:3">
      <c r="A6369" s="68">
        <v>39935</v>
      </c>
      <c r="B6369" s="32">
        <v>2288.64</v>
      </c>
      <c r="C6369">
        <f t="shared" si="129"/>
        <v>2009</v>
      </c>
    </row>
    <row r="6370" spans="1:3">
      <c r="A6370" s="68">
        <v>39936</v>
      </c>
      <c r="B6370" s="33">
        <v>2288.64</v>
      </c>
      <c r="C6370">
        <f t="shared" si="129"/>
        <v>2009</v>
      </c>
    </row>
    <row r="6371" spans="1:3">
      <c r="A6371" s="68">
        <v>39937</v>
      </c>
      <c r="B6371" s="32">
        <v>2288.64</v>
      </c>
      <c r="C6371">
        <f t="shared" si="129"/>
        <v>2009</v>
      </c>
    </row>
    <row r="6372" spans="1:3">
      <c r="A6372" s="68">
        <v>39938</v>
      </c>
      <c r="B6372" s="33">
        <v>2272.5500000000002</v>
      </c>
      <c r="C6372">
        <f t="shared" si="129"/>
        <v>2009</v>
      </c>
    </row>
    <row r="6373" spans="1:3">
      <c r="A6373" s="68">
        <v>39939</v>
      </c>
      <c r="B6373" s="32">
        <v>2256.9899999999998</v>
      </c>
      <c r="C6373">
        <f t="shared" si="129"/>
        <v>2009</v>
      </c>
    </row>
    <row r="6374" spans="1:3">
      <c r="A6374" s="68">
        <v>39940</v>
      </c>
      <c r="B6374" s="33">
        <v>2233.5</v>
      </c>
      <c r="C6374">
        <f t="shared" si="129"/>
        <v>2009</v>
      </c>
    </row>
    <row r="6375" spans="1:3">
      <c r="A6375" s="68">
        <v>39941</v>
      </c>
      <c r="B6375" s="32">
        <v>2208.98</v>
      </c>
      <c r="C6375">
        <f t="shared" si="129"/>
        <v>2009</v>
      </c>
    </row>
    <row r="6376" spans="1:3">
      <c r="A6376" s="68">
        <v>39942</v>
      </c>
      <c r="B6376" s="33">
        <v>2210.35</v>
      </c>
      <c r="C6376">
        <f t="shared" si="129"/>
        <v>2009</v>
      </c>
    </row>
    <row r="6377" spans="1:3">
      <c r="A6377" s="68">
        <v>39943</v>
      </c>
      <c r="B6377" s="32">
        <v>2210.35</v>
      </c>
      <c r="C6377">
        <f t="shared" si="129"/>
        <v>2009</v>
      </c>
    </row>
    <row r="6378" spans="1:3">
      <c r="A6378" s="68">
        <v>39944</v>
      </c>
      <c r="B6378" s="33">
        <v>2210.35</v>
      </c>
      <c r="C6378">
        <f t="shared" si="129"/>
        <v>2009</v>
      </c>
    </row>
    <row r="6379" spans="1:3">
      <c r="A6379" s="68">
        <v>39945</v>
      </c>
      <c r="B6379" s="32">
        <v>2220.92</v>
      </c>
      <c r="C6379">
        <f t="shared" si="129"/>
        <v>2009</v>
      </c>
    </row>
    <row r="6380" spans="1:3">
      <c r="A6380" s="68">
        <v>39946</v>
      </c>
      <c r="B6380" s="33">
        <v>2221.4</v>
      </c>
      <c r="C6380">
        <f t="shared" si="129"/>
        <v>2009</v>
      </c>
    </row>
    <row r="6381" spans="1:3">
      <c r="A6381" s="68">
        <v>39947</v>
      </c>
      <c r="B6381" s="32">
        <v>2257.36</v>
      </c>
      <c r="C6381">
        <f t="shared" si="129"/>
        <v>2009</v>
      </c>
    </row>
    <row r="6382" spans="1:3">
      <c r="A6382" s="68">
        <v>39948</v>
      </c>
      <c r="B6382" s="33">
        <v>2251.5300000000002</v>
      </c>
      <c r="C6382">
        <f t="shared" si="129"/>
        <v>2009</v>
      </c>
    </row>
    <row r="6383" spans="1:3">
      <c r="A6383" s="68">
        <v>39949</v>
      </c>
      <c r="B6383" s="32">
        <v>2252.8000000000002</v>
      </c>
      <c r="C6383">
        <f t="shared" si="129"/>
        <v>2009</v>
      </c>
    </row>
    <row r="6384" spans="1:3">
      <c r="A6384" s="68">
        <v>39950</v>
      </c>
      <c r="B6384" s="33">
        <v>2252.8000000000002</v>
      </c>
      <c r="C6384">
        <f t="shared" si="129"/>
        <v>2009</v>
      </c>
    </row>
    <row r="6385" spans="1:3">
      <c r="A6385" s="68">
        <v>39951</v>
      </c>
      <c r="B6385" s="32">
        <v>2252.8000000000002</v>
      </c>
      <c r="C6385">
        <f t="shared" si="129"/>
        <v>2009</v>
      </c>
    </row>
    <row r="6386" spans="1:3">
      <c r="A6386" s="68">
        <v>39952</v>
      </c>
      <c r="B6386" s="33">
        <v>2255.2199999999998</v>
      </c>
      <c r="C6386">
        <f t="shared" si="129"/>
        <v>2009</v>
      </c>
    </row>
    <row r="6387" spans="1:3">
      <c r="A6387" s="68">
        <v>39953</v>
      </c>
      <c r="B6387" s="32">
        <v>2221.27</v>
      </c>
      <c r="C6387">
        <f t="shared" si="129"/>
        <v>2009</v>
      </c>
    </row>
    <row r="6388" spans="1:3">
      <c r="A6388" s="68">
        <v>39954</v>
      </c>
      <c r="B6388" s="33">
        <v>2196.21</v>
      </c>
      <c r="C6388">
        <f t="shared" si="129"/>
        <v>2009</v>
      </c>
    </row>
    <row r="6389" spans="1:3">
      <c r="A6389" s="68">
        <v>39955</v>
      </c>
      <c r="B6389" s="32">
        <v>2206.6</v>
      </c>
      <c r="C6389">
        <f t="shared" si="129"/>
        <v>2009</v>
      </c>
    </row>
    <row r="6390" spans="1:3">
      <c r="A6390" s="68">
        <v>39956</v>
      </c>
      <c r="B6390" s="33">
        <v>2201.44</v>
      </c>
      <c r="C6390">
        <f t="shared" si="129"/>
        <v>2009</v>
      </c>
    </row>
    <row r="6391" spans="1:3">
      <c r="A6391" s="68">
        <v>39957</v>
      </c>
      <c r="B6391" s="32">
        <v>2201.44</v>
      </c>
      <c r="C6391">
        <f t="shared" si="129"/>
        <v>2009</v>
      </c>
    </row>
    <row r="6392" spans="1:3">
      <c r="A6392" s="68">
        <v>39958</v>
      </c>
      <c r="B6392" s="33">
        <v>2201.44</v>
      </c>
      <c r="C6392">
        <f t="shared" si="129"/>
        <v>2009</v>
      </c>
    </row>
    <row r="6393" spans="1:3">
      <c r="A6393" s="68">
        <v>39959</v>
      </c>
      <c r="B6393" s="32">
        <v>2201.44</v>
      </c>
      <c r="C6393">
        <f t="shared" si="129"/>
        <v>2009</v>
      </c>
    </row>
    <row r="6394" spans="1:3">
      <c r="A6394" s="68">
        <v>39960</v>
      </c>
      <c r="B6394" s="33">
        <v>2213.89</v>
      </c>
      <c r="C6394">
        <f t="shared" si="129"/>
        <v>2009</v>
      </c>
    </row>
    <row r="6395" spans="1:3">
      <c r="A6395" s="68">
        <v>39961</v>
      </c>
      <c r="B6395" s="32">
        <v>2208.89</v>
      </c>
      <c r="C6395">
        <f t="shared" si="129"/>
        <v>2009</v>
      </c>
    </row>
    <row r="6396" spans="1:3">
      <c r="A6396" s="68">
        <v>39962</v>
      </c>
      <c r="B6396" s="33">
        <v>2190.4499999999998</v>
      </c>
      <c r="C6396">
        <f t="shared" si="129"/>
        <v>2009</v>
      </c>
    </row>
    <row r="6397" spans="1:3">
      <c r="A6397" s="68">
        <v>39963</v>
      </c>
      <c r="B6397" s="32">
        <v>2140.66</v>
      </c>
      <c r="C6397">
        <f t="shared" si="129"/>
        <v>2009</v>
      </c>
    </row>
    <row r="6398" spans="1:3">
      <c r="A6398" s="68">
        <v>39964</v>
      </c>
      <c r="B6398" s="33">
        <v>2140.66</v>
      </c>
      <c r="C6398">
        <f t="shared" si="129"/>
        <v>2009</v>
      </c>
    </row>
    <row r="6399" spans="1:3">
      <c r="A6399" s="68">
        <v>39965</v>
      </c>
      <c r="B6399" s="32">
        <v>2140.66</v>
      </c>
      <c r="C6399">
        <f t="shared" si="129"/>
        <v>2009</v>
      </c>
    </row>
    <row r="6400" spans="1:3">
      <c r="A6400" s="68">
        <v>39966</v>
      </c>
      <c r="B6400" s="33">
        <v>2109.42</v>
      </c>
      <c r="C6400">
        <f t="shared" si="129"/>
        <v>2009</v>
      </c>
    </row>
    <row r="6401" spans="1:3">
      <c r="A6401" s="68">
        <v>39967</v>
      </c>
      <c r="B6401" s="32">
        <v>2077.02</v>
      </c>
      <c r="C6401">
        <f t="shared" si="129"/>
        <v>2009</v>
      </c>
    </row>
    <row r="6402" spans="1:3">
      <c r="A6402" s="68">
        <v>39968</v>
      </c>
      <c r="B6402" s="33">
        <v>2073.5500000000002</v>
      </c>
      <c r="C6402">
        <f t="shared" si="129"/>
        <v>2009</v>
      </c>
    </row>
    <row r="6403" spans="1:3">
      <c r="A6403" s="68">
        <v>39969</v>
      </c>
      <c r="B6403" s="32">
        <v>2072</v>
      </c>
      <c r="C6403">
        <f t="shared" si="129"/>
        <v>2009</v>
      </c>
    </row>
    <row r="6404" spans="1:3">
      <c r="A6404" s="68">
        <v>39970</v>
      </c>
      <c r="B6404" s="33">
        <v>2063.1</v>
      </c>
      <c r="C6404">
        <f t="shared" ref="C6404:C6467" si="130">YEAR(A6404)</f>
        <v>2009</v>
      </c>
    </row>
    <row r="6405" spans="1:3">
      <c r="A6405" s="68">
        <v>39971</v>
      </c>
      <c r="B6405" s="32">
        <v>2063.1</v>
      </c>
      <c r="C6405">
        <f t="shared" si="130"/>
        <v>2009</v>
      </c>
    </row>
    <row r="6406" spans="1:3">
      <c r="A6406" s="68">
        <v>39972</v>
      </c>
      <c r="B6406" s="33">
        <v>2063.1</v>
      </c>
      <c r="C6406">
        <f t="shared" si="130"/>
        <v>2009</v>
      </c>
    </row>
    <row r="6407" spans="1:3">
      <c r="A6407" s="68">
        <v>39973</v>
      </c>
      <c r="B6407" s="32">
        <v>2091.1</v>
      </c>
      <c r="C6407">
        <f t="shared" si="130"/>
        <v>2009</v>
      </c>
    </row>
    <row r="6408" spans="1:3">
      <c r="A6408" s="68">
        <v>39974</v>
      </c>
      <c r="B6408" s="33">
        <v>2060.1799999999998</v>
      </c>
      <c r="C6408">
        <f t="shared" si="130"/>
        <v>2009</v>
      </c>
    </row>
    <row r="6409" spans="1:3">
      <c r="A6409" s="68">
        <v>39975</v>
      </c>
      <c r="B6409" s="32">
        <v>2042.19</v>
      </c>
      <c r="C6409">
        <f t="shared" si="130"/>
        <v>2009</v>
      </c>
    </row>
    <row r="6410" spans="1:3">
      <c r="A6410" s="68">
        <v>39976</v>
      </c>
      <c r="B6410" s="33">
        <v>2026.17</v>
      </c>
      <c r="C6410">
        <f t="shared" si="130"/>
        <v>2009</v>
      </c>
    </row>
    <row r="6411" spans="1:3">
      <c r="A6411" s="68">
        <v>39977</v>
      </c>
      <c r="B6411" s="32">
        <v>2015.4</v>
      </c>
      <c r="C6411">
        <f t="shared" si="130"/>
        <v>2009</v>
      </c>
    </row>
    <row r="6412" spans="1:3">
      <c r="A6412" s="68">
        <v>39978</v>
      </c>
      <c r="B6412" s="33">
        <v>2015.4</v>
      </c>
      <c r="C6412">
        <f t="shared" si="130"/>
        <v>2009</v>
      </c>
    </row>
    <row r="6413" spans="1:3">
      <c r="A6413" s="68">
        <v>39979</v>
      </c>
      <c r="B6413" s="32">
        <v>2015.4</v>
      </c>
      <c r="C6413">
        <f t="shared" si="130"/>
        <v>2009</v>
      </c>
    </row>
    <row r="6414" spans="1:3">
      <c r="A6414" s="68">
        <v>39980</v>
      </c>
      <c r="B6414" s="33">
        <v>2015.4</v>
      </c>
      <c r="C6414">
        <f t="shared" si="130"/>
        <v>2009</v>
      </c>
    </row>
    <row r="6415" spans="1:3">
      <c r="A6415" s="68">
        <v>39981</v>
      </c>
      <c r="B6415" s="32">
        <v>2014.91</v>
      </c>
      <c r="C6415">
        <f t="shared" si="130"/>
        <v>2009</v>
      </c>
    </row>
    <row r="6416" spans="1:3">
      <c r="A6416" s="68">
        <v>39982</v>
      </c>
      <c r="B6416" s="33">
        <v>2071.29</v>
      </c>
      <c r="C6416">
        <f t="shared" si="130"/>
        <v>2009</v>
      </c>
    </row>
    <row r="6417" spans="1:3">
      <c r="A6417" s="68">
        <v>39983</v>
      </c>
      <c r="B6417" s="32">
        <v>2074.7199999999998</v>
      </c>
      <c r="C6417">
        <f t="shared" si="130"/>
        <v>2009</v>
      </c>
    </row>
    <row r="6418" spans="1:3">
      <c r="A6418" s="68">
        <v>39984</v>
      </c>
      <c r="B6418" s="33">
        <v>2108.1999999999998</v>
      </c>
      <c r="C6418">
        <f t="shared" si="130"/>
        <v>2009</v>
      </c>
    </row>
    <row r="6419" spans="1:3">
      <c r="A6419" s="68">
        <v>39985</v>
      </c>
      <c r="B6419" s="32">
        <v>2108.1999999999998</v>
      </c>
      <c r="C6419">
        <f t="shared" si="130"/>
        <v>2009</v>
      </c>
    </row>
    <row r="6420" spans="1:3">
      <c r="A6420" s="68">
        <v>39986</v>
      </c>
      <c r="B6420" s="33">
        <v>2108.1999999999998</v>
      </c>
      <c r="C6420">
        <f t="shared" si="130"/>
        <v>2009</v>
      </c>
    </row>
    <row r="6421" spans="1:3">
      <c r="A6421" s="68">
        <v>39987</v>
      </c>
      <c r="B6421" s="32">
        <v>2108.1999999999998</v>
      </c>
      <c r="C6421">
        <f t="shared" si="130"/>
        <v>2009</v>
      </c>
    </row>
    <row r="6422" spans="1:3">
      <c r="A6422" s="68">
        <v>39988</v>
      </c>
      <c r="B6422" s="33">
        <v>2165</v>
      </c>
      <c r="C6422">
        <f t="shared" si="130"/>
        <v>2009</v>
      </c>
    </row>
    <row r="6423" spans="1:3">
      <c r="A6423" s="68">
        <v>39989</v>
      </c>
      <c r="B6423" s="32">
        <v>2158.7199999999998</v>
      </c>
      <c r="C6423">
        <f t="shared" si="130"/>
        <v>2009</v>
      </c>
    </row>
    <row r="6424" spans="1:3">
      <c r="A6424" s="68">
        <v>39990</v>
      </c>
      <c r="B6424" s="33">
        <v>2188.5</v>
      </c>
      <c r="C6424">
        <f t="shared" si="130"/>
        <v>2009</v>
      </c>
    </row>
    <row r="6425" spans="1:3">
      <c r="A6425" s="68">
        <v>39991</v>
      </c>
      <c r="B6425" s="32">
        <v>2158.67</v>
      </c>
      <c r="C6425">
        <f t="shared" si="130"/>
        <v>2009</v>
      </c>
    </row>
    <row r="6426" spans="1:3">
      <c r="A6426" s="68">
        <v>39992</v>
      </c>
      <c r="B6426" s="33">
        <v>2158.67</v>
      </c>
      <c r="C6426">
        <f t="shared" si="130"/>
        <v>2009</v>
      </c>
    </row>
    <row r="6427" spans="1:3">
      <c r="A6427" s="68">
        <v>39993</v>
      </c>
      <c r="B6427" s="32">
        <v>2158.67</v>
      </c>
      <c r="C6427">
        <f t="shared" si="130"/>
        <v>2009</v>
      </c>
    </row>
    <row r="6428" spans="1:3">
      <c r="A6428" s="68">
        <v>39994</v>
      </c>
      <c r="B6428" s="33">
        <v>2158.67</v>
      </c>
      <c r="C6428">
        <f t="shared" si="130"/>
        <v>2009</v>
      </c>
    </row>
    <row r="6429" spans="1:3">
      <c r="A6429" s="68">
        <v>39995</v>
      </c>
      <c r="B6429" s="32">
        <v>2145.21</v>
      </c>
      <c r="C6429">
        <f t="shared" si="130"/>
        <v>2009</v>
      </c>
    </row>
    <row r="6430" spans="1:3">
      <c r="A6430" s="68">
        <v>39996</v>
      </c>
      <c r="B6430" s="33">
        <v>2111.71</v>
      </c>
      <c r="C6430">
        <f t="shared" si="130"/>
        <v>2009</v>
      </c>
    </row>
    <row r="6431" spans="1:3">
      <c r="A6431" s="68">
        <v>39997</v>
      </c>
      <c r="B6431" s="32">
        <v>2096.23</v>
      </c>
      <c r="C6431">
        <f t="shared" si="130"/>
        <v>2009</v>
      </c>
    </row>
    <row r="6432" spans="1:3">
      <c r="A6432" s="68">
        <v>39998</v>
      </c>
      <c r="B6432" s="33">
        <v>2086.36</v>
      </c>
      <c r="C6432">
        <f t="shared" si="130"/>
        <v>2009</v>
      </c>
    </row>
    <row r="6433" spans="1:3">
      <c r="A6433" s="68">
        <v>39999</v>
      </c>
      <c r="B6433" s="32">
        <v>2086.36</v>
      </c>
      <c r="C6433">
        <f t="shared" si="130"/>
        <v>2009</v>
      </c>
    </row>
    <row r="6434" spans="1:3">
      <c r="A6434" s="68">
        <v>40000</v>
      </c>
      <c r="B6434" s="33">
        <v>2086.36</v>
      </c>
      <c r="C6434">
        <f t="shared" si="130"/>
        <v>2009</v>
      </c>
    </row>
    <row r="6435" spans="1:3">
      <c r="A6435" s="68">
        <v>40001</v>
      </c>
      <c r="B6435" s="32">
        <v>2109.08</v>
      </c>
      <c r="C6435">
        <f t="shared" si="130"/>
        <v>2009</v>
      </c>
    </row>
    <row r="6436" spans="1:3">
      <c r="A6436" s="68">
        <v>40002</v>
      </c>
      <c r="B6436" s="33">
        <v>2090.35</v>
      </c>
      <c r="C6436">
        <f t="shared" si="130"/>
        <v>2009</v>
      </c>
    </row>
    <row r="6437" spans="1:3">
      <c r="A6437" s="68">
        <v>40003</v>
      </c>
      <c r="B6437" s="32">
        <v>2108.1999999999998</v>
      </c>
      <c r="C6437">
        <f t="shared" si="130"/>
        <v>2009</v>
      </c>
    </row>
    <row r="6438" spans="1:3">
      <c r="A6438" s="68">
        <v>40004</v>
      </c>
      <c r="B6438" s="33">
        <v>2105.36</v>
      </c>
      <c r="C6438">
        <f t="shared" si="130"/>
        <v>2009</v>
      </c>
    </row>
    <row r="6439" spans="1:3">
      <c r="A6439" s="68">
        <v>40005</v>
      </c>
      <c r="B6439" s="32">
        <v>2116.9899999999998</v>
      </c>
      <c r="C6439">
        <f t="shared" si="130"/>
        <v>2009</v>
      </c>
    </row>
    <row r="6440" spans="1:3">
      <c r="A6440" s="68">
        <v>40006</v>
      </c>
      <c r="B6440" s="33">
        <v>2116.9899999999998</v>
      </c>
      <c r="C6440">
        <f t="shared" si="130"/>
        <v>2009</v>
      </c>
    </row>
    <row r="6441" spans="1:3">
      <c r="A6441" s="68">
        <v>40007</v>
      </c>
      <c r="B6441" s="32">
        <v>2116.9899999999998</v>
      </c>
      <c r="C6441">
        <f t="shared" si="130"/>
        <v>2009</v>
      </c>
    </row>
    <row r="6442" spans="1:3">
      <c r="A6442" s="68">
        <v>40008</v>
      </c>
      <c r="B6442" s="33">
        <v>2085.7399999999998</v>
      </c>
      <c r="C6442">
        <f t="shared" si="130"/>
        <v>2009</v>
      </c>
    </row>
    <row r="6443" spans="1:3">
      <c r="A6443" s="68">
        <v>40009</v>
      </c>
      <c r="B6443" s="32">
        <v>2054.19</v>
      </c>
      <c r="C6443">
        <f t="shared" si="130"/>
        <v>2009</v>
      </c>
    </row>
    <row r="6444" spans="1:3">
      <c r="A6444" s="68">
        <v>40010</v>
      </c>
      <c r="B6444" s="33">
        <v>2018.93</v>
      </c>
      <c r="C6444">
        <f t="shared" si="130"/>
        <v>2009</v>
      </c>
    </row>
    <row r="6445" spans="1:3">
      <c r="A6445" s="68">
        <v>40011</v>
      </c>
      <c r="B6445" s="32">
        <v>2025.71</v>
      </c>
      <c r="C6445">
        <f t="shared" si="130"/>
        <v>2009</v>
      </c>
    </row>
    <row r="6446" spans="1:3">
      <c r="A6446" s="68">
        <v>40012</v>
      </c>
      <c r="B6446" s="33">
        <v>2006.82</v>
      </c>
      <c r="C6446">
        <f t="shared" si="130"/>
        <v>2009</v>
      </c>
    </row>
    <row r="6447" spans="1:3">
      <c r="A6447" s="68">
        <v>40013</v>
      </c>
      <c r="B6447" s="32">
        <v>2006.82</v>
      </c>
      <c r="C6447">
        <f t="shared" si="130"/>
        <v>2009</v>
      </c>
    </row>
    <row r="6448" spans="1:3">
      <c r="A6448" s="68">
        <v>40014</v>
      </c>
      <c r="B6448" s="33">
        <v>2006.82</v>
      </c>
      <c r="C6448">
        <f t="shared" si="130"/>
        <v>2009</v>
      </c>
    </row>
    <row r="6449" spans="1:3">
      <c r="A6449" s="68">
        <v>40015</v>
      </c>
      <c r="B6449" s="32">
        <v>2006.82</v>
      </c>
      <c r="C6449">
        <f t="shared" si="130"/>
        <v>2009</v>
      </c>
    </row>
    <row r="6450" spans="1:3">
      <c r="A6450" s="68">
        <v>40016</v>
      </c>
      <c r="B6450" s="33">
        <v>1986.35</v>
      </c>
      <c r="C6450">
        <f t="shared" si="130"/>
        <v>2009</v>
      </c>
    </row>
    <row r="6451" spans="1:3">
      <c r="A6451" s="68">
        <v>40017</v>
      </c>
      <c r="B6451" s="32">
        <v>1975.05</v>
      </c>
      <c r="C6451">
        <f t="shared" si="130"/>
        <v>2009</v>
      </c>
    </row>
    <row r="6452" spans="1:3">
      <c r="A6452" s="68">
        <v>40018</v>
      </c>
      <c r="B6452" s="33">
        <v>1953.12</v>
      </c>
      <c r="C6452">
        <f t="shared" si="130"/>
        <v>2009</v>
      </c>
    </row>
    <row r="6453" spans="1:3">
      <c r="A6453" s="68">
        <v>40019</v>
      </c>
      <c r="B6453" s="32">
        <v>1970.11</v>
      </c>
      <c r="C6453">
        <f t="shared" si="130"/>
        <v>2009</v>
      </c>
    </row>
    <row r="6454" spans="1:3">
      <c r="A6454" s="68">
        <v>40020</v>
      </c>
      <c r="B6454" s="33">
        <v>1970.11</v>
      </c>
      <c r="C6454">
        <f t="shared" si="130"/>
        <v>2009</v>
      </c>
    </row>
    <row r="6455" spans="1:3">
      <c r="A6455" s="68">
        <v>40021</v>
      </c>
      <c r="B6455" s="32">
        <v>1970.11</v>
      </c>
      <c r="C6455">
        <f t="shared" si="130"/>
        <v>2009</v>
      </c>
    </row>
    <row r="6456" spans="1:3">
      <c r="A6456" s="68">
        <v>40022</v>
      </c>
      <c r="B6456" s="33">
        <v>1982.43</v>
      </c>
      <c r="C6456">
        <f t="shared" si="130"/>
        <v>2009</v>
      </c>
    </row>
    <row r="6457" spans="1:3">
      <c r="A6457" s="68">
        <v>40023</v>
      </c>
      <c r="B6457" s="32">
        <v>2013.82</v>
      </c>
      <c r="C6457">
        <f t="shared" si="130"/>
        <v>2009</v>
      </c>
    </row>
    <row r="6458" spans="1:3">
      <c r="A6458" s="68">
        <v>40024</v>
      </c>
      <c r="B6458" s="33">
        <v>2073.92</v>
      </c>
      <c r="C6458">
        <f t="shared" si="130"/>
        <v>2009</v>
      </c>
    </row>
    <row r="6459" spans="1:3">
      <c r="A6459" s="68">
        <v>40025</v>
      </c>
      <c r="B6459" s="32">
        <v>2043.37</v>
      </c>
      <c r="C6459">
        <f t="shared" si="130"/>
        <v>2009</v>
      </c>
    </row>
    <row r="6460" spans="1:3">
      <c r="A6460" s="68">
        <v>40026</v>
      </c>
      <c r="B6460" s="33">
        <v>2040.95</v>
      </c>
      <c r="C6460">
        <f t="shared" si="130"/>
        <v>2009</v>
      </c>
    </row>
    <row r="6461" spans="1:3">
      <c r="A6461" s="68">
        <v>40027</v>
      </c>
      <c r="B6461" s="32">
        <v>2040.95</v>
      </c>
      <c r="C6461">
        <f t="shared" si="130"/>
        <v>2009</v>
      </c>
    </row>
    <row r="6462" spans="1:3">
      <c r="A6462" s="68">
        <v>40028</v>
      </c>
      <c r="B6462" s="33">
        <v>2040.95</v>
      </c>
      <c r="C6462">
        <f t="shared" si="130"/>
        <v>2009</v>
      </c>
    </row>
    <row r="6463" spans="1:3">
      <c r="A6463" s="68">
        <v>40029</v>
      </c>
      <c r="B6463" s="32">
        <v>2008.96</v>
      </c>
      <c r="C6463">
        <f t="shared" si="130"/>
        <v>2009</v>
      </c>
    </row>
    <row r="6464" spans="1:3">
      <c r="A6464" s="68">
        <v>40030</v>
      </c>
      <c r="B6464" s="33">
        <v>1992.98</v>
      </c>
      <c r="C6464">
        <f t="shared" si="130"/>
        <v>2009</v>
      </c>
    </row>
    <row r="6465" spans="1:3">
      <c r="A6465" s="68">
        <v>40031</v>
      </c>
      <c r="B6465" s="32">
        <v>1987.84</v>
      </c>
      <c r="C6465">
        <f t="shared" si="130"/>
        <v>2009</v>
      </c>
    </row>
    <row r="6466" spans="1:3">
      <c r="A6466" s="68">
        <v>40032</v>
      </c>
      <c r="B6466" s="33">
        <v>1997.01</v>
      </c>
      <c r="C6466">
        <f t="shared" si="130"/>
        <v>2009</v>
      </c>
    </row>
    <row r="6467" spans="1:3">
      <c r="A6467" s="68">
        <v>40033</v>
      </c>
      <c r="B6467" s="32">
        <v>1997.01</v>
      </c>
      <c r="C6467">
        <f t="shared" si="130"/>
        <v>2009</v>
      </c>
    </row>
    <row r="6468" spans="1:3">
      <c r="A6468" s="68">
        <v>40034</v>
      </c>
      <c r="B6468" s="33">
        <v>1997.01</v>
      </c>
      <c r="C6468">
        <f t="shared" ref="C6468:C6531" si="131">YEAR(A6468)</f>
        <v>2009</v>
      </c>
    </row>
    <row r="6469" spans="1:3">
      <c r="A6469" s="68">
        <v>40035</v>
      </c>
      <c r="B6469" s="32">
        <v>1997.01</v>
      </c>
      <c r="C6469">
        <f t="shared" si="131"/>
        <v>2009</v>
      </c>
    </row>
    <row r="6470" spans="1:3">
      <c r="A6470" s="68">
        <v>40036</v>
      </c>
      <c r="B6470" s="33">
        <v>2022.56</v>
      </c>
      <c r="C6470">
        <f t="shared" si="131"/>
        <v>2009</v>
      </c>
    </row>
    <row r="6471" spans="1:3">
      <c r="A6471" s="68">
        <v>40037</v>
      </c>
      <c r="B6471" s="32">
        <v>2050.4499999999998</v>
      </c>
      <c r="C6471">
        <f t="shared" si="131"/>
        <v>2009</v>
      </c>
    </row>
    <row r="6472" spans="1:3">
      <c r="A6472" s="68">
        <v>40038</v>
      </c>
      <c r="B6472" s="33">
        <v>2026.45</v>
      </c>
      <c r="C6472">
        <f t="shared" si="131"/>
        <v>2009</v>
      </c>
    </row>
    <row r="6473" spans="1:3">
      <c r="A6473" s="68">
        <v>40039</v>
      </c>
      <c r="B6473" s="32">
        <v>1999.98</v>
      </c>
      <c r="C6473">
        <f t="shared" si="131"/>
        <v>2009</v>
      </c>
    </row>
    <row r="6474" spans="1:3">
      <c r="A6474" s="68">
        <v>40040</v>
      </c>
      <c r="B6474" s="33">
        <v>2016.09</v>
      </c>
      <c r="C6474">
        <f t="shared" si="131"/>
        <v>2009</v>
      </c>
    </row>
    <row r="6475" spans="1:3">
      <c r="A6475" s="68">
        <v>40041</v>
      </c>
      <c r="B6475" s="32">
        <v>2016.09</v>
      </c>
      <c r="C6475">
        <f t="shared" si="131"/>
        <v>2009</v>
      </c>
    </row>
    <row r="6476" spans="1:3">
      <c r="A6476" s="68">
        <v>40042</v>
      </c>
      <c r="B6476" s="33">
        <v>2016.09</v>
      </c>
      <c r="C6476">
        <f t="shared" si="131"/>
        <v>2009</v>
      </c>
    </row>
    <row r="6477" spans="1:3">
      <c r="A6477" s="68">
        <v>40043</v>
      </c>
      <c r="B6477" s="32">
        <v>2016.09</v>
      </c>
      <c r="C6477">
        <f t="shared" si="131"/>
        <v>2009</v>
      </c>
    </row>
    <row r="6478" spans="1:3">
      <c r="A6478" s="68">
        <v>40044</v>
      </c>
      <c r="B6478" s="33">
        <v>2037.1</v>
      </c>
      <c r="C6478">
        <f t="shared" si="131"/>
        <v>2009</v>
      </c>
    </row>
    <row r="6479" spans="1:3">
      <c r="A6479" s="68">
        <v>40045</v>
      </c>
      <c r="B6479" s="32">
        <v>2041.91</v>
      </c>
      <c r="C6479">
        <f t="shared" si="131"/>
        <v>2009</v>
      </c>
    </row>
    <row r="6480" spans="1:3">
      <c r="A6480" s="68">
        <v>40046</v>
      </c>
      <c r="B6480" s="33">
        <v>2012.67</v>
      </c>
      <c r="C6480">
        <f t="shared" si="131"/>
        <v>2009</v>
      </c>
    </row>
    <row r="6481" spans="1:3">
      <c r="A6481" s="68">
        <v>40047</v>
      </c>
      <c r="B6481" s="32">
        <v>1997.31</v>
      </c>
      <c r="C6481">
        <f t="shared" si="131"/>
        <v>2009</v>
      </c>
    </row>
    <row r="6482" spans="1:3">
      <c r="A6482" s="68">
        <v>40048</v>
      </c>
      <c r="B6482" s="33">
        <v>1997.31</v>
      </c>
      <c r="C6482">
        <f t="shared" si="131"/>
        <v>2009</v>
      </c>
    </row>
    <row r="6483" spans="1:3">
      <c r="A6483" s="68">
        <v>40049</v>
      </c>
      <c r="B6483" s="32">
        <v>1997.31</v>
      </c>
      <c r="C6483">
        <f t="shared" si="131"/>
        <v>2009</v>
      </c>
    </row>
    <row r="6484" spans="1:3">
      <c r="A6484" s="68">
        <v>40050</v>
      </c>
      <c r="B6484" s="33">
        <v>1997.44</v>
      </c>
      <c r="C6484">
        <f t="shared" si="131"/>
        <v>2009</v>
      </c>
    </row>
    <row r="6485" spans="1:3">
      <c r="A6485" s="68">
        <v>40051</v>
      </c>
      <c r="B6485" s="32">
        <v>2007.2</v>
      </c>
      <c r="C6485">
        <f t="shared" si="131"/>
        <v>2009</v>
      </c>
    </row>
    <row r="6486" spans="1:3">
      <c r="A6486" s="68">
        <v>40052</v>
      </c>
      <c r="B6486" s="33">
        <v>2044.79</v>
      </c>
      <c r="C6486">
        <f t="shared" si="131"/>
        <v>2009</v>
      </c>
    </row>
    <row r="6487" spans="1:3">
      <c r="A6487" s="68">
        <v>40053</v>
      </c>
      <c r="B6487" s="32">
        <v>2043.65</v>
      </c>
      <c r="C6487">
        <f t="shared" si="131"/>
        <v>2009</v>
      </c>
    </row>
    <row r="6488" spans="1:3">
      <c r="A6488" s="68">
        <v>40054</v>
      </c>
      <c r="B6488" s="33">
        <v>2035</v>
      </c>
      <c r="C6488">
        <f t="shared" si="131"/>
        <v>2009</v>
      </c>
    </row>
    <row r="6489" spans="1:3">
      <c r="A6489" s="68">
        <v>40055</v>
      </c>
      <c r="B6489" s="32">
        <v>2035</v>
      </c>
      <c r="C6489">
        <f t="shared" si="131"/>
        <v>2009</v>
      </c>
    </row>
    <row r="6490" spans="1:3">
      <c r="A6490" s="68">
        <v>40056</v>
      </c>
      <c r="B6490" s="33">
        <v>2035</v>
      </c>
      <c r="C6490">
        <f t="shared" si="131"/>
        <v>2009</v>
      </c>
    </row>
    <row r="6491" spans="1:3">
      <c r="A6491" s="68">
        <v>40057</v>
      </c>
      <c r="B6491" s="32">
        <v>2057.81</v>
      </c>
      <c r="C6491">
        <f t="shared" si="131"/>
        <v>2009</v>
      </c>
    </row>
    <row r="6492" spans="1:3">
      <c r="A6492" s="68">
        <v>40058</v>
      </c>
      <c r="B6492" s="33">
        <v>2068.96</v>
      </c>
      <c r="C6492">
        <f t="shared" si="131"/>
        <v>2009</v>
      </c>
    </row>
    <row r="6493" spans="1:3">
      <c r="A6493" s="68">
        <v>40059</v>
      </c>
      <c r="B6493" s="32">
        <v>2065.73</v>
      </c>
      <c r="C6493">
        <f t="shared" si="131"/>
        <v>2009</v>
      </c>
    </row>
    <row r="6494" spans="1:3">
      <c r="A6494" s="68">
        <v>40060</v>
      </c>
      <c r="B6494" s="33">
        <v>2029.75</v>
      </c>
      <c r="C6494">
        <f t="shared" si="131"/>
        <v>2009</v>
      </c>
    </row>
    <row r="6495" spans="1:3">
      <c r="A6495" s="68">
        <v>40061</v>
      </c>
      <c r="B6495" s="32">
        <v>2018.72</v>
      </c>
      <c r="C6495">
        <f t="shared" si="131"/>
        <v>2009</v>
      </c>
    </row>
    <row r="6496" spans="1:3">
      <c r="A6496" s="68">
        <v>40062</v>
      </c>
      <c r="B6496" s="33">
        <v>2018.72</v>
      </c>
      <c r="C6496">
        <f t="shared" si="131"/>
        <v>2009</v>
      </c>
    </row>
    <row r="6497" spans="1:3">
      <c r="A6497" s="68">
        <v>40063</v>
      </c>
      <c r="B6497" s="32">
        <v>2018.72</v>
      </c>
      <c r="C6497">
        <f t="shared" si="131"/>
        <v>2009</v>
      </c>
    </row>
    <row r="6498" spans="1:3">
      <c r="A6498" s="68">
        <v>40064</v>
      </c>
      <c r="B6498" s="33">
        <v>2018.72</v>
      </c>
      <c r="C6498">
        <f t="shared" si="131"/>
        <v>2009</v>
      </c>
    </row>
    <row r="6499" spans="1:3">
      <c r="A6499" s="68">
        <v>40065</v>
      </c>
      <c r="B6499" s="32">
        <v>1994.44</v>
      </c>
      <c r="C6499">
        <f t="shared" si="131"/>
        <v>2009</v>
      </c>
    </row>
    <row r="6500" spans="1:3">
      <c r="A6500" s="68">
        <v>40066</v>
      </c>
      <c r="B6500" s="33">
        <v>1998.17</v>
      </c>
      <c r="C6500">
        <f t="shared" si="131"/>
        <v>2009</v>
      </c>
    </row>
    <row r="6501" spans="1:3">
      <c r="A6501" s="68">
        <v>40067</v>
      </c>
      <c r="B6501" s="32">
        <v>2008.95</v>
      </c>
      <c r="C6501">
        <f t="shared" si="131"/>
        <v>2009</v>
      </c>
    </row>
    <row r="6502" spans="1:3">
      <c r="A6502" s="68">
        <v>40068</v>
      </c>
      <c r="B6502" s="33">
        <v>1985.38</v>
      </c>
      <c r="C6502">
        <f t="shared" si="131"/>
        <v>2009</v>
      </c>
    </row>
    <row r="6503" spans="1:3">
      <c r="A6503" s="68">
        <v>40069</v>
      </c>
      <c r="B6503" s="32">
        <v>1985.38</v>
      </c>
      <c r="C6503">
        <f t="shared" si="131"/>
        <v>2009</v>
      </c>
    </row>
    <row r="6504" spans="1:3">
      <c r="A6504" s="68">
        <v>40070</v>
      </c>
      <c r="B6504" s="33">
        <v>1985.38</v>
      </c>
      <c r="C6504">
        <f t="shared" si="131"/>
        <v>2009</v>
      </c>
    </row>
    <row r="6505" spans="1:3">
      <c r="A6505" s="68">
        <v>40071</v>
      </c>
      <c r="B6505" s="32">
        <v>1998.99</v>
      </c>
      <c r="C6505">
        <f t="shared" si="131"/>
        <v>2009</v>
      </c>
    </row>
    <row r="6506" spans="1:3">
      <c r="A6506" s="68">
        <v>40072</v>
      </c>
      <c r="B6506" s="33">
        <v>1986.86</v>
      </c>
      <c r="C6506">
        <f t="shared" si="131"/>
        <v>2009</v>
      </c>
    </row>
    <row r="6507" spans="1:3">
      <c r="A6507" s="68">
        <v>40073</v>
      </c>
      <c r="B6507" s="32">
        <v>1960.76</v>
      </c>
      <c r="C6507">
        <f t="shared" si="131"/>
        <v>2009</v>
      </c>
    </row>
    <row r="6508" spans="1:3">
      <c r="A6508" s="68">
        <v>40074</v>
      </c>
      <c r="B6508" s="33">
        <v>1962.6</v>
      </c>
      <c r="C6508">
        <f t="shared" si="131"/>
        <v>2009</v>
      </c>
    </row>
    <row r="6509" spans="1:3">
      <c r="A6509" s="68">
        <v>40075</v>
      </c>
      <c r="B6509" s="32">
        <v>1951.38</v>
      </c>
      <c r="C6509">
        <f t="shared" si="131"/>
        <v>2009</v>
      </c>
    </row>
    <row r="6510" spans="1:3">
      <c r="A6510" s="68">
        <v>40076</v>
      </c>
      <c r="B6510" s="33">
        <v>1951.38</v>
      </c>
      <c r="C6510">
        <f t="shared" si="131"/>
        <v>2009</v>
      </c>
    </row>
    <row r="6511" spans="1:3">
      <c r="A6511" s="68">
        <v>40077</v>
      </c>
      <c r="B6511" s="32">
        <v>1951.38</v>
      </c>
      <c r="C6511">
        <f t="shared" si="131"/>
        <v>2009</v>
      </c>
    </row>
    <row r="6512" spans="1:3">
      <c r="A6512" s="68">
        <v>40078</v>
      </c>
      <c r="B6512" s="33">
        <v>1950.77</v>
      </c>
      <c r="C6512">
        <f t="shared" si="131"/>
        <v>2009</v>
      </c>
    </row>
    <row r="6513" spans="1:3">
      <c r="A6513" s="68">
        <v>40079</v>
      </c>
      <c r="B6513" s="32">
        <v>1914.47</v>
      </c>
      <c r="C6513">
        <f t="shared" si="131"/>
        <v>2009</v>
      </c>
    </row>
    <row r="6514" spans="1:3">
      <c r="A6514" s="68">
        <v>40080</v>
      </c>
      <c r="B6514" s="33">
        <v>1911.66</v>
      </c>
      <c r="C6514">
        <f t="shared" si="131"/>
        <v>2009</v>
      </c>
    </row>
    <row r="6515" spans="1:3">
      <c r="A6515" s="68">
        <v>40081</v>
      </c>
      <c r="B6515" s="32">
        <v>1922.5</v>
      </c>
      <c r="C6515">
        <f t="shared" si="131"/>
        <v>2009</v>
      </c>
    </row>
    <row r="6516" spans="1:3">
      <c r="A6516" s="68">
        <v>40082</v>
      </c>
      <c r="B6516" s="33">
        <v>1926.59</v>
      </c>
      <c r="C6516">
        <f t="shared" si="131"/>
        <v>2009</v>
      </c>
    </row>
    <row r="6517" spans="1:3">
      <c r="A6517" s="68">
        <v>40083</v>
      </c>
      <c r="B6517" s="32">
        <v>1926.59</v>
      </c>
      <c r="C6517">
        <f t="shared" si="131"/>
        <v>2009</v>
      </c>
    </row>
    <row r="6518" spans="1:3">
      <c r="A6518" s="68">
        <v>40084</v>
      </c>
      <c r="B6518" s="33">
        <v>1926.59</v>
      </c>
      <c r="C6518">
        <f t="shared" si="131"/>
        <v>2009</v>
      </c>
    </row>
    <row r="6519" spans="1:3">
      <c r="A6519" s="68">
        <v>40085</v>
      </c>
      <c r="B6519" s="32">
        <v>1921.64</v>
      </c>
      <c r="C6519">
        <f t="shared" si="131"/>
        <v>2009</v>
      </c>
    </row>
    <row r="6520" spans="1:3">
      <c r="A6520" s="68">
        <v>40086</v>
      </c>
      <c r="B6520" s="33">
        <v>1922</v>
      </c>
      <c r="C6520">
        <f t="shared" si="131"/>
        <v>2009</v>
      </c>
    </row>
    <row r="6521" spans="1:3">
      <c r="A6521" s="68">
        <v>40087</v>
      </c>
      <c r="B6521" s="32">
        <v>1925.49</v>
      </c>
      <c r="C6521">
        <f t="shared" si="131"/>
        <v>2009</v>
      </c>
    </row>
    <row r="6522" spans="1:3">
      <c r="A6522" s="68">
        <v>40088</v>
      </c>
      <c r="B6522" s="33">
        <v>1918.87</v>
      </c>
      <c r="C6522">
        <f t="shared" si="131"/>
        <v>2009</v>
      </c>
    </row>
    <row r="6523" spans="1:3">
      <c r="A6523" s="68">
        <v>40089</v>
      </c>
      <c r="B6523" s="32">
        <v>1919.75</v>
      </c>
      <c r="C6523">
        <f t="shared" si="131"/>
        <v>2009</v>
      </c>
    </row>
    <row r="6524" spans="1:3">
      <c r="A6524" s="68">
        <v>40090</v>
      </c>
      <c r="B6524" s="33">
        <v>1919.75</v>
      </c>
      <c r="C6524">
        <f t="shared" si="131"/>
        <v>2009</v>
      </c>
    </row>
    <row r="6525" spans="1:3">
      <c r="A6525" s="68">
        <v>40091</v>
      </c>
      <c r="B6525" s="32">
        <v>1919.75</v>
      </c>
      <c r="C6525">
        <f t="shared" si="131"/>
        <v>2009</v>
      </c>
    </row>
    <row r="6526" spans="1:3">
      <c r="A6526" s="68">
        <v>40092</v>
      </c>
      <c r="B6526" s="33">
        <v>1925.57</v>
      </c>
      <c r="C6526">
        <f t="shared" si="131"/>
        <v>2009</v>
      </c>
    </row>
    <row r="6527" spans="1:3">
      <c r="A6527" s="68">
        <v>40093</v>
      </c>
      <c r="B6527" s="32">
        <v>1906.59</v>
      </c>
      <c r="C6527">
        <f t="shared" si="131"/>
        <v>2009</v>
      </c>
    </row>
    <row r="6528" spans="1:3">
      <c r="A6528" s="68">
        <v>40094</v>
      </c>
      <c r="B6528" s="33">
        <v>1897.31</v>
      </c>
      <c r="C6528">
        <f t="shared" si="131"/>
        <v>2009</v>
      </c>
    </row>
    <row r="6529" spans="1:3">
      <c r="A6529" s="68">
        <v>40095</v>
      </c>
      <c r="B6529" s="32">
        <v>1870.96</v>
      </c>
      <c r="C6529">
        <f t="shared" si="131"/>
        <v>2009</v>
      </c>
    </row>
    <row r="6530" spans="1:3">
      <c r="A6530" s="68">
        <v>40096</v>
      </c>
      <c r="B6530" s="33">
        <v>1857.21</v>
      </c>
      <c r="C6530">
        <f t="shared" si="131"/>
        <v>2009</v>
      </c>
    </row>
    <row r="6531" spans="1:3">
      <c r="A6531" s="68">
        <v>40097</v>
      </c>
      <c r="B6531" s="32">
        <v>1857.21</v>
      </c>
      <c r="C6531">
        <f t="shared" si="131"/>
        <v>2009</v>
      </c>
    </row>
    <row r="6532" spans="1:3">
      <c r="A6532" s="68">
        <v>40098</v>
      </c>
      <c r="B6532" s="33">
        <v>1857.21</v>
      </c>
      <c r="C6532">
        <f t="shared" ref="C6532:C6595" si="132">YEAR(A6532)</f>
        <v>2009</v>
      </c>
    </row>
    <row r="6533" spans="1:3">
      <c r="A6533" s="68">
        <v>40099</v>
      </c>
      <c r="B6533" s="32">
        <v>1857.21</v>
      </c>
      <c r="C6533">
        <f t="shared" si="132"/>
        <v>2009</v>
      </c>
    </row>
    <row r="6534" spans="1:3">
      <c r="A6534" s="68">
        <v>40100</v>
      </c>
      <c r="B6534" s="33">
        <v>1825.68</v>
      </c>
      <c r="C6534">
        <f t="shared" si="132"/>
        <v>2009</v>
      </c>
    </row>
    <row r="6535" spans="1:3">
      <c r="A6535" s="68">
        <v>40101</v>
      </c>
      <c r="B6535" s="32">
        <v>1830.38</v>
      </c>
      <c r="C6535">
        <f t="shared" si="132"/>
        <v>2009</v>
      </c>
    </row>
    <row r="6536" spans="1:3">
      <c r="A6536" s="68">
        <v>40102</v>
      </c>
      <c r="B6536" s="33">
        <v>1838.26</v>
      </c>
      <c r="C6536">
        <f t="shared" si="132"/>
        <v>2009</v>
      </c>
    </row>
    <row r="6537" spans="1:3">
      <c r="A6537" s="68">
        <v>40103</v>
      </c>
      <c r="B6537" s="32">
        <v>1843.81</v>
      </c>
      <c r="C6537">
        <f t="shared" si="132"/>
        <v>2009</v>
      </c>
    </row>
    <row r="6538" spans="1:3">
      <c r="A6538" s="68">
        <v>40104</v>
      </c>
      <c r="B6538" s="33">
        <v>1843.81</v>
      </c>
      <c r="C6538">
        <f t="shared" si="132"/>
        <v>2009</v>
      </c>
    </row>
    <row r="6539" spans="1:3">
      <c r="A6539" s="68">
        <v>40105</v>
      </c>
      <c r="B6539" s="32">
        <v>1843.81</v>
      </c>
      <c r="C6539">
        <f t="shared" si="132"/>
        <v>2009</v>
      </c>
    </row>
    <row r="6540" spans="1:3">
      <c r="A6540" s="68">
        <v>40106</v>
      </c>
      <c r="B6540" s="33">
        <v>1858.4</v>
      </c>
      <c r="C6540">
        <f t="shared" si="132"/>
        <v>2009</v>
      </c>
    </row>
    <row r="6541" spans="1:3">
      <c r="A6541" s="68">
        <v>40107</v>
      </c>
      <c r="B6541" s="32">
        <v>1913.98</v>
      </c>
      <c r="C6541">
        <f t="shared" si="132"/>
        <v>2009</v>
      </c>
    </row>
    <row r="6542" spans="1:3">
      <c r="A6542" s="68">
        <v>40108</v>
      </c>
      <c r="B6542" s="33">
        <v>1910.04</v>
      </c>
      <c r="C6542">
        <f t="shared" si="132"/>
        <v>2009</v>
      </c>
    </row>
    <row r="6543" spans="1:3">
      <c r="A6543" s="68">
        <v>40109</v>
      </c>
      <c r="B6543" s="32">
        <v>1914.89</v>
      </c>
      <c r="C6543">
        <f t="shared" si="132"/>
        <v>2009</v>
      </c>
    </row>
    <row r="6544" spans="1:3">
      <c r="A6544" s="68">
        <v>40110</v>
      </c>
      <c r="B6544" s="33">
        <v>1924.35</v>
      </c>
      <c r="C6544">
        <f t="shared" si="132"/>
        <v>2009</v>
      </c>
    </row>
    <row r="6545" spans="1:3">
      <c r="A6545" s="68">
        <v>40111</v>
      </c>
      <c r="B6545" s="32">
        <v>1924.35</v>
      </c>
      <c r="C6545">
        <f t="shared" si="132"/>
        <v>2009</v>
      </c>
    </row>
    <row r="6546" spans="1:3">
      <c r="A6546" s="68">
        <v>40112</v>
      </c>
      <c r="B6546" s="33">
        <v>1924.35</v>
      </c>
      <c r="C6546">
        <f t="shared" si="132"/>
        <v>2009</v>
      </c>
    </row>
    <row r="6547" spans="1:3">
      <c r="A6547" s="68">
        <v>40113</v>
      </c>
      <c r="B6547" s="32">
        <v>1932.81</v>
      </c>
      <c r="C6547">
        <f t="shared" si="132"/>
        <v>2009</v>
      </c>
    </row>
    <row r="6548" spans="1:3">
      <c r="A6548" s="68">
        <v>40114</v>
      </c>
      <c r="B6548" s="33">
        <v>1977.26</v>
      </c>
      <c r="C6548">
        <f t="shared" si="132"/>
        <v>2009</v>
      </c>
    </row>
    <row r="6549" spans="1:3">
      <c r="A6549" s="68">
        <v>40115</v>
      </c>
      <c r="B6549" s="32">
        <v>2006.18</v>
      </c>
      <c r="C6549">
        <f t="shared" si="132"/>
        <v>2009</v>
      </c>
    </row>
    <row r="6550" spans="1:3">
      <c r="A6550" s="68">
        <v>40116</v>
      </c>
      <c r="B6550" s="33">
        <v>2004.37</v>
      </c>
      <c r="C6550">
        <f t="shared" si="132"/>
        <v>2009</v>
      </c>
    </row>
    <row r="6551" spans="1:3">
      <c r="A6551" s="68">
        <v>40117</v>
      </c>
      <c r="B6551" s="32">
        <v>1993.8</v>
      </c>
      <c r="C6551">
        <f t="shared" si="132"/>
        <v>2009</v>
      </c>
    </row>
    <row r="6552" spans="1:3">
      <c r="A6552" s="68">
        <v>40118</v>
      </c>
      <c r="B6552" s="33">
        <v>1993.8</v>
      </c>
      <c r="C6552">
        <f t="shared" si="132"/>
        <v>2009</v>
      </c>
    </row>
    <row r="6553" spans="1:3">
      <c r="A6553" s="68">
        <v>40119</v>
      </c>
      <c r="B6553" s="32">
        <v>1993.8</v>
      </c>
      <c r="C6553">
        <f t="shared" si="132"/>
        <v>2009</v>
      </c>
    </row>
    <row r="6554" spans="1:3">
      <c r="A6554" s="68">
        <v>40120</v>
      </c>
      <c r="B6554" s="33">
        <v>1993.8</v>
      </c>
      <c r="C6554">
        <f t="shared" si="132"/>
        <v>2009</v>
      </c>
    </row>
    <row r="6555" spans="1:3">
      <c r="A6555" s="68">
        <v>40121</v>
      </c>
      <c r="B6555" s="32">
        <v>2008.72</v>
      </c>
      <c r="C6555">
        <f t="shared" si="132"/>
        <v>2009</v>
      </c>
    </row>
    <row r="6556" spans="1:3">
      <c r="A6556" s="68">
        <v>40122</v>
      </c>
      <c r="B6556" s="33">
        <v>1963.7</v>
      </c>
      <c r="C6556">
        <f t="shared" si="132"/>
        <v>2009</v>
      </c>
    </row>
    <row r="6557" spans="1:3">
      <c r="A6557" s="68">
        <v>40123</v>
      </c>
      <c r="B6557" s="32">
        <v>1958.24</v>
      </c>
      <c r="C6557">
        <f t="shared" si="132"/>
        <v>2009</v>
      </c>
    </row>
    <row r="6558" spans="1:3">
      <c r="A6558" s="68">
        <v>40124</v>
      </c>
      <c r="B6558" s="33">
        <v>1981.61</v>
      </c>
      <c r="C6558">
        <f t="shared" si="132"/>
        <v>2009</v>
      </c>
    </row>
    <row r="6559" spans="1:3">
      <c r="A6559" s="68">
        <v>40125</v>
      </c>
      <c r="B6559" s="32">
        <v>1981.61</v>
      </c>
      <c r="C6559">
        <f t="shared" si="132"/>
        <v>2009</v>
      </c>
    </row>
    <row r="6560" spans="1:3">
      <c r="A6560" s="68">
        <v>40126</v>
      </c>
      <c r="B6560" s="33">
        <v>1981.61</v>
      </c>
      <c r="C6560">
        <f t="shared" si="132"/>
        <v>2009</v>
      </c>
    </row>
    <row r="6561" spans="1:3">
      <c r="A6561" s="68">
        <v>40127</v>
      </c>
      <c r="B6561" s="32">
        <v>1968.45</v>
      </c>
      <c r="C6561">
        <f t="shared" si="132"/>
        <v>2009</v>
      </c>
    </row>
    <row r="6562" spans="1:3">
      <c r="A6562" s="68">
        <v>40128</v>
      </c>
      <c r="B6562" s="33">
        <v>1969.52</v>
      </c>
      <c r="C6562">
        <f t="shared" si="132"/>
        <v>2009</v>
      </c>
    </row>
    <row r="6563" spans="1:3">
      <c r="A6563" s="68">
        <v>40129</v>
      </c>
      <c r="B6563" s="32">
        <v>1969.52</v>
      </c>
      <c r="C6563">
        <f t="shared" si="132"/>
        <v>2009</v>
      </c>
    </row>
    <row r="6564" spans="1:3">
      <c r="A6564" s="68">
        <v>40130</v>
      </c>
      <c r="B6564" s="33">
        <v>1976.89</v>
      </c>
      <c r="C6564">
        <f t="shared" si="132"/>
        <v>2009</v>
      </c>
    </row>
    <row r="6565" spans="1:3">
      <c r="A6565" s="68">
        <v>40131</v>
      </c>
      <c r="B6565" s="32">
        <v>1971.27</v>
      </c>
      <c r="C6565">
        <f t="shared" si="132"/>
        <v>2009</v>
      </c>
    </row>
    <row r="6566" spans="1:3">
      <c r="A6566" s="68">
        <v>40132</v>
      </c>
      <c r="B6566" s="33">
        <v>1971.27</v>
      </c>
      <c r="C6566">
        <f t="shared" si="132"/>
        <v>2009</v>
      </c>
    </row>
    <row r="6567" spans="1:3">
      <c r="A6567" s="68">
        <v>40133</v>
      </c>
      <c r="B6567" s="32">
        <v>1971.27</v>
      </c>
      <c r="C6567">
        <f t="shared" si="132"/>
        <v>2009</v>
      </c>
    </row>
    <row r="6568" spans="1:3">
      <c r="A6568" s="68">
        <v>40134</v>
      </c>
      <c r="B6568" s="33">
        <v>1971.27</v>
      </c>
      <c r="C6568">
        <f t="shared" si="132"/>
        <v>2009</v>
      </c>
    </row>
    <row r="6569" spans="1:3">
      <c r="A6569" s="68">
        <v>40135</v>
      </c>
      <c r="B6569" s="32">
        <v>1966.22</v>
      </c>
      <c r="C6569">
        <f t="shared" si="132"/>
        <v>2009</v>
      </c>
    </row>
    <row r="6570" spans="1:3">
      <c r="A6570" s="68">
        <v>40136</v>
      </c>
      <c r="B6570" s="33">
        <v>1953.45</v>
      </c>
      <c r="C6570">
        <f t="shared" si="132"/>
        <v>2009</v>
      </c>
    </row>
    <row r="6571" spans="1:3">
      <c r="A6571" s="68">
        <v>40137</v>
      </c>
      <c r="B6571" s="32">
        <v>1962.33</v>
      </c>
      <c r="C6571">
        <f t="shared" si="132"/>
        <v>2009</v>
      </c>
    </row>
    <row r="6572" spans="1:3">
      <c r="A6572" s="68">
        <v>40138</v>
      </c>
      <c r="B6572" s="33">
        <v>1974.47</v>
      </c>
      <c r="C6572">
        <f t="shared" si="132"/>
        <v>2009</v>
      </c>
    </row>
    <row r="6573" spans="1:3">
      <c r="A6573" s="68">
        <v>40139</v>
      </c>
      <c r="B6573" s="32">
        <v>1974.47</v>
      </c>
      <c r="C6573">
        <f t="shared" si="132"/>
        <v>2009</v>
      </c>
    </row>
    <row r="6574" spans="1:3">
      <c r="A6574" s="68">
        <v>40140</v>
      </c>
      <c r="B6574" s="33">
        <v>1974.47</v>
      </c>
      <c r="C6574">
        <f t="shared" si="132"/>
        <v>2009</v>
      </c>
    </row>
    <row r="6575" spans="1:3">
      <c r="A6575" s="68">
        <v>40141</v>
      </c>
      <c r="B6575" s="32">
        <v>1964.92</v>
      </c>
      <c r="C6575">
        <f t="shared" si="132"/>
        <v>2009</v>
      </c>
    </row>
    <row r="6576" spans="1:3">
      <c r="A6576" s="68">
        <v>40142</v>
      </c>
      <c r="B6576" s="33">
        <v>1969.01</v>
      </c>
      <c r="C6576">
        <f t="shared" si="132"/>
        <v>2009</v>
      </c>
    </row>
    <row r="6577" spans="1:3">
      <c r="A6577" s="68">
        <v>40143</v>
      </c>
      <c r="B6577" s="32">
        <v>1974.14</v>
      </c>
      <c r="C6577">
        <f t="shared" si="132"/>
        <v>2009</v>
      </c>
    </row>
    <row r="6578" spans="1:3">
      <c r="A6578" s="68">
        <v>40144</v>
      </c>
      <c r="B6578" s="33">
        <v>1974.14</v>
      </c>
      <c r="C6578">
        <f t="shared" si="132"/>
        <v>2009</v>
      </c>
    </row>
    <row r="6579" spans="1:3">
      <c r="A6579" s="68">
        <v>40145</v>
      </c>
      <c r="B6579" s="32">
        <v>1997.47</v>
      </c>
      <c r="C6579">
        <f t="shared" si="132"/>
        <v>2009</v>
      </c>
    </row>
    <row r="6580" spans="1:3">
      <c r="A6580" s="68">
        <v>40146</v>
      </c>
      <c r="B6580" s="33">
        <v>1997.47</v>
      </c>
      <c r="C6580">
        <f t="shared" si="132"/>
        <v>2009</v>
      </c>
    </row>
    <row r="6581" spans="1:3">
      <c r="A6581" s="68">
        <v>40147</v>
      </c>
      <c r="B6581" s="32">
        <v>1997.47</v>
      </c>
      <c r="C6581">
        <f t="shared" si="132"/>
        <v>2009</v>
      </c>
    </row>
    <row r="6582" spans="1:3">
      <c r="A6582" s="68">
        <v>40148</v>
      </c>
      <c r="B6582" s="33">
        <v>1998.45</v>
      </c>
      <c r="C6582">
        <f t="shared" si="132"/>
        <v>2009</v>
      </c>
    </row>
    <row r="6583" spans="1:3">
      <c r="A6583" s="68">
        <v>40149</v>
      </c>
      <c r="B6583" s="32">
        <v>1990.29</v>
      </c>
      <c r="C6583">
        <f t="shared" si="132"/>
        <v>2009</v>
      </c>
    </row>
    <row r="6584" spans="1:3">
      <c r="A6584" s="68">
        <v>40150</v>
      </c>
      <c r="B6584" s="33">
        <v>1990.8</v>
      </c>
      <c r="C6584">
        <f t="shared" si="132"/>
        <v>2009</v>
      </c>
    </row>
    <row r="6585" spans="1:3">
      <c r="A6585" s="68">
        <v>40151</v>
      </c>
      <c r="B6585" s="32">
        <v>1989.94</v>
      </c>
      <c r="C6585">
        <f t="shared" si="132"/>
        <v>2009</v>
      </c>
    </row>
    <row r="6586" spans="1:3">
      <c r="A6586" s="68">
        <v>40152</v>
      </c>
      <c r="B6586" s="33">
        <v>2003.94</v>
      </c>
      <c r="C6586">
        <f t="shared" si="132"/>
        <v>2009</v>
      </c>
    </row>
    <row r="6587" spans="1:3">
      <c r="A6587" s="68">
        <v>40153</v>
      </c>
      <c r="B6587" s="32">
        <v>2003.94</v>
      </c>
      <c r="C6587">
        <f t="shared" si="132"/>
        <v>2009</v>
      </c>
    </row>
    <row r="6588" spans="1:3">
      <c r="A6588" s="68">
        <v>40154</v>
      </c>
      <c r="B6588" s="33">
        <v>2003.94</v>
      </c>
      <c r="C6588">
        <f t="shared" si="132"/>
        <v>2009</v>
      </c>
    </row>
    <row r="6589" spans="1:3">
      <c r="A6589" s="68">
        <v>40155</v>
      </c>
      <c r="B6589" s="32">
        <v>2009.45</v>
      </c>
      <c r="C6589">
        <f t="shared" si="132"/>
        <v>2009</v>
      </c>
    </row>
    <row r="6590" spans="1:3">
      <c r="A6590" s="68">
        <v>40156</v>
      </c>
      <c r="B6590" s="33">
        <v>2009.45</v>
      </c>
      <c r="C6590">
        <f t="shared" si="132"/>
        <v>2009</v>
      </c>
    </row>
    <row r="6591" spans="1:3">
      <c r="A6591" s="68">
        <v>40157</v>
      </c>
      <c r="B6591" s="32">
        <v>2016.73</v>
      </c>
      <c r="C6591">
        <f t="shared" si="132"/>
        <v>2009</v>
      </c>
    </row>
    <row r="6592" spans="1:3">
      <c r="A6592" s="68">
        <v>40158</v>
      </c>
      <c r="B6592" s="33">
        <v>2016.17</v>
      </c>
      <c r="C6592">
        <f t="shared" si="132"/>
        <v>2009</v>
      </c>
    </row>
    <row r="6593" spans="1:3">
      <c r="A6593" s="68">
        <v>40159</v>
      </c>
      <c r="B6593" s="32">
        <v>2000.54</v>
      </c>
      <c r="C6593">
        <f t="shared" si="132"/>
        <v>2009</v>
      </c>
    </row>
    <row r="6594" spans="1:3">
      <c r="A6594" s="68">
        <v>40160</v>
      </c>
      <c r="B6594" s="33">
        <v>2000.54</v>
      </c>
      <c r="C6594">
        <f t="shared" si="132"/>
        <v>2009</v>
      </c>
    </row>
    <row r="6595" spans="1:3">
      <c r="A6595" s="68">
        <v>40161</v>
      </c>
      <c r="B6595" s="32">
        <v>2000.54</v>
      </c>
      <c r="C6595">
        <f t="shared" si="132"/>
        <v>2009</v>
      </c>
    </row>
    <row r="6596" spans="1:3">
      <c r="A6596" s="68">
        <v>40162</v>
      </c>
      <c r="B6596" s="33">
        <v>1992.1</v>
      </c>
      <c r="C6596">
        <f t="shared" ref="C6596:C6659" si="133">YEAR(A6596)</f>
        <v>2009</v>
      </c>
    </row>
    <row r="6597" spans="1:3">
      <c r="A6597" s="68">
        <v>40163</v>
      </c>
      <c r="B6597" s="32">
        <v>2001.86</v>
      </c>
      <c r="C6597">
        <f t="shared" si="133"/>
        <v>2009</v>
      </c>
    </row>
    <row r="6598" spans="1:3">
      <c r="A6598" s="68">
        <v>40164</v>
      </c>
      <c r="B6598" s="33">
        <v>2005.09</v>
      </c>
      <c r="C6598">
        <f t="shared" si="133"/>
        <v>2009</v>
      </c>
    </row>
    <row r="6599" spans="1:3">
      <c r="A6599" s="68">
        <v>40165</v>
      </c>
      <c r="B6599" s="32">
        <v>2015.74</v>
      </c>
      <c r="C6599">
        <f t="shared" si="133"/>
        <v>2009</v>
      </c>
    </row>
    <row r="6600" spans="1:3">
      <c r="A6600" s="68">
        <v>40166</v>
      </c>
      <c r="B6600" s="33">
        <v>2025.85</v>
      </c>
      <c r="C6600">
        <f t="shared" si="133"/>
        <v>2009</v>
      </c>
    </row>
    <row r="6601" spans="1:3">
      <c r="A6601" s="68">
        <v>40167</v>
      </c>
      <c r="B6601" s="32">
        <v>2025.85</v>
      </c>
      <c r="C6601">
        <f t="shared" si="133"/>
        <v>2009</v>
      </c>
    </row>
    <row r="6602" spans="1:3">
      <c r="A6602" s="68">
        <v>40168</v>
      </c>
      <c r="B6602" s="33">
        <v>2025.85</v>
      </c>
      <c r="C6602">
        <f t="shared" si="133"/>
        <v>2009</v>
      </c>
    </row>
    <row r="6603" spans="1:3">
      <c r="A6603" s="68">
        <v>40169</v>
      </c>
      <c r="B6603" s="32">
        <v>2030.17</v>
      </c>
      <c r="C6603">
        <f t="shared" si="133"/>
        <v>2009</v>
      </c>
    </row>
    <row r="6604" spans="1:3">
      <c r="A6604" s="68">
        <v>40170</v>
      </c>
      <c r="B6604" s="33">
        <v>2054.1</v>
      </c>
      <c r="C6604">
        <f t="shared" si="133"/>
        <v>2009</v>
      </c>
    </row>
    <row r="6605" spans="1:3">
      <c r="A6605" s="68">
        <v>40171</v>
      </c>
      <c r="B6605" s="32">
        <v>2045.07</v>
      </c>
      <c r="C6605">
        <f t="shared" si="133"/>
        <v>2009</v>
      </c>
    </row>
    <row r="6606" spans="1:3">
      <c r="A6606" s="68">
        <v>40172</v>
      </c>
      <c r="B6606" s="33">
        <v>2043.41</v>
      </c>
      <c r="C6606">
        <f t="shared" si="133"/>
        <v>2009</v>
      </c>
    </row>
    <row r="6607" spans="1:3">
      <c r="A6607" s="68">
        <v>40173</v>
      </c>
      <c r="B6607" s="32">
        <v>2043.41</v>
      </c>
      <c r="C6607">
        <f t="shared" si="133"/>
        <v>2009</v>
      </c>
    </row>
    <row r="6608" spans="1:3">
      <c r="A6608" s="68">
        <v>40174</v>
      </c>
      <c r="B6608" s="33">
        <v>2043.41</v>
      </c>
      <c r="C6608">
        <f t="shared" si="133"/>
        <v>2009</v>
      </c>
    </row>
    <row r="6609" spans="1:3">
      <c r="A6609" s="68">
        <v>40175</v>
      </c>
      <c r="B6609" s="32">
        <v>2043.41</v>
      </c>
      <c r="C6609">
        <f t="shared" si="133"/>
        <v>2009</v>
      </c>
    </row>
    <row r="6610" spans="1:3">
      <c r="A6610" s="68">
        <v>40176</v>
      </c>
      <c r="B6610" s="33">
        <v>2037.92</v>
      </c>
      <c r="C6610">
        <f t="shared" si="133"/>
        <v>2009</v>
      </c>
    </row>
    <row r="6611" spans="1:3">
      <c r="A6611" s="68">
        <v>40177</v>
      </c>
      <c r="B6611" s="32">
        <v>2046.2</v>
      </c>
      <c r="C6611">
        <f t="shared" si="133"/>
        <v>2009</v>
      </c>
    </row>
    <row r="6612" spans="1:3">
      <c r="A6612" s="68">
        <v>40178</v>
      </c>
      <c r="B6612" s="33">
        <v>2044.23</v>
      </c>
      <c r="C6612">
        <f t="shared" si="133"/>
        <v>2009</v>
      </c>
    </row>
    <row r="6613" spans="1:3">
      <c r="A6613" s="68">
        <v>40179</v>
      </c>
      <c r="B6613" s="32">
        <v>2044.23</v>
      </c>
      <c r="C6613">
        <f t="shared" si="133"/>
        <v>2010</v>
      </c>
    </row>
    <row r="6614" spans="1:3">
      <c r="A6614" s="68">
        <v>40180</v>
      </c>
      <c r="B6614" s="33">
        <v>2044.23</v>
      </c>
      <c r="C6614">
        <f t="shared" si="133"/>
        <v>2010</v>
      </c>
    </row>
    <row r="6615" spans="1:3">
      <c r="A6615" s="68">
        <v>40181</v>
      </c>
      <c r="B6615" s="32">
        <v>2044.23</v>
      </c>
      <c r="C6615">
        <f t="shared" si="133"/>
        <v>2010</v>
      </c>
    </row>
    <row r="6616" spans="1:3">
      <c r="A6616" s="68">
        <v>40182</v>
      </c>
      <c r="B6616" s="33">
        <v>2044.23</v>
      </c>
      <c r="C6616">
        <f t="shared" si="133"/>
        <v>2010</v>
      </c>
    </row>
    <row r="6617" spans="1:3">
      <c r="A6617" s="68">
        <v>40183</v>
      </c>
      <c r="B6617" s="32">
        <v>2021.21</v>
      </c>
      <c r="C6617">
        <f t="shared" si="133"/>
        <v>2010</v>
      </c>
    </row>
    <row r="6618" spans="1:3">
      <c r="A6618" s="68">
        <v>40184</v>
      </c>
      <c r="B6618" s="33">
        <v>1992.78</v>
      </c>
      <c r="C6618">
        <f t="shared" si="133"/>
        <v>2010</v>
      </c>
    </row>
    <row r="6619" spans="1:3">
      <c r="A6619" s="68">
        <v>40185</v>
      </c>
      <c r="B6619" s="32">
        <v>1971.32</v>
      </c>
      <c r="C6619">
        <f t="shared" si="133"/>
        <v>2010</v>
      </c>
    </row>
    <row r="6620" spans="1:3">
      <c r="A6620" s="68">
        <v>40186</v>
      </c>
      <c r="B6620" s="33">
        <v>1969.08</v>
      </c>
      <c r="C6620">
        <f t="shared" si="133"/>
        <v>2010</v>
      </c>
    </row>
    <row r="6621" spans="1:3">
      <c r="A6621" s="68">
        <v>40187</v>
      </c>
      <c r="B6621" s="32">
        <v>1968.24</v>
      </c>
      <c r="C6621">
        <f t="shared" si="133"/>
        <v>2010</v>
      </c>
    </row>
    <row r="6622" spans="1:3">
      <c r="A6622" s="68">
        <v>40188</v>
      </c>
      <c r="B6622" s="33">
        <v>1968.24</v>
      </c>
      <c r="C6622">
        <f t="shared" si="133"/>
        <v>2010</v>
      </c>
    </row>
    <row r="6623" spans="1:3">
      <c r="A6623" s="68">
        <v>40189</v>
      </c>
      <c r="B6623" s="32">
        <v>1968.24</v>
      </c>
      <c r="C6623">
        <f t="shared" si="133"/>
        <v>2010</v>
      </c>
    </row>
    <row r="6624" spans="1:3">
      <c r="A6624" s="68">
        <v>40190</v>
      </c>
      <c r="B6624" s="33">
        <v>1968.24</v>
      </c>
      <c r="C6624">
        <f t="shared" si="133"/>
        <v>2010</v>
      </c>
    </row>
    <row r="6625" spans="1:3">
      <c r="A6625" s="68">
        <v>40191</v>
      </c>
      <c r="B6625" s="32">
        <v>1959.43</v>
      </c>
      <c r="C6625">
        <f t="shared" si="133"/>
        <v>2010</v>
      </c>
    </row>
    <row r="6626" spans="1:3">
      <c r="A6626" s="68">
        <v>40192</v>
      </c>
      <c r="B6626" s="33">
        <v>1965.81</v>
      </c>
      <c r="C6626">
        <f t="shared" si="133"/>
        <v>2010</v>
      </c>
    </row>
    <row r="6627" spans="1:3">
      <c r="A6627" s="68">
        <v>40193</v>
      </c>
      <c r="B6627" s="32">
        <v>1974.13</v>
      </c>
      <c r="C6627">
        <f t="shared" si="133"/>
        <v>2010</v>
      </c>
    </row>
    <row r="6628" spans="1:3">
      <c r="A6628" s="68">
        <v>40194</v>
      </c>
      <c r="B6628" s="33">
        <v>1967.4</v>
      </c>
      <c r="C6628">
        <f t="shared" si="133"/>
        <v>2010</v>
      </c>
    </row>
    <row r="6629" spans="1:3">
      <c r="A6629" s="68">
        <v>40195</v>
      </c>
      <c r="B6629" s="32">
        <v>1967.4</v>
      </c>
      <c r="C6629">
        <f t="shared" si="133"/>
        <v>2010</v>
      </c>
    </row>
    <row r="6630" spans="1:3">
      <c r="A6630" s="68">
        <v>40196</v>
      </c>
      <c r="B6630" s="33">
        <v>1967.4</v>
      </c>
      <c r="C6630">
        <f t="shared" si="133"/>
        <v>2010</v>
      </c>
    </row>
    <row r="6631" spans="1:3">
      <c r="A6631" s="68">
        <v>40197</v>
      </c>
      <c r="B6631" s="32">
        <v>1967.4</v>
      </c>
      <c r="C6631">
        <f t="shared" si="133"/>
        <v>2010</v>
      </c>
    </row>
    <row r="6632" spans="1:3">
      <c r="A6632" s="68">
        <v>40198</v>
      </c>
      <c r="B6632" s="33">
        <v>1957.82</v>
      </c>
      <c r="C6632">
        <f t="shared" si="133"/>
        <v>2010</v>
      </c>
    </row>
    <row r="6633" spans="1:3">
      <c r="A6633" s="68">
        <v>40199</v>
      </c>
      <c r="B6633" s="32">
        <v>1964.18</v>
      </c>
      <c r="C6633">
        <f t="shared" si="133"/>
        <v>2010</v>
      </c>
    </row>
    <row r="6634" spans="1:3">
      <c r="A6634" s="68">
        <v>40200</v>
      </c>
      <c r="B6634" s="33">
        <v>1967.08</v>
      </c>
      <c r="C6634">
        <f t="shared" si="133"/>
        <v>2010</v>
      </c>
    </row>
    <row r="6635" spans="1:3">
      <c r="A6635" s="68">
        <v>40201</v>
      </c>
      <c r="B6635" s="32">
        <v>1981.96</v>
      </c>
      <c r="C6635">
        <f t="shared" si="133"/>
        <v>2010</v>
      </c>
    </row>
    <row r="6636" spans="1:3">
      <c r="A6636" s="68">
        <v>40202</v>
      </c>
      <c r="B6636" s="33">
        <v>1981.96</v>
      </c>
      <c r="C6636">
        <f t="shared" si="133"/>
        <v>2010</v>
      </c>
    </row>
    <row r="6637" spans="1:3">
      <c r="A6637" s="68">
        <v>40203</v>
      </c>
      <c r="B6637" s="32">
        <v>1981.96</v>
      </c>
      <c r="C6637">
        <f t="shared" si="133"/>
        <v>2010</v>
      </c>
    </row>
    <row r="6638" spans="1:3">
      <c r="A6638" s="68">
        <v>40204</v>
      </c>
      <c r="B6638" s="33">
        <v>1961.97</v>
      </c>
      <c r="C6638">
        <f t="shared" si="133"/>
        <v>2010</v>
      </c>
    </row>
    <row r="6639" spans="1:3">
      <c r="A6639" s="68">
        <v>40205</v>
      </c>
      <c r="B6639" s="32">
        <v>1972.22</v>
      </c>
      <c r="C6639">
        <f t="shared" si="133"/>
        <v>2010</v>
      </c>
    </row>
    <row r="6640" spans="1:3">
      <c r="A6640" s="68">
        <v>40206</v>
      </c>
      <c r="B6640" s="33">
        <v>1988.05</v>
      </c>
      <c r="C6640">
        <f t="shared" si="133"/>
        <v>2010</v>
      </c>
    </row>
    <row r="6641" spans="1:3">
      <c r="A6641" s="68">
        <v>40207</v>
      </c>
      <c r="B6641" s="32">
        <v>1991.21</v>
      </c>
      <c r="C6641">
        <f t="shared" si="133"/>
        <v>2010</v>
      </c>
    </row>
    <row r="6642" spans="1:3">
      <c r="A6642" s="68">
        <v>40208</v>
      </c>
      <c r="B6642" s="33">
        <v>1982.29</v>
      </c>
      <c r="C6642">
        <f t="shared" si="133"/>
        <v>2010</v>
      </c>
    </row>
    <row r="6643" spans="1:3">
      <c r="A6643" s="68">
        <v>40209</v>
      </c>
      <c r="B6643" s="32">
        <v>1982.29</v>
      </c>
      <c r="C6643">
        <f t="shared" si="133"/>
        <v>2010</v>
      </c>
    </row>
    <row r="6644" spans="1:3">
      <c r="A6644" s="68">
        <v>40210</v>
      </c>
      <c r="B6644" s="33">
        <v>1982.29</v>
      </c>
      <c r="C6644">
        <f t="shared" si="133"/>
        <v>2010</v>
      </c>
    </row>
    <row r="6645" spans="1:3">
      <c r="A6645" s="68">
        <v>40211</v>
      </c>
      <c r="B6645" s="32">
        <v>1972.6</v>
      </c>
      <c r="C6645">
        <f t="shared" si="133"/>
        <v>2010</v>
      </c>
    </row>
    <row r="6646" spans="1:3">
      <c r="A6646" s="68">
        <v>40212</v>
      </c>
      <c r="B6646" s="33">
        <v>1959.93</v>
      </c>
      <c r="C6646">
        <f t="shared" si="133"/>
        <v>2010</v>
      </c>
    </row>
    <row r="6647" spans="1:3">
      <c r="A6647" s="68">
        <v>40213</v>
      </c>
      <c r="B6647" s="32">
        <v>1966.02</v>
      </c>
      <c r="C6647">
        <f t="shared" si="133"/>
        <v>2010</v>
      </c>
    </row>
    <row r="6648" spans="1:3">
      <c r="A6648" s="68">
        <v>40214</v>
      </c>
      <c r="B6648" s="33">
        <v>1984.16</v>
      </c>
      <c r="C6648">
        <f t="shared" si="133"/>
        <v>2010</v>
      </c>
    </row>
    <row r="6649" spans="1:3">
      <c r="A6649" s="68">
        <v>40215</v>
      </c>
      <c r="B6649" s="32">
        <v>1997.13</v>
      </c>
      <c r="C6649">
        <f t="shared" si="133"/>
        <v>2010</v>
      </c>
    </row>
    <row r="6650" spans="1:3">
      <c r="A6650" s="68">
        <v>40216</v>
      </c>
      <c r="B6650" s="33">
        <v>1997.13</v>
      </c>
      <c r="C6650">
        <f t="shared" si="133"/>
        <v>2010</v>
      </c>
    </row>
    <row r="6651" spans="1:3">
      <c r="A6651" s="68">
        <v>40217</v>
      </c>
      <c r="B6651" s="32">
        <v>1997.13</v>
      </c>
      <c r="C6651">
        <f t="shared" si="133"/>
        <v>2010</v>
      </c>
    </row>
    <row r="6652" spans="1:3">
      <c r="A6652" s="68">
        <v>40218</v>
      </c>
      <c r="B6652" s="33">
        <v>2003.76</v>
      </c>
      <c r="C6652">
        <f t="shared" si="133"/>
        <v>2010</v>
      </c>
    </row>
    <row r="6653" spans="1:3">
      <c r="A6653" s="68">
        <v>40219</v>
      </c>
      <c r="B6653" s="32">
        <v>1981.4</v>
      </c>
      <c r="C6653">
        <f t="shared" si="133"/>
        <v>2010</v>
      </c>
    </row>
    <row r="6654" spans="1:3">
      <c r="A6654" s="68">
        <v>40220</v>
      </c>
      <c r="B6654" s="33">
        <v>1965.03</v>
      </c>
      <c r="C6654">
        <f t="shared" si="133"/>
        <v>2010</v>
      </c>
    </row>
    <row r="6655" spans="1:3">
      <c r="A6655" s="68">
        <v>40221</v>
      </c>
      <c r="B6655" s="32">
        <v>1943.6</v>
      </c>
      <c r="C6655">
        <f t="shared" si="133"/>
        <v>2010</v>
      </c>
    </row>
    <row r="6656" spans="1:3">
      <c r="A6656" s="68">
        <v>40222</v>
      </c>
      <c r="B6656" s="33">
        <v>1936.9</v>
      </c>
      <c r="C6656">
        <f t="shared" si="133"/>
        <v>2010</v>
      </c>
    </row>
    <row r="6657" spans="1:3">
      <c r="A6657" s="68">
        <v>40223</v>
      </c>
      <c r="B6657" s="32">
        <v>1936.9</v>
      </c>
      <c r="C6657">
        <f t="shared" si="133"/>
        <v>2010</v>
      </c>
    </row>
    <row r="6658" spans="1:3">
      <c r="A6658" s="68">
        <v>40224</v>
      </c>
      <c r="B6658" s="33">
        <v>1936.9</v>
      </c>
      <c r="C6658">
        <f t="shared" si="133"/>
        <v>2010</v>
      </c>
    </row>
    <row r="6659" spans="1:3">
      <c r="A6659" s="68">
        <v>40225</v>
      </c>
      <c r="B6659" s="32">
        <v>1936.9</v>
      </c>
      <c r="C6659">
        <f t="shared" si="133"/>
        <v>2010</v>
      </c>
    </row>
    <row r="6660" spans="1:3">
      <c r="A6660" s="68">
        <v>40226</v>
      </c>
      <c r="B6660" s="33">
        <v>1925.79</v>
      </c>
      <c r="C6660">
        <f t="shared" ref="C6660:C6723" si="134">YEAR(A6660)</f>
        <v>2010</v>
      </c>
    </row>
    <row r="6661" spans="1:3">
      <c r="A6661" s="68">
        <v>40227</v>
      </c>
      <c r="B6661" s="32">
        <v>1928.79</v>
      </c>
      <c r="C6661">
        <f t="shared" si="134"/>
        <v>2010</v>
      </c>
    </row>
    <row r="6662" spans="1:3">
      <c r="A6662" s="68">
        <v>40228</v>
      </c>
      <c r="B6662" s="33">
        <v>1930.94</v>
      </c>
      <c r="C6662">
        <f t="shared" si="134"/>
        <v>2010</v>
      </c>
    </row>
    <row r="6663" spans="1:3">
      <c r="A6663" s="68">
        <v>40229</v>
      </c>
      <c r="B6663" s="32">
        <v>1928.86</v>
      </c>
      <c r="C6663">
        <f t="shared" si="134"/>
        <v>2010</v>
      </c>
    </row>
    <row r="6664" spans="1:3">
      <c r="A6664" s="68">
        <v>40230</v>
      </c>
      <c r="B6664" s="33">
        <v>1928.86</v>
      </c>
      <c r="C6664">
        <f t="shared" si="134"/>
        <v>2010</v>
      </c>
    </row>
    <row r="6665" spans="1:3">
      <c r="A6665" s="68">
        <v>40231</v>
      </c>
      <c r="B6665" s="32">
        <v>1928.86</v>
      </c>
      <c r="C6665">
        <f t="shared" si="134"/>
        <v>2010</v>
      </c>
    </row>
    <row r="6666" spans="1:3">
      <c r="A6666" s="68">
        <v>40232</v>
      </c>
      <c r="B6666" s="33">
        <v>1914.87</v>
      </c>
      <c r="C6666">
        <f t="shared" si="134"/>
        <v>2010</v>
      </c>
    </row>
    <row r="6667" spans="1:3">
      <c r="A6667" s="68">
        <v>40233</v>
      </c>
      <c r="B6667" s="32">
        <v>1924.75</v>
      </c>
      <c r="C6667">
        <f t="shared" si="134"/>
        <v>2010</v>
      </c>
    </row>
    <row r="6668" spans="1:3">
      <c r="A6668" s="68">
        <v>40234</v>
      </c>
      <c r="B6668" s="33">
        <v>1932.15</v>
      </c>
      <c r="C6668">
        <f t="shared" si="134"/>
        <v>2010</v>
      </c>
    </row>
    <row r="6669" spans="1:3">
      <c r="A6669" s="68">
        <v>40235</v>
      </c>
      <c r="B6669" s="32">
        <v>1941.98</v>
      </c>
      <c r="C6669">
        <f t="shared" si="134"/>
        <v>2010</v>
      </c>
    </row>
    <row r="6670" spans="1:3">
      <c r="A6670" s="68">
        <v>40236</v>
      </c>
      <c r="B6670" s="33">
        <v>1932.32</v>
      </c>
      <c r="C6670">
        <f t="shared" si="134"/>
        <v>2010</v>
      </c>
    </row>
    <row r="6671" spans="1:3">
      <c r="A6671" s="68">
        <v>40237</v>
      </c>
      <c r="B6671" s="32">
        <v>1932.32</v>
      </c>
      <c r="C6671">
        <f t="shared" si="134"/>
        <v>2010</v>
      </c>
    </row>
    <row r="6672" spans="1:3">
      <c r="A6672" s="68">
        <v>40238</v>
      </c>
      <c r="B6672" s="33">
        <v>1932.32</v>
      </c>
      <c r="C6672">
        <f t="shared" si="134"/>
        <v>2010</v>
      </c>
    </row>
    <row r="6673" spans="1:3">
      <c r="A6673" s="68">
        <v>40239</v>
      </c>
      <c r="B6673" s="32">
        <v>1913.86</v>
      </c>
      <c r="C6673">
        <f t="shared" si="134"/>
        <v>2010</v>
      </c>
    </row>
    <row r="6674" spans="1:3">
      <c r="A6674" s="68">
        <v>40240</v>
      </c>
      <c r="B6674" s="33">
        <v>1895.86</v>
      </c>
      <c r="C6674">
        <f t="shared" si="134"/>
        <v>2010</v>
      </c>
    </row>
    <row r="6675" spans="1:3">
      <c r="A6675" s="68">
        <v>40241</v>
      </c>
      <c r="B6675" s="32">
        <v>1916.41</v>
      </c>
      <c r="C6675">
        <f t="shared" si="134"/>
        <v>2010</v>
      </c>
    </row>
    <row r="6676" spans="1:3">
      <c r="A6676" s="68">
        <v>40242</v>
      </c>
      <c r="B6676" s="33">
        <v>1928.33</v>
      </c>
      <c r="C6676">
        <f t="shared" si="134"/>
        <v>2010</v>
      </c>
    </row>
    <row r="6677" spans="1:3">
      <c r="A6677" s="68">
        <v>40243</v>
      </c>
      <c r="B6677" s="32">
        <v>1902.31</v>
      </c>
      <c r="C6677">
        <f t="shared" si="134"/>
        <v>2010</v>
      </c>
    </row>
    <row r="6678" spans="1:3">
      <c r="A6678" s="68">
        <v>40244</v>
      </c>
      <c r="B6678" s="33">
        <v>1902.31</v>
      </c>
      <c r="C6678">
        <f t="shared" si="134"/>
        <v>2010</v>
      </c>
    </row>
    <row r="6679" spans="1:3">
      <c r="A6679" s="68">
        <v>40245</v>
      </c>
      <c r="B6679" s="32">
        <v>1902.31</v>
      </c>
      <c r="C6679">
        <f t="shared" si="134"/>
        <v>2010</v>
      </c>
    </row>
    <row r="6680" spans="1:3">
      <c r="A6680" s="68">
        <v>40246</v>
      </c>
      <c r="B6680" s="33">
        <v>1894.44</v>
      </c>
      <c r="C6680">
        <f t="shared" si="134"/>
        <v>2010</v>
      </c>
    </row>
    <row r="6681" spans="1:3">
      <c r="A6681" s="68">
        <v>40247</v>
      </c>
      <c r="B6681" s="32">
        <v>1894.3</v>
      </c>
      <c r="C6681">
        <f t="shared" si="134"/>
        <v>2010</v>
      </c>
    </row>
    <row r="6682" spans="1:3">
      <c r="A6682" s="68">
        <v>40248</v>
      </c>
      <c r="B6682" s="33">
        <v>1888.05</v>
      </c>
      <c r="C6682">
        <f t="shared" si="134"/>
        <v>2010</v>
      </c>
    </row>
    <row r="6683" spans="1:3">
      <c r="A6683" s="68">
        <v>40249</v>
      </c>
      <c r="B6683" s="32">
        <v>1894.79</v>
      </c>
      <c r="C6683">
        <f t="shared" si="134"/>
        <v>2010</v>
      </c>
    </row>
    <row r="6684" spans="1:3">
      <c r="A6684" s="68">
        <v>40250</v>
      </c>
      <c r="B6684" s="33">
        <v>1892.99</v>
      </c>
      <c r="C6684">
        <f t="shared" si="134"/>
        <v>2010</v>
      </c>
    </row>
    <row r="6685" spans="1:3">
      <c r="A6685" s="68">
        <v>40251</v>
      </c>
      <c r="B6685" s="32">
        <v>1892.99</v>
      </c>
      <c r="C6685">
        <f t="shared" si="134"/>
        <v>2010</v>
      </c>
    </row>
    <row r="6686" spans="1:3">
      <c r="A6686" s="68">
        <v>40252</v>
      </c>
      <c r="B6686" s="33">
        <v>1892.99</v>
      </c>
      <c r="C6686">
        <f t="shared" si="134"/>
        <v>2010</v>
      </c>
    </row>
    <row r="6687" spans="1:3">
      <c r="A6687" s="68">
        <v>40253</v>
      </c>
      <c r="B6687" s="32">
        <v>1899.75</v>
      </c>
      <c r="C6687">
        <f t="shared" si="134"/>
        <v>2010</v>
      </c>
    </row>
    <row r="6688" spans="1:3">
      <c r="A6688" s="68">
        <v>40254</v>
      </c>
      <c r="B6688" s="33">
        <v>1896.15</v>
      </c>
      <c r="C6688">
        <f t="shared" si="134"/>
        <v>2010</v>
      </c>
    </row>
    <row r="6689" spans="1:3">
      <c r="A6689" s="68">
        <v>40255</v>
      </c>
      <c r="B6689" s="32">
        <v>1893.42</v>
      </c>
      <c r="C6689">
        <f t="shared" si="134"/>
        <v>2010</v>
      </c>
    </row>
    <row r="6690" spans="1:3">
      <c r="A6690" s="68">
        <v>40256</v>
      </c>
      <c r="B6690" s="33">
        <v>1900.55</v>
      </c>
      <c r="C6690">
        <f t="shared" si="134"/>
        <v>2010</v>
      </c>
    </row>
    <row r="6691" spans="1:3">
      <c r="A6691" s="68">
        <v>40257</v>
      </c>
      <c r="B6691" s="32">
        <v>1907.06</v>
      </c>
      <c r="C6691">
        <f t="shared" si="134"/>
        <v>2010</v>
      </c>
    </row>
    <row r="6692" spans="1:3">
      <c r="A6692" s="68">
        <v>40258</v>
      </c>
      <c r="B6692" s="33">
        <v>1907.06</v>
      </c>
      <c r="C6692">
        <f t="shared" si="134"/>
        <v>2010</v>
      </c>
    </row>
    <row r="6693" spans="1:3">
      <c r="A6693" s="68">
        <v>40259</v>
      </c>
      <c r="B6693" s="32">
        <v>1907.06</v>
      </c>
      <c r="C6693">
        <f t="shared" si="134"/>
        <v>2010</v>
      </c>
    </row>
    <row r="6694" spans="1:3">
      <c r="A6694" s="68">
        <v>40260</v>
      </c>
      <c r="B6694" s="33">
        <v>1907.06</v>
      </c>
      <c r="C6694">
        <f t="shared" si="134"/>
        <v>2010</v>
      </c>
    </row>
    <row r="6695" spans="1:3">
      <c r="A6695" s="68">
        <v>40261</v>
      </c>
      <c r="B6695" s="32">
        <v>1907.06</v>
      </c>
      <c r="C6695">
        <f t="shared" si="134"/>
        <v>2010</v>
      </c>
    </row>
    <row r="6696" spans="1:3">
      <c r="A6696" s="68">
        <v>40262</v>
      </c>
      <c r="B6696" s="33">
        <v>1923.41</v>
      </c>
      <c r="C6696">
        <f t="shared" si="134"/>
        <v>2010</v>
      </c>
    </row>
    <row r="6697" spans="1:3">
      <c r="A6697" s="68">
        <v>40263</v>
      </c>
      <c r="B6697" s="32">
        <v>1922.91</v>
      </c>
      <c r="C6697">
        <f t="shared" si="134"/>
        <v>2010</v>
      </c>
    </row>
    <row r="6698" spans="1:3">
      <c r="A6698" s="68">
        <v>40264</v>
      </c>
      <c r="B6698" s="33">
        <v>1933.4</v>
      </c>
      <c r="C6698">
        <f t="shared" si="134"/>
        <v>2010</v>
      </c>
    </row>
    <row r="6699" spans="1:3">
      <c r="A6699" s="68">
        <v>40265</v>
      </c>
      <c r="B6699" s="32">
        <v>1933.4</v>
      </c>
      <c r="C6699">
        <f t="shared" si="134"/>
        <v>2010</v>
      </c>
    </row>
    <row r="6700" spans="1:3">
      <c r="A6700" s="68">
        <v>40266</v>
      </c>
      <c r="B6700" s="33">
        <v>1933.4</v>
      </c>
      <c r="C6700">
        <f t="shared" si="134"/>
        <v>2010</v>
      </c>
    </row>
    <row r="6701" spans="1:3">
      <c r="A6701" s="68">
        <v>40267</v>
      </c>
      <c r="B6701" s="32">
        <v>1934.21</v>
      </c>
      <c r="C6701">
        <f t="shared" si="134"/>
        <v>2010</v>
      </c>
    </row>
    <row r="6702" spans="1:3">
      <c r="A6702" s="68">
        <v>40268</v>
      </c>
      <c r="B6702" s="33">
        <v>1928.59</v>
      </c>
      <c r="C6702">
        <f t="shared" si="134"/>
        <v>2010</v>
      </c>
    </row>
    <row r="6703" spans="1:3">
      <c r="A6703" s="68">
        <v>40269</v>
      </c>
      <c r="B6703" s="32">
        <v>1921.88</v>
      </c>
      <c r="C6703">
        <f t="shared" si="134"/>
        <v>2010</v>
      </c>
    </row>
    <row r="6704" spans="1:3">
      <c r="A6704" s="68">
        <v>40270</v>
      </c>
      <c r="B6704" s="33">
        <v>1921.88</v>
      </c>
      <c r="C6704">
        <f t="shared" si="134"/>
        <v>2010</v>
      </c>
    </row>
    <row r="6705" spans="1:3">
      <c r="A6705" s="68">
        <v>40271</v>
      </c>
      <c r="B6705" s="32">
        <v>1921.88</v>
      </c>
      <c r="C6705">
        <f t="shared" si="134"/>
        <v>2010</v>
      </c>
    </row>
    <row r="6706" spans="1:3">
      <c r="A6706" s="68">
        <v>40272</v>
      </c>
      <c r="B6706" s="33">
        <v>1921.88</v>
      </c>
      <c r="C6706">
        <f t="shared" si="134"/>
        <v>2010</v>
      </c>
    </row>
    <row r="6707" spans="1:3">
      <c r="A6707" s="68">
        <v>40273</v>
      </c>
      <c r="B6707" s="32">
        <v>1921.88</v>
      </c>
      <c r="C6707">
        <f t="shared" si="134"/>
        <v>2010</v>
      </c>
    </row>
    <row r="6708" spans="1:3">
      <c r="A6708" s="68">
        <v>40274</v>
      </c>
      <c r="B6708" s="33">
        <v>1911.78</v>
      </c>
      <c r="C6708">
        <f t="shared" si="134"/>
        <v>2010</v>
      </c>
    </row>
    <row r="6709" spans="1:3">
      <c r="A6709" s="68">
        <v>40275</v>
      </c>
      <c r="B6709" s="32">
        <v>1911.07</v>
      </c>
      <c r="C6709">
        <f t="shared" si="134"/>
        <v>2010</v>
      </c>
    </row>
    <row r="6710" spans="1:3">
      <c r="A6710" s="68">
        <v>40276</v>
      </c>
      <c r="B6710" s="33">
        <v>1920.53</v>
      </c>
      <c r="C6710">
        <f t="shared" si="134"/>
        <v>2010</v>
      </c>
    </row>
    <row r="6711" spans="1:3">
      <c r="A6711" s="68">
        <v>40277</v>
      </c>
      <c r="B6711" s="32">
        <v>1931.91</v>
      </c>
      <c r="C6711">
        <f t="shared" si="134"/>
        <v>2010</v>
      </c>
    </row>
    <row r="6712" spans="1:3">
      <c r="A6712" s="68">
        <v>40278</v>
      </c>
      <c r="B6712" s="33">
        <v>1921.32</v>
      </c>
      <c r="C6712">
        <f t="shared" si="134"/>
        <v>2010</v>
      </c>
    </row>
    <row r="6713" spans="1:3">
      <c r="A6713" s="68">
        <v>40279</v>
      </c>
      <c r="B6713" s="32">
        <v>1921.32</v>
      </c>
      <c r="C6713">
        <f t="shared" si="134"/>
        <v>2010</v>
      </c>
    </row>
    <row r="6714" spans="1:3">
      <c r="A6714" s="68">
        <v>40280</v>
      </c>
      <c r="B6714" s="33">
        <v>1921.32</v>
      </c>
      <c r="C6714">
        <f t="shared" si="134"/>
        <v>2010</v>
      </c>
    </row>
    <row r="6715" spans="1:3">
      <c r="A6715" s="68">
        <v>40281</v>
      </c>
      <c r="B6715" s="32">
        <v>1926.16</v>
      </c>
      <c r="C6715">
        <f t="shared" si="134"/>
        <v>2010</v>
      </c>
    </row>
    <row r="6716" spans="1:3">
      <c r="A6716" s="68">
        <v>40282</v>
      </c>
      <c r="B6716" s="33">
        <v>1936.22</v>
      </c>
      <c r="C6716">
        <f t="shared" si="134"/>
        <v>2010</v>
      </c>
    </row>
    <row r="6717" spans="1:3">
      <c r="A6717" s="68">
        <v>40283</v>
      </c>
      <c r="B6717" s="32">
        <v>1938.24</v>
      </c>
      <c r="C6717">
        <f t="shared" si="134"/>
        <v>2010</v>
      </c>
    </row>
    <row r="6718" spans="1:3">
      <c r="A6718" s="68">
        <v>40284</v>
      </c>
      <c r="B6718" s="33">
        <v>1943.83</v>
      </c>
      <c r="C6718">
        <f t="shared" si="134"/>
        <v>2010</v>
      </c>
    </row>
    <row r="6719" spans="1:3">
      <c r="A6719" s="68">
        <v>40285</v>
      </c>
      <c r="B6719" s="32">
        <v>1942.21</v>
      </c>
      <c r="C6719">
        <f t="shared" si="134"/>
        <v>2010</v>
      </c>
    </row>
    <row r="6720" spans="1:3">
      <c r="A6720" s="68">
        <v>40286</v>
      </c>
      <c r="B6720" s="33">
        <v>1942.21</v>
      </c>
      <c r="C6720">
        <f t="shared" si="134"/>
        <v>2010</v>
      </c>
    </row>
    <row r="6721" spans="1:3">
      <c r="A6721" s="68">
        <v>40287</v>
      </c>
      <c r="B6721" s="32">
        <v>1942.21</v>
      </c>
      <c r="C6721">
        <f t="shared" si="134"/>
        <v>2010</v>
      </c>
    </row>
    <row r="6722" spans="1:3">
      <c r="A6722" s="68">
        <v>40288</v>
      </c>
      <c r="B6722" s="33">
        <v>1951.04</v>
      </c>
      <c r="C6722">
        <f t="shared" si="134"/>
        <v>2010</v>
      </c>
    </row>
    <row r="6723" spans="1:3">
      <c r="A6723" s="68">
        <v>40289</v>
      </c>
      <c r="B6723" s="32">
        <v>1947.69</v>
      </c>
      <c r="C6723">
        <f t="shared" si="134"/>
        <v>2010</v>
      </c>
    </row>
    <row r="6724" spans="1:3">
      <c r="A6724" s="68">
        <v>40290</v>
      </c>
      <c r="B6724" s="33">
        <v>1948.47</v>
      </c>
      <c r="C6724">
        <f t="shared" ref="C6724:C6787" si="135">YEAR(A6724)</f>
        <v>2010</v>
      </c>
    </row>
    <row r="6725" spans="1:3">
      <c r="A6725" s="68">
        <v>40291</v>
      </c>
      <c r="B6725" s="32">
        <v>1955.84</v>
      </c>
      <c r="C6725">
        <f t="shared" si="135"/>
        <v>2010</v>
      </c>
    </row>
    <row r="6726" spans="1:3">
      <c r="A6726" s="68">
        <v>40292</v>
      </c>
      <c r="B6726" s="33">
        <v>1950.89</v>
      </c>
      <c r="C6726">
        <f t="shared" si="135"/>
        <v>2010</v>
      </c>
    </row>
    <row r="6727" spans="1:3">
      <c r="A6727" s="68">
        <v>40293</v>
      </c>
      <c r="B6727" s="32">
        <v>1950.89</v>
      </c>
      <c r="C6727">
        <f t="shared" si="135"/>
        <v>2010</v>
      </c>
    </row>
    <row r="6728" spans="1:3">
      <c r="A6728" s="68">
        <v>40294</v>
      </c>
      <c r="B6728" s="33">
        <v>1950.89</v>
      </c>
      <c r="C6728">
        <f t="shared" si="135"/>
        <v>2010</v>
      </c>
    </row>
    <row r="6729" spans="1:3">
      <c r="A6729" s="68">
        <v>40295</v>
      </c>
      <c r="B6729" s="32">
        <v>1943.41</v>
      </c>
      <c r="C6729">
        <f t="shared" si="135"/>
        <v>2010</v>
      </c>
    </row>
    <row r="6730" spans="1:3">
      <c r="A6730" s="68">
        <v>40296</v>
      </c>
      <c r="B6730" s="33">
        <v>1961.82</v>
      </c>
      <c r="C6730">
        <f t="shared" si="135"/>
        <v>2010</v>
      </c>
    </row>
    <row r="6731" spans="1:3">
      <c r="A6731" s="68">
        <v>40297</v>
      </c>
      <c r="B6731" s="32">
        <v>1973.05</v>
      </c>
      <c r="C6731">
        <f t="shared" si="135"/>
        <v>2010</v>
      </c>
    </row>
    <row r="6732" spans="1:3">
      <c r="A6732" s="68">
        <v>40298</v>
      </c>
      <c r="B6732" s="33">
        <v>1969.75</v>
      </c>
      <c r="C6732">
        <f t="shared" si="135"/>
        <v>2010</v>
      </c>
    </row>
    <row r="6733" spans="1:3">
      <c r="A6733" s="68">
        <v>40299</v>
      </c>
      <c r="B6733" s="32">
        <v>1950.44</v>
      </c>
      <c r="C6733">
        <f t="shared" si="135"/>
        <v>2010</v>
      </c>
    </row>
    <row r="6734" spans="1:3">
      <c r="A6734" s="68">
        <v>40300</v>
      </c>
      <c r="B6734" s="33">
        <v>1950.44</v>
      </c>
      <c r="C6734">
        <f t="shared" si="135"/>
        <v>2010</v>
      </c>
    </row>
    <row r="6735" spans="1:3">
      <c r="A6735" s="68">
        <v>40301</v>
      </c>
      <c r="B6735" s="32">
        <v>1950.44</v>
      </c>
      <c r="C6735">
        <f t="shared" si="135"/>
        <v>2010</v>
      </c>
    </row>
    <row r="6736" spans="1:3">
      <c r="A6736" s="68">
        <v>40302</v>
      </c>
      <c r="B6736" s="33">
        <v>1973.42</v>
      </c>
      <c r="C6736">
        <f t="shared" si="135"/>
        <v>2010</v>
      </c>
    </row>
    <row r="6737" spans="1:3">
      <c r="A6737" s="68">
        <v>40303</v>
      </c>
      <c r="B6737" s="32">
        <v>1988.47</v>
      </c>
      <c r="C6737">
        <f t="shared" si="135"/>
        <v>2010</v>
      </c>
    </row>
    <row r="6738" spans="1:3">
      <c r="A6738" s="68">
        <v>40304</v>
      </c>
      <c r="B6738" s="33">
        <v>2003.37</v>
      </c>
      <c r="C6738">
        <f t="shared" si="135"/>
        <v>2010</v>
      </c>
    </row>
    <row r="6739" spans="1:3">
      <c r="A6739" s="68">
        <v>40305</v>
      </c>
      <c r="B6739" s="32">
        <v>2010.13</v>
      </c>
      <c r="C6739">
        <f t="shared" si="135"/>
        <v>2010</v>
      </c>
    </row>
    <row r="6740" spans="1:3">
      <c r="A6740" s="68">
        <v>40306</v>
      </c>
      <c r="B6740" s="33">
        <v>2029.54</v>
      </c>
      <c r="C6740">
        <f t="shared" si="135"/>
        <v>2010</v>
      </c>
    </row>
    <row r="6741" spans="1:3">
      <c r="A6741" s="68">
        <v>40307</v>
      </c>
      <c r="B6741" s="32">
        <v>2029.54</v>
      </c>
      <c r="C6741">
        <f t="shared" si="135"/>
        <v>2010</v>
      </c>
    </row>
    <row r="6742" spans="1:3">
      <c r="A6742" s="68">
        <v>40308</v>
      </c>
      <c r="B6742" s="33">
        <v>2029.54</v>
      </c>
      <c r="C6742">
        <f t="shared" si="135"/>
        <v>2010</v>
      </c>
    </row>
    <row r="6743" spans="1:3">
      <c r="A6743" s="68">
        <v>40309</v>
      </c>
      <c r="B6743" s="32">
        <v>1988.32</v>
      </c>
      <c r="C6743">
        <f t="shared" si="135"/>
        <v>2010</v>
      </c>
    </row>
    <row r="6744" spans="1:3">
      <c r="A6744" s="68">
        <v>40310</v>
      </c>
      <c r="B6744" s="33">
        <v>1980.5</v>
      </c>
      <c r="C6744">
        <f t="shared" si="135"/>
        <v>2010</v>
      </c>
    </row>
    <row r="6745" spans="1:3">
      <c r="A6745" s="68">
        <v>40311</v>
      </c>
      <c r="B6745" s="32">
        <v>1966.36</v>
      </c>
      <c r="C6745">
        <f t="shared" si="135"/>
        <v>2010</v>
      </c>
    </row>
    <row r="6746" spans="1:3">
      <c r="A6746" s="68">
        <v>40312</v>
      </c>
      <c r="B6746" s="33">
        <v>1959.62</v>
      </c>
      <c r="C6746">
        <f t="shared" si="135"/>
        <v>2010</v>
      </c>
    </row>
    <row r="6747" spans="1:3">
      <c r="A6747" s="68">
        <v>40313</v>
      </c>
      <c r="B6747" s="32">
        <v>1968.1</v>
      </c>
      <c r="C6747">
        <f t="shared" si="135"/>
        <v>2010</v>
      </c>
    </row>
    <row r="6748" spans="1:3">
      <c r="A6748" s="68">
        <v>40314</v>
      </c>
      <c r="B6748" s="33">
        <v>1968.1</v>
      </c>
      <c r="C6748">
        <f t="shared" si="135"/>
        <v>2010</v>
      </c>
    </row>
    <row r="6749" spans="1:3">
      <c r="A6749" s="68">
        <v>40315</v>
      </c>
      <c r="B6749" s="32">
        <v>1968.1</v>
      </c>
      <c r="C6749">
        <f t="shared" si="135"/>
        <v>2010</v>
      </c>
    </row>
    <row r="6750" spans="1:3">
      <c r="A6750" s="68">
        <v>40316</v>
      </c>
      <c r="B6750" s="33">
        <v>1968.1</v>
      </c>
      <c r="C6750">
        <f t="shared" si="135"/>
        <v>2010</v>
      </c>
    </row>
    <row r="6751" spans="1:3">
      <c r="A6751" s="68">
        <v>40317</v>
      </c>
      <c r="B6751" s="32">
        <v>1976.46</v>
      </c>
      <c r="C6751">
        <f t="shared" si="135"/>
        <v>2010</v>
      </c>
    </row>
    <row r="6752" spans="1:3">
      <c r="A6752" s="68">
        <v>40318</v>
      </c>
      <c r="B6752" s="33">
        <v>1997.09</v>
      </c>
      <c r="C6752">
        <f t="shared" si="135"/>
        <v>2010</v>
      </c>
    </row>
    <row r="6753" spans="1:3">
      <c r="A6753" s="68">
        <v>40319</v>
      </c>
      <c r="B6753" s="32">
        <v>2017.68</v>
      </c>
      <c r="C6753">
        <f t="shared" si="135"/>
        <v>2010</v>
      </c>
    </row>
    <row r="6754" spans="1:3">
      <c r="A6754" s="68">
        <v>40320</v>
      </c>
      <c r="B6754" s="33">
        <v>1998.42</v>
      </c>
      <c r="C6754">
        <f t="shared" si="135"/>
        <v>2010</v>
      </c>
    </row>
    <row r="6755" spans="1:3">
      <c r="A6755" s="68">
        <v>40321</v>
      </c>
      <c r="B6755" s="32">
        <v>1998.42</v>
      </c>
      <c r="C6755">
        <f t="shared" si="135"/>
        <v>2010</v>
      </c>
    </row>
    <row r="6756" spans="1:3">
      <c r="A6756" s="68">
        <v>40322</v>
      </c>
      <c r="B6756" s="33">
        <v>1998.42</v>
      </c>
      <c r="C6756">
        <f t="shared" si="135"/>
        <v>2010</v>
      </c>
    </row>
    <row r="6757" spans="1:3">
      <c r="A6757" s="68">
        <v>40323</v>
      </c>
      <c r="B6757" s="32">
        <v>1975.01</v>
      </c>
      <c r="C6757">
        <f t="shared" si="135"/>
        <v>2010</v>
      </c>
    </row>
    <row r="6758" spans="1:3">
      <c r="A6758" s="68">
        <v>40324</v>
      </c>
      <c r="B6758" s="33">
        <v>1989.51</v>
      </c>
      <c r="C6758">
        <f t="shared" si="135"/>
        <v>2010</v>
      </c>
    </row>
    <row r="6759" spans="1:3">
      <c r="A6759" s="68">
        <v>40325</v>
      </c>
      <c r="B6759" s="32">
        <v>1976.4</v>
      </c>
      <c r="C6759">
        <f t="shared" si="135"/>
        <v>2010</v>
      </c>
    </row>
    <row r="6760" spans="1:3">
      <c r="A6760" s="68">
        <v>40326</v>
      </c>
      <c r="B6760" s="33">
        <v>1966.8</v>
      </c>
      <c r="C6760">
        <f t="shared" si="135"/>
        <v>2010</v>
      </c>
    </row>
    <row r="6761" spans="1:3">
      <c r="A6761" s="68">
        <v>40327</v>
      </c>
      <c r="B6761" s="32">
        <v>1971.55</v>
      </c>
      <c r="C6761">
        <f t="shared" si="135"/>
        <v>2010</v>
      </c>
    </row>
    <row r="6762" spans="1:3">
      <c r="A6762" s="68">
        <v>40328</v>
      </c>
      <c r="B6762" s="33">
        <v>1971.55</v>
      </c>
      <c r="C6762">
        <f t="shared" si="135"/>
        <v>2010</v>
      </c>
    </row>
    <row r="6763" spans="1:3">
      <c r="A6763" s="68">
        <v>40329</v>
      </c>
      <c r="B6763" s="32">
        <v>1971.55</v>
      </c>
      <c r="C6763">
        <f t="shared" si="135"/>
        <v>2010</v>
      </c>
    </row>
    <row r="6764" spans="1:3">
      <c r="A6764" s="68">
        <v>40330</v>
      </c>
      <c r="B6764" s="33">
        <v>1971.55</v>
      </c>
      <c r="C6764">
        <f t="shared" si="135"/>
        <v>2010</v>
      </c>
    </row>
    <row r="6765" spans="1:3">
      <c r="A6765" s="68">
        <v>40331</v>
      </c>
      <c r="B6765" s="32">
        <v>1971.45</v>
      </c>
      <c r="C6765">
        <f t="shared" si="135"/>
        <v>2010</v>
      </c>
    </row>
    <row r="6766" spans="1:3">
      <c r="A6766" s="68">
        <v>40332</v>
      </c>
      <c r="B6766" s="33">
        <v>1963.36</v>
      </c>
      <c r="C6766">
        <f t="shared" si="135"/>
        <v>2010</v>
      </c>
    </row>
    <row r="6767" spans="1:3">
      <c r="A6767" s="68">
        <v>40333</v>
      </c>
      <c r="B6767" s="32">
        <v>1961.47</v>
      </c>
      <c r="C6767">
        <f t="shared" si="135"/>
        <v>2010</v>
      </c>
    </row>
    <row r="6768" spans="1:3">
      <c r="A6768" s="68">
        <v>40334</v>
      </c>
      <c r="B6768" s="33">
        <v>1965.83</v>
      </c>
      <c r="C6768">
        <f t="shared" si="135"/>
        <v>2010</v>
      </c>
    </row>
    <row r="6769" spans="1:3">
      <c r="A6769" s="68">
        <v>40335</v>
      </c>
      <c r="B6769" s="32">
        <v>1965.83</v>
      </c>
      <c r="C6769">
        <f t="shared" si="135"/>
        <v>2010</v>
      </c>
    </row>
    <row r="6770" spans="1:3">
      <c r="A6770" s="68">
        <v>40336</v>
      </c>
      <c r="B6770" s="33">
        <v>1965.83</v>
      </c>
      <c r="C6770">
        <f t="shared" si="135"/>
        <v>2010</v>
      </c>
    </row>
    <row r="6771" spans="1:3">
      <c r="A6771" s="68">
        <v>40337</v>
      </c>
      <c r="B6771" s="32">
        <v>1965.83</v>
      </c>
      <c r="C6771">
        <f t="shared" si="135"/>
        <v>2010</v>
      </c>
    </row>
    <row r="6772" spans="1:3">
      <c r="A6772" s="68">
        <v>40338</v>
      </c>
      <c r="B6772" s="33">
        <v>1960.5</v>
      </c>
      <c r="C6772">
        <f t="shared" si="135"/>
        <v>2010</v>
      </c>
    </row>
    <row r="6773" spans="1:3">
      <c r="A6773" s="68">
        <v>40339</v>
      </c>
      <c r="B6773" s="32">
        <v>1943.41</v>
      </c>
      <c r="C6773">
        <f t="shared" si="135"/>
        <v>2010</v>
      </c>
    </row>
    <row r="6774" spans="1:3">
      <c r="A6774" s="68">
        <v>40340</v>
      </c>
      <c r="B6774" s="33">
        <v>1928.83</v>
      </c>
      <c r="C6774">
        <f t="shared" si="135"/>
        <v>2010</v>
      </c>
    </row>
    <row r="6775" spans="1:3">
      <c r="A6775" s="68">
        <v>40341</v>
      </c>
      <c r="B6775" s="32">
        <v>1925.35</v>
      </c>
      <c r="C6775">
        <f t="shared" si="135"/>
        <v>2010</v>
      </c>
    </row>
    <row r="6776" spans="1:3">
      <c r="A6776" s="68">
        <v>40342</v>
      </c>
      <c r="B6776" s="33">
        <v>1925.35</v>
      </c>
      <c r="C6776">
        <f t="shared" si="135"/>
        <v>2010</v>
      </c>
    </row>
    <row r="6777" spans="1:3">
      <c r="A6777" s="68">
        <v>40343</v>
      </c>
      <c r="B6777" s="32">
        <v>1925.35</v>
      </c>
      <c r="C6777">
        <f t="shared" si="135"/>
        <v>2010</v>
      </c>
    </row>
    <row r="6778" spans="1:3">
      <c r="A6778" s="68">
        <v>40344</v>
      </c>
      <c r="B6778" s="33">
        <v>1925.35</v>
      </c>
      <c r="C6778">
        <f t="shared" si="135"/>
        <v>2010</v>
      </c>
    </row>
    <row r="6779" spans="1:3">
      <c r="A6779" s="68">
        <v>40345</v>
      </c>
      <c r="B6779" s="32">
        <v>1917.82</v>
      </c>
      <c r="C6779">
        <f t="shared" si="135"/>
        <v>2010</v>
      </c>
    </row>
    <row r="6780" spans="1:3">
      <c r="A6780" s="68">
        <v>40346</v>
      </c>
      <c r="B6780" s="33">
        <v>1912.29</v>
      </c>
      <c r="C6780">
        <f t="shared" si="135"/>
        <v>2010</v>
      </c>
    </row>
    <row r="6781" spans="1:3">
      <c r="A6781" s="68">
        <v>40347</v>
      </c>
      <c r="B6781" s="32">
        <v>1902.78</v>
      </c>
      <c r="C6781">
        <f t="shared" si="135"/>
        <v>2010</v>
      </c>
    </row>
    <row r="6782" spans="1:3">
      <c r="A6782" s="68">
        <v>40348</v>
      </c>
      <c r="B6782" s="33">
        <v>1906.61</v>
      </c>
      <c r="C6782">
        <f t="shared" si="135"/>
        <v>2010</v>
      </c>
    </row>
    <row r="6783" spans="1:3">
      <c r="A6783" s="68">
        <v>40349</v>
      </c>
      <c r="B6783" s="32">
        <v>1906.61</v>
      </c>
      <c r="C6783">
        <f t="shared" si="135"/>
        <v>2010</v>
      </c>
    </row>
    <row r="6784" spans="1:3">
      <c r="A6784" s="68">
        <v>40350</v>
      </c>
      <c r="B6784" s="33">
        <v>1906.61</v>
      </c>
      <c r="C6784">
        <f t="shared" si="135"/>
        <v>2010</v>
      </c>
    </row>
    <row r="6785" spans="1:3">
      <c r="A6785" s="68">
        <v>40351</v>
      </c>
      <c r="B6785" s="32">
        <v>1889.51</v>
      </c>
      <c r="C6785">
        <f t="shared" si="135"/>
        <v>2010</v>
      </c>
    </row>
    <row r="6786" spans="1:3">
      <c r="A6786" s="68">
        <v>40352</v>
      </c>
      <c r="B6786" s="33">
        <v>1886.05</v>
      </c>
      <c r="C6786">
        <f t="shared" si="135"/>
        <v>2010</v>
      </c>
    </row>
    <row r="6787" spans="1:3">
      <c r="A6787" s="68">
        <v>40353</v>
      </c>
      <c r="B6787" s="32">
        <v>1895.75</v>
      </c>
      <c r="C6787">
        <f t="shared" si="135"/>
        <v>2010</v>
      </c>
    </row>
    <row r="6788" spans="1:3">
      <c r="A6788" s="68">
        <v>40354</v>
      </c>
      <c r="B6788" s="33">
        <v>1896.87</v>
      </c>
      <c r="C6788">
        <f t="shared" ref="C6788:C6851" si="136">YEAR(A6788)</f>
        <v>2010</v>
      </c>
    </row>
    <row r="6789" spans="1:3">
      <c r="A6789" s="68">
        <v>40355</v>
      </c>
      <c r="B6789" s="32">
        <v>1900.36</v>
      </c>
      <c r="C6789">
        <f t="shared" si="136"/>
        <v>2010</v>
      </c>
    </row>
    <row r="6790" spans="1:3">
      <c r="A6790" s="68">
        <v>40356</v>
      </c>
      <c r="B6790" s="33">
        <v>1900.36</v>
      </c>
      <c r="C6790">
        <f t="shared" si="136"/>
        <v>2010</v>
      </c>
    </row>
    <row r="6791" spans="1:3">
      <c r="A6791" s="68">
        <v>40357</v>
      </c>
      <c r="B6791" s="32">
        <v>1900.36</v>
      </c>
      <c r="C6791">
        <f t="shared" si="136"/>
        <v>2010</v>
      </c>
    </row>
    <row r="6792" spans="1:3">
      <c r="A6792" s="68">
        <v>40358</v>
      </c>
      <c r="B6792" s="33">
        <v>1901.65</v>
      </c>
      <c r="C6792">
        <f t="shared" si="136"/>
        <v>2010</v>
      </c>
    </row>
    <row r="6793" spans="1:3">
      <c r="A6793" s="68">
        <v>40359</v>
      </c>
      <c r="B6793" s="32">
        <v>1916.46</v>
      </c>
      <c r="C6793">
        <f t="shared" si="136"/>
        <v>2010</v>
      </c>
    </row>
    <row r="6794" spans="1:3">
      <c r="A6794" s="68">
        <v>40360</v>
      </c>
      <c r="B6794" s="33">
        <v>1913.15</v>
      </c>
      <c r="C6794">
        <f t="shared" si="136"/>
        <v>2010</v>
      </c>
    </row>
    <row r="6795" spans="1:3">
      <c r="A6795" s="68">
        <v>40361</v>
      </c>
      <c r="B6795" s="32">
        <v>1897.33</v>
      </c>
      <c r="C6795">
        <f t="shared" si="136"/>
        <v>2010</v>
      </c>
    </row>
    <row r="6796" spans="1:3">
      <c r="A6796" s="68">
        <v>40362</v>
      </c>
      <c r="B6796" s="33">
        <v>1884.31</v>
      </c>
      <c r="C6796">
        <f t="shared" si="136"/>
        <v>2010</v>
      </c>
    </row>
    <row r="6797" spans="1:3">
      <c r="A6797" s="68">
        <v>40363</v>
      </c>
      <c r="B6797" s="32">
        <v>1884.31</v>
      </c>
      <c r="C6797">
        <f t="shared" si="136"/>
        <v>2010</v>
      </c>
    </row>
    <row r="6798" spans="1:3">
      <c r="A6798" s="68">
        <v>40364</v>
      </c>
      <c r="B6798" s="33">
        <v>1884.31</v>
      </c>
      <c r="C6798">
        <f t="shared" si="136"/>
        <v>2010</v>
      </c>
    </row>
    <row r="6799" spans="1:3">
      <c r="A6799" s="68">
        <v>40365</v>
      </c>
      <c r="B6799" s="32">
        <v>1884.31</v>
      </c>
      <c r="C6799">
        <f t="shared" si="136"/>
        <v>2010</v>
      </c>
    </row>
    <row r="6800" spans="1:3">
      <c r="A6800" s="68">
        <v>40366</v>
      </c>
      <c r="B6800" s="33">
        <v>1882.47</v>
      </c>
      <c r="C6800">
        <f t="shared" si="136"/>
        <v>2010</v>
      </c>
    </row>
    <row r="6801" spans="1:3">
      <c r="A6801" s="68">
        <v>40367</v>
      </c>
      <c r="B6801" s="32">
        <v>1901.38</v>
      </c>
      <c r="C6801">
        <f t="shared" si="136"/>
        <v>2010</v>
      </c>
    </row>
    <row r="6802" spans="1:3">
      <c r="A6802" s="68">
        <v>40368</v>
      </c>
      <c r="B6802" s="33">
        <v>1889.61</v>
      </c>
      <c r="C6802">
        <f t="shared" si="136"/>
        <v>2010</v>
      </c>
    </row>
    <row r="6803" spans="1:3">
      <c r="A6803" s="68">
        <v>40369</v>
      </c>
      <c r="B6803" s="32">
        <v>1877.66</v>
      </c>
      <c r="C6803">
        <f t="shared" si="136"/>
        <v>2010</v>
      </c>
    </row>
    <row r="6804" spans="1:3">
      <c r="A6804" s="68">
        <v>40370</v>
      </c>
      <c r="B6804" s="33">
        <v>1877.66</v>
      </c>
      <c r="C6804">
        <f t="shared" si="136"/>
        <v>2010</v>
      </c>
    </row>
    <row r="6805" spans="1:3">
      <c r="A6805" s="68">
        <v>40371</v>
      </c>
      <c r="B6805" s="32">
        <v>1877.66</v>
      </c>
      <c r="C6805">
        <f t="shared" si="136"/>
        <v>2010</v>
      </c>
    </row>
    <row r="6806" spans="1:3">
      <c r="A6806" s="68">
        <v>40372</v>
      </c>
      <c r="B6806" s="33">
        <v>1877.2</v>
      </c>
      <c r="C6806">
        <f t="shared" si="136"/>
        <v>2010</v>
      </c>
    </row>
    <row r="6807" spans="1:3">
      <c r="A6807" s="68">
        <v>40373</v>
      </c>
      <c r="B6807" s="32">
        <v>1871.19</v>
      </c>
      <c r="C6807">
        <f t="shared" si="136"/>
        <v>2010</v>
      </c>
    </row>
    <row r="6808" spans="1:3">
      <c r="A6808" s="68">
        <v>40374</v>
      </c>
      <c r="B6808" s="33">
        <v>1873.87</v>
      </c>
      <c r="C6808">
        <f t="shared" si="136"/>
        <v>2010</v>
      </c>
    </row>
    <row r="6809" spans="1:3">
      <c r="A6809" s="68">
        <v>40375</v>
      </c>
      <c r="B6809" s="32">
        <v>1871.96</v>
      </c>
      <c r="C6809">
        <f t="shared" si="136"/>
        <v>2010</v>
      </c>
    </row>
    <row r="6810" spans="1:3">
      <c r="A6810" s="68">
        <v>40376</v>
      </c>
      <c r="B6810" s="33">
        <v>1878.77</v>
      </c>
      <c r="C6810">
        <f t="shared" si="136"/>
        <v>2010</v>
      </c>
    </row>
    <row r="6811" spans="1:3">
      <c r="A6811" s="68">
        <v>40377</v>
      </c>
      <c r="B6811" s="32">
        <v>1878.77</v>
      </c>
      <c r="C6811">
        <f t="shared" si="136"/>
        <v>2010</v>
      </c>
    </row>
    <row r="6812" spans="1:3">
      <c r="A6812" s="68">
        <v>40378</v>
      </c>
      <c r="B6812" s="33">
        <v>1878.77</v>
      </c>
      <c r="C6812">
        <f t="shared" si="136"/>
        <v>2010</v>
      </c>
    </row>
    <row r="6813" spans="1:3">
      <c r="A6813" s="68">
        <v>40379</v>
      </c>
      <c r="B6813" s="32">
        <v>1872.92</v>
      </c>
      <c r="C6813">
        <f t="shared" si="136"/>
        <v>2010</v>
      </c>
    </row>
    <row r="6814" spans="1:3">
      <c r="A6814" s="68">
        <v>40380</v>
      </c>
      <c r="B6814" s="33">
        <v>1872.92</v>
      </c>
      <c r="C6814">
        <f t="shared" si="136"/>
        <v>2010</v>
      </c>
    </row>
    <row r="6815" spans="1:3">
      <c r="A6815" s="68">
        <v>40381</v>
      </c>
      <c r="B6815" s="32">
        <v>1867.07</v>
      </c>
      <c r="C6815">
        <f t="shared" si="136"/>
        <v>2010</v>
      </c>
    </row>
    <row r="6816" spans="1:3">
      <c r="A6816" s="68">
        <v>40382</v>
      </c>
      <c r="B6816" s="33">
        <v>1864.04</v>
      </c>
      <c r="C6816">
        <f t="shared" si="136"/>
        <v>2010</v>
      </c>
    </row>
    <row r="6817" spans="1:3">
      <c r="A6817" s="68">
        <v>40383</v>
      </c>
      <c r="B6817" s="32">
        <v>1867.47</v>
      </c>
      <c r="C6817">
        <f t="shared" si="136"/>
        <v>2010</v>
      </c>
    </row>
    <row r="6818" spans="1:3">
      <c r="A6818" s="68">
        <v>40384</v>
      </c>
      <c r="B6818" s="33">
        <v>1867.47</v>
      </c>
      <c r="C6818">
        <f t="shared" si="136"/>
        <v>2010</v>
      </c>
    </row>
    <row r="6819" spans="1:3">
      <c r="A6819" s="68">
        <v>40385</v>
      </c>
      <c r="B6819" s="32">
        <v>1867.47</v>
      </c>
      <c r="C6819">
        <f t="shared" si="136"/>
        <v>2010</v>
      </c>
    </row>
    <row r="6820" spans="1:3">
      <c r="A6820" s="68">
        <v>40386</v>
      </c>
      <c r="B6820" s="33">
        <v>1859.5</v>
      </c>
      <c r="C6820">
        <f t="shared" si="136"/>
        <v>2010</v>
      </c>
    </row>
    <row r="6821" spans="1:3">
      <c r="A6821" s="68">
        <v>40387</v>
      </c>
      <c r="B6821" s="32">
        <v>1852.83</v>
      </c>
      <c r="C6821">
        <f t="shared" si="136"/>
        <v>2010</v>
      </c>
    </row>
    <row r="6822" spans="1:3">
      <c r="A6822" s="68">
        <v>40388</v>
      </c>
      <c r="B6822" s="33">
        <v>1846.23</v>
      </c>
      <c r="C6822">
        <f t="shared" si="136"/>
        <v>2010</v>
      </c>
    </row>
    <row r="6823" spans="1:3">
      <c r="A6823" s="68">
        <v>40389</v>
      </c>
      <c r="B6823" s="32">
        <v>1841.35</v>
      </c>
      <c r="C6823">
        <f t="shared" si="136"/>
        <v>2010</v>
      </c>
    </row>
    <row r="6824" spans="1:3">
      <c r="A6824" s="68">
        <v>40390</v>
      </c>
      <c r="B6824" s="33">
        <v>1842.79</v>
      </c>
      <c r="C6824">
        <f t="shared" si="136"/>
        <v>2010</v>
      </c>
    </row>
    <row r="6825" spans="1:3">
      <c r="A6825" s="68">
        <v>40391</v>
      </c>
      <c r="B6825" s="32">
        <v>1842.79</v>
      </c>
      <c r="C6825">
        <f t="shared" si="136"/>
        <v>2010</v>
      </c>
    </row>
    <row r="6826" spans="1:3">
      <c r="A6826" s="68">
        <v>40392</v>
      </c>
      <c r="B6826" s="33">
        <v>1842.79</v>
      </c>
      <c r="C6826">
        <f t="shared" si="136"/>
        <v>2010</v>
      </c>
    </row>
    <row r="6827" spans="1:3">
      <c r="A6827" s="68">
        <v>40393</v>
      </c>
      <c r="B6827" s="32">
        <v>1832.45</v>
      </c>
      <c r="C6827">
        <f t="shared" si="136"/>
        <v>2010</v>
      </c>
    </row>
    <row r="6828" spans="1:3">
      <c r="A6828" s="68">
        <v>40394</v>
      </c>
      <c r="B6828" s="33">
        <v>1834.58</v>
      </c>
      <c r="C6828">
        <f t="shared" si="136"/>
        <v>2010</v>
      </c>
    </row>
    <row r="6829" spans="1:3">
      <c r="A6829" s="68">
        <v>40395</v>
      </c>
      <c r="B6829" s="32">
        <v>1824.52</v>
      </c>
      <c r="C6829">
        <f t="shared" si="136"/>
        <v>2010</v>
      </c>
    </row>
    <row r="6830" spans="1:3">
      <c r="A6830" s="68">
        <v>40396</v>
      </c>
      <c r="B6830" s="33">
        <v>1818.5</v>
      </c>
      <c r="C6830">
        <f t="shared" si="136"/>
        <v>2010</v>
      </c>
    </row>
    <row r="6831" spans="1:3">
      <c r="A6831" s="68">
        <v>40397</v>
      </c>
      <c r="B6831" s="32">
        <v>1815.46</v>
      </c>
      <c r="C6831">
        <f t="shared" si="136"/>
        <v>2010</v>
      </c>
    </row>
    <row r="6832" spans="1:3">
      <c r="A6832" s="68">
        <v>40398</v>
      </c>
      <c r="B6832" s="33">
        <v>1815.46</v>
      </c>
      <c r="C6832">
        <f t="shared" si="136"/>
        <v>2010</v>
      </c>
    </row>
    <row r="6833" spans="1:3">
      <c r="A6833" s="68">
        <v>40399</v>
      </c>
      <c r="B6833" s="32">
        <v>1815.46</v>
      </c>
      <c r="C6833">
        <f t="shared" si="136"/>
        <v>2010</v>
      </c>
    </row>
    <row r="6834" spans="1:3">
      <c r="A6834" s="68">
        <v>40400</v>
      </c>
      <c r="B6834" s="33">
        <v>1808.93</v>
      </c>
      <c r="C6834">
        <f t="shared" si="136"/>
        <v>2010</v>
      </c>
    </row>
    <row r="6835" spans="1:3">
      <c r="A6835" s="68">
        <v>40401</v>
      </c>
      <c r="B6835" s="32">
        <v>1810.12</v>
      </c>
      <c r="C6835">
        <f t="shared" si="136"/>
        <v>2010</v>
      </c>
    </row>
    <row r="6836" spans="1:3">
      <c r="A6836" s="68">
        <v>40402</v>
      </c>
      <c r="B6836" s="33">
        <v>1807.55</v>
      </c>
      <c r="C6836">
        <f t="shared" si="136"/>
        <v>2010</v>
      </c>
    </row>
    <row r="6837" spans="1:3">
      <c r="A6837" s="68">
        <v>40403</v>
      </c>
      <c r="B6837" s="32">
        <v>1812.2</v>
      </c>
      <c r="C6837">
        <f t="shared" si="136"/>
        <v>2010</v>
      </c>
    </row>
    <row r="6838" spans="1:3">
      <c r="A6838" s="68">
        <v>40404</v>
      </c>
      <c r="B6838" s="33">
        <v>1835.32</v>
      </c>
      <c r="C6838">
        <f t="shared" si="136"/>
        <v>2010</v>
      </c>
    </row>
    <row r="6839" spans="1:3">
      <c r="A6839" s="68">
        <v>40405</v>
      </c>
      <c r="B6839" s="32">
        <v>1835.32</v>
      </c>
      <c r="C6839">
        <f t="shared" si="136"/>
        <v>2010</v>
      </c>
    </row>
    <row r="6840" spans="1:3">
      <c r="A6840" s="68">
        <v>40406</v>
      </c>
      <c r="B6840" s="33">
        <v>1835.32</v>
      </c>
      <c r="C6840">
        <f t="shared" si="136"/>
        <v>2010</v>
      </c>
    </row>
    <row r="6841" spans="1:3">
      <c r="A6841" s="68">
        <v>40407</v>
      </c>
      <c r="B6841" s="32">
        <v>1835.32</v>
      </c>
      <c r="C6841">
        <f t="shared" si="136"/>
        <v>2010</v>
      </c>
    </row>
    <row r="6842" spans="1:3">
      <c r="A6842" s="68">
        <v>40408</v>
      </c>
      <c r="B6842" s="33">
        <v>1810.75</v>
      </c>
      <c r="C6842">
        <f t="shared" si="136"/>
        <v>2010</v>
      </c>
    </row>
    <row r="6843" spans="1:3">
      <c r="A6843" s="68">
        <v>40409</v>
      </c>
      <c r="B6843" s="32">
        <v>1808.14</v>
      </c>
      <c r="C6843">
        <f t="shared" si="136"/>
        <v>2010</v>
      </c>
    </row>
    <row r="6844" spans="1:3">
      <c r="A6844" s="68">
        <v>40410</v>
      </c>
      <c r="B6844" s="33">
        <v>1819.13</v>
      </c>
      <c r="C6844">
        <f t="shared" si="136"/>
        <v>2010</v>
      </c>
    </row>
    <row r="6845" spans="1:3">
      <c r="A6845" s="68">
        <v>40411</v>
      </c>
      <c r="B6845" s="32">
        <v>1820.93</v>
      </c>
      <c r="C6845">
        <f t="shared" si="136"/>
        <v>2010</v>
      </c>
    </row>
    <row r="6846" spans="1:3">
      <c r="A6846" s="68">
        <v>40412</v>
      </c>
      <c r="B6846" s="33">
        <v>1820.93</v>
      </c>
      <c r="C6846">
        <f t="shared" si="136"/>
        <v>2010</v>
      </c>
    </row>
    <row r="6847" spans="1:3">
      <c r="A6847" s="68">
        <v>40413</v>
      </c>
      <c r="B6847" s="32">
        <v>1820.93</v>
      </c>
      <c r="C6847">
        <f t="shared" si="136"/>
        <v>2010</v>
      </c>
    </row>
    <row r="6848" spans="1:3">
      <c r="A6848" s="68">
        <v>40414</v>
      </c>
      <c r="B6848" s="33">
        <v>1806.93</v>
      </c>
      <c r="C6848">
        <f t="shared" si="136"/>
        <v>2010</v>
      </c>
    </row>
    <row r="6849" spans="1:3">
      <c r="A6849" s="68">
        <v>40415</v>
      </c>
      <c r="B6849" s="32">
        <v>1818.86</v>
      </c>
      <c r="C6849">
        <f t="shared" si="136"/>
        <v>2010</v>
      </c>
    </row>
    <row r="6850" spans="1:3">
      <c r="A6850" s="68">
        <v>40416</v>
      </c>
      <c r="B6850" s="33">
        <v>1820.29</v>
      </c>
      <c r="C6850">
        <f t="shared" si="136"/>
        <v>2010</v>
      </c>
    </row>
    <row r="6851" spans="1:3">
      <c r="A6851" s="68">
        <v>40417</v>
      </c>
      <c r="B6851" s="32">
        <v>1811.46</v>
      </c>
      <c r="C6851">
        <f t="shared" si="136"/>
        <v>2010</v>
      </c>
    </row>
    <row r="6852" spans="1:3">
      <c r="A6852" s="68">
        <v>40418</v>
      </c>
      <c r="B6852" s="33">
        <v>1817.68</v>
      </c>
      <c r="C6852">
        <f t="shared" ref="C6852:C6915" si="137">YEAR(A6852)</f>
        <v>2010</v>
      </c>
    </row>
    <row r="6853" spans="1:3">
      <c r="A6853" s="68">
        <v>40419</v>
      </c>
      <c r="B6853" s="32">
        <v>1817.68</v>
      </c>
      <c r="C6853">
        <f t="shared" si="137"/>
        <v>2010</v>
      </c>
    </row>
    <row r="6854" spans="1:3">
      <c r="A6854" s="68">
        <v>40420</v>
      </c>
      <c r="B6854" s="33">
        <v>1817.68</v>
      </c>
      <c r="C6854">
        <f t="shared" si="137"/>
        <v>2010</v>
      </c>
    </row>
    <row r="6855" spans="1:3">
      <c r="A6855" s="68">
        <v>40421</v>
      </c>
      <c r="B6855" s="32">
        <v>1823.74</v>
      </c>
      <c r="C6855">
        <f t="shared" si="137"/>
        <v>2010</v>
      </c>
    </row>
    <row r="6856" spans="1:3">
      <c r="A6856" s="68">
        <v>40422</v>
      </c>
      <c r="B6856" s="33">
        <v>1826.31</v>
      </c>
      <c r="C6856">
        <f t="shared" si="137"/>
        <v>2010</v>
      </c>
    </row>
    <row r="6857" spans="1:3">
      <c r="A6857" s="68">
        <v>40423</v>
      </c>
      <c r="B6857" s="32">
        <v>1815.09</v>
      </c>
      <c r="C6857">
        <f t="shared" si="137"/>
        <v>2010</v>
      </c>
    </row>
    <row r="6858" spans="1:3">
      <c r="A6858" s="68">
        <v>40424</v>
      </c>
      <c r="B6858" s="33">
        <v>1810.65</v>
      </c>
      <c r="C6858">
        <f t="shared" si="137"/>
        <v>2010</v>
      </c>
    </row>
    <row r="6859" spans="1:3">
      <c r="A6859" s="68">
        <v>40425</v>
      </c>
      <c r="B6859" s="32">
        <v>1807.73</v>
      </c>
      <c r="C6859">
        <f t="shared" si="137"/>
        <v>2010</v>
      </c>
    </row>
    <row r="6860" spans="1:3">
      <c r="A6860" s="68">
        <v>40426</v>
      </c>
      <c r="B6860" s="33">
        <v>1807.73</v>
      </c>
      <c r="C6860">
        <f t="shared" si="137"/>
        <v>2010</v>
      </c>
    </row>
    <row r="6861" spans="1:3">
      <c r="A6861" s="68">
        <v>40427</v>
      </c>
      <c r="B6861" s="32">
        <v>1807.73</v>
      </c>
      <c r="C6861">
        <f t="shared" si="137"/>
        <v>2010</v>
      </c>
    </row>
    <row r="6862" spans="1:3">
      <c r="A6862" s="68">
        <v>40428</v>
      </c>
      <c r="B6862" s="33">
        <v>1807.73</v>
      </c>
      <c r="C6862">
        <f t="shared" si="137"/>
        <v>2010</v>
      </c>
    </row>
    <row r="6863" spans="1:3">
      <c r="A6863" s="68">
        <v>40429</v>
      </c>
      <c r="B6863" s="32">
        <v>1808.65</v>
      </c>
      <c r="C6863">
        <f t="shared" si="137"/>
        <v>2010</v>
      </c>
    </row>
    <row r="6864" spans="1:3">
      <c r="A6864" s="68">
        <v>40430</v>
      </c>
      <c r="B6864" s="33">
        <v>1803</v>
      </c>
      <c r="C6864">
        <f t="shared" si="137"/>
        <v>2010</v>
      </c>
    </row>
    <row r="6865" spans="1:3">
      <c r="A6865" s="68">
        <v>40431</v>
      </c>
      <c r="B6865" s="32">
        <v>1802.54</v>
      </c>
      <c r="C6865">
        <f t="shared" si="137"/>
        <v>2010</v>
      </c>
    </row>
    <row r="6866" spans="1:3">
      <c r="A6866" s="68">
        <v>40432</v>
      </c>
      <c r="B6866" s="33">
        <v>1801.04</v>
      </c>
      <c r="C6866">
        <f t="shared" si="137"/>
        <v>2010</v>
      </c>
    </row>
    <row r="6867" spans="1:3">
      <c r="A6867" s="68">
        <v>40433</v>
      </c>
      <c r="B6867" s="32">
        <v>1801.04</v>
      </c>
      <c r="C6867">
        <f t="shared" si="137"/>
        <v>2010</v>
      </c>
    </row>
    <row r="6868" spans="1:3">
      <c r="A6868" s="68">
        <v>40434</v>
      </c>
      <c r="B6868" s="33">
        <v>1801.04</v>
      </c>
      <c r="C6868">
        <f t="shared" si="137"/>
        <v>2010</v>
      </c>
    </row>
    <row r="6869" spans="1:3">
      <c r="A6869" s="68">
        <v>40435</v>
      </c>
      <c r="B6869" s="32">
        <v>1793.28</v>
      </c>
      <c r="C6869">
        <f t="shared" si="137"/>
        <v>2010</v>
      </c>
    </row>
    <row r="6870" spans="1:3">
      <c r="A6870" s="68">
        <v>40436</v>
      </c>
      <c r="B6870" s="33">
        <v>1788.05</v>
      </c>
      <c r="C6870">
        <f t="shared" si="137"/>
        <v>2010</v>
      </c>
    </row>
    <row r="6871" spans="1:3">
      <c r="A6871" s="68">
        <v>40437</v>
      </c>
      <c r="B6871" s="32">
        <v>1806.78</v>
      </c>
      <c r="C6871">
        <f t="shared" si="137"/>
        <v>2010</v>
      </c>
    </row>
    <row r="6872" spans="1:3">
      <c r="A6872" s="68">
        <v>40438</v>
      </c>
      <c r="B6872" s="33">
        <v>1811.55</v>
      </c>
      <c r="C6872">
        <f t="shared" si="137"/>
        <v>2010</v>
      </c>
    </row>
    <row r="6873" spans="1:3">
      <c r="A6873" s="68">
        <v>40439</v>
      </c>
      <c r="B6873" s="32">
        <v>1806.76</v>
      </c>
      <c r="C6873">
        <f t="shared" si="137"/>
        <v>2010</v>
      </c>
    </row>
    <row r="6874" spans="1:3">
      <c r="A6874" s="68">
        <v>40440</v>
      </c>
      <c r="B6874" s="33">
        <v>1806.76</v>
      </c>
      <c r="C6874">
        <f t="shared" si="137"/>
        <v>2010</v>
      </c>
    </row>
    <row r="6875" spans="1:3">
      <c r="A6875" s="68">
        <v>40441</v>
      </c>
      <c r="B6875" s="32">
        <v>1806.76</v>
      </c>
      <c r="C6875">
        <f t="shared" si="137"/>
        <v>2010</v>
      </c>
    </row>
    <row r="6876" spans="1:3">
      <c r="A6876" s="68">
        <v>40442</v>
      </c>
      <c r="B6876" s="33">
        <v>1798.73</v>
      </c>
      <c r="C6876">
        <f t="shared" si="137"/>
        <v>2010</v>
      </c>
    </row>
    <row r="6877" spans="1:3">
      <c r="A6877" s="68">
        <v>40443</v>
      </c>
      <c r="B6877" s="32">
        <v>1805.31</v>
      </c>
      <c r="C6877">
        <f t="shared" si="137"/>
        <v>2010</v>
      </c>
    </row>
    <row r="6878" spans="1:3">
      <c r="A6878" s="68">
        <v>40444</v>
      </c>
      <c r="B6878" s="33">
        <v>1803.71</v>
      </c>
      <c r="C6878">
        <f t="shared" si="137"/>
        <v>2010</v>
      </c>
    </row>
    <row r="6879" spans="1:3">
      <c r="A6879" s="68">
        <v>40445</v>
      </c>
      <c r="B6879" s="32">
        <v>1810.72</v>
      </c>
      <c r="C6879">
        <f t="shared" si="137"/>
        <v>2010</v>
      </c>
    </row>
    <row r="6880" spans="1:3">
      <c r="A6880" s="68">
        <v>40446</v>
      </c>
      <c r="B6880" s="33">
        <v>1809.46</v>
      </c>
      <c r="C6880">
        <f t="shared" si="137"/>
        <v>2010</v>
      </c>
    </row>
    <row r="6881" spans="1:3">
      <c r="A6881" s="68">
        <v>40447</v>
      </c>
      <c r="B6881" s="32">
        <v>1809.46</v>
      </c>
      <c r="C6881">
        <f t="shared" si="137"/>
        <v>2010</v>
      </c>
    </row>
    <row r="6882" spans="1:3">
      <c r="A6882" s="68">
        <v>40448</v>
      </c>
      <c r="B6882" s="33">
        <v>1809.46</v>
      </c>
      <c r="C6882">
        <f t="shared" si="137"/>
        <v>2010</v>
      </c>
    </row>
    <row r="6883" spans="1:3">
      <c r="A6883" s="68">
        <v>40449</v>
      </c>
      <c r="B6883" s="32">
        <v>1802.15</v>
      </c>
      <c r="C6883">
        <f t="shared" si="137"/>
        <v>2010</v>
      </c>
    </row>
    <row r="6884" spans="1:3">
      <c r="A6884" s="68">
        <v>40450</v>
      </c>
      <c r="B6884" s="33">
        <v>1804.06</v>
      </c>
      <c r="C6884">
        <f t="shared" si="137"/>
        <v>2010</v>
      </c>
    </row>
    <row r="6885" spans="1:3">
      <c r="A6885" s="68">
        <v>40451</v>
      </c>
      <c r="B6885" s="32">
        <v>1799.89</v>
      </c>
      <c r="C6885">
        <f t="shared" si="137"/>
        <v>2010</v>
      </c>
    </row>
    <row r="6886" spans="1:3">
      <c r="A6886" s="68">
        <v>40452</v>
      </c>
      <c r="B6886" s="33">
        <v>1801.01</v>
      </c>
      <c r="C6886">
        <f t="shared" si="137"/>
        <v>2010</v>
      </c>
    </row>
    <row r="6887" spans="1:3">
      <c r="A6887" s="68">
        <v>40453</v>
      </c>
      <c r="B6887" s="32">
        <v>1795.93</v>
      </c>
      <c r="C6887">
        <f t="shared" si="137"/>
        <v>2010</v>
      </c>
    </row>
    <row r="6888" spans="1:3">
      <c r="A6888" s="68">
        <v>40454</v>
      </c>
      <c r="B6888" s="33">
        <v>1795.93</v>
      </c>
      <c r="C6888">
        <f t="shared" si="137"/>
        <v>2010</v>
      </c>
    </row>
    <row r="6889" spans="1:3">
      <c r="A6889" s="68">
        <v>40455</v>
      </c>
      <c r="B6889" s="32">
        <v>1795.93</v>
      </c>
      <c r="C6889">
        <f t="shared" si="137"/>
        <v>2010</v>
      </c>
    </row>
    <row r="6890" spans="1:3">
      <c r="A6890" s="68">
        <v>40456</v>
      </c>
      <c r="B6890" s="33">
        <v>1802.09</v>
      </c>
      <c r="C6890">
        <f t="shared" si="137"/>
        <v>2010</v>
      </c>
    </row>
    <row r="6891" spans="1:3">
      <c r="A6891" s="68">
        <v>40457</v>
      </c>
      <c r="B6891" s="32">
        <v>1802.43</v>
      </c>
      <c r="C6891">
        <f t="shared" si="137"/>
        <v>2010</v>
      </c>
    </row>
    <row r="6892" spans="1:3">
      <c r="A6892" s="68">
        <v>40458</v>
      </c>
      <c r="B6892" s="33">
        <v>1796.29</v>
      </c>
      <c r="C6892">
        <f t="shared" si="137"/>
        <v>2010</v>
      </c>
    </row>
    <row r="6893" spans="1:3">
      <c r="A6893" s="68">
        <v>40459</v>
      </c>
      <c r="B6893" s="32">
        <v>1786.2</v>
      </c>
      <c r="C6893">
        <f t="shared" si="137"/>
        <v>2010</v>
      </c>
    </row>
    <row r="6894" spans="1:3">
      <c r="A6894" s="68">
        <v>40460</v>
      </c>
      <c r="B6894" s="33">
        <v>1786.37</v>
      </c>
      <c r="C6894">
        <f t="shared" si="137"/>
        <v>2010</v>
      </c>
    </row>
    <row r="6895" spans="1:3">
      <c r="A6895" s="68">
        <v>40461</v>
      </c>
      <c r="B6895" s="32">
        <v>1786.37</v>
      </c>
      <c r="C6895">
        <f t="shared" si="137"/>
        <v>2010</v>
      </c>
    </row>
    <row r="6896" spans="1:3">
      <c r="A6896" s="68">
        <v>40462</v>
      </c>
      <c r="B6896" s="33">
        <v>1786.37</v>
      </c>
      <c r="C6896">
        <f t="shared" si="137"/>
        <v>2010</v>
      </c>
    </row>
    <row r="6897" spans="1:3">
      <c r="A6897" s="68">
        <v>40463</v>
      </c>
      <c r="B6897" s="32">
        <v>1786.37</v>
      </c>
      <c r="C6897">
        <f t="shared" si="137"/>
        <v>2010</v>
      </c>
    </row>
    <row r="6898" spans="1:3">
      <c r="A6898" s="68">
        <v>40464</v>
      </c>
      <c r="B6898" s="33">
        <v>1786.77</v>
      </c>
      <c r="C6898">
        <f t="shared" si="137"/>
        <v>2010</v>
      </c>
    </row>
    <row r="6899" spans="1:3">
      <c r="A6899" s="68">
        <v>40465</v>
      </c>
      <c r="B6899" s="32">
        <v>1791.56</v>
      </c>
      <c r="C6899">
        <f t="shared" si="137"/>
        <v>2010</v>
      </c>
    </row>
    <row r="6900" spans="1:3">
      <c r="A6900" s="68">
        <v>40466</v>
      </c>
      <c r="B6900" s="33">
        <v>1801.2</v>
      </c>
      <c r="C6900">
        <f t="shared" si="137"/>
        <v>2010</v>
      </c>
    </row>
    <row r="6901" spans="1:3">
      <c r="A6901" s="68">
        <v>40467</v>
      </c>
      <c r="B6901" s="32">
        <v>1807.88</v>
      </c>
      <c r="C6901">
        <f t="shared" si="137"/>
        <v>2010</v>
      </c>
    </row>
    <row r="6902" spans="1:3">
      <c r="A6902" s="68">
        <v>40468</v>
      </c>
      <c r="B6902" s="33">
        <v>1807.88</v>
      </c>
      <c r="C6902">
        <f t="shared" si="137"/>
        <v>2010</v>
      </c>
    </row>
    <row r="6903" spans="1:3">
      <c r="A6903" s="68">
        <v>40469</v>
      </c>
      <c r="B6903" s="32">
        <v>1807.88</v>
      </c>
      <c r="C6903">
        <f t="shared" si="137"/>
        <v>2010</v>
      </c>
    </row>
    <row r="6904" spans="1:3">
      <c r="A6904" s="68">
        <v>40470</v>
      </c>
      <c r="B6904" s="33">
        <v>1807.88</v>
      </c>
      <c r="C6904">
        <f t="shared" si="137"/>
        <v>2010</v>
      </c>
    </row>
    <row r="6905" spans="1:3">
      <c r="A6905" s="68">
        <v>40471</v>
      </c>
      <c r="B6905" s="32">
        <v>1817.45</v>
      </c>
      <c r="C6905">
        <f t="shared" si="137"/>
        <v>2010</v>
      </c>
    </row>
    <row r="6906" spans="1:3">
      <c r="A6906" s="68">
        <v>40472</v>
      </c>
      <c r="B6906" s="33">
        <v>1812.6</v>
      </c>
      <c r="C6906">
        <f t="shared" si="137"/>
        <v>2010</v>
      </c>
    </row>
    <row r="6907" spans="1:3">
      <c r="A6907" s="68">
        <v>40473</v>
      </c>
      <c r="B6907" s="32">
        <v>1816.28</v>
      </c>
      <c r="C6907">
        <f t="shared" si="137"/>
        <v>2010</v>
      </c>
    </row>
    <row r="6908" spans="1:3">
      <c r="A6908" s="68">
        <v>40474</v>
      </c>
      <c r="B6908" s="33">
        <v>1823.05</v>
      </c>
      <c r="C6908">
        <f t="shared" si="137"/>
        <v>2010</v>
      </c>
    </row>
    <row r="6909" spans="1:3">
      <c r="A6909" s="68">
        <v>40475</v>
      </c>
      <c r="B6909" s="32">
        <v>1823.05</v>
      </c>
      <c r="C6909">
        <f t="shared" si="137"/>
        <v>2010</v>
      </c>
    </row>
    <row r="6910" spans="1:3">
      <c r="A6910" s="68">
        <v>40476</v>
      </c>
      <c r="B6910" s="33">
        <v>1823.05</v>
      </c>
      <c r="C6910">
        <f t="shared" si="137"/>
        <v>2010</v>
      </c>
    </row>
    <row r="6911" spans="1:3">
      <c r="A6911" s="68">
        <v>40477</v>
      </c>
      <c r="B6911" s="32">
        <v>1830.96</v>
      </c>
      <c r="C6911">
        <f t="shared" si="137"/>
        <v>2010</v>
      </c>
    </row>
    <row r="6912" spans="1:3">
      <c r="A6912" s="68">
        <v>40478</v>
      </c>
      <c r="B6912" s="33">
        <v>1838.45</v>
      </c>
      <c r="C6912">
        <f t="shared" si="137"/>
        <v>2010</v>
      </c>
    </row>
    <row r="6913" spans="1:3">
      <c r="A6913" s="68">
        <v>40479</v>
      </c>
      <c r="B6913" s="32">
        <v>1846.41</v>
      </c>
      <c r="C6913">
        <f t="shared" si="137"/>
        <v>2010</v>
      </c>
    </row>
    <row r="6914" spans="1:3">
      <c r="A6914" s="68">
        <v>40480</v>
      </c>
      <c r="B6914" s="33">
        <v>1839.9</v>
      </c>
      <c r="C6914">
        <f t="shared" si="137"/>
        <v>2010</v>
      </c>
    </row>
    <row r="6915" spans="1:3">
      <c r="A6915" s="68">
        <v>40481</v>
      </c>
      <c r="B6915" s="32">
        <v>1831.64</v>
      </c>
      <c r="C6915">
        <f t="shared" si="137"/>
        <v>2010</v>
      </c>
    </row>
    <row r="6916" spans="1:3">
      <c r="A6916" s="68">
        <v>40482</v>
      </c>
      <c r="B6916" s="33">
        <v>1831.64</v>
      </c>
      <c r="C6916">
        <f t="shared" ref="C6916:C6979" si="138">YEAR(A6916)</f>
        <v>2010</v>
      </c>
    </row>
    <row r="6917" spans="1:3">
      <c r="A6917" s="68">
        <v>40483</v>
      </c>
      <c r="B6917" s="32">
        <v>1831.64</v>
      </c>
      <c r="C6917">
        <f t="shared" si="138"/>
        <v>2010</v>
      </c>
    </row>
    <row r="6918" spans="1:3">
      <c r="A6918" s="68">
        <v>40484</v>
      </c>
      <c r="B6918" s="33">
        <v>1831.64</v>
      </c>
      <c r="C6918">
        <f t="shared" si="138"/>
        <v>2010</v>
      </c>
    </row>
    <row r="6919" spans="1:3">
      <c r="A6919" s="68">
        <v>40485</v>
      </c>
      <c r="B6919" s="32">
        <v>1845.51</v>
      </c>
      <c r="C6919">
        <f t="shared" si="138"/>
        <v>2010</v>
      </c>
    </row>
    <row r="6920" spans="1:3">
      <c r="A6920" s="68">
        <v>40486</v>
      </c>
      <c r="B6920" s="33">
        <v>1840.51</v>
      </c>
      <c r="C6920">
        <f t="shared" si="138"/>
        <v>2010</v>
      </c>
    </row>
    <row r="6921" spans="1:3">
      <c r="A6921" s="68">
        <v>40487</v>
      </c>
      <c r="B6921" s="32">
        <v>1821.05</v>
      </c>
      <c r="C6921">
        <f t="shared" si="138"/>
        <v>2010</v>
      </c>
    </row>
    <row r="6922" spans="1:3">
      <c r="A6922" s="68">
        <v>40488</v>
      </c>
      <c r="B6922" s="33">
        <v>1817.7</v>
      </c>
      <c r="C6922">
        <f t="shared" si="138"/>
        <v>2010</v>
      </c>
    </row>
    <row r="6923" spans="1:3">
      <c r="A6923" s="68">
        <v>40489</v>
      </c>
      <c r="B6923" s="32">
        <v>1817.7</v>
      </c>
      <c r="C6923">
        <f t="shared" si="138"/>
        <v>2010</v>
      </c>
    </row>
    <row r="6924" spans="1:3">
      <c r="A6924" s="68">
        <v>40490</v>
      </c>
      <c r="B6924" s="33">
        <v>1817.7</v>
      </c>
      <c r="C6924">
        <f t="shared" si="138"/>
        <v>2010</v>
      </c>
    </row>
    <row r="6925" spans="1:3">
      <c r="A6925" s="68">
        <v>40491</v>
      </c>
      <c r="B6925" s="32">
        <v>1828.28</v>
      </c>
      <c r="C6925">
        <f t="shared" si="138"/>
        <v>2010</v>
      </c>
    </row>
    <row r="6926" spans="1:3">
      <c r="A6926" s="68">
        <v>40492</v>
      </c>
      <c r="B6926" s="33">
        <v>1836.27</v>
      </c>
      <c r="C6926">
        <f t="shared" si="138"/>
        <v>2010</v>
      </c>
    </row>
    <row r="6927" spans="1:3">
      <c r="A6927" s="68">
        <v>40493</v>
      </c>
      <c r="B6927" s="32">
        <v>1858.01</v>
      </c>
      <c r="C6927">
        <f t="shared" si="138"/>
        <v>2010</v>
      </c>
    </row>
    <row r="6928" spans="1:3">
      <c r="A6928" s="68">
        <v>40494</v>
      </c>
      <c r="B6928" s="33">
        <v>1858.01</v>
      </c>
      <c r="C6928">
        <f t="shared" si="138"/>
        <v>2010</v>
      </c>
    </row>
    <row r="6929" spans="1:3">
      <c r="A6929" s="68">
        <v>40495</v>
      </c>
      <c r="B6929" s="32">
        <v>1861.74</v>
      </c>
      <c r="C6929">
        <f t="shared" si="138"/>
        <v>2010</v>
      </c>
    </row>
    <row r="6930" spans="1:3">
      <c r="A6930" s="68">
        <v>40496</v>
      </c>
      <c r="B6930" s="33">
        <v>1861.74</v>
      </c>
      <c r="C6930">
        <f t="shared" si="138"/>
        <v>2010</v>
      </c>
    </row>
    <row r="6931" spans="1:3">
      <c r="A6931" s="68">
        <v>40497</v>
      </c>
      <c r="B6931" s="32">
        <v>1861.74</v>
      </c>
      <c r="C6931">
        <f t="shared" si="138"/>
        <v>2010</v>
      </c>
    </row>
    <row r="6932" spans="1:3">
      <c r="A6932" s="68">
        <v>40498</v>
      </c>
      <c r="B6932" s="33">
        <v>1861.74</v>
      </c>
      <c r="C6932">
        <f t="shared" si="138"/>
        <v>2010</v>
      </c>
    </row>
    <row r="6933" spans="1:3">
      <c r="A6933" s="68">
        <v>40499</v>
      </c>
      <c r="B6933" s="32">
        <v>1880.98</v>
      </c>
      <c r="C6933">
        <f t="shared" si="138"/>
        <v>2010</v>
      </c>
    </row>
    <row r="6934" spans="1:3">
      <c r="A6934" s="68">
        <v>40500</v>
      </c>
      <c r="B6934" s="33">
        <v>1875.78</v>
      </c>
      <c r="C6934">
        <f t="shared" si="138"/>
        <v>2010</v>
      </c>
    </row>
    <row r="6935" spans="1:3">
      <c r="A6935" s="68">
        <v>40501</v>
      </c>
      <c r="B6935" s="32">
        <v>1865.82</v>
      </c>
      <c r="C6935">
        <f t="shared" si="138"/>
        <v>2010</v>
      </c>
    </row>
    <row r="6936" spans="1:3">
      <c r="A6936" s="68">
        <v>40502</v>
      </c>
      <c r="B6936" s="33">
        <v>1875.39</v>
      </c>
      <c r="C6936">
        <f t="shared" si="138"/>
        <v>2010</v>
      </c>
    </row>
    <row r="6937" spans="1:3">
      <c r="A6937" s="68">
        <v>40503</v>
      </c>
      <c r="B6937" s="32">
        <v>1875.39</v>
      </c>
      <c r="C6937">
        <f t="shared" si="138"/>
        <v>2010</v>
      </c>
    </row>
    <row r="6938" spans="1:3">
      <c r="A6938" s="68">
        <v>40504</v>
      </c>
      <c r="B6938" s="33">
        <v>1875.39</v>
      </c>
      <c r="C6938">
        <f t="shared" si="138"/>
        <v>2010</v>
      </c>
    </row>
    <row r="6939" spans="1:3">
      <c r="A6939" s="68">
        <v>40505</v>
      </c>
      <c r="B6939" s="32">
        <v>1882</v>
      </c>
      <c r="C6939">
        <f t="shared" si="138"/>
        <v>2010</v>
      </c>
    </row>
    <row r="6940" spans="1:3">
      <c r="A6940" s="68">
        <v>40506</v>
      </c>
      <c r="B6940" s="33">
        <v>1892.84</v>
      </c>
      <c r="C6940">
        <f t="shared" si="138"/>
        <v>2010</v>
      </c>
    </row>
    <row r="6941" spans="1:3">
      <c r="A6941" s="68">
        <v>40507</v>
      </c>
      <c r="B6941" s="32">
        <v>1889.11</v>
      </c>
      <c r="C6941">
        <f t="shared" si="138"/>
        <v>2010</v>
      </c>
    </row>
    <row r="6942" spans="1:3">
      <c r="A6942" s="68">
        <v>40508</v>
      </c>
      <c r="B6942" s="33">
        <v>1889.11</v>
      </c>
      <c r="C6942">
        <f t="shared" si="138"/>
        <v>2010</v>
      </c>
    </row>
    <row r="6943" spans="1:3">
      <c r="A6943" s="68">
        <v>40509</v>
      </c>
      <c r="B6943" s="32">
        <v>1906.69</v>
      </c>
      <c r="C6943">
        <f t="shared" si="138"/>
        <v>2010</v>
      </c>
    </row>
    <row r="6944" spans="1:3">
      <c r="A6944" s="68">
        <v>40510</v>
      </c>
      <c r="B6944" s="33">
        <v>1906.69</v>
      </c>
      <c r="C6944">
        <f t="shared" si="138"/>
        <v>2010</v>
      </c>
    </row>
    <row r="6945" spans="1:3">
      <c r="A6945" s="68">
        <v>40511</v>
      </c>
      <c r="B6945" s="32">
        <v>1906.69</v>
      </c>
      <c r="C6945">
        <f t="shared" si="138"/>
        <v>2010</v>
      </c>
    </row>
    <row r="6946" spans="1:3">
      <c r="A6946" s="68">
        <v>40512</v>
      </c>
      <c r="B6946" s="33">
        <v>1916.96</v>
      </c>
      <c r="C6946">
        <f t="shared" si="138"/>
        <v>2010</v>
      </c>
    </row>
    <row r="6947" spans="1:3">
      <c r="A6947" s="68">
        <v>40513</v>
      </c>
      <c r="B6947" s="32">
        <v>1932.63</v>
      </c>
      <c r="C6947">
        <f t="shared" si="138"/>
        <v>2010</v>
      </c>
    </row>
    <row r="6948" spans="1:3">
      <c r="A6948" s="68">
        <v>40514</v>
      </c>
      <c r="B6948" s="33">
        <v>1933.58</v>
      </c>
      <c r="C6948">
        <f t="shared" si="138"/>
        <v>2010</v>
      </c>
    </row>
    <row r="6949" spans="1:3">
      <c r="A6949" s="68">
        <v>40515</v>
      </c>
      <c r="B6949" s="32">
        <v>1920</v>
      </c>
      <c r="C6949">
        <f t="shared" si="138"/>
        <v>2010</v>
      </c>
    </row>
    <row r="6950" spans="1:3">
      <c r="A6950" s="68">
        <v>40516</v>
      </c>
      <c r="B6950" s="33">
        <v>1896.73</v>
      </c>
      <c r="C6950">
        <f t="shared" si="138"/>
        <v>2010</v>
      </c>
    </row>
    <row r="6951" spans="1:3">
      <c r="A6951" s="68">
        <v>40517</v>
      </c>
      <c r="B6951" s="32">
        <v>1896.73</v>
      </c>
      <c r="C6951">
        <f t="shared" si="138"/>
        <v>2010</v>
      </c>
    </row>
    <row r="6952" spans="1:3">
      <c r="A6952" s="68">
        <v>40518</v>
      </c>
      <c r="B6952" s="33">
        <v>1896.73</v>
      </c>
      <c r="C6952">
        <f t="shared" si="138"/>
        <v>2010</v>
      </c>
    </row>
    <row r="6953" spans="1:3">
      <c r="A6953" s="68">
        <v>40519</v>
      </c>
      <c r="B6953" s="32">
        <v>1889.75</v>
      </c>
      <c r="C6953">
        <f t="shared" si="138"/>
        <v>2010</v>
      </c>
    </row>
    <row r="6954" spans="1:3">
      <c r="A6954" s="68">
        <v>40520</v>
      </c>
      <c r="B6954" s="33">
        <v>1880.82</v>
      </c>
      <c r="C6954">
        <f t="shared" si="138"/>
        <v>2010</v>
      </c>
    </row>
    <row r="6955" spans="1:3">
      <c r="A6955" s="68">
        <v>40521</v>
      </c>
      <c r="B6955" s="32">
        <v>1880.82</v>
      </c>
      <c r="C6955">
        <f t="shared" si="138"/>
        <v>2010</v>
      </c>
    </row>
    <row r="6956" spans="1:3">
      <c r="A6956" s="68">
        <v>40522</v>
      </c>
      <c r="B6956" s="33">
        <v>1902.72</v>
      </c>
      <c r="C6956">
        <f t="shared" si="138"/>
        <v>2010</v>
      </c>
    </row>
    <row r="6957" spans="1:3">
      <c r="A6957" s="68">
        <v>40523</v>
      </c>
      <c r="B6957" s="32">
        <v>1911.87</v>
      </c>
      <c r="C6957">
        <f t="shared" si="138"/>
        <v>2010</v>
      </c>
    </row>
    <row r="6958" spans="1:3">
      <c r="A6958" s="68">
        <v>40524</v>
      </c>
      <c r="B6958" s="33">
        <v>1911.87</v>
      </c>
      <c r="C6958">
        <f t="shared" si="138"/>
        <v>2010</v>
      </c>
    </row>
    <row r="6959" spans="1:3">
      <c r="A6959" s="68">
        <v>40525</v>
      </c>
      <c r="B6959" s="32">
        <v>1911.87</v>
      </c>
      <c r="C6959">
        <f t="shared" si="138"/>
        <v>2010</v>
      </c>
    </row>
    <row r="6960" spans="1:3">
      <c r="A6960" s="68">
        <v>40526</v>
      </c>
      <c r="B6960" s="33">
        <v>1894.12</v>
      </c>
      <c r="C6960">
        <f t="shared" si="138"/>
        <v>2010</v>
      </c>
    </row>
    <row r="6961" spans="1:3">
      <c r="A6961" s="68">
        <v>40527</v>
      </c>
      <c r="B6961" s="32">
        <v>1899.89</v>
      </c>
      <c r="C6961">
        <f t="shared" si="138"/>
        <v>2010</v>
      </c>
    </row>
    <row r="6962" spans="1:3">
      <c r="A6962" s="68">
        <v>40528</v>
      </c>
      <c r="B6962" s="33">
        <v>1905.84</v>
      </c>
      <c r="C6962">
        <f t="shared" si="138"/>
        <v>2010</v>
      </c>
    </row>
    <row r="6963" spans="1:3">
      <c r="A6963" s="68">
        <v>40529</v>
      </c>
      <c r="B6963" s="32">
        <v>1916.09</v>
      </c>
      <c r="C6963">
        <f t="shared" si="138"/>
        <v>2010</v>
      </c>
    </row>
    <row r="6964" spans="1:3">
      <c r="A6964" s="68">
        <v>40530</v>
      </c>
      <c r="B6964" s="33">
        <v>1923.13</v>
      </c>
      <c r="C6964">
        <f t="shared" si="138"/>
        <v>2010</v>
      </c>
    </row>
    <row r="6965" spans="1:3">
      <c r="A6965" s="68">
        <v>40531</v>
      </c>
      <c r="B6965" s="32">
        <v>1923.13</v>
      </c>
      <c r="C6965">
        <f t="shared" si="138"/>
        <v>2010</v>
      </c>
    </row>
    <row r="6966" spans="1:3">
      <c r="A6966" s="68">
        <v>40532</v>
      </c>
      <c r="B6966" s="33">
        <v>1923.13</v>
      </c>
      <c r="C6966">
        <f t="shared" si="138"/>
        <v>2010</v>
      </c>
    </row>
    <row r="6967" spans="1:3">
      <c r="A6967" s="68">
        <v>40533</v>
      </c>
      <c r="B6967" s="32">
        <v>1928.71</v>
      </c>
      <c r="C6967">
        <f t="shared" si="138"/>
        <v>2010</v>
      </c>
    </row>
    <row r="6968" spans="1:3">
      <c r="A6968" s="68">
        <v>40534</v>
      </c>
      <c r="B6968" s="33">
        <v>1934.96</v>
      </c>
      <c r="C6968">
        <f t="shared" si="138"/>
        <v>2010</v>
      </c>
    </row>
    <row r="6969" spans="1:3">
      <c r="A6969" s="68">
        <v>40535</v>
      </c>
      <c r="B6969" s="32">
        <v>1934.44</v>
      </c>
      <c r="C6969">
        <f t="shared" si="138"/>
        <v>2010</v>
      </c>
    </row>
    <row r="6970" spans="1:3">
      <c r="A6970" s="68">
        <v>40536</v>
      </c>
      <c r="B6970" s="33">
        <v>1928.33</v>
      </c>
      <c r="C6970">
        <f t="shared" si="138"/>
        <v>2010</v>
      </c>
    </row>
    <row r="6971" spans="1:3">
      <c r="A6971" s="68">
        <v>40537</v>
      </c>
      <c r="B6971" s="32">
        <v>1939.54</v>
      </c>
      <c r="C6971">
        <f t="shared" si="138"/>
        <v>2010</v>
      </c>
    </row>
    <row r="6972" spans="1:3">
      <c r="A6972" s="68">
        <v>40538</v>
      </c>
      <c r="B6972" s="33">
        <v>1939.54</v>
      </c>
      <c r="C6972">
        <f t="shared" si="138"/>
        <v>2010</v>
      </c>
    </row>
    <row r="6973" spans="1:3">
      <c r="A6973" s="68">
        <v>40539</v>
      </c>
      <c r="B6973" s="32">
        <v>1939.54</v>
      </c>
      <c r="C6973">
        <f t="shared" si="138"/>
        <v>2010</v>
      </c>
    </row>
    <row r="6974" spans="1:3">
      <c r="A6974" s="68">
        <v>40540</v>
      </c>
      <c r="B6974" s="33">
        <v>1964.57</v>
      </c>
      <c r="C6974">
        <f t="shared" si="138"/>
        <v>2010</v>
      </c>
    </row>
    <row r="6975" spans="1:3">
      <c r="A6975" s="68">
        <v>40541</v>
      </c>
      <c r="B6975" s="32">
        <v>2027.33</v>
      </c>
      <c r="C6975">
        <f t="shared" si="138"/>
        <v>2010</v>
      </c>
    </row>
    <row r="6976" spans="1:3">
      <c r="A6976" s="68">
        <v>40542</v>
      </c>
      <c r="B6976" s="33">
        <v>1989.88</v>
      </c>
      <c r="C6976">
        <f t="shared" si="138"/>
        <v>2010</v>
      </c>
    </row>
    <row r="6977" spans="1:3">
      <c r="A6977" s="68">
        <v>40543</v>
      </c>
      <c r="B6977" s="32">
        <v>1913.98</v>
      </c>
      <c r="C6977">
        <f t="shared" si="138"/>
        <v>2010</v>
      </c>
    </row>
    <row r="6978" spans="1:3">
      <c r="A6978" s="68">
        <v>40544</v>
      </c>
      <c r="B6978" s="33">
        <v>1913.98</v>
      </c>
      <c r="C6978">
        <f t="shared" si="138"/>
        <v>2011</v>
      </c>
    </row>
    <row r="6979" spans="1:3">
      <c r="A6979" s="68">
        <v>40545</v>
      </c>
      <c r="B6979" s="32">
        <v>1913.98</v>
      </c>
      <c r="C6979">
        <f t="shared" si="138"/>
        <v>2011</v>
      </c>
    </row>
    <row r="6980" spans="1:3">
      <c r="A6980" s="68">
        <v>40546</v>
      </c>
      <c r="B6980" s="33">
        <v>1913.98</v>
      </c>
      <c r="C6980">
        <f t="shared" ref="C6980:C7043" si="139">YEAR(A6980)</f>
        <v>2011</v>
      </c>
    </row>
    <row r="6981" spans="1:3">
      <c r="A6981" s="68">
        <v>40547</v>
      </c>
      <c r="B6981" s="32">
        <v>1902.71</v>
      </c>
      <c r="C6981">
        <f t="shared" si="139"/>
        <v>2011</v>
      </c>
    </row>
    <row r="6982" spans="1:3">
      <c r="A6982" s="68">
        <v>40548</v>
      </c>
      <c r="B6982" s="33">
        <v>1899.86</v>
      </c>
      <c r="C6982">
        <f t="shared" si="139"/>
        <v>2011</v>
      </c>
    </row>
    <row r="6983" spans="1:3">
      <c r="A6983" s="68">
        <v>40549</v>
      </c>
      <c r="B6983" s="32">
        <v>1894.82</v>
      </c>
      <c r="C6983">
        <f t="shared" si="139"/>
        <v>2011</v>
      </c>
    </row>
    <row r="6984" spans="1:3">
      <c r="A6984" s="68">
        <v>40550</v>
      </c>
      <c r="B6984" s="33">
        <v>1869.94</v>
      </c>
      <c r="C6984">
        <f t="shared" si="139"/>
        <v>2011</v>
      </c>
    </row>
    <row r="6985" spans="1:3">
      <c r="A6985" s="68">
        <v>40551</v>
      </c>
      <c r="B6985" s="32">
        <v>1859.97</v>
      </c>
      <c r="C6985">
        <f t="shared" si="139"/>
        <v>2011</v>
      </c>
    </row>
    <row r="6986" spans="1:3">
      <c r="A6986" s="68">
        <v>40552</v>
      </c>
      <c r="B6986" s="33">
        <v>1859.97</v>
      </c>
      <c r="C6986">
        <f t="shared" si="139"/>
        <v>2011</v>
      </c>
    </row>
    <row r="6987" spans="1:3">
      <c r="A6987" s="68">
        <v>40553</v>
      </c>
      <c r="B6987" s="32">
        <v>1859.97</v>
      </c>
      <c r="C6987">
        <f t="shared" si="139"/>
        <v>2011</v>
      </c>
    </row>
    <row r="6988" spans="1:3">
      <c r="A6988" s="68">
        <v>40554</v>
      </c>
      <c r="B6988" s="33">
        <v>1859.97</v>
      </c>
      <c r="C6988">
        <f t="shared" si="139"/>
        <v>2011</v>
      </c>
    </row>
    <row r="6989" spans="1:3">
      <c r="A6989" s="68">
        <v>40555</v>
      </c>
      <c r="B6989" s="32">
        <v>1856.79</v>
      </c>
      <c r="C6989">
        <f t="shared" si="139"/>
        <v>2011</v>
      </c>
    </row>
    <row r="6990" spans="1:3">
      <c r="A6990" s="68">
        <v>40556</v>
      </c>
      <c r="B6990" s="33">
        <v>1855.46</v>
      </c>
      <c r="C6990">
        <f t="shared" si="139"/>
        <v>2011</v>
      </c>
    </row>
    <row r="6991" spans="1:3">
      <c r="A6991" s="68">
        <v>40557</v>
      </c>
      <c r="B6991" s="32">
        <v>1864.36</v>
      </c>
      <c r="C6991">
        <f t="shared" si="139"/>
        <v>2011</v>
      </c>
    </row>
    <row r="6992" spans="1:3">
      <c r="A6992" s="68">
        <v>40558</v>
      </c>
      <c r="B6992" s="33">
        <v>1872.46</v>
      </c>
      <c r="C6992">
        <f t="shared" si="139"/>
        <v>2011</v>
      </c>
    </row>
    <row r="6993" spans="1:3">
      <c r="A6993" s="68">
        <v>40559</v>
      </c>
      <c r="B6993" s="32">
        <v>1872.46</v>
      </c>
      <c r="C6993">
        <f t="shared" si="139"/>
        <v>2011</v>
      </c>
    </row>
    <row r="6994" spans="1:3">
      <c r="A6994" s="68">
        <v>40560</v>
      </c>
      <c r="B6994" s="33">
        <v>1872.46</v>
      </c>
      <c r="C6994">
        <f t="shared" si="139"/>
        <v>2011</v>
      </c>
    </row>
    <row r="6995" spans="1:3">
      <c r="A6995" s="68">
        <v>40561</v>
      </c>
      <c r="B6995" s="32">
        <v>1872.46</v>
      </c>
      <c r="C6995">
        <f t="shared" si="139"/>
        <v>2011</v>
      </c>
    </row>
    <row r="6996" spans="1:3">
      <c r="A6996" s="68">
        <v>40562</v>
      </c>
      <c r="B6996" s="33">
        <v>1864.64</v>
      </c>
      <c r="C6996">
        <f t="shared" si="139"/>
        <v>2011</v>
      </c>
    </row>
    <row r="6997" spans="1:3">
      <c r="A6997" s="68">
        <v>40563</v>
      </c>
      <c r="B6997" s="32">
        <v>1841.9</v>
      </c>
      <c r="C6997">
        <f t="shared" si="139"/>
        <v>2011</v>
      </c>
    </row>
    <row r="6998" spans="1:3">
      <c r="A6998" s="68">
        <v>40564</v>
      </c>
      <c r="B6998" s="33">
        <v>1849.59</v>
      </c>
      <c r="C6998">
        <f t="shared" si="139"/>
        <v>2011</v>
      </c>
    </row>
    <row r="6999" spans="1:3">
      <c r="A6999" s="68">
        <v>40565</v>
      </c>
      <c r="B6999" s="32">
        <v>1838.94</v>
      </c>
      <c r="C6999">
        <f t="shared" si="139"/>
        <v>2011</v>
      </c>
    </row>
    <row r="7000" spans="1:3">
      <c r="A7000" s="68">
        <v>40566</v>
      </c>
      <c r="B7000" s="33">
        <v>1838.94</v>
      </c>
      <c r="C7000">
        <f t="shared" si="139"/>
        <v>2011</v>
      </c>
    </row>
    <row r="7001" spans="1:3">
      <c r="A7001" s="68">
        <v>40567</v>
      </c>
      <c r="B7001" s="32">
        <v>1838.94</v>
      </c>
      <c r="C7001">
        <f t="shared" si="139"/>
        <v>2011</v>
      </c>
    </row>
    <row r="7002" spans="1:3">
      <c r="A7002" s="68">
        <v>40568</v>
      </c>
      <c r="B7002" s="33">
        <v>1842.43</v>
      </c>
      <c r="C7002">
        <f t="shared" si="139"/>
        <v>2011</v>
      </c>
    </row>
    <row r="7003" spans="1:3">
      <c r="A7003" s="68">
        <v>40569</v>
      </c>
      <c r="B7003" s="32">
        <v>1853.71</v>
      </c>
      <c r="C7003">
        <f t="shared" si="139"/>
        <v>2011</v>
      </c>
    </row>
    <row r="7004" spans="1:3">
      <c r="A7004" s="68">
        <v>40570</v>
      </c>
      <c r="B7004" s="33">
        <v>1862.05</v>
      </c>
      <c r="C7004">
        <f t="shared" si="139"/>
        <v>2011</v>
      </c>
    </row>
    <row r="7005" spans="1:3">
      <c r="A7005" s="68">
        <v>40571</v>
      </c>
      <c r="B7005" s="32">
        <v>1858.7</v>
      </c>
      <c r="C7005">
        <f t="shared" si="139"/>
        <v>2011</v>
      </c>
    </row>
    <row r="7006" spans="1:3">
      <c r="A7006" s="68">
        <v>40572</v>
      </c>
      <c r="B7006" s="33">
        <v>1857.98</v>
      </c>
      <c r="C7006">
        <f t="shared" si="139"/>
        <v>2011</v>
      </c>
    </row>
    <row r="7007" spans="1:3">
      <c r="A7007" s="68">
        <v>40573</v>
      </c>
      <c r="B7007" s="32">
        <v>1857.98</v>
      </c>
      <c r="C7007">
        <f t="shared" si="139"/>
        <v>2011</v>
      </c>
    </row>
    <row r="7008" spans="1:3">
      <c r="A7008" s="68">
        <v>40574</v>
      </c>
      <c r="B7008" s="33">
        <v>1857.98</v>
      </c>
      <c r="C7008">
        <f t="shared" si="139"/>
        <v>2011</v>
      </c>
    </row>
    <row r="7009" spans="1:3">
      <c r="A7009" s="68">
        <v>40575</v>
      </c>
      <c r="B7009" s="32">
        <v>1867.82</v>
      </c>
      <c r="C7009">
        <f t="shared" si="139"/>
        <v>2011</v>
      </c>
    </row>
    <row r="7010" spans="1:3">
      <c r="A7010" s="68">
        <v>40576</v>
      </c>
      <c r="B7010" s="33">
        <v>1853.33</v>
      </c>
      <c r="C7010">
        <f t="shared" si="139"/>
        <v>2011</v>
      </c>
    </row>
    <row r="7011" spans="1:3">
      <c r="A7011" s="68">
        <v>40577</v>
      </c>
      <c r="B7011" s="32">
        <v>1852.67</v>
      </c>
      <c r="C7011">
        <f t="shared" si="139"/>
        <v>2011</v>
      </c>
    </row>
    <row r="7012" spans="1:3">
      <c r="A7012" s="68">
        <v>40578</v>
      </c>
      <c r="B7012" s="33">
        <v>1863.03</v>
      </c>
      <c r="C7012">
        <f t="shared" si="139"/>
        <v>2011</v>
      </c>
    </row>
    <row r="7013" spans="1:3">
      <c r="A7013" s="68">
        <v>40579</v>
      </c>
      <c r="B7013" s="32">
        <v>1872.01</v>
      </c>
      <c r="C7013">
        <f t="shared" si="139"/>
        <v>2011</v>
      </c>
    </row>
    <row r="7014" spans="1:3">
      <c r="A7014" s="68">
        <v>40580</v>
      </c>
      <c r="B7014" s="33">
        <v>1872.01</v>
      </c>
      <c r="C7014">
        <f t="shared" si="139"/>
        <v>2011</v>
      </c>
    </row>
    <row r="7015" spans="1:3">
      <c r="A7015" s="68">
        <v>40581</v>
      </c>
      <c r="B7015" s="32">
        <v>1872.01</v>
      </c>
      <c r="C7015">
        <f t="shared" si="139"/>
        <v>2011</v>
      </c>
    </row>
    <row r="7016" spans="1:3">
      <c r="A7016" s="68">
        <v>40582</v>
      </c>
      <c r="B7016" s="33">
        <v>1871.81</v>
      </c>
      <c r="C7016">
        <f t="shared" si="139"/>
        <v>2011</v>
      </c>
    </row>
    <row r="7017" spans="1:3">
      <c r="A7017" s="68">
        <v>40583</v>
      </c>
      <c r="B7017" s="32">
        <v>1875.32</v>
      </c>
      <c r="C7017">
        <f t="shared" si="139"/>
        <v>2011</v>
      </c>
    </row>
    <row r="7018" spans="1:3">
      <c r="A7018" s="68">
        <v>40584</v>
      </c>
      <c r="B7018" s="33">
        <v>1891.54</v>
      </c>
      <c r="C7018">
        <f t="shared" si="139"/>
        <v>2011</v>
      </c>
    </row>
    <row r="7019" spans="1:3">
      <c r="A7019" s="68">
        <v>40585</v>
      </c>
      <c r="B7019" s="32">
        <v>1889.1</v>
      </c>
      <c r="C7019">
        <f t="shared" si="139"/>
        <v>2011</v>
      </c>
    </row>
    <row r="7020" spans="1:3">
      <c r="A7020" s="68">
        <v>40586</v>
      </c>
      <c r="B7020" s="33">
        <v>1880.37</v>
      </c>
      <c r="C7020">
        <f t="shared" si="139"/>
        <v>2011</v>
      </c>
    </row>
    <row r="7021" spans="1:3">
      <c r="A7021" s="68">
        <v>40587</v>
      </c>
      <c r="B7021" s="32">
        <v>1880.37</v>
      </c>
      <c r="C7021">
        <f t="shared" si="139"/>
        <v>2011</v>
      </c>
    </row>
    <row r="7022" spans="1:3">
      <c r="A7022" s="68">
        <v>40588</v>
      </c>
      <c r="B7022" s="33">
        <v>1880.37</v>
      </c>
      <c r="C7022">
        <f t="shared" si="139"/>
        <v>2011</v>
      </c>
    </row>
    <row r="7023" spans="1:3">
      <c r="A7023" s="68">
        <v>40589</v>
      </c>
      <c r="B7023" s="32">
        <v>1891.84</v>
      </c>
      <c r="C7023">
        <f t="shared" si="139"/>
        <v>2011</v>
      </c>
    </row>
    <row r="7024" spans="1:3">
      <c r="A7024" s="68">
        <v>40590</v>
      </c>
      <c r="B7024" s="33">
        <v>1902.01</v>
      </c>
      <c r="C7024">
        <f t="shared" si="139"/>
        <v>2011</v>
      </c>
    </row>
    <row r="7025" spans="1:3">
      <c r="A7025" s="68">
        <v>40591</v>
      </c>
      <c r="B7025" s="32">
        <v>1907.69</v>
      </c>
      <c r="C7025">
        <f t="shared" si="139"/>
        <v>2011</v>
      </c>
    </row>
    <row r="7026" spans="1:3">
      <c r="A7026" s="68">
        <v>40592</v>
      </c>
      <c r="B7026" s="33">
        <v>1893.46</v>
      </c>
      <c r="C7026">
        <f t="shared" si="139"/>
        <v>2011</v>
      </c>
    </row>
    <row r="7027" spans="1:3">
      <c r="A7027" s="68">
        <v>40593</v>
      </c>
      <c r="B7027" s="32">
        <v>1879.15</v>
      </c>
      <c r="C7027">
        <f t="shared" si="139"/>
        <v>2011</v>
      </c>
    </row>
    <row r="7028" spans="1:3">
      <c r="A7028" s="68">
        <v>40594</v>
      </c>
      <c r="B7028" s="33">
        <v>1879.15</v>
      </c>
      <c r="C7028">
        <f t="shared" si="139"/>
        <v>2011</v>
      </c>
    </row>
    <row r="7029" spans="1:3">
      <c r="A7029" s="68">
        <v>40595</v>
      </c>
      <c r="B7029" s="32">
        <v>1879.15</v>
      </c>
      <c r="C7029">
        <f t="shared" si="139"/>
        <v>2011</v>
      </c>
    </row>
    <row r="7030" spans="1:3">
      <c r="A7030" s="68">
        <v>40596</v>
      </c>
      <c r="B7030" s="33">
        <v>1879.15</v>
      </c>
      <c r="C7030">
        <f t="shared" si="139"/>
        <v>2011</v>
      </c>
    </row>
    <row r="7031" spans="1:3">
      <c r="A7031" s="68">
        <v>40597</v>
      </c>
      <c r="B7031" s="32">
        <v>1889.69</v>
      </c>
      <c r="C7031">
        <f t="shared" si="139"/>
        <v>2011</v>
      </c>
    </row>
    <row r="7032" spans="1:3">
      <c r="A7032" s="68">
        <v>40598</v>
      </c>
      <c r="B7032" s="33">
        <v>1898.28</v>
      </c>
      <c r="C7032">
        <f t="shared" si="139"/>
        <v>2011</v>
      </c>
    </row>
    <row r="7033" spans="1:3">
      <c r="A7033" s="68">
        <v>40599</v>
      </c>
      <c r="B7033" s="32">
        <v>1898.39</v>
      </c>
      <c r="C7033">
        <f t="shared" si="139"/>
        <v>2011</v>
      </c>
    </row>
    <row r="7034" spans="1:3">
      <c r="A7034" s="68">
        <v>40600</v>
      </c>
      <c r="B7034" s="33">
        <v>1895.56</v>
      </c>
      <c r="C7034">
        <f t="shared" si="139"/>
        <v>2011</v>
      </c>
    </row>
    <row r="7035" spans="1:3">
      <c r="A7035" s="68">
        <v>40601</v>
      </c>
      <c r="B7035" s="32">
        <v>1895.56</v>
      </c>
      <c r="C7035">
        <f t="shared" si="139"/>
        <v>2011</v>
      </c>
    </row>
    <row r="7036" spans="1:3">
      <c r="A7036" s="68">
        <v>40602</v>
      </c>
      <c r="B7036" s="33">
        <v>1895.56</v>
      </c>
      <c r="C7036">
        <f t="shared" si="139"/>
        <v>2011</v>
      </c>
    </row>
    <row r="7037" spans="1:3">
      <c r="A7037" s="68">
        <v>40603</v>
      </c>
      <c r="B7037" s="32">
        <v>1907.37</v>
      </c>
      <c r="C7037">
        <f t="shared" si="139"/>
        <v>2011</v>
      </c>
    </row>
    <row r="7038" spans="1:3">
      <c r="A7038" s="68">
        <v>40604</v>
      </c>
      <c r="B7038" s="33">
        <v>1913.21</v>
      </c>
      <c r="C7038">
        <f t="shared" si="139"/>
        <v>2011</v>
      </c>
    </row>
    <row r="7039" spans="1:3">
      <c r="A7039" s="68">
        <v>40605</v>
      </c>
      <c r="B7039" s="32">
        <v>1916.05</v>
      </c>
      <c r="C7039">
        <f t="shared" si="139"/>
        <v>2011</v>
      </c>
    </row>
    <row r="7040" spans="1:3">
      <c r="A7040" s="68">
        <v>40606</v>
      </c>
      <c r="B7040" s="33">
        <v>1904.73</v>
      </c>
      <c r="C7040">
        <f t="shared" si="139"/>
        <v>2011</v>
      </c>
    </row>
    <row r="7041" spans="1:3">
      <c r="A7041" s="68">
        <v>40607</v>
      </c>
      <c r="B7041" s="32">
        <v>1890.23</v>
      </c>
      <c r="C7041">
        <f t="shared" si="139"/>
        <v>2011</v>
      </c>
    </row>
    <row r="7042" spans="1:3">
      <c r="A7042" s="68">
        <v>40608</v>
      </c>
      <c r="B7042" s="33">
        <v>1890.23</v>
      </c>
      <c r="C7042">
        <f t="shared" si="139"/>
        <v>2011</v>
      </c>
    </row>
    <row r="7043" spans="1:3">
      <c r="A7043" s="68">
        <v>40609</v>
      </c>
      <c r="B7043" s="32">
        <v>1890.23</v>
      </c>
      <c r="C7043">
        <f t="shared" si="139"/>
        <v>2011</v>
      </c>
    </row>
    <row r="7044" spans="1:3">
      <c r="A7044" s="68">
        <v>40610</v>
      </c>
      <c r="B7044" s="33">
        <v>1893.17</v>
      </c>
      <c r="C7044">
        <f t="shared" ref="C7044:C7107" si="140">YEAR(A7044)</f>
        <v>2011</v>
      </c>
    </row>
    <row r="7045" spans="1:3">
      <c r="A7045" s="68">
        <v>40611</v>
      </c>
      <c r="B7045" s="32">
        <v>1889.85</v>
      </c>
      <c r="C7045">
        <f t="shared" si="140"/>
        <v>2011</v>
      </c>
    </row>
    <row r="7046" spans="1:3">
      <c r="A7046" s="68">
        <v>40612</v>
      </c>
      <c r="B7046" s="33">
        <v>1879.49</v>
      </c>
      <c r="C7046">
        <f t="shared" si="140"/>
        <v>2011</v>
      </c>
    </row>
    <row r="7047" spans="1:3">
      <c r="A7047" s="68">
        <v>40613</v>
      </c>
      <c r="B7047" s="32">
        <v>1871.97</v>
      </c>
      <c r="C7047">
        <f t="shared" si="140"/>
        <v>2011</v>
      </c>
    </row>
    <row r="7048" spans="1:3">
      <c r="A7048" s="68">
        <v>40614</v>
      </c>
      <c r="B7048" s="33">
        <v>1866.2</v>
      </c>
      <c r="C7048">
        <f t="shared" si="140"/>
        <v>2011</v>
      </c>
    </row>
    <row r="7049" spans="1:3">
      <c r="A7049" s="68">
        <v>40615</v>
      </c>
      <c r="B7049" s="32">
        <v>1866.2</v>
      </c>
      <c r="C7049">
        <f t="shared" si="140"/>
        <v>2011</v>
      </c>
    </row>
    <row r="7050" spans="1:3">
      <c r="A7050" s="68">
        <v>40616</v>
      </c>
      <c r="B7050" s="33">
        <v>1866.2</v>
      </c>
      <c r="C7050">
        <f t="shared" si="140"/>
        <v>2011</v>
      </c>
    </row>
    <row r="7051" spans="1:3">
      <c r="A7051" s="68">
        <v>40617</v>
      </c>
      <c r="B7051" s="32">
        <v>1876.29</v>
      </c>
      <c r="C7051">
        <f t="shared" si="140"/>
        <v>2011</v>
      </c>
    </row>
    <row r="7052" spans="1:3">
      <c r="A7052" s="68">
        <v>40618</v>
      </c>
      <c r="B7052" s="33">
        <v>1887.67</v>
      </c>
      <c r="C7052">
        <f t="shared" si="140"/>
        <v>2011</v>
      </c>
    </row>
    <row r="7053" spans="1:3">
      <c r="A7053" s="68">
        <v>40619</v>
      </c>
      <c r="B7053" s="32">
        <v>1892.62</v>
      </c>
      <c r="C7053">
        <f t="shared" si="140"/>
        <v>2011</v>
      </c>
    </row>
    <row r="7054" spans="1:3">
      <c r="A7054" s="68">
        <v>40620</v>
      </c>
      <c r="B7054" s="33">
        <v>1876.78</v>
      </c>
      <c r="C7054">
        <f t="shared" si="140"/>
        <v>2011</v>
      </c>
    </row>
    <row r="7055" spans="1:3">
      <c r="A7055" s="68">
        <v>40621</v>
      </c>
      <c r="B7055" s="32">
        <v>1874.79</v>
      </c>
      <c r="C7055">
        <f t="shared" si="140"/>
        <v>2011</v>
      </c>
    </row>
    <row r="7056" spans="1:3">
      <c r="A7056" s="68">
        <v>40622</v>
      </c>
      <c r="B7056" s="33">
        <v>1874.79</v>
      </c>
      <c r="C7056">
        <f t="shared" si="140"/>
        <v>2011</v>
      </c>
    </row>
    <row r="7057" spans="1:3">
      <c r="A7057" s="68">
        <v>40623</v>
      </c>
      <c r="B7057" s="32">
        <v>1874.79</v>
      </c>
      <c r="C7057">
        <f t="shared" si="140"/>
        <v>2011</v>
      </c>
    </row>
    <row r="7058" spans="1:3">
      <c r="A7058" s="68">
        <v>40624</v>
      </c>
      <c r="B7058" s="33">
        <v>1874.79</v>
      </c>
      <c r="C7058">
        <f t="shared" si="140"/>
        <v>2011</v>
      </c>
    </row>
    <row r="7059" spans="1:3">
      <c r="A7059" s="68">
        <v>40625</v>
      </c>
      <c r="B7059" s="32">
        <v>1866.34</v>
      </c>
      <c r="C7059">
        <f t="shared" si="140"/>
        <v>2011</v>
      </c>
    </row>
    <row r="7060" spans="1:3">
      <c r="A7060" s="68">
        <v>40626</v>
      </c>
      <c r="B7060" s="33">
        <v>1867.74</v>
      </c>
      <c r="C7060">
        <f t="shared" si="140"/>
        <v>2011</v>
      </c>
    </row>
    <row r="7061" spans="1:3">
      <c r="A7061" s="68">
        <v>40627</v>
      </c>
      <c r="B7061" s="32">
        <v>1865.11</v>
      </c>
      <c r="C7061">
        <f t="shared" si="140"/>
        <v>2011</v>
      </c>
    </row>
    <row r="7062" spans="1:3">
      <c r="A7062" s="68">
        <v>40628</v>
      </c>
      <c r="B7062" s="33">
        <v>1871.37</v>
      </c>
      <c r="C7062">
        <f t="shared" si="140"/>
        <v>2011</v>
      </c>
    </row>
    <row r="7063" spans="1:3">
      <c r="A7063" s="68">
        <v>40629</v>
      </c>
      <c r="B7063" s="32">
        <v>1871.37</v>
      </c>
      <c r="C7063">
        <f t="shared" si="140"/>
        <v>2011</v>
      </c>
    </row>
    <row r="7064" spans="1:3">
      <c r="A7064" s="68">
        <v>40630</v>
      </c>
      <c r="B7064" s="33">
        <v>1871.37</v>
      </c>
      <c r="C7064">
        <f t="shared" si="140"/>
        <v>2011</v>
      </c>
    </row>
    <row r="7065" spans="1:3">
      <c r="A7065" s="68">
        <v>40631</v>
      </c>
      <c r="B7065" s="32">
        <v>1877.84</v>
      </c>
      <c r="C7065">
        <f t="shared" si="140"/>
        <v>2011</v>
      </c>
    </row>
    <row r="7066" spans="1:3">
      <c r="A7066" s="68">
        <v>40632</v>
      </c>
      <c r="B7066" s="33">
        <v>1888</v>
      </c>
      <c r="C7066">
        <f t="shared" si="140"/>
        <v>2011</v>
      </c>
    </row>
    <row r="7067" spans="1:3">
      <c r="A7067" s="68">
        <v>40633</v>
      </c>
      <c r="B7067" s="32">
        <v>1879.47</v>
      </c>
      <c r="C7067">
        <f t="shared" si="140"/>
        <v>2011</v>
      </c>
    </row>
    <row r="7068" spans="1:3">
      <c r="A7068" s="68">
        <v>40634</v>
      </c>
      <c r="B7068" s="33">
        <v>1870.6</v>
      </c>
      <c r="C7068">
        <f t="shared" si="140"/>
        <v>2011</v>
      </c>
    </row>
    <row r="7069" spans="1:3">
      <c r="A7069" s="68">
        <v>40635</v>
      </c>
      <c r="B7069" s="32">
        <v>1858.95</v>
      </c>
      <c r="C7069">
        <f t="shared" si="140"/>
        <v>2011</v>
      </c>
    </row>
    <row r="7070" spans="1:3">
      <c r="A7070" s="68">
        <v>40636</v>
      </c>
      <c r="B7070" s="33">
        <v>1858.95</v>
      </c>
      <c r="C7070">
        <f t="shared" si="140"/>
        <v>2011</v>
      </c>
    </row>
    <row r="7071" spans="1:3">
      <c r="A7071" s="68">
        <v>40637</v>
      </c>
      <c r="B7071" s="32">
        <v>1858.95</v>
      </c>
      <c r="C7071">
        <f t="shared" si="140"/>
        <v>2011</v>
      </c>
    </row>
    <row r="7072" spans="1:3">
      <c r="A7072" s="68">
        <v>40638</v>
      </c>
      <c r="B7072" s="33">
        <v>1846.78</v>
      </c>
      <c r="C7072">
        <f t="shared" si="140"/>
        <v>2011</v>
      </c>
    </row>
    <row r="7073" spans="1:3">
      <c r="A7073" s="68">
        <v>40639</v>
      </c>
      <c r="B7073" s="32">
        <v>1838.29</v>
      </c>
      <c r="C7073">
        <f t="shared" si="140"/>
        <v>2011</v>
      </c>
    </row>
    <row r="7074" spans="1:3">
      <c r="A7074" s="68">
        <v>40640</v>
      </c>
      <c r="B7074" s="33">
        <v>1826.97</v>
      </c>
      <c r="C7074">
        <f t="shared" si="140"/>
        <v>2011</v>
      </c>
    </row>
    <row r="7075" spans="1:3">
      <c r="A7075" s="68">
        <v>40641</v>
      </c>
      <c r="B7075" s="32">
        <v>1825.09</v>
      </c>
      <c r="C7075">
        <f t="shared" si="140"/>
        <v>2011</v>
      </c>
    </row>
    <row r="7076" spans="1:3">
      <c r="A7076" s="68">
        <v>40642</v>
      </c>
      <c r="B7076" s="33">
        <v>1817.35</v>
      </c>
      <c r="C7076">
        <f t="shared" si="140"/>
        <v>2011</v>
      </c>
    </row>
    <row r="7077" spans="1:3">
      <c r="A7077" s="68">
        <v>40643</v>
      </c>
      <c r="B7077" s="32">
        <v>1817.35</v>
      </c>
      <c r="C7077">
        <f t="shared" si="140"/>
        <v>2011</v>
      </c>
    </row>
    <row r="7078" spans="1:3">
      <c r="A7078" s="68">
        <v>40644</v>
      </c>
      <c r="B7078" s="33">
        <v>1817.35</v>
      </c>
      <c r="C7078">
        <f t="shared" si="140"/>
        <v>2011</v>
      </c>
    </row>
    <row r="7079" spans="1:3">
      <c r="A7079" s="68">
        <v>40645</v>
      </c>
      <c r="B7079" s="32">
        <v>1815.79</v>
      </c>
      <c r="C7079">
        <f t="shared" si="140"/>
        <v>2011</v>
      </c>
    </row>
    <row r="7080" spans="1:3">
      <c r="A7080" s="68">
        <v>40646</v>
      </c>
      <c r="B7080" s="33">
        <v>1818.14</v>
      </c>
      <c r="C7080">
        <f t="shared" si="140"/>
        <v>2011</v>
      </c>
    </row>
    <row r="7081" spans="1:3">
      <c r="A7081" s="68">
        <v>40647</v>
      </c>
      <c r="B7081" s="32">
        <v>1818.91</v>
      </c>
      <c r="C7081">
        <f t="shared" si="140"/>
        <v>2011</v>
      </c>
    </row>
    <row r="7082" spans="1:3">
      <c r="A7082" s="68">
        <v>40648</v>
      </c>
      <c r="B7082" s="33">
        <v>1811.1</v>
      </c>
      <c r="C7082">
        <f t="shared" si="140"/>
        <v>2011</v>
      </c>
    </row>
    <row r="7083" spans="1:3">
      <c r="A7083" s="68">
        <v>40649</v>
      </c>
      <c r="B7083" s="32">
        <v>1800.63</v>
      </c>
      <c r="C7083">
        <f t="shared" si="140"/>
        <v>2011</v>
      </c>
    </row>
    <row r="7084" spans="1:3">
      <c r="A7084" s="68">
        <v>40650</v>
      </c>
      <c r="B7084" s="33">
        <v>1800.63</v>
      </c>
      <c r="C7084">
        <f t="shared" si="140"/>
        <v>2011</v>
      </c>
    </row>
    <row r="7085" spans="1:3">
      <c r="A7085" s="68">
        <v>40651</v>
      </c>
      <c r="B7085" s="32">
        <v>1800.63</v>
      </c>
      <c r="C7085">
        <f t="shared" si="140"/>
        <v>2011</v>
      </c>
    </row>
    <row r="7086" spans="1:3">
      <c r="A7086" s="68">
        <v>40652</v>
      </c>
      <c r="B7086" s="33">
        <v>1799.79</v>
      </c>
      <c r="C7086">
        <f t="shared" si="140"/>
        <v>2011</v>
      </c>
    </row>
    <row r="7087" spans="1:3">
      <c r="A7087" s="68">
        <v>40653</v>
      </c>
      <c r="B7087" s="32">
        <v>1790.54</v>
      </c>
      <c r="C7087">
        <f t="shared" si="140"/>
        <v>2011</v>
      </c>
    </row>
    <row r="7088" spans="1:3">
      <c r="A7088" s="68">
        <v>40654</v>
      </c>
      <c r="B7088" s="33">
        <v>1782.59</v>
      </c>
      <c r="C7088">
        <f t="shared" si="140"/>
        <v>2011</v>
      </c>
    </row>
    <row r="7089" spans="1:3">
      <c r="A7089" s="68">
        <v>40655</v>
      </c>
      <c r="B7089" s="32">
        <v>1782.59</v>
      </c>
      <c r="C7089">
        <f t="shared" si="140"/>
        <v>2011</v>
      </c>
    </row>
    <row r="7090" spans="1:3">
      <c r="A7090" s="68">
        <v>40656</v>
      </c>
      <c r="B7090" s="33">
        <v>1782.59</v>
      </c>
      <c r="C7090">
        <f t="shared" si="140"/>
        <v>2011</v>
      </c>
    </row>
    <row r="7091" spans="1:3">
      <c r="A7091" s="68">
        <v>40657</v>
      </c>
      <c r="B7091" s="32">
        <v>1782.59</v>
      </c>
      <c r="C7091">
        <f t="shared" si="140"/>
        <v>2011</v>
      </c>
    </row>
    <row r="7092" spans="1:3">
      <c r="A7092" s="68">
        <v>40658</v>
      </c>
      <c r="B7092" s="33">
        <v>1782.59</v>
      </c>
      <c r="C7092">
        <f t="shared" si="140"/>
        <v>2011</v>
      </c>
    </row>
    <row r="7093" spans="1:3">
      <c r="A7093" s="68">
        <v>40659</v>
      </c>
      <c r="B7093" s="32">
        <v>1781.56</v>
      </c>
      <c r="C7093">
        <f t="shared" si="140"/>
        <v>2011</v>
      </c>
    </row>
    <row r="7094" spans="1:3">
      <c r="A7094" s="68">
        <v>40660</v>
      </c>
      <c r="B7094" s="33">
        <v>1787.88</v>
      </c>
      <c r="C7094">
        <f t="shared" si="140"/>
        <v>2011</v>
      </c>
    </row>
    <row r="7095" spans="1:3">
      <c r="A7095" s="68">
        <v>40661</v>
      </c>
      <c r="B7095" s="32">
        <v>1784.11</v>
      </c>
      <c r="C7095">
        <f t="shared" si="140"/>
        <v>2011</v>
      </c>
    </row>
    <row r="7096" spans="1:3">
      <c r="A7096" s="68">
        <v>40662</v>
      </c>
      <c r="B7096" s="33">
        <v>1767.54</v>
      </c>
      <c r="C7096">
        <f t="shared" si="140"/>
        <v>2011</v>
      </c>
    </row>
    <row r="7097" spans="1:3">
      <c r="A7097" s="68">
        <v>40663</v>
      </c>
      <c r="B7097" s="32">
        <v>1768.19</v>
      </c>
      <c r="C7097">
        <f t="shared" si="140"/>
        <v>2011</v>
      </c>
    </row>
    <row r="7098" spans="1:3">
      <c r="A7098" s="68">
        <v>40664</v>
      </c>
      <c r="B7098" s="33">
        <v>1768.19</v>
      </c>
      <c r="C7098">
        <f t="shared" si="140"/>
        <v>2011</v>
      </c>
    </row>
    <row r="7099" spans="1:3">
      <c r="A7099" s="68">
        <v>40665</v>
      </c>
      <c r="B7099" s="32">
        <v>1768.19</v>
      </c>
      <c r="C7099">
        <f t="shared" si="140"/>
        <v>2011</v>
      </c>
    </row>
    <row r="7100" spans="1:3">
      <c r="A7100" s="68">
        <v>40666</v>
      </c>
      <c r="B7100" s="33">
        <v>1768.37</v>
      </c>
      <c r="C7100">
        <f t="shared" si="140"/>
        <v>2011</v>
      </c>
    </row>
    <row r="7101" spans="1:3">
      <c r="A7101" s="68">
        <v>40667</v>
      </c>
      <c r="B7101" s="32">
        <v>1767.05</v>
      </c>
      <c r="C7101">
        <f t="shared" si="140"/>
        <v>2011</v>
      </c>
    </row>
    <row r="7102" spans="1:3">
      <c r="A7102" s="68">
        <v>40668</v>
      </c>
      <c r="B7102" s="33">
        <v>1763.45</v>
      </c>
      <c r="C7102">
        <f t="shared" si="140"/>
        <v>2011</v>
      </c>
    </row>
    <row r="7103" spans="1:3">
      <c r="A7103" s="68">
        <v>40669</v>
      </c>
      <c r="B7103" s="32">
        <v>1769.46</v>
      </c>
      <c r="C7103">
        <f t="shared" si="140"/>
        <v>2011</v>
      </c>
    </row>
    <row r="7104" spans="1:3">
      <c r="A7104" s="68">
        <v>40670</v>
      </c>
      <c r="B7104" s="33">
        <v>1763.12</v>
      </c>
      <c r="C7104">
        <f t="shared" si="140"/>
        <v>2011</v>
      </c>
    </row>
    <row r="7105" spans="1:3">
      <c r="A7105" s="68">
        <v>40671</v>
      </c>
      <c r="B7105" s="32">
        <v>1763.12</v>
      </c>
      <c r="C7105">
        <f t="shared" si="140"/>
        <v>2011</v>
      </c>
    </row>
    <row r="7106" spans="1:3">
      <c r="A7106" s="68">
        <v>40672</v>
      </c>
      <c r="B7106" s="33">
        <v>1763.12</v>
      </c>
      <c r="C7106">
        <f t="shared" si="140"/>
        <v>2011</v>
      </c>
    </row>
    <row r="7107" spans="1:3">
      <c r="A7107" s="68">
        <v>40673</v>
      </c>
      <c r="B7107" s="32">
        <v>1779.7</v>
      </c>
      <c r="C7107">
        <f t="shared" si="140"/>
        <v>2011</v>
      </c>
    </row>
    <row r="7108" spans="1:3">
      <c r="A7108" s="68">
        <v>40674</v>
      </c>
      <c r="B7108" s="33">
        <v>1791.72</v>
      </c>
      <c r="C7108">
        <f t="shared" ref="C7108:C7171" si="141">YEAR(A7108)</f>
        <v>2011</v>
      </c>
    </row>
    <row r="7109" spans="1:3">
      <c r="A7109" s="68">
        <v>40675</v>
      </c>
      <c r="B7109" s="32">
        <v>1798.66</v>
      </c>
      <c r="C7109">
        <f t="shared" si="141"/>
        <v>2011</v>
      </c>
    </row>
    <row r="7110" spans="1:3">
      <c r="A7110" s="68">
        <v>40676</v>
      </c>
      <c r="B7110" s="33">
        <v>1807.86</v>
      </c>
      <c r="C7110">
        <f t="shared" si="141"/>
        <v>2011</v>
      </c>
    </row>
    <row r="7111" spans="1:3">
      <c r="A7111" s="68">
        <v>40677</v>
      </c>
      <c r="B7111" s="32">
        <v>1805.37</v>
      </c>
      <c r="C7111">
        <f t="shared" si="141"/>
        <v>2011</v>
      </c>
    </row>
    <row r="7112" spans="1:3">
      <c r="A7112" s="68">
        <v>40678</v>
      </c>
      <c r="B7112" s="33">
        <v>1805.37</v>
      </c>
      <c r="C7112">
        <f t="shared" si="141"/>
        <v>2011</v>
      </c>
    </row>
    <row r="7113" spans="1:3">
      <c r="A7113" s="68">
        <v>40679</v>
      </c>
      <c r="B7113" s="32">
        <v>1805.37</v>
      </c>
      <c r="C7113">
        <f t="shared" si="141"/>
        <v>2011</v>
      </c>
    </row>
    <row r="7114" spans="1:3">
      <c r="A7114" s="68">
        <v>40680</v>
      </c>
      <c r="B7114" s="33">
        <v>1814.98</v>
      </c>
      <c r="C7114">
        <f t="shared" si="141"/>
        <v>2011</v>
      </c>
    </row>
    <row r="7115" spans="1:3">
      <c r="A7115" s="68">
        <v>40681</v>
      </c>
      <c r="B7115" s="32">
        <v>1826.03</v>
      </c>
      <c r="C7115">
        <f t="shared" si="141"/>
        <v>2011</v>
      </c>
    </row>
    <row r="7116" spans="1:3">
      <c r="A7116" s="68">
        <v>40682</v>
      </c>
      <c r="B7116" s="33">
        <v>1824.62</v>
      </c>
      <c r="C7116">
        <f t="shared" si="141"/>
        <v>2011</v>
      </c>
    </row>
    <row r="7117" spans="1:3">
      <c r="A7117" s="68">
        <v>40683</v>
      </c>
      <c r="B7117" s="32">
        <v>1814.99</v>
      </c>
      <c r="C7117">
        <f t="shared" si="141"/>
        <v>2011</v>
      </c>
    </row>
    <row r="7118" spans="1:3">
      <c r="A7118" s="68">
        <v>40684</v>
      </c>
      <c r="B7118" s="33">
        <v>1819.86</v>
      </c>
      <c r="C7118">
        <f t="shared" si="141"/>
        <v>2011</v>
      </c>
    </row>
    <row r="7119" spans="1:3">
      <c r="A7119" s="68">
        <v>40685</v>
      </c>
      <c r="B7119" s="32">
        <v>1819.86</v>
      </c>
      <c r="C7119">
        <f t="shared" si="141"/>
        <v>2011</v>
      </c>
    </row>
    <row r="7120" spans="1:3">
      <c r="A7120" s="68">
        <v>40686</v>
      </c>
      <c r="B7120" s="33">
        <v>1819.86</v>
      </c>
      <c r="C7120">
        <f t="shared" si="141"/>
        <v>2011</v>
      </c>
    </row>
    <row r="7121" spans="1:3">
      <c r="A7121" s="68">
        <v>40687</v>
      </c>
      <c r="B7121" s="32">
        <v>1828.12</v>
      </c>
      <c r="C7121">
        <f t="shared" si="141"/>
        <v>2011</v>
      </c>
    </row>
    <row r="7122" spans="1:3">
      <c r="A7122" s="68">
        <v>40688</v>
      </c>
      <c r="B7122" s="33">
        <v>1828.64</v>
      </c>
      <c r="C7122">
        <f t="shared" si="141"/>
        <v>2011</v>
      </c>
    </row>
    <row r="7123" spans="1:3">
      <c r="A7123" s="68">
        <v>40689</v>
      </c>
      <c r="B7123" s="32">
        <v>1831.58</v>
      </c>
      <c r="C7123">
        <f t="shared" si="141"/>
        <v>2011</v>
      </c>
    </row>
    <row r="7124" spans="1:3">
      <c r="A7124" s="68">
        <v>40690</v>
      </c>
      <c r="B7124" s="33">
        <v>1829.75</v>
      </c>
      <c r="C7124">
        <f t="shared" si="141"/>
        <v>2011</v>
      </c>
    </row>
    <row r="7125" spans="1:3">
      <c r="A7125" s="68">
        <v>40691</v>
      </c>
      <c r="B7125" s="32">
        <v>1817.34</v>
      </c>
      <c r="C7125">
        <f t="shared" si="141"/>
        <v>2011</v>
      </c>
    </row>
    <row r="7126" spans="1:3">
      <c r="A7126" s="68">
        <v>40692</v>
      </c>
      <c r="B7126" s="33">
        <v>1817.34</v>
      </c>
      <c r="C7126">
        <f t="shared" si="141"/>
        <v>2011</v>
      </c>
    </row>
    <row r="7127" spans="1:3">
      <c r="A7127" s="68">
        <v>40693</v>
      </c>
      <c r="B7127" s="32">
        <v>1817.34</v>
      </c>
      <c r="C7127">
        <f t="shared" si="141"/>
        <v>2011</v>
      </c>
    </row>
    <row r="7128" spans="1:3">
      <c r="A7128" s="68">
        <v>40694</v>
      </c>
      <c r="B7128" s="33">
        <v>1817.34</v>
      </c>
      <c r="C7128">
        <f t="shared" si="141"/>
        <v>2011</v>
      </c>
    </row>
    <row r="7129" spans="1:3">
      <c r="A7129" s="68">
        <v>40695</v>
      </c>
      <c r="B7129" s="32">
        <v>1797.83</v>
      </c>
      <c r="C7129">
        <f t="shared" si="141"/>
        <v>2011</v>
      </c>
    </row>
    <row r="7130" spans="1:3">
      <c r="A7130" s="68">
        <v>40696</v>
      </c>
      <c r="B7130" s="33">
        <v>1789.41</v>
      </c>
      <c r="C7130">
        <f t="shared" si="141"/>
        <v>2011</v>
      </c>
    </row>
    <row r="7131" spans="1:3">
      <c r="A7131" s="68">
        <v>40697</v>
      </c>
      <c r="B7131" s="32">
        <v>1784.12</v>
      </c>
      <c r="C7131">
        <f t="shared" si="141"/>
        <v>2011</v>
      </c>
    </row>
    <row r="7132" spans="1:3">
      <c r="A7132" s="68">
        <v>40698</v>
      </c>
      <c r="B7132" s="33">
        <v>1785.05</v>
      </c>
      <c r="C7132">
        <f t="shared" si="141"/>
        <v>2011</v>
      </c>
    </row>
    <row r="7133" spans="1:3">
      <c r="A7133" s="68">
        <v>40699</v>
      </c>
      <c r="B7133" s="32">
        <v>1785.05</v>
      </c>
      <c r="C7133">
        <f t="shared" si="141"/>
        <v>2011</v>
      </c>
    </row>
    <row r="7134" spans="1:3">
      <c r="A7134" s="68">
        <v>40700</v>
      </c>
      <c r="B7134" s="33">
        <v>1785.05</v>
      </c>
      <c r="C7134">
        <f t="shared" si="141"/>
        <v>2011</v>
      </c>
    </row>
    <row r="7135" spans="1:3">
      <c r="A7135" s="68">
        <v>40701</v>
      </c>
      <c r="B7135" s="32">
        <v>1785.05</v>
      </c>
      <c r="C7135">
        <f t="shared" si="141"/>
        <v>2011</v>
      </c>
    </row>
    <row r="7136" spans="1:3">
      <c r="A7136" s="68">
        <v>40702</v>
      </c>
      <c r="B7136" s="33">
        <v>1770.13</v>
      </c>
      <c r="C7136">
        <f t="shared" si="141"/>
        <v>2011</v>
      </c>
    </row>
    <row r="7137" spans="1:3">
      <c r="A7137" s="68">
        <v>40703</v>
      </c>
      <c r="B7137" s="32">
        <v>1769.83</v>
      </c>
      <c r="C7137">
        <f t="shared" si="141"/>
        <v>2011</v>
      </c>
    </row>
    <row r="7138" spans="1:3">
      <c r="A7138" s="68">
        <v>40704</v>
      </c>
      <c r="B7138" s="33">
        <v>1772.59</v>
      </c>
      <c r="C7138">
        <f t="shared" si="141"/>
        <v>2011</v>
      </c>
    </row>
    <row r="7139" spans="1:3">
      <c r="A7139" s="68">
        <v>40705</v>
      </c>
      <c r="B7139" s="32">
        <v>1774.94</v>
      </c>
      <c r="C7139">
        <f t="shared" si="141"/>
        <v>2011</v>
      </c>
    </row>
    <row r="7140" spans="1:3">
      <c r="A7140" s="68">
        <v>40706</v>
      </c>
      <c r="B7140" s="33">
        <v>1774.94</v>
      </c>
      <c r="C7140">
        <f t="shared" si="141"/>
        <v>2011</v>
      </c>
    </row>
    <row r="7141" spans="1:3">
      <c r="A7141" s="68">
        <v>40707</v>
      </c>
      <c r="B7141" s="32">
        <v>1774.94</v>
      </c>
      <c r="C7141">
        <f t="shared" si="141"/>
        <v>2011</v>
      </c>
    </row>
    <row r="7142" spans="1:3">
      <c r="A7142" s="68">
        <v>40708</v>
      </c>
      <c r="B7142" s="33">
        <v>1777.64</v>
      </c>
      <c r="C7142">
        <f t="shared" si="141"/>
        <v>2011</v>
      </c>
    </row>
    <row r="7143" spans="1:3">
      <c r="A7143" s="68">
        <v>40709</v>
      </c>
      <c r="B7143" s="32">
        <v>1774.24</v>
      </c>
      <c r="C7143">
        <f t="shared" si="141"/>
        <v>2011</v>
      </c>
    </row>
    <row r="7144" spans="1:3">
      <c r="A7144" s="68">
        <v>40710</v>
      </c>
      <c r="B7144" s="33">
        <v>1781.4</v>
      </c>
      <c r="C7144">
        <f t="shared" si="141"/>
        <v>2011</v>
      </c>
    </row>
    <row r="7145" spans="1:3">
      <c r="A7145" s="68">
        <v>40711</v>
      </c>
      <c r="B7145" s="32">
        <v>1793.92</v>
      </c>
      <c r="C7145">
        <f t="shared" si="141"/>
        <v>2011</v>
      </c>
    </row>
    <row r="7146" spans="1:3">
      <c r="A7146" s="68">
        <v>40712</v>
      </c>
      <c r="B7146" s="33">
        <v>1787.8</v>
      </c>
      <c r="C7146">
        <f t="shared" si="141"/>
        <v>2011</v>
      </c>
    </row>
    <row r="7147" spans="1:3">
      <c r="A7147" s="68">
        <v>40713</v>
      </c>
      <c r="B7147" s="32">
        <v>1787.8</v>
      </c>
      <c r="C7147">
        <f t="shared" si="141"/>
        <v>2011</v>
      </c>
    </row>
    <row r="7148" spans="1:3">
      <c r="A7148" s="68">
        <v>40714</v>
      </c>
      <c r="B7148" s="33">
        <v>1787.8</v>
      </c>
      <c r="C7148">
        <f t="shared" si="141"/>
        <v>2011</v>
      </c>
    </row>
    <row r="7149" spans="1:3">
      <c r="A7149" s="68">
        <v>40715</v>
      </c>
      <c r="B7149" s="32">
        <v>1789.47</v>
      </c>
      <c r="C7149">
        <f t="shared" si="141"/>
        <v>2011</v>
      </c>
    </row>
    <row r="7150" spans="1:3">
      <c r="A7150" s="68">
        <v>40716</v>
      </c>
      <c r="B7150" s="33">
        <v>1780.48</v>
      </c>
      <c r="C7150">
        <f t="shared" si="141"/>
        <v>2011</v>
      </c>
    </row>
    <row r="7151" spans="1:3">
      <c r="A7151" s="68">
        <v>40717</v>
      </c>
      <c r="B7151" s="32">
        <v>1779.1</v>
      </c>
      <c r="C7151">
        <f t="shared" si="141"/>
        <v>2011</v>
      </c>
    </row>
    <row r="7152" spans="1:3">
      <c r="A7152" s="68">
        <v>40718</v>
      </c>
      <c r="B7152" s="33">
        <v>1788.11</v>
      </c>
      <c r="C7152">
        <f t="shared" si="141"/>
        <v>2011</v>
      </c>
    </row>
    <row r="7153" spans="1:3">
      <c r="A7153" s="68">
        <v>40719</v>
      </c>
      <c r="B7153" s="32">
        <v>1787.8</v>
      </c>
      <c r="C7153">
        <f t="shared" si="141"/>
        <v>2011</v>
      </c>
    </row>
    <row r="7154" spans="1:3">
      <c r="A7154" s="68">
        <v>40720</v>
      </c>
      <c r="B7154" s="33">
        <v>1787.8</v>
      </c>
      <c r="C7154">
        <f t="shared" si="141"/>
        <v>2011</v>
      </c>
    </row>
    <row r="7155" spans="1:3">
      <c r="A7155" s="68">
        <v>40721</v>
      </c>
      <c r="B7155" s="32">
        <v>1787.8</v>
      </c>
      <c r="C7155">
        <f t="shared" si="141"/>
        <v>2011</v>
      </c>
    </row>
    <row r="7156" spans="1:3">
      <c r="A7156" s="68">
        <v>40722</v>
      </c>
      <c r="B7156" s="33">
        <v>1787.8</v>
      </c>
      <c r="C7156">
        <f t="shared" si="141"/>
        <v>2011</v>
      </c>
    </row>
    <row r="7157" spans="1:3">
      <c r="A7157" s="68">
        <v>40723</v>
      </c>
      <c r="B7157" s="32">
        <v>1786.73</v>
      </c>
      <c r="C7157">
        <f t="shared" si="141"/>
        <v>2011</v>
      </c>
    </row>
    <row r="7158" spans="1:3">
      <c r="A7158" s="68">
        <v>40724</v>
      </c>
      <c r="B7158" s="33">
        <v>1780.16</v>
      </c>
      <c r="C7158">
        <f t="shared" si="141"/>
        <v>2011</v>
      </c>
    </row>
    <row r="7159" spans="1:3">
      <c r="A7159" s="68">
        <v>40725</v>
      </c>
      <c r="B7159" s="32">
        <v>1772.32</v>
      </c>
      <c r="C7159">
        <f t="shared" si="141"/>
        <v>2011</v>
      </c>
    </row>
    <row r="7160" spans="1:3">
      <c r="A7160" s="68">
        <v>40726</v>
      </c>
      <c r="B7160" s="33">
        <v>1762.59</v>
      </c>
      <c r="C7160">
        <f t="shared" si="141"/>
        <v>2011</v>
      </c>
    </row>
    <row r="7161" spans="1:3">
      <c r="A7161" s="68">
        <v>40727</v>
      </c>
      <c r="B7161" s="32">
        <v>1762.59</v>
      </c>
      <c r="C7161">
        <f t="shared" si="141"/>
        <v>2011</v>
      </c>
    </row>
    <row r="7162" spans="1:3">
      <c r="A7162" s="68">
        <v>40728</v>
      </c>
      <c r="B7162" s="33">
        <v>1762.59</v>
      </c>
      <c r="C7162">
        <f t="shared" si="141"/>
        <v>2011</v>
      </c>
    </row>
    <row r="7163" spans="1:3">
      <c r="A7163" s="68">
        <v>40729</v>
      </c>
      <c r="B7163" s="32">
        <v>1762.59</v>
      </c>
      <c r="C7163">
        <f t="shared" si="141"/>
        <v>2011</v>
      </c>
    </row>
    <row r="7164" spans="1:3">
      <c r="A7164" s="68">
        <v>40730</v>
      </c>
      <c r="B7164" s="33">
        <v>1766.57</v>
      </c>
      <c r="C7164">
        <f t="shared" si="141"/>
        <v>2011</v>
      </c>
    </row>
    <row r="7165" spans="1:3">
      <c r="A7165" s="68">
        <v>40731</v>
      </c>
      <c r="B7165" s="32">
        <v>1767.47</v>
      </c>
      <c r="C7165">
        <f t="shared" si="141"/>
        <v>2011</v>
      </c>
    </row>
    <row r="7166" spans="1:3">
      <c r="A7166" s="68">
        <v>40732</v>
      </c>
      <c r="B7166" s="33">
        <v>1759.38</v>
      </c>
      <c r="C7166">
        <f t="shared" si="141"/>
        <v>2011</v>
      </c>
    </row>
    <row r="7167" spans="1:3">
      <c r="A7167" s="68">
        <v>40733</v>
      </c>
      <c r="B7167" s="32">
        <v>1759.41</v>
      </c>
      <c r="C7167">
        <f t="shared" si="141"/>
        <v>2011</v>
      </c>
    </row>
    <row r="7168" spans="1:3">
      <c r="A7168" s="68">
        <v>40734</v>
      </c>
      <c r="B7168" s="33">
        <v>1759.41</v>
      </c>
      <c r="C7168">
        <f t="shared" si="141"/>
        <v>2011</v>
      </c>
    </row>
    <row r="7169" spans="1:3">
      <c r="A7169" s="68">
        <v>40735</v>
      </c>
      <c r="B7169" s="32">
        <v>1759.41</v>
      </c>
      <c r="C7169">
        <f t="shared" si="141"/>
        <v>2011</v>
      </c>
    </row>
    <row r="7170" spans="1:3">
      <c r="A7170" s="68">
        <v>40736</v>
      </c>
      <c r="B7170" s="33">
        <v>1768.42</v>
      </c>
      <c r="C7170">
        <f t="shared" si="141"/>
        <v>2011</v>
      </c>
    </row>
    <row r="7171" spans="1:3">
      <c r="A7171" s="68">
        <v>40737</v>
      </c>
      <c r="B7171" s="32">
        <v>1765.32</v>
      </c>
      <c r="C7171">
        <f t="shared" si="141"/>
        <v>2011</v>
      </c>
    </row>
    <row r="7172" spans="1:3">
      <c r="A7172" s="68">
        <v>40738</v>
      </c>
      <c r="B7172" s="33">
        <v>1758.25</v>
      </c>
      <c r="C7172">
        <f t="shared" ref="C7172:C7235" si="142">YEAR(A7172)</f>
        <v>2011</v>
      </c>
    </row>
    <row r="7173" spans="1:3">
      <c r="A7173" s="68">
        <v>40739</v>
      </c>
      <c r="B7173" s="32">
        <v>1748.41</v>
      </c>
      <c r="C7173">
        <f t="shared" si="142"/>
        <v>2011</v>
      </c>
    </row>
    <row r="7174" spans="1:3">
      <c r="A7174" s="68">
        <v>40740</v>
      </c>
      <c r="B7174" s="33">
        <v>1750.9</v>
      </c>
      <c r="C7174">
        <f t="shared" si="142"/>
        <v>2011</v>
      </c>
    </row>
    <row r="7175" spans="1:3">
      <c r="A7175" s="68">
        <v>40741</v>
      </c>
      <c r="B7175" s="32">
        <v>1750.9</v>
      </c>
      <c r="C7175">
        <f t="shared" si="142"/>
        <v>2011</v>
      </c>
    </row>
    <row r="7176" spans="1:3">
      <c r="A7176" s="68">
        <v>40742</v>
      </c>
      <c r="B7176" s="33">
        <v>1750.9</v>
      </c>
      <c r="C7176">
        <f t="shared" si="142"/>
        <v>2011</v>
      </c>
    </row>
    <row r="7177" spans="1:3">
      <c r="A7177" s="68">
        <v>40743</v>
      </c>
      <c r="B7177" s="32">
        <v>1758.99</v>
      </c>
      <c r="C7177">
        <f t="shared" si="142"/>
        <v>2011</v>
      </c>
    </row>
    <row r="7178" spans="1:3">
      <c r="A7178" s="68">
        <v>40744</v>
      </c>
      <c r="B7178" s="33">
        <v>1757.49</v>
      </c>
      <c r="C7178">
        <f t="shared" si="142"/>
        <v>2011</v>
      </c>
    </row>
    <row r="7179" spans="1:3">
      <c r="A7179" s="68">
        <v>40745</v>
      </c>
      <c r="B7179" s="32">
        <v>1757.49</v>
      </c>
      <c r="C7179">
        <f t="shared" si="142"/>
        <v>2011</v>
      </c>
    </row>
    <row r="7180" spans="1:3">
      <c r="A7180" s="68">
        <v>40746</v>
      </c>
      <c r="B7180" s="33">
        <v>1756.38</v>
      </c>
      <c r="C7180">
        <f t="shared" si="142"/>
        <v>2011</v>
      </c>
    </row>
    <row r="7181" spans="1:3">
      <c r="A7181" s="68">
        <v>40747</v>
      </c>
      <c r="B7181" s="32">
        <v>1757.35</v>
      </c>
      <c r="C7181">
        <f t="shared" si="142"/>
        <v>2011</v>
      </c>
    </row>
    <row r="7182" spans="1:3">
      <c r="A7182" s="68">
        <v>40748</v>
      </c>
      <c r="B7182" s="33">
        <v>1757.35</v>
      </c>
      <c r="C7182">
        <f t="shared" si="142"/>
        <v>2011</v>
      </c>
    </row>
    <row r="7183" spans="1:3">
      <c r="A7183" s="68">
        <v>40749</v>
      </c>
      <c r="B7183" s="32">
        <v>1757.35</v>
      </c>
      <c r="C7183">
        <f t="shared" si="142"/>
        <v>2011</v>
      </c>
    </row>
    <row r="7184" spans="1:3">
      <c r="A7184" s="68">
        <v>40750</v>
      </c>
      <c r="B7184" s="33">
        <v>1768.02</v>
      </c>
      <c r="C7184">
        <f t="shared" si="142"/>
        <v>2011</v>
      </c>
    </row>
    <row r="7185" spans="1:3">
      <c r="A7185" s="68">
        <v>40751</v>
      </c>
      <c r="B7185" s="32">
        <v>1759.88</v>
      </c>
      <c r="C7185">
        <f t="shared" si="142"/>
        <v>2011</v>
      </c>
    </row>
    <row r="7186" spans="1:3">
      <c r="A7186" s="68">
        <v>40752</v>
      </c>
      <c r="B7186" s="33">
        <v>1764.89</v>
      </c>
      <c r="C7186">
        <f t="shared" si="142"/>
        <v>2011</v>
      </c>
    </row>
    <row r="7187" spans="1:3">
      <c r="A7187" s="68">
        <v>40753</v>
      </c>
      <c r="B7187" s="32">
        <v>1771.15</v>
      </c>
      <c r="C7187">
        <f t="shared" si="142"/>
        <v>2011</v>
      </c>
    </row>
    <row r="7188" spans="1:3">
      <c r="A7188" s="68">
        <v>40754</v>
      </c>
      <c r="B7188" s="33">
        <v>1777.82</v>
      </c>
      <c r="C7188">
        <f t="shared" si="142"/>
        <v>2011</v>
      </c>
    </row>
    <row r="7189" spans="1:3">
      <c r="A7189" s="68">
        <v>40755</v>
      </c>
      <c r="B7189" s="32">
        <v>1777.82</v>
      </c>
      <c r="C7189">
        <f t="shared" si="142"/>
        <v>2011</v>
      </c>
    </row>
    <row r="7190" spans="1:3">
      <c r="A7190" s="68">
        <v>40756</v>
      </c>
      <c r="B7190" s="33">
        <v>1777.82</v>
      </c>
      <c r="C7190">
        <f t="shared" si="142"/>
        <v>2011</v>
      </c>
    </row>
    <row r="7191" spans="1:3">
      <c r="A7191" s="68">
        <v>40757</v>
      </c>
      <c r="B7191" s="32">
        <v>1771.81</v>
      </c>
      <c r="C7191">
        <f t="shared" si="142"/>
        <v>2011</v>
      </c>
    </row>
    <row r="7192" spans="1:3">
      <c r="A7192" s="68">
        <v>40758</v>
      </c>
      <c r="B7192" s="33">
        <v>1765.53</v>
      </c>
      <c r="C7192">
        <f t="shared" si="142"/>
        <v>2011</v>
      </c>
    </row>
    <row r="7193" spans="1:3">
      <c r="A7193" s="68">
        <v>40759</v>
      </c>
      <c r="B7193" s="32">
        <v>1772.52</v>
      </c>
      <c r="C7193">
        <f t="shared" si="142"/>
        <v>2011</v>
      </c>
    </row>
    <row r="7194" spans="1:3">
      <c r="A7194" s="68">
        <v>40760</v>
      </c>
      <c r="B7194" s="33">
        <v>1781.33</v>
      </c>
      <c r="C7194">
        <f t="shared" si="142"/>
        <v>2011</v>
      </c>
    </row>
    <row r="7195" spans="1:3">
      <c r="A7195" s="68">
        <v>40761</v>
      </c>
      <c r="B7195" s="32">
        <v>1792.68</v>
      </c>
      <c r="C7195">
        <f t="shared" si="142"/>
        <v>2011</v>
      </c>
    </row>
    <row r="7196" spans="1:3">
      <c r="A7196" s="68">
        <v>40762</v>
      </c>
      <c r="B7196" s="33">
        <v>1792.68</v>
      </c>
      <c r="C7196">
        <f t="shared" si="142"/>
        <v>2011</v>
      </c>
    </row>
    <row r="7197" spans="1:3">
      <c r="A7197" s="68">
        <v>40763</v>
      </c>
      <c r="B7197" s="32">
        <v>1792.68</v>
      </c>
      <c r="C7197">
        <f t="shared" si="142"/>
        <v>2011</v>
      </c>
    </row>
    <row r="7198" spans="1:3">
      <c r="A7198" s="68">
        <v>40764</v>
      </c>
      <c r="B7198" s="33">
        <v>1811.18</v>
      </c>
      <c r="C7198">
        <f t="shared" si="142"/>
        <v>2011</v>
      </c>
    </row>
    <row r="7199" spans="1:3">
      <c r="A7199" s="68">
        <v>40765</v>
      </c>
      <c r="B7199" s="32">
        <v>1811.68</v>
      </c>
      <c r="C7199">
        <f t="shared" si="142"/>
        <v>2011</v>
      </c>
    </row>
    <row r="7200" spans="1:3">
      <c r="A7200" s="68">
        <v>40766</v>
      </c>
      <c r="B7200" s="33">
        <v>1800.97</v>
      </c>
      <c r="C7200">
        <f t="shared" si="142"/>
        <v>2011</v>
      </c>
    </row>
    <row r="7201" spans="1:3">
      <c r="A7201" s="68">
        <v>40767</v>
      </c>
      <c r="B7201" s="32">
        <v>1793.47</v>
      </c>
      <c r="C7201">
        <f t="shared" si="142"/>
        <v>2011</v>
      </c>
    </row>
    <row r="7202" spans="1:3">
      <c r="A7202" s="68">
        <v>40768</v>
      </c>
      <c r="B7202" s="33">
        <v>1783.35</v>
      </c>
      <c r="C7202">
        <f t="shared" si="142"/>
        <v>2011</v>
      </c>
    </row>
    <row r="7203" spans="1:3">
      <c r="A7203" s="68">
        <v>40769</v>
      </c>
      <c r="B7203" s="32">
        <v>1783.35</v>
      </c>
      <c r="C7203">
        <f t="shared" si="142"/>
        <v>2011</v>
      </c>
    </row>
    <row r="7204" spans="1:3">
      <c r="A7204" s="68">
        <v>40770</v>
      </c>
      <c r="B7204" s="33">
        <v>1783.35</v>
      </c>
      <c r="C7204">
        <f t="shared" si="142"/>
        <v>2011</v>
      </c>
    </row>
    <row r="7205" spans="1:3">
      <c r="A7205" s="68">
        <v>40771</v>
      </c>
      <c r="B7205" s="32">
        <v>1783.35</v>
      </c>
      <c r="C7205">
        <f t="shared" si="142"/>
        <v>2011</v>
      </c>
    </row>
    <row r="7206" spans="1:3">
      <c r="A7206" s="68">
        <v>40772</v>
      </c>
      <c r="B7206" s="33">
        <v>1776.66</v>
      </c>
      <c r="C7206">
        <f t="shared" si="142"/>
        <v>2011</v>
      </c>
    </row>
    <row r="7207" spans="1:3">
      <c r="A7207" s="68">
        <v>40773</v>
      </c>
      <c r="B7207" s="32">
        <v>1767.29</v>
      </c>
      <c r="C7207">
        <f t="shared" si="142"/>
        <v>2011</v>
      </c>
    </row>
    <row r="7208" spans="1:3">
      <c r="A7208" s="68">
        <v>40774</v>
      </c>
      <c r="B7208" s="33">
        <v>1775.84</v>
      </c>
      <c r="C7208">
        <f t="shared" si="142"/>
        <v>2011</v>
      </c>
    </row>
    <row r="7209" spans="1:3">
      <c r="A7209" s="68">
        <v>40775</v>
      </c>
      <c r="B7209" s="32">
        <v>1779.05</v>
      </c>
      <c r="C7209">
        <f t="shared" si="142"/>
        <v>2011</v>
      </c>
    </row>
    <row r="7210" spans="1:3">
      <c r="A7210" s="68">
        <v>40776</v>
      </c>
      <c r="B7210" s="33">
        <v>1779.05</v>
      </c>
      <c r="C7210">
        <f t="shared" si="142"/>
        <v>2011</v>
      </c>
    </row>
    <row r="7211" spans="1:3">
      <c r="A7211" s="68">
        <v>40777</v>
      </c>
      <c r="B7211" s="32">
        <v>1779.05</v>
      </c>
      <c r="C7211">
        <f t="shared" si="142"/>
        <v>2011</v>
      </c>
    </row>
    <row r="7212" spans="1:3">
      <c r="A7212" s="68">
        <v>40778</v>
      </c>
      <c r="B7212" s="33">
        <v>1779.86</v>
      </c>
      <c r="C7212">
        <f t="shared" si="142"/>
        <v>2011</v>
      </c>
    </row>
    <row r="7213" spans="1:3">
      <c r="A7213" s="68">
        <v>40779</v>
      </c>
      <c r="B7213" s="32">
        <v>1781.91</v>
      </c>
      <c r="C7213">
        <f t="shared" si="142"/>
        <v>2011</v>
      </c>
    </row>
    <row r="7214" spans="1:3">
      <c r="A7214" s="68">
        <v>40780</v>
      </c>
      <c r="B7214" s="33">
        <v>1791.61</v>
      </c>
      <c r="C7214">
        <f t="shared" si="142"/>
        <v>2011</v>
      </c>
    </row>
    <row r="7215" spans="1:3">
      <c r="A7215" s="68">
        <v>40781</v>
      </c>
      <c r="B7215" s="32">
        <v>1791.05</v>
      </c>
      <c r="C7215">
        <f t="shared" si="142"/>
        <v>2011</v>
      </c>
    </row>
    <row r="7216" spans="1:3">
      <c r="A7216" s="68">
        <v>40782</v>
      </c>
      <c r="B7216" s="33">
        <v>1794.02</v>
      </c>
      <c r="C7216">
        <f t="shared" si="142"/>
        <v>2011</v>
      </c>
    </row>
    <row r="7217" spans="1:3">
      <c r="A7217" s="68">
        <v>40783</v>
      </c>
      <c r="B7217" s="32">
        <v>1794.02</v>
      </c>
      <c r="C7217">
        <f t="shared" si="142"/>
        <v>2011</v>
      </c>
    </row>
    <row r="7218" spans="1:3">
      <c r="A7218" s="68">
        <v>40784</v>
      </c>
      <c r="B7218" s="33">
        <v>1794.02</v>
      </c>
      <c r="C7218">
        <f t="shared" si="142"/>
        <v>2011</v>
      </c>
    </row>
    <row r="7219" spans="1:3">
      <c r="A7219" s="68">
        <v>40785</v>
      </c>
      <c r="B7219" s="32">
        <v>1787.52</v>
      </c>
      <c r="C7219">
        <f t="shared" si="142"/>
        <v>2011</v>
      </c>
    </row>
    <row r="7220" spans="1:3">
      <c r="A7220" s="68">
        <v>40786</v>
      </c>
      <c r="B7220" s="33">
        <v>1783.66</v>
      </c>
      <c r="C7220">
        <f t="shared" si="142"/>
        <v>2011</v>
      </c>
    </row>
    <row r="7221" spans="1:3">
      <c r="A7221" s="68">
        <v>40787</v>
      </c>
      <c r="B7221" s="32">
        <v>1780.26</v>
      </c>
      <c r="C7221">
        <f t="shared" si="142"/>
        <v>2011</v>
      </c>
    </row>
    <row r="7222" spans="1:3">
      <c r="A7222" s="68">
        <v>40788</v>
      </c>
      <c r="B7222" s="33">
        <v>1778.51</v>
      </c>
      <c r="C7222">
        <f t="shared" si="142"/>
        <v>2011</v>
      </c>
    </row>
    <row r="7223" spans="1:3">
      <c r="A7223" s="68">
        <v>40789</v>
      </c>
      <c r="B7223" s="32">
        <v>1782.8</v>
      </c>
      <c r="C7223">
        <f t="shared" si="142"/>
        <v>2011</v>
      </c>
    </row>
    <row r="7224" spans="1:3">
      <c r="A7224" s="68">
        <v>40790</v>
      </c>
      <c r="B7224" s="33">
        <v>1782.8</v>
      </c>
      <c r="C7224">
        <f t="shared" si="142"/>
        <v>2011</v>
      </c>
    </row>
    <row r="7225" spans="1:3">
      <c r="A7225" s="68">
        <v>40791</v>
      </c>
      <c r="B7225" s="32">
        <v>1782.8</v>
      </c>
      <c r="C7225">
        <f t="shared" si="142"/>
        <v>2011</v>
      </c>
    </row>
    <row r="7226" spans="1:3">
      <c r="A7226" s="68">
        <v>40792</v>
      </c>
      <c r="B7226" s="33">
        <v>1782.8</v>
      </c>
      <c r="C7226">
        <f t="shared" si="142"/>
        <v>2011</v>
      </c>
    </row>
    <row r="7227" spans="1:3">
      <c r="A7227" s="68">
        <v>40793</v>
      </c>
      <c r="B7227" s="32">
        <v>1791.89</v>
      </c>
      <c r="C7227">
        <f t="shared" si="142"/>
        <v>2011</v>
      </c>
    </row>
    <row r="7228" spans="1:3">
      <c r="A7228" s="68">
        <v>40794</v>
      </c>
      <c r="B7228" s="33">
        <v>1789.3</v>
      </c>
      <c r="C7228">
        <f t="shared" si="142"/>
        <v>2011</v>
      </c>
    </row>
    <row r="7229" spans="1:3">
      <c r="A7229" s="68">
        <v>40795</v>
      </c>
      <c r="B7229" s="32">
        <v>1789.9</v>
      </c>
      <c r="C7229">
        <f t="shared" si="142"/>
        <v>2011</v>
      </c>
    </row>
    <row r="7230" spans="1:3">
      <c r="A7230" s="68">
        <v>40796</v>
      </c>
      <c r="B7230" s="33">
        <v>1796.58</v>
      </c>
      <c r="C7230">
        <f t="shared" si="142"/>
        <v>2011</v>
      </c>
    </row>
    <row r="7231" spans="1:3">
      <c r="A7231" s="68">
        <v>40797</v>
      </c>
      <c r="B7231" s="32">
        <v>1796.58</v>
      </c>
      <c r="C7231">
        <f t="shared" si="142"/>
        <v>2011</v>
      </c>
    </row>
    <row r="7232" spans="1:3">
      <c r="A7232" s="68">
        <v>40798</v>
      </c>
      <c r="B7232" s="33">
        <v>1796.58</v>
      </c>
      <c r="C7232">
        <f t="shared" si="142"/>
        <v>2011</v>
      </c>
    </row>
    <row r="7233" spans="1:3">
      <c r="A7233" s="68">
        <v>40799</v>
      </c>
      <c r="B7233" s="32">
        <v>1811.34</v>
      </c>
      <c r="C7233">
        <f t="shared" si="142"/>
        <v>2011</v>
      </c>
    </row>
    <row r="7234" spans="1:3">
      <c r="A7234" s="68">
        <v>40800</v>
      </c>
      <c r="B7234" s="33">
        <v>1813.42</v>
      </c>
      <c r="C7234">
        <f t="shared" si="142"/>
        <v>2011</v>
      </c>
    </row>
    <row r="7235" spans="1:3">
      <c r="A7235" s="68">
        <v>40801</v>
      </c>
      <c r="B7235" s="32">
        <v>1824.15</v>
      </c>
      <c r="C7235">
        <f t="shared" si="142"/>
        <v>2011</v>
      </c>
    </row>
    <row r="7236" spans="1:3">
      <c r="A7236" s="68">
        <v>40802</v>
      </c>
      <c r="B7236" s="33">
        <v>1822.04</v>
      </c>
      <c r="C7236">
        <f t="shared" ref="C7236:C7299" si="143">YEAR(A7236)</f>
        <v>2011</v>
      </c>
    </row>
    <row r="7237" spans="1:3">
      <c r="A7237" s="68">
        <v>40803</v>
      </c>
      <c r="B7237" s="32">
        <v>1820.29</v>
      </c>
      <c r="C7237">
        <f t="shared" si="143"/>
        <v>2011</v>
      </c>
    </row>
    <row r="7238" spans="1:3">
      <c r="A7238" s="68">
        <v>40804</v>
      </c>
      <c r="B7238" s="33">
        <v>1820.29</v>
      </c>
      <c r="C7238">
        <f t="shared" si="143"/>
        <v>2011</v>
      </c>
    </row>
    <row r="7239" spans="1:3">
      <c r="A7239" s="68">
        <v>40805</v>
      </c>
      <c r="B7239" s="32">
        <v>1820.29</v>
      </c>
      <c r="C7239">
        <f t="shared" si="143"/>
        <v>2011</v>
      </c>
    </row>
    <row r="7240" spans="1:3">
      <c r="A7240" s="68">
        <v>40806</v>
      </c>
      <c r="B7240" s="33">
        <v>1843.26</v>
      </c>
      <c r="C7240">
        <f t="shared" si="143"/>
        <v>2011</v>
      </c>
    </row>
    <row r="7241" spans="1:3">
      <c r="A7241" s="68">
        <v>40807</v>
      </c>
      <c r="B7241" s="32">
        <v>1854.96</v>
      </c>
      <c r="C7241">
        <f t="shared" si="143"/>
        <v>2011</v>
      </c>
    </row>
    <row r="7242" spans="1:3">
      <c r="A7242" s="68">
        <v>40808</v>
      </c>
      <c r="B7242" s="33">
        <v>1882.23</v>
      </c>
      <c r="C7242">
        <f t="shared" si="143"/>
        <v>2011</v>
      </c>
    </row>
    <row r="7243" spans="1:3">
      <c r="A7243" s="68">
        <v>40809</v>
      </c>
      <c r="B7243" s="32">
        <v>1915.63</v>
      </c>
      <c r="C7243">
        <f t="shared" si="143"/>
        <v>2011</v>
      </c>
    </row>
    <row r="7244" spans="1:3">
      <c r="A7244" s="68">
        <v>40810</v>
      </c>
      <c r="B7244" s="33">
        <v>1902.45</v>
      </c>
      <c r="C7244">
        <f t="shared" si="143"/>
        <v>2011</v>
      </c>
    </row>
    <row r="7245" spans="1:3">
      <c r="A7245" s="68">
        <v>40811</v>
      </c>
      <c r="B7245" s="32">
        <v>1902.45</v>
      </c>
      <c r="C7245">
        <f t="shared" si="143"/>
        <v>2011</v>
      </c>
    </row>
    <row r="7246" spans="1:3">
      <c r="A7246" s="68">
        <v>40812</v>
      </c>
      <c r="B7246" s="33">
        <v>1902.45</v>
      </c>
      <c r="C7246">
        <f t="shared" si="143"/>
        <v>2011</v>
      </c>
    </row>
    <row r="7247" spans="1:3">
      <c r="A7247" s="68">
        <v>40813</v>
      </c>
      <c r="B7247" s="32">
        <v>1903.31</v>
      </c>
      <c r="C7247">
        <f t="shared" si="143"/>
        <v>2011</v>
      </c>
    </row>
    <row r="7248" spans="1:3">
      <c r="A7248" s="68">
        <v>40814</v>
      </c>
      <c r="B7248" s="33">
        <v>1887.38</v>
      </c>
      <c r="C7248">
        <f t="shared" si="143"/>
        <v>2011</v>
      </c>
    </row>
    <row r="7249" spans="1:3">
      <c r="A7249" s="68">
        <v>40815</v>
      </c>
      <c r="B7249" s="32">
        <v>1907.75</v>
      </c>
      <c r="C7249">
        <f t="shared" si="143"/>
        <v>2011</v>
      </c>
    </row>
    <row r="7250" spans="1:3">
      <c r="A7250" s="68">
        <v>40816</v>
      </c>
      <c r="B7250" s="33">
        <v>1915.1</v>
      </c>
      <c r="C7250">
        <f t="shared" si="143"/>
        <v>2011</v>
      </c>
    </row>
    <row r="7251" spans="1:3">
      <c r="A7251" s="68">
        <v>40817</v>
      </c>
      <c r="B7251" s="32">
        <v>1929.01</v>
      </c>
      <c r="C7251">
        <f t="shared" si="143"/>
        <v>2011</v>
      </c>
    </row>
    <row r="7252" spans="1:3">
      <c r="A7252" s="68">
        <v>40818</v>
      </c>
      <c r="B7252" s="33">
        <v>1929.01</v>
      </c>
      <c r="C7252">
        <f t="shared" si="143"/>
        <v>2011</v>
      </c>
    </row>
    <row r="7253" spans="1:3">
      <c r="A7253" s="68">
        <v>40819</v>
      </c>
      <c r="B7253" s="32">
        <v>1929.01</v>
      </c>
      <c r="C7253">
        <f t="shared" si="143"/>
        <v>2011</v>
      </c>
    </row>
    <row r="7254" spans="1:3">
      <c r="A7254" s="68">
        <v>40820</v>
      </c>
      <c r="B7254" s="33">
        <v>1943.8</v>
      </c>
      <c r="C7254">
        <f t="shared" si="143"/>
        <v>2011</v>
      </c>
    </row>
    <row r="7255" spans="1:3">
      <c r="A7255" s="68">
        <v>40821</v>
      </c>
      <c r="B7255" s="32">
        <v>1972.76</v>
      </c>
      <c r="C7255">
        <f t="shared" si="143"/>
        <v>2011</v>
      </c>
    </row>
    <row r="7256" spans="1:3">
      <c r="A7256" s="68">
        <v>40822</v>
      </c>
      <c r="B7256" s="33">
        <v>1967.56</v>
      </c>
      <c r="C7256">
        <f t="shared" si="143"/>
        <v>2011</v>
      </c>
    </row>
    <row r="7257" spans="1:3">
      <c r="A7257" s="68">
        <v>40823</v>
      </c>
      <c r="B7257" s="32">
        <v>1952.09</v>
      </c>
      <c r="C7257">
        <f t="shared" si="143"/>
        <v>2011</v>
      </c>
    </row>
    <row r="7258" spans="1:3">
      <c r="A7258" s="68">
        <v>40824</v>
      </c>
      <c r="B7258" s="33">
        <v>1931.64</v>
      </c>
      <c r="C7258">
        <f t="shared" si="143"/>
        <v>2011</v>
      </c>
    </row>
    <row r="7259" spans="1:3">
      <c r="A7259" s="68">
        <v>40825</v>
      </c>
      <c r="B7259" s="32">
        <v>1931.64</v>
      </c>
      <c r="C7259">
        <f t="shared" si="143"/>
        <v>2011</v>
      </c>
    </row>
    <row r="7260" spans="1:3">
      <c r="A7260" s="68">
        <v>40826</v>
      </c>
      <c r="B7260" s="33">
        <v>1931.64</v>
      </c>
      <c r="C7260">
        <f t="shared" si="143"/>
        <v>2011</v>
      </c>
    </row>
    <row r="7261" spans="1:3">
      <c r="A7261" s="68">
        <v>40827</v>
      </c>
      <c r="B7261" s="32">
        <v>1931.64</v>
      </c>
      <c r="C7261">
        <f t="shared" si="143"/>
        <v>2011</v>
      </c>
    </row>
    <row r="7262" spans="1:3">
      <c r="A7262" s="68">
        <v>40828</v>
      </c>
      <c r="B7262" s="33">
        <v>1913.6</v>
      </c>
      <c r="C7262">
        <f t="shared" si="143"/>
        <v>2011</v>
      </c>
    </row>
    <row r="7263" spans="1:3">
      <c r="A7263" s="68">
        <v>40829</v>
      </c>
      <c r="B7263" s="32">
        <v>1896.72</v>
      </c>
      <c r="C7263">
        <f t="shared" si="143"/>
        <v>2011</v>
      </c>
    </row>
    <row r="7264" spans="1:3">
      <c r="A7264" s="68">
        <v>40830</v>
      </c>
      <c r="B7264" s="33">
        <v>1909.12</v>
      </c>
      <c r="C7264">
        <f t="shared" si="143"/>
        <v>2011</v>
      </c>
    </row>
    <row r="7265" spans="1:3">
      <c r="A7265" s="68">
        <v>40831</v>
      </c>
      <c r="B7265" s="32">
        <v>1895.33</v>
      </c>
      <c r="C7265">
        <f t="shared" si="143"/>
        <v>2011</v>
      </c>
    </row>
    <row r="7266" spans="1:3">
      <c r="A7266" s="68">
        <v>40832</v>
      </c>
      <c r="B7266" s="33">
        <v>1895.33</v>
      </c>
      <c r="C7266">
        <f t="shared" si="143"/>
        <v>2011</v>
      </c>
    </row>
    <row r="7267" spans="1:3">
      <c r="A7267" s="68">
        <v>40833</v>
      </c>
      <c r="B7267" s="32">
        <v>1895.33</v>
      </c>
      <c r="C7267">
        <f t="shared" si="143"/>
        <v>2011</v>
      </c>
    </row>
    <row r="7268" spans="1:3">
      <c r="A7268" s="68">
        <v>40834</v>
      </c>
      <c r="B7268" s="33">
        <v>1895.33</v>
      </c>
      <c r="C7268">
        <f t="shared" si="143"/>
        <v>2011</v>
      </c>
    </row>
    <row r="7269" spans="1:3">
      <c r="A7269" s="68">
        <v>40835</v>
      </c>
      <c r="B7269" s="32">
        <v>1902.47</v>
      </c>
      <c r="C7269">
        <f t="shared" si="143"/>
        <v>2011</v>
      </c>
    </row>
    <row r="7270" spans="1:3">
      <c r="A7270" s="68">
        <v>40836</v>
      </c>
      <c r="B7270" s="33">
        <v>1900.1</v>
      </c>
      <c r="C7270">
        <f t="shared" si="143"/>
        <v>2011</v>
      </c>
    </row>
    <row r="7271" spans="1:3">
      <c r="A7271" s="68">
        <v>40837</v>
      </c>
      <c r="B7271" s="32">
        <v>1905.95</v>
      </c>
      <c r="C7271">
        <f t="shared" si="143"/>
        <v>2011</v>
      </c>
    </row>
    <row r="7272" spans="1:3">
      <c r="A7272" s="68">
        <v>40838</v>
      </c>
      <c r="B7272" s="33">
        <v>1897.45</v>
      </c>
      <c r="C7272">
        <f t="shared" si="143"/>
        <v>2011</v>
      </c>
    </row>
    <row r="7273" spans="1:3">
      <c r="A7273" s="68">
        <v>40839</v>
      </c>
      <c r="B7273" s="32">
        <v>1897.45</v>
      </c>
      <c r="C7273">
        <f t="shared" si="143"/>
        <v>2011</v>
      </c>
    </row>
    <row r="7274" spans="1:3">
      <c r="A7274" s="68">
        <v>40840</v>
      </c>
      <c r="B7274" s="33">
        <v>1897.45</v>
      </c>
      <c r="C7274">
        <f t="shared" si="143"/>
        <v>2011</v>
      </c>
    </row>
    <row r="7275" spans="1:3">
      <c r="A7275" s="68">
        <v>40841</v>
      </c>
      <c r="B7275" s="32">
        <v>1878.78</v>
      </c>
      <c r="C7275">
        <f t="shared" si="143"/>
        <v>2011</v>
      </c>
    </row>
    <row r="7276" spans="1:3">
      <c r="A7276" s="68">
        <v>40842</v>
      </c>
      <c r="B7276" s="33">
        <v>1875.55</v>
      </c>
      <c r="C7276">
        <f t="shared" si="143"/>
        <v>2011</v>
      </c>
    </row>
    <row r="7277" spans="1:3">
      <c r="A7277" s="68">
        <v>40843</v>
      </c>
      <c r="B7277" s="32">
        <v>1878.1</v>
      </c>
      <c r="C7277">
        <f t="shared" si="143"/>
        <v>2011</v>
      </c>
    </row>
    <row r="7278" spans="1:3">
      <c r="A7278" s="68">
        <v>40844</v>
      </c>
      <c r="B7278" s="33">
        <v>1862.84</v>
      </c>
      <c r="C7278">
        <f t="shared" si="143"/>
        <v>2011</v>
      </c>
    </row>
    <row r="7279" spans="1:3">
      <c r="A7279" s="68">
        <v>40845</v>
      </c>
      <c r="B7279" s="32">
        <v>1863.06</v>
      </c>
      <c r="C7279">
        <f t="shared" si="143"/>
        <v>2011</v>
      </c>
    </row>
    <row r="7280" spans="1:3">
      <c r="A7280" s="68">
        <v>40846</v>
      </c>
      <c r="B7280" s="33">
        <v>1863.06</v>
      </c>
      <c r="C7280">
        <f t="shared" si="143"/>
        <v>2011</v>
      </c>
    </row>
    <row r="7281" spans="1:3">
      <c r="A7281" s="68">
        <v>40847</v>
      </c>
      <c r="B7281" s="32">
        <v>1863.06</v>
      </c>
      <c r="C7281">
        <f t="shared" si="143"/>
        <v>2011</v>
      </c>
    </row>
    <row r="7282" spans="1:3">
      <c r="A7282" s="68">
        <v>40848</v>
      </c>
      <c r="B7282" s="33">
        <v>1871.49</v>
      </c>
      <c r="C7282">
        <f t="shared" si="143"/>
        <v>2011</v>
      </c>
    </row>
    <row r="7283" spans="1:3">
      <c r="A7283" s="68">
        <v>40849</v>
      </c>
      <c r="B7283" s="32">
        <v>1891.38</v>
      </c>
      <c r="C7283">
        <f t="shared" si="143"/>
        <v>2011</v>
      </c>
    </row>
    <row r="7284" spans="1:3">
      <c r="A7284" s="68">
        <v>40850</v>
      </c>
      <c r="B7284" s="33">
        <v>1889.66</v>
      </c>
      <c r="C7284">
        <f t="shared" si="143"/>
        <v>2011</v>
      </c>
    </row>
    <row r="7285" spans="1:3">
      <c r="A7285" s="68">
        <v>40851</v>
      </c>
      <c r="B7285" s="32">
        <v>1905.38</v>
      </c>
      <c r="C7285">
        <f t="shared" si="143"/>
        <v>2011</v>
      </c>
    </row>
    <row r="7286" spans="1:3">
      <c r="A7286" s="68">
        <v>40852</v>
      </c>
      <c r="B7286" s="33">
        <v>1915.72</v>
      </c>
      <c r="C7286">
        <f t="shared" si="143"/>
        <v>2011</v>
      </c>
    </row>
    <row r="7287" spans="1:3">
      <c r="A7287" s="68">
        <v>40853</v>
      </c>
      <c r="B7287" s="32">
        <v>1915.72</v>
      </c>
      <c r="C7287">
        <f t="shared" si="143"/>
        <v>2011</v>
      </c>
    </row>
    <row r="7288" spans="1:3">
      <c r="A7288" s="68">
        <v>40854</v>
      </c>
      <c r="B7288" s="33">
        <v>1915.72</v>
      </c>
      <c r="C7288">
        <f t="shared" si="143"/>
        <v>2011</v>
      </c>
    </row>
    <row r="7289" spans="1:3">
      <c r="A7289" s="68">
        <v>40855</v>
      </c>
      <c r="B7289" s="32">
        <v>1915.72</v>
      </c>
      <c r="C7289">
        <f t="shared" si="143"/>
        <v>2011</v>
      </c>
    </row>
    <row r="7290" spans="1:3">
      <c r="A7290" s="68">
        <v>40856</v>
      </c>
      <c r="B7290" s="33">
        <v>1908.71</v>
      </c>
      <c r="C7290">
        <f t="shared" si="143"/>
        <v>2011</v>
      </c>
    </row>
    <row r="7291" spans="1:3">
      <c r="A7291" s="68">
        <v>40857</v>
      </c>
      <c r="B7291" s="32">
        <v>1917.69</v>
      </c>
      <c r="C7291">
        <f t="shared" si="143"/>
        <v>2011</v>
      </c>
    </row>
    <row r="7292" spans="1:3">
      <c r="A7292" s="68">
        <v>40858</v>
      </c>
      <c r="B7292" s="33">
        <v>1913.65</v>
      </c>
      <c r="C7292">
        <f t="shared" si="143"/>
        <v>2011</v>
      </c>
    </row>
    <row r="7293" spans="1:3">
      <c r="A7293" s="68">
        <v>40859</v>
      </c>
      <c r="B7293" s="32">
        <v>1913.65</v>
      </c>
      <c r="C7293">
        <f t="shared" si="143"/>
        <v>2011</v>
      </c>
    </row>
    <row r="7294" spans="1:3">
      <c r="A7294" s="68">
        <v>40860</v>
      </c>
      <c r="B7294" s="33">
        <v>1913.65</v>
      </c>
      <c r="C7294">
        <f t="shared" si="143"/>
        <v>2011</v>
      </c>
    </row>
    <row r="7295" spans="1:3">
      <c r="A7295" s="68">
        <v>40861</v>
      </c>
      <c r="B7295" s="32">
        <v>1913.65</v>
      </c>
      <c r="C7295">
        <f t="shared" si="143"/>
        <v>2011</v>
      </c>
    </row>
    <row r="7296" spans="1:3">
      <c r="A7296" s="68">
        <v>40862</v>
      </c>
      <c r="B7296" s="33">
        <v>1913.65</v>
      </c>
      <c r="C7296">
        <f t="shared" si="143"/>
        <v>2011</v>
      </c>
    </row>
    <row r="7297" spans="1:3">
      <c r="A7297" s="68">
        <v>40863</v>
      </c>
      <c r="B7297" s="32">
        <v>1915.41</v>
      </c>
      <c r="C7297">
        <f t="shared" si="143"/>
        <v>2011</v>
      </c>
    </row>
    <row r="7298" spans="1:3">
      <c r="A7298" s="68">
        <v>40864</v>
      </c>
      <c r="B7298" s="33">
        <v>1912.2</v>
      </c>
      <c r="C7298">
        <f t="shared" si="143"/>
        <v>2011</v>
      </c>
    </row>
    <row r="7299" spans="1:3">
      <c r="A7299" s="68">
        <v>40865</v>
      </c>
      <c r="B7299" s="32">
        <v>1910.83</v>
      </c>
      <c r="C7299">
        <f t="shared" si="143"/>
        <v>2011</v>
      </c>
    </row>
    <row r="7300" spans="1:3">
      <c r="A7300" s="68">
        <v>40866</v>
      </c>
      <c r="B7300" s="33">
        <v>1917.45</v>
      </c>
      <c r="C7300">
        <f t="shared" ref="C7300:C7363" si="144">YEAR(A7300)</f>
        <v>2011</v>
      </c>
    </row>
    <row r="7301" spans="1:3">
      <c r="A7301" s="68">
        <v>40867</v>
      </c>
      <c r="B7301" s="32">
        <v>1917.45</v>
      </c>
      <c r="C7301">
        <f t="shared" si="144"/>
        <v>2011</v>
      </c>
    </row>
    <row r="7302" spans="1:3">
      <c r="A7302" s="68">
        <v>40868</v>
      </c>
      <c r="B7302" s="33">
        <v>1917.45</v>
      </c>
      <c r="C7302">
        <f t="shared" si="144"/>
        <v>2011</v>
      </c>
    </row>
    <row r="7303" spans="1:3">
      <c r="A7303" s="68">
        <v>40869</v>
      </c>
      <c r="B7303" s="32">
        <v>1928.47</v>
      </c>
      <c r="C7303">
        <f t="shared" si="144"/>
        <v>2011</v>
      </c>
    </row>
    <row r="7304" spans="1:3">
      <c r="A7304" s="68">
        <v>40870</v>
      </c>
      <c r="B7304" s="33">
        <v>1925.39</v>
      </c>
      <c r="C7304">
        <f t="shared" si="144"/>
        <v>2011</v>
      </c>
    </row>
    <row r="7305" spans="1:3">
      <c r="A7305" s="68">
        <v>40871</v>
      </c>
      <c r="B7305" s="32">
        <v>1932.63</v>
      </c>
      <c r="C7305">
        <f t="shared" si="144"/>
        <v>2011</v>
      </c>
    </row>
    <row r="7306" spans="1:3">
      <c r="A7306" s="68">
        <v>40872</v>
      </c>
      <c r="B7306" s="33">
        <v>1932.63</v>
      </c>
      <c r="C7306">
        <f t="shared" si="144"/>
        <v>2011</v>
      </c>
    </row>
    <row r="7307" spans="1:3">
      <c r="A7307" s="68">
        <v>40873</v>
      </c>
      <c r="B7307" s="32">
        <v>1948.48</v>
      </c>
      <c r="C7307">
        <f t="shared" si="144"/>
        <v>2011</v>
      </c>
    </row>
    <row r="7308" spans="1:3">
      <c r="A7308" s="68">
        <v>40874</v>
      </c>
      <c r="B7308" s="33">
        <v>1948.48</v>
      </c>
      <c r="C7308">
        <f t="shared" si="144"/>
        <v>2011</v>
      </c>
    </row>
    <row r="7309" spans="1:3">
      <c r="A7309" s="68">
        <v>40875</v>
      </c>
      <c r="B7309" s="32">
        <v>1948.48</v>
      </c>
      <c r="C7309">
        <f t="shared" si="144"/>
        <v>2011</v>
      </c>
    </row>
    <row r="7310" spans="1:3">
      <c r="A7310" s="68">
        <v>40876</v>
      </c>
      <c r="B7310" s="33">
        <v>1946.28</v>
      </c>
      <c r="C7310">
        <f t="shared" si="144"/>
        <v>2011</v>
      </c>
    </row>
    <row r="7311" spans="1:3">
      <c r="A7311" s="68">
        <v>40877</v>
      </c>
      <c r="B7311" s="32">
        <v>1967.18</v>
      </c>
      <c r="C7311">
        <f t="shared" si="144"/>
        <v>2011</v>
      </c>
    </row>
    <row r="7312" spans="1:3">
      <c r="A7312" s="68">
        <v>40878</v>
      </c>
      <c r="B7312" s="33">
        <v>1948.51</v>
      </c>
      <c r="C7312">
        <f t="shared" si="144"/>
        <v>2011</v>
      </c>
    </row>
    <row r="7313" spans="1:3">
      <c r="A7313" s="68">
        <v>40879</v>
      </c>
      <c r="B7313" s="32">
        <v>1949.56</v>
      </c>
      <c r="C7313">
        <f t="shared" si="144"/>
        <v>2011</v>
      </c>
    </row>
    <row r="7314" spans="1:3">
      <c r="A7314" s="68">
        <v>40880</v>
      </c>
      <c r="B7314" s="33">
        <v>1938.83</v>
      </c>
      <c r="C7314">
        <f t="shared" si="144"/>
        <v>2011</v>
      </c>
    </row>
    <row r="7315" spans="1:3">
      <c r="A7315" s="68">
        <v>40881</v>
      </c>
      <c r="B7315" s="32">
        <v>1938.83</v>
      </c>
      <c r="C7315">
        <f t="shared" si="144"/>
        <v>2011</v>
      </c>
    </row>
    <row r="7316" spans="1:3">
      <c r="A7316" s="68">
        <v>40882</v>
      </c>
      <c r="B7316" s="33">
        <v>1938.83</v>
      </c>
      <c r="C7316">
        <f t="shared" si="144"/>
        <v>2011</v>
      </c>
    </row>
    <row r="7317" spans="1:3">
      <c r="A7317" s="68">
        <v>40883</v>
      </c>
      <c r="B7317" s="32">
        <v>1936.29</v>
      </c>
      <c r="C7317">
        <f t="shared" si="144"/>
        <v>2011</v>
      </c>
    </row>
    <row r="7318" spans="1:3">
      <c r="A7318" s="68">
        <v>40884</v>
      </c>
      <c r="B7318" s="33">
        <v>1936.11</v>
      </c>
      <c r="C7318">
        <f t="shared" si="144"/>
        <v>2011</v>
      </c>
    </row>
    <row r="7319" spans="1:3">
      <c r="A7319" s="68">
        <v>40885</v>
      </c>
      <c r="B7319" s="32">
        <v>1930.57</v>
      </c>
      <c r="C7319">
        <f t="shared" si="144"/>
        <v>2011</v>
      </c>
    </row>
    <row r="7320" spans="1:3">
      <c r="A7320" s="68">
        <v>40886</v>
      </c>
      <c r="B7320" s="33">
        <v>1930.57</v>
      </c>
      <c r="C7320">
        <f t="shared" si="144"/>
        <v>2011</v>
      </c>
    </row>
    <row r="7321" spans="1:3">
      <c r="A7321" s="68">
        <v>40887</v>
      </c>
      <c r="B7321" s="32">
        <v>1927.1</v>
      </c>
      <c r="C7321">
        <f t="shared" si="144"/>
        <v>2011</v>
      </c>
    </row>
    <row r="7322" spans="1:3">
      <c r="A7322" s="68">
        <v>40888</v>
      </c>
      <c r="B7322" s="33">
        <v>1927.1</v>
      </c>
      <c r="C7322">
        <f t="shared" si="144"/>
        <v>2011</v>
      </c>
    </row>
    <row r="7323" spans="1:3">
      <c r="A7323" s="68">
        <v>40889</v>
      </c>
      <c r="B7323" s="32">
        <v>1927.1</v>
      </c>
      <c r="C7323">
        <f t="shared" si="144"/>
        <v>2011</v>
      </c>
    </row>
    <row r="7324" spans="1:3">
      <c r="A7324" s="68">
        <v>40890</v>
      </c>
      <c r="B7324" s="33">
        <v>1932.3</v>
      </c>
      <c r="C7324">
        <f t="shared" si="144"/>
        <v>2011</v>
      </c>
    </row>
    <row r="7325" spans="1:3">
      <c r="A7325" s="68">
        <v>40891</v>
      </c>
      <c r="B7325" s="32">
        <v>1929.01</v>
      </c>
      <c r="C7325">
        <f t="shared" si="144"/>
        <v>2011</v>
      </c>
    </row>
    <row r="7326" spans="1:3">
      <c r="A7326" s="68">
        <v>40892</v>
      </c>
      <c r="B7326" s="33">
        <v>1937.6</v>
      </c>
      <c r="C7326">
        <f t="shared" si="144"/>
        <v>2011</v>
      </c>
    </row>
    <row r="7327" spans="1:3">
      <c r="A7327" s="68">
        <v>40893</v>
      </c>
      <c r="B7327" s="32">
        <v>1935.96</v>
      </c>
      <c r="C7327">
        <f t="shared" si="144"/>
        <v>2011</v>
      </c>
    </row>
    <row r="7328" spans="1:3">
      <c r="A7328" s="68">
        <v>40894</v>
      </c>
      <c r="B7328" s="33">
        <v>1935.64</v>
      </c>
      <c r="C7328">
        <f t="shared" si="144"/>
        <v>2011</v>
      </c>
    </row>
    <row r="7329" spans="1:3">
      <c r="A7329" s="68">
        <v>40895</v>
      </c>
      <c r="B7329" s="32">
        <v>1935.64</v>
      </c>
      <c r="C7329">
        <f t="shared" si="144"/>
        <v>2011</v>
      </c>
    </row>
    <row r="7330" spans="1:3">
      <c r="A7330" s="68">
        <v>40896</v>
      </c>
      <c r="B7330" s="33">
        <v>1935.64</v>
      </c>
      <c r="C7330">
        <f t="shared" si="144"/>
        <v>2011</v>
      </c>
    </row>
    <row r="7331" spans="1:3">
      <c r="A7331" s="68">
        <v>40897</v>
      </c>
      <c r="B7331" s="32">
        <v>1939.39</v>
      </c>
      <c r="C7331">
        <f t="shared" si="144"/>
        <v>2011</v>
      </c>
    </row>
    <row r="7332" spans="1:3">
      <c r="A7332" s="68">
        <v>40898</v>
      </c>
      <c r="B7332" s="33">
        <v>1932.08</v>
      </c>
      <c r="C7332">
        <f t="shared" si="144"/>
        <v>2011</v>
      </c>
    </row>
    <row r="7333" spans="1:3">
      <c r="A7333" s="68">
        <v>40899</v>
      </c>
      <c r="B7333" s="32">
        <v>1935.72</v>
      </c>
      <c r="C7333">
        <f t="shared" si="144"/>
        <v>2011</v>
      </c>
    </row>
    <row r="7334" spans="1:3">
      <c r="A7334" s="68">
        <v>40900</v>
      </c>
      <c r="B7334" s="33">
        <v>1927.71</v>
      </c>
      <c r="C7334">
        <f t="shared" si="144"/>
        <v>2011</v>
      </c>
    </row>
    <row r="7335" spans="1:3">
      <c r="A7335" s="68">
        <v>40901</v>
      </c>
      <c r="B7335" s="32">
        <v>1920.93</v>
      </c>
      <c r="C7335">
        <f t="shared" si="144"/>
        <v>2011</v>
      </c>
    </row>
    <row r="7336" spans="1:3">
      <c r="A7336" s="68">
        <v>40902</v>
      </c>
      <c r="B7336" s="33">
        <v>1920.93</v>
      </c>
      <c r="C7336">
        <f t="shared" si="144"/>
        <v>2011</v>
      </c>
    </row>
    <row r="7337" spans="1:3">
      <c r="A7337" s="68">
        <v>40903</v>
      </c>
      <c r="B7337" s="32">
        <v>1920.93</v>
      </c>
      <c r="C7337">
        <f t="shared" si="144"/>
        <v>2011</v>
      </c>
    </row>
    <row r="7338" spans="1:3">
      <c r="A7338" s="68">
        <v>40904</v>
      </c>
      <c r="B7338" s="33">
        <v>1920.93</v>
      </c>
      <c r="C7338">
        <f t="shared" si="144"/>
        <v>2011</v>
      </c>
    </row>
    <row r="7339" spans="1:3">
      <c r="A7339" s="68">
        <v>40905</v>
      </c>
      <c r="B7339" s="32">
        <v>1920.16</v>
      </c>
      <c r="C7339">
        <f t="shared" si="144"/>
        <v>2011</v>
      </c>
    </row>
    <row r="7340" spans="1:3">
      <c r="A7340" s="68">
        <v>40906</v>
      </c>
      <c r="B7340" s="33">
        <v>1938.52</v>
      </c>
      <c r="C7340">
        <f t="shared" si="144"/>
        <v>2011</v>
      </c>
    </row>
    <row r="7341" spans="1:3">
      <c r="A7341" s="68">
        <v>40907</v>
      </c>
      <c r="B7341" s="32">
        <v>1942.7</v>
      </c>
      <c r="C7341">
        <f t="shared" si="144"/>
        <v>2011</v>
      </c>
    </row>
    <row r="7342" spans="1:3">
      <c r="A7342" s="68">
        <v>40908</v>
      </c>
      <c r="B7342" s="33">
        <v>1942.7</v>
      </c>
      <c r="C7342">
        <f t="shared" si="144"/>
        <v>2011</v>
      </c>
    </row>
    <row r="7343" spans="1:3">
      <c r="A7343" s="68">
        <v>40909</v>
      </c>
      <c r="B7343" s="32">
        <v>1942.7</v>
      </c>
      <c r="C7343">
        <f t="shared" si="144"/>
        <v>2012</v>
      </c>
    </row>
    <row r="7344" spans="1:3">
      <c r="A7344" s="68">
        <v>40910</v>
      </c>
      <c r="B7344" s="33">
        <v>1942.7</v>
      </c>
      <c r="C7344">
        <f t="shared" si="144"/>
        <v>2012</v>
      </c>
    </row>
    <row r="7345" spans="1:3">
      <c r="A7345" s="68">
        <v>40911</v>
      </c>
      <c r="B7345" s="32">
        <v>1942.7</v>
      </c>
      <c r="C7345">
        <f t="shared" si="144"/>
        <v>2012</v>
      </c>
    </row>
    <row r="7346" spans="1:3">
      <c r="A7346" s="68">
        <v>40912</v>
      </c>
      <c r="B7346" s="33">
        <v>1915.02</v>
      </c>
      <c r="C7346">
        <f t="shared" si="144"/>
        <v>2012</v>
      </c>
    </row>
    <row r="7347" spans="1:3">
      <c r="A7347" s="68">
        <v>40913</v>
      </c>
      <c r="B7347" s="32">
        <v>1898.24</v>
      </c>
      <c r="C7347">
        <f t="shared" si="144"/>
        <v>2012</v>
      </c>
    </row>
    <row r="7348" spans="1:3">
      <c r="A7348" s="68">
        <v>40914</v>
      </c>
      <c r="B7348" s="33">
        <v>1884.44</v>
      </c>
      <c r="C7348">
        <f t="shared" si="144"/>
        <v>2012</v>
      </c>
    </row>
    <row r="7349" spans="1:3">
      <c r="A7349" s="68">
        <v>40915</v>
      </c>
      <c r="B7349" s="32">
        <v>1884.47</v>
      </c>
      <c r="C7349">
        <f t="shared" si="144"/>
        <v>2012</v>
      </c>
    </row>
    <row r="7350" spans="1:3">
      <c r="A7350" s="68">
        <v>40916</v>
      </c>
      <c r="B7350" s="33">
        <v>1884.47</v>
      </c>
      <c r="C7350">
        <f t="shared" si="144"/>
        <v>2012</v>
      </c>
    </row>
    <row r="7351" spans="1:3">
      <c r="A7351" s="68">
        <v>40917</v>
      </c>
      <c r="B7351" s="32">
        <v>1884.47</v>
      </c>
      <c r="C7351">
        <f t="shared" si="144"/>
        <v>2012</v>
      </c>
    </row>
    <row r="7352" spans="1:3">
      <c r="A7352" s="68">
        <v>40918</v>
      </c>
      <c r="B7352" s="33">
        <v>1884.47</v>
      </c>
      <c r="C7352">
        <f t="shared" si="144"/>
        <v>2012</v>
      </c>
    </row>
    <row r="7353" spans="1:3">
      <c r="A7353" s="68">
        <v>40919</v>
      </c>
      <c r="B7353" s="32">
        <v>1865.07</v>
      </c>
      <c r="C7353">
        <f t="shared" si="144"/>
        <v>2012</v>
      </c>
    </row>
    <row r="7354" spans="1:3">
      <c r="A7354" s="68">
        <v>40920</v>
      </c>
      <c r="B7354" s="33">
        <v>1854.17</v>
      </c>
      <c r="C7354">
        <f t="shared" si="144"/>
        <v>2012</v>
      </c>
    </row>
    <row r="7355" spans="1:3">
      <c r="A7355" s="68">
        <v>40921</v>
      </c>
      <c r="B7355" s="32">
        <v>1842.47</v>
      </c>
      <c r="C7355">
        <f t="shared" si="144"/>
        <v>2012</v>
      </c>
    </row>
    <row r="7356" spans="1:3">
      <c r="A7356" s="68">
        <v>40922</v>
      </c>
      <c r="B7356" s="33">
        <v>1841.31</v>
      </c>
      <c r="C7356">
        <f t="shared" si="144"/>
        <v>2012</v>
      </c>
    </row>
    <row r="7357" spans="1:3">
      <c r="A7357" s="68">
        <v>40923</v>
      </c>
      <c r="B7357" s="32">
        <v>1841.31</v>
      </c>
      <c r="C7357">
        <f t="shared" si="144"/>
        <v>2012</v>
      </c>
    </row>
    <row r="7358" spans="1:3">
      <c r="A7358" s="68">
        <v>40924</v>
      </c>
      <c r="B7358" s="33">
        <v>1841.31</v>
      </c>
      <c r="C7358">
        <f t="shared" si="144"/>
        <v>2012</v>
      </c>
    </row>
    <row r="7359" spans="1:3">
      <c r="A7359" s="68">
        <v>40925</v>
      </c>
      <c r="B7359" s="32">
        <v>1841.31</v>
      </c>
      <c r="C7359">
        <f t="shared" si="144"/>
        <v>2012</v>
      </c>
    </row>
    <row r="7360" spans="1:3">
      <c r="A7360" s="68">
        <v>40926</v>
      </c>
      <c r="B7360" s="33">
        <v>1836.34</v>
      </c>
      <c r="C7360">
        <f t="shared" si="144"/>
        <v>2012</v>
      </c>
    </row>
    <row r="7361" spans="1:3">
      <c r="A7361" s="68">
        <v>40927</v>
      </c>
      <c r="B7361" s="32">
        <v>1827.24</v>
      </c>
      <c r="C7361">
        <f t="shared" si="144"/>
        <v>2012</v>
      </c>
    </row>
    <row r="7362" spans="1:3">
      <c r="A7362" s="68">
        <v>40928</v>
      </c>
      <c r="B7362" s="33">
        <v>1821.86</v>
      </c>
      <c r="C7362">
        <f t="shared" si="144"/>
        <v>2012</v>
      </c>
    </row>
    <row r="7363" spans="1:3">
      <c r="A7363" s="68">
        <v>40929</v>
      </c>
      <c r="B7363" s="32">
        <v>1828.75</v>
      </c>
      <c r="C7363">
        <f t="shared" si="144"/>
        <v>2012</v>
      </c>
    </row>
    <row r="7364" spans="1:3">
      <c r="A7364" s="68">
        <v>40930</v>
      </c>
      <c r="B7364" s="33">
        <v>1828.75</v>
      </c>
      <c r="C7364">
        <f t="shared" ref="C7364:C7427" si="145">YEAR(A7364)</f>
        <v>2012</v>
      </c>
    </row>
    <row r="7365" spans="1:3">
      <c r="A7365" s="68">
        <v>40931</v>
      </c>
      <c r="B7365" s="32">
        <v>1828.75</v>
      </c>
      <c r="C7365">
        <f t="shared" si="145"/>
        <v>2012</v>
      </c>
    </row>
    <row r="7366" spans="1:3">
      <c r="A7366" s="68">
        <v>40932</v>
      </c>
      <c r="B7366" s="33">
        <v>1811.55</v>
      </c>
      <c r="C7366">
        <f t="shared" si="145"/>
        <v>2012</v>
      </c>
    </row>
    <row r="7367" spans="1:3">
      <c r="A7367" s="68">
        <v>40933</v>
      </c>
      <c r="B7367" s="32">
        <v>1814.58</v>
      </c>
      <c r="C7367">
        <f t="shared" si="145"/>
        <v>2012</v>
      </c>
    </row>
    <row r="7368" spans="1:3">
      <c r="A7368" s="68">
        <v>40934</v>
      </c>
      <c r="B7368" s="33">
        <v>1814.69</v>
      </c>
      <c r="C7368">
        <f t="shared" si="145"/>
        <v>2012</v>
      </c>
    </row>
    <row r="7369" spans="1:3">
      <c r="A7369" s="68">
        <v>40935</v>
      </c>
      <c r="B7369" s="32">
        <v>1801.88</v>
      </c>
      <c r="C7369">
        <f t="shared" si="145"/>
        <v>2012</v>
      </c>
    </row>
    <row r="7370" spans="1:3">
      <c r="A7370" s="68">
        <v>40936</v>
      </c>
      <c r="B7370" s="33">
        <v>1810.55</v>
      </c>
      <c r="C7370">
        <f t="shared" si="145"/>
        <v>2012</v>
      </c>
    </row>
    <row r="7371" spans="1:3">
      <c r="A7371" s="68">
        <v>40937</v>
      </c>
      <c r="B7371" s="32">
        <v>1810.55</v>
      </c>
      <c r="C7371">
        <f t="shared" si="145"/>
        <v>2012</v>
      </c>
    </row>
    <row r="7372" spans="1:3">
      <c r="A7372" s="68">
        <v>40938</v>
      </c>
      <c r="B7372" s="33">
        <v>1810.55</v>
      </c>
      <c r="C7372">
        <f t="shared" si="145"/>
        <v>2012</v>
      </c>
    </row>
    <row r="7373" spans="1:3">
      <c r="A7373" s="68">
        <v>40939</v>
      </c>
      <c r="B7373" s="32">
        <v>1815.08</v>
      </c>
      <c r="C7373">
        <f t="shared" si="145"/>
        <v>2012</v>
      </c>
    </row>
    <row r="7374" spans="1:3">
      <c r="A7374" s="68">
        <v>40940</v>
      </c>
      <c r="B7374" s="33">
        <v>1805.98</v>
      </c>
      <c r="C7374">
        <f t="shared" si="145"/>
        <v>2012</v>
      </c>
    </row>
    <row r="7375" spans="1:3">
      <c r="A7375" s="68">
        <v>40941</v>
      </c>
      <c r="B7375" s="32">
        <v>1797.68</v>
      </c>
      <c r="C7375">
        <f t="shared" si="145"/>
        <v>2012</v>
      </c>
    </row>
    <row r="7376" spans="1:3">
      <c r="A7376" s="68">
        <v>40942</v>
      </c>
      <c r="B7376" s="33">
        <v>1795.55</v>
      </c>
      <c r="C7376">
        <f t="shared" si="145"/>
        <v>2012</v>
      </c>
    </row>
    <row r="7377" spans="1:3">
      <c r="A7377" s="68">
        <v>40943</v>
      </c>
      <c r="B7377" s="32">
        <v>1784.77</v>
      </c>
      <c r="C7377">
        <f t="shared" si="145"/>
        <v>2012</v>
      </c>
    </row>
    <row r="7378" spans="1:3">
      <c r="A7378" s="68">
        <v>40944</v>
      </c>
      <c r="B7378" s="33">
        <v>1784.77</v>
      </c>
      <c r="C7378">
        <f t="shared" si="145"/>
        <v>2012</v>
      </c>
    </row>
    <row r="7379" spans="1:3">
      <c r="A7379" s="68">
        <v>40945</v>
      </c>
      <c r="B7379" s="32">
        <v>1784.77</v>
      </c>
      <c r="C7379">
        <f t="shared" si="145"/>
        <v>2012</v>
      </c>
    </row>
    <row r="7380" spans="1:3">
      <c r="A7380" s="68">
        <v>40946</v>
      </c>
      <c r="B7380" s="33">
        <v>1787.96</v>
      </c>
      <c r="C7380">
        <f t="shared" si="145"/>
        <v>2012</v>
      </c>
    </row>
    <row r="7381" spans="1:3">
      <c r="A7381" s="68">
        <v>40947</v>
      </c>
      <c r="B7381" s="32">
        <v>1783.34</v>
      </c>
      <c r="C7381">
        <f t="shared" si="145"/>
        <v>2012</v>
      </c>
    </row>
    <row r="7382" spans="1:3">
      <c r="A7382" s="68">
        <v>40948</v>
      </c>
      <c r="B7382" s="33">
        <v>1778.9</v>
      </c>
      <c r="C7382">
        <f t="shared" si="145"/>
        <v>2012</v>
      </c>
    </row>
    <row r="7383" spans="1:3">
      <c r="A7383" s="68">
        <v>40949</v>
      </c>
      <c r="B7383" s="32">
        <v>1774.96</v>
      </c>
      <c r="C7383">
        <f t="shared" si="145"/>
        <v>2012</v>
      </c>
    </row>
    <row r="7384" spans="1:3">
      <c r="A7384" s="68">
        <v>40950</v>
      </c>
      <c r="B7384" s="33">
        <v>1785.59</v>
      </c>
      <c r="C7384">
        <f t="shared" si="145"/>
        <v>2012</v>
      </c>
    </row>
    <row r="7385" spans="1:3">
      <c r="A7385" s="68">
        <v>40951</v>
      </c>
      <c r="B7385" s="32">
        <v>1785.59</v>
      </c>
      <c r="C7385">
        <f t="shared" si="145"/>
        <v>2012</v>
      </c>
    </row>
    <row r="7386" spans="1:3">
      <c r="A7386" s="68">
        <v>40952</v>
      </c>
      <c r="B7386" s="33">
        <v>1785.59</v>
      </c>
      <c r="C7386">
        <f t="shared" si="145"/>
        <v>2012</v>
      </c>
    </row>
    <row r="7387" spans="1:3">
      <c r="A7387" s="68">
        <v>40953</v>
      </c>
      <c r="B7387" s="32">
        <v>1778.12</v>
      </c>
      <c r="C7387">
        <f t="shared" si="145"/>
        <v>2012</v>
      </c>
    </row>
    <row r="7388" spans="1:3">
      <c r="A7388" s="68">
        <v>40954</v>
      </c>
      <c r="B7388" s="33">
        <v>1785.24</v>
      </c>
      <c r="C7388">
        <f t="shared" si="145"/>
        <v>2012</v>
      </c>
    </row>
    <row r="7389" spans="1:3">
      <c r="A7389" s="68">
        <v>40955</v>
      </c>
      <c r="B7389" s="32">
        <v>1791.29</v>
      </c>
      <c r="C7389">
        <f t="shared" si="145"/>
        <v>2012</v>
      </c>
    </row>
    <row r="7390" spans="1:3">
      <c r="A7390" s="68">
        <v>40956</v>
      </c>
      <c r="B7390" s="33">
        <v>1792.92</v>
      </c>
      <c r="C7390">
        <f t="shared" si="145"/>
        <v>2012</v>
      </c>
    </row>
    <row r="7391" spans="1:3">
      <c r="A7391" s="68">
        <v>40957</v>
      </c>
      <c r="B7391" s="32">
        <v>1779.81</v>
      </c>
      <c r="C7391">
        <f t="shared" si="145"/>
        <v>2012</v>
      </c>
    </row>
    <row r="7392" spans="1:3">
      <c r="A7392" s="68">
        <v>40958</v>
      </c>
      <c r="B7392" s="33">
        <v>1779.81</v>
      </c>
      <c r="C7392">
        <f t="shared" si="145"/>
        <v>2012</v>
      </c>
    </row>
    <row r="7393" spans="1:3">
      <c r="A7393" s="68">
        <v>40959</v>
      </c>
      <c r="B7393" s="32">
        <v>1779.81</v>
      </c>
      <c r="C7393">
        <f t="shared" si="145"/>
        <v>2012</v>
      </c>
    </row>
    <row r="7394" spans="1:3">
      <c r="A7394" s="68">
        <v>40960</v>
      </c>
      <c r="B7394" s="33">
        <v>1779.81</v>
      </c>
      <c r="C7394">
        <f t="shared" si="145"/>
        <v>2012</v>
      </c>
    </row>
    <row r="7395" spans="1:3">
      <c r="A7395" s="68">
        <v>40961</v>
      </c>
      <c r="B7395" s="32">
        <v>1777.59</v>
      </c>
      <c r="C7395">
        <f t="shared" si="145"/>
        <v>2012</v>
      </c>
    </row>
    <row r="7396" spans="1:3">
      <c r="A7396" s="68">
        <v>40962</v>
      </c>
      <c r="B7396" s="33">
        <v>1781.57</v>
      </c>
      <c r="C7396">
        <f t="shared" si="145"/>
        <v>2012</v>
      </c>
    </row>
    <row r="7397" spans="1:3">
      <c r="A7397" s="68">
        <v>40963</v>
      </c>
      <c r="B7397" s="32">
        <v>1776.11</v>
      </c>
      <c r="C7397">
        <f t="shared" si="145"/>
        <v>2012</v>
      </c>
    </row>
    <row r="7398" spans="1:3">
      <c r="A7398" s="68">
        <v>40964</v>
      </c>
      <c r="B7398" s="33">
        <v>1772.42</v>
      </c>
      <c r="C7398">
        <f t="shared" si="145"/>
        <v>2012</v>
      </c>
    </row>
    <row r="7399" spans="1:3">
      <c r="A7399" s="68">
        <v>40965</v>
      </c>
      <c r="B7399" s="32">
        <v>1772.42</v>
      </c>
      <c r="C7399">
        <f t="shared" si="145"/>
        <v>2012</v>
      </c>
    </row>
    <row r="7400" spans="1:3">
      <c r="A7400" s="68">
        <v>40966</v>
      </c>
      <c r="B7400" s="33">
        <v>1772.42</v>
      </c>
      <c r="C7400">
        <f t="shared" si="145"/>
        <v>2012</v>
      </c>
    </row>
    <row r="7401" spans="1:3">
      <c r="A7401" s="68">
        <v>40967</v>
      </c>
      <c r="B7401" s="32">
        <v>1777.27</v>
      </c>
      <c r="C7401">
        <f t="shared" si="145"/>
        <v>2012</v>
      </c>
    </row>
    <row r="7402" spans="1:3">
      <c r="A7402" s="68">
        <v>40968</v>
      </c>
      <c r="B7402" s="33">
        <v>1767.83</v>
      </c>
      <c r="C7402">
        <f t="shared" si="145"/>
        <v>2012</v>
      </c>
    </row>
    <row r="7403" spans="1:3">
      <c r="A7403" s="68">
        <v>40969</v>
      </c>
      <c r="B7403" s="32">
        <v>1766.85</v>
      </c>
      <c r="C7403">
        <f t="shared" si="145"/>
        <v>2012</v>
      </c>
    </row>
    <row r="7404" spans="1:3">
      <c r="A7404" s="68">
        <v>40970</v>
      </c>
      <c r="B7404" s="33">
        <v>1770.7</v>
      </c>
      <c r="C7404">
        <f t="shared" si="145"/>
        <v>2012</v>
      </c>
    </row>
    <row r="7405" spans="1:3">
      <c r="A7405" s="68">
        <v>40971</v>
      </c>
      <c r="B7405" s="32">
        <v>1775.69</v>
      </c>
      <c r="C7405">
        <f t="shared" si="145"/>
        <v>2012</v>
      </c>
    </row>
    <row r="7406" spans="1:3">
      <c r="A7406" s="68">
        <v>40972</v>
      </c>
      <c r="B7406" s="33">
        <v>1775.69</v>
      </c>
      <c r="C7406">
        <f t="shared" si="145"/>
        <v>2012</v>
      </c>
    </row>
    <row r="7407" spans="1:3">
      <c r="A7407" s="68">
        <v>40973</v>
      </c>
      <c r="B7407" s="32">
        <v>1775.69</v>
      </c>
      <c r="C7407">
        <f t="shared" si="145"/>
        <v>2012</v>
      </c>
    </row>
    <row r="7408" spans="1:3">
      <c r="A7408" s="68">
        <v>40974</v>
      </c>
      <c r="B7408" s="33">
        <v>1774.03</v>
      </c>
      <c r="C7408">
        <f t="shared" si="145"/>
        <v>2012</v>
      </c>
    </row>
    <row r="7409" spans="1:3">
      <c r="A7409" s="68">
        <v>40975</v>
      </c>
      <c r="B7409" s="32">
        <v>1779.32</v>
      </c>
      <c r="C7409">
        <f t="shared" si="145"/>
        <v>2012</v>
      </c>
    </row>
    <row r="7410" spans="1:3">
      <c r="A7410" s="68">
        <v>40976</v>
      </c>
      <c r="B7410" s="33">
        <v>1773.88</v>
      </c>
      <c r="C7410">
        <f t="shared" si="145"/>
        <v>2012</v>
      </c>
    </row>
    <row r="7411" spans="1:3">
      <c r="A7411" s="68">
        <v>40977</v>
      </c>
      <c r="B7411" s="32">
        <v>1765.06</v>
      </c>
      <c r="C7411">
        <f t="shared" si="145"/>
        <v>2012</v>
      </c>
    </row>
    <row r="7412" spans="1:3">
      <c r="A7412" s="68">
        <v>40978</v>
      </c>
      <c r="B7412" s="33">
        <v>1762.08</v>
      </c>
      <c r="C7412">
        <f t="shared" si="145"/>
        <v>2012</v>
      </c>
    </row>
    <row r="7413" spans="1:3">
      <c r="A7413" s="68">
        <v>40979</v>
      </c>
      <c r="B7413" s="32">
        <v>1762.08</v>
      </c>
      <c r="C7413">
        <f t="shared" si="145"/>
        <v>2012</v>
      </c>
    </row>
    <row r="7414" spans="1:3">
      <c r="A7414" s="68">
        <v>40980</v>
      </c>
      <c r="B7414" s="33">
        <v>1762.08</v>
      </c>
      <c r="C7414">
        <f t="shared" si="145"/>
        <v>2012</v>
      </c>
    </row>
    <row r="7415" spans="1:3">
      <c r="A7415" s="68">
        <v>40981</v>
      </c>
      <c r="B7415" s="32">
        <v>1766.1</v>
      </c>
      <c r="C7415">
        <f t="shared" si="145"/>
        <v>2012</v>
      </c>
    </row>
    <row r="7416" spans="1:3">
      <c r="A7416" s="68">
        <v>40982</v>
      </c>
      <c r="B7416" s="33">
        <v>1760.77</v>
      </c>
      <c r="C7416">
        <f t="shared" si="145"/>
        <v>2012</v>
      </c>
    </row>
    <row r="7417" spans="1:3">
      <c r="A7417" s="68">
        <v>40983</v>
      </c>
      <c r="B7417" s="32">
        <v>1761.04</v>
      </c>
      <c r="C7417">
        <f t="shared" si="145"/>
        <v>2012</v>
      </c>
    </row>
    <row r="7418" spans="1:3">
      <c r="A7418" s="68">
        <v>40984</v>
      </c>
      <c r="B7418" s="33">
        <v>1761.02</v>
      </c>
      <c r="C7418">
        <f t="shared" si="145"/>
        <v>2012</v>
      </c>
    </row>
    <row r="7419" spans="1:3">
      <c r="A7419" s="68">
        <v>40985</v>
      </c>
      <c r="B7419" s="32">
        <v>1758.38</v>
      </c>
      <c r="C7419">
        <f t="shared" si="145"/>
        <v>2012</v>
      </c>
    </row>
    <row r="7420" spans="1:3">
      <c r="A7420" s="68">
        <v>40986</v>
      </c>
      <c r="B7420" s="33">
        <v>1758.38</v>
      </c>
      <c r="C7420">
        <f t="shared" si="145"/>
        <v>2012</v>
      </c>
    </row>
    <row r="7421" spans="1:3">
      <c r="A7421" s="68">
        <v>40987</v>
      </c>
      <c r="B7421" s="32">
        <v>1758.38</v>
      </c>
      <c r="C7421">
        <f t="shared" si="145"/>
        <v>2012</v>
      </c>
    </row>
    <row r="7422" spans="1:3">
      <c r="A7422" s="68">
        <v>40988</v>
      </c>
      <c r="B7422" s="33">
        <v>1758.38</v>
      </c>
      <c r="C7422">
        <f t="shared" si="145"/>
        <v>2012</v>
      </c>
    </row>
    <row r="7423" spans="1:3">
      <c r="A7423" s="68">
        <v>40989</v>
      </c>
      <c r="B7423" s="32">
        <v>1759.78</v>
      </c>
      <c r="C7423">
        <f t="shared" si="145"/>
        <v>2012</v>
      </c>
    </row>
    <row r="7424" spans="1:3">
      <c r="A7424" s="68">
        <v>40990</v>
      </c>
      <c r="B7424" s="33">
        <v>1758.03</v>
      </c>
      <c r="C7424">
        <f t="shared" si="145"/>
        <v>2012</v>
      </c>
    </row>
    <row r="7425" spans="1:3">
      <c r="A7425" s="68">
        <v>40991</v>
      </c>
      <c r="B7425" s="32">
        <v>1761.87</v>
      </c>
      <c r="C7425">
        <f t="shared" si="145"/>
        <v>2012</v>
      </c>
    </row>
    <row r="7426" spans="1:3">
      <c r="A7426" s="68">
        <v>40992</v>
      </c>
      <c r="B7426" s="33">
        <v>1760.17</v>
      </c>
      <c r="C7426">
        <f t="shared" si="145"/>
        <v>2012</v>
      </c>
    </row>
    <row r="7427" spans="1:3">
      <c r="A7427" s="68">
        <v>40993</v>
      </c>
      <c r="B7427" s="32">
        <v>1760.17</v>
      </c>
      <c r="C7427">
        <f t="shared" si="145"/>
        <v>2012</v>
      </c>
    </row>
    <row r="7428" spans="1:3">
      <c r="A7428" s="68">
        <v>40994</v>
      </c>
      <c r="B7428" s="33">
        <v>1760.17</v>
      </c>
      <c r="C7428">
        <f t="shared" ref="C7428:C7491" si="146">YEAR(A7428)</f>
        <v>2012</v>
      </c>
    </row>
    <row r="7429" spans="1:3">
      <c r="A7429" s="68">
        <v>40995</v>
      </c>
      <c r="B7429" s="32">
        <v>1759.58</v>
      </c>
      <c r="C7429">
        <f t="shared" si="146"/>
        <v>2012</v>
      </c>
    </row>
    <row r="7430" spans="1:3">
      <c r="A7430" s="68">
        <v>40996</v>
      </c>
      <c r="B7430" s="33">
        <v>1762.93</v>
      </c>
      <c r="C7430">
        <f t="shared" si="146"/>
        <v>2012</v>
      </c>
    </row>
    <row r="7431" spans="1:3">
      <c r="A7431" s="68">
        <v>40997</v>
      </c>
      <c r="B7431" s="32">
        <v>1771.25</v>
      </c>
      <c r="C7431">
        <f t="shared" si="146"/>
        <v>2012</v>
      </c>
    </row>
    <row r="7432" spans="1:3">
      <c r="A7432" s="68">
        <v>40998</v>
      </c>
      <c r="B7432" s="33">
        <v>1784.66</v>
      </c>
      <c r="C7432">
        <f t="shared" si="146"/>
        <v>2012</v>
      </c>
    </row>
    <row r="7433" spans="1:3">
      <c r="A7433" s="68">
        <v>40999</v>
      </c>
      <c r="B7433" s="32">
        <v>1792.07</v>
      </c>
      <c r="C7433">
        <f t="shared" si="146"/>
        <v>2012</v>
      </c>
    </row>
    <row r="7434" spans="1:3">
      <c r="A7434" s="68">
        <v>41000</v>
      </c>
      <c r="B7434" s="33">
        <v>1792.07</v>
      </c>
      <c r="C7434">
        <f t="shared" si="146"/>
        <v>2012</v>
      </c>
    </row>
    <row r="7435" spans="1:3">
      <c r="A7435" s="68">
        <v>41001</v>
      </c>
      <c r="B7435" s="32">
        <v>1792.07</v>
      </c>
      <c r="C7435">
        <f t="shared" si="146"/>
        <v>2012</v>
      </c>
    </row>
    <row r="7436" spans="1:3">
      <c r="A7436" s="68">
        <v>41002</v>
      </c>
      <c r="B7436" s="33">
        <v>1779.13</v>
      </c>
      <c r="C7436">
        <f t="shared" si="146"/>
        <v>2012</v>
      </c>
    </row>
    <row r="7437" spans="1:3">
      <c r="A7437" s="68">
        <v>41003</v>
      </c>
      <c r="B7437" s="32">
        <v>1767.84</v>
      </c>
      <c r="C7437">
        <f t="shared" si="146"/>
        <v>2012</v>
      </c>
    </row>
    <row r="7438" spans="1:3">
      <c r="A7438" s="68">
        <v>41004</v>
      </c>
      <c r="B7438" s="33">
        <v>1772.58</v>
      </c>
      <c r="C7438">
        <f t="shared" si="146"/>
        <v>2012</v>
      </c>
    </row>
    <row r="7439" spans="1:3">
      <c r="A7439" s="68">
        <v>41005</v>
      </c>
      <c r="B7439" s="32">
        <v>1772.58</v>
      </c>
      <c r="C7439">
        <f t="shared" si="146"/>
        <v>2012</v>
      </c>
    </row>
    <row r="7440" spans="1:3">
      <c r="A7440" s="68">
        <v>41006</v>
      </c>
      <c r="B7440" s="33">
        <v>1772.58</v>
      </c>
      <c r="C7440">
        <f t="shared" si="146"/>
        <v>2012</v>
      </c>
    </row>
    <row r="7441" spans="1:3">
      <c r="A7441" s="68">
        <v>41007</v>
      </c>
      <c r="B7441" s="32">
        <v>1772.58</v>
      </c>
      <c r="C7441">
        <f t="shared" si="146"/>
        <v>2012</v>
      </c>
    </row>
    <row r="7442" spans="1:3">
      <c r="A7442" s="68">
        <v>41008</v>
      </c>
      <c r="B7442" s="33">
        <v>1772.58</v>
      </c>
      <c r="C7442">
        <f t="shared" si="146"/>
        <v>2012</v>
      </c>
    </row>
    <row r="7443" spans="1:3">
      <c r="A7443" s="68">
        <v>41009</v>
      </c>
      <c r="B7443" s="32">
        <v>1779.53</v>
      </c>
      <c r="C7443">
        <f t="shared" si="146"/>
        <v>2012</v>
      </c>
    </row>
    <row r="7444" spans="1:3">
      <c r="A7444" s="68">
        <v>41010</v>
      </c>
      <c r="B7444" s="33">
        <v>1793.3</v>
      </c>
      <c r="C7444">
        <f t="shared" si="146"/>
        <v>2012</v>
      </c>
    </row>
    <row r="7445" spans="1:3">
      <c r="A7445" s="68">
        <v>41011</v>
      </c>
      <c r="B7445" s="32">
        <v>1787.66</v>
      </c>
      <c r="C7445">
        <f t="shared" si="146"/>
        <v>2012</v>
      </c>
    </row>
    <row r="7446" spans="1:3">
      <c r="A7446" s="68">
        <v>41012</v>
      </c>
      <c r="B7446" s="33">
        <v>1778.78</v>
      </c>
      <c r="C7446">
        <f t="shared" si="146"/>
        <v>2012</v>
      </c>
    </row>
    <row r="7447" spans="1:3">
      <c r="A7447" s="68">
        <v>41013</v>
      </c>
      <c r="B7447" s="32">
        <v>1777.12</v>
      </c>
      <c r="C7447">
        <f t="shared" si="146"/>
        <v>2012</v>
      </c>
    </row>
    <row r="7448" spans="1:3">
      <c r="A7448" s="68">
        <v>41014</v>
      </c>
      <c r="B7448" s="33">
        <v>1777.12</v>
      </c>
      <c r="C7448">
        <f t="shared" si="146"/>
        <v>2012</v>
      </c>
    </row>
    <row r="7449" spans="1:3">
      <c r="A7449" s="68">
        <v>41015</v>
      </c>
      <c r="B7449" s="32">
        <v>1777.12</v>
      </c>
      <c r="C7449">
        <f t="shared" si="146"/>
        <v>2012</v>
      </c>
    </row>
    <row r="7450" spans="1:3">
      <c r="A7450" s="68">
        <v>41016</v>
      </c>
      <c r="B7450" s="33">
        <v>1775.67</v>
      </c>
      <c r="C7450">
        <f t="shared" si="146"/>
        <v>2012</v>
      </c>
    </row>
    <row r="7451" spans="1:3">
      <c r="A7451" s="68">
        <v>41017</v>
      </c>
      <c r="B7451" s="32">
        <v>1769.07</v>
      </c>
      <c r="C7451">
        <f t="shared" si="146"/>
        <v>2012</v>
      </c>
    </row>
    <row r="7452" spans="1:3">
      <c r="A7452" s="68">
        <v>41018</v>
      </c>
      <c r="B7452" s="33">
        <v>1774.21</v>
      </c>
      <c r="C7452">
        <f t="shared" si="146"/>
        <v>2012</v>
      </c>
    </row>
    <row r="7453" spans="1:3">
      <c r="A7453" s="68">
        <v>41019</v>
      </c>
      <c r="B7453" s="32">
        <v>1776.06</v>
      </c>
      <c r="C7453">
        <f t="shared" si="146"/>
        <v>2012</v>
      </c>
    </row>
    <row r="7454" spans="1:3">
      <c r="A7454" s="68">
        <v>41020</v>
      </c>
      <c r="B7454" s="33">
        <v>1771.13</v>
      </c>
      <c r="C7454">
        <f t="shared" si="146"/>
        <v>2012</v>
      </c>
    </row>
    <row r="7455" spans="1:3">
      <c r="A7455" s="68">
        <v>41021</v>
      </c>
      <c r="B7455" s="32">
        <v>1771.13</v>
      </c>
      <c r="C7455">
        <f t="shared" si="146"/>
        <v>2012</v>
      </c>
    </row>
    <row r="7456" spans="1:3">
      <c r="A7456" s="68">
        <v>41022</v>
      </c>
      <c r="B7456" s="33">
        <v>1771.13</v>
      </c>
      <c r="C7456">
        <f t="shared" si="146"/>
        <v>2012</v>
      </c>
    </row>
    <row r="7457" spans="1:3">
      <c r="A7457" s="68">
        <v>41023</v>
      </c>
      <c r="B7457" s="32">
        <v>1774.44</v>
      </c>
      <c r="C7457">
        <f t="shared" si="146"/>
        <v>2012</v>
      </c>
    </row>
    <row r="7458" spans="1:3">
      <c r="A7458" s="68">
        <v>41024</v>
      </c>
      <c r="B7458" s="33">
        <v>1767.91</v>
      </c>
      <c r="C7458">
        <f t="shared" si="146"/>
        <v>2012</v>
      </c>
    </row>
    <row r="7459" spans="1:3">
      <c r="A7459" s="68">
        <v>41025</v>
      </c>
      <c r="B7459" s="32">
        <v>1763.85</v>
      </c>
      <c r="C7459">
        <f t="shared" si="146"/>
        <v>2012</v>
      </c>
    </row>
    <row r="7460" spans="1:3">
      <c r="A7460" s="68">
        <v>41026</v>
      </c>
      <c r="B7460" s="33">
        <v>1764.63</v>
      </c>
      <c r="C7460">
        <f t="shared" si="146"/>
        <v>2012</v>
      </c>
    </row>
    <row r="7461" spans="1:3">
      <c r="A7461" s="68">
        <v>41027</v>
      </c>
      <c r="B7461" s="32">
        <v>1761.2</v>
      </c>
      <c r="C7461">
        <f t="shared" si="146"/>
        <v>2012</v>
      </c>
    </row>
    <row r="7462" spans="1:3">
      <c r="A7462" s="68">
        <v>41028</v>
      </c>
      <c r="B7462" s="33">
        <v>1761.2</v>
      </c>
      <c r="C7462">
        <f t="shared" si="146"/>
        <v>2012</v>
      </c>
    </row>
    <row r="7463" spans="1:3">
      <c r="A7463" s="68">
        <v>41029</v>
      </c>
      <c r="B7463" s="32">
        <v>1761.2</v>
      </c>
      <c r="C7463">
        <f t="shared" si="146"/>
        <v>2012</v>
      </c>
    </row>
    <row r="7464" spans="1:3">
      <c r="A7464" s="68">
        <v>41030</v>
      </c>
      <c r="B7464" s="33">
        <v>1764</v>
      </c>
      <c r="C7464">
        <f t="shared" si="146"/>
        <v>2012</v>
      </c>
    </row>
    <row r="7465" spans="1:3">
      <c r="A7465" s="68">
        <v>41031</v>
      </c>
      <c r="B7465" s="32">
        <v>1764</v>
      </c>
      <c r="C7465">
        <f t="shared" si="146"/>
        <v>2012</v>
      </c>
    </row>
    <row r="7466" spans="1:3">
      <c r="A7466" s="68">
        <v>41032</v>
      </c>
      <c r="B7466" s="33">
        <v>1760.12</v>
      </c>
      <c r="C7466">
        <f t="shared" si="146"/>
        <v>2012</v>
      </c>
    </row>
    <row r="7467" spans="1:3">
      <c r="A7467" s="68">
        <v>41033</v>
      </c>
      <c r="B7467" s="32">
        <v>1754.89</v>
      </c>
      <c r="C7467">
        <f t="shared" si="146"/>
        <v>2012</v>
      </c>
    </row>
    <row r="7468" spans="1:3">
      <c r="A7468" s="68">
        <v>41034</v>
      </c>
      <c r="B7468" s="33">
        <v>1757.24</v>
      </c>
      <c r="C7468">
        <f t="shared" si="146"/>
        <v>2012</v>
      </c>
    </row>
    <row r="7469" spans="1:3">
      <c r="A7469" s="68">
        <v>41035</v>
      </c>
      <c r="B7469" s="32">
        <v>1757.24</v>
      </c>
      <c r="C7469">
        <f t="shared" si="146"/>
        <v>2012</v>
      </c>
    </row>
    <row r="7470" spans="1:3">
      <c r="A7470" s="68">
        <v>41036</v>
      </c>
      <c r="B7470" s="33">
        <v>1757.24</v>
      </c>
      <c r="C7470">
        <f t="shared" si="146"/>
        <v>2012</v>
      </c>
    </row>
    <row r="7471" spans="1:3">
      <c r="A7471" s="68">
        <v>41037</v>
      </c>
      <c r="B7471" s="32">
        <v>1759.12</v>
      </c>
      <c r="C7471">
        <f t="shared" si="146"/>
        <v>2012</v>
      </c>
    </row>
    <row r="7472" spans="1:3">
      <c r="A7472" s="68">
        <v>41038</v>
      </c>
      <c r="B7472" s="33">
        <v>1760.6</v>
      </c>
      <c r="C7472">
        <f t="shared" si="146"/>
        <v>2012</v>
      </c>
    </row>
    <row r="7473" spans="1:3">
      <c r="A7473" s="68">
        <v>41039</v>
      </c>
      <c r="B7473" s="32">
        <v>1775.96</v>
      </c>
      <c r="C7473">
        <f t="shared" si="146"/>
        <v>2012</v>
      </c>
    </row>
    <row r="7474" spans="1:3">
      <c r="A7474" s="68">
        <v>41040</v>
      </c>
      <c r="B7474" s="33">
        <v>1765</v>
      </c>
      <c r="C7474">
        <f t="shared" si="146"/>
        <v>2012</v>
      </c>
    </row>
    <row r="7475" spans="1:3">
      <c r="A7475" s="68">
        <v>41041</v>
      </c>
      <c r="B7475" s="32">
        <v>1764.69</v>
      </c>
      <c r="C7475">
        <f t="shared" si="146"/>
        <v>2012</v>
      </c>
    </row>
    <row r="7476" spans="1:3">
      <c r="A7476" s="68">
        <v>41042</v>
      </c>
      <c r="B7476" s="33">
        <v>1764.69</v>
      </c>
      <c r="C7476">
        <f t="shared" si="146"/>
        <v>2012</v>
      </c>
    </row>
    <row r="7477" spans="1:3">
      <c r="A7477" s="68">
        <v>41043</v>
      </c>
      <c r="B7477" s="32">
        <v>1764.69</v>
      </c>
      <c r="C7477">
        <f t="shared" si="146"/>
        <v>2012</v>
      </c>
    </row>
    <row r="7478" spans="1:3">
      <c r="A7478" s="68">
        <v>41044</v>
      </c>
      <c r="B7478" s="33">
        <v>1771.6</v>
      </c>
      <c r="C7478">
        <f t="shared" si="146"/>
        <v>2012</v>
      </c>
    </row>
    <row r="7479" spans="1:3">
      <c r="A7479" s="68">
        <v>41045</v>
      </c>
      <c r="B7479" s="32">
        <v>1778.37</v>
      </c>
      <c r="C7479">
        <f t="shared" si="146"/>
        <v>2012</v>
      </c>
    </row>
    <row r="7480" spans="1:3">
      <c r="A7480" s="68">
        <v>41046</v>
      </c>
      <c r="B7480" s="33">
        <v>1793.61</v>
      </c>
      <c r="C7480">
        <f t="shared" si="146"/>
        <v>2012</v>
      </c>
    </row>
    <row r="7481" spans="1:3">
      <c r="A7481" s="68">
        <v>41047</v>
      </c>
      <c r="B7481" s="32">
        <v>1804.92</v>
      </c>
      <c r="C7481">
        <f t="shared" si="146"/>
        <v>2012</v>
      </c>
    </row>
    <row r="7482" spans="1:3">
      <c r="A7482" s="68">
        <v>41048</v>
      </c>
      <c r="B7482" s="33">
        <v>1814.46</v>
      </c>
      <c r="C7482">
        <f t="shared" si="146"/>
        <v>2012</v>
      </c>
    </row>
    <row r="7483" spans="1:3">
      <c r="A7483" s="68">
        <v>41049</v>
      </c>
      <c r="B7483" s="32">
        <v>1814.46</v>
      </c>
      <c r="C7483">
        <f t="shared" si="146"/>
        <v>2012</v>
      </c>
    </row>
    <row r="7484" spans="1:3">
      <c r="A7484" s="68">
        <v>41050</v>
      </c>
      <c r="B7484" s="33">
        <v>1814.46</v>
      </c>
      <c r="C7484">
        <f t="shared" si="146"/>
        <v>2012</v>
      </c>
    </row>
    <row r="7485" spans="1:3">
      <c r="A7485" s="68">
        <v>41051</v>
      </c>
      <c r="B7485" s="32">
        <v>1814.46</v>
      </c>
      <c r="C7485">
        <f t="shared" si="146"/>
        <v>2012</v>
      </c>
    </row>
    <row r="7486" spans="1:3">
      <c r="A7486" s="68">
        <v>41052</v>
      </c>
      <c r="B7486" s="33">
        <v>1824.73</v>
      </c>
      <c r="C7486">
        <f t="shared" si="146"/>
        <v>2012</v>
      </c>
    </row>
    <row r="7487" spans="1:3">
      <c r="A7487" s="68">
        <v>41053</v>
      </c>
      <c r="B7487" s="32">
        <v>1845.17</v>
      </c>
      <c r="C7487">
        <f t="shared" si="146"/>
        <v>2012</v>
      </c>
    </row>
    <row r="7488" spans="1:3">
      <c r="A7488" s="68">
        <v>41054</v>
      </c>
      <c r="B7488" s="33">
        <v>1836.45</v>
      </c>
      <c r="C7488">
        <f t="shared" si="146"/>
        <v>2012</v>
      </c>
    </row>
    <row r="7489" spans="1:3">
      <c r="A7489" s="68">
        <v>41055</v>
      </c>
      <c r="B7489" s="32">
        <v>1840.69</v>
      </c>
      <c r="C7489">
        <f t="shared" si="146"/>
        <v>2012</v>
      </c>
    </row>
    <row r="7490" spans="1:3">
      <c r="A7490" s="68">
        <v>41056</v>
      </c>
      <c r="B7490" s="33">
        <v>1840.69</v>
      </c>
      <c r="C7490">
        <f t="shared" si="146"/>
        <v>2012</v>
      </c>
    </row>
    <row r="7491" spans="1:3">
      <c r="A7491" s="68">
        <v>41057</v>
      </c>
      <c r="B7491" s="32">
        <v>1840.69</v>
      </c>
      <c r="C7491">
        <f t="shared" si="146"/>
        <v>2012</v>
      </c>
    </row>
    <row r="7492" spans="1:3">
      <c r="A7492" s="68">
        <v>41058</v>
      </c>
      <c r="B7492" s="33">
        <v>1840.69</v>
      </c>
      <c r="C7492">
        <f t="shared" ref="C7492:C7555" si="147">YEAR(A7492)</f>
        <v>2012</v>
      </c>
    </row>
    <row r="7493" spans="1:3">
      <c r="A7493" s="68">
        <v>41059</v>
      </c>
      <c r="B7493" s="32">
        <v>1818.82</v>
      </c>
      <c r="C7493">
        <f t="shared" si="147"/>
        <v>2012</v>
      </c>
    </row>
    <row r="7494" spans="1:3">
      <c r="A7494" s="68">
        <v>41060</v>
      </c>
      <c r="B7494" s="33">
        <v>1827.83</v>
      </c>
      <c r="C7494">
        <f t="shared" si="147"/>
        <v>2012</v>
      </c>
    </row>
    <row r="7495" spans="1:3">
      <c r="A7495" s="68">
        <v>41061</v>
      </c>
      <c r="B7495" s="32">
        <v>1833.8</v>
      </c>
      <c r="C7495">
        <f t="shared" si="147"/>
        <v>2012</v>
      </c>
    </row>
    <row r="7496" spans="1:3">
      <c r="A7496" s="68">
        <v>41062</v>
      </c>
      <c r="B7496" s="33">
        <v>1834.71</v>
      </c>
      <c r="C7496">
        <f t="shared" si="147"/>
        <v>2012</v>
      </c>
    </row>
    <row r="7497" spans="1:3">
      <c r="A7497" s="68">
        <v>41063</v>
      </c>
      <c r="B7497" s="32">
        <v>1834.71</v>
      </c>
      <c r="C7497">
        <f t="shared" si="147"/>
        <v>2012</v>
      </c>
    </row>
    <row r="7498" spans="1:3">
      <c r="A7498" s="68">
        <v>41064</v>
      </c>
      <c r="B7498" s="33">
        <v>1834.71</v>
      </c>
      <c r="C7498">
        <f t="shared" si="147"/>
        <v>2012</v>
      </c>
    </row>
    <row r="7499" spans="1:3">
      <c r="A7499" s="68">
        <v>41065</v>
      </c>
      <c r="B7499" s="32">
        <v>1815.54</v>
      </c>
      <c r="C7499">
        <f t="shared" si="147"/>
        <v>2012</v>
      </c>
    </row>
    <row r="7500" spans="1:3">
      <c r="A7500" s="68">
        <v>41066</v>
      </c>
      <c r="B7500" s="33">
        <v>1798.85</v>
      </c>
      <c r="C7500">
        <f t="shared" si="147"/>
        <v>2012</v>
      </c>
    </row>
    <row r="7501" spans="1:3">
      <c r="A7501" s="68">
        <v>41067</v>
      </c>
      <c r="B7501" s="32">
        <v>1782.89</v>
      </c>
      <c r="C7501">
        <f t="shared" si="147"/>
        <v>2012</v>
      </c>
    </row>
    <row r="7502" spans="1:3">
      <c r="A7502" s="68">
        <v>41068</v>
      </c>
      <c r="B7502" s="33">
        <v>1766.91</v>
      </c>
      <c r="C7502">
        <f t="shared" si="147"/>
        <v>2012</v>
      </c>
    </row>
    <row r="7503" spans="1:3">
      <c r="A7503" s="68">
        <v>41069</v>
      </c>
      <c r="B7503" s="32">
        <v>1776.26</v>
      </c>
      <c r="C7503">
        <f t="shared" si="147"/>
        <v>2012</v>
      </c>
    </row>
    <row r="7504" spans="1:3">
      <c r="A7504" s="68">
        <v>41070</v>
      </c>
      <c r="B7504" s="33">
        <v>1776.26</v>
      </c>
      <c r="C7504">
        <f t="shared" si="147"/>
        <v>2012</v>
      </c>
    </row>
    <row r="7505" spans="1:3">
      <c r="A7505" s="68">
        <v>41071</v>
      </c>
      <c r="B7505" s="32">
        <v>1776.26</v>
      </c>
      <c r="C7505">
        <f t="shared" si="147"/>
        <v>2012</v>
      </c>
    </row>
    <row r="7506" spans="1:3">
      <c r="A7506" s="68">
        <v>41072</v>
      </c>
      <c r="B7506" s="33">
        <v>1776.26</v>
      </c>
      <c r="C7506">
        <f t="shared" si="147"/>
        <v>2012</v>
      </c>
    </row>
    <row r="7507" spans="1:3">
      <c r="A7507" s="68">
        <v>41073</v>
      </c>
      <c r="B7507" s="32">
        <v>1776.47</v>
      </c>
      <c r="C7507">
        <f t="shared" si="147"/>
        <v>2012</v>
      </c>
    </row>
    <row r="7508" spans="1:3">
      <c r="A7508" s="68">
        <v>41074</v>
      </c>
      <c r="B7508" s="33">
        <v>1783.45</v>
      </c>
      <c r="C7508">
        <f t="shared" si="147"/>
        <v>2012</v>
      </c>
    </row>
    <row r="7509" spans="1:3">
      <c r="A7509" s="68">
        <v>41075</v>
      </c>
      <c r="B7509" s="32">
        <v>1787.63</v>
      </c>
      <c r="C7509">
        <f t="shared" si="147"/>
        <v>2012</v>
      </c>
    </row>
    <row r="7510" spans="1:3">
      <c r="A7510" s="68">
        <v>41076</v>
      </c>
      <c r="B7510" s="33">
        <v>1786.21</v>
      </c>
      <c r="C7510">
        <f t="shared" si="147"/>
        <v>2012</v>
      </c>
    </row>
    <row r="7511" spans="1:3">
      <c r="A7511" s="68">
        <v>41077</v>
      </c>
      <c r="B7511" s="32">
        <v>1786.21</v>
      </c>
      <c r="C7511">
        <f t="shared" si="147"/>
        <v>2012</v>
      </c>
    </row>
    <row r="7512" spans="1:3">
      <c r="A7512" s="68">
        <v>41078</v>
      </c>
      <c r="B7512" s="33">
        <v>1786.21</v>
      </c>
      <c r="C7512">
        <f t="shared" si="147"/>
        <v>2012</v>
      </c>
    </row>
    <row r="7513" spans="1:3">
      <c r="A7513" s="68">
        <v>41079</v>
      </c>
      <c r="B7513" s="32">
        <v>1786.21</v>
      </c>
      <c r="C7513">
        <f t="shared" si="147"/>
        <v>2012</v>
      </c>
    </row>
    <row r="7514" spans="1:3">
      <c r="A7514" s="68">
        <v>41080</v>
      </c>
      <c r="B7514" s="33">
        <v>1773.18</v>
      </c>
      <c r="C7514">
        <f t="shared" si="147"/>
        <v>2012</v>
      </c>
    </row>
    <row r="7515" spans="1:3">
      <c r="A7515" s="68">
        <v>41081</v>
      </c>
      <c r="B7515" s="32">
        <v>1770.38</v>
      </c>
      <c r="C7515">
        <f t="shared" si="147"/>
        <v>2012</v>
      </c>
    </row>
    <row r="7516" spans="1:3">
      <c r="A7516" s="68">
        <v>41082</v>
      </c>
      <c r="B7516" s="33">
        <v>1775.99</v>
      </c>
      <c r="C7516">
        <f t="shared" si="147"/>
        <v>2012</v>
      </c>
    </row>
    <row r="7517" spans="1:3">
      <c r="A7517" s="68">
        <v>41083</v>
      </c>
      <c r="B7517" s="32">
        <v>1787.47</v>
      </c>
      <c r="C7517">
        <f t="shared" si="147"/>
        <v>2012</v>
      </c>
    </row>
    <row r="7518" spans="1:3">
      <c r="A7518" s="68">
        <v>41084</v>
      </c>
      <c r="B7518" s="33">
        <v>1787.47</v>
      </c>
      <c r="C7518">
        <f t="shared" si="147"/>
        <v>2012</v>
      </c>
    </row>
    <row r="7519" spans="1:3">
      <c r="A7519" s="68">
        <v>41085</v>
      </c>
      <c r="B7519" s="32">
        <v>1787.47</v>
      </c>
      <c r="C7519">
        <f t="shared" si="147"/>
        <v>2012</v>
      </c>
    </row>
    <row r="7520" spans="1:3">
      <c r="A7520" s="68">
        <v>41086</v>
      </c>
      <c r="B7520" s="33">
        <v>1803.37</v>
      </c>
      <c r="C7520">
        <f t="shared" si="147"/>
        <v>2012</v>
      </c>
    </row>
    <row r="7521" spans="1:3">
      <c r="A7521" s="68">
        <v>41087</v>
      </c>
      <c r="B7521" s="32">
        <v>1805.14</v>
      </c>
      <c r="C7521">
        <f t="shared" si="147"/>
        <v>2012</v>
      </c>
    </row>
    <row r="7522" spans="1:3">
      <c r="A7522" s="68">
        <v>41088</v>
      </c>
      <c r="B7522" s="33">
        <v>1796.18</v>
      </c>
      <c r="C7522">
        <f t="shared" si="147"/>
        <v>2012</v>
      </c>
    </row>
    <row r="7523" spans="1:3">
      <c r="A7523" s="68">
        <v>41089</v>
      </c>
      <c r="B7523" s="32">
        <v>1805.6</v>
      </c>
      <c r="C7523">
        <f t="shared" si="147"/>
        <v>2012</v>
      </c>
    </row>
    <row r="7524" spans="1:3">
      <c r="A7524" s="68">
        <v>41090</v>
      </c>
      <c r="B7524" s="33">
        <v>1784.6</v>
      </c>
      <c r="C7524">
        <f t="shared" si="147"/>
        <v>2012</v>
      </c>
    </row>
    <row r="7525" spans="1:3">
      <c r="A7525" s="68">
        <v>41091</v>
      </c>
      <c r="B7525" s="32">
        <v>1784.6</v>
      </c>
      <c r="C7525">
        <f t="shared" si="147"/>
        <v>2012</v>
      </c>
    </row>
    <row r="7526" spans="1:3">
      <c r="A7526" s="68">
        <v>41092</v>
      </c>
      <c r="B7526" s="33">
        <v>1784.6</v>
      </c>
      <c r="C7526">
        <f t="shared" si="147"/>
        <v>2012</v>
      </c>
    </row>
    <row r="7527" spans="1:3">
      <c r="A7527" s="68">
        <v>41093</v>
      </c>
      <c r="B7527" s="32">
        <v>1784.6</v>
      </c>
      <c r="C7527">
        <f t="shared" si="147"/>
        <v>2012</v>
      </c>
    </row>
    <row r="7528" spans="1:3">
      <c r="A7528" s="68">
        <v>41094</v>
      </c>
      <c r="B7528" s="33">
        <v>1771.53</v>
      </c>
      <c r="C7528">
        <f t="shared" si="147"/>
        <v>2012</v>
      </c>
    </row>
    <row r="7529" spans="1:3">
      <c r="A7529" s="68">
        <v>41095</v>
      </c>
      <c r="B7529" s="32">
        <v>1771.53</v>
      </c>
      <c r="C7529">
        <f t="shared" si="147"/>
        <v>2012</v>
      </c>
    </row>
    <row r="7530" spans="1:3">
      <c r="A7530" s="68">
        <v>41096</v>
      </c>
      <c r="B7530" s="33">
        <v>1774.37</v>
      </c>
      <c r="C7530">
        <f t="shared" si="147"/>
        <v>2012</v>
      </c>
    </row>
    <row r="7531" spans="1:3">
      <c r="A7531" s="68">
        <v>41097</v>
      </c>
      <c r="B7531" s="32">
        <v>1785.25</v>
      </c>
      <c r="C7531">
        <f t="shared" si="147"/>
        <v>2012</v>
      </c>
    </row>
    <row r="7532" spans="1:3">
      <c r="A7532" s="68">
        <v>41098</v>
      </c>
      <c r="B7532" s="33">
        <v>1785.25</v>
      </c>
      <c r="C7532">
        <f t="shared" si="147"/>
        <v>2012</v>
      </c>
    </row>
    <row r="7533" spans="1:3">
      <c r="A7533" s="68">
        <v>41099</v>
      </c>
      <c r="B7533" s="32">
        <v>1785.25</v>
      </c>
      <c r="C7533">
        <f t="shared" si="147"/>
        <v>2012</v>
      </c>
    </row>
    <row r="7534" spans="1:3">
      <c r="A7534" s="68">
        <v>41100</v>
      </c>
      <c r="B7534" s="33">
        <v>1790.25</v>
      </c>
      <c r="C7534">
        <f t="shared" si="147"/>
        <v>2012</v>
      </c>
    </row>
    <row r="7535" spans="1:3">
      <c r="A7535" s="68">
        <v>41101</v>
      </c>
      <c r="B7535" s="32">
        <v>1785.06</v>
      </c>
      <c r="C7535">
        <f t="shared" si="147"/>
        <v>2012</v>
      </c>
    </row>
    <row r="7536" spans="1:3">
      <c r="A7536" s="68">
        <v>41102</v>
      </c>
      <c r="B7536" s="33">
        <v>1787.72</v>
      </c>
      <c r="C7536">
        <f t="shared" si="147"/>
        <v>2012</v>
      </c>
    </row>
    <row r="7537" spans="1:3">
      <c r="A7537" s="68">
        <v>41103</v>
      </c>
      <c r="B7537" s="32">
        <v>1790.12</v>
      </c>
      <c r="C7537">
        <f t="shared" si="147"/>
        <v>2012</v>
      </c>
    </row>
    <row r="7538" spans="1:3">
      <c r="A7538" s="68">
        <v>41104</v>
      </c>
      <c r="B7538" s="33">
        <v>1780.21</v>
      </c>
      <c r="C7538">
        <f t="shared" si="147"/>
        <v>2012</v>
      </c>
    </row>
    <row r="7539" spans="1:3">
      <c r="A7539" s="68">
        <v>41105</v>
      </c>
      <c r="B7539" s="32">
        <v>1780.21</v>
      </c>
      <c r="C7539">
        <f t="shared" si="147"/>
        <v>2012</v>
      </c>
    </row>
    <row r="7540" spans="1:3">
      <c r="A7540" s="68">
        <v>41106</v>
      </c>
      <c r="B7540" s="33">
        <v>1780.21</v>
      </c>
      <c r="C7540">
        <f t="shared" si="147"/>
        <v>2012</v>
      </c>
    </row>
    <row r="7541" spans="1:3">
      <c r="A7541" s="68">
        <v>41107</v>
      </c>
      <c r="B7541" s="32">
        <v>1778.42</v>
      </c>
      <c r="C7541">
        <f t="shared" si="147"/>
        <v>2012</v>
      </c>
    </row>
    <row r="7542" spans="1:3">
      <c r="A7542" s="68">
        <v>41108</v>
      </c>
      <c r="B7542" s="33">
        <v>1778.97</v>
      </c>
      <c r="C7542">
        <f t="shared" si="147"/>
        <v>2012</v>
      </c>
    </row>
    <row r="7543" spans="1:3">
      <c r="A7543" s="68">
        <v>41109</v>
      </c>
      <c r="B7543" s="32">
        <v>1778.28</v>
      </c>
      <c r="C7543">
        <f t="shared" si="147"/>
        <v>2012</v>
      </c>
    </row>
    <row r="7544" spans="1:3">
      <c r="A7544" s="68">
        <v>41110</v>
      </c>
      <c r="B7544" s="33">
        <v>1775.8</v>
      </c>
      <c r="C7544">
        <f t="shared" si="147"/>
        <v>2012</v>
      </c>
    </row>
    <row r="7545" spans="1:3">
      <c r="A7545" s="68">
        <v>41111</v>
      </c>
      <c r="B7545" s="32">
        <v>1775.8</v>
      </c>
      <c r="C7545">
        <f t="shared" si="147"/>
        <v>2012</v>
      </c>
    </row>
    <row r="7546" spans="1:3">
      <c r="A7546" s="68">
        <v>41112</v>
      </c>
      <c r="B7546" s="33">
        <v>1775.8</v>
      </c>
      <c r="C7546">
        <f t="shared" si="147"/>
        <v>2012</v>
      </c>
    </row>
    <row r="7547" spans="1:3">
      <c r="A7547" s="68">
        <v>41113</v>
      </c>
      <c r="B7547" s="32">
        <v>1775.8</v>
      </c>
      <c r="C7547">
        <f t="shared" si="147"/>
        <v>2012</v>
      </c>
    </row>
    <row r="7548" spans="1:3">
      <c r="A7548" s="68">
        <v>41114</v>
      </c>
      <c r="B7548" s="33">
        <v>1790.39</v>
      </c>
      <c r="C7548">
        <f t="shared" si="147"/>
        <v>2012</v>
      </c>
    </row>
    <row r="7549" spans="1:3">
      <c r="A7549" s="68">
        <v>41115</v>
      </c>
      <c r="B7549" s="32">
        <v>1797.33</v>
      </c>
      <c r="C7549">
        <f t="shared" si="147"/>
        <v>2012</v>
      </c>
    </row>
    <row r="7550" spans="1:3">
      <c r="A7550" s="68">
        <v>41116</v>
      </c>
      <c r="B7550" s="33">
        <v>1799.48</v>
      </c>
      <c r="C7550">
        <f t="shared" si="147"/>
        <v>2012</v>
      </c>
    </row>
    <row r="7551" spans="1:3">
      <c r="A7551" s="68">
        <v>41117</v>
      </c>
      <c r="B7551" s="32">
        <v>1789.22</v>
      </c>
      <c r="C7551">
        <f t="shared" si="147"/>
        <v>2012</v>
      </c>
    </row>
    <row r="7552" spans="1:3">
      <c r="A7552" s="68">
        <v>41118</v>
      </c>
      <c r="B7552" s="33">
        <v>1791.12</v>
      </c>
      <c r="C7552">
        <f t="shared" si="147"/>
        <v>2012</v>
      </c>
    </row>
    <row r="7553" spans="1:3">
      <c r="A7553" s="68">
        <v>41119</v>
      </c>
      <c r="B7553" s="32">
        <v>1791.12</v>
      </c>
      <c r="C7553">
        <f t="shared" si="147"/>
        <v>2012</v>
      </c>
    </row>
    <row r="7554" spans="1:3">
      <c r="A7554" s="68">
        <v>41120</v>
      </c>
      <c r="B7554" s="33">
        <v>1791.12</v>
      </c>
      <c r="C7554">
        <f t="shared" si="147"/>
        <v>2012</v>
      </c>
    </row>
    <row r="7555" spans="1:3">
      <c r="A7555" s="68">
        <v>41121</v>
      </c>
      <c r="B7555" s="32">
        <v>1789.02</v>
      </c>
      <c r="C7555">
        <f t="shared" si="147"/>
        <v>2012</v>
      </c>
    </row>
    <row r="7556" spans="1:3">
      <c r="A7556" s="68">
        <v>41122</v>
      </c>
      <c r="B7556" s="33">
        <v>1790.74</v>
      </c>
      <c r="C7556">
        <f t="shared" ref="C7556:C7619" si="148">YEAR(A7556)</f>
        <v>2012</v>
      </c>
    </row>
    <row r="7557" spans="1:3">
      <c r="A7557" s="68">
        <v>41123</v>
      </c>
      <c r="B7557" s="32">
        <v>1787.51</v>
      </c>
      <c r="C7557">
        <f t="shared" si="148"/>
        <v>2012</v>
      </c>
    </row>
    <row r="7558" spans="1:3">
      <c r="A7558" s="68">
        <v>41124</v>
      </c>
      <c r="B7558" s="33">
        <v>1790.97</v>
      </c>
      <c r="C7558">
        <f t="shared" si="148"/>
        <v>2012</v>
      </c>
    </row>
    <row r="7559" spans="1:3">
      <c r="A7559" s="68">
        <v>41125</v>
      </c>
      <c r="B7559" s="32">
        <v>1786.06</v>
      </c>
      <c r="C7559">
        <f t="shared" si="148"/>
        <v>2012</v>
      </c>
    </row>
    <row r="7560" spans="1:3">
      <c r="A7560" s="68">
        <v>41126</v>
      </c>
      <c r="B7560" s="33">
        <v>1786.06</v>
      </c>
      <c r="C7560">
        <f t="shared" si="148"/>
        <v>2012</v>
      </c>
    </row>
    <row r="7561" spans="1:3">
      <c r="A7561" s="68">
        <v>41127</v>
      </c>
      <c r="B7561" s="32">
        <v>1786.06</v>
      </c>
      <c r="C7561">
        <f t="shared" si="148"/>
        <v>2012</v>
      </c>
    </row>
    <row r="7562" spans="1:3">
      <c r="A7562" s="68">
        <v>41128</v>
      </c>
      <c r="B7562" s="33">
        <v>1785.29</v>
      </c>
      <c r="C7562">
        <f t="shared" si="148"/>
        <v>2012</v>
      </c>
    </row>
    <row r="7563" spans="1:3">
      <c r="A7563" s="68">
        <v>41129</v>
      </c>
      <c r="B7563" s="32">
        <v>1785.29</v>
      </c>
      <c r="C7563">
        <f t="shared" si="148"/>
        <v>2012</v>
      </c>
    </row>
    <row r="7564" spans="1:3">
      <c r="A7564" s="68">
        <v>41130</v>
      </c>
      <c r="B7564" s="33">
        <v>1788.03</v>
      </c>
      <c r="C7564">
        <f t="shared" si="148"/>
        <v>2012</v>
      </c>
    </row>
    <row r="7565" spans="1:3">
      <c r="A7565" s="68">
        <v>41131</v>
      </c>
      <c r="B7565" s="32">
        <v>1788.08</v>
      </c>
      <c r="C7565">
        <f t="shared" si="148"/>
        <v>2012</v>
      </c>
    </row>
    <row r="7566" spans="1:3">
      <c r="A7566" s="68">
        <v>41132</v>
      </c>
      <c r="B7566" s="33">
        <v>1791.61</v>
      </c>
      <c r="C7566">
        <f t="shared" si="148"/>
        <v>2012</v>
      </c>
    </row>
    <row r="7567" spans="1:3">
      <c r="A7567" s="68">
        <v>41133</v>
      </c>
      <c r="B7567" s="32">
        <v>1791.61</v>
      </c>
      <c r="C7567">
        <f t="shared" si="148"/>
        <v>2012</v>
      </c>
    </row>
    <row r="7568" spans="1:3">
      <c r="A7568" s="68">
        <v>41134</v>
      </c>
      <c r="B7568" s="33">
        <v>1791.61</v>
      </c>
      <c r="C7568">
        <f t="shared" si="148"/>
        <v>2012</v>
      </c>
    </row>
    <row r="7569" spans="1:3">
      <c r="A7569" s="68">
        <v>41135</v>
      </c>
      <c r="B7569" s="32">
        <v>1792.86</v>
      </c>
      <c r="C7569">
        <f t="shared" si="148"/>
        <v>2012</v>
      </c>
    </row>
    <row r="7570" spans="1:3">
      <c r="A7570" s="68">
        <v>41136</v>
      </c>
      <c r="B7570" s="33">
        <v>1800.81</v>
      </c>
      <c r="C7570">
        <f t="shared" si="148"/>
        <v>2012</v>
      </c>
    </row>
    <row r="7571" spans="1:3">
      <c r="A7571" s="68">
        <v>41137</v>
      </c>
      <c r="B7571" s="32">
        <v>1817.18</v>
      </c>
      <c r="C7571">
        <f t="shared" si="148"/>
        <v>2012</v>
      </c>
    </row>
    <row r="7572" spans="1:3">
      <c r="A7572" s="68">
        <v>41138</v>
      </c>
      <c r="B7572" s="33">
        <v>1825.52</v>
      </c>
      <c r="C7572">
        <f t="shared" si="148"/>
        <v>2012</v>
      </c>
    </row>
    <row r="7573" spans="1:3">
      <c r="A7573" s="68">
        <v>41139</v>
      </c>
      <c r="B7573" s="32">
        <v>1822.59</v>
      </c>
      <c r="C7573">
        <f t="shared" si="148"/>
        <v>2012</v>
      </c>
    </row>
    <row r="7574" spans="1:3">
      <c r="A7574" s="68">
        <v>41140</v>
      </c>
      <c r="B7574" s="33">
        <v>1822.59</v>
      </c>
      <c r="C7574">
        <f t="shared" si="148"/>
        <v>2012</v>
      </c>
    </row>
    <row r="7575" spans="1:3">
      <c r="A7575" s="68">
        <v>41141</v>
      </c>
      <c r="B7575" s="32">
        <v>1822.59</v>
      </c>
      <c r="C7575">
        <f t="shared" si="148"/>
        <v>2012</v>
      </c>
    </row>
    <row r="7576" spans="1:3">
      <c r="A7576" s="68">
        <v>41142</v>
      </c>
      <c r="B7576" s="33">
        <v>1822.59</v>
      </c>
      <c r="C7576">
        <f t="shared" si="148"/>
        <v>2012</v>
      </c>
    </row>
    <row r="7577" spans="1:3">
      <c r="A7577" s="68">
        <v>41143</v>
      </c>
      <c r="B7577" s="32">
        <v>1815.8</v>
      </c>
      <c r="C7577">
        <f t="shared" si="148"/>
        <v>2012</v>
      </c>
    </row>
    <row r="7578" spans="1:3">
      <c r="A7578" s="68">
        <v>41144</v>
      </c>
      <c r="B7578" s="33">
        <v>1812.88</v>
      </c>
      <c r="C7578">
        <f t="shared" si="148"/>
        <v>2012</v>
      </c>
    </row>
    <row r="7579" spans="1:3">
      <c r="A7579" s="68">
        <v>41145</v>
      </c>
      <c r="B7579" s="32">
        <v>1808.33</v>
      </c>
      <c r="C7579">
        <f t="shared" si="148"/>
        <v>2012</v>
      </c>
    </row>
    <row r="7580" spans="1:3">
      <c r="A7580" s="68">
        <v>41146</v>
      </c>
      <c r="B7580" s="33">
        <v>1814.83</v>
      </c>
      <c r="C7580">
        <f t="shared" si="148"/>
        <v>2012</v>
      </c>
    </row>
    <row r="7581" spans="1:3">
      <c r="A7581" s="68">
        <v>41147</v>
      </c>
      <c r="B7581" s="32">
        <v>1814.83</v>
      </c>
      <c r="C7581">
        <f t="shared" si="148"/>
        <v>2012</v>
      </c>
    </row>
    <row r="7582" spans="1:3">
      <c r="A7582" s="68">
        <v>41148</v>
      </c>
      <c r="B7582" s="33">
        <v>1814.83</v>
      </c>
      <c r="C7582">
        <f t="shared" si="148"/>
        <v>2012</v>
      </c>
    </row>
    <row r="7583" spans="1:3">
      <c r="A7583" s="68">
        <v>41149</v>
      </c>
      <c r="B7583" s="32">
        <v>1821.44</v>
      </c>
      <c r="C7583">
        <f t="shared" si="148"/>
        <v>2012</v>
      </c>
    </row>
    <row r="7584" spans="1:3">
      <c r="A7584" s="68">
        <v>41150</v>
      </c>
      <c r="B7584" s="33">
        <v>1828.99</v>
      </c>
      <c r="C7584">
        <f t="shared" si="148"/>
        <v>2012</v>
      </c>
    </row>
    <row r="7585" spans="1:3">
      <c r="A7585" s="68">
        <v>41151</v>
      </c>
      <c r="B7585" s="32">
        <v>1833.14</v>
      </c>
      <c r="C7585">
        <f t="shared" si="148"/>
        <v>2012</v>
      </c>
    </row>
    <row r="7586" spans="1:3">
      <c r="A7586" s="68">
        <v>41152</v>
      </c>
      <c r="B7586" s="33">
        <v>1830.5</v>
      </c>
      <c r="C7586">
        <f t="shared" si="148"/>
        <v>2012</v>
      </c>
    </row>
    <row r="7587" spans="1:3">
      <c r="A7587" s="68">
        <v>41153</v>
      </c>
      <c r="B7587" s="32">
        <v>1825.21</v>
      </c>
      <c r="C7587">
        <f t="shared" si="148"/>
        <v>2012</v>
      </c>
    </row>
    <row r="7588" spans="1:3">
      <c r="A7588" s="68">
        <v>41154</v>
      </c>
      <c r="B7588" s="33">
        <v>1825.21</v>
      </c>
      <c r="C7588">
        <f t="shared" si="148"/>
        <v>2012</v>
      </c>
    </row>
    <row r="7589" spans="1:3">
      <c r="A7589" s="68">
        <v>41155</v>
      </c>
      <c r="B7589" s="32">
        <v>1825.21</v>
      </c>
      <c r="C7589">
        <f t="shared" si="148"/>
        <v>2012</v>
      </c>
    </row>
    <row r="7590" spans="1:3">
      <c r="A7590" s="68">
        <v>41156</v>
      </c>
      <c r="B7590" s="33">
        <v>1825.21</v>
      </c>
      <c r="C7590">
        <f t="shared" si="148"/>
        <v>2012</v>
      </c>
    </row>
    <row r="7591" spans="1:3">
      <c r="A7591" s="68">
        <v>41157</v>
      </c>
      <c r="B7591" s="32">
        <v>1824.81</v>
      </c>
      <c r="C7591">
        <f t="shared" si="148"/>
        <v>2012</v>
      </c>
    </row>
    <row r="7592" spans="1:3">
      <c r="A7592" s="68">
        <v>41158</v>
      </c>
      <c r="B7592" s="33">
        <v>1814.06</v>
      </c>
      <c r="C7592">
        <f t="shared" si="148"/>
        <v>2012</v>
      </c>
    </row>
    <row r="7593" spans="1:3">
      <c r="A7593" s="68">
        <v>41159</v>
      </c>
      <c r="B7593" s="32">
        <v>1804.09</v>
      </c>
      <c r="C7593">
        <f t="shared" si="148"/>
        <v>2012</v>
      </c>
    </row>
    <row r="7594" spans="1:3">
      <c r="A7594" s="68">
        <v>41160</v>
      </c>
      <c r="B7594" s="33">
        <v>1797.35</v>
      </c>
      <c r="C7594">
        <f t="shared" si="148"/>
        <v>2012</v>
      </c>
    </row>
    <row r="7595" spans="1:3">
      <c r="A7595" s="68">
        <v>41161</v>
      </c>
      <c r="B7595" s="32">
        <v>1797.35</v>
      </c>
      <c r="C7595">
        <f t="shared" si="148"/>
        <v>2012</v>
      </c>
    </row>
    <row r="7596" spans="1:3">
      <c r="A7596" s="68">
        <v>41162</v>
      </c>
      <c r="B7596" s="33">
        <v>1797.35</v>
      </c>
      <c r="C7596">
        <f t="shared" si="148"/>
        <v>2012</v>
      </c>
    </row>
    <row r="7597" spans="1:3">
      <c r="A7597" s="68">
        <v>41163</v>
      </c>
      <c r="B7597" s="32">
        <v>1802.23</v>
      </c>
      <c r="C7597">
        <f t="shared" si="148"/>
        <v>2012</v>
      </c>
    </row>
    <row r="7598" spans="1:3">
      <c r="A7598" s="68">
        <v>41164</v>
      </c>
      <c r="B7598" s="33">
        <v>1795.4</v>
      </c>
      <c r="C7598">
        <f t="shared" si="148"/>
        <v>2012</v>
      </c>
    </row>
    <row r="7599" spans="1:3">
      <c r="A7599" s="68">
        <v>41165</v>
      </c>
      <c r="B7599" s="32">
        <v>1802.22</v>
      </c>
      <c r="C7599">
        <f t="shared" si="148"/>
        <v>2012</v>
      </c>
    </row>
    <row r="7600" spans="1:3">
      <c r="A7600" s="68">
        <v>41166</v>
      </c>
      <c r="B7600" s="33">
        <v>1799.57</v>
      </c>
      <c r="C7600">
        <f t="shared" si="148"/>
        <v>2012</v>
      </c>
    </row>
    <row r="7601" spans="1:3">
      <c r="A7601" s="68">
        <v>41167</v>
      </c>
      <c r="B7601" s="32">
        <v>1789.54</v>
      </c>
      <c r="C7601">
        <f t="shared" si="148"/>
        <v>2012</v>
      </c>
    </row>
    <row r="7602" spans="1:3">
      <c r="A7602" s="68">
        <v>41168</v>
      </c>
      <c r="B7602" s="33">
        <v>1789.54</v>
      </c>
      <c r="C7602">
        <f t="shared" si="148"/>
        <v>2012</v>
      </c>
    </row>
    <row r="7603" spans="1:3">
      <c r="A7603" s="68">
        <v>41169</v>
      </c>
      <c r="B7603" s="32">
        <v>1789.54</v>
      </c>
      <c r="C7603">
        <f t="shared" si="148"/>
        <v>2012</v>
      </c>
    </row>
    <row r="7604" spans="1:3">
      <c r="A7604" s="68">
        <v>41170</v>
      </c>
      <c r="B7604" s="33">
        <v>1799.77</v>
      </c>
      <c r="C7604">
        <f t="shared" si="148"/>
        <v>2012</v>
      </c>
    </row>
    <row r="7605" spans="1:3">
      <c r="A7605" s="68">
        <v>41171</v>
      </c>
      <c r="B7605" s="32">
        <v>1800.19</v>
      </c>
      <c r="C7605">
        <f t="shared" si="148"/>
        <v>2012</v>
      </c>
    </row>
    <row r="7606" spans="1:3">
      <c r="A7606" s="68">
        <v>41172</v>
      </c>
      <c r="B7606" s="33">
        <v>1795.66</v>
      </c>
      <c r="C7606">
        <f t="shared" si="148"/>
        <v>2012</v>
      </c>
    </row>
    <row r="7607" spans="1:3">
      <c r="A7607" s="68">
        <v>41173</v>
      </c>
      <c r="B7607" s="32">
        <v>1798.98</v>
      </c>
      <c r="C7607">
        <f t="shared" si="148"/>
        <v>2012</v>
      </c>
    </row>
    <row r="7608" spans="1:3">
      <c r="A7608" s="68">
        <v>41174</v>
      </c>
      <c r="B7608" s="33">
        <v>1796.75</v>
      </c>
      <c r="C7608">
        <f t="shared" si="148"/>
        <v>2012</v>
      </c>
    </row>
    <row r="7609" spans="1:3">
      <c r="A7609" s="68">
        <v>41175</v>
      </c>
      <c r="B7609" s="32">
        <v>1796.75</v>
      </c>
      <c r="C7609">
        <f t="shared" si="148"/>
        <v>2012</v>
      </c>
    </row>
    <row r="7610" spans="1:3">
      <c r="A7610" s="68">
        <v>41176</v>
      </c>
      <c r="B7610" s="33">
        <v>1796.75</v>
      </c>
      <c r="C7610">
        <f t="shared" si="148"/>
        <v>2012</v>
      </c>
    </row>
    <row r="7611" spans="1:3">
      <c r="A7611" s="68">
        <v>41177</v>
      </c>
      <c r="B7611" s="32">
        <v>1799.29</v>
      </c>
      <c r="C7611">
        <f t="shared" si="148"/>
        <v>2012</v>
      </c>
    </row>
    <row r="7612" spans="1:3">
      <c r="A7612" s="68">
        <v>41178</v>
      </c>
      <c r="B7612" s="33">
        <v>1795.69</v>
      </c>
      <c r="C7612">
        <f t="shared" si="148"/>
        <v>2012</v>
      </c>
    </row>
    <row r="7613" spans="1:3">
      <c r="A7613" s="68">
        <v>41179</v>
      </c>
      <c r="B7613" s="32">
        <v>1799.55</v>
      </c>
      <c r="C7613">
        <f t="shared" si="148"/>
        <v>2012</v>
      </c>
    </row>
    <row r="7614" spans="1:3">
      <c r="A7614" s="68">
        <v>41180</v>
      </c>
      <c r="B7614" s="33">
        <v>1798.08</v>
      </c>
      <c r="C7614">
        <f t="shared" si="148"/>
        <v>2012</v>
      </c>
    </row>
    <row r="7615" spans="1:3">
      <c r="A7615" s="68">
        <v>41181</v>
      </c>
      <c r="B7615" s="32">
        <v>1800.52</v>
      </c>
      <c r="C7615">
        <f t="shared" si="148"/>
        <v>2012</v>
      </c>
    </row>
    <row r="7616" spans="1:3">
      <c r="A7616" s="68">
        <v>41182</v>
      </c>
      <c r="B7616" s="33">
        <v>1800.52</v>
      </c>
      <c r="C7616">
        <f t="shared" si="148"/>
        <v>2012</v>
      </c>
    </row>
    <row r="7617" spans="1:3">
      <c r="A7617" s="68">
        <v>41183</v>
      </c>
      <c r="B7617" s="32">
        <v>1800.52</v>
      </c>
      <c r="C7617">
        <f t="shared" si="148"/>
        <v>2012</v>
      </c>
    </row>
    <row r="7618" spans="1:3">
      <c r="A7618" s="68">
        <v>41184</v>
      </c>
      <c r="B7618" s="33">
        <v>1797.97</v>
      </c>
      <c r="C7618">
        <f t="shared" si="148"/>
        <v>2012</v>
      </c>
    </row>
    <row r="7619" spans="1:3">
      <c r="A7619" s="68">
        <v>41185</v>
      </c>
      <c r="B7619" s="32">
        <v>1798.86</v>
      </c>
      <c r="C7619">
        <f t="shared" si="148"/>
        <v>2012</v>
      </c>
    </row>
    <row r="7620" spans="1:3">
      <c r="A7620" s="68">
        <v>41186</v>
      </c>
      <c r="B7620" s="33">
        <v>1800.43</v>
      </c>
      <c r="C7620">
        <f t="shared" ref="C7620:C7683" si="149">YEAR(A7620)</f>
        <v>2012</v>
      </c>
    </row>
    <row r="7621" spans="1:3">
      <c r="A7621" s="68">
        <v>41187</v>
      </c>
      <c r="B7621" s="32">
        <v>1797.68</v>
      </c>
      <c r="C7621">
        <f t="shared" si="149"/>
        <v>2012</v>
      </c>
    </row>
    <row r="7622" spans="1:3">
      <c r="A7622" s="68">
        <v>41188</v>
      </c>
      <c r="B7622" s="33">
        <v>1795.4</v>
      </c>
      <c r="C7622">
        <f t="shared" si="149"/>
        <v>2012</v>
      </c>
    </row>
    <row r="7623" spans="1:3">
      <c r="A7623" s="68">
        <v>41189</v>
      </c>
      <c r="B7623" s="32">
        <v>1795.4</v>
      </c>
      <c r="C7623">
        <f t="shared" si="149"/>
        <v>2012</v>
      </c>
    </row>
    <row r="7624" spans="1:3">
      <c r="A7624" s="68">
        <v>41190</v>
      </c>
      <c r="B7624" s="33">
        <v>1795.4</v>
      </c>
      <c r="C7624">
        <f t="shared" si="149"/>
        <v>2012</v>
      </c>
    </row>
    <row r="7625" spans="1:3">
      <c r="A7625" s="68">
        <v>41191</v>
      </c>
      <c r="B7625" s="32">
        <v>1795.4</v>
      </c>
      <c r="C7625">
        <f t="shared" si="149"/>
        <v>2012</v>
      </c>
    </row>
    <row r="7626" spans="1:3">
      <c r="A7626" s="68">
        <v>41192</v>
      </c>
      <c r="B7626" s="33">
        <v>1798.32</v>
      </c>
      <c r="C7626">
        <f t="shared" si="149"/>
        <v>2012</v>
      </c>
    </row>
    <row r="7627" spans="1:3">
      <c r="A7627" s="68">
        <v>41193</v>
      </c>
      <c r="B7627" s="32">
        <v>1799.78</v>
      </c>
      <c r="C7627">
        <f t="shared" si="149"/>
        <v>2012</v>
      </c>
    </row>
    <row r="7628" spans="1:3">
      <c r="A7628" s="68">
        <v>41194</v>
      </c>
      <c r="B7628" s="33">
        <v>1797.68</v>
      </c>
      <c r="C7628">
        <f t="shared" si="149"/>
        <v>2012</v>
      </c>
    </row>
    <row r="7629" spans="1:3">
      <c r="A7629" s="68">
        <v>41195</v>
      </c>
      <c r="B7629" s="32">
        <v>1797.68</v>
      </c>
      <c r="C7629">
        <f t="shared" si="149"/>
        <v>2012</v>
      </c>
    </row>
    <row r="7630" spans="1:3">
      <c r="A7630" s="68">
        <v>41196</v>
      </c>
      <c r="B7630" s="33">
        <v>1797.68</v>
      </c>
      <c r="C7630">
        <f t="shared" si="149"/>
        <v>2012</v>
      </c>
    </row>
    <row r="7631" spans="1:3">
      <c r="A7631" s="68">
        <v>41197</v>
      </c>
      <c r="B7631" s="32">
        <v>1797.68</v>
      </c>
      <c r="C7631">
        <f t="shared" si="149"/>
        <v>2012</v>
      </c>
    </row>
    <row r="7632" spans="1:3">
      <c r="A7632" s="68">
        <v>41198</v>
      </c>
      <c r="B7632" s="33">
        <v>1797.68</v>
      </c>
      <c r="C7632">
        <f t="shared" si="149"/>
        <v>2012</v>
      </c>
    </row>
    <row r="7633" spans="1:3">
      <c r="A7633" s="68">
        <v>41199</v>
      </c>
      <c r="B7633" s="32">
        <v>1797.81</v>
      </c>
      <c r="C7633">
        <f t="shared" si="149"/>
        <v>2012</v>
      </c>
    </row>
    <row r="7634" spans="1:3">
      <c r="A7634" s="68">
        <v>41200</v>
      </c>
      <c r="B7634" s="33">
        <v>1798.53</v>
      </c>
      <c r="C7634">
        <f t="shared" si="149"/>
        <v>2012</v>
      </c>
    </row>
    <row r="7635" spans="1:3">
      <c r="A7635" s="68">
        <v>41201</v>
      </c>
      <c r="B7635" s="32">
        <v>1797.66</v>
      </c>
      <c r="C7635">
        <f t="shared" si="149"/>
        <v>2012</v>
      </c>
    </row>
    <row r="7636" spans="1:3">
      <c r="A7636" s="68">
        <v>41202</v>
      </c>
      <c r="B7636" s="33">
        <v>1798.42</v>
      </c>
      <c r="C7636">
        <f t="shared" si="149"/>
        <v>2012</v>
      </c>
    </row>
    <row r="7637" spans="1:3">
      <c r="A7637" s="68">
        <v>41203</v>
      </c>
      <c r="B7637" s="32">
        <v>1798.42</v>
      </c>
      <c r="C7637">
        <f t="shared" si="149"/>
        <v>2012</v>
      </c>
    </row>
    <row r="7638" spans="1:3">
      <c r="A7638" s="68">
        <v>41204</v>
      </c>
      <c r="B7638" s="33">
        <v>1798.42</v>
      </c>
      <c r="C7638">
        <f t="shared" si="149"/>
        <v>2012</v>
      </c>
    </row>
    <row r="7639" spans="1:3">
      <c r="A7639" s="68">
        <v>41205</v>
      </c>
      <c r="B7639" s="32">
        <v>1802.91</v>
      </c>
      <c r="C7639">
        <f t="shared" si="149"/>
        <v>2012</v>
      </c>
    </row>
    <row r="7640" spans="1:3">
      <c r="A7640" s="68">
        <v>41206</v>
      </c>
      <c r="B7640" s="33">
        <v>1816.6</v>
      </c>
      <c r="C7640">
        <f t="shared" si="149"/>
        <v>2012</v>
      </c>
    </row>
    <row r="7641" spans="1:3">
      <c r="A7641" s="68">
        <v>41207</v>
      </c>
      <c r="B7641" s="32">
        <v>1817.25</v>
      </c>
      <c r="C7641">
        <f t="shared" si="149"/>
        <v>2012</v>
      </c>
    </row>
    <row r="7642" spans="1:3">
      <c r="A7642" s="68">
        <v>41208</v>
      </c>
      <c r="B7642" s="33">
        <v>1816.97</v>
      </c>
      <c r="C7642">
        <f t="shared" si="149"/>
        <v>2012</v>
      </c>
    </row>
    <row r="7643" spans="1:3">
      <c r="A7643" s="68">
        <v>41209</v>
      </c>
      <c r="B7643" s="32">
        <v>1823.18</v>
      </c>
      <c r="C7643">
        <f t="shared" si="149"/>
        <v>2012</v>
      </c>
    </row>
    <row r="7644" spans="1:3">
      <c r="A7644" s="68">
        <v>41210</v>
      </c>
      <c r="B7644" s="33">
        <v>1823.18</v>
      </c>
      <c r="C7644">
        <f t="shared" si="149"/>
        <v>2012</v>
      </c>
    </row>
    <row r="7645" spans="1:3">
      <c r="A7645" s="68">
        <v>41211</v>
      </c>
      <c r="B7645" s="32">
        <v>1823.18</v>
      </c>
      <c r="C7645">
        <f t="shared" si="149"/>
        <v>2012</v>
      </c>
    </row>
    <row r="7646" spans="1:3">
      <c r="A7646" s="68">
        <v>41212</v>
      </c>
      <c r="B7646" s="33">
        <v>1830.45</v>
      </c>
      <c r="C7646">
        <f t="shared" si="149"/>
        <v>2012</v>
      </c>
    </row>
    <row r="7647" spans="1:3">
      <c r="A7647" s="68">
        <v>41213</v>
      </c>
      <c r="B7647" s="32">
        <v>1829.89</v>
      </c>
      <c r="C7647">
        <f t="shared" si="149"/>
        <v>2012</v>
      </c>
    </row>
    <row r="7648" spans="1:3">
      <c r="A7648" s="68">
        <v>41214</v>
      </c>
      <c r="B7648" s="33">
        <v>1831.25</v>
      </c>
      <c r="C7648">
        <f t="shared" si="149"/>
        <v>2012</v>
      </c>
    </row>
    <row r="7649" spans="1:3">
      <c r="A7649" s="68">
        <v>41215</v>
      </c>
      <c r="B7649" s="32">
        <v>1825.5</v>
      </c>
      <c r="C7649">
        <f t="shared" si="149"/>
        <v>2012</v>
      </c>
    </row>
    <row r="7650" spans="1:3">
      <c r="A7650" s="68">
        <v>41216</v>
      </c>
      <c r="B7650" s="33">
        <v>1828.8</v>
      </c>
      <c r="C7650">
        <f t="shared" si="149"/>
        <v>2012</v>
      </c>
    </row>
    <row r="7651" spans="1:3">
      <c r="A7651" s="68">
        <v>41217</v>
      </c>
      <c r="B7651" s="32">
        <v>1828.8</v>
      </c>
      <c r="C7651">
        <f t="shared" si="149"/>
        <v>2012</v>
      </c>
    </row>
    <row r="7652" spans="1:3">
      <c r="A7652" s="68">
        <v>41218</v>
      </c>
      <c r="B7652" s="33">
        <v>1828.8</v>
      </c>
      <c r="C7652">
        <f t="shared" si="149"/>
        <v>2012</v>
      </c>
    </row>
    <row r="7653" spans="1:3">
      <c r="A7653" s="68">
        <v>41219</v>
      </c>
      <c r="B7653" s="32">
        <v>1828.8</v>
      </c>
      <c r="C7653">
        <f t="shared" si="149"/>
        <v>2012</v>
      </c>
    </row>
    <row r="7654" spans="1:3">
      <c r="A7654" s="68">
        <v>41220</v>
      </c>
      <c r="B7654" s="33">
        <v>1814.99</v>
      </c>
      <c r="C7654">
        <f t="shared" si="149"/>
        <v>2012</v>
      </c>
    </row>
    <row r="7655" spans="1:3">
      <c r="A7655" s="68">
        <v>41221</v>
      </c>
      <c r="B7655" s="32">
        <v>1814.83</v>
      </c>
      <c r="C7655">
        <f t="shared" si="149"/>
        <v>2012</v>
      </c>
    </row>
    <row r="7656" spans="1:3">
      <c r="A7656" s="68">
        <v>41222</v>
      </c>
      <c r="B7656" s="33">
        <v>1814.21</v>
      </c>
      <c r="C7656">
        <f t="shared" si="149"/>
        <v>2012</v>
      </c>
    </row>
    <row r="7657" spans="1:3">
      <c r="A7657" s="68">
        <v>41223</v>
      </c>
      <c r="B7657" s="32">
        <v>1816.99</v>
      </c>
      <c r="C7657">
        <f t="shared" si="149"/>
        <v>2012</v>
      </c>
    </row>
    <row r="7658" spans="1:3">
      <c r="A7658" s="68">
        <v>41224</v>
      </c>
      <c r="B7658" s="33">
        <v>1816.99</v>
      </c>
      <c r="C7658">
        <f t="shared" si="149"/>
        <v>2012</v>
      </c>
    </row>
    <row r="7659" spans="1:3">
      <c r="A7659" s="68">
        <v>41225</v>
      </c>
      <c r="B7659" s="32">
        <v>1816.99</v>
      </c>
      <c r="C7659">
        <f t="shared" si="149"/>
        <v>2012</v>
      </c>
    </row>
    <row r="7660" spans="1:3">
      <c r="A7660" s="68">
        <v>41226</v>
      </c>
      <c r="B7660" s="33">
        <v>1816.99</v>
      </c>
      <c r="C7660">
        <f t="shared" si="149"/>
        <v>2012</v>
      </c>
    </row>
    <row r="7661" spans="1:3">
      <c r="A7661" s="68">
        <v>41227</v>
      </c>
      <c r="B7661" s="32">
        <v>1819.3</v>
      </c>
      <c r="C7661">
        <f t="shared" si="149"/>
        <v>2012</v>
      </c>
    </row>
    <row r="7662" spans="1:3">
      <c r="A7662" s="68">
        <v>41228</v>
      </c>
      <c r="B7662" s="33">
        <v>1818.2</v>
      </c>
      <c r="C7662">
        <f t="shared" si="149"/>
        <v>2012</v>
      </c>
    </row>
    <row r="7663" spans="1:3">
      <c r="A7663" s="68">
        <v>41229</v>
      </c>
      <c r="B7663" s="32">
        <v>1822.61</v>
      </c>
      <c r="C7663">
        <f t="shared" si="149"/>
        <v>2012</v>
      </c>
    </row>
    <row r="7664" spans="1:3">
      <c r="A7664" s="68">
        <v>41230</v>
      </c>
      <c r="B7664" s="33">
        <v>1823.46</v>
      </c>
      <c r="C7664">
        <f t="shared" si="149"/>
        <v>2012</v>
      </c>
    </row>
    <row r="7665" spans="1:3">
      <c r="A7665" s="68">
        <v>41231</v>
      </c>
      <c r="B7665" s="32">
        <v>1823.46</v>
      </c>
      <c r="C7665">
        <f t="shared" si="149"/>
        <v>2012</v>
      </c>
    </row>
    <row r="7666" spans="1:3">
      <c r="A7666" s="68">
        <v>41232</v>
      </c>
      <c r="B7666" s="33">
        <v>1823.46</v>
      </c>
      <c r="C7666">
        <f t="shared" si="149"/>
        <v>2012</v>
      </c>
    </row>
    <row r="7667" spans="1:3">
      <c r="A7667" s="68">
        <v>41233</v>
      </c>
      <c r="B7667" s="32">
        <v>1817.67</v>
      </c>
      <c r="C7667">
        <f t="shared" si="149"/>
        <v>2012</v>
      </c>
    </row>
    <row r="7668" spans="1:3">
      <c r="A7668" s="68">
        <v>41234</v>
      </c>
      <c r="B7668" s="33">
        <v>1815.58</v>
      </c>
      <c r="C7668">
        <f t="shared" si="149"/>
        <v>2012</v>
      </c>
    </row>
    <row r="7669" spans="1:3">
      <c r="A7669" s="68">
        <v>41235</v>
      </c>
      <c r="B7669" s="32">
        <v>1815.76</v>
      </c>
      <c r="C7669">
        <f t="shared" si="149"/>
        <v>2012</v>
      </c>
    </row>
    <row r="7670" spans="1:3">
      <c r="A7670" s="68">
        <v>41236</v>
      </c>
      <c r="B7670" s="33">
        <v>1815.76</v>
      </c>
      <c r="C7670">
        <f t="shared" si="149"/>
        <v>2012</v>
      </c>
    </row>
    <row r="7671" spans="1:3">
      <c r="A7671" s="68">
        <v>41237</v>
      </c>
      <c r="B7671" s="32">
        <v>1820.18</v>
      </c>
      <c r="C7671">
        <f t="shared" si="149"/>
        <v>2012</v>
      </c>
    </row>
    <row r="7672" spans="1:3">
      <c r="A7672" s="68">
        <v>41238</v>
      </c>
      <c r="B7672" s="33">
        <v>1820.18</v>
      </c>
      <c r="C7672">
        <f t="shared" si="149"/>
        <v>2012</v>
      </c>
    </row>
    <row r="7673" spans="1:3">
      <c r="A7673" s="68">
        <v>41239</v>
      </c>
      <c r="B7673" s="32">
        <v>1820.18</v>
      </c>
      <c r="C7673">
        <f t="shared" si="149"/>
        <v>2012</v>
      </c>
    </row>
    <row r="7674" spans="1:3">
      <c r="A7674" s="68">
        <v>41240</v>
      </c>
      <c r="B7674" s="33">
        <v>1824.12</v>
      </c>
      <c r="C7674">
        <f t="shared" si="149"/>
        <v>2012</v>
      </c>
    </row>
    <row r="7675" spans="1:3">
      <c r="A7675" s="68">
        <v>41241</v>
      </c>
      <c r="B7675" s="32">
        <v>1823.54</v>
      </c>
      <c r="C7675">
        <f t="shared" si="149"/>
        <v>2012</v>
      </c>
    </row>
    <row r="7676" spans="1:3">
      <c r="A7676" s="68">
        <v>41242</v>
      </c>
      <c r="B7676" s="33">
        <v>1825.08</v>
      </c>
      <c r="C7676">
        <f t="shared" si="149"/>
        <v>2012</v>
      </c>
    </row>
    <row r="7677" spans="1:3">
      <c r="A7677" s="68">
        <v>41243</v>
      </c>
      <c r="B7677" s="32">
        <v>1817.93</v>
      </c>
      <c r="C7677">
        <f t="shared" si="149"/>
        <v>2012</v>
      </c>
    </row>
    <row r="7678" spans="1:3">
      <c r="A7678" s="68">
        <v>41244</v>
      </c>
      <c r="B7678" s="33">
        <v>1813.72</v>
      </c>
      <c r="C7678">
        <f t="shared" si="149"/>
        <v>2012</v>
      </c>
    </row>
    <row r="7679" spans="1:3">
      <c r="A7679" s="68">
        <v>41245</v>
      </c>
      <c r="B7679" s="32">
        <v>1813.72</v>
      </c>
      <c r="C7679">
        <f t="shared" si="149"/>
        <v>2012</v>
      </c>
    </row>
    <row r="7680" spans="1:3">
      <c r="A7680" s="68">
        <v>41246</v>
      </c>
      <c r="B7680" s="33">
        <v>1813.72</v>
      </c>
      <c r="C7680">
        <f t="shared" si="149"/>
        <v>2012</v>
      </c>
    </row>
    <row r="7681" spans="1:3">
      <c r="A7681" s="68">
        <v>41247</v>
      </c>
      <c r="B7681" s="32">
        <v>1813.73</v>
      </c>
      <c r="C7681">
        <f t="shared" si="149"/>
        <v>2012</v>
      </c>
    </row>
    <row r="7682" spans="1:3">
      <c r="A7682" s="68">
        <v>41248</v>
      </c>
      <c r="B7682" s="33">
        <v>1813.57</v>
      </c>
      <c r="C7682">
        <f t="shared" si="149"/>
        <v>2012</v>
      </c>
    </row>
    <row r="7683" spans="1:3">
      <c r="A7683" s="68">
        <v>41249</v>
      </c>
      <c r="B7683" s="32">
        <v>1811.05</v>
      </c>
      <c r="C7683">
        <f t="shared" si="149"/>
        <v>2012</v>
      </c>
    </row>
    <row r="7684" spans="1:3">
      <c r="A7684" s="68">
        <v>41250</v>
      </c>
      <c r="B7684" s="33">
        <v>1803.69</v>
      </c>
      <c r="C7684">
        <f t="shared" ref="C7684:C7747" si="150">YEAR(A7684)</f>
        <v>2012</v>
      </c>
    </row>
    <row r="7685" spans="1:3">
      <c r="A7685" s="68">
        <v>41251</v>
      </c>
      <c r="B7685" s="32">
        <v>1797.45</v>
      </c>
      <c r="C7685">
        <f t="shared" si="150"/>
        <v>2012</v>
      </c>
    </row>
    <row r="7686" spans="1:3">
      <c r="A7686" s="68">
        <v>41252</v>
      </c>
      <c r="B7686" s="33">
        <v>1797.45</v>
      </c>
      <c r="C7686">
        <f t="shared" si="150"/>
        <v>2012</v>
      </c>
    </row>
    <row r="7687" spans="1:3">
      <c r="A7687" s="68">
        <v>41253</v>
      </c>
      <c r="B7687" s="32">
        <v>1797.45</v>
      </c>
      <c r="C7687">
        <f t="shared" si="150"/>
        <v>2012</v>
      </c>
    </row>
    <row r="7688" spans="1:3">
      <c r="A7688" s="68">
        <v>41254</v>
      </c>
      <c r="B7688" s="33">
        <v>1799.4</v>
      </c>
      <c r="C7688">
        <f t="shared" si="150"/>
        <v>2012</v>
      </c>
    </row>
    <row r="7689" spans="1:3">
      <c r="A7689" s="68">
        <v>41255</v>
      </c>
      <c r="B7689" s="32">
        <v>1801.5</v>
      </c>
      <c r="C7689">
        <f t="shared" si="150"/>
        <v>2012</v>
      </c>
    </row>
    <row r="7690" spans="1:3">
      <c r="A7690" s="68">
        <v>41256</v>
      </c>
      <c r="B7690" s="33">
        <v>1796.31</v>
      </c>
      <c r="C7690">
        <f t="shared" si="150"/>
        <v>2012</v>
      </c>
    </row>
    <row r="7691" spans="1:3">
      <c r="A7691" s="68">
        <v>41257</v>
      </c>
      <c r="B7691" s="32">
        <v>1795.05</v>
      </c>
      <c r="C7691">
        <f t="shared" si="150"/>
        <v>2012</v>
      </c>
    </row>
    <row r="7692" spans="1:3">
      <c r="A7692" s="68">
        <v>41258</v>
      </c>
      <c r="B7692" s="33">
        <v>1798.37</v>
      </c>
      <c r="C7692">
        <f t="shared" si="150"/>
        <v>2012</v>
      </c>
    </row>
    <row r="7693" spans="1:3">
      <c r="A7693" s="68">
        <v>41259</v>
      </c>
      <c r="B7693" s="32">
        <v>1798.37</v>
      </c>
      <c r="C7693">
        <f t="shared" si="150"/>
        <v>2012</v>
      </c>
    </row>
    <row r="7694" spans="1:3">
      <c r="A7694" s="68">
        <v>41260</v>
      </c>
      <c r="B7694" s="33">
        <v>1798.37</v>
      </c>
      <c r="C7694">
        <f t="shared" si="150"/>
        <v>2012</v>
      </c>
    </row>
    <row r="7695" spans="1:3">
      <c r="A7695" s="68">
        <v>41261</v>
      </c>
      <c r="B7695" s="32">
        <v>1796.98</v>
      </c>
      <c r="C7695">
        <f t="shared" si="150"/>
        <v>2012</v>
      </c>
    </row>
    <row r="7696" spans="1:3">
      <c r="A7696" s="68">
        <v>41262</v>
      </c>
      <c r="B7696" s="33">
        <v>1794.14</v>
      </c>
      <c r="C7696">
        <f t="shared" si="150"/>
        <v>2012</v>
      </c>
    </row>
    <row r="7697" spans="1:4">
      <c r="A7697" s="68">
        <v>41263</v>
      </c>
      <c r="B7697" s="32">
        <v>1790.46</v>
      </c>
      <c r="C7697">
        <f t="shared" si="150"/>
        <v>2012</v>
      </c>
    </row>
    <row r="7698" spans="1:4">
      <c r="A7698" s="68">
        <v>41264</v>
      </c>
      <c r="B7698" s="33">
        <v>1788.87</v>
      </c>
      <c r="C7698">
        <f t="shared" si="150"/>
        <v>2012</v>
      </c>
    </row>
    <row r="7699" spans="1:4">
      <c r="A7699" s="68">
        <v>41265</v>
      </c>
      <c r="B7699" s="32">
        <v>1779.79</v>
      </c>
      <c r="C7699">
        <f t="shared" si="150"/>
        <v>2012</v>
      </c>
    </row>
    <row r="7700" spans="1:4">
      <c r="A7700" s="68">
        <v>41266</v>
      </c>
      <c r="B7700" s="33">
        <v>1779.79</v>
      </c>
      <c r="C7700">
        <f t="shared" si="150"/>
        <v>2012</v>
      </c>
    </row>
    <row r="7701" spans="1:4">
      <c r="A7701" s="68">
        <v>41267</v>
      </c>
      <c r="B7701" s="32">
        <v>1779.79</v>
      </c>
      <c r="C7701">
        <f t="shared" si="150"/>
        <v>2012</v>
      </c>
    </row>
    <row r="7702" spans="1:4">
      <c r="A7702" s="68">
        <v>41268</v>
      </c>
      <c r="B7702" s="33">
        <v>1773.44</v>
      </c>
      <c r="C7702">
        <f t="shared" si="150"/>
        <v>2012</v>
      </c>
    </row>
    <row r="7703" spans="1:4">
      <c r="A7703" s="68">
        <v>41269</v>
      </c>
      <c r="B7703" s="32">
        <v>1773.44</v>
      </c>
      <c r="C7703">
        <f t="shared" si="150"/>
        <v>2012</v>
      </c>
    </row>
    <row r="7704" spans="1:4">
      <c r="A7704" s="68">
        <v>41270</v>
      </c>
      <c r="B7704" s="33">
        <v>1771.49</v>
      </c>
      <c r="C7704">
        <f t="shared" si="150"/>
        <v>2012</v>
      </c>
    </row>
    <row r="7705" spans="1:4">
      <c r="A7705" s="68">
        <v>41271</v>
      </c>
      <c r="B7705" s="32">
        <v>1771.54</v>
      </c>
      <c r="C7705">
        <f t="shared" si="150"/>
        <v>2012</v>
      </c>
    </row>
    <row r="7706" spans="1:4">
      <c r="A7706" s="68">
        <v>41272</v>
      </c>
      <c r="B7706" s="33">
        <v>1768.23</v>
      </c>
      <c r="C7706">
        <f t="shared" si="150"/>
        <v>2012</v>
      </c>
    </row>
    <row r="7707" spans="1:4">
      <c r="A7707" s="68">
        <v>41273</v>
      </c>
      <c r="B7707" s="32">
        <v>1768.23</v>
      </c>
      <c r="C7707">
        <f t="shared" si="150"/>
        <v>2012</v>
      </c>
    </row>
    <row r="7708" spans="1:4">
      <c r="A7708" s="68">
        <v>41274</v>
      </c>
      <c r="B7708" s="33">
        <v>1768.23</v>
      </c>
      <c r="C7708">
        <f t="shared" si="150"/>
        <v>2012</v>
      </c>
      <c r="D7708" s="76">
        <f>(B7708-B7343)/B7343</f>
        <v>-8.9807999176403988E-2</v>
      </c>
    </row>
    <row r="7709" spans="1:4">
      <c r="A7709" s="68">
        <v>41275</v>
      </c>
      <c r="B7709" s="32">
        <v>1768.23</v>
      </c>
      <c r="C7709">
        <f t="shared" si="150"/>
        <v>2013</v>
      </c>
    </row>
    <row r="7710" spans="1:4">
      <c r="A7710" s="68">
        <v>41276</v>
      </c>
      <c r="B7710" s="33">
        <v>1768.23</v>
      </c>
      <c r="C7710">
        <f t="shared" si="150"/>
        <v>2013</v>
      </c>
    </row>
    <row r="7711" spans="1:4">
      <c r="A7711" s="68">
        <v>41277</v>
      </c>
      <c r="B7711" s="32">
        <v>1759.97</v>
      </c>
      <c r="C7711">
        <f t="shared" si="150"/>
        <v>2013</v>
      </c>
    </row>
    <row r="7712" spans="1:4">
      <c r="A7712" s="68">
        <v>41278</v>
      </c>
      <c r="B7712" s="33">
        <v>1760.83</v>
      </c>
      <c r="C7712">
        <f t="shared" si="150"/>
        <v>2013</v>
      </c>
    </row>
    <row r="7713" spans="1:3">
      <c r="A7713" s="68">
        <v>41279</v>
      </c>
      <c r="B7713" s="32">
        <v>1767.54</v>
      </c>
      <c r="C7713">
        <f t="shared" si="150"/>
        <v>2013</v>
      </c>
    </row>
    <row r="7714" spans="1:3">
      <c r="A7714" s="68">
        <v>41280</v>
      </c>
      <c r="B7714" s="33">
        <v>1767.54</v>
      </c>
      <c r="C7714">
        <f t="shared" si="150"/>
        <v>2013</v>
      </c>
    </row>
    <row r="7715" spans="1:3">
      <c r="A7715" s="68">
        <v>41281</v>
      </c>
      <c r="B7715" s="32">
        <v>1767.54</v>
      </c>
      <c r="C7715">
        <f t="shared" si="150"/>
        <v>2013</v>
      </c>
    </row>
    <row r="7716" spans="1:3">
      <c r="A7716" s="68">
        <v>41282</v>
      </c>
      <c r="B7716" s="33">
        <v>1767.54</v>
      </c>
      <c r="C7716">
        <f t="shared" si="150"/>
        <v>2013</v>
      </c>
    </row>
    <row r="7717" spans="1:3">
      <c r="A7717" s="68">
        <v>41283</v>
      </c>
      <c r="B7717" s="32">
        <v>1771.31</v>
      </c>
      <c r="C7717">
        <f t="shared" si="150"/>
        <v>2013</v>
      </c>
    </row>
    <row r="7718" spans="1:3">
      <c r="A7718" s="68">
        <v>41284</v>
      </c>
      <c r="B7718" s="33">
        <v>1767.96</v>
      </c>
      <c r="C7718">
        <f t="shared" si="150"/>
        <v>2013</v>
      </c>
    </row>
    <row r="7719" spans="1:3">
      <c r="A7719" s="68">
        <v>41285</v>
      </c>
      <c r="B7719" s="32">
        <v>1761.5</v>
      </c>
      <c r="C7719">
        <f t="shared" si="150"/>
        <v>2013</v>
      </c>
    </row>
    <row r="7720" spans="1:3">
      <c r="A7720" s="68">
        <v>41286</v>
      </c>
      <c r="B7720" s="33">
        <v>1762.38</v>
      </c>
      <c r="C7720">
        <f t="shared" si="150"/>
        <v>2013</v>
      </c>
    </row>
    <row r="7721" spans="1:3">
      <c r="A7721" s="68">
        <v>41287</v>
      </c>
      <c r="B7721" s="32">
        <v>1762.38</v>
      </c>
      <c r="C7721">
        <f t="shared" si="150"/>
        <v>2013</v>
      </c>
    </row>
    <row r="7722" spans="1:3">
      <c r="A7722" s="68">
        <v>41288</v>
      </c>
      <c r="B7722" s="33">
        <v>1762.38</v>
      </c>
      <c r="C7722">
        <f t="shared" si="150"/>
        <v>2013</v>
      </c>
    </row>
    <row r="7723" spans="1:3">
      <c r="A7723" s="68">
        <v>41289</v>
      </c>
      <c r="B7723" s="32">
        <v>1758.45</v>
      </c>
      <c r="C7723">
        <f t="shared" si="150"/>
        <v>2013</v>
      </c>
    </row>
    <row r="7724" spans="1:3">
      <c r="A7724" s="68">
        <v>41290</v>
      </c>
      <c r="B7724" s="33">
        <v>1769.88</v>
      </c>
      <c r="C7724">
        <f t="shared" si="150"/>
        <v>2013</v>
      </c>
    </row>
    <row r="7725" spans="1:3">
      <c r="A7725" s="68">
        <v>41291</v>
      </c>
      <c r="B7725" s="32">
        <v>1775.15</v>
      </c>
      <c r="C7725">
        <f t="shared" si="150"/>
        <v>2013</v>
      </c>
    </row>
    <row r="7726" spans="1:3">
      <c r="A7726" s="68">
        <v>41292</v>
      </c>
      <c r="B7726" s="33">
        <v>1767.78</v>
      </c>
      <c r="C7726">
        <f t="shared" si="150"/>
        <v>2013</v>
      </c>
    </row>
    <row r="7727" spans="1:3">
      <c r="A7727" s="68">
        <v>41293</v>
      </c>
      <c r="B7727" s="32">
        <v>1767.74</v>
      </c>
      <c r="C7727">
        <f t="shared" si="150"/>
        <v>2013</v>
      </c>
    </row>
    <row r="7728" spans="1:3">
      <c r="A7728" s="68">
        <v>41294</v>
      </c>
      <c r="B7728" s="33">
        <v>1767.74</v>
      </c>
      <c r="C7728">
        <f t="shared" si="150"/>
        <v>2013</v>
      </c>
    </row>
    <row r="7729" spans="1:3">
      <c r="A7729" s="68">
        <v>41295</v>
      </c>
      <c r="B7729" s="32">
        <v>1767.74</v>
      </c>
      <c r="C7729">
        <f t="shared" si="150"/>
        <v>2013</v>
      </c>
    </row>
    <row r="7730" spans="1:3">
      <c r="A7730" s="68">
        <v>41296</v>
      </c>
      <c r="B7730" s="33">
        <v>1767.74</v>
      </c>
      <c r="C7730">
        <f t="shared" si="150"/>
        <v>2013</v>
      </c>
    </row>
    <row r="7731" spans="1:3">
      <c r="A7731" s="68">
        <v>41297</v>
      </c>
      <c r="B7731" s="32">
        <v>1776.96</v>
      </c>
      <c r="C7731">
        <f t="shared" si="150"/>
        <v>2013</v>
      </c>
    </row>
    <row r="7732" spans="1:3">
      <c r="A7732" s="68">
        <v>41298</v>
      </c>
      <c r="B7732" s="33">
        <v>1778.69</v>
      </c>
      <c r="C7732">
        <f t="shared" si="150"/>
        <v>2013</v>
      </c>
    </row>
    <row r="7733" spans="1:3">
      <c r="A7733" s="68">
        <v>41299</v>
      </c>
      <c r="B7733" s="32">
        <v>1779.73</v>
      </c>
      <c r="C7733">
        <f t="shared" si="150"/>
        <v>2013</v>
      </c>
    </row>
    <row r="7734" spans="1:3">
      <c r="A7734" s="68">
        <v>41300</v>
      </c>
      <c r="B7734" s="33">
        <v>1779.25</v>
      </c>
      <c r="C7734">
        <f t="shared" si="150"/>
        <v>2013</v>
      </c>
    </row>
    <row r="7735" spans="1:3">
      <c r="A7735" s="68">
        <v>41301</v>
      </c>
      <c r="B7735" s="32">
        <v>1779.25</v>
      </c>
      <c r="C7735">
        <f t="shared" si="150"/>
        <v>2013</v>
      </c>
    </row>
    <row r="7736" spans="1:3">
      <c r="A7736" s="68">
        <v>41302</v>
      </c>
      <c r="B7736" s="33">
        <v>1779.25</v>
      </c>
      <c r="C7736">
        <f t="shared" si="150"/>
        <v>2013</v>
      </c>
    </row>
    <row r="7737" spans="1:3">
      <c r="A7737" s="68">
        <v>41303</v>
      </c>
      <c r="B7737" s="32">
        <v>1779.84</v>
      </c>
      <c r="C7737">
        <f t="shared" si="150"/>
        <v>2013</v>
      </c>
    </row>
    <row r="7738" spans="1:3">
      <c r="A7738" s="68">
        <v>41304</v>
      </c>
      <c r="B7738" s="33">
        <v>1776.09</v>
      </c>
      <c r="C7738">
        <f t="shared" si="150"/>
        <v>2013</v>
      </c>
    </row>
    <row r="7739" spans="1:3">
      <c r="A7739" s="68">
        <v>41305</v>
      </c>
      <c r="B7739" s="32">
        <v>1773.24</v>
      </c>
      <c r="C7739">
        <f t="shared" si="150"/>
        <v>2013</v>
      </c>
    </row>
    <row r="7740" spans="1:3">
      <c r="A7740" s="68">
        <v>41306</v>
      </c>
      <c r="B7740" s="33">
        <v>1775.65</v>
      </c>
      <c r="C7740">
        <f t="shared" si="150"/>
        <v>2013</v>
      </c>
    </row>
    <row r="7741" spans="1:3">
      <c r="A7741" s="68">
        <v>41307</v>
      </c>
      <c r="B7741" s="32">
        <v>1776.2</v>
      </c>
      <c r="C7741">
        <f t="shared" si="150"/>
        <v>2013</v>
      </c>
    </row>
    <row r="7742" spans="1:3">
      <c r="A7742" s="68">
        <v>41308</v>
      </c>
      <c r="B7742" s="33">
        <v>1776.2</v>
      </c>
      <c r="C7742">
        <f t="shared" si="150"/>
        <v>2013</v>
      </c>
    </row>
    <row r="7743" spans="1:3">
      <c r="A7743" s="68">
        <v>41309</v>
      </c>
      <c r="B7743" s="32">
        <v>1776.2</v>
      </c>
      <c r="C7743">
        <f t="shared" si="150"/>
        <v>2013</v>
      </c>
    </row>
    <row r="7744" spans="1:3">
      <c r="A7744" s="68">
        <v>41310</v>
      </c>
      <c r="B7744" s="33">
        <v>1785.92</v>
      </c>
      <c r="C7744">
        <f t="shared" si="150"/>
        <v>2013</v>
      </c>
    </row>
    <row r="7745" spans="1:3">
      <c r="A7745" s="68">
        <v>41311</v>
      </c>
      <c r="B7745" s="32">
        <v>1789.09</v>
      </c>
      <c r="C7745">
        <f t="shared" si="150"/>
        <v>2013</v>
      </c>
    </row>
    <row r="7746" spans="1:3">
      <c r="A7746" s="68">
        <v>41312</v>
      </c>
      <c r="B7746" s="33">
        <v>1791.24</v>
      </c>
      <c r="C7746">
        <f t="shared" si="150"/>
        <v>2013</v>
      </c>
    </row>
    <row r="7747" spans="1:3">
      <c r="A7747" s="68">
        <v>41313</v>
      </c>
      <c r="B7747" s="32">
        <v>1795.21</v>
      </c>
      <c r="C7747">
        <f t="shared" si="150"/>
        <v>2013</v>
      </c>
    </row>
    <row r="7748" spans="1:3">
      <c r="A7748" s="68">
        <v>41314</v>
      </c>
      <c r="B7748" s="33">
        <v>1790.61</v>
      </c>
      <c r="C7748">
        <f t="shared" ref="C7748:C7811" si="151">YEAR(A7748)</f>
        <v>2013</v>
      </c>
    </row>
    <row r="7749" spans="1:3">
      <c r="A7749" s="68">
        <v>41315</v>
      </c>
      <c r="B7749" s="32">
        <v>1790.61</v>
      </c>
      <c r="C7749">
        <f t="shared" si="151"/>
        <v>2013</v>
      </c>
    </row>
    <row r="7750" spans="1:3">
      <c r="A7750" s="68">
        <v>41316</v>
      </c>
      <c r="B7750" s="33">
        <v>1790.61</v>
      </c>
      <c r="C7750">
        <f t="shared" si="151"/>
        <v>2013</v>
      </c>
    </row>
    <row r="7751" spans="1:3">
      <c r="A7751" s="68">
        <v>41317</v>
      </c>
      <c r="B7751" s="32">
        <v>1784.71</v>
      </c>
      <c r="C7751">
        <f t="shared" si="151"/>
        <v>2013</v>
      </c>
    </row>
    <row r="7752" spans="1:3">
      <c r="A7752" s="68">
        <v>41318</v>
      </c>
      <c r="B7752" s="33">
        <v>1783.2</v>
      </c>
      <c r="C7752">
        <f t="shared" si="151"/>
        <v>2013</v>
      </c>
    </row>
    <row r="7753" spans="1:3">
      <c r="A7753" s="68">
        <v>41319</v>
      </c>
      <c r="B7753" s="32">
        <v>1777.72</v>
      </c>
      <c r="C7753">
        <f t="shared" si="151"/>
        <v>2013</v>
      </c>
    </row>
    <row r="7754" spans="1:3">
      <c r="A7754" s="68">
        <v>41320</v>
      </c>
      <c r="B7754" s="33">
        <v>1783.19</v>
      </c>
      <c r="C7754">
        <f t="shared" si="151"/>
        <v>2013</v>
      </c>
    </row>
    <row r="7755" spans="1:3">
      <c r="A7755" s="68">
        <v>41321</v>
      </c>
      <c r="B7755" s="32">
        <v>1785.41</v>
      </c>
      <c r="C7755">
        <f t="shared" si="151"/>
        <v>2013</v>
      </c>
    </row>
    <row r="7756" spans="1:3">
      <c r="A7756" s="68">
        <v>41322</v>
      </c>
      <c r="B7756" s="33">
        <v>1785.41</v>
      </c>
      <c r="C7756">
        <f t="shared" si="151"/>
        <v>2013</v>
      </c>
    </row>
    <row r="7757" spans="1:3">
      <c r="A7757" s="68">
        <v>41323</v>
      </c>
      <c r="B7757" s="32">
        <v>1785.41</v>
      </c>
      <c r="C7757">
        <f t="shared" si="151"/>
        <v>2013</v>
      </c>
    </row>
    <row r="7758" spans="1:3">
      <c r="A7758" s="68">
        <v>41324</v>
      </c>
      <c r="B7758" s="33">
        <v>1785.41</v>
      </c>
      <c r="C7758">
        <f t="shared" si="151"/>
        <v>2013</v>
      </c>
    </row>
    <row r="7759" spans="1:3">
      <c r="A7759" s="68">
        <v>41325</v>
      </c>
      <c r="B7759" s="32">
        <v>1794.63</v>
      </c>
      <c r="C7759">
        <f t="shared" si="151"/>
        <v>2013</v>
      </c>
    </row>
    <row r="7760" spans="1:3">
      <c r="A7760" s="68">
        <v>41326</v>
      </c>
      <c r="B7760" s="33">
        <v>1791.33</v>
      </c>
      <c r="C7760">
        <f t="shared" si="151"/>
        <v>2013</v>
      </c>
    </row>
    <row r="7761" spans="1:3">
      <c r="A7761" s="68">
        <v>41327</v>
      </c>
      <c r="B7761" s="32">
        <v>1798.21</v>
      </c>
      <c r="C7761">
        <f t="shared" si="151"/>
        <v>2013</v>
      </c>
    </row>
    <row r="7762" spans="1:3">
      <c r="A7762" s="68">
        <v>41328</v>
      </c>
      <c r="B7762" s="33">
        <v>1800.7</v>
      </c>
      <c r="C7762">
        <f t="shared" si="151"/>
        <v>2013</v>
      </c>
    </row>
    <row r="7763" spans="1:3">
      <c r="A7763" s="68">
        <v>41329</v>
      </c>
      <c r="B7763" s="32">
        <v>1800.7</v>
      </c>
      <c r="C7763">
        <f t="shared" si="151"/>
        <v>2013</v>
      </c>
    </row>
    <row r="7764" spans="1:3">
      <c r="A7764" s="68">
        <v>41330</v>
      </c>
      <c r="B7764" s="33">
        <v>1800.7</v>
      </c>
      <c r="C7764">
        <f t="shared" si="151"/>
        <v>2013</v>
      </c>
    </row>
    <row r="7765" spans="1:3">
      <c r="A7765" s="68">
        <v>41331</v>
      </c>
      <c r="B7765" s="32">
        <v>1806.11</v>
      </c>
      <c r="C7765">
        <f t="shared" si="151"/>
        <v>2013</v>
      </c>
    </row>
    <row r="7766" spans="1:3">
      <c r="A7766" s="68">
        <v>41332</v>
      </c>
      <c r="B7766" s="33">
        <v>1818.54</v>
      </c>
      <c r="C7766">
        <f t="shared" si="151"/>
        <v>2013</v>
      </c>
    </row>
    <row r="7767" spans="1:3">
      <c r="A7767" s="68">
        <v>41333</v>
      </c>
      <c r="B7767" s="32">
        <v>1816.42</v>
      </c>
      <c r="C7767">
        <f t="shared" si="151"/>
        <v>2013</v>
      </c>
    </row>
    <row r="7768" spans="1:3">
      <c r="A7768" s="68">
        <v>41334</v>
      </c>
      <c r="B7768" s="33">
        <v>1814.28</v>
      </c>
      <c r="C7768">
        <f t="shared" si="151"/>
        <v>2013</v>
      </c>
    </row>
    <row r="7769" spans="1:3">
      <c r="A7769" s="68">
        <v>41335</v>
      </c>
      <c r="B7769" s="32">
        <v>1816.48</v>
      </c>
      <c r="C7769">
        <f t="shared" si="151"/>
        <v>2013</v>
      </c>
    </row>
    <row r="7770" spans="1:3">
      <c r="A7770" s="68">
        <v>41336</v>
      </c>
      <c r="B7770" s="33">
        <v>1816.48</v>
      </c>
      <c r="C7770">
        <f t="shared" si="151"/>
        <v>2013</v>
      </c>
    </row>
    <row r="7771" spans="1:3">
      <c r="A7771" s="68">
        <v>41337</v>
      </c>
      <c r="B7771" s="32">
        <v>1816.48</v>
      </c>
      <c r="C7771">
        <f t="shared" si="151"/>
        <v>2013</v>
      </c>
    </row>
    <row r="7772" spans="1:3">
      <c r="A7772" s="68">
        <v>41338</v>
      </c>
      <c r="B7772" s="33">
        <v>1813.53</v>
      </c>
      <c r="C7772">
        <f t="shared" si="151"/>
        <v>2013</v>
      </c>
    </row>
    <row r="7773" spans="1:3">
      <c r="A7773" s="68">
        <v>41339</v>
      </c>
      <c r="B7773" s="32">
        <v>1809.65</v>
      </c>
      <c r="C7773">
        <f t="shared" si="151"/>
        <v>2013</v>
      </c>
    </row>
    <row r="7774" spans="1:3">
      <c r="A7774" s="68">
        <v>41340</v>
      </c>
      <c r="B7774" s="33">
        <v>1808</v>
      </c>
      <c r="C7774">
        <f t="shared" si="151"/>
        <v>2013</v>
      </c>
    </row>
    <row r="7775" spans="1:3">
      <c r="A7775" s="68">
        <v>41341</v>
      </c>
      <c r="B7775" s="32">
        <v>1803.65</v>
      </c>
      <c r="C7775">
        <f t="shared" si="151"/>
        <v>2013</v>
      </c>
    </row>
    <row r="7776" spans="1:3">
      <c r="A7776" s="68">
        <v>41342</v>
      </c>
      <c r="B7776" s="33">
        <v>1800.45</v>
      </c>
      <c r="C7776">
        <f t="shared" si="151"/>
        <v>2013</v>
      </c>
    </row>
    <row r="7777" spans="1:3">
      <c r="A7777" s="68">
        <v>41343</v>
      </c>
      <c r="B7777" s="32">
        <v>1800.45</v>
      </c>
      <c r="C7777">
        <f t="shared" si="151"/>
        <v>2013</v>
      </c>
    </row>
    <row r="7778" spans="1:3">
      <c r="A7778" s="68">
        <v>41344</v>
      </c>
      <c r="B7778" s="33">
        <v>1800.45</v>
      </c>
      <c r="C7778">
        <f t="shared" si="151"/>
        <v>2013</v>
      </c>
    </row>
    <row r="7779" spans="1:3">
      <c r="A7779" s="68">
        <v>41345</v>
      </c>
      <c r="B7779" s="32">
        <v>1801.2</v>
      </c>
      <c r="C7779">
        <f t="shared" si="151"/>
        <v>2013</v>
      </c>
    </row>
    <row r="7780" spans="1:3">
      <c r="A7780" s="68">
        <v>41346</v>
      </c>
      <c r="B7780" s="33">
        <v>1801.64</v>
      </c>
      <c r="C7780">
        <f t="shared" si="151"/>
        <v>2013</v>
      </c>
    </row>
    <row r="7781" spans="1:3">
      <c r="A7781" s="68">
        <v>41347</v>
      </c>
      <c r="B7781" s="32">
        <v>1798.56</v>
      </c>
      <c r="C7781">
        <f t="shared" si="151"/>
        <v>2013</v>
      </c>
    </row>
    <row r="7782" spans="1:3">
      <c r="A7782" s="68">
        <v>41348</v>
      </c>
      <c r="B7782" s="33">
        <v>1797.28</v>
      </c>
      <c r="C7782">
        <f t="shared" si="151"/>
        <v>2013</v>
      </c>
    </row>
    <row r="7783" spans="1:3">
      <c r="A7783" s="68">
        <v>41349</v>
      </c>
      <c r="B7783" s="32">
        <v>1804.06</v>
      </c>
      <c r="C7783">
        <f t="shared" si="151"/>
        <v>2013</v>
      </c>
    </row>
    <row r="7784" spans="1:3">
      <c r="A7784" s="68">
        <v>41350</v>
      </c>
      <c r="B7784" s="33">
        <v>1804.06</v>
      </c>
      <c r="C7784">
        <f t="shared" si="151"/>
        <v>2013</v>
      </c>
    </row>
    <row r="7785" spans="1:3">
      <c r="A7785" s="68">
        <v>41351</v>
      </c>
      <c r="B7785" s="32">
        <v>1804.06</v>
      </c>
      <c r="C7785">
        <f t="shared" si="151"/>
        <v>2013</v>
      </c>
    </row>
    <row r="7786" spans="1:3">
      <c r="A7786" s="68">
        <v>41352</v>
      </c>
      <c r="B7786" s="33">
        <v>1809.58</v>
      </c>
      <c r="C7786">
        <f t="shared" si="151"/>
        <v>2013</v>
      </c>
    </row>
    <row r="7787" spans="1:3">
      <c r="A7787" s="68">
        <v>41353</v>
      </c>
      <c r="B7787" s="32">
        <v>1809.83</v>
      </c>
      <c r="C7787">
        <f t="shared" si="151"/>
        <v>2013</v>
      </c>
    </row>
    <row r="7788" spans="1:3">
      <c r="A7788" s="68">
        <v>41354</v>
      </c>
      <c r="B7788" s="33">
        <v>1812.35</v>
      </c>
      <c r="C7788">
        <f t="shared" si="151"/>
        <v>2013</v>
      </c>
    </row>
    <row r="7789" spans="1:3">
      <c r="A7789" s="68">
        <v>41355</v>
      </c>
      <c r="B7789" s="32">
        <v>1822.78</v>
      </c>
      <c r="C7789">
        <f t="shared" si="151"/>
        <v>2013</v>
      </c>
    </row>
    <row r="7790" spans="1:3">
      <c r="A7790" s="68">
        <v>41356</v>
      </c>
      <c r="B7790" s="33">
        <v>1825.79</v>
      </c>
      <c r="C7790">
        <f t="shared" si="151"/>
        <v>2013</v>
      </c>
    </row>
    <row r="7791" spans="1:3">
      <c r="A7791" s="68">
        <v>41357</v>
      </c>
      <c r="B7791" s="32">
        <v>1825.79</v>
      </c>
      <c r="C7791">
        <f t="shared" si="151"/>
        <v>2013</v>
      </c>
    </row>
    <row r="7792" spans="1:3">
      <c r="A7792" s="68">
        <v>41358</v>
      </c>
      <c r="B7792" s="33">
        <v>1825.79</v>
      </c>
      <c r="C7792">
        <f t="shared" si="151"/>
        <v>2013</v>
      </c>
    </row>
    <row r="7793" spans="1:3">
      <c r="A7793" s="68">
        <v>41359</v>
      </c>
      <c r="B7793" s="32">
        <v>1825.79</v>
      </c>
      <c r="C7793">
        <f t="shared" si="151"/>
        <v>2013</v>
      </c>
    </row>
    <row r="7794" spans="1:3">
      <c r="A7794" s="68">
        <v>41360</v>
      </c>
      <c r="B7794" s="33">
        <v>1828.95</v>
      </c>
      <c r="C7794">
        <f t="shared" si="151"/>
        <v>2013</v>
      </c>
    </row>
    <row r="7795" spans="1:3">
      <c r="A7795" s="68">
        <v>41361</v>
      </c>
      <c r="B7795" s="32">
        <v>1832.2</v>
      </c>
      <c r="C7795">
        <f t="shared" si="151"/>
        <v>2013</v>
      </c>
    </row>
    <row r="7796" spans="1:3">
      <c r="A7796" s="68">
        <v>41362</v>
      </c>
      <c r="B7796" s="33">
        <v>1832.2</v>
      </c>
      <c r="C7796">
        <f t="shared" si="151"/>
        <v>2013</v>
      </c>
    </row>
    <row r="7797" spans="1:3">
      <c r="A7797" s="68">
        <v>41363</v>
      </c>
      <c r="B7797" s="32">
        <v>1832.2</v>
      </c>
      <c r="C7797">
        <f t="shared" si="151"/>
        <v>2013</v>
      </c>
    </row>
    <row r="7798" spans="1:3">
      <c r="A7798" s="68">
        <v>41364</v>
      </c>
      <c r="B7798" s="33">
        <v>1832.2</v>
      </c>
      <c r="C7798">
        <f t="shared" si="151"/>
        <v>2013</v>
      </c>
    </row>
    <row r="7799" spans="1:3">
      <c r="A7799" s="68">
        <v>41365</v>
      </c>
      <c r="B7799" s="32">
        <v>1832.2</v>
      </c>
      <c r="C7799">
        <f t="shared" si="151"/>
        <v>2013</v>
      </c>
    </row>
    <row r="7800" spans="1:3">
      <c r="A7800" s="68">
        <v>41366</v>
      </c>
      <c r="B7800" s="33">
        <v>1823.12</v>
      </c>
      <c r="C7800">
        <f t="shared" si="151"/>
        <v>2013</v>
      </c>
    </row>
    <row r="7801" spans="1:3">
      <c r="A7801" s="68">
        <v>41367</v>
      </c>
      <c r="B7801" s="32">
        <v>1817.14</v>
      </c>
      <c r="C7801">
        <f t="shared" si="151"/>
        <v>2013</v>
      </c>
    </row>
    <row r="7802" spans="1:3">
      <c r="A7802" s="68">
        <v>41368</v>
      </c>
      <c r="B7802" s="33">
        <v>1819.93</v>
      </c>
      <c r="C7802">
        <f t="shared" si="151"/>
        <v>2013</v>
      </c>
    </row>
    <row r="7803" spans="1:3">
      <c r="A7803" s="68">
        <v>41369</v>
      </c>
      <c r="B7803" s="32">
        <v>1829.01</v>
      </c>
      <c r="C7803">
        <f t="shared" si="151"/>
        <v>2013</v>
      </c>
    </row>
    <row r="7804" spans="1:3">
      <c r="A7804" s="68">
        <v>41370</v>
      </c>
      <c r="B7804" s="33">
        <v>1826.88</v>
      </c>
      <c r="C7804">
        <f t="shared" si="151"/>
        <v>2013</v>
      </c>
    </row>
    <row r="7805" spans="1:3">
      <c r="A7805" s="68">
        <v>41371</v>
      </c>
      <c r="B7805" s="32">
        <v>1826.88</v>
      </c>
      <c r="C7805">
        <f t="shared" si="151"/>
        <v>2013</v>
      </c>
    </row>
    <row r="7806" spans="1:3">
      <c r="A7806" s="68">
        <v>41372</v>
      </c>
      <c r="B7806" s="33">
        <v>1826.88</v>
      </c>
      <c r="C7806">
        <f t="shared" si="151"/>
        <v>2013</v>
      </c>
    </row>
    <row r="7807" spans="1:3">
      <c r="A7807" s="68">
        <v>41373</v>
      </c>
      <c r="B7807" s="32">
        <v>1817.66</v>
      </c>
      <c r="C7807">
        <f t="shared" si="151"/>
        <v>2013</v>
      </c>
    </row>
    <row r="7808" spans="1:3">
      <c r="A7808" s="68">
        <v>41374</v>
      </c>
      <c r="B7808" s="33">
        <v>1813.11</v>
      </c>
      <c r="C7808">
        <f t="shared" si="151"/>
        <v>2013</v>
      </c>
    </row>
    <row r="7809" spans="1:3">
      <c r="A7809" s="68">
        <v>41375</v>
      </c>
      <c r="B7809" s="32">
        <v>1821.2</v>
      </c>
      <c r="C7809">
        <f t="shared" si="151"/>
        <v>2013</v>
      </c>
    </row>
    <row r="7810" spans="1:3">
      <c r="A7810" s="68">
        <v>41376</v>
      </c>
      <c r="B7810" s="33">
        <v>1823.84</v>
      </c>
      <c r="C7810">
        <f t="shared" si="151"/>
        <v>2013</v>
      </c>
    </row>
    <row r="7811" spans="1:3">
      <c r="A7811" s="68">
        <v>41377</v>
      </c>
      <c r="B7811" s="32">
        <v>1827.79</v>
      </c>
      <c r="C7811">
        <f t="shared" si="151"/>
        <v>2013</v>
      </c>
    </row>
    <row r="7812" spans="1:3">
      <c r="A7812" s="68">
        <v>41378</v>
      </c>
      <c r="B7812" s="33">
        <v>1827.79</v>
      </c>
      <c r="C7812">
        <f t="shared" ref="C7812:C7875" si="152">YEAR(A7812)</f>
        <v>2013</v>
      </c>
    </row>
    <row r="7813" spans="1:3">
      <c r="A7813" s="68">
        <v>41379</v>
      </c>
      <c r="B7813" s="32">
        <v>1827.79</v>
      </c>
      <c r="C7813">
        <f t="shared" si="152"/>
        <v>2013</v>
      </c>
    </row>
    <row r="7814" spans="1:3">
      <c r="A7814" s="68">
        <v>41380</v>
      </c>
      <c r="B7814" s="33">
        <v>1834.86</v>
      </c>
      <c r="C7814">
        <f t="shared" si="152"/>
        <v>2013</v>
      </c>
    </row>
    <row r="7815" spans="1:3">
      <c r="A7815" s="68">
        <v>41381</v>
      </c>
      <c r="B7815" s="32">
        <v>1833.98</v>
      </c>
      <c r="C7815">
        <f t="shared" si="152"/>
        <v>2013</v>
      </c>
    </row>
    <row r="7816" spans="1:3">
      <c r="A7816" s="68">
        <v>41382</v>
      </c>
      <c r="B7816" s="33">
        <v>1846.46</v>
      </c>
      <c r="C7816">
        <f t="shared" si="152"/>
        <v>2013</v>
      </c>
    </row>
    <row r="7817" spans="1:3">
      <c r="A7817" s="68">
        <v>41383</v>
      </c>
      <c r="B7817" s="32">
        <v>1847.02</v>
      </c>
      <c r="C7817">
        <f t="shared" si="152"/>
        <v>2013</v>
      </c>
    </row>
    <row r="7818" spans="1:3">
      <c r="A7818" s="68">
        <v>41384</v>
      </c>
      <c r="B7818" s="33">
        <v>1835.57</v>
      </c>
      <c r="C7818">
        <f t="shared" si="152"/>
        <v>2013</v>
      </c>
    </row>
    <row r="7819" spans="1:3">
      <c r="A7819" s="68">
        <v>41385</v>
      </c>
      <c r="B7819" s="32">
        <v>1835.57</v>
      </c>
      <c r="C7819">
        <f t="shared" si="152"/>
        <v>2013</v>
      </c>
    </row>
    <row r="7820" spans="1:3">
      <c r="A7820" s="68">
        <v>41386</v>
      </c>
      <c r="B7820" s="33">
        <v>1835.57</v>
      </c>
      <c r="C7820">
        <f t="shared" si="152"/>
        <v>2013</v>
      </c>
    </row>
    <row r="7821" spans="1:3">
      <c r="A7821" s="68">
        <v>41387</v>
      </c>
      <c r="B7821" s="32">
        <v>1841.14</v>
      </c>
      <c r="C7821">
        <f t="shared" si="152"/>
        <v>2013</v>
      </c>
    </row>
    <row r="7822" spans="1:3">
      <c r="A7822" s="68">
        <v>41388</v>
      </c>
      <c r="B7822" s="33">
        <v>1838.03</v>
      </c>
      <c r="C7822">
        <f t="shared" si="152"/>
        <v>2013</v>
      </c>
    </row>
    <row r="7823" spans="1:3">
      <c r="A7823" s="68">
        <v>41389</v>
      </c>
      <c r="B7823" s="32">
        <v>1836.79</v>
      </c>
      <c r="C7823">
        <f t="shared" si="152"/>
        <v>2013</v>
      </c>
    </row>
    <row r="7824" spans="1:3">
      <c r="A7824" s="68">
        <v>41390</v>
      </c>
      <c r="B7824" s="33">
        <v>1830.84</v>
      </c>
      <c r="C7824">
        <f t="shared" si="152"/>
        <v>2013</v>
      </c>
    </row>
    <row r="7825" spans="1:3">
      <c r="A7825" s="68">
        <v>41391</v>
      </c>
      <c r="B7825" s="32">
        <v>1833.7</v>
      </c>
      <c r="C7825">
        <f t="shared" si="152"/>
        <v>2013</v>
      </c>
    </row>
    <row r="7826" spans="1:3">
      <c r="A7826" s="68">
        <v>41392</v>
      </c>
      <c r="B7826" s="33">
        <v>1833.7</v>
      </c>
      <c r="C7826">
        <f t="shared" si="152"/>
        <v>2013</v>
      </c>
    </row>
    <row r="7827" spans="1:3">
      <c r="A7827" s="68">
        <v>41393</v>
      </c>
      <c r="B7827" s="32">
        <v>1833.7</v>
      </c>
      <c r="C7827">
        <f t="shared" si="152"/>
        <v>2013</v>
      </c>
    </row>
    <row r="7828" spans="1:3">
      <c r="A7828" s="68">
        <v>41394</v>
      </c>
      <c r="B7828" s="33">
        <v>1828.79</v>
      </c>
      <c r="C7828">
        <f t="shared" si="152"/>
        <v>2013</v>
      </c>
    </row>
    <row r="7829" spans="1:3">
      <c r="A7829" s="68">
        <v>41395</v>
      </c>
      <c r="B7829" s="32">
        <v>1825.83</v>
      </c>
      <c r="C7829">
        <f t="shared" si="152"/>
        <v>2013</v>
      </c>
    </row>
    <row r="7830" spans="1:3">
      <c r="A7830" s="68">
        <v>41396</v>
      </c>
      <c r="B7830" s="33">
        <v>1825.83</v>
      </c>
      <c r="C7830">
        <f t="shared" si="152"/>
        <v>2013</v>
      </c>
    </row>
    <row r="7831" spans="1:3">
      <c r="A7831" s="68">
        <v>41397</v>
      </c>
      <c r="B7831" s="32">
        <v>1836.34</v>
      </c>
      <c r="C7831">
        <f t="shared" si="152"/>
        <v>2013</v>
      </c>
    </row>
    <row r="7832" spans="1:3">
      <c r="A7832" s="68">
        <v>41398</v>
      </c>
      <c r="B7832" s="33">
        <v>1835.88</v>
      </c>
      <c r="C7832">
        <f t="shared" si="152"/>
        <v>2013</v>
      </c>
    </row>
    <row r="7833" spans="1:3">
      <c r="A7833" s="68">
        <v>41399</v>
      </c>
      <c r="B7833" s="32">
        <v>1835.88</v>
      </c>
      <c r="C7833">
        <f t="shared" si="152"/>
        <v>2013</v>
      </c>
    </row>
    <row r="7834" spans="1:3">
      <c r="A7834" s="68">
        <v>41400</v>
      </c>
      <c r="B7834" s="33">
        <v>1835.88</v>
      </c>
      <c r="C7834">
        <f t="shared" si="152"/>
        <v>2013</v>
      </c>
    </row>
    <row r="7835" spans="1:3">
      <c r="A7835" s="68">
        <v>41401</v>
      </c>
      <c r="B7835" s="32">
        <v>1831.42</v>
      </c>
      <c r="C7835">
        <f t="shared" si="152"/>
        <v>2013</v>
      </c>
    </row>
    <row r="7836" spans="1:3">
      <c r="A7836" s="68">
        <v>41402</v>
      </c>
      <c r="B7836" s="33">
        <v>1827.13</v>
      </c>
      <c r="C7836">
        <f t="shared" si="152"/>
        <v>2013</v>
      </c>
    </row>
    <row r="7837" spans="1:3">
      <c r="A7837" s="68">
        <v>41403</v>
      </c>
      <c r="B7837" s="32">
        <v>1830.7</v>
      </c>
      <c r="C7837">
        <f t="shared" si="152"/>
        <v>2013</v>
      </c>
    </row>
    <row r="7838" spans="1:3">
      <c r="A7838" s="68">
        <v>41404</v>
      </c>
      <c r="B7838" s="33">
        <v>1833.07</v>
      </c>
      <c r="C7838">
        <f t="shared" si="152"/>
        <v>2013</v>
      </c>
    </row>
    <row r="7839" spans="1:3">
      <c r="A7839" s="68">
        <v>41405</v>
      </c>
      <c r="B7839" s="32">
        <v>1834.83</v>
      </c>
      <c r="C7839">
        <f t="shared" si="152"/>
        <v>2013</v>
      </c>
    </row>
    <row r="7840" spans="1:3">
      <c r="A7840" s="68">
        <v>41406</v>
      </c>
      <c r="B7840" s="33">
        <v>1834.83</v>
      </c>
      <c r="C7840">
        <f t="shared" si="152"/>
        <v>2013</v>
      </c>
    </row>
    <row r="7841" spans="1:3">
      <c r="A7841" s="68">
        <v>41407</v>
      </c>
      <c r="B7841" s="32">
        <v>1834.83</v>
      </c>
      <c r="C7841">
        <f t="shared" si="152"/>
        <v>2013</v>
      </c>
    </row>
    <row r="7842" spans="1:3">
      <c r="A7842" s="68">
        <v>41408</v>
      </c>
      <c r="B7842" s="33">
        <v>1834.83</v>
      </c>
      <c r="C7842">
        <f t="shared" si="152"/>
        <v>2013</v>
      </c>
    </row>
    <row r="7843" spans="1:3">
      <c r="A7843" s="68">
        <v>41409</v>
      </c>
      <c r="B7843" s="32">
        <v>1838.63</v>
      </c>
      <c r="C7843">
        <f t="shared" si="152"/>
        <v>2013</v>
      </c>
    </row>
    <row r="7844" spans="1:3">
      <c r="A7844" s="68">
        <v>41410</v>
      </c>
      <c r="B7844" s="33">
        <v>1843.75</v>
      </c>
      <c r="C7844">
        <f t="shared" si="152"/>
        <v>2013</v>
      </c>
    </row>
    <row r="7845" spans="1:3">
      <c r="A7845" s="68">
        <v>41411</v>
      </c>
      <c r="B7845" s="32">
        <v>1838.82</v>
      </c>
      <c r="C7845">
        <f t="shared" si="152"/>
        <v>2013</v>
      </c>
    </row>
    <row r="7846" spans="1:3">
      <c r="A7846" s="68">
        <v>41412</v>
      </c>
      <c r="B7846" s="33">
        <v>1841.35</v>
      </c>
      <c r="C7846">
        <f t="shared" si="152"/>
        <v>2013</v>
      </c>
    </row>
    <row r="7847" spans="1:3">
      <c r="A7847" s="68">
        <v>41413</v>
      </c>
      <c r="B7847" s="32">
        <v>1841.35</v>
      </c>
      <c r="C7847">
        <f t="shared" si="152"/>
        <v>2013</v>
      </c>
    </row>
    <row r="7848" spans="1:3">
      <c r="A7848" s="68">
        <v>41414</v>
      </c>
      <c r="B7848" s="33">
        <v>1841.35</v>
      </c>
      <c r="C7848">
        <f t="shared" si="152"/>
        <v>2013</v>
      </c>
    </row>
    <row r="7849" spans="1:3">
      <c r="A7849" s="68">
        <v>41415</v>
      </c>
      <c r="B7849" s="32">
        <v>1842.59</v>
      </c>
      <c r="C7849">
        <f t="shared" si="152"/>
        <v>2013</v>
      </c>
    </row>
    <row r="7850" spans="1:3">
      <c r="A7850" s="68">
        <v>41416</v>
      </c>
      <c r="B7850" s="33">
        <v>1846.76</v>
      </c>
      <c r="C7850">
        <f t="shared" si="152"/>
        <v>2013</v>
      </c>
    </row>
    <row r="7851" spans="1:3">
      <c r="A7851" s="68">
        <v>41417</v>
      </c>
      <c r="B7851" s="32">
        <v>1850.55</v>
      </c>
      <c r="C7851">
        <f t="shared" si="152"/>
        <v>2013</v>
      </c>
    </row>
    <row r="7852" spans="1:3">
      <c r="A7852" s="68">
        <v>41418</v>
      </c>
      <c r="B7852" s="33">
        <v>1864.02</v>
      </c>
      <c r="C7852">
        <f t="shared" si="152"/>
        <v>2013</v>
      </c>
    </row>
    <row r="7853" spans="1:3">
      <c r="A7853" s="68">
        <v>41419</v>
      </c>
      <c r="B7853" s="32">
        <v>1874.1</v>
      </c>
      <c r="C7853">
        <f t="shared" si="152"/>
        <v>2013</v>
      </c>
    </row>
    <row r="7854" spans="1:3">
      <c r="A7854" s="68">
        <v>41420</v>
      </c>
      <c r="B7854" s="33">
        <v>1874.1</v>
      </c>
      <c r="C7854">
        <f t="shared" si="152"/>
        <v>2013</v>
      </c>
    </row>
    <row r="7855" spans="1:3">
      <c r="A7855" s="68">
        <v>41421</v>
      </c>
      <c r="B7855" s="32">
        <v>1874.1</v>
      </c>
      <c r="C7855">
        <f t="shared" si="152"/>
        <v>2013</v>
      </c>
    </row>
    <row r="7856" spans="1:3">
      <c r="A7856" s="68">
        <v>41422</v>
      </c>
      <c r="B7856" s="33">
        <v>1874.1</v>
      </c>
      <c r="C7856">
        <f t="shared" si="152"/>
        <v>2013</v>
      </c>
    </row>
    <row r="7857" spans="1:3">
      <c r="A7857" s="68">
        <v>41423</v>
      </c>
      <c r="B7857" s="32">
        <v>1897.1</v>
      </c>
      <c r="C7857">
        <f t="shared" si="152"/>
        <v>2013</v>
      </c>
    </row>
    <row r="7858" spans="1:3">
      <c r="A7858" s="68">
        <v>41424</v>
      </c>
      <c r="B7858" s="33">
        <v>1894.13</v>
      </c>
      <c r="C7858">
        <f t="shared" si="152"/>
        <v>2013</v>
      </c>
    </row>
    <row r="7859" spans="1:3">
      <c r="A7859" s="68">
        <v>41425</v>
      </c>
      <c r="B7859" s="32">
        <v>1891.48</v>
      </c>
      <c r="C7859">
        <f t="shared" si="152"/>
        <v>2013</v>
      </c>
    </row>
    <row r="7860" spans="1:3">
      <c r="A7860" s="68">
        <v>41426</v>
      </c>
      <c r="B7860" s="33">
        <v>1907.76</v>
      </c>
      <c r="C7860">
        <f t="shared" si="152"/>
        <v>2013</v>
      </c>
    </row>
    <row r="7861" spans="1:3">
      <c r="A7861" s="68">
        <v>41427</v>
      </c>
      <c r="B7861" s="32">
        <v>1907.76</v>
      </c>
      <c r="C7861">
        <f t="shared" si="152"/>
        <v>2013</v>
      </c>
    </row>
    <row r="7862" spans="1:3">
      <c r="A7862" s="68">
        <v>41428</v>
      </c>
      <c r="B7862" s="33">
        <v>1907.76</v>
      </c>
      <c r="C7862">
        <f t="shared" si="152"/>
        <v>2013</v>
      </c>
    </row>
    <row r="7863" spans="1:3">
      <c r="A7863" s="68">
        <v>41429</v>
      </c>
      <c r="B7863" s="32">
        <v>1907.76</v>
      </c>
      <c r="C7863">
        <f t="shared" si="152"/>
        <v>2013</v>
      </c>
    </row>
    <row r="7864" spans="1:3">
      <c r="A7864" s="68">
        <v>41430</v>
      </c>
      <c r="B7864" s="33">
        <v>1894.4</v>
      </c>
      <c r="C7864">
        <f t="shared" si="152"/>
        <v>2013</v>
      </c>
    </row>
    <row r="7865" spans="1:3">
      <c r="A7865" s="68">
        <v>41431</v>
      </c>
      <c r="B7865" s="32">
        <v>1899.08</v>
      </c>
      <c r="C7865">
        <f t="shared" si="152"/>
        <v>2013</v>
      </c>
    </row>
    <row r="7866" spans="1:3">
      <c r="A7866" s="68">
        <v>41432</v>
      </c>
      <c r="B7866" s="33">
        <v>1907.88</v>
      </c>
      <c r="C7866">
        <f t="shared" si="152"/>
        <v>2013</v>
      </c>
    </row>
    <row r="7867" spans="1:3">
      <c r="A7867" s="68">
        <v>41433</v>
      </c>
      <c r="B7867" s="32">
        <v>1898.8</v>
      </c>
      <c r="C7867">
        <f t="shared" si="152"/>
        <v>2013</v>
      </c>
    </row>
    <row r="7868" spans="1:3">
      <c r="A7868" s="68">
        <v>41434</v>
      </c>
      <c r="B7868" s="33">
        <v>1898.8</v>
      </c>
      <c r="C7868">
        <f t="shared" si="152"/>
        <v>2013</v>
      </c>
    </row>
    <row r="7869" spans="1:3">
      <c r="A7869" s="68">
        <v>41435</v>
      </c>
      <c r="B7869" s="32">
        <v>1898.8</v>
      </c>
      <c r="C7869">
        <f t="shared" si="152"/>
        <v>2013</v>
      </c>
    </row>
    <row r="7870" spans="1:3">
      <c r="A7870" s="68">
        <v>41436</v>
      </c>
      <c r="B7870" s="33">
        <v>1898.8</v>
      </c>
      <c r="C7870">
        <f t="shared" si="152"/>
        <v>2013</v>
      </c>
    </row>
    <row r="7871" spans="1:3">
      <c r="A7871" s="68">
        <v>41437</v>
      </c>
      <c r="B7871" s="32">
        <v>1907.12</v>
      </c>
      <c r="C7871">
        <f t="shared" si="152"/>
        <v>2013</v>
      </c>
    </row>
    <row r="7872" spans="1:3">
      <c r="A7872" s="68">
        <v>41438</v>
      </c>
      <c r="B7872" s="33">
        <v>1897.53</v>
      </c>
      <c r="C7872">
        <f t="shared" si="152"/>
        <v>2013</v>
      </c>
    </row>
    <row r="7873" spans="1:3">
      <c r="A7873" s="68">
        <v>41439</v>
      </c>
      <c r="B7873" s="32">
        <v>1895.01</v>
      </c>
      <c r="C7873">
        <f t="shared" si="152"/>
        <v>2013</v>
      </c>
    </row>
    <row r="7874" spans="1:3">
      <c r="A7874" s="68">
        <v>41440</v>
      </c>
      <c r="B7874" s="33">
        <v>1882.38</v>
      </c>
      <c r="C7874">
        <f t="shared" si="152"/>
        <v>2013</v>
      </c>
    </row>
    <row r="7875" spans="1:3">
      <c r="A7875" s="68">
        <v>41441</v>
      </c>
      <c r="B7875" s="32">
        <v>1882.38</v>
      </c>
      <c r="C7875">
        <f t="shared" si="152"/>
        <v>2013</v>
      </c>
    </row>
    <row r="7876" spans="1:3">
      <c r="A7876" s="68">
        <v>41442</v>
      </c>
      <c r="B7876" s="33">
        <v>1882.38</v>
      </c>
      <c r="C7876">
        <f t="shared" ref="C7876:C7939" si="153">YEAR(A7876)</f>
        <v>2013</v>
      </c>
    </row>
    <row r="7877" spans="1:3">
      <c r="A7877" s="68">
        <v>41443</v>
      </c>
      <c r="B7877" s="32">
        <v>1883.57</v>
      </c>
      <c r="C7877">
        <f t="shared" si="153"/>
        <v>2013</v>
      </c>
    </row>
    <row r="7878" spans="1:3">
      <c r="A7878" s="68">
        <v>41444</v>
      </c>
      <c r="B7878" s="33">
        <v>1902.47</v>
      </c>
      <c r="C7878">
        <f t="shared" si="153"/>
        <v>2013</v>
      </c>
    </row>
    <row r="7879" spans="1:3">
      <c r="A7879" s="68">
        <v>41445</v>
      </c>
      <c r="B7879" s="32">
        <v>1900.87</v>
      </c>
      <c r="C7879">
        <f t="shared" si="153"/>
        <v>2013</v>
      </c>
    </row>
    <row r="7880" spans="1:3">
      <c r="A7880" s="68">
        <v>41446</v>
      </c>
      <c r="B7880" s="33">
        <v>1937.26</v>
      </c>
      <c r="C7880">
        <f t="shared" si="153"/>
        <v>2013</v>
      </c>
    </row>
    <row r="7881" spans="1:3">
      <c r="A7881" s="68">
        <v>41447</v>
      </c>
      <c r="B7881" s="32">
        <v>1941.06</v>
      </c>
      <c r="C7881">
        <f t="shared" si="153"/>
        <v>2013</v>
      </c>
    </row>
    <row r="7882" spans="1:3">
      <c r="A7882" s="68">
        <v>41448</v>
      </c>
      <c r="B7882" s="33">
        <v>1941.06</v>
      </c>
      <c r="C7882">
        <f t="shared" si="153"/>
        <v>2013</v>
      </c>
    </row>
    <row r="7883" spans="1:3">
      <c r="A7883" s="68">
        <v>41449</v>
      </c>
      <c r="B7883" s="32">
        <v>1941.06</v>
      </c>
      <c r="C7883">
        <f t="shared" si="153"/>
        <v>2013</v>
      </c>
    </row>
    <row r="7884" spans="1:3">
      <c r="A7884" s="68">
        <v>41450</v>
      </c>
      <c r="B7884" s="33">
        <v>1942.97</v>
      </c>
      <c r="C7884">
        <f t="shared" si="153"/>
        <v>2013</v>
      </c>
    </row>
    <row r="7885" spans="1:3">
      <c r="A7885" s="68">
        <v>41451</v>
      </c>
      <c r="B7885" s="32">
        <v>1928.27</v>
      </c>
      <c r="C7885">
        <f t="shared" si="153"/>
        <v>2013</v>
      </c>
    </row>
    <row r="7886" spans="1:3">
      <c r="A7886" s="68">
        <v>41452</v>
      </c>
      <c r="B7886" s="33">
        <v>1921.86</v>
      </c>
      <c r="C7886">
        <f t="shared" si="153"/>
        <v>2013</v>
      </c>
    </row>
    <row r="7887" spans="1:3">
      <c r="A7887" s="68">
        <v>41453</v>
      </c>
      <c r="B7887" s="32">
        <v>1922.63</v>
      </c>
      <c r="C7887">
        <f t="shared" si="153"/>
        <v>2013</v>
      </c>
    </row>
    <row r="7888" spans="1:3">
      <c r="A7888" s="68">
        <v>41454</v>
      </c>
      <c r="B7888" s="33">
        <v>1929</v>
      </c>
      <c r="C7888">
        <f t="shared" si="153"/>
        <v>2013</v>
      </c>
    </row>
    <row r="7889" spans="1:3">
      <c r="A7889" s="68">
        <v>41455</v>
      </c>
      <c r="B7889" s="32">
        <v>1929</v>
      </c>
      <c r="C7889">
        <f t="shared" si="153"/>
        <v>2013</v>
      </c>
    </row>
    <row r="7890" spans="1:3">
      <c r="A7890" s="68">
        <v>41456</v>
      </c>
      <c r="B7890" s="33">
        <v>1929</v>
      </c>
      <c r="C7890">
        <f t="shared" si="153"/>
        <v>2013</v>
      </c>
    </row>
    <row r="7891" spans="1:3">
      <c r="A7891" s="68">
        <v>41457</v>
      </c>
      <c r="B7891" s="32">
        <v>1929</v>
      </c>
      <c r="C7891">
        <f t="shared" si="153"/>
        <v>2013</v>
      </c>
    </row>
    <row r="7892" spans="1:3">
      <c r="A7892" s="68">
        <v>41458</v>
      </c>
      <c r="B7892" s="33">
        <v>1919.42</v>
      </c>
      <c r="C7892">
        <f t="shared" si="153"/>
        <v>2013</v>
      </c>
    </row>
    <row r="7893" spans="1:3">
      <c r="A7893" s="68">
        <v>41459</v>
      </c>
      <c r="B7893" s="32">
        <v>1915.45</v>
      </c>
      <c r="C7893">
        <f t="shared" si="153"/>
        <v>2013</v>
      </c>
    </row>
    <row r="7894" spans="1:3">
      <c r="A7894" s="68">
        <v>41460</v>
      </c>
      <c r="B7894" s="33">
        <v>1915.45</v>
      </c>
      <c r="C7894">
        <f t="shared" si="153"/>
        <v>2013</v>
      </c>
    </row>
    <row r="7895" spans="1:3">
      <c r="A7895" s="68">
        <v>41461</v>
      </c>
      <c r="B7895" s="32">
        <v>1927.4</v>
      </c>
      <c r="C7895">
        <f t="shared" si="153"/>
        <v>2013</v>
      </c>
    </row>
    <row r="7896" spans="1:3">
      <c r="A7896" s="68">
        <v>41462</v>
      </c>
      <c r="B7896" s="33">
        <v>1927.4</v>
      </c>
      <c r="C7896">
        <f t="shared" si="153"/>
        <v>2013</v>
      </c>
    </row>
    <row r="7897" spans="1:3">
      <c r="A7897" s="68">
        <v>41463</v>
      </c>
      <c r="B7897" s="32">
        <v>1927.4</v>
      </c>
      <c r="C7897">
        <f t="shared" si="153"/>
        <v>2013</v>
      </c>
    </row>
    <row r="7898" spans="1:3">
      <c r="A7898" s="68">
        <v>41464</v>
      </c>
      <c r="B7898" s="33">
        <v>1926.84</v>
      </c>
      <c r="C7898">
        <f t="shared" si="153"/>
        <v>2013</v>
      </c>
    </row>
    <row r="7899" spans="1:3">
      <c r="A7899" s="68">
        <v>41465</v>
      </c>
      <c r="B7899" s="32">
        <v>1920.12</v>
      </c>
      <c r="C7899">
        <f t="shared" si="153"/>
        <v>2013</v>
      </c>
    </row>
    <row r="7900" spans="1:3">
      <c r="A7900" s="68">
        <v>41466</v>
      </c>
      <c r="B7900" s="33">
        <v>1920.24</v>
      </c>
      <c r="C7900">
        <f t="shared" si="153"/>
        <v>2013</v>
      </c>
    </row>
    <row r="7901" spans="1:3">
      <c r="A7901" s="68">
        <v>41467</v>
      </c>
      <c r="B7901" s="32">
        <v>1910.79</v>
      </c>
      <c r="C7901">
        <f t="shared" si="153"/>
        <v>2013</v>
      </c>
    </row>
    <row r="7902" spans="1:3">
      <c r="A7902" s="68">
        <v>41468</v>
      </c>
      <c r="B7902" s="33">
        <v>1905.25</v>
      </c>
      <c r="C7902">
        <f t="shared" si="153"/>
        <v>2013</v>
      </c>
    </row>
    <row r="7903" spans="1:3">
      <c r="A7903" s="68">
        <v>41469</v>
      </c>
      <c r="B7903" s="32">
        <v>1905.25</v>
      </c>
      <c r="C7903">
        <f t="shared" si="153"/>
        <v>2013</v>
      </c>
    </row>
    <row r="7904" spans="1:3">
      <c r="A7904" s="68">
        <v>41470</v>
      </c>
      <c r="B7904" s="33">
        <v>1905.25</v>
      </c>
      <c r="C7904">
        <f t="shared" si="153"/>
        <v>2013</v>
      </c>
    </row>
    <row r="7905" spans="1:3">
      <c r="A7905" s="68">
        <v>41471</v>
      </c>
      <c r="B7905" s="32">
        <v>1893.16</v>
      </c>
      <c r="C7905">
        <f t="shared" si="153"/>
        <v>2013</v>
      </c>
    </row>
    <row r="7906" spans="1:3">
      <c r="A7906" s="68">
        <v>41472</v>
      </c>
      <c r="B7906" s="33">
        <v>1878.42</v>
      </c>
      <c r="C7906">
        <f t="shared" si="153"/>
        <v>2013</v>
      </c>
    </row>
    <row r="7907" spans="1:3">
      <c r="A7907" s="68">
        <v>41473</v>
      </c>
      <c r="B7907" s="32">
        <v>1873.25</v>
      </c>
      <c r="C7907">
        <f t="shared" si="153"/>
        <v>2013</v>
      </c>
    </row>
    <row r="7908" spans="1:3">
      <c r="A7908" s="68">
        <v>41474</v>
      </c>
      <c r="B7908" s="33">
        <v>1883.29</v>
      </c>
      <c r="C7908">
        <f t="shared" si="153"/>
        <v>2013</v>
      </c>
    </row>
    <row r="7909" spans="1:3">
      <c r="A7909" s="68">
        <v>41475</v>
      </c>
      <c r="B7909" s="32">
        <v>1884.01</v>
      </c>
      <c r="C7909">
        <f t="shared" si="153"/>
        <v>2013</v>
      </c>
    </row>
    <row r="7910" spans="1:3">
      <c r="A7910" s="68">
        <v>41476</v>
      </c>
      <c r="B7910" s="33">
        <v>1884.01</v>
      </c>
      <c r="C7910">
        <f t="shared" si="153"/>
        <v>2013</v>
      </c>
    </row>
    <row r="7911" spans="1:3">
      <c r="A7911" s="68">
        <v>41477</v>
      </c>
      <c r="B7911" s="32">
        <v>1884.01</v>
      </c>
      <c r="C7911">
        <f t="shared" si="153"/>
        <v>2013</v>
      </c>
    </row>
    <row r="7912" spans="1:3">
      <c r="A7912" s="68">
        <v>41478</v>
      </c>
      <c r="B7912" s="33">
        <v>1880.87</v>
      </c>
      <c r="C7912">
        <f t="shared" si="153"/>
        <v>2013</v>
      </c>
    </row>
    <row r="7913" spans="1:3">
      <c r="A7913" s="68">
        <v>41479</v>
      </c>
      <c r="B7913" s="32">
        <v>1886.06</v>
      </c>
      <c r="C7913">
        <f t="shared" si="153"/>
        <v>2013</v>
      </c>
    </row>
    <row r="7914" spans="1:3">
      <c r="A7914" s="68">
        <v>41480</v>
      </c>
      <c r="B7914" s="33">
        <v>1891.02</v>
      </c>
      <c r="C7914">
        <f t="shared" si="153"/>
        <v>2013</v>
      </c>
    </row>
    <row r="7915" spans="1:3">
      <c r="A7915" s="68">
        <v>41481</v>
      </c>
      <c r="B7915" s="32">
        <v>1887.4</v>
      </c>
      <c r="C7915">
        <f t="shared" si="153"/>
        <v>2013</v>
      </c>
    </row>
    <row r="7916" spans="1:3">
      <c r="A7916" s="68">
        <v>41482</v>
      </c>
      <c r="B7916" s="33">
        <v>1886.26</v>
      </c>
      <c r="C7916">
        <f t="shared" si="153"/>
        <v>2013</v>
      </c>
    </row>
    <row r="7917" spans="1:3">
      <c r="A7917" s="68">
        <v>41483</v>
      </c>
      <c r="B7917" s="32">
        <v>1886.26</v>
      </c>
      <c r="C7917">
        <f t="shared" si="153"/>
        <v>2013</v>
      </c>
    </row>
    <row r="7918" spans="1:3">
      <c r="A7918" s="68">
        <v>41484</v>
      </c>
      <c r="B7918" s="33">
        <v>1886.26</v>
      </c>
      <c r="C7918">
        <f t="shared" si="153"/>
        <v>2013</v>
      </c>
    </row>
    <row r="7919" spans="1:3">
      <c r="A7919" s="68">
        <v>41485</v>
      </c>
      <c r="B7919" s="32">
        <v>1888.95</v>
      </c>
      <c r="C7919">
        <f t="shared" si="153"/>
        <v>2013</v>
      </c>
    </row>
    <row r="7920" spans="1:3">
      <c r="A7920" s="68">
        <v>41486</v>
      </c>
      <c r="B7920" s="33">
        <v>1890.33</v>
      </c>
      <c r="C7920">
        <f t="shared" si="153"/>
        <v>2013</v>
      </c>
    </row>
    <row r="7921" spans="1:3">
      <c r="A7921" s="68">
        <v>41487</v>
      </c>
      <c r="B7921" s="32">
        <v>1896.15</v>
      </c>
      <c r="C7921">
        <f t="shared" si="153"/>
        <v>2013</v>
      </c>
    </row>
    <row r="7922" spans="1:3">
      <c r="A7922" s="68">
        <v>41488</v>
      </c>
      <c r="B7922" s="33">
        <v>1896.65</v>
      </c>
      <c r="C7922">
        <f t="shared" si="153"/>
        <v>2013</v>
      </c>
    </row>
    <row r="7923" spans="1:3">
      <c r="A7923" s="68">
        <v>41489</v>
      </c>
      <c r="B7923" s="32">
        <v>1891.67</v>
      </c>
      <c r="C7923">
        <f t="shared" si="153"/>
        <v>2013</v>
      </c>
    </row>
    <row r="7924" spans="1:3">
      <c r="A7924" s="68">
        <v>41490</v>
      </c>
      <c r="B7924" s="33">
        <v>1891.67</v>
      </c>
      <c r="C7924">
        <f t="shared" si="153"/>
        <v>2013</v>
      </c>
    </row>
    <row r="7925" spans="1:3">
      <c r="A7925" s="68">
        <v>41491</v>
      </c>
      <c r="B7925" s="32">
        <v>1891.67</v>
      </c>
      <c r="C7925">
        <f t="shared" si="153"/>
        <v>2013</v>
      </c>
    </row>
    <row r="7926" spans="1:3">
      <c r="A7926" s="68">
        <v>41492</v>
      </c>
      <c r="B7926" s="33">
        <v>1883.24</v>
      </c>
      <c r="C7926">
        <f t="shared" si="153"/>
        <v>2013</v>
      </c>
    </row>
    <row r="7927" spans="1:3">
      <c r="A7927" s="68">
        <v>41493</v>
      </c>
      <c r="B7927" s="32">
        <v>1882.01</v>
      </c>
      <c r="C7927">
        <f t="shared" si="153"/>
        <v>2013</v>
      </c>
    </row>
    <row r="7928" spans="1:3">
      <c r="A7928" s="68">
        <v>41494</v>
      </c>
      <c r="B7928" s="33">
        <v>1882.01</v>
      </c>
      <c r="C7928">
        <f t="shared" si="153"/>
        <v>2013</v>
      </c>
    </row>
    <row r="7929" spans="1:3">
      <c r="A7929" s="68">
        <v>41495</v>
      </c>
      <c r="B7929" s="32">
        <v>1877.23</v>
      </c>
      <c r="C7929">
        <f t="shared" si="153"/>
        <v>2013</v>
      </c>
    </row>
    <row r="7930" spans="1:3">
      <c r="A7930" s="68">
        <v>41496</v>
      </c>
      <c r="B7930" s="33">
        <v>1873.92</v>
      </c>
      <c r="C7930">
        <f t="shared" si="153"/>
        <v>2013</v>
      </c>
    </row>
    <row r="7931" spans="1:3">
      <c r="A7931" s="68">
        <v>41497</v>
      </c>
      <c r="B7931" s="32">
        <v>1873.92</v>
      </c>
      <c r="C7931">
        <f t="shared" si="153"/>
        <v>2013</v>
      </c>
    </row>
    <row r="7932" spans="1:3">
      <c r="A7932" s="68">
        <v>41498</v>
      </c>
      <c r="B7932" s="33">
        <v>1873.92</v>
      </c>
      <c r="C7932">
        <f t="shared" si="153"/>
        <v>2013</v>
      </c>
    </row>
    <row r="7933" spans="1:3">
      <c r="A7933" s="68">
        <v>41499</v>
      </c>
      <c r="B7933" s="32">
        <v>1868.9</v>
      </c>
      <c r="C7933">
        <f t="shared" si="153"/>
        <v>2013</v>
      </c>
    </row>
    <row r="7934" spans="1:3">
      <c r="A7934" s="68">
        <v>41500</v>
      </c>
      <c r="B7934" s="33">
        <v>1882.36</v>
      </c>
      <c r="C7934">
        <f t="shared" si="153"/>
        <v>2013</v>
      </c>
    </row>
    <row r="7935" spans="1:3">
      <c r="A7935" s="68">
        <v>41501</v>
      </c>
      <c r="B7935" s="32">
        <v>1883.15</v>
      </c>
      <c r="C7935">
        <f t="shared" si="153"/>
        <v>2013</v>
      </c>
    </row>
    <row r="7936" spans="1:3">
      <c r="A7936" s="68">
        <v>41502</v>
      </c>
      <c r="B7936" s="33">
        <v>1901.03</v>
      </c>
      <c r="C7936">
        <f t="shared" si="153"/>
        <v>2013</v>
      </c>
    </row>
    <row r="7937" spans="1:3">
      <c r="A7937" s="68">
        <v>41503</v>
      </c>
      <c r="B7937" s="32">
        <v>1907.06</v>
      </c>
      <c r="C7937">
        <f t="shared" si="153"/>
        <v>2013</v>
      </c>
    </row>
    <row r="7938" spans="1:3">
      <c r="A7938" s="68">
        <v>41504</v>
      </c>
      <c r="B7938" s="33">
        <v>1907.06</v>
      </c>
      <c r="C7938">
        <f t="shared" si="153"/>
        <v>2013</v>
      </c>
    </row>
    <row r="7939" spans="1:3">
      <c r="A7939" s="68">
        <v>41505</v>
      </c>
      <c r="B7939" s="32">
        <v>1907.06</v>
      </c>
      <c r="C7939">
        <f t="shared" si="153"/>
        <v>2013</v>
      </c>
    </row>
    <row r="7940" spans="1:3">
      <c r="A7940" s="68">
        <v>41506</v>
      </c>
      <c r="B7940" s="33">
        <v>1907.06</v>
      </c>
      <c r="C7940">
        <f t="shared" ref="C7940:C8003" si="154">YEAR(A7940)</f>
        <v>2013</v>
      </c>
    </row>
    <row r="7941" spans="1:3">
      <c r="A7941" s="68">
        <v>41507</v>
      </c>
      <c r="B7941" s="32">
        <v>1922.73</v>
      </c>
      <c r="C7941">
        <f t="shared" si="154"/>
        <v>2013</v>
      </c>
    </row>
    <row r="7942" spans="1:3">
      <c r="A7942" s="68">
        <v>41508</v>
      </c>
      <c r="B7942" s="33">
        <v>1929.75</v>
      </c>
      <c r="C7942">
        <f t="shared" si="154"/>
        <v>2013</v>
      </c>
    </row>
    <row r="7943" spans="1:3">
      <c r="A7943" s="68">
        <v>41509</v>
      </c>
      <c r="B7943" s="32">
        <v>1921.99</v>
      </c>
      <c r="C7943">
        <f t="shared" si="154"/>
        <v>2013</v>
      </c>
    </row>
    <row r="7944" spans="1:3">
      <c r="A7944" s="68">
        <v>41510</v>
      </c>
      <c r="B7944" s="33">
        <v>1911.16</v>
      </c>
      <c r="C7944">
        <f t="shared" si="154"/>
        <v>2013</v>
      </c>
    </row>
    <row r="7945" spans="1:3">
      <c r="A7945" s="68">
        <v>41511</v>
      </c>
      <c r="B7945" s="32">
        <v>1911.16</v>
      </c>
      <c r="C7945">
        <f t="shared" si="154"/>
        <v>2013</v>
      </c>
    </row>
    <row r="7946" spans="1:3">
      <c r="A7946" s="68">
        <v>41512</v>
      </c>
      <c r="B7946" s="33">
        <v>1911.16</v>
      </c>
      <c r="C7946">
        <f t="shared" si="154"/>
        <v>2013</v>
      </c>
    </row>
    <row r="7947" spans="1:3">
      <c r="A7947" s="68">
        <v>41513</v>
      </c>
      <c r="B7947" s="32">
        <v>1922.96</v>
      </c>
      <c r="C7947">
        <f t="shared" si="154"/>
        <v>2013</v>
      </c>
    </row>
    <row r="7948" spans="1:3">
      <c r="A7948" s="68">
        <v>41514</v>
      </c>
      <c r="B7948" s="33">
        <v>1938.26</v>
      </c>
      <c r="C7948">
        <f t="shared" si="154"/>
        <v>2013</v>
      </c>
    </row>
    <row r="7949" spans="1:3">
      <c r="A7949" s="68">
        <v>41515</v>
      </c>
      <c r="B7949" s="32">
        <v>1939.85</v>
      </c>
      <c r="C7949">
        <f t="shared" si="154"/>
        <v>2013</v>
      </c>
    </row>
    <row r="7950" spans="1:3">
      <c r="A7950" s="68">
        <v>41516</v>
      </c>
      <c r="B7950" s="33">
        <v>1943.04</v>
      </c>
      <c r="C7950">
        <f t="shared" si="154"/>
        <v>2013</v>
      </c>
    </row>
    <row r="7951" spans="1:3">
      <c r="A7951" s="68">
        <v>41517</v>
      </c>
      <c r="B7951" s="32">
        <v>1935.43</v>
      </c>
      <c r="C7951">
        <f t="shared" si="154"/>
        <v>2013</v>
      </c>
    </row>
    <row r="7952" spans="1:3">
      <c r="A7952" s="68">
        <v>41518</v>
      </c>
      <c r="B7952" s="33">
        <v>1935.43</v>
      </c>
      <c r="C7952">
        <f t="shared" si="154"/>
        <v>2013</v>
      </c>
    </row>
    <row r="7953" spans="1:3">
      <c r="A7953" s="68">
        <v>41519</v>
      </c>
      <c r="B7953" s="32">
        <v>1935.43</v>
      </c>
      <c r="C7953">
        <f t="shared" si="154"/>
        <v>2013</v>
      </c>
    </row>
    <row r="7954" spans="1:3">
      <c r="A7954" s="68">
        <v>41520</v>
      </c>
      <c r="B7954" s="33">
        <v>1935.43</v>
      </c>
      <c r="C7954">
        <f t="shared" si="154"/>
        <v>2013</v>
      </c>
    </row>
    <row r="7955" spans="1:3">
      <c r="A7955" s="68">
        <v>41521</v>
      </c>
      <c r="B7955" s="32">
        <v>1946.28</v>
      </c>
      <c r="C7955">
        <f t="shared" si="154"/>
        <v>2013</v>
      </c>
    </row>
    <row r="7956" spans="1:3">
      <c r="A7956" s="68">
        <v>41522</v>
      </c>
      <c r="B7956" s="33">
        <v>1938.99</v>
      </c>
      <c r="C7956">
        <f t="shared" si="154"/>
        <v>2013</v>
      </c>
    </row>
    <row r="7957" spans="1:3">
      <c r="A7957" s="68">
        <v>41523</v>
      </c>
      <c r="B7957" s="32">
        <v>1952.11</v>
      </c>
      <c r="C7957">
        <f t="shared" si="154"/>
        <v>2013</v>
      </c>
    </row>
    <row r="7958" spans="1:3">
      <c r="A7958" s="68">
        <v>41524</v>
      </c>
      <c r="B7958" s="33">
        <v>1947.99</v>
      </c>
      <c r="C7958">
        <f t="shared" si="154"/>
        <v>2013</v>
      </c>
    </row>
    <row r="7959" spans="1:3">
      <c r="A7959" s="68">
        <v>41525</v>
      </c>
      <c r="B7959" s="32">
        <v>1947.99</v>
      </c>
      <c r="C7959">
        <f t="shared" si="154"/>
        <v>2013</v>
      </c>
    </row>
    <row r="7960" spans="1:3">
      <c r="A7960" s="68">
        <v>41526</v>
      </c>
      <c r="B7960" s="33">
        <v>1947.99</v>
      </c>
      <c r="C7960">
        <f t="shared" si="154"/>
        <v>2013</v>
      </c>
    </row>
    <row r="7961" spans="1:3">
      <c r="A7961" s="68">
        <v>41527</v>
      </c>
      <c r="B7961" s="32">
        <v>1946.06</v>
      </c>
      <c r="C7961">
        <f t="shared" si="154"/>
        <v>2013</v>
      </c>
    </row>
    <row r="7962" spans="1:3">
      <c r="A7962" s="68">
        <v>41528</v>
      </c>
      <c r="B7962" s="33">
        <v>1935.55</v>
      </c>
      <c r="C7962">
        <f t="shared" si="154"/>
        <v>2013</v>
      </c>
    </row>
    <row r="7963" spans="1:3">
      <c r="A7963" s="68">
        <v>41529</v>
      </c>
      <c r="B7963" s="32">
        <v>1923.64</v>
      </c>
      <c r="C7963">
        <f t="shared" si="154"/>
        <v>2013</v>
      </c>
    </row>
    <row r="7964" spans="1:3">
      <c r="A7964" s="68">
        <v>41530</v>
      </c>
      <c r="B7964" s="33">
        <v>1919.25</v>
      </c>
      <c r="C7964">
        <f t="shared" si="154"/>
        <v>2013</v>
      </c>
    </row>
    <row r="7965" spans="1:3">
      <c r="A7965" s="68">
        <v>41531</v>
      </c>
      <c r="B7965" s="32">
        <v>1919.54</v>
      </c>
      <c r="C7965">
        <f t="shared" si="154"/>
        <v>2013</v>
      </c>
    </row>
    <row r="7966" spans="1:3">
      <c r="A7966" s="68">
        <v>41532</v>
      </c>
      <c r="B7966" s="33">
        <v>1919.54</v>
      </c>
      <c r="C7966">
        <f t="shared" si="154"/>
        <v>2013</v>
      </c>
    </row>
    <row r="7967" spans="1:3">
      <c r="A7967" s="68">
        <v>41533</v>
      </c>
      <c r="B7967" s="32">
        <v>1919.54</v>
      </c>
      <c r="C7967">
        <f t="shared" si="154"/>
        <v>2013</v>
      </c>
    </row>
    <row r="7968" spans="1:3">
      <c r="A7968" s="68">
        <v>41534</v>
      </c>
      <c r="B7968" s="33">
        <v>1917.03</v>
      </c>
      <c r="C7968">
        <f t="shared" si="154"/>
        <v>2013</v>
      </c>
    </row>
    <row r="7969" spans="1:3">
      <c r="A7969" s="68">
        <v>41535</v>
      </c>
      <c r="B7969" s="32">
        <v>1914.12</v>
      </c>
      <c r="C7969">
        <f t="shared" si="154"/>
        <v>2013</v>
      </c>
    </row>
    <row r="7970" spans="1:3">
      <c r="A7970" s="68">
        <v>41536</v>
      </c>
      <c r="B7970" s="33">
        <v>1911.3</v>
      </c>
      <c r="C7970">
        <f t="shared" si="154"/>
        <v>2013</v>
      </c>
    </row>
    <row r="7971" spans="1:3">
      <c r="A7971" s="68">
        <v>41537</v>
      </c>
      <c r="B7971" s="32">
        <v>1887.3</v>
      </c>
      <c r="C7971">
        <f t="shared" si="154"/>
        <v>2013</v>
      </c>
    </row>
    <row r="7972" spans="1:3">
      <c r="A7972" s="68">
        <v>41538</v>
      </c>
      <c r="B7972" s="33">
        <v>1889.12</v>
      </c>
      <c r="C7972">
        <f t="shared" si="154"/>
        <v>2013</v>
      </c>
    </row>
    <row r="7973" spans="1:3">
      <c r="A7973" s="68">
        <v>41539</v>
      </c>
      <c r="B7973" s="32">
        <v>1889.12</v>
      </c>
      <c r="C7973">
        <f t="shared" si="154"/>
        <v>2013</v>
      </c>
    </row>
    <row r="7974" spans="1:3">
      <c r="A7974" s="68">
        <v>41540</v>
      </c>
      <c r="B7974" s="33">
        <v>1889.12</v>
      </c>
      <c r="C7974">
        <f t="shared" si="154"/>
        <v>2013</v>
      </c>
    </row>
    <row r="7975" spans="1:3">
      <c r="A7975" s="68">
        <v>41541</v>
      </c>
      <c r="B7975" s="32">
        <v>1892.89</v>
      </c>
      <c r="C7975">
        <f t="shared" si="154"/>
        <v>2013</v>
      </c>
    </row>
    <row r="7976" spans="1:3">
      <c r="A7976" s="68">
        <v>41542</v>
      </c>
      <c r="B7976" s="33">
        <v>1888.14</v>
      </c>
      <c r="C7976">
        <f t="shared" si="154"/>
        <v>2013</v>
      </c>
    </row>
    <row r="7977" spans="1:3">
      <c r="A7977" s="68">
        <v>41543</v>
      </c>
      <c r="B7977" s="32">
        <v>1893.42</v>
      </c>
      <c r="C7977">
        <f t="shared" si="154"/>
        <v>2013</v>
      </c>
    </row>
    <row r="7978" spans="1:3">
      <c r="A7978" s="68">
        <v>41544</v>
      </c>
      <c r="B7978" s="33">
        <v>1899.1</v>
      </c>
      <c r="C7978">
        <f t="shared" si="154"/>
        <v>2013</v>
      </c>
    </row>
    <row r="7979" spans="1:3">
      <c r="A7979" s="68">
        <v>41545</v>
      </c>
      <c r="B7979" s="32">
        <v>1914.65</v>
      </c>
      <c r="C7979">
        <f t="shared" si="154"/>
        <v>2013</v>
      </c>
    </row>
    <row r="7980" spans="1:3">
      <c r="A7980" s="68">
        <v>41546</v>
      </c>
      <c r="B7980" s="33">
        <v>1914.65</v>
      </c>
      <c r="C7980">
        <f t="shared" si="154"/>
        <v>2013</v>
      </c>
    </row>
    <row r="7981" spans="1:3">
      <c r="A7981" s="68">
        <v>41547</v>
      </c>
      <c r="B7981" s="32">
        <v>1914.65</v>
      </c>
      <c r="C7981">
        <f t="shared" si="154"/>
        <v>2013</v>
      </c>
    </row>
    <row r="7982" spans="1:3">
      <c r="A7982" s="68">
        <v>41548</v>
      </c>
      <c r="B7982" s="33">
        <v>1908.29</v>
      </c>
      <c r="C7982">
        <f t="shared" si="154"/>
        <v>2013</v>
      </c>
    </row>
    <row r="7983" spans="1:3">
      <c r="A7983" s="68">
        <v>41549</v>
      </c>
      <c r="B7983" s="32">
        <v>1893.77</v>
      </c>
      <c r="C7983">
        <f t="shared" si="154"/>
        <v>2013</v>
      </c>
    </row>
    <row r="7984" spans="1:3">
      <c r="A7984" s="68">
        <v>41550</v>
      </c>
      <c r="B7984" s="33">
        <v>1884.97</v>
      </c>
      <c r="C7984">
        <f t="shared" si="154"/>
        <v>2013</v>
      </c>
    </row>
    <row r="7985" spans="1:3">
      <c r="A7985" s="68">
        <v>41551</v>
      </c>
      <c r="B7985" s="32">
        <v>1889.95</v>
      </c>
      <c r="C7985">
        <f t="shared" si="154"/>
        <v>2013</v>
      </c>
    </row>
    <row r="7986" spans="1:3">
      <c r="A7986" s="68">
        <v>41552</v>
      </c>
      <c r="B7986" s="33">
        <v>1886.78</v>
      </c>
      <c r="C7986">
        <f t="shared" si="154"/>
        <v>2013</v>
      </c>
    </row>
    <row r="7987" spans="1:3">
      <c r="A7987" s="68">
        <v>41553</v>
      </c>
      <c r="B7987" s="32">
        <v>1886.78</v>
      </c>
      <c r="C7987">
        <f t="shared" si="154"/>
        <v>2013</v>
      </c>
    </row>
    <row r="7988" spans="1:3">
      <c r="A7988" s="68">
        <v>41554</v>
      </c>
      <c r="B7988" s="33">
        <v>1886.78</v>
      </c>
      <c r="C7988">
        <f t="shared" si="154"/>
        <v>2013</v>
      </c>
    </row>
    <row r="7989" spans="1:3">
      <c r="A7989" s="68">
        <v>41555</v>
      </c>
      <c r="B7989" s="32">
        <v>1885.19</v>
      </c>
      <c r="C7989">
        <f t="shared" si="154"/>
        <v>2013</v>
      </c>
    </row>
    <row r="7990" spans="1:3">
      <c r="A7990" s="68">
        <v>41556</v>
      </c>
      <c r="B7990" s="33">
        <v>1889.17</v>
      </c>
      <c r="C7990">
        <f t="shared" si="154"/>
        <v>2013</v>
      </c>
    </row>
    <row r="7991" spans="1:3">
      <c r="A7991" s="68">
        <v>41557</v>
      </c>
      <c r="B7991" s="32">
        <v>1894.06</v>
      </c>
      <c r="C7991">
        <f t="shared" si="154"/>
        <v>2013</v>
      </c>
    </row>
    <row r="7992" spans="1:3">
      <c r="A7992" s="68">
        <v>41558</v>
      </c>
      <c r="B7992" s="33">
        <v>1885.84</v>
      </c>
      <c r="C7992">
        <f t="shared" si="154"/>
        <v>2013</v>
      </c>
    </row>
    <row r="7993" spans="1:3">
      <c r="A7993" s="68">
        <v>41559</v>
      </c>
      <c r="B7993" s="32">
        <v>1883.65</v>
      </c>
      <c r="C7993">
        <f t="shared" si="154"/>
        <v>2013</v>
      </c>
    </row>
    <row r="7994" spans="1:3">
      <c r="A7994" s="68">
        <v>41560</v>
      </c>
      <c r="B7994" s="33">
        <v>1883.65</v>
      </c>
      <c r="C7994">
        <f t="shared" si="154"/>
        <v>2013</v>
      </c>
    </row>
    <row r="7995" spans="1:3">
      <c r="A7995" s="68">
        <v>41561</v>
      </c>
      <c r="B7995" s="32">
        <v>1883.65</v>
      </c>
      <c r="C7995">
        <f t="shared" si="154"/>
        <v>2013</v>
      </c>
    </row>
    <row r="7996" spans="1:3">
      <c r="A7996" s="68">
        <v>41562</v>
      </c>
      <c r="B7996" s="33">
        <v>1883.65</v>
      </c>
      <c r="C7996">
        <f t="shared" si="154"/>
        <v>2013</v>
      </c>
    </row>
    <row r="7997" spans="1:3">
      <c r="A7997" s="68">
        <v>41563</v>
      </c>
      <c r="B7997" s="32">
        <v>1883.7</v>
      </c>
      <c r="C7997">
        <f t="shared" si="154"/>
        <v>2013</v>
      </c>
    </row>
    <row r="7998" spans="1:3">
      <c r="A7998" s="68">
        <v>41564</v>
      </c>
      <c r="B7998" s="33">
        <v>1880.91</v>
      </c>
      <c r="C7998">
        <f t="shared" si="154"/>
        <v>2013</v>
      </c>
    </row>
    <row r="7999" spans="1:3">
      <c r="A7999" s="68">
        <v>41565</v>
      </c>
      <c r="B7999" s="32">
        <v>1879.48</v>
      </c>
      <c r="C7999">
        <f t="shared" si="154"/>
        <v>2013</v>
      </c>
    </row>
    <row r="8000" spans="1:3">
      <c r="A8000" s="68">
        <v>41566</v>
      </c>
      <c r="B8000" s="33">
        <v>1879.88</v>
      </c>
      <c r="C8000">
        <f t="shared" si="154"/>
        <v>2013</v>
      </c>
    </row>
    <row r="8001" spans="1:3">
      <c r="A8001" s="68">
        <v>41567</v>
      </c>
      <c r="B8001" s="32">
        <v>1879.88</v>
      </c>
      <c r="C8001">
        <f t="shared" si="154"/>
        <v>2013</v>
      </c>
    </row>
    <row r="8002" spans="1:3">
      <c r="A8002" s="68">
        <v>41568</v>
      </c>
      <c r="B8002" s="33">
        <v>1879.88</v>
      </c>
      <c r="C8002">
        <f t="shared" si="154"/>
        <v>2013</v>
      </c>
    </row>
    <row r="8003" spans="1:3">
      <c r="A8003" s="68">
        <v>41569</v>
      </c>
      <c r="B8003" s="32">
        <v>1885.52</v>
      </c>
      <c r="C8003">
        <f t="shared" si="154"/>
        <v>2013</v>
      </c>
    </row>
    <row r="8004" spans="1:3">
      <c r="A8004" s="68">
        <v>41570</v>
      </c>
      <c r="B8004" s="33">
        <v>1879.46</v>
      </c>
      <c r="C8004">
        <f t="shared" ref="C8004:C8067" si="155">YEAR(A8004)</f>
        <v>2013</v>
      </c>
    </row>
    <row r="8005" spans="1:3">
      <c r="A8005" s="68">
        <v>41571</v>
      </c>
      <c r="B8005" s="32">
        <v>1883.14</v>
      </c>
      <c r="C8005">
        <f t="shared" si="155"/>
        <v>2013</v>
      </c>
    </row>
    <row r="8006" spans="1:3">
      <c r="A8006" s="68">
        <v>41572</v>
      </c>
      <c r="B8006" s="33">
        <v>1882.11</v>
      </c>
      <c r="C8006">
        <f t="shared" si="155"/>
        <v>2013</v>
      </c>
    </row>
    <row r="8007" spans="1:3">
      <c r="A8007" s="68">
        <v>41573</v>
      </c>
      <c r="B8007" s="32">
        <v>1882.34</v>
      </c>
      <c r="C8007">
        <f t="shared" si="155"/>
        <v>2013</v>
      </c>
    </row>
    <row r="8008" spans="1:3">
      <c r="A8008" s="68">
        <v>41574</v>
      </c>
      <c r="B8008" s="33">
        <v>1882.34</v>
      </c>
      <c r="C8008">
        <f t="shared" si="155"/>
        <v>2013</v>
      </c>
    </row>
    <row r="8009" spans="1:3">
      <c r="A8009" s="68">
        <v>41575</v>
      </c>
      <c r="B8009" s="32">
        <v>1882.34</v>
      </c>
      <c r="C8009">
        <f t="shared" si="155"/>
        <v>2013</v>
      </c>
    </row>
    <row r="8010" spans="1:3">
      <c r="A8010" s="68">
        <v>41576</v>
      </c>
      <c r="B8010" s="33">
        <v>1884.43</v>
      </c>
      <c r="C8010">
        <f t="shared" si="155"/>
        <v>2013</v>
      </c>
    </row>
    <row r="8011" spans="1:3">
      <c r="A8011" s="68">
        <v>41577</v>
      </c>
      <c r="B8011" s="32">
        <v>1883.42</v>
      </c>
      <c r="C8011">
        <f t="shared" si="155"/>
        <v>2013</v>
      </c>
    </row>
    <row r="8012" spans="1:3">
      <c r="A8012" s="68">
        <v>41578</v>
      </c>
      <c r="B8012" s="33">
        <v>1884.06</v>
      </c>
      <c r="C8012">
        <f t="shared" si="155"/>
        <v>2013</v>
      </c>
    </row>
    <row r="8013" spans="1:3">
      <c r="A8013" s="68">
        <v>41579</v>
      </c>
      <c r="B8013" s="32">
        <v>1889.16</v>
      </c>
      <c r="C8013">
        <f t="shared" si="155"/>
        <v>2013</v>
      </c>
    </row>
    <row r="8014" spans="1:3">
      <c r="A8014" s="68">
        <v>41580</v>
      </c>
      <c r="B8014" s="33">
        <v>1901.22</v>
      </c>
      <c r="C8014">
        <f t="shared" si="155"/>
        <v>2013</v>
      </c>
    </row>
    <row r="8015" spans="1:3">
      <c r="A8015" s="68">
        <v>41581</v>
      </c>
      <c r="B8015" s="32">
        <v>1901.22</v>
      </c>
      <c r="C8015">
        <f t="shared" si="155"/>
        <v>2013</v>
      </c>
    </row>
    <row r="8016" spans="1:3">
      <c r="A8016" s="68">
        <v>41582</v>
      </c>
      <c r="B8016" s="33">
        <v>1901.22</v>
      </c>
      <c r="C8016">
        <f t="shared" si="155"/>
        <v>2013</v>
      </c>
    </row>
    <row r="8017" spans="1:3">
      <c r="A8017" s="68">
        <v>41583</v>
      </c>
      <c r="B8017" s="32">
        <v>1901.22</v>
      </c>
      <c r="C8017">
        <f t="shared" si="155"/>
        <v>2013</v>
      </c>
    </row>
    <row r="8018" spans="1:3">
      <c r="A8018" s="68">
        <v>41584</v>
      </c>
      <c r="B8018" s="33">
        <v>1916.22</v>
      </c>
      <c r="C8018">
        <f t="shared" si="155"/>
        <v>2013</v>
      </c>
    </row>
    <row r="8019" spans="1:3">
      <c r="A8019" s="68">
        <v>41585</v>
      </c>
      <c r="B8019" s="32">
        <v>1916.8</v>
      </c>
      <c r="C8019">
        <f t="shared" si="155"/>
        <v>2013</v>
      </c>
    </row>
    <row r="8020" spans="1:3">
      <c r="A8020" s="68">
        <v>41586</v>
      </c>
      <c r="B8020" s="33">
        <v>1924.87</v>
      </c>
      <c r="C8020">
        <f t="shared" si="155"/>
        <v>2013</v>
      </c>
    </row>
    <row r="8021" spans="1:3">
      <c r="A8021" s="68">
        <v>41587</v>
      </c>
      <c r="B8021" s="32">
        <v>1932.77</v>
      </c>
      <c r="C8021">
        <f t="shared" si="155"/>
        <v>2013</v>
      </c>
    </row>
    <row r="8022" spans="1:3">
      <c r="A8022" s="68">
        <v>41588</v>
      </c>
      <c r="B8022" s="33">
        <v>1932.77</v>
      </c>
      <c r="C8022">
        <f t="shared" si="155"/>
        <v>2013</v>
      </c>
    </row>
    <row r="8023" spans="1:3">
      <c r="A8023" s="68">
        <v>41589</v>
      </c>
      <c r="B8023" s="32">
        <v>1932.77</v>
      </c>
      <c r="C8023">
        <f t="shared" si="155"/>
        <v>2013</v>
      </c>
    </row>
    <row r="8024" spans="1:3">
      <c r="A8024" s="68">
        <v>41590</v>
      </c>
      <c r="B8024" s="33">
        <v>1932.77</v>
      </c>
      <c r="C8024">
        <f t="shared" si="155"/>
        <v>2013</v>
      </c>
    </row>
    <row r="8025" spans="1:3">
      <c r="A8025" s="68">
        <v>41591</v>
      </c>
      <c r="B8025" s="32">
        <v>1928.96</v>
      </c>
      <c r="C8025">
        <f t="shared" si="155"/>
        <v>2013</v>
      </c>
    </row>
    <row r="8026" spans="1:3">
      <c r="A8026" s="68">
        <v>41592</v>
      </c>
      <c r="B8026" s="33">
        <v>1932.03</v>
      </c>
      <c r="C8026">
        <f t="shared" si="155"/>
        <v>2013</v>
      </c>
    </row>
    <row r="8027" spans="1:3">
      <c r="A8027" s="68">
        <v>41593</v>
      </c>
      <c r="B8027" s="32">
        <v>1929.24</v>
      </c>
      <c r="C8027">
        <f t="shared" si="155"/>
        <v>2013</v>
      </c>
    </row>
    <row r="8028" spans="1:3">
      <c r="A8028" s="68">
        <v>41594</v>
      </c>
      <c r="B8028" s="33">
        <v>1919.89</v>
      </c>
      <c r="C8028">
        <f t="shared" si="155"/>
        <v>2013</v>
      </c>
    </row>
    <row r="8029" spans="1:3">
      <c r="A8029" s="68">
        <v>41595</v>
      </c>
      <c r="B8029" s="32">
        <v>1919.89</v>
      </c>
      <c r="C8029">
        <f t="shared" si="155"/>
        <v>2013</v>
      </c>
    </row>
    <row r="8030" spans="1:3">
      <c r="A8030" s="68">
        <v>41596</v>
      </c>
      <c r="B8030" s="33">
        <v>1919.89</v>
      </c>
      <c r="C8030">
        <f t="shared" si="155"/>
        <v>2013</v>
      </c>
    </row>
    <row r="8031" spans="1:3">
      <c r="A8031" s="68">
        <v>41597</v>
      </c>
      <c r="B8031" s="32">
        <v>1915.37</v>
      </c>
      <c r="C8031">
        <f t="shared" si="155"/>
        <v>2013</v>
      </c>
    </row>
    <row r="8032" spans="1:3">
      <c r="A8032" s="68">
        <v>41598</v>
      </c>
      <c r="B8032" s="33">
        <v>1919.2</v>
      </c>
      <c r="C8032">
        <f t="shared" si="155"/>
        <v>2013</v>
      </c>
    </row>
    <row r="8033" spans="1:3">
      <c r="A8033" s="68">
        <v>41599</v>
      </c>
      <c r="B8033" s="32">
        <v>1923.19</v>
      </c>
      <c r="C8033">
        <f t="shared" si="155"/>
        <v>2013</v>
      </c>
    </row>
    <row r="8034" spans="1:3">
      <c r="A8034" s="68">
        <v>41600</v>
      </c>
      <c r="B8034" s="33">
        <v>1932.42</v>
      </c>
      <c r="C8034">
        <f t="shared" si="155"/>
        <v>2013</v>
      </c>
    </row>
    <row r="8035" spans="1:3">
      <c r="A8035" s="68">
        <v>41601</v>
      </c>
      <c r="B8035" s="32">
        <v>1929.13</v>
      </c>
      <c r="C8035">
        <f t="shared" si="155"/>
        <v>2013</v>
      </c>
    </row>
    <row r="8036" spans="1:3">
      <c r="A8036" s="68">
        <v>41602</v>
      </c>
      <c r="B8036" s="33">
        <v>1929.13</v>
      </c>
      <c r="C8036">
        <f t="shared" si="155"/>
        <v>2013</v>
      </c>
    </row>
    <row r="8037" spans="1:3">
      <c r="A8037" s="68">
        <v>41603</v>
      </c>
      <c r="B8037" s="32">
        <v>1929.13</v>
      </c>
      <c r="C8037">
        <f t="shared" si="155"/>
        <v>2013</v>
      </c>
    </row>
    <row r="8038" spans="1:3">
      <c r="A8038" s="68">
        <v>41604</v>
      </c>
      <c r="B8038" s="33">
        <v>1926.99</v>
      </c>
      <c r="C8038">
        <f t="shared" si="155"/>
        <v>2013</v>
      </c>
    </row>
    <row r="8039" spans="1:3">
      <c r="A8039" s="68">
        <v>41605</v>
      </c>
      <c r="B8039" s="32">
        <v>1926.74</v>
      </c>
      <c r="C8039">
        <f t="shared" si="155"/>
        <v>2013</v>
      </c>
    </row>
    <row r="8040" spans="1:3">
      <c r="A8040" s="68">
        <v>41606</v>
      </c>
      <c r="B8040" s="33">
        <v>1928.25</v>
      </c>
      <c r="C8040">
        <f t="shared" si="155"/>
        <v>2013</v>
      </c>
    </row>
    <row r="8041" spans="1:3">
      <c r="A8041" s="68">
        <v>41607</v>
      </c>
      <c r="B8041" s="32">
        <v>1928.25</v>
      </c>
      <c r="C8041">
        <f t="shared" si="155"/>
        <v>2013</v>
      </c>
    </row>
    <row r="8042" spans="1:3">
      <c r="A8042" s="68">
        <v>41608</v>
      </c>
      <c r="B8042" s="33">
        <v>1931.88</v>
      </c>
      <c r="C8042">
        <f t="shared" si="155"/>
        <v>2013</v>
      </c>
    </row>
    <row r="8043" spans="1:3">
      <c r="A8043" s="68">
        <v>41609</v>
      </c>
      <c r="B8043" s="32">
        <v>1931.88</v>
      </c>
      <c r="C8043">
        <f t="shared" si="155"/>
        <v>2013</v>
      </c>
    </row>
    <row r="8044" spans="1:3">
      <c r="A8044" s="68">
        <v>41610</v>
      </c>
      <c r="B8044" s="33">
        <v>1931.88</v>
      </c>
      <c r="C8044">
        <f t="shared" si="155"/>
        <v>2013</v>
      </c>
    </row>
    <row r="8045" spans="1:3">
      <c r="A8045" s="68">
        <v>41611</v>
      </c>
      <c r="B8045" s="32">
        <v>1934.16</v>
      </c>
      <c r="C8045">
        <f t="shared" si="155"/>
        <v>2013</v>
      </c>
    </row>
    <row r="8046" spans="1:3">
      <c r="A8046" s="68">
        <v>41612</v>
      </c>
      <c r="B8046" s="33">
        <v>1941.01</v>
      </c>
      <c r="C8046">
        <f t="shared" si="155"/>
        <v>2013</v>
      </c>
    </row>
    <row r="8047" spans="1:3">
      <c r="A8047" s="68">
        <v>41613</v>
      </c>
      <c r="B8047" s="32">
        <v>1948.48</v>
      </c>
      <c r="C8047">
        <f t="shared" si="155"/>
        <v>2013</v>
      </c>
    </row>
    <row r="8048" spans="1:3">
      <c r="A8048" s="68">
        <v>41614</v>
      </c>
      <c r="B8048" s="33">
        <v>1940.26</v>
      </c>
      <c r="C8048">
        <f t="shared" si="155"/>
        <v>2013</v>
      </c>
    </row>
    <row r="8049" spans="1:3">
      <c r="A8049" s="68">
        <v>41615</v>
      </c>
      <c r="B8049" s="32">
        <v>1936.33</v>
      </c>
      <c r="C8049">
        <f t="shared" si="155"/>
        <v>2013</v>
      </c>
    </row>
    <row r="8050" spans="1:3">
      <c r="A8050" s="68">
        <v>41616</v>
      </c>
      <c r="B8050" s="33">
        <v>1936.33</v>
      </c>
      <c r="C8050">
        <f t="shared" si="155"/>
        <v>2013</v>
      </c>
    </row>
    <row r="8051" spans="1:3">
      <c r="A8051" s="68">
        <v>41617</v>
      </c>
      <c r="B8051" s="32">
        <v>1936.33</v>
      </c>
      <c r="C8051">
        <f t="shared" si="155"/>
        <v>2013</v>
      </c>
    </row>
    <row r="8052" spans="1:3">
      <c r="A8052" s="68">
        <v>41618</v>
      </c>
      <c r="B8052" s="33">
        <v>1932.71</v>
      </c>
      <c r="C8052">
        <f t="shared" si="155"/>
        <v>2013</v>
      </c>
    </row>
    <row r="8053" spans="1:3">
      <c r="A8053" s="68">
        <v>41619</v>
      </c>
      <c r="B8053" s="32">
        <v>1933.52</v>
      </c>
      <c r="C8053">
        <f t="shared" si="155"/>
        <v>2013</v>
      </c>
    </row>
    <row r="8054" spans="1:3">
      <c r="A8054" s="68">
        <v>41620</v>
      </c>
      <c r="B8054" s="33">
        <v>1935.61</v>
      </c>
      <c r="C8054">
        <f t="shared" si="155"/>
        <v>2013</v>
      </c>
    </row>
    <row r="8055" spans="1:3">
      <c r="A8055" s="68">
        <v>41621</v>
      </c>
      <c r="B8055" s="32">
        <v>1935.89</v>
      </c>
      <c r="C8055">
        <f t="shared" si="155"/>
        <v>2013</v>
      </c>
    </row>
    <row r="8056" spans="1:3">
      <c r="A8056" s="68">
        <v>41622</v>
      </c>
      <c r="B8056" s="33">
        <v>1930.87</v>
      </c>
      <c r="C8056">
        <f t="shared" si="155"/>
        <v>2013</v>
      </c>
    </row>
    <row r="8057" spans="1:3">
      <c r="A8057" s="68">
        <v>41623</v>
      </c>
      <c r="B8057" s="32">
        <v>1930.87</v>
      </c>
      <c r="C8057">
        <f t="shared" si="155"/>
        <v>2013</v>
      </c>
    </row>
    <row r="8058" spans="1:3">
      <c r="A8058" s="68">
        <v>41624</v>
      </c>
      <c r="B8058" s="33">
        <v>1930.87</v>
      </c>
      <c r="C8058">
        <f t="shared" si="155"/>
        <v>2013</v>
      </c>
    </row>
    <row r="8059" spans="1:3">
      <c r="A8059" s="68">
        <v>41625</v>
      </c>
      <c r="B8059" s="32">
        <v>1934.95</v>
      </c>
      <c r="C8059">
        <f t="shared" si="155"/>
        <v>2013</v>
      </c>
    </row>
    <row r="8060" spans="1:3">
      <c r="A8060" s="68">
        <v>41626</v>
      </c>
      <c r="B8060" s="33">
        <v>1936.14</v>
      </c>
      <c r="C8060">
        <f t="shared" si="155"/>
        <v>2013</v>
      </c>
    </row>
    <row r="8061" spans="1:3">
      <c r="A8061" s="68">
        <v>41627</v>
      </c>
      <c r="B8061" s="32">
        <v>1945.6</v>
      </c>
      <c r="C8061">
        <f t="shared" si="155"/>
        <v>2013</v>
      </c>
    </row>
    <row r="8062" spans="1:3">
      <c r="A8062" s="68">
        <v>41628</v>
      </c>
      <c r="B8062" s="33">
        <v>1943.46</v>
      </c>
      <c r="C8062">
        <f t="shared" si="155"/>
        <v>2013</v>
      </c>
    </row>
    <row r="8063" spans="1:3">
      <c r="A8063" s="68">
        <v>41629</v>
      </c>
      <c r="B8063" s="32">
        <v>1935.93</v>
      </c>
      <c r="C8063">
        <f t="shared" si="155"/>
        <v>2013</v>
      </c>
    </row>
    <row r="8064" spans="1:3">
      <c r="A8064" s="68">
        <v>41630</v>
      </c>
      <c r="B8064" s="33">
        <v>1935.93</v>
      </c>
      <c r="C8064">
        <f t="shared" si="155"/>
        <v>2013</v>
      </c>
    </row>
    <row r="8065" spans="1:4">
      <c r="A8065" s="68">
        <v>41631</v>
      </c>
      <c r="B8065" s="32">
        <v>1935.93</v>
      </c>
      <c r="C8065">
        <f t="shared" si="155"/>
        <v>2013</v>
      </c>
    </row>
    <row r="8066" spans="1:4">
      <c r="A8066" s="68">
        <v>41632</v>
      </c>
      <c r="B8066" s="33">
        <v>1925.45</v>
      </c>
      <c r="C8066">
        <f t="shared" si="155"/>
        <v>2013</v>
      </c>
    </row>
    <row r="8067" spans="1:4">
      <c r="A8067" s="68">
        <v>41633</v>
      </c>
      <c r="B8067" s="32">
        <v>1922.76</v>
      </c>
      <c r="C8067">
        <f t="shared" si="155"/>
        <v>2013</v>
      </c>
    </row>
    <row r="8068" spans="1:4">
      <c r="A8068" s="68">
        <v>41634</v>
      </c>
      <c r="B8068" s="33">
        <v>1922.76</v>
      </c>
      <c r="C8068">
        <f t="shared" ref="C8068:C8131" si="156">YEAR(A8068)</f>
        <v>2013</v>
      </c>
    </row>
    <row r="8069" spans="1:4">
      <c r="A8069" s="68">
        <v>41635</v>
      </c>
      <c r="B8069" s="32">
        <v>1921.22</v>
      </c>
      <c r="C8069">
        <f t="shared" si="156"/>
        <v>2013</v>
      </c>
    </row>
    <row r="8070" spans="1:4">
      <c r="A8070" s="68">
        <v>41636</v>
      </c>
      <c r="B8070" s="33">
        <v>1922.56</v>
      </c>
      <c r="C8070">
        <f t="shared" si="156"/>
        <v>2013</v>
      </c>
    </row>
    <row r="8071" spans="1:4">
      <c r="A8071" s="68">
        <v>41637</v>
      </c>
      <c r="B8071" s="32">
        <v>1922.56</v>
      </c>
      <c r="C8071">
        <f t="shared" si="156"/>
        <v>2013</v>
      </c>
    </row>
    <row r="8072" spans="1:4">
      <c r="A8072" s="68">
        <v>41638</v>
      </c>
      <c r="B8072" s="33">
        <v>1922.56</v>
      </c>
      <c r="C8072">
        <f t="shared" si="156"/>
        <v>2013</v>
      </c>
    </row>
    <row r="8073" spans="1:4">
      <c r="A8073" s="68">
        <v>41639</v>
      </c>
      <c r="B8073" s="32">
        <v>1926.83</v>
      </c>
      <c r="C8073">
        <f t="shared" si="156"/>
        <v>2013</v>
      </c>
      <c r="D8073" s="76">
        <f>(B8073-B7709)/B7709</f>
        <v>8.9694213987999247E-2</v>
      </c>
    </row>
    <row r="8074" spans="1:4">
      <c r="A8074" s="68">
        <v>41640</v>
      </c>
      <c r="B8074" s="33">
        <v>1926.83</v>
      </c>
      <c r="C8074">
        <f t="shared" si="156"/>
        <v>2014</v>
      </c>
    </row>
    <row r="8075" spans="1:4">
      <c r="A8075" s="68">
        <v>41641</v>
      </c>
      <c r="B8075" s="32">
        <v>1926.83</v>
      </c>
      <c r="C8075">
        <f t="shared" si="156"/>
        <v>2014</v>
      </c>
    </row>
    <row r="8076" spans="1:4">
      <c r="A8076" s="68">
        <v>41642</v>
      </c>
      <c r="B8076" s="33">
        <v>1938.89</v>
      </c>
      <c r="C8076">
        <f t="shared" si="156"/>
        <v>2014</v>
      </c>
    </row>
    <row r="8077" spans="1:4">
      <c r="A8077" s="68">
        <v>41643</v>
      </c>
      <c r="B8077" s="32">
        <v>1936.92</v>
      </c>
      <c r="C8077">
        <f t="shared" si="156"/>
        <v>2014</v>
      </c>
    </row>
    <row r="8078" spans="1:4">
      <c r="A8078" s="68">
        <v>41644</v>
      </c>
      <c r="B8078" s="33">
        <v>1936.92</v>
      </c>
      <c r="C8078">
        <f t="shared" si="156"/>
        <v>2014</v>
      </c>
    </row>
    <row r="8079" spans="1:4">
      <c r="A8079" s="68">
        <v>41645</v>
      </c>
      <c r="B8079" s="32">
        <v>1936.92</v>
      </c>
      <c r="C8079">
        <f t="shared" si="156"/>
        <v>2014</v>
      </c>
    </row>
    <row r="8080" spans="1:4">
      <c r="A8080" s="68">
        <v>41646</v>
      </c>
      <c r="B8080" s="33">
        <v>1936.92</v>
      </c>
      <c r="C8080">
        <f t="shared" si="156"/>
        <v>2014</v>
      </c>
    </row>
    <row r="8081" spans="1:3">
      <c r="A8081" s="68">
        <v>41647</v>
      </c>
      <c r="B8081" s="32">
        <v>1930.45</v>
      </c>
      <c r="C8081">
        <f t="shared" si="156"/>
        <v>2014</v>
      </c>
    </row>
    <row r="8082" spans="1:3">
      <c r="A8082" s="68">
        <v>41648</v>
      </c>
      <c r="B8082" s="33">
        <v>1933.24</v>
      </c>
      <c r="C8082">
        <f t="shared" si="156"/>
        <v>2014</v>
      </c>
    </row>
    <row r="8083" spans="1:3">
      <c r="A8083" s="68">
        <v>41649</v>
      </c>
      <c r="B8083" s="32">
        <v>1934.88</v>
      </c>
      <c r="C8083">
        <f t="shared" si="156"/>
        <v>2014</v>
      </c>
    </row>
    <row r="8084" spans="1:3">
      <c r="A8084" s="68">
        <v>41650</v>
      </c>
      <c r="B8084" s="33">
        <v>1926.55</v>
      </c>
      <c r="C8084">
        <f t="shared" si="156"/>
        <v>2014</v>
      </c>
    </row>
    <row r="8085" spans="1:3">
      <c r="A8085" s="68">
        <v>41651</v>
      </c>
      <c r="B8085" s="32">
        <v>1926.55</v>
      </c>
      <c r="C8085">
        <f t="shared" si="156"/>
        <v>2014</v>
      </c>
    </row>
    <row r="8086" spans="1:3">
      <c r="A8086" s="68">
        <v>41652</v>
      </c>
      <c r="B8086" s="33">
        <v>1926.55</v>
      </c>
      <c r="C8086">
        <f t="shared" si="156"/>
        <v>2014</v>
      </c>
    </row>
    <row r="8087" spans="1:3">
      <c r="A8087" s="68">
        <v>41653</v>
      </c>
      <c r="B8087" s="32">
        <v>1924.79</v>
      </c>
      <c r="C8087">
        <f t="shared" si="156"/>
        <v>2014</v>
      </c>
    </row>
    <row r="8088" spans="1:3">
      <c r="A8088" s="68">
        <v>41654</v>
      </c>
      <c r="B8088" s="33">
        <v>1932.59</v>
      </c>
      <c r="C8088">
        <f t="shared" si="156"/>
        <v>2014</v>
      </c>
    </row>
    <row r="8089" spans="1:3">
      <c r="A8089" s="68">
        <v>41655</v>
      </c>
      <c r="B8089" s="32">
        <v>1941.45</v>
      </c>
      <c r="C8089">
        <f t="shared" si="156"/>
        <v>2014</v>
      </c>
    </row>
    <row r="8090" spans="1:3">
      <c r="A8090" s="68">
        <v>41656</v>
      </c>
      <c r="B8090" s="33">
        <v>1947.15</v>
      </c>
      <c r="C8090">
        <f t="shared" si="156"/>
        <v>2014</v>
      </c>
    </row>
    <row r="8091" spans="1:3">
      <c r="A8091" s="68">
        <v>41657</v>
      </c>
      <c r="B8091" s="32">
        <v>1957.86</v>
      </c>
      <c r="C8091">
        <f t="shared" si="156"/>
        <v>2014</v>
      </c>
    </row>
    <row r="8092" spans="1:3">
      <c r="A8092" s="68">
        <v>41658</v>
      </c>
      <c r="B8092" s="33">
        <v>1957.86</v>
      </c>
      <c r="C8092">
        <f t="shared" si="156"/>
        <v>2014</v>
      </c>
    </row>
    <row r="8093" spans="1:3">
      <c r="A8093" s="68">
        <v>41659</v>
      </c>
      <c r="B8093" s="32">
        <v>1957.86</v>
      </c>
      <c r="C8093">
        <f t="shared" si="156"/>
        <v>2014</v>
      </c>
    </row>
    <row r="8094" spans="1:3">
      <c r="A8094" s="68">
        <v>41660</v>
      </c>
      <c r="B8094" s="33">
        <v>1957.86</v>
      </c>
      <c r="C8094">
        <f t="shared" si="156"/>
        <v>2014</v>
      </c>
    </row>
    <row r="8095" spans="1:3">
      <c r="A8095" s="68">
        <v>41661</v>
      </c>
      <c r="B8095" s="32">
        <v>1981.98</v>
      </c>
      <c r="C8095">
        <f t="shared" si="156"/>
        <v>2014</v>
      </c>
    </row>
    <row r="8096" spans="1:3">
      <c r="A8096" s="68">
        <v>41662</v>
      </c>
      <c r="B8096" s="33">
        <v>1983.48</v>
      </c>
      <c r="C8096">
        <f t="shared" si="156"/>
        <v>2014</v>
      </c>
    </row>
    <row r="8097" spans="1:3">
      <c r="A8097" s="68">
        <v>41663</v>
      </c>
      <c r="B8097" s="32">
        <v>1993.23</v>
      </c>
      <c r="C8097">
        <f t="shared" si="156"/>
        <v>2014</v>
      </c>
    </row>
    <row r="8098" spans="1:3">
      <c r="A8098" s="68">
        <v>41664</v>
      </c>
      <c r="B8098" s="33">
        <v>2000.48</v>
      </c>
      <c r="C8098">
        <f t="shared" si="156"/>
        <v>2014</v>
      </c>
    </row>
    <row r="8099" spans="1:3">
      <c r="A8099" s="68">
        <v>41665</v>
      </c>
      <c r="B8099" s="32">
        <v>2000.48</v>
      </c>
      <c r="C8099">
        <f t="shared" si="156"/>
        <v>2014</v>
      </c>
    </row>
    <row r="8100" spans="1:3">
      <c r="A8100" s="68">
        <v>41666</v>
      </c>
      <c r="B8100" s="33">
        <v>2000.48</v>
      </c>
      <c r="C8100">
        <f t="shared" si="156"/>
        <v>2014</v>
      </c>
    </row>
    <row r="8101" spans="1:3">
      <c r="A8101" s="68">
        <v>41667</v>
      </c>
      <c r="B8101" s="32">
        <v>1997.91</v>
      </c>
      <c r="C8101">
        <f t="shared" si="156"/>
        <v>2014</v>
      </c>
    </row>
    <row r="8102" spans="1:3">
      <c r="A8102" s="68">
        <v>41668</v>
      </c>
      <c r="B8102" s="33">
        <v>2000.56</v>
      </c>
      <c r="C8102">
        <f t="shared" si="156"/>
        <v>2014</v>
      </c>
    </row>
    <row r="8103" spans="1:3">
      <c r="A8103" s="68">
        <v>41669</v>
      </c>
      <c r="B8103" s="32">
        <v>2013.17</v>
      </c>
      <c r="C8103">
        <f t="shared" si="156"/>
        <v>2014</v>
      </c>
    </row>
    <row r="8104" spans="1:3">
      <c r="A8104" s="68">
        <v>41670</v>
      </c>
      <c r="B8104" s="33">
        <v>2008.26</v>
      </c>
      <c r="C8104">
        <f t="shared" si="156"/>
        <v>2014</v>
      </c>
    </row>
    <row r="8105" spans="1:3">
      <c r="A8105" s="68">
        <v>41671</v>
      </c>
      <c r="B8105" s="32">
        <v>2021.1</v>
      </c>
      <c r="C8105">
        <f t="shared" si="156"/>
        <v>2014</v>
      </c>
    </row>
    <row r="8106" spans="1:3">
      <c r="A8106" s="68">
        <v>41672</v>
      </c>
      <c r="B8106" s="33">
        <v>2021.1</v>
      </c>
      <c r="C8106">
        <f t="shared" si="156"/>
        <v>2014</v>
      </c>
    </row>
    <row r="8107" spans="1:3">
      <c r="A8107" s="68">
        <v>41673</v>
      </c>
      <c r="B8107" s="32">
        <v>2021.1</v>
      </c>
      <c r="C8107">
        <f t="shared" si="156"/>
        <v>2014</v>
      </c>
    </row>
    <row r="8108" spans="1:3">
      <c r="A8108" s="68">
        <v>41674</v>
      </c>
      <c r="B8108" s="33">
        <v>2039.85</v>
      </c>
      <c r="C8108">
        <f t="shared" si="156"/>
        <v>2014</v>
      </c>
    </row>
    <row r="8109" spans="1:3">
      <c r="A8109" s="68">
        <v>41675</v>
      </c>
      <c r="B8109" s="32">
        <v>2041.34</v>
      </c>
      <c r="C8109">
        <f t="shared" si="156"/>
        <v>2014</v>
      </c>
    </row>
    <row r="8110" spans="1:3">
      <c r="A8110" s="68">
        <v>41676</v>
      </c>
      <c r="B8110" s="33">
        <v>2048.75</v>
      </c>
      <c r="C8110">
        <f t="shared" si="156"/>
        <v>2014</v>
      </c>
    </row>
    <row r="8111" spans="1:3">
      <c r="A8111" s="68">
        <v>41677</v>
      </c>
      <c r="B8111" s="32">
        <v>2049.52</v>
      </c>
      <c r="C8111">
        <f t="shared" si="156"/>
        <v>2014</v>
      </c>
    </row>
    <row r="8112" spans="1:3">
      <c r="A8112" s="68">
        <v>41678</v>
      </c>
      <c r="B8112" s="33">
        <v>2046.06</v>
      </c>
      <c r="C8112">
        <f t="shared" si="156"/>
        <v>2014</v>
      </c>
    </row>
    <row r="8113" spans="1:3">
      <c r="A8113" s="68">
        <v>41679</v>
      </c>
      <c r="B8113" s="32">
        <v>2046.06</v>
      </c>
      <c r="C8113">
        <f t="shared" si="156"/>
        <v>2014</v>
      </c>
    </row>
    <row r="8114" spans="1:3">
      <c r="A8114" s="68">
        <v>41680</v>
      </c>
      <c r="B8114" s="33">
        <v>2046.06</v>
      </c>
      <c r="C8114">
        <f t="shared" si="156"/>
        <v>2014</v>
      </c>
    </row>
    <row r="8115" spans="1:3">
      <c r="A8115" s="68">
        <v>41681</v>
      </c>
      <c r="B8115" s="32">
        <v>2048.5500000000002</v>
      </c>
      <c r="C8115">
        <f t="shared" si="156"/>
        <v>2014</v>
      </c>
    </row>
    <row r="8116" spans="1:3">
      <c r="A8116" s="68">
        <v>41682</v>
      </c>
      <c r="B8116" s="33">
        <v>2041.61</v>
      </c>
      <c r="C8116">
        <f t="shared" si="156"/>
        <v>2014</v>
      </c>
    </row>
    <row r="8117" spans="1:3">
      <c r="A8117" s="68">
        <v>41683</v>
      </c>
      <c r="B8117" s="32">
        <v>2031.75</v>
      </c>
      <c r="C8117">
        <f t="shared" si="156"/>
        <v>2014</v>
      </c>
    </row>
    <row r="8118" spans="1:3">
      <c r="A8118" s="68">
        <v>41684</v>
      </c>
      <c r="B8118" s="33">
        <v>2032.99</v>
      </c>
      <c r="C8118">
        <f t="shared" si="156"/>
        <v>2014</v>
      </c>
    </row>
    <row r="8119" spans="1:3">
      <c r="A8119" s="68">
        <v>41685</v>
      </c>
      <c r="B8119" s="32">
        <v>2022.68</v>
      </c>
      <c r="C8119">
        <f t="shared" si="156"/>
        <v>2014</v>
      </c>
    </row>
    <row r="8120" spans="1:3">
      <c r="A8120" s="68">
        <v>41686</v>
      </c>
      <c r="B8120" s="33">
        <v>2022.68</v>
      </c>
      <c r="C8120">
        <f t="shared" si="156"/>
        <v>2014</v>
      </c>
    </row>
    <row r="8121" spans="1:3">
      <c r="A8121" s="68">
        <v>41687</v>
      </c>
      <c r="B8121" s="32">
        <v>2022.68</v>
      </c>
      <c r="C8121">
        <f t="shared" si="156"/>
        <v>2014</v>
      </c>
    </row>
    <row r="8122" spans="1:3">
      <c r="A8122" s="68">
        <v>41688</v>
      </c>
      <c r="B8122" s="33">
        <v>2022.68</v>
      </c>
      <c r="C8122">
        <f t="shared" si="156"/>
        <v>2014</v>
      </c>
    </row>
    <row r="8123" spans="1:3">
      <c r="A8123" s="68">
        <v>41689</v>
      </c>
      <c r="B8123" s="32">
        <v>2028.54</v>
      </c>
      <c r="C8123">
        <f t="shared" si="156"/>
        <v>2014</v>
      </c>
    </row>
    <row r="8124" spans="1:3">
      <c r="A8124" s="68">
        <v>41690</v>
      </c>
      <c r="B8124" s="33">
        <v>2042.22</v>
      </c>
      <c r="C8124">
        <f t="shared" si="156"/>
        <v>2014</v>
      </c>
    </row>
    <row r="8125" spans="1:3">
      <c r="A8125" s="68">
        <v>41691</v>
      </c>
      <c r="B8125" s="32">
        <v>2052.46</v>
      </c>
      <c r="C8125">
        <f t="shared" si="156"/>
        <v>2014</v>
      </c>
    </row>
    <row r="8126" spans="1:3">
      <c r="A8126" s="68">
        <v>41692</v>
      </c>
      <c r="B8126" s="33">
        <v>2043.96</v>
      </c>
      <c r="C8126">
        <f t="shared" si="156"/>
        <v>2014</v>
      </c>
    </row>
    <row r="8127" spans="1:3">
      <c r="A8127" s="68">
        <v>41693</v>
      </c>
      <c r="B8127" s="32">
        <v>2043.96</v>
      </c>
      <c r="C8127">
        <f t="shared" si="156"/>
        <v>2014</v>
      </c>
    </row>
    <row r="8128" spans="1:3">
      <c r="A8128" s="68">
        <v>41694</v>
      </c>
      <c r="B8128" s="33">
        <v>2043.96</v>
      </c>
      <c r="C8128">
        <f t="shared" si="156"/>
        <v>2014</v>
      </c>
    </row>
    <row r="8129" spans="1:3">
      <c r="A8129" s="68">
        <v>41695</v>
      </c>
      <c r="B8129" s="32">
        <v>2042.67</v>
      </c>
      <c r="C8129">
        <f t="shared" si="156"/>
        <v>2014</v>
      </c>
    </row>
    <row r="8130" spans="1:3">
      <c r="A8130" s="68">
        <v>41696</v>
      </c>
      <c r="B8130" s="33">
        <v>2045.45</v>
      </c>
      <c r="C8130">
        <f t="shared" si="156"/>
        <v>2014</v>
      </c>
    </row>
    <row r="8131" spans="1:3">
      <c r="A8131" s="68">
        <v>41697</v>
      </c>
      <c r="B8131" s="32">
        <v>2053.11</v>
      </c>
      <c r="C8131">
        <f t="shared" si="156"/>
        <v>2014</v>
      </c>
    </row>
    <row r="8132" spans="1:3">
      <c r="A8132" s="68">
        <v>41698</v>
      </c>
      <c r="B8132" s="33">
        <v>2054.9</v>
      </c>
      <c r="C8132">
        <f t="shared" ref="C8132:C8195" si="157">YEAR(A8132)</f>
        <v>2014</v>
      </c>
    </row>
    <row r="8133" spans="1:3">
      <c r="A8133" s="68">
        <v>41699</v>
      </c>
      <c r="B8133" s="32">
        <v>2046.75</v>
      </c>
      <c r="C8133">
        <f t="shared" si="157"/>
        <v>2014</v>
      </c>
    </row>
    <row r="8134" spans="1:3">
      <c r="A8134" s="68">
        <v>41700</v>
      </c>
      <c r="B8134" s="33">
        <v>2046.75</v>
      </c>
      <c r="C8134">
        <f t="shared" si="157"/>
        <v>2014</v>
      </c>
    </row>
    <row r="8135" spans="1:3">
      <c r="A8135" s="68">
        <v>41701</v>
      </c>
      <c r="B8135" s="32">
        <v>2046.75</v>
      </c>
      <c r="C8135">
        <f t="shared" si="157"/>
        <v>2014</v>
      </c>
    </row>
    <row r="8136" spans="1:3">
      <c r="A8136" s="68">
        <v>41702</v>
      </c>
      <c r="B8136" s="33">
        <v>2052.5100000000002</v>
      </c>
      <c r="C8136">
        <f t="shared" si="157"/>
        <v>2014</v>
      </c>
    </row>
    <row r="8137" spans="1:3">
      <c r="A8137" s="68">
        <v>41703</v>
      </c>
      <c r="B8137" s="32">
        <v>2047.75</v>
      </c>
      <c r="C8137">
        <f t="shared" si="157"/>
        <v>2014</v>
      </c>
    </row>
    <row r="8138" spans="1:3">
      <c r="A8138" s="68">
        <v>41704</v>
      </c>
      <c r="B8138" s="33">
        <v>2045.14</v>
      </c>
      <c r="C8138">
        <f t="shared" si="157"/>
        <v>2014</v>
      </c>
    </row>
    <row r="8139" spans="1:3">
      <c r="A8139" s="68">
        <v>41705</v>
      </c>
      <c r="B8139" s="32">
        <v>2030.02</v>
      </c>
      <c r="C8139">
        <f t="shared" si="157"/>
        <v>2014</v>
      </c>
    </row>
    <row r="8140" spans="1:3">
      <c r="A8140" s="68">
        <v>41706</v>
      </c>
      <c r="B8140" s="33">
        <v>2036.2</v>
      </c>
      <c r="C8140">
        <f t="shared" si="157"/>
        <v>2014</v>
      </c>
    </row>
    <row r="8141" spans="1:3">
      <c r="A8141" s="68">
        <v>41707</v>
      </c>
      <c r="B8141" s="32">
        <v>2036.2</v>
      </c>
      <c r="C8141">
        <f t="shared" si="157"/>
        <v>2014</v>
      </c>
    </row>
    <row r="8142" spans="1:3">
      <c r="A8142" s="68">
        <v>41708</v>
      </c>
      <c r="B8142" s="33">
        <v>2036.2</v>
      </c>
      <c r="C8142">
        <f t="shared" si="157"/>
        <v>2014</v>
      </c>
    </row>
    <row r="8143" spans="1:3">
      <c r="A8143" s="68">
        <v>41709</v>
      </c>
      <c r="B8143" s="32">
        <v>2042.78</v>
      </c>
      <c r="C8143">
        <f t="shared" si="157"/>
        <v>2014</v>
      </c>
    </row>
    <row r="8144" spans="1:3">
      <c r="A8144" s="68">
        <v>41710</v>
      </c>
      <c r="B8144" s="33">
        <v>2043.59</v>
      </c>
      <c r="C8144">
        <f t="shared" si="157"/>
        <v>2014</v>
      </c>
    </row>
    <row r="8145" spans="1:3">
      <c r="A8145" s="68">
        <v>41711</v>
      </c>
      <c r="B8145" s="32">
        <v>2047.59</v>
      </c>
      <c r="C8145">
        <f t="shared" si="157"/>
        <v>2014</v>
      </c>
    </row>
    <row r="8146" spans="1:3">
      <c r="A8146" s="68">
        <v>41712</v>
      </c>
      <c r="B8146" s="33">
        <v>2044.48</v>
      </c>
      <c r="C8146">
        <f t="shared" si="157"/>
        <v>2014</v>
      </c>
    </row>
    <row r="8147" spans="1:3">
      <c r="A8147" s="68">
        <v>41713</v>
      </c>
      <c r="B8147" s="32">
        <v>2044.58</v>
      </c>
      <c r="C8147">
        <f t="shared" si="157"/>
        <v>2014</v>
      </c>
    </row>
    <row r="8148" spans="1:3">
      <c r="A8148" s="68">
        <v>41714</v>
      </c>
      <c r="B8148" s="33">
        <v>2044.58</v>
      </c>
      <c r="C8148">
        <f t="shared" si="157"/>
        <v>2014</v>
      </c>
    </row>
    <row r="8149" spans="1:3">
      <c r="A8149" s="68">
        <v>41715</v>
      </c>
      <c r="B8149" s="32">
        <v>2044.58</v>
      </c>
      <c r="C8149">
        <f t="shared" si="157"/>
        <v>2014</v>
      </c>
    </row>
    <row r="8150" spans="1:3">
      <c r="A8150" s="68">
        <v>41716</v>
      </c>
      <c r="B8150" s="33">
        <v>2035.16</v>
      </c>
      <c r="C8150">
        <f t="shared" si="157"/>
        <v>2014</v>
      </c>
    </row>
    <row r="8151" spans="1:3">
      <c r="A8151" s="68">
        <v>41717</v>
      </c>
      <c r="B8151" s="32">
        <v>2034.86</v>
      </c>
      <c r="C8151">
        <f t="shared" si="157"/>
        <v>2014</v>
      </c>
    </row>
    <row r="8152" spans="1:3">
      <c r="A8152" s="68">
        <v>41718</v>
      </c>
      <c r="B8152" s="33">
        <v>2017.38</v>
      </c>
      <c r="C8152">
        <f t="shared" si="157"/>
        <v>2014</v>
      </c>
    </row>
    <row r="8153" spans="1:3">
      <c r="A8153" s="68">
        <v>41719</v>
      </c>
      <c r="B8153" s="32">
        <v>1998.6</v>
      </c>
      <c r="C8153">
        <f t="shared" si="157"/>
        <v>2014</v>
      </c>
    </row>
    <row r="8154" spans="1:3">
      <c r="A8154" s="68">
        <v>41720</v>
      </c>
      <c r="B8154" s="33">
        <v>1993.85</v>
      </c>
      <c r="C8154">
        <f t="shared" si="157"/>
        <v>2014</v>
      </c>
    </row>
    <row r="8155" spans="1:3">
      <c r="A8155" s="68">
        <v>41721</v>
      </c>
      <c r="B8155" s="32">
        <v>1993.85</v>
      </c>
      <c r="C8155">
        <f t="shared" si="157"/>
        <v>2014</v>
      </c>
    </row>
    <row r="8156" spans="1:3">
      <c r="A8156" s="68">
        <v>41722</v>
      </c>
      <c r="B8156" s="33">
        <v>1993.85</v>
      </c>
      <c r="C8156">
        <f t="shared" si="157"/>
        <v>2014</v>
      </c>
    </row>
    <row r="8157" spans="1:3">
      <c r="A8157" s="68">
        <v>41723</v>
      </c>
      <c r="B8157" s="32">
        <v>1993.85</v>
      </c>
      <c r="C8157">
        <f t="shared" si="157"/>
        <v>2014</v>
      </c>
    </row>
    <row r="8158" spans="1:3">
      <c r="A8158" s="68">
        <v>41724</v>
      </c>
      <c r="B8158" s="33">
        <v>1978.63</v>
      </c>
      <c r="C8158">
        <f t="shared" si="157"/>
        <v>2014</v>
      </c>
    </row>
    <row r="8159" spans="1:3">
      <c r="A8159" s="68">
        <v>41725</v>
      </c>
      <c r="B8159" s="32">
        <v>1973.03</v>
      </c>
      <c r="C8159">
        <f t="shared" si="157"/>
        <v>2014</v>
      </c>
    </row>
    <row r="8160" spans="1:3">
      <c r="A8160" s="68">
        <v>41726</v>
      </c>
      <c r="B8160" s="33">
        <v>1965.64</v>
      </c>
      <c r="C8160">
        <f t="shared" si="157"/>
        <v>2014</v>
      </c>
    </row>
    <row r="8161" spans="1:3">
      <c r="A8161" s="68">
        <v>41727</v>
      </c>
      <c r="B8161" s="32">
        <v>1965.32</v>
      </c>
      <c r="C8161">
        <f t="shared" si="157"/>
        <v>2014</v>
      </c>
    </row>
    <row r="8162" spans="1:3">
      <c r="A8162" s="68">
        <v>41728</v>
      </c>
      <c r="B8162" s="33">
        <v>1965.32</v>
      </c>
      <c r="C8162">
        <f t="shared" si="157"/>
        <v>2014</v>
      </c>
    </row>
    <row r="8163" spans="1:3">
      <c r="A8163" s="68">
        <v>41729</v>
      </c>
      <c r="B8163" s="32">
        <v>1965.32</v>
      </c>
      <c r="C8163">
        <f t="shared" si="157"/>
        <v>2014</v>
      </c>
    </row>
    <row r="8164" spans="1:3">
      <c r="A8164" s="68">
        <v>41730</v>
      </c>
      <c r="B8164" s="33">
        <v>1969.45</v>
      </c>
      <c r="C8164">
        <f t="shared" si="157"/>
        <v>2014</v>
      </c>
    </row>
    <row r="8165" spans="1:3">
      <c r="A8165" s="68">
        <v>41731</v>
      </c>
      <c r="B8165" s="32">
        <v>1966.02</v>
      </c>
      <c r="C8165">
        <f t="shared" si="157"/>
        <v>2014</v>
      </c>
    </row>
    <row r="8166" spans="1:3">
      <c r="A8166" s="68">
        <v>41732</v>
      </c>
      <c r="B8166" s="33">
        <v>1963.51</v>
      </c>
      <c r="C8166">
        <f t="shared" si="157"/>
        <v>2014</v>
      </c>
    </row>
    <row r="8167" spans="1:3">
      <c r="A8167" s="68">
        <v>41733</v>
      </c>
      <c r="B8167" s="32">
        <v>1966.4</v>
      </c>
      <c r="C8167">
        <f t="shared" si="157"/>
        <v>2014</v>
      </c>
    </row>
    <row r="8168" spans="1:3">
      <c r="A8168" s="68">
        <v>41734</v>
      </c>
      <c r="B8168" s="33">
        <v>1951.85</v>
      </c>
      <c r="C8168">
        <f t="shared" si="157"/>
        <v>2014</v>
      </c>
    </row>
    <row r="8169" spans="1:3">
      <c r="A8169" s="68">
        <v>41735</v>
      </c>
      <c r="B8169" s="32">
        <v>1951.85</v>
      </c>
      <c r="C8169">
        <f t="shared" si="157"/>
        <v>2014</v>
      </c>
    </row>
    <row r="8170" spans="1:3">
      <c r="A8170" s="68">
        <v>41736</v>
      </c>
      <c r="B8170" s="33">
        <v>1951.85</v>
      </c>
      <c r="C8170">
        <f t="shared" si="157"/>
        <v>2014</v>
      </c>
    </row>
    <row r="8171" spans="1:3">
      <c r="A8171" s="68">
        <v>41737</v>
      </c>
      <c r="B8171" s="32">
        <v>1937.59</v>
      </c>
      <c r="C8171">
        <f t="shared" si="157"/>
        <v>2014</v>
      </c>
    </row>
    <row r="8172" spans="1:3">
      <c r="A8172" s="68">
        <v>41738</v>
      </c>
      <c r="B8172" s="33">
        <v>1923.95</v>
      </c>
      <c r="C8172">
        <f t="shared" si="157"/>
        <v>2014</v>
      </c>
    </row>
    <row r="8173" spans="1:3">
      <c r="A8173" s="68">
        <v>41739</v>
      </c>
      <c r="B8173" s="32">
        <v>1931.09</v>
      </c>
      <c r="C8173">
        <f t="shared" si="157"/>
        <v>2014</v>
      </c>
    </row>
    <row r="8174" spans="1:3">
      <c r="A8174" s="68">
        <v>41740</v>
      </c>
      <c r="B8174" s="33">
        <v>1920.93</v>
      </c>
      <c r="C8174">
        <f t="shared" si="157"/>
        <v>2014</v>
      </c>
    </row>
    <row r="8175" spans="1:3">
      <c r="A8175" s="68">
        <v>41741</v>
      </c>
      <c r="B8175" s="32">
        <v>1927.28</v>
      </c>
      <c r="C8175">
        <f t="shared" si="157"/>
        <v>2014</v>
      </c>
    </row>
    <row r="8176" spans="1:3">
      <c r="A8176" s="68">
        <v>41742</v>
      </c>
      <c r="B8176" s="33">
        <v>1927.28</v>
      </c>
      <c r="C8176">
        <f t="shared" si="157"/>
        <v>2014</v>
      </c>
    </row>
    <row r="8177" spans="1:3">
      <c r="A8177" s="68">
        <v>41743</v>
      </c>
      <c r="B8177" s="32">
        <v>1927.28</v>
      </c>
      <c r="C8177">
        <f t="shared" si="157"/>
        <v>2014</v>
      </c>
    </row>
    <row r="8178" spans="1:3">
      <c r="A8178" s="68">
        <v>41744</v>
      </c>
      <c r="B8178" s="33">
        <v>1926.47</v>
      </c>
      <c r="C8178">
        <f t="shared" si="157"/>
        <v>2014</v>
      </c>
    </row>
    <row r="8179" spans="1:3">
      <c r="A8179" s="68">
        <v>41745</v>
      </c>
      <c r="B8179" s="32">
        <v>1932.42</v>
      </c>
      <c r="C8179">
        <f t="shared" si="157"/>
        <v>2014</v>
      </c>
    </row>
    <row r="8180" spans="1:3">
      <c r="A8180" s="68">
        <v>41746</v>
      </c>
      <c r="B8180" s="33">
        <v>1930.62</v>
      </c>
      <c r="C8180">
        <f t="shared" si="157"/>
        <v>2014</v>
      </c>
    </row>
    <row r="8181" spans="1:3">
      <c r="A8181" s="68">
        <v>41747</v>
      </c>
      <c r="B8181" s="32">
        <v>1930.62</v>
      </c>
      <c r="C8181">
        <f t="shared" si="157"/>
        <v>2014</v>
      </c>
    </row>
    <row r="8182" spans="1:3">
      <c r="A8182" s="68">
        <v>41748</v>
      </c>
      <c r="B8182" s="33">
        <v>1930.62</v>
      </c>
      <c r="C8182">
        <f t="shared" si="157"/>
        <v>2014</v>
      </c>
    </row>
    <row r="8183" spans="1:3">
      <c r="A8183" s="68">
        <v>41749</v>
      </c>
      <c r="B8183" s="32">
        <v>1930.62</v>
      </c>
      <c r="C8183">
        <f t="shared" si="157"/>
        <v>2014</v>
      </c>
    </row>
    <row r="8184" spans="1:3">
      <c r="A8184" s="68">
        <v>41750</v>
      </c>
      <c r="B8184" s="33">
        <v>1930.62</v>
      </c>
      <c r="C8184">
        <f t="shared" si="157"/>
        <v>2014</v>
      </c>
    </row>
    <row r="8185" spans="1:3">
      <c r="A8185" s="68">
        <v>41751</v>
      </c>
      <c r="B8185" s="32">
        <v>1921.75</v>
      </c>
      <c r="C8185">
        <f t="shared" si="157"/>
        <v>2014</v>
      </c>
    </row>
    <row r="8186" spans="1:3">
      <c r="A8186" s="68">
        <v>41752</v>
      </c>
      <c r="B8186" s="33">
        <v>1929.66</v>
      </c>
      <c r="C8186">
        <f t="shared" si="157"/>
        <v>2014</v>
      </c>
    </row>
    <row r="8187" spans="1:3">
      <c r="A8187" s="68">
        <v>41753</v>
      </c>
      <c r="B8187" s="32">
        <v>1936.63</v>
      </c>
      <c r="C8187">
        <f t="shared" si="157"/>
        <v>2014</v>
      </c>
    </row>
    <row r="8188" spans="1:3">
      <c r="A8188" s="68">
        <v>41754</v>
      </c>
      <c r="B8188" s="33">
        <v>1936.07</v>
      </c>
      <c r="C8188">
        <f t="shared" si="157"/>
        <v>2014</v>
      </c>
    </row>
    <row r="8189" spans="1:3">
      <c r="A8189" s="68">
        <v>41755</v>
      </c>
      <c r="B8189" s="32">
        <v>1942.37</v>
      </c>
      <c r="C8189">
        <f t="shared" si="157"/>
        <v>2014</v>
      </c>
    </row>
    <row r="8190" spans="1:3">
      <c r="A8190" s="68">
        <v>41756</v>
      </c>
      <c r="B8190" s="33">
        <v>1942.37</v>
      </c>
      <c r="C8190">
        <f t="shared" si="157"/>
        <v>2014</v>
      </c>
    </row>
    <row r="8191" spans="1:3">
      <c r="A8191" s="68">
        <v>41757</v>
      </c>
      <c r="B8191" s="32">
        <v>1942.37</v>
      </c>
      <c r="C8191">
        <f t="shared" si="157"/>
        <v>2014</v>
      </c>
    </row>
    <row r="8192" spans="1:3">
      <c r="A8192" s="68">
        <v>41758</v>
      </c>
      <c r="B8192" s="33">
        <v>1936.13</v>
      </c>
      <c r="C8192">
        <f t="shared" si="157"/>
        <v>2014</v>
      </c>
    </row>
    <row r="8193" spans="1:3">
      <c r="A8193" s="68">
        <v>41759</v>
      </c>
      <c r="B8193" s="32">
        <v>1935.14</v>
      </c>
      <c r="C8193">
        <f t="shared" si="157"/>
        <v>2014</v>
      </c>
    </row>
    <row r="8194" spans="1:3">
      <c r="A8194" s="68">
        <v>41760</v>
      </c>
      <c r="B8194" s="33">
        <v>1933.46</v>
      </c>
      <c r="C8194">
        <f t="shared" si="157"/>
        <v>2014</v>
      </c>
    </row>
    <row r="8195" spans="1:3">
      <c r="A8195" s="68">
        <v>41761</v>
      </c>
      <c r="B8195" s="32">
        <v>1933.46</v>
      </c>
      <c r="C8195">
        <f t="shared" si="157"/>
        <v>2014</v>
      </c>
    </row>
    <row r="8196" spans="1:3">
      <c r="A8196" s="68">
        <v>41762</v>
      </c>
      <c r="B8196" s="33">
        <v>1926.3</v>
      </c>
      <c r="C8196">
        <f t="shared" ref="C8196:C8259" si="158">YEAR(A8196)</f>
        <v>2014</v>
      </c>
    </row>
    <row r="8197" spans="1:3">
      <c r="A8197" s="68">
        <v>41763</v>
      </c>
      <c r="B8197" s="32">
        <v>1926.3</v>
      </c>
      <c r="C8197">
        <f t="shared" si="158"/>
        <v>2014</v>
      </c>
    </row>
    <row r="8198" spans="1:3">
      <c r="A8198" s="68">
        <v>41764</v>
      </c>
      <c r="B8198" s="33">
        <v>1926.3</v>
      </c>
      <c r="C8198">
        <f t="shared" si="158"/>
        <v>2014</v>
      </c>
    </row>
    <row r="8199" spans="1:3">
      <c r="A8199" s="68">
        <v>41765</v>
      </c>
      <c r="B8199" s="32">
        <v>1923.07</v>
      </c>
      <c r="C8199">
        <f t="shared" si="158"/>
        <v>2014</v>
      </c>
    </row>
    <row r="8200" spans="1:3">
      <c r="A8200" s="68">
        <v>41766</v>
      </c>
      <c r="B8200" s="33">
        <v>1918.2</v>
      </c>
      <c r="C8200">
        <f t="shared" si="158"/>
        <v>2014</v>
      </c>
    </row>
    <row r="8201" spans="1:3">
      <c r="A8201" s="68">
        <v>41767</v>
      </c>
      <c r="B8201" s="32">
        <v>1912.97</v>
      </c>
      <c r="C8201">
        <f t="shared" si="158"/>
        <v>2014</v>
      </c>
    </row>
    <row r="8202" spans="1:3">
      <c r="A8202" s="68">
        <v>41768</v>
      </c>
      <c r="B8202" s="33">
        <v>1902.15</v>
      </c>
      <c r="C8202">
        <f t="shared" si="158"/>
        <v>2014</v>
      </c>
    </row>
    <row r="8203" spans="1:3">
      <c r="A8203" s="68">
        <v>41769</v>
      </c>
      <c r="B8203" s="32">
        <v>1901.51</v>
      </c>
      <c r="C8203">
        <f t="shared" si="158"/>
        <v>2014</v>
      </c>
    </row>
    <row r="8204" spans="1:3">
      <c r="A8204" s="68">
        <v>41770</v>
      </c>
      <c r="B8204" s="33">
        <v>1901.51</v>
      </c>
      <c r="C8204">
        <f t="shared" si="158"/>
        <v>2014</v>
      </c>
    </row>
    <row r="8205" spans="1:3">
      <c r="A8205" s="68">
        <v>41771</v>
      </c>
      <c r="B8205" s="32">
        <v>1901.51</v>
      </c>
      <c r="C8205">
        <f t="shared" si="158"/>
        <v>2014</v>
      </c>
    </row>
    <row r="8206" spans="1:3">
      <c r="A8206" s="68">
        <v>41772</v>
      </c>
      <c r="B8206" s="33">
        <v>1904.85</v>
      </c>
      <c r="C8206">
        <f t="shared" si="158"/>
        <v>2014</v>
      </c>
    </row>
    <row r="8207" spans="1:3">
      <c r="A8207" s="68">
        <v>41773</v>
      </c>
      <c r="B8207" s="32">
        <v>1919.7</v>
      </c>
      <c r="C8207">
        <f t="shared" si="158"/>
        <v>2014</v>
      </c>
    </row>
    <row r="8208" spans="1:3">
      <c r="A8208" s="68">
        <v>41774</v>
      </c>
      <c r="B8208" s="33">
        <v>1925.31</v>
      </c>
      <c r="C8208">
        <f t="shared" si="158"/>
        <v>2014</v>
      </c>
    </row>
    <row r="8209" spans="1:3">
      <c r="A8209" s="68">
        <v>41775</v>
      </c>
      <c r="B8209" s="32">
        <v>1927.8</v>
      </c>
      <c r="C8209">
        <f t="shared" si="158"/>
        <v>2014</v>
      </c>
    </row>
    <row r="8210" spans="1:3">
      <c r="A8210" s="68">
        <v>41776</v>
      </c>
      <c r="B8210" s="33">
        <v>1925.41</v>
      </c>
      <c r="C8210">
        <f t="shared" si="158"/>
        <v>2014</v>
      </c>
    </row>
    <row r="8211" spans="1:3">
      <c r="A8211" s="68">
        <v>41777</v>
      </c>
      <c r="B8211" s="32">
        <v>1925.41</v>
      </c>
      <c r="C8211">
        <f t="shared" si="158"/>
        <v>2014</v>
      </c>
    </row>
    <row r="8212" spans="1:3">
      <c r="A8212" s="68">
        <v>41778</v>
      </c>
      <c r="B8212" s="33">
        <v>1925.41</v>
      </c>
      <c r="C8212">
        <f t="shared" si="158"/>
        <v>2014</v>
      </c>
    </row>
    <row r="8213" spans="1:3">
      <c r="A8213" s="68">
        <v>41779</v>
      </c>
      <c r="B8213" s="32">
        <v>1921.16</v>
      </c>
      <c r="C8213">
        <f t="shared" si="158"/>
        <v>2014</v>
      </c>
    </row>
    <row r="8214" spans="1:3">
      <c r="A8214" s="68">
        <v>41780</v>
      </c>
      <c r="B8214" s="33">
        <v>1920.41</v>
      </c>
      <c r="C8214">
        <f t="shared" si="158"/>
        <v>2014</v>
      </c>
    </row>
    <row r="8215" spans="1:3">
      <c r="A8215" s="68">
        <v>41781</v>
      </c>
      <c r="B8215" s="32">
        <v>1911.33</v>
      </c>
      <c r="C8215">
        <f t="shared" si="158"/>
        <v>2014</v>
      </c>
    </row>
    <row r="8216" spans="1:3">
      <c r="A8216" s="68">
        <v>41782</v>
      </c>
      <c r="B8216" s="33">
        <v>1905.8</v>
      </c>
      <c r="C8216">
        <f t="shared" si="158"/>
        <v>2014</v>
      </c>
    </row>
    <row r="8217" spans="1:3">
      <c r="A8217" s="68">
        <v>41783</v>
      </c>
      <c r="B8217" s="32">
        <v>1905.53</v>
      </c>
      <c r="C8217">
        <f t="shared" si="158"/>
        <v>2014</v>
      </c>
    </row>
    <row r="8218" spans="1:3">
      <c r="A8218" s="68">
        <v>41784</v>
      </c>
      <c r="B8218" s="33">
        <v>1905.53</v>
      </c>
      <c r="C8218">
        <f t="shared" si="158"/>
        <v>2014</v>
      </c>
    </row>
    <row r="8219" spans="1:3">
      <c r="A8219" s="68">
        <v>41785</v>
      </c>
      <c r="B8219" s="32">
        <v>1905.53</v>
      </c>
      <c r="C8219">
        <f t="shared" si="158"/>
        <v>2014</v>
      </c>
    </row>
    <row r="8220" spans="1:3">
      <c r="A8220" s="68">
        <v>41786</v>
      </c>
      <c r="B8220" s="33">
        <v>1905.53</v>
      </c>
      <c r="C8220">
        <f t="shared" si="158"/>
        <v>2014</v>
      </c>
    </row>
    <row r="8221" spans="1:3">
      <c r="A8221" s="68">
        <v>41787</v>
      </c>
      <c r="B8221" s="32">
        <v>1917.34</v>
      </c>
      <c r="C8221">
        <f t="shared" si="158"/>
        <v>2014</v>
      </c>
    </row>
    <row r="8222" spans="1:3">
      <c r="A8222" s="68">
        <v>41788</v>
      </c>
      <c r="B8222" s="33">
        <v>1910.8</v>
      </c>
      <c r="C8222">
        <f t="shared" si="158"/>
        <v>2014</v>
      </c>
    </row>
    <row r="8223" spans="1:3">
      <c r="A8223" s="68">
        <v>41789</v>
      </c>
      <c r="B8223" s="32">
        <v>1905.96</v>
      </c>
      <c r="C8223">
        <f t="shared" si="158"/>
        <v>2014</v>
      </c>
    </row>
    <row r="8224" spans="1:3">
      <c r="A8224" s="68">
        <v>41790</v>
      </c>
      <c r="B8224" s="33">
        <v>1900.64</v>
      </c>
      <c r="C8224">
        <f t="shared" si="158"/>
        <v>2014</v>
      </c>
    </row>
    <row r="8225" spans="1:3">
      <c r="A8225" s="68">
        <v>41791</v>
      </c>
      <c r="B8225" s="32">
        <v>1900.64</v>
      </c>
      <c r="C8225">
        <f t="shared" si="158"/>
        <v>2014</v>
      </c>
    </row>
    <row r="8226" spans="1:3">
      <c r="A8226" s="68">
        <v>41792</v>
      </c>
      <c r="B8226" s="33">
        <v>1900.64</v>
      </c>
      <c r="C8226">
        <f t="shared" si="158"/>
        <v>2014</v>
      </c>
    </row>
    <row r="8227" spans="1:3">
      <c r="A8227" s="68">
        <v>41793</v>
      </c>
      <c r="B8227" s="32">
        <v>1900.64</v>
      </c>
      <c r="C8227">
        <f t="shared" si="158"/>
        <v>2014</v>
      </c>
    </row>
    <row r="8228" spans="1:3">
      <c r="A8228" s="68">
        <v>41794</v>
      </c>
      <c r="B8228" s="33">
        <v>1899.74</v>
      </c>
      <c r="C8228">
        <f t="shared" si="158"/>
        <v>2014</v>
      </c>
    </row>
    <row r="8229" spans="1:3">
      <c r="A8229" s="68">
        <v>41795</v>
      </c>
      <c r="B8229" s="32">
        <v>1897.7</v>
      </c>
      <c r="C8229">
        <f t="shared" si="158"/>
        <v>2014</v>
      </c>
    </row>
    <row r="8230" spans="1:3">
      <c r="A8230" s="68">
        <v>41796</v>
      </c>
      <c r="B8230" s="33">
        <v>1892.08</v>
      </c>
      <c r="C8230">
        <f t="shared" si="158"/>
        <v>2014</v>
      </c>
    </row>
    <row r="8231" spans="1:3">
      <c r="A8231" s="68">
        <v>41797</v>
      </c>
      <c r="B8231" s="32">
        <v>1886.09</v>
      </c>
      <c r="C8231">
        <f t="shared" si="158"/>
        <v>2014</v>
      </c>
    </row>
    <row r="8232" spans="1:3">
      <c r="A8232" s="68">
        <v>41798</v>
      </c>
      <c r="B8232" s="33">
        <v>1886.09</v>
      </c>
      <c r="C8232">
        <f t="shared" si="158"/>
        <v>2014</v>
      </c>
    </row>
    <row r="8233" spans="1:3">
      <c r="A8233" s="68">
        <v>41799</v>
      </c>
      <c r="B8233" s="32">
        <v>1886.09</v>
      </c>
      <c r="C8233">
        <f t="shared" si="158"/>
        <v>2014</v>
      </c>
    </row>
    <row r="8234" spans="1:3">
      <c r="A8234" s="68">
        <v>41800</v>
      </c>
      <c r="B8234" s="33">
        <v>1883.76</v>
      </c>
      <c r="C8234">
        <f t="shared" si="158"/>
        <v>2014</v>
      </c>
    </row>
    <row r="8235" spans="1:3">
      <c r="A8235" s="68">
        <v>41801</v>
      </c>
      <c r="B8235" s="32">
        <v>1884.97</v>
      </c>
      <c r="C8235">
        <f t="shared" si="158"/>
        <v>2014</v>
      </c>
    </row>
    <row r="8236" spans="1:3">
      <c r="A8236" s="68">
        <v>41802</v>
      </c>
      <c r="B8236" s="33">
        <v>1884.63</v>
      </c>
      <c r="C8236">
        <f t="shared" si="158"/>
        <v>2014</v>
      </c>
    </row>
    <row r="8237" spans="1:3">
      <c r="A8237" s="68">
        <v>41803</v>
      </c>
      <c r="B8237" s="32">
        <v>1877.18</v>
      </c>
      <c r="C8237">
        <f t="shared" si="158"/>
        <v>2014</v>
      </c>
    </row>
    <row r="8238" spans="1:3">
      <c r="A8238" s="68">
        <v>41804</v>
      </c>
      <c r="B8238" s="33">
        <v>1877.37</v>
      </c>
      <c r="C8238">
        <f t="shared" si="158"/>
        <v>2014</v>
      </c>
    </row>
    <row r="8239" spans="1:3">
      <c r="A8239" s="68">
        <v>41805</v>
      </c>
      <c r="B8239" s="32">
        <v>1877.37</v>
      </c>
      <c r="C8239">
        <f t="shared" si="158"/>
        <v>2014</v>
      </c>
    </row>
    <row r="8240" spans="1:3">
      <c r="A8240" s="68">
        <v>41806</v>
      </c>
      <c r="B8240" s="33">
        <v>1877.37</v>
      </c>
      <c r="C8240">
        <f t="shared" si="158"/>
        <v>2014</v>
      </c>
    </row>
    <row r="8241" spans="1:3">
      <c r="A8241" s="68">
        <v>41807</v>
      </c>
      <c r="B8241" s="32">
        <v>1886.62</v>
      </c>
      <c r="C8241">
        <f t="shared" si="158"/>
        <v>2014</v>
      </c>
    </row>
    <row r="8242" spans="1:3">
      <c r="A8242" s="68">
        <v>41808</v>
      </c>
      <c r="B8242" s="33">
        <v>1899.9</v>
      </c>
      <c r="C8242">
        <f t="shared" si="158"/>
        <v>2014</v>
      </c>
    </row>
    <row r="8243" spans="1:3">
      <c r="A8243" s="68">
        <v>41809</v>
      </c>
      <c r="B8243" s="32">
        <v>1895.92</v>
      </c>
      <c r="C8243">
        <f t="shared" si="158"/>
        <v>2014</v>
      </c>
    </row>
    <row r="8244" spans="1:3">
      <c r="A8244" s="68">
        <v>41810</v>
      </c>
      <c r="B8244" s="33">
        <v>1881.34</v>
      </c>
      <c r="C8244">
        <f t="shared" si="158"/>
        <v>2014</v>
      </c>
    </row>
    <row r="8245" spans="1:3">
      <c r="A8245" s="68">
        <v>41811</v>
      </c>
      <c r="B8245" s="32">
        <v>1884.56</v>
      </c>
      <c r="C8245">
        <f t="shared" si="158"/>
        <v>2014</v>
      </c>
    </row>
    <row r="8246" spans="1:3">
      <c r="A8246" s="68">
        <v>41812</v>
      </c>
      <c r="B8246" s="33">
        <v>1884.56</v>
      </c>
      <c r="C8246">
        <f t="shared" si="158"/>
        <v>2014</v>
      </c>
    </row>
    <row r="8247" spans="1:3">
      <c r="A8247" s="68">
        <v>41813</v>
      </c>
      <c r="B8247" s="32">
        <v>1884.56</v>
      </c>
      <c r="C8247">
        <f t="shared" si="158"/>
        <v>2014</v>
      </c>
    </row>
    <row r="8248" spans="1:3">
      <c r="A8248" s="68">
        <v>41814</v>
      </c>
      <c r="B8248" s="33">
        <v>1884.56</v>
      </c>
      <c r="C8248">
        <f t="shared" si="158"/>
        <v>2014</v>
      </c>
    </row>
    <row r="8249" spans="1:3">
      <c r="A8249" s="68">
        <v>41815</v>
      </c>
      <c r="B8249" s="32">
        <v>1886.85</v>
      </c>
      <c r="C8249">
        <f t="shared" si="158"/>
        <v>2014</v>
      </c>
    </row>
    <row r="8250" spans="1:3">
      <c r="A8250" s="68">
        <v>41816</v>
      </c>
      <c r="B8250" s="33">
        <v>1880.37</v>
      </c>
      <c r="C8250">
        <f t="shared" si="158"/>
        <v>2014</v>
      </c>
    </row>
    <row r="8251" spans="1:3">
      <c r="A8251" s="68">
        <v>41817</v>
      </c>
      <c r="B8251" s="32">
        <v>1886.01</v>
      </c>
      <c r="C8251">
        <f t="shared" si="158"/>
        <v>2014</v>
      </c>
    </row>
    <row r="8252" spans="1:3">
      <c r="A8252" s="68">
        <v>41818</v>
      </c>
      <c r="B8252" s="33">
        <v>1881.19</v>
      </c>
      <c r="C8252">
        <f t="shared" si="158"/>
        <v>2014</v>
      </c>
    </row>
    <row r="8253" spans="1:3">
      <c r="A8253" s="68">
        <v>41819</v>
      </c>
      <c r="B8253" s="32">
        <v>1881.19</v>
      </c>
      <c r="C8253">
        <f t="shared" si="158"/>
        <v>2014</v>
      </c>
    </row>
    <row r="8254" spans="1:3">
      <c r="A8254" s="68">
        <v>41820</v>
      </c>
      <c r="B8254" s="33">
        <v>1881.19</v>
      </c>
      <c r="C8254">
        <f t="shared" si="158"/>
        <v>2014</v>
      </c>
    </row>
    <row r="8255" spans="1:3">
      <c r="A8255" s="68">
        <v>41821</v>
      </c>
      <c r="B8255" s="32">
        <v>1881.19</v>
      </c>
      <c r="C8255">
        <f t="shared" si="158"/>
        <v>2014</v>
      </c>
    </row>
    <row r="8256" spans="1:3">
      <c r="A8256" s="68">
        <v>41822</v>
      </c>
      <c r="B8256" s="33">
        <v>1865.42</v>
      </c>
      <c r="C8256">
        <f t="shared" si="158"/>
        <v>2014</v>
      </c>
    </row>
    <row r="8257" spans="1:3">
      <c r="A8257" s="68">
        <v>41823</v>
      </c>
      <c r="B8257" s="32">
        <v>1856.73</v>
      </c>
      <c r="C8257">
        <f t="shared" si="158"/>
        <v>2014</v>
      </c>
    </row>
    <row r="8258" spans="1:3">
      <c r="A8258" s="68">
        <v>41824</v>
      </c>
      <c r="B8258" s="33">
        <v>1848.91</v>
      </c>
      <c r="C8258">
        <f t="shared" si="158"/>
        <v>2014</v>
      </c>
    </row>
    <row r="8259" spans="1:3">
      <c r="A8259" s="68">
        <v>41825</v>
      </c>
      <c r="B8259" s="32">
        <v>1848.91</v>
      </c>
      <c r="C8259">
        <f t="shared" si="158"/>
        <v>2014</v>
      </c>
    </row>
    <row r="8260" spans="1:3">
      <c r="A8260" s="68">
        <v>41826</v>
      </c>
      <c r="B8260" s="33">
        <v>1848.91</v>
      </c>
      <c r="C8260">
        <f t="shared" ref="C8260:C8323" si="159">YEAR(A8260)</f>
        <v>2014</v>
      </c>
    </row>
    <row r="8261" spans="1:3">
      <c r="A8261" s="68">
        <v>41827</v>
      </c>
      <c r="B8261" s="32">
        <v>1848.91</v>
      </c>
      <c r="C8261">
        <f t="shared" si="159"/>
        <v>2014</v>
      </c>
    </row>
    <row r="8262" spans="1:3">
      <c r="A8262" s="68">
        <v>41828</v>
      </c>
      <c r="B8262" s="33">
        <v>1849.28</v>
      </c>
      <c r="C8262">
        <f t="shared" si="159"/>
        <v>2014</v>
      </c>
    </row>
    <row r="8263" spans="1:3">
      <c r="A8263" s="68">
        <v>41829</v>
      </c>
      <c r="B8263" s="32">
        <v>1854.24</v>
      </c>
      <c r="C8263">
        <f t="shared" si="159"/>
        <v>2014</v>
      </c>
    </row>
    <row r="8264" spans="1:3">
      <c r="A8264" s="68">
        <v>41830</v>
      </c>
      <c r="B8264" s="33">
        <v>1859.94</v>
      </c>
      <c r="C8264">
        <f t="shared" si="159"/>
        <v>2014</v>
      </c>
    </row>
    <row r="8265" spans="1:3">
      <c r="A8265" s="68">
        <v>41831</v>
      </c>
      <c r="B8265" s="32">
        <v>1858.47</v>
      </c>
      <c r="C8265">
        <f t="shared" si="159"/>
        <v>2014</v>
      </c>
    </row>
    <row r="8266" spans="1:3">
      <c r="A8266" s="68">
        <v>41832</v>
      </c>
      <c r="B8266" s="33">
        <v>1852.57</v>
      </c>
      <c r="C8266">
        <f t="shared" si="159"/>
        <v>2014</v>
      </c>
    </row>
    <row r="8267" spans="1:3">
      <c r="A8267" s="68">
        <v>41833</v>
      </c>
      <c r="B8267" s="32">
        <v>1852.57</v>
      </c>
      <c r="C8267">
        <f t="shared" si="159"/>
        <v>2014</v>
      </c>
    </row>
    <row r="8268" spans="1:3">
      <c r="A8268" s="68">
        <v>41834</v>
      </c>
      <c r="B8268" s="33">
        <v>1852.57</v>
      </c>
      <c r="C8268">
        <f t="shared" si="159"/>
        <v>2014</v>
      </c>
    </row>
    <row r="8269" spans="1:3">
      <c r="A8269" s="68">
        <v>41835</v>
      </c>
      <c r="B8269" s="32">
        <v>1857.93</v>
      </c>
      <c r="C8269">
        <f t="shared" si="159"/>
        <v>2014</v>
      </c>
    </row>
    <row r="8270" spans="1:3">
      <c r="A8270" s="68">
        <v>41836</v>
      </c>
      <c r="B8270" s="33">
        <v>1867.88</v>
      </c>
      <c r="C8270">
        <f t="shared" si="159"/>
        <v>2014</v>
      </c>
    </row>
    <row r="8271" spans="1:3">
      <c r="A8271" s="68">
        <v>41837</v>
      </c>
      <c r="B8271" s="32">
        <v>1868.41</v>
      </c>
      <c r="C8271">
        <f t="shared" si="159"/>
        <v>2014</v>
      </c>
    </row>
    <row r="8272" spans="1:3">
      <c r="A8272" s="68">
        <v>41838</v>
      </c>
      <c r="B8272" s="33">
        <v>1872.27</v>
      </c>
      <c r="C8272">
        <f t="shared" si="159"/>
        <v>2014</v>
      </c>
    </row>
    <row r="8273" spans="1:3">
      <c r="A8273" s="68">
        <v>41839</v>
      </c>
      <c r="B8273" s="32">
        <v>1871.87</v>
      </c>
      <c r="C8273">
        <f t="shared" si="159"/>
        <v>2014</v>
      </c>
    </row>
    <row r="8274" spans="1:3">
      <c r="A8274" s="68">
        <v>41840</v>
      </c>
      <c r="B8274" s="33">
        <v>1871.87</v>
      </c>
      <c r="C8274">
        <f t="shared" si="159"/>
        <v>2014</v>
      </c>
    </row>
    <row r="8275" spans="1:3">
      <c r="A8275" s="68">
        <v>41841</v>
      </c>
      <c r="B8275" s="32">
        <v>1871.87</v>
      </c>
      <c r="C8275">
        <f t="shared" si="159"/>
        <v>2014</v>
      </c>
    </row>
    <row r="8276" spans="1:3">
      <c r="A8276" s="68">
        <v>41842</v>
      </c>
      <c r="B8276" s="33">
        <v>1861.28</v>
      </c>
      <c r="C8276">
        <f t="shared" si="159"/>
        <v>2014</v>
      </c>
    </row>
    <row r="8277" spans="1:3">
      <c r="A8277" s="68">
        <v>41843</v>
      </c>
      <c r="B8277" s="32">
        <v>1848.98</v>
      </c>
      <c r="C8277">
        <f t="shared" si="159"/>
        <v>2014</v>
      </c>
    </row>
    <row r="8278" spans="1:3">
      <c r="A8278" s="68">
        <v>41844</v>
      </c>
      <c r="B8278" s="33">
        <v>1847.85</v>
      </c>
      <c r="C8278">
        <f t="shared" si="159"/>
        <v>2014</v>
      </c>
    </row>
    <row r="8279" spans="1:3">
      <c r="A8279" s="68">
        <v>41845</v>
      </c>
      <c r="B8279" s="32">
        <v>1846.12</v>
      </c>
      <c r="C8279">
        <f t="shared" si="159"/>
        <v>2014</v>
      </c>
    </row>
    <row r="8280" spans="1:3">
      <c r="A8280" s="68">
        <v>41846</v>
      </c>
      <c r="B8280" s="33">
        <v>1848.56</v>
      </c>
      <c r="C8280">
        <f t="shared" si="159"/>
        <v>2014</v>
      </c>
    </row>
    <row r="8281" spans="1:3">
      <c r="A8281" s="68">
        <v>41847</v>
      </c>
      <c r="B8281" s="32">
        <v>1848.56</v>
      </c>
      <c r="C8281">
        <f t="shared" si="159"/>
        <v>2014</v>
      </c>
    </row>
    <row r="8282" spans="1:3">
      <c r="A8282" s="68">
        <v>41848</v>
      </c>
      <c r="B8282" s="33">
        <v>1848.56</v>
      </c>
      <c r="C8282">
        <f t="shared" si="159"/>
        <v>2014</v>
      </c>
    </row>
    <row r="8283" spans="1:3">
      <c r="A8283" s="68">
        <v>41849</v>
      </c>
      <c r="B8283" s="32">
        <v>1850.61</v>
      </c>
      <c r="C8283">
        <f t="shared" si="159"/>
        <v>2014</v>
      </c>
    </row>
    <row r="8284" spans="1:3">
      <c r="A8284" s="68">
        <v>41850</v>
      </c>
      <c r="B8284" s="33">
        <v>1853.3</v>
      </c>
      <c r="C8284">
        <f t="shared" si="159"/>
        <v>2014</v>
      </c>
    </row>
    <row r="8285" spans="1:3">
      <c r="A8285" s="68">
        <v>41851</v>
      </c>
      <c r="B8285" s="32">
        <v>1872.43</v>
      </c>
      <c r="C8285">
        <f t="shared" si="159"/>
        <v>2014</v>
      </c>
    </row>
    <row r="8286" spans="1:3">
      <c r="A8286" s="68">
        <v>41852</v>
      </c>
      <c r="B8286" s="33">
        <v>1878.75</v>
      </c>
      <c r="C8286">
        <f t="shared" si="159"/>
        <v>2014</v>
      </c>
    </row>
    <row r="8287" spans="1:3">
      <c r="A8287" s="68">
        <v>41853</v>
      </c>
      <c r="B8287" s="32">
        <v>1873.65</v>
      </c>
      <c r="C8287">
        <f t="shared" si="159"/>
        <v>2014</v>
      </c>
    </row>
    <row r="8288" spans="1:3">
      <c r="A8288" s="68">
        <v>41854</v>
      </c>
      <c r="B8288" s="33">
        <v>1873.65</v>
      </c>
      <c r="C8288">
        <f t="shared" si="159"/>
        <v>2014</v>
      </c>
    </row>
    <row r="8289" spans="1:3">
      <c r="A8289" s="68">
        <v>41855</v>
      </c>
      <c r="B8289" s="32">
        <v>1873.65</v>
      </c>
      <c r="C8289">
        <f t="shared" si="159"/>
        <v>2014</v>
      </c>
    </row>
    <row r="8290" spans="1:3">
      <c r="A8290" s="68">
        <v>41856</v>
      </c>
      <c r="B8290" s="33">
        <v>1878.68</v>
      </c>
      <c r="C8290">
        <f t="shared" si="159"/>
        <v>2014</v>
      </c>
    </row>
    <row r="8291" spans="1:3">
      <c r="A8291" s="68">
        <v>41857</v>
      </c>
      <c r="B8291" s="32">
        <v>1892.35</v>
      </c>
      <c r="C8291">
        <f t="shared" si="159"/>
        <v>2014</v>
      </c>
    </row>
    <row r="8292" spans="1:3">
      <c r="A8292" s="68">
        <v>41858</v>
      </c>
      <c r="B8292" s="33">
        <v>1888.51</v>
      </c>
      <c r="C8292">
        <f t="shared" si="159"/>
        <v>2014</v>
      </c>
    </row>
    <row r="8293" spans="1:3">
      <c r="A8293" s="68">
        <v>41859</v>
      </c>
      <c r="B8293" s="32">
        <v>1888.51</v>
      </c>
      <c r="C8293">
        <f t="shared" si="159"/>
        <v>2014</v>
      </c>
    </row>
    <row r="8294" spans="1:3">
      <c r="A8294" s="68">
        <v>41860</v>
      </c>
      <c r="B8294" s="33">
        <v>1891.59</v>
      </c>
      <c r="C8294">
        <f t="shared" si="159"/>
        <v>2014</v>
      </c>
    </row>
    <row r="8295" spans="1:3">
      <c r="A8295" s="68">
        <v>41861</v>
      </c>
      <c r="B8295" s="32">
        <v>1891.59</v>
      </c>
      <c r="C8295">
        <f t="shared" si="159"/>
        <v>2014</v>
      </c>
    </row>
    <row r="8296" spans="1:3">
      <c r="A8296" s="68">
        <v>41862</v>
      </c>
      <c r="B8296" s="33">
        <v>1891.59</v>
      </c>
      <c r="C8296">
        <f t="shared" si="159"/>
        <v>2014</v>
      </c>
    </row>
    <row r="8297" spans="1:3">
      <c r="A8297" s="68">
        <v>41863</v>
      </c>
      <c r="B8297" s="32">
        <v>1881.62</v>
      </c>
      <c r="C8297">
        <f t="shared" si="159"/>
        <v>2014</v>
      </c>
    </row>
    <row r="8298" spans="1:3">
      <c r="A8298" s="68">
        <v>41864</v>
      </c>
      <c r="B8298" s="33">
        <v>1877.4</v>
      </c>
      <c r="C8298">
        <f t="shared" si="159"/>
        <v>2014</v>
      </c>
    </row>
    <row r="8299" spans="1:3">
      <c r="A8299" s="68">
        <v>41865</v>
      </c>
      <c r="B8299" s="32">
        <v>1883.33</v>
      </c>
      <c r="C8299">
        <f t="shared" si="159"/>
        <v>2014</v>
      </c>
    </row>
    <row r="8300" spans="1:3">
      <c r="A8300" s="68">
        <v>41866</v>
      </c>
      <c r="B8300" s="33">
        <v>1877.77</v>
      </c>
      <c r="C8300">
        <f t="shared" si="159"/>
        <v>2014</v>
      </c>
    </row>
    <row r="8301" spans="1:3">
      <c r="A8301" s="68">
        <v>41867</v>
      </c>
      <c r="B8301" s="32">
        <v>1884.81</v>
      </c>
      <c r="C8301">
        <f t="shared" si="159"/>
        <v>2014</v>
      </c>
    </row>
    <row r="8302" spans="1:3">
      <c r="A8302" s="68">
        <v>41868</v>
      </c>
      <c r="B8302" s="33">
        <v>1884.81</v>
      </c>
      <c r="C8302">
        <f t="shared" si="159"/>
        <v>2014</v>
      </c>
    </row>
    <row r="8303" spans="1:3">
      <c r="A8303" s="68">
        <v>41869</v>
      </c>
      <c r="B8303" s="32">
        <v>1884.81</v>
      </c>
      <c r="C8303">
        <f t="shared" si="159"/>
        <v>2014</v>
      </c>
    </row>
    <row r="8304" spans="1:3">
      <c r="A8304" s="68">
        <v>41870</v>
      </c>
      <c r="B8304" s="33">
        <v>1884.81</v>
      </c>
      <c r="C8304">
        <f t="shared" si="159"/>
        <v>2014</v>
      </c>
    </row>
    <row r="8305" spans="1:3">
      <c r="A8305" s="68">
        <v>41871</v>
      </c>
      <c r="B8305" s="32">
        <v>1894.27</v>
      </c>
      <c r="C8305">
        <f t="shared" si="159"/>
        <v>2014</v>
      </c>
    </row>
    <row r="8306" spans="1:3">
      <c r="A8306" s="68">
        <v>41872</v>
      </c>
      <c r="B8306" s="33">
        <v>1912.43</v>
      </c>
      <c r="C8306">
        <f t="shared" si="159"/>
        <v>2014</v>
      </c>
    </row>
    <row r="8307" spans="1:3">
      <c r="A8307" s="68">
        <v>41873</v>
      </c>
      <c r="B8307" s="32">
        <v>1919.84</v>
      </c>
      <c r="C8307">
        <f t="shared" si="159"/>
        <v>2014</v>
      </c>
    </row>
    <row r="8308" spans="1:3">
      <c r="A8308" s="68">
        <v>41874</v>
      </c>
      <c r="B8308" s="33">
        <v>1924.4</v>
      </c>
      <c r="C8308">
        <f t="shared" si="159"/>
        <v>2014</v>
      </c>
    </row>
    <row r="8309" spans="1:3">
      <c r="A8309" s="68">
        <v>41875</v>
      </c>
      <c r="B8309" s="32">
        <v>1924.4</v>
      </c>
      <c r="C8309">
        <f t="shared" si="159"/>
        <v>2014</v>
      </c>
    </row>
    <row r="8310" spans="1:3">
      <c r="A8310" s="68">
        <v>41876</v>
      </c>
      <c r="B8310" s="33">
        <v>1924.4</v>
      </c>
      <c r="C8310">
        <f t="shared" si="159"/>
        <v>2014</v>
      </c>
    </row>
    <row r="8311" spans="1:3">
      <c r="A8311" s="68">
        <v>41877</v>
      </c>
      <c r="B8311" s="32">
        <v>1932.39</v>
      </c>
      <c r="C8311">
        <f t="shared" si="159"/>
        <v>2014</v>
      </c>
    </row>
    <row r="8312" spans="1:3">
      <c r="A8312" s="68">
        <v>41878</v>
      </c>
      <c r="B8312" s="33">
        <v>1928.67</v>
      </c>
      <c r="C8312">
        <f t="shared" si="159"/>
        <v>2014</v>
      </c>
    </row>
    <row r="8313" spans="1:3">
      <c r="A8313" s="68">
        <v>41879</v>
      </c>
      <c r="B8313" s="32">
        <v>1926.92</v>
      </c>
      <c r="C8313">
        <f t="shared" si="159"/>
        <v>2014</v>
      </c>
    </row>
    <row r="8314" spans="1:3">
      <c r="A8314" s="68">
        <v>41880</v>
      </c>
      <c r="B8314" s="33">
        <v>1935.04</v>
      </c>
      <c r="C8314">
        <f t="shared" si="159"/>
        <v>2014</v>
      </c>
    </row>
    <row r="8315" spans="1:3">
      <c r="A8315" s="68">
        <v>41881</v>
      </c>
      <c r="B8315" s="32">
        <v>1918.62</v>
      </c>
      <c r="C8315">
        <f t="shared" si="159"/>
        <v>2014</v>
      </c>
    </row>
    <row r="8316" spans="1:3">
      <c r="A8316" s="68">
        <v>41882</v>
      </c>
      <c r="B8316" s="33">
        <v>1918.62</v>
      </c>
      <c r="C8316">
        <f t="shared" si="159"/>
        <v>2014</v>
      </c>
    </row>
    <row r="8317" spans="1:3">
      <c r="A8317" s="68">
        <v>41883</v>
      </c>
      <c r="B8317" s="32">
        <v>1918.62</v>
      </c>
      <c r="C8317">
        <f t="shared" si="159"/>
        <v>2014</v>
      </c>
    </row>
    <row r="8318" spans="1:3">
      <c r="A8318" s="68">
        <v>41884</v>
      </c>
      <c r="B8318" s="33">
        <v>1918.62</v>
      </c>
      <c r="C8318">
        <f t="shared" si="159"/>
        <v>2014</v>
      </c>
    </row>
    <row r="8319" spans="1:3">
      <c r="A8319" s="68">
        <v>41885</v>
      </c>
      <c r="B8319" s="32">
        <v>1931.49</v>
      </c>
      <c r="C8319">
        <f t="shared" si="159"/>
        <v>2014</v>
      </c>
    </row>
    <row r="8320" spans="1:3">
      <c r="A8320" s="68">
        <v>41886</v>
      </c>
      <c r="B8320" s="33">
        <v>1924.67</v>
      </c>
      <c r="C8320">
        <f t="shared" si="159"/>
        <v>2014</v>
      </c>
    </row>
    <row r="8321" spans="1:3">
      <c r="A8321" s="68">
        <v>41887</v>
      </c>
      <c r="B8321" s="32">
        <v>1931.45</v>
      </c>
      <c r="C8321">
        <f t="shared" si="159"/>
        <v>2014</v>
      </c>
    </row>
    <row r="8322" spans="1:3">
      <c r="A8322" s="68">
        <v>41888</v>
      </c>
      <c r="B8322" s="33">
        <v>1935.25</v>
      </c>
      <c r="C8322">
        <f t="shared" si="159"/>
        <v>2014</v>
      </c>
    </row>
    <row r="8323" spans="1:3">
      <c r="A8323" s="68">
        <v>41889</v>
      </c>
      <c r="B8323" s="32">
        <v>1935.25</v>
      </c>
      <c r="C8323">
        <f t="shared" si="159"/>
        <v>2014</v>
      </c>
    </row>
    <row r="8324" spans="1:3">
      <c r="A8324" s="68">
        <v>41890</v>
      </c>
      <c r="B8324" s="33">
        <v>1935.25</v>
      </c>
      <c r="C8324">
        <f t="shared" ref="C8324:C8387" si="160">YEAR(A8324)</f>
        <v>2014</v>
      </c>
    </row>
    <row r="8325" spans="1:3">
      <c r="A8325" s="68">
        <v>41891</v>
      </c>
      <c r="B8325" s="32">
        <v>1942.03</v>
      </c>
      <c r="C8325">
        <f t="shared" si="160"/>
        <v>2014</v>
      </c>
    </row>
    <row r="8326" spans="1:3">
      <c r="A8326" s="68">
        <v>41892</v>
      </c>
      <c r="B8326" s="33">
        <v>1962.84</v>
      </c>
      <c r="C8326">
        <f t="shared" si="160"/>
        <v>2014</v>
      </c>
    </row>
    <row r="8327" spans="1:3">
      <c r="A8327" s="68">
        <v>41893</v>
      </c>
      <c r="B8327" s="32">
        <v>1975.82</v>
      </c>
      <c r="C8327">
        <f t="shared" si="160"/>
        <v>2014</v>
      </c>
    </row>
    <row r="8328" spans="1:3">
      <c r="A8328" s="68">
        <v>41894</v>
      </c>
      <c r="B8328" s="33">
        <v>1979.97</v>
      </c>
      <c r="C8328">
        <f t="shared" si="160"/>
        <v>2014</v>
      </c>
    </row>
    <row r="8329" spans="1:3">
      <c r="A8329" s="68">
        <v>41895</v>
      </c>
      <c r="B8329" s="32">
        <v>1994.97</v>
      </c>
      <c r="C8329">
        <f t="shared" si="160"/>
        <v>2014</v>
      </c>
    </row>
    <row r="8330" spans="1:3">
      <c r="A8330" s="68">
        <v>41896</v>
      </c>
      <c r="B8330" s="33">
        <v>1994.97</v>
      </c>
      <c r="C8330">
        <f t="shared" si="160"/>
        <v>2014</v>
      </c>
    </row>
    <row r="8331" spans="1:3">
      <c r="A8331" s="68">
        <v>41897</v>
      </c>
      <c r="B8331" s="32">
        <v>1994.97</v>
      </c>
      <c r="C8331">
        <f t="shared" si="160"/>
        <v>2014</v>
      </c>
    </row>
    <row r="8332" spans="1:3">
      <c r="A8332" s="68">
        <v>41898</v>
      </c>
      <c r="B8332" s="33">
        <v>1987.71</v>
      </c>
      <c r="C8332">
        <f t="shared" si="160"/>
        <v>2014</v>
      </c>
    </row>
    <row r="8333" spans="1:3">
      <c r="A8333" s="68">
        <v>41899</v>
      </c>
      <c r="B8333" s="32">
        <v>1978.08</v>
      </c>
      <c r="C8333">
        <f t="shared" si="160"/>
        <v>2014</v>
      </c>
    </row>
    <row r="8334" spans="1:3">
      <c r="A8334" s="68">
        <v>41900</v>
      </c>
      <c r="B8334" s="33">
        <v>1975.47</v>
      </c>
      <c r="C8334">
        <f t="shared" si="160"/>
        <v>2014</v>
      </c>
    </row>
    <row r="8335" spans="1:3">
      <c r="A8335" s="68">
        <v>41901</v>
      </c>
      <c r="B8335" s="32">
        <v>1975.42</v>
      </c>
      <c r="C8335">
        <f t="shared" si="160"/>
        <v>2014</v>
      </c>
    </row>
    <row r="8336" spans="1:3">
      <c r="A8336" s="68">
        <v>41902</v>
      </c>
      <c r="B8336" s="33">
        <v>1966.89</v>
      </c>
      <c r="C8336">
        <f t="shared" si="160"/>
        <v>2014</v>
      </c>
    </row>
    <row r="8337" spans="1:3">
      <c r="A8337" s="68">
        <v>41903</v>
      </c>
      <c r="B8337" s="32">
        <v>1966.89</v>
      </c>
      <c r="C8337">
        <f t="shared" si="160"/>
        <v>2014</v>
      </c>
    </row>
    <row r="8338" spans="1:3">
      <c r="A8338" s="68">
        <v>41904</v>
      </c>
      <c r="B8338" s="33">
        <v>1966.89</v>
      </c>
      <c r="C8338">
        <f t="shared" si="160"/>
        <v>2014</v>
      </c>
    </row>
    <row r="8339" spans="1:3">
      <c r="A8339" s="68">
        <v>41905</v>
      </c>
      <c r="B8339" s="32">
        <v>1992.68</v>
      </c>
      <c r="C8339">
        <f t="shared" si="160"/>
        <v>2014</v>
      </c>
    </row>
    <row r="8340" spans="1:3">
      <c r="A8340" s="68">
        <v>41906</v>
      </c>
      <c r="B8340" s="33">
        <v>1997.91</v>
      </c>
      <c r="C8340">
        <f t="shared" si="160"/>
        <v>2014</v>
      </c>
    </row>
    <row r="8341" spans="1:3">
      <c r="A8341" s="68">
        <v>41907</v>
      </c>
      <c r="B8341" s="32">
        <v>2007.48</v>
      </c>
      <c r="C8341">
        <f t="shared" si="160"/>
        <v>2014</v>
      </c>
    </row>
    <row r="8342" spans="1:3">
      <c r="A8342" s="68">
        <v>41908</v>
      </c>
      <c r="B8342" s="33">
        <v>2019.76</v>
      </c>
      <c r="C8342">
        <f t="shared" si="160"/>
        <v>2014</v>
      </c>
    </row>
    <row r="8343" spans="1:3">
      <c r="A8343" s="68">
        <v>41909</v>
      </c>
      <c r="B8343" s="32">
        <v>2023.89</v>
      </c>
      <c r="C8343">
        <f t="shared" si="160"/>
        <v>2014</v>
      </c>
    </row>
    <row r="8344" spans="1:3">
      <c r="A8344" s="68">
        <v>41910</v>
      </c>
      <c r="B8344" s="33">
        <v>2023.89</v>
      </c>
      <c r="C8344">
        <f t="shared" si="160"/>
        <v>2014</v>
      </c>
    </row>
    <row r="8345" spans="1:3">
      <c r="A8345" s="68">
        <v>41911</v>
      </c>
      <c r="B8345" s="32">
        <v>2023.89</v>
      </c>
      <c r="C8345">
        <f t="shared" si="160"/>
        <v>2014</v>
      </c>
    </row>
    <row r="8346" spans="1:3">
      <c r="A8346" s="68">
        <v>41912</v>
      </c>
      <c r="B8346" s="33">
        <v>2028.48</v>
      </c>
      <c r="C8346">
        <f t="shared" si="160"/>
        <v>2014</v>
      </c>
    </row>
    <row r="8347" spans="1:3">
      <c r="A8347" s="68">
        <v>41913</v>
      </c>
      <c r="B8347" s="32">
        <v>2022</v>
      </c>
      <c r="C8347">
        <f t="shared" si="160"/>
        <v>2014</v>
      </c>
    </row>
    <row r="8348" spans="1:3">
      <c r="A8348" s="68">
        <v>41914</v>
      </c>
      <c r="B8348" s="33">
        <v>2025.75</v>
      </c>
      <c r="C8348">
        <f t="shared" si="160"/>
        <v>2014</v>
      </c>
    </row>
    <row r="8349" spans="1:3">
      <c r="A8349" s="68">
        <v>41915</v>
      </c>
      <c r="B8349" s="32">
        <v>2021.49</v>
      </c>
      <c r="C8349">
        <f t="shared" si="160"/>
        <v>2014</v>
      </c>
    </row>
    <row r="8350" spans="1:3">
      <c r="A8350" s="68">
        <v>41916</v>
      </c>
      <c r="B8350" s="33">
        <v>2026.2</v>
      </c>
      <c r="C8350">
        <f t="shared" si="160"/>
        <v>2014</v>
      </c>
    </row>
    <row r="8351" spans="1:3">
      <c r="A8351" s="68">
        <v>41917</v>
      </c>
      <c r="B8351" s="32">
        <v>2026.2</v>
      </c>
      <c r="C8351">
        <f t="shared" si="160"/>
        <v>2014</v>
      </c>
    </row>
    <row r="8352" spans="1:3">
      <c r="A8352" s="68">
        <v>41918</v>
      </c>
      <c r="B8352" s="33">
        <v>2026.2</v>
      </c>
      <c r="C8352">
        <f t="shared" si="160"/>
        <v>2014</v>
      </c>
    </row>
    <row r="8353" spans="1:3">
      <c r="A8353" s="68">
        <v>41919</v>
      </c>
      <c r="B8353" s="32">
        <v>2028.03</v>
      </c>
      <c r="C8353">
        <f t="shared" si="160"/>
        <v>2014</v>
      </c>
    </row>
    <row r="8354" spans="1:3">
      <c r="A8354" s="68">
        <v>41920</v>
      </c>
      <c r="B8354" s="33">
        <v>2026.9</v>
      </c>
      <c r="C8354">
        <f t="shared" si="160"/>
        <v>2014</v>
      </c>
    </row>
    <row r="8355" spans="1:3">
      <c r="A8355" s="68">
        <v>41921</v>
      </c>
      <c r="B8355" s="32">
        <v>2040.31</v>
      </c>
      <c r="C8355">
        <f t="shared" si="160"/>
        <v>2014</v>
      </c>
    </row>
    <row r="8356" spans="1:3">
      <c r="A8356" s="68">
        <v>41922</v>
      </c>
      <c r="B8356" s="33">
        <v>2041.71</v>
      </c>
      <c r="C8356">
        <f t="shared" si="160"/>
        <v>2014</v>
      </c>
    </row>
    <row r="8357" spans="1:3">
      <c r="A8357" s="68">
        <v>41923</v>
      </c>
      <c r="B8357" s="32">
        <v>2052.96</v>
      </c>
      <c r="C8357">
        <f t="shared" si="160"/>
        <v>2014</v>
      </c>
    </row>
    <row r="8358" spans="1:3">
      <c r="A8358" s="68">
        <v>41924</v>
      </c>
      <c r="B8358" s="33">
        <v>2052.96</v>
      </c>
      <c r="C8358">
        <f t="shared" si="160"/>
        <v>2014</v>
      </c>
    </row>
    <row r="8359" spans="1:3">
      <c r="A8359" s="68">
        <v>41925</v>
      </c>
      <c r="B8359" s="32">
        <v>2052.96</v>
      </c>
      <c r="C8359">
        <f t="shared" si="160"/>
        <v>2014</v>
      </c>
    </row>
    <row r="8360" spans="1:3">
      <c r="A8360" s="68">
        <v>41926</v>
      </c>
      <c r="B8360" s="33">
        <v>2052.96</v>
      </c>
      <c r="C8360">
        <f t="shared" si="160"/>
        <v>2014</v>
      </c>
    </row>
    <row r="8361" spans="1:3">
      <c r="A8361" s="68">
        <v>41927</v>
      </c>
      <c r="B8361" s="32">
        <v>2049.66</v>
      </c>
      <c r="C8361">
        <f t="shared" si="160"/>
        <v>2014</v>
      </c>
    </row>
    <row r="8362" spans="1:3">
      <c r="A8362" s="68">
        <v>41928</v>
      </c>
      <c r="B8362" s="33">
        <v>2057.6999999999998</v>
      </c>
      <c r="C8362">
        <f t="shared" si="160"/>
        <v>2014</v>
      </c>
    </row>
    <row r="8363" spans="1:3">
      <c r="A8363" s="68">
        <v>41929</v>
      </c>
      <c r="B8363" s="32">
        <v>2074.4</v>
      </c>
      <c r="C8363">
        <f t="shared" si="160"/>
        <v>2014</v>
      </c>
    </row>
    <row r="8364" spans="1:3">
      <c r="A8364" s="68">
        <v>41930</v>
      </c>
      <c r="B8364" s="33">
        <v>2064.4299999999998</v>
      </c>
      <c r="C8364">
        <f t="shared" si="160"/>
        <v>2014</v>
      </c>
    </row>
    <row r="8365" spans="1:3">
      <c r="A8365" s="68">
        <v>41931</v>
      </c>
      <c r="B8365" s="32">
        <v>2064.4299999999998</v>
      </c>
      <c r="C8365">
        <f t="shared" si="160"/>
        <v>2014</v>
      </c>
    </row>
    <row r="8366" spans="1:3">
      <c r="A8366" s="68">
        <v>41932</v>
      </c>
      <c r="B8366" s="33">
        <v>2064.4299999999998</v>
      </c>
      <c r="C8366">
        <f t="shared" si="160"/>
        <v>2014</v>
      </c>
    </row>
    <row r="8367" spans="1:3">
      <c r="A8367" s="68">
        <v>41933</v>
      </c>
      <c r="B8367" s="32">
        <v>2065.8200000000002</v>
      </c>
      <c r="C8367">
        <f t="shared" si="160"/>
        <v>2014</v>
      </c>
    </row>
    <row r="8368" spans="1:3">
      <c r="A8368" s="68">
        <v>41934</v>
      </c>
      <c r="B8368" s="33">
        <v>2048.44</v>
      </c>
      <c r="C8368">
        <f t="shared" si="160"/>
        <v>2014</v>
      </c>
    </row>
    <row r="8369" spans="1:3">
      <c r="A8369" s="68">
        <v>41935</v>
      </c>
      <c r="B8369" s="32">
        <v>2049.9</v>
      </c>
      <c r="C8369">
        <f t="shared" si="160"/>
        <v>2014</v>
      </c>
    </row>
    <row r="8370" spans="1:3">
      <c r="A8370" s="68">
        <v>41936</v>
      </c>
      <c r="B8370" s="33">
        <v>2053.39</v>
      </c>
      <c r="C8370">
        <f t="shared" si="160"/>
        <v>2014</v>
      </c>
    </row>
    <row r="8371" spans="1:3">
      <c r="A8371" s="68">
        <v>41937</v>
      </c>
      <c r="B8371" s="32">
        <v>2065.38</v>
      </c>
      <c r="C8371">
        <f t="shared" si="160"/>
        <v>2014</v>
      </c>
    </row>
    <row r="8372" spans="1:3">
      <c r="A8372" s="68">
        <v>41938</v>
      </c>
      <c r="B8372" s="33">
        <v>2065.38</v>
      </c>
      <c r="C8372">
        <f t="shared" si="160"/>
        <v>2014</v>
      </c>
    </row>
    <row r="8373" spans="1:3">
      <c r="A8373" s="68">
        <v>41939</v>
      </c>
      <c r="B8373" s="32">
        <v>2065.38</v>
      </c>
      <c r="C8373">
        <f t="shared" si="160"/>
        <v>2014</v>
      </c>
    </row>
    <row r="8374" spans="1:3">
      <c r="A8374" s="68">
        <v>41940</v>
      </c>
      <c r="B8374" s="33">
        <v>2069.7199999999998</v>
      </c>
      <c r="C8374">
        <f t="shared" si="160"/>
        <v>2014</v>
      </c>
    </row>
    <row r="8375" spans="1:3">
      <c r="A8375" s="68">
        <v>41941</v>
      </c>
      <c r="B8375" s="32">
        <v>2055.4299999999998</v>
      </c>
      <c r="C8375">
        <f t="shared" si="160"/>
        <v>2014</v>
      </c>
    </row>
    <row r="8376" spans="1:3">
      <c r="A8376" s="68">
        <v>41942</v>
      </c>
      <c r="B8376" s="33">
        <v>2044.55</v>
      </c>
      <c r="C8376">
        <f t="shared" si="160"/>
        <v>2014</v>
      </c>
    </row>
    <row r="8377" spans="1:3">
      <c r="A8377" s="68">
        <v>41943</v>
      </c>
      <c r="B8377" s="32">
        <v>2050.52</v>
      </c>
      <c r="C8377">
        <f t="shared" si="160"/>
        <v>2014</v>
      </c>
    </row>
    <row r="8378" spans="1:3">
      <c r="A8378" s="68">
        <v>41944</v>
      </c>
      <c r="B8378" s="33">
        <v>2061.92</v>
      </c>
      <c r="C8378">
        <f t="shared" si="160"/>
        <v>2014</v>
      </c>
    </row>
    <row r="8379" spans="1:3">
      <c r="A8379" s="68">
        <v>41945</v>
      </c>
      <c r="B8379" s="32">
        <v>2061.92</v>
      </c>
      <c r="C8379">
        <f t="shared" si="160"/>
        <v>2014</v>
      </c>
    </row>
    <row r="8380" spans="1:3">
      <c r="A8380" s="68">
        <v>41946</v>
      </c>
      <c r="B8380" s="33">
        <v>2061.92</v>
      </c>
      <c r="C8380">
        <f t="shared" si="160"/>
        <v>2014</v>
      </c>
    </row>
    <row r="8381" spans="1:3">
      <c r="A8381" s="68">
        <v>41947</v>
      </c>
      <c r="B8381" s="32">
        <v>2061.92</v>
      </c>
      <c r="C8381">
        <f t="shared" si="160"/>
        <v>2014</v>
      </c>
    </row>
    <row r="8382" spans="1:3">
      <c r="A8382" s="68">
        <v>41948</v>
      </c>
      <c r="B8382" s="33">
        <v>2076.9899999999998</v>
      </c>
      <c r="C8382">
        <f t="shared" si="160"/>
        <v>2014</v>
      </c>
    </row>
    <row r="8383" spans="1:3">
      <c r="A8383" s="68">
        <v>41949</v>
      </c>
      <c r="B8383" s="32">
        <v>2081.2399999999998</v>
      </c>
      <c r="C8383">
        <f t="shared" si="160"/>
        <v>2014</v>
      </c>
    </row>
    <row r="8384" spans="1:3">
      <c r="A8384" s="68">
        <v>41950</v>
      </c>
      <c r="B8384" s="33">
        <v>2086.86</v>
      </c>
      <c r="C8384">
        <f t="shared" si="160"/>
        <v>2014</v>
      </c>
    </row>
    <row r="8385" spans="1:3">
      <c r="A8385" s="68">
        <v>41951</v>
      </c>
      <c r="B8385" s="32">
        <v>2103.25</v>
      </c>
      <c r="C8385">
        <f t="shared" si="160"/>
        <v>2014</v>
      </c>
    </row>
    <row r="8386" spans="1:3">
      <c r="A8386" s="68">
        <v>41952</v>
      </c>
      <c r="B8386" s="33">
        <v>2103.25</v>
      </c>
      <c r="C8386">
        <f t="shared" si="160"/>
        <v>2014</v>
      </c>
    </row>
    <row r="8387" spans="1:3">
      <c r="A8387" s="68">
        <v>41953</v>
      </c>
      <c r="B8387" s="32">
        <v>2103.25</v>
      </c>
      <c r="C8387">
        <f t="shared" si="160"/>
        <v>2014</v>
      </c>
    </row>
    <row r="8388" spans="1:3">
      <c r="A8388" s="68">
        <v>41954</v>
      </c>
      <c r="B8388" s="33">
        <v>2103.12</v>
      </c>
      <c r="C8388">
        <f t="shared" ref="C8388:C8451" si="161">YEAR(A8388)</f>
        <v>2014</v>
      </c>
    </row>
    <row r="8389" spans="1:3">
      <c r="A8389" s="68">
        <v>41955</v>
      </c>
      <c r="B8389" s="32">
        <v>2103.12</v>
      </c>
      <c r="C8389">
        <f t="shared" si="161"/>
        <v>2014</v>
      </c>
    </row>
    <row r="8390" spans="1:3">
      <c r="A8390" s="68">
        <v>41956</v>
      </c>
      <c r="B8390" s="33">
        <v>2115.59</v>
      </c>
      <c r="C8390">
        <f t="shared" si="161"/>
        <v>2014</v>
      </c>
    </row>
    <row r="8391" spans="1:3">
      <c r="A8391" s="68">
        <v>41957</v>
      </c>
      <c r="B8391" s="32">
        <v>2133.0300000000002</v>
      </c>
      <c r="C8391">
        <f t="shared" si="161"/>
        <v>2014</v>
      </c>
    </row>
    <row r="8392" spans="1:3">
      <c r="A8392" s="68">
        <v>41958</v>
      </c>
      <c r="B8392" s="33">
        <v>2160.4699999999998</v>
      </c>
      <c r="C8392">
        <f t="shared" si="161"/>
        <v>2014</v>
      </c>
    </row>
    <row r="8393" spans="1:3">
      <c r="A8393" s="68">
        <v>41959</v>
      </c>
      <c r="B8393" s="32">
        <v>2160.4699999999998</v>
      </c>
      <c r="C8393">
        <f t="shared" si="161"/>
        <v>2014</v>
      </c>
    </row>
    <row r="8394" spans="1:3">
      <c r="A8394" s="68">
        <v>41960</v>
      </c>
      <c r="B8394" s="33">
        <v>2160.4699999999998</v>
      </c>
      <c r="C8394">
        <f t="shared" si="161"/>
        <v>2014</v>
      </c>
    </row>
    <row r="8395" spans="1:3">
      <c r="A8395" s="68">
        <v>41961</v>
      </c>
      <c r="B8395" s="32">
        <v>2160.4699999999998</v>
      </c>
      <c r="C8395">
        <f t="shared" si="161"/>
        <v>2014</v>
      </c>
    </row>
    <row r="8396" spans="1:3">
      <c r="A8396" s="68">
        <v>41962</v>
      </c>
      <c r="B8396" s="33">
        <v>2158.58</v>
      </c>
      <c r="C8396">
        <f t="shared" si="161"/>
        <v>2014</v>
      </c>
    </row>
    <row r="8397" spans="1:3">
      <c r="A8397" s="68">
        <v>41963</v>
      </c>
      <c r="B8397" s="32">
        <v>2156.73</v>
      </c>
      <c r="C8397">
        <f t="shared" si="161"/>
        <v>2014</v>
      </c>
    </row>
    <row r="8398" spans="1:3">
      <c r="A8398" s="68">
        <v>41964</v>
      </c>
      <c r="B8398" s="33">
        <v>2156.9299999999998</v>
      </c>
      <c r="C8398">
        <f t="shared" si="161"/>
        <v>2014</v>
      </c>
    </row>
    <row r="8399" spans="1:3">
      <c r="A8399" s="68">
        <v>41965</v>
      </c>
      <c r="B8399" s="32">
        <v>2142.02</v>
      </c>
      <c r="C8399">
        <f t="shared" si="161"/>
        <v>2014</v>
      </c>
    </row>
    <row r="8400" spans="1:3">
      <c r="A8400" s="68">
        <v>41966</v>
      </c>
      <c r="B8400" s="33">
        <v>2142.02</v>
      </c>
      <c r="C8400">
        <f t="shared" si="161"/>
        <v>2014</v>
      </c>
    </row>
    <row r="8401" spans="1:3">
      <c r="A8401" s="68">
        <v>41967</v>
      </c>
      <c r="B8401" s="32">
        <v>2142.02</v>
      </c>
      <c r="C8401">
        <f t="shared" si="161"/>
        <v>2014</v>
      </c>
    </row>
    <row r="8402" spans="1:3">
      <c r="A8402" s="68">
        <v>41968</v>
      </c>
      <c r="B8402" s="33">
        <v>2158.12</v>
      </c>
      <c r="C8402">
        <f t="shared" si="161"/>
        <v>2014</v>
      </c>
    </row>
    <row r="8403" spans="1:3">
      <c r="A8403" s="68">
        <v>41969</v>
      </c>
      <c r="B8403" s="32">
        <v>2162.15</v>
      </c>
      <c r="C8403">
        <f t="shared" si="161"/>
        <v>2014</v>
      </c>
    </row>
    <row r="8404" spans="1:3">
      <c r="A8404" s="68">
        <v>41970</v>
      </c>
      <c r="B8404" s="33">
        <v>2165.15</v>
      </c>
      <c r="C8404">
        <f t="shared" si="161"/>
        <v>2014</v>
      </c>
    </row>
    <row r="8405" spans="1:3">
      <c r="A8405" s="68">
        <v>41971</v>
      </c>
      <c r="B8405" s="32">
        <v>2165.15</v>
      </c>
      <c r="C8405">
        <f t="shared" si="161"/>
        <v>2014</v>
      </c>
    </row>
    <row r="8406" spans="1:3">
      <c r="A8406" s="68">
        <v>41972</v>
      </c>
      <c r="B8406" s="33">
        <v>2206.19</v>
      </c>
      <c r="C8406">
        <f t="shared" si="161"/>
        <v>2014</v>
      </c>
    </row>
    <row r="8407" spans="1:3">
      <c r="A8407" s="68">
        <v>41973</v>
      </c>
      <c r="B8407" s="32">
        <v>2206.19</v>
      </c>
      <c r="C8407">
        <f t="shared" si="161"/>
        <v>2014</v>
      </c>
    </row>
    <row r="8408" spans="1:3">
      <c r="A8408" s="68">
        <v>41974</v>
      </c>
      <c r="B8408" s="33">
        <v>2206.19</v>
      </c>
      <c r="C8408">
        <f t="shared" si="161"/>
        <v>2014</v>
      </c>
    </row>
    <row r="8409" spans="1:3">
      <c r="A8409" s="68">
        <v>41975</v>
      </c>
      <c r="B8409" s="32">
        <v>2252.36</v>
      </c>
      <c r="C8409">
        <f t="shared" si="161"/>
        <v>2014</v>
      </c>
    </row>
    <row r="8410" spans="1:3">
      <c r="A8410" s="68">
        <v>41976</v>
      </c>
      <c r="B8410" s="33">
        <v>2293.4699999999998</v>
      </c>
      <c r="C8410">
        <f t="shared" si="161"/>
        <v>2014</v>
      </c>
    </row>
    <row r="8411" spans="1:3">
      <c r="A8411" s="68">
        <v>41977</v>
      </c>
      <c r="B8411" s="32">
        <v>2286.0300000000002</v>
      </c>
      <c r="C8411">
        <f t="shared" si="161"/>
        <v>2014</v>
      </c>
    </row>
    <row r="8412" spans="1:3">
      <c r="A8412" s="68">
        <v>41978</v>
      </c>
      <c r="B8412" s="33">
        <v>2284.2399999999998</v>
      </c>
      <c r="C8412">
        <f t="shared" si="161"/>
        <v>2014</v>
      </c>
    </row>
    <row r="8413" spans="1:3">
      <c r="A8413" s="68">
        <v>41979</v>
      </c>
      <c r="B8413" s="32">
        <v>2304.12</v>
      </c>
      <c r="C8413">
        <f t="shared" si="161"/>
        <v>2014</v>
      </c>
    </row>
    <row r="8414" spans="1:3">
      <c r="A8414" s="68">
        <v>41980</v>
      </c>
      <c r="B8414" s="33">
        <v>2304.12</v>
      </c>
      <c r="C8414">
        <f t="shared" si="161"/>
        <v>2014</v>
      </c>
    </row>
    <row r="8415" spans="1:3">
      <c r="A8415" s="68">
        <v>41981</v>
      </c>
      <c r="B8415" s="32">
        <v>2304.12</v>
      </c>
      <c r="C8415">
        <f t="shared" si="161"/>
        <v>2014</v>
      </c>
    </row>
    <row r="8416" spans="1:3">
      <c r="A8416" s="68">
        <v>41982</v>
      </c>
      <c r="B8416" s="33">
        <v>2304.12</v>
      </c>
      <c r="C8416">
        <f t="shared" si="161"/>
        <v>2014</v>
      </c>
    </row>
    <row r="8417" spans="1:3">
      <c r="A8417" s="68">
        <v>41983</v>
      </c>
      <c r="B8417" s="32">
        <v>2350.0100000000002</v>
      </c>
      <c r="C8417">
        <f t="shared" si="161"/>
        <v>2014</v>
      </c>
    </row>
    <row r="8418" spans="1:3">
      <c r="A8418" s="68">
        <v>41984</v>
      </c>
      <c r="B8418" s="33">
        <v>2381.96</v>
      </c>
      <c r="C8418">
        <f t="shared" si="161"/>
        <v>2014</v>
      </c>
    </row>
    <row r="8419" spans="1:3">
      <c r="A8419" s="68">
        <v>41985</v>
      </c>
      <c r="B8419" s="32">
        <v>2423.56</v>
      </c>
      <c r="C8419">
        <f t="shared" si="161"/>
        <v>2014</v>
      </c>
    </row>
    <row r="8420" spans="1:3">
      <c r="A8420" s="68">
        <v>41986</v>
      </c>
      <c r="B8420" s="33">
        <v>2405.31</v>
      </c>
      <c r="C8420">
        <f t="shared" si="161"/>
        <v>2014</v>
      </c>
    </row>
    <row r="8421" spans="1:3">
      <c r="A8421" s="68">
        <v>41987</v>
      </c>
      <c r="B8421" s="32">
        <v>2405.31</v>
      </c>
      <c r="C8421">
        <f t="shared" si="161"/>
        <v>2014</v>
      </c>
    </row>
    <row r="8422" spans="1:3">
      <c r="A8422" s="68">
        <v>41988</v>
      </c>
      <c r="B8422" s="33">
        <v>2405.31</v>
      </c>
      <c r="C8422">
        <f t="shared" si="161"/>
        <v>2014</v>
      </c>
    </row>
    <row r="8423" spans="1:3">
      <c r="A8423" s="68">
        <v>41989</v>
      </c>
      <c r="B8423" s="32">
        <v>2414.39</v>
      </c>
      <c r="C8423">
        <f t="shared" si="161"/>
        <v>2014</v>
      </c>
    </row>
    <row r="8424" spans="1:3">
      <c r="A8424" s="68">
        <v>41990</v>
      </c>
      <c r="B8424" s="33">
        <v>2446.35</v>
      </c>
      <c r="C8424">
        <f t="shared" si="161"/>
        <v>2014</v>
      </c>
    </row>
    <row r="8425" spans="1:3">
      <c r="A8425" s="68">
        <v>41991</v>
      </c>
      <c r="B8425" s="32">
        <v>2412.79</v>
      </c>
      <c r="C8425">
        <f t="shared" si="161"/>
        <v>2014</v>
      </c>
    </row>
    <row r="8426" spans="1:3">
      <c r="A8426" s="68">
        <v>41992</v>
      </c>
      <c r="B8426" s="33">
        <v>2334.98</v>
      </c>
      <c r="C8426">
        <f t="shared" si="161"/>
        <v>2014</v>
      </c>
    </row>
    <row r="8427" spans="1:3">
      <c r="A8427" s="68">
        <v>41993</v>
      </c>
      <c r="B8427" s="32">
        <v>2297.14</v>
      </c>
      <c r="C8427">
        <f t="shared" si="161"/>
        <v>2014</v>
      </c>
    </row>
    <row r="8428" spans="1:3">
      <c r="A8428" s="68">
        <v>41994</v>
      </c>
      <c r="B8428" s="33">
        <v>2297.14</v>
      </c>
      <c r="C8428">
        <f t="shared" si="161"/>
        <v>2014</v>
      </c>
    </row>
    <row r="8429" spans="1:3">
      <c r="A8429" s="68">
        <v>41995</v>
      </c>
      <c r="B8429" s="32">
        <v>2297.14</v>
      </c>
      <c r="C8429">
        <f t="shared" si="161"/>
        <v>2014</v>
      </c>
    </row>
    <row r="8430" spans="1:3">
      <c r="A8430" s="68">
        <v>41996</v>
      </c>
      <c r="B8430" s="33">
        <v>2316.9299999999998</v>
      </c>
      <c r="C8430">
        <f t="shared" si="161"/>
        <v>2014</v>
      </c>
    </row>
    <row r="8431" spans="1:3">
      <c r="A8431" s="68">
        <v>41997</v>
      </c>
      <c r="B8431" s="32">
        <v>2342.5700000000002</v>
      </c>
      <c r="C8431">
        <f t="shared" si="161"/>
        <v>2014</v>
      </c>
    </row>
    <row r="8432" spans="1:3">
      <c r="A8432" s="68">
        <v>41998</v>
      </c>
      <c r="B8432" s="33">
        <v>2346.9</v>
      </c>
      <c r="C8432">
        <f t="shared" si="161"/>
        <v>2014</v>
      </c>
    </row>
    <row r="8433" spans="1:4">
      <c r="A8433" s="68">
        <v>41999</v>
      </c>
      <c r="B8433" s="32">
        <v>2346.9</v>
      </c>
      <c r="C8433">
        <f t="shared" si="161"/>
        <v>2014</v>
      </c>
    </row>
    <row r="8434" spans="1:4">
      <c r="A8434" s="68">
        <v>42000</v>
      </c>
      <c r="B8434" s="33">
        <v>2358.46</v>
      </c>
      <c r="C8434">
        <f t="shared" si="161"/>
        <v>2014</v>
      </c>
    </row>
    <row r="8435" spans="1:4">
      <c r="A8435" s="68">
        <v>42001</v>
      </c>
      <c r="B8435" s="32">
        <v>2358.46</v>
      </c>
      <c r="C8435">
        <f t="shared" si="161"/>
        <v>2014</v>
      </c>
    </row>
    <row r="8436" spans="1:4">
      <c r="A8436" s="68">
        <v>42002</v>
      </c>
      <c r="B8436" s="33">
        <v>2358.46</v>
      </c>
      <c r="C8436">
        <f t="shared" si="161"/>
        <v>2014</v>
      </c>
    </row>
    <row r="8437" spans="1:4">
      <c r="A8437" s="68">
        <v>42003</v>
      </c>
      <c r="B8437" s="32">
        <v>2378.56</v>
      </c>
      <c r="C8437">
        <f t="shared" si="161"/>
        <v>2014</v>
      </c>
    </row>
    <row r="8438" spans="1:4">
      <c r="A8438" s="68">
        <v>42004</v>
      </c>
      <c r="B8438" s="33">
        <v>2392.46</v>
      </c>
      <c r="C8438">
        <f t="shared" si="161"/>
        <v>2014</v>
      </c>
      <c r="D8438" s="76">
        <f>(B8438-B8074)/B8074</f>
        <v>0.2416559841812719</v>
      </c>
    </row>
    <row r="8439" spans="1:4">
      <c r="A8439" s="68">
        <v>42005</v>
      </c>
      <c r="B8439" s="32">
        <v>2392.46</v>
      </c>
      <c r="C8439">
        <f t="shared" si="161"/>
        <v>2015</v>
      </c>
    </row>
    <row r="8440" spans="1:4">
      <c r="A8440" s="68">
        <v>42006</v>
      </c>
      <c r="B8440" s="33">
        <v>2392.46</v>
      </c>
      <c r="C8440">
        <f t="shared" si="161"/>
        <v>2015</v>
      </c>
    </row>
    <row r="8441" spans="1:4">
      <c r="A8441" s="68">
        <v>42007</v>
      </c>
      <c r="B8441" s="32">
        <v>2383.37</v>
      </c>
      <c r="C8441">
        <f t="shared" si="161"/>
        <v>2015</v>
      </c>
    </row>
    <row r="8442" spans="1:4">
      <c r="A8442" s="68">
        <v>42008</v>
      </c>
      <c r="B8442" s="33">
        <v>2383.37</v>
      </c>
      <c r="C8442">
        <f t="shared" si="161"/>
        <v>2015</v>
      </c>
    </row>
    <row r="8443" spans="1:4">
      <c r="A8443" s="68">
        <v>42009</v>
      </c>
      <c r="B8443" s="32">
        <v>2383.37</v>
      </c>
      <c r="C8443">
        <f t="shared" si="161"/>
        <v>2015</v>
      </c>
    </row>
    <row r="8444" spans="1:4">
      <c r="A8444" s="68">
        <v>42010</v>
      </c>
      <c r="B8444" s="33">
        <v>2412.8200000000002</v>
      </c>
      <c r="C8444">
        <f t="shared" si="161"/>
        <v>2015</v>
      </c>
    </row>
    <row r="8445" spans="1:4">
      <c r="A8445" s="68">
        <v>42011</v>
      </c>
      <c r="B8445" s="32">
        <v>2452.11</v>
      </c>
      <c r="C8445">
        <f t="shared" si="161"/>
        <v>2015</v>
      </c>
    </row>
    <row r="8446" spans="1:4">
      <c r="A8446" s="68">
        <v>42012</v>
      </c>
      <c r="B8446" s="33">
        <v>2434.31</v>
      </c>
      <c r="C8446">
        <f t="shared" si="161"/>
        <v>2015</v>
      </c>
    </row>
    <row r="8447" spans="1:4">
      <c r="A8447" s="68">
        <v>42013</v>
      </c>
      <c r="B8447" s="32">
        <v>2405.0300000000002</v>
      </c>
      <c r="C8447">
        <f t="shared" si="161"/>
        <v>2015</v>
      </c>
    </row>
    <row r="8448" spans="1:4">
      <c r="A8448" s="68">
        <v>42014</v>
      </c>
      <c r="B8448" s="33">
        <v>2406.71</v>
      </c>
      <c r="C8448">
        <f t="shared" si="161"/>
        <v>2015</v>
      </c>
    </row>
    <row r="8449" spans="1:3">
      <c r="A8449" s="68">
        <v>42015</v>
      </c>
      <c r="B8449" s="32">
        <v>2406.71</v>
      </c>
      <c r="C8449">
        <f t="shared" si="161"/>
        <v>2015</v>
      </c>
    </row>
    <row r="8450" spans="1:3">
      <c r="A8450" s="68">
        <v>42016</v>
      </c>
      <c r="B8450" s="33">
        <v>2406.71</v>
      </c>
      <c r="C8450">
        <f t="shared" si="161"/>
        <v>2015</v>
      </c>
    </row>
    <row r="8451" spans="1:3">
      <c r="A8451" s="68">
        <v>42017</v>
      </c>
      <c r="B8451" s="32">
        <v>2406.71</v>
      </c>
      <c r="C8451">
        <f t="shared" si="161"/>
        <v>2015</v>
      </c>
    </row>
    <row r="8452" spans="1:3">
      <c r="A8452" s="68">
        <v>42018</v>
      </c>
      <c r="B8452" s="33">
        <v>2442.0300000000002</v>
      </c>
      <c r="C8452">
        <f t="shared" ref="C8452:C8515" si="162">YEAR(A8452)</f>
        <v>2015</v>
      </c>
    </row>
    <row r="8453" spans="1:3">
      <c r="A8453" s="68">
        <v>42019</v>
      </c>
      <c r="B8453" s="32">
        <v>2438.79</v>
      </c>
      <c r="C8453">
        <f t="shared" si="162"/>
        <v>2015</v>
      </c>
    </row>
    <row r="8454" spans="1:3">
      <c r="A8454" s="68">
        <v>42020</v>
      </c>
      <c r="B8454" s="33">
        <v>2398.91</v>
      </c>
      <c r="C8454">
        <f t="shared" si="162"/>
        <v>2015</v>
      </c>
    </row>
    <row r="8455" spans="1:3">
      <c r="A8455" s="68">
        <v>42021</v>
      </c>
      <c r="B8455" s="32">
        <v>2383.91</v>
      </c>
      <c r="C8455">
        <f t="shared" si="162"/>
        <v>2015</v>
      </c>
    </row>
    <row r="8456" spans="1:3">
      <c r="A8456" s="68">
        <v>42022</v>
      </c>
      <c r="B8456" s="33">
        <v>2383.91</v>
      </c>
      <c r="C8456">
        <f t="shared" si="162"/>
        <v>2015</v>
      </c>
    </row>
    <row r="8457" spans="1:3">
      <c r="A8457" s="68">
        <v>42023</v>
      </c>
      <c r="B8457" s="32">
        <v>2383.91</v>
      </c>
      <c r="C8457">
        <f t="shared" si="162"/>
        <v>2015</v>
      </c>
    </row>
    <row r="8458" spans="1:3">
      <c r="A8458" s="68">
        <v>42024</v>
      </c>
      <c r="B8458" s="33">
        <v>2383.91</v>
      </c>
      <c r="C8458">
        <f t="shared" si="162"/>
        <v>2015</v>
      </c>
    </row>
    <row r="8459" spans="1:3">
      <c r="A8459" s="68">
        <v>42025</v>
      </c>
      <c r="B8459" s="32">
        <v>2373.44</v>
      </c>
      <c r="C8459">
        <f t="shared" si="162"/>
        <v>2015</v>
      </c>
    </row>
    <row r="8460" spans="1:3">
      <c r="A8460" s="68">
        <v>42026</v>
      </c>
      <c r="B8460" s="33">
        <v>2361.54</v>
      </c>
      <c r="C8460">
        <f t="shared" si="162"/>
        <v>2015</v>
      </c>
    </row>
    <row r="8461" spans="1:3">
      <c r="A8461" s="68">
        <v>42027</v>
      </c>
      <c r="B8461" s="32">
        <v>2370.75</v>
      </c>
      <c r="C8461">
        <f t="shared" si="162"/>
        <v>2015</v>
      </c>
    </row>
    <row r="8462" spans="1:3">
      <c r="A8462" s="68">
        <v>42028</v>
      </c>
      <c r="B8462" s="33">
        <v>2386.5</v>
      </c>
      <c r="C8462">
        <f t="shared" si="162"/>
        <v>2015</v>
      </c>
    </row>
    <row r="8463" spans="1:3">
      <c r="A8463" s="68">
        <v>42029</v>
      </c>
      <c r="B8463" s="32">
        <v>2386.5</v>
      </c>
      <c r="C8463">
        <f t="shared" si="162"/>
        <v>2015</v>
      </c>
    </row>
    <row r="8464" spans="1:3">
      <c r="A8464" s="68">
        <v>42030</v>
      </c>
      <c r="B8464" s="33">
        <v>2386.5</v>
      </c>
      <c r="C8464">
        <f t="shared" si="162"/>
        <v>2015</v>
      </c>
    </row>
    <row r="8465" spans="1:3">
      <c r="A8465" s="68">
        <v>42031</v>
      </c>
      <c r="B8465" s="32">
        <v>2386.2800000000002</v>
      </c>
      <c r="C8465">
        <f t="shared" si="162"/>
        <v>2015</v>
      </c>
    </row>
    <row r="8466" spans="1:3">
      <c r="A8466" s="68">
        <v>42032</v>
      </c>
      <c r="B8466" s="33">
        <v>2381.11</v>
      </c>
      <c r="C8466">
        <f t="shared" si="162"/>
        <v>2015</v>
      </c>
    </row>
    <row r="8467" spans="1:3">
      <c r="A8467" s="68">
        <v>42033</v>
      </c>
      <c r="B8467" s="32">
        <v>2362.42</v>
      </c>
      <c r="C8467">
        <f t="shared" si="162"/>
        <v>2015</v>
      </c>
    </row>
    <row r="8468" spans="1:3">
      <c r="A8468" s="68">
        <v>42034</v>
      </c>
      <c r="B8468" s="33">
        <v>2397.35</v>
      </c>
      <c r="C8468">
        <f t="shared" si="162"/>
        <v>2015</v>
      </c>
    </row>
    <row r="8469" spans="1:3">
      <c r="A8469" s="68">
        <v>42035</v>
      </c>
      <c r="B8469" s="32">
        <v>2441.1</v>
      </c>
      <c r="C8469">
        <f t="shared" si="162"/>
        <v>2015</v>
      </c>
    </row>
    <row r="8470" spans="1:3">
      <c r="A8470" s="68">
        <v>42036</v>
      </c>
      <c r="B8470" s="33">
        <v>2441.1</v>
      </c>
      <c r="C8470">
        <f t="shared" si="162"/>
        <v>2015</v>
      </c>
    </row>
    <row r="8471" spans="1:3">
      <c r="A8471" s="68">
        <v>42037</v>
      </c>
      <c r="B8471" s="32">
        <v>2441.1</v>
      </c>
      <c r="C8471">
        <f t="shared" si="162"/>
        <v>2015</v>
      </c>
    </row>
    <row r="8472" spans="1:3">
      <c r="A8472" s="68">
        <v>42038</v>
      </c>
      <c r="B8472" s="33">
        <v>2407.29</v>
      </c>
      <c r="C8472">
        <f t="shared" si="162"/>
        <v>2015</v>
      </c>
    </row>
    <row r="8473" spans="1:3">
      <c r="A8473" s="68">
        <v>42039</v>
      </c>
      <c r="B8473" s="32">
        <v>2374.7199999999998</v>
      </c>
      <c r="C8473">
        <f t="shared" si="162"/>
        <v>2015</v>
      </c>
    </row>
    <row r="8474" spans="1:3">
      <c r="A8474" s="68">
        <v>42040</v>
      </c>
      <c r="B8474" s="33">
        <v>2381.91</v>
      </c>
      <c r="C8474">
        <f t="shared" si="162"/>
        <v>2015</v>
      </c>
    </row>
    <row r="8475" spans="1:3">
      <c r="A8475" s="68">
        <v>42041</v>
      </c>
      <c r="B8475" s="32">
        <v>2384.5300000000002</v>
      </c>
      <c r="C8475">
        <f t="shared" si="162"/>
        <v>2015</v>
      </c>
    </row>
    <row r="8476" spans="1:3">
      <c r="A8476" s="68">
        <v>42042</v>
      </c>
      <c r="B8476" s="33">
        <v>2384.7600000000002</v>
      </c>
      <c r="C8476">
        <f t="shared" si="162"/>
        <v>2015</v>
      </c>
    </row>
    <row r="8477" spans="1:3">
      <c r="A8477" s="68">
        <v>42043</v>
      </c>
      <c r="B8477" s="32">
        <v>2384.7600000000002</v>
      </c>
      <c r="C8477">
        <f t="shared" si="162"/>
        <v>2015</v>
      </c>
    </row>
    <row r="8478" spans="1:3">
      <c r="A8478" s="68">
        <v>42044</v>
      </c>
      <c r="B8478" s="33">
        <v>2384.7600000000002</v>
      </c>
      <c r="C8478">
        <f t="shared" si="162"/>
        <v>2015</v>
      </c>
    </row>
    <row r="8479" spans="1:3">
      <c r="A8479" s="68">
        <v>42045</v>
      </c>
      <c r="B8479" s="32">
        <v>2371.31</v>
      </c>
      <c r="C8479">
        <f t="shared" si="162"/>
        <v>2015</v>
      </c>
    </row>
    <row r="8480" spans="1:3">
      <c r="A8480" s="68">
        <v>42046</v>
      </c>
      <c r="B8480" s="33">
        <v>2380.79</v>
      </c>
      <c r="C8480">
        <f t="shared" si="162"/>
        <v>2015</v>
      </c>
    </row>
    <row r="8481" spans="1:3">
      <c r="A8481" s="68">
        <v>42047</v>
      </c>
      <c r="B8481" s="32">
        <v>2416.61</v>
      </c>
      <c r="C8481">
        <f t="shared" si="162"/>
        <v>2015</v>
      </c>
    </row>
    <row r="8482" spans="1:3">
      <c r="A8482" s="68">
        <v>42048</v>
      </c>
      <c r="B8482" s="33">
        <v>2401.0300000000002</v>
      </c>
      <c r="C8482">
        <f t="shared" si="162"/>
        <v>2015</v>
      </c>
    </row>
    <row r="8483" spans="1:3">
      <c r="A8483" s="68">
        <v>42049</v>
      </c>
      <c r="B8483" s="32">
        <v>2376.23</v>
      </c>
      <c r="C8483">
        <f t="shared" si="162"/>
        <v>2015</v>
      </c>
    </row>
    <row r="8484" spans="1:3">
      <c r="A8484" s="68">
        <v>42050</v>
      </c>
      <c r="B8484" s="33">
        <v>2376.23</v>
      </c>
      <c r="C8484">
        <f t="shared" si="162"/>
        <v>2015</v>
      </c>
    </row>
    <row r="8485" spans="1:3">
      <c r="A8485" s="68">
        <v>42051</v>
      </c>
      <c r="B8485" s="32">
        <v>2376.23</v>
      </c>
      <c r="C8485">
        <f t="shared" si="162"/>
        <v>2015</v>
      </c>
    </row>
    <row r="8486" spans="1:3">
      <c r="A8486" s="68">
        <v>42052</v>
      </c>
      <c r="B8486" s="33">
        <v>2376.23</v>
      </c>
      <c r="C8486">
        <f t="shared" si="162"/>
        <v>2015</v>
      </c>
    </row>
    <row r="8487" spans="1:3">
      <c r="A8487" s="68">
        <v>42053</v>
      </c>
      <c r="B8487" s="32">
        <v>2416.37</v>
      </c>
      <c r="C8487">
        <f t="shared" si="162"/>
        <v>2015</v>
      </c>
    </row>
    <row r="8488" spans="1:3">
      <c r="A8488" s="68">
        <v>42054</v>
      </c>
      <c r="B8488" s="33">
        <v>2429.71</v>
      </c>
      <c r="C8488">
        <f t="shared" si="162"/>
        <v>2015</v>
      </c>
    </row>
    <row r="8489" spans="1:3">
      <c r="A8489" s="68">
        <v>42055</v>
      </c>
      <c r="B8489" s="32">
        <v>2445.16</v>
      </c>
      <c r="C8489">
        <f t="shared" si="162"/>
        <v>2015</v>
      </c>
    </row>
    <row r="8490" spans="1:3">
      <c r="A8490" s="68">
        <v>42056</v>
      </c>
      <c r="B8490" s="33">
        <v>2455.54</v>
      </c>
      <c r="C8490">
        <f t="shared" si="162"/>
        <v>2015</v>
      </c>
    </row>
    <row r="8491" spans="1:3">
      <c r="A8491" s="68">
        <v>42057</v>
      </c>
      <c r="B8491" s="32">
        <v>2455.54</v>
      </c>
      <c r="C8491">
        <f t="shared" si="162"/>
        <v>2015</v>
      </c>
    </row>
    <row r="8492" spans="1:3">
      <c r="A8492" s="68">
        <v>42058</v>
      </c>
      <c r="B8492" s="33">
        <v>2455.54</v>
      </c>
      <c r="C8492">
        <f t="shared" si="162"/>
        <v>2015</v>
      </c>
    </row>
    <row r="8493" spans="1:3">
      <c r="A8493" s="68">
        <v>42059</v>
      </c>
      <c r="B8493" s="32">
        <v>2489.81</v>
      </c>
      <c r="C8493">
        <f t="shared" si="162"/>
        <v>2015</v>
      </c>
    </row>
    <row r="8494" spans="1:3">
      <c r="A8494" s="68">
        <v>42060</v>
      </c>
      <c r="B8494" s="33">
        <v>2500.59</v>
      </c>
      <c r="C8494">
        <f t="shared" si="162"/>
        <v>2015</v>
      </c>
    </row>
    <row r="8495" spans="1:3">
      <c r="A8495" s="68">
        <v>42061</v>
      </c>
      <c r="B8495" s="32">
        <v>2489.41</v>
      </c>
      <c r="C8495">
        <f t="shared" si="162"/>
        <v>2015</v>
      </c>
    </row>
    <row r="8496" spans="1:3">
      <c r="A8496" s="68">
        <v>42062</v>
      </c>
      <c r="B8496" s="33">
        <v>2484.58</v>
      </c>
      <c r="C8496">
        <f t="shared" si="162"/>
        <v>2015</v>
      </c>
    </row>
    <row r="8497" spans="1:3">
      <c r="A8497" s="68">
        <v>42063</v>
      </c>
      <c r="B8497" s="32">
        <v>2496.9899999999998</v>
      </c>
      <c r="C8497">
        <f t="shared" si="162"/>
        <v>2015</v>
      </c>
    </row>
    <row r="8498" spans="1:3">
      <c r="A8498" s="68">
        <v>42064</v>
      </c>
      <c r="B8498" s="33">
        <v>2496.9899999999998</v>
      </c>
      <c r="C8498">
        <f t="shared" si="162"/>
        <v>2015</v>
      </c>
    </row>
    <row r="8499" spans="1:3">
      <c r="A8499" s="68">
        <v>42065</v>
      </c>
      <c r="B8499" s="32">
        <v>2496.9899999999998</v>
      </c>
      <c r="C8499">
        <f t="shared" si="162"/>
        <v>2015</v>
      </c>
    </row>
    <row r="8500" spans="1:3">
      <c r="A8500" s="68">
        <v>42066</v>
      </c>
      <c r="B8500" s="33">
        <v>2522.0300000000002</v>
      </c>
      <c r="C8500">
        <f t="shared" si="162"/>
        <v>2015</v>
      </c>
    </row>
    <row r="8501" spans="1:3">
      <c r="A8501" s="68">
        <v>42067</v>
      </c>
      <c r="B8501" s="32">
        <v>2555.08</v>
      </c>
      <c r="C8501">
        <f t="shared" si="162"/>
        <v>2015</v>
      </c>
    </row>
    <row r="8502" spans="1:3">
      <c r="A8502" s="68">
        <v>42068</v>
      </c>
      <c r="B8502" s="33">
        <v>2565.9</v>
      </c>
      <c r="C8502">
        <f t="shared" si="162"/>
        <v>2015</v>
      </c>
    </row>
    <row r="8503" spans="1:3">
      <c r="A8503" s="68">
        <v>42069</v>
      </c>
      <c r="B8503" s="32">
        <v>2543.4699999999998</v>
      </c>
      <c r="C8503">
        <f t="shared" si="162"/>
        <v>2015</v>
      </c>
    </row>
    <row r="8504" spans="1:3">
      <c r="A8504" s="68">
        <v>42070</v>
      </c>
      <c r="B8504" s="33">
        <v>2565.61</v>
      </c>
      <c r="C8504">
        <f t="shared" si="162"/>
        <v>2015</v>
      </c>
    </row>
    <row r="8505" spans="1:3">
      <c r="A8505" s="68">
        <v>42071</v>
      </c>
      <c r="B8505" s="32">
        <v>2565.61</v>
      </c>
      <c r="C8505">
        <f t="shared" si="162"/>
        <v>2015</v>
      </c>
    </row>
    <row r="8506" spans="1:3">
      <c r="A8506" s="68">
        <v>42072</v>
      </c>
      <c r="B8506" s="33">
        <v>2565.61</v>
      </c>
      <c r="C8506">
        <f t="shared" si="162"/>
        <v>2015</v>
      </c>
    </row>
    <row r="8507" spans="1:3">
      <c r="A8507" s="68">
        <v>42073</v>
      </c>
      <c r="B8507" s="32">
        <v>2592.86</v>
      </c>
      <c r="C8507">
        <f t="shared" si="162"/>
        <v>2015</v>
      </c>
    </row>
    <row r="8508" spans="1:3">
      <c r="A8508" s="68">
        <v>42074</v>
      </c>
      <c r="B8508" s="33">
        <v>2618.79</v>
      </c>
      <c r="C8508">
        <f t="shared" si="162"/>
        <v>2015</v>
      </c>
    </row>
    <row r="8509" spans="1:3">
      <c r="A8509" s="68">
        <v>42075</v>
      </c>
      <c r="B8509" s="32">
        <v>2633.65</v>
      </c>
      <c r="C8509">
        <f t="shared" si="162"/>
        <v>2015</v>
      </c>
    </row>
    <row r="8510" spans="1:3">
      <c r="A8510" s="68">
        <v>42076</v>
      </c>
      <c r="B8510" s="33">
        <v>2610.08</v>
      </c>
      <c r="C8510">
        <f t="shared" si="162"/>
        <v>2015</v>
      </c>
    </row>
    <row r="8511" spans="1:3">
      <c r="A8511" s="68">
        <v>42077</v>
      </c>
      <c r="B8511" s="32">
        <v>2661.52</v>
      </c>
      <c r="C8511">
        <f t="shared" si="162"/>
        <v>2015</v>
      </c>
    </row>
    <row r="8512" spans="1:3">
      <c r="A8512" s="68">
        <v>42078</v>
      </c>
      <c r="B8512" s="33">
        <v>2661.52</v>
      </c>
      <c r="C8512">
        <f t="shared" si="162"/>
        <v>2015</v>
      </c>
    </row>
    <row r="8513" spans="1:3">
      <c r="A8513" s="68">
        <v>42079</v>
      </c>
      <c r="B8513" s="32">
        <v>2661.52</v>
      </c>
      <c r="C8513">
        <f t="shared" si="162"/>
        <v>2015</v>
      </c>
    </row>
    <row r="8514" spans="1:3">
      <c r="A8514" s="68">
        <v>42080</v>
      </c>
      <c r="B8514" s="33">
        <v>2675.08</v>
      </c>
      <c r="C8514">
        <f t="shared" si="162"/>
        <v>2015</v>
      </c>
    </row>
    <row r="8515" spans="1:3">
      <c r="A8515" s="68">
        <v>42081</v>
      </c>
      <c r="B8515" s="32">
        <v>2677.97</v>
      </c>
      <c r="C8515">
        <f t="shared" si="162"/>
        <v>2015</v>
      </c>
    </row>
    <row r="8516" spans="1:3">
      <c r="A8516" s="68">
        <v>42082</v>
      </c>
      <c r="B8516" s="33">
        <v>2651.49</v>
      </c>
      <c r="C8516">
        <f t="shared" ref="C8516:C8579" si="163">YEAR(A8516)</f>
        <v>2015</v>
      </c>
    </row>
    <row r="8517" spans="1:3">
      <c r="A8517" s="68">
        <v>42083</v>
      </c>
      <c r="B8517" s="32">
        <v>2613.38</v>
      </c>
      <c r="C8517">
        <f t="shared" si="163"/>
        <v>2015</v>
      </c>
    </row>
    <row r="8518" spans="1:3">
      <c r="A8518" s="68">
        <v>42084</v>
      </c>
      <c r="B8518" s="33">
        <v>2587.71</v>
      </c>
      <c r="C8518">
        <f t="shared" si="163"/>
        <v>2015</v>
      </c>
    </row>
    <row r="8519" spans="1:3">
      <c r="A8519" s="68">
        <v>42085</v>
      </c>
      <c r="B8519" s="32">
        <v>2587.71</v>
      </c>
      <c r="C8519">
        <f t="shared" si="163"/>
        <v>2015</v>
      </c>
    </row>
    <row r="8520" spans="1:3">
      <c r="A8520" s="68">
        <v>42086</v>
      </c>
      <c r="B8520" s="33">
        <v>2587.71</v>
      </c>
      <c r="C8520">
        <f t="shared" si="163"/>
        <v>2015</v>
      </c>
    </row>
    <row r="8521" spans="1:3">
      <c r="A8521" s="68">
        <v>42087</v>
      </c>
      <c r="B8521" s="32">
        <v>2587.71</v>
      </c>
      <c r="C8521">
        <f t="shared" si="163"/>
        <v>2015</v>
      </c>
    </row>
    <row r="8522" spans="1:3">
      <c r="A8522" s="68">
        <v>42088</v>
      </c>
      <c r="B8522" s="33">
        <v>2526.79</v>
      </c>
      <c r="C8522">
        <f t="shared" si="163"/>
        <v>2015</v>
      </c>
    </row>
    <row r="8523" spans="1:3">
      <c r="A8523" s="68">
        <v>42089</v>
      </c>
      <c r="B8523" s="32">
        <v>2535.5500000000002</v>
      </c>
      <c r="C8523">
        <f t="shared" si="163"/>
        <v>2015</v>
      </c>
    </row>
    <row r="8524" spans="1:3">
      <c r="A8524" s="68">
        <v>42090</v>
      </c>
      <c r="B8524" s="33">
        <v>2551.3000000000002</v>
      </c>
      <c r="C8524">
        <f t="shared" si="163"/>
        <v>2015</v>
      </c>
    </row>
    <row r="8525" spans="1:3">
      <c r="A8525" s="68">
        <v>42091</v>
      </c>
      <c r="B8525" s="32">
        <v>2556.85</v>
      </c>
      <c r="C8525">
        <f t="shared" si="163"/>
        <v>2015</v>
      </c>
    </row>
    <row r="8526" spans="1:3">
      <c r="A8526" s="68">
        <v>42092</v>
      </c>
      <c r="B8526" s="33">
        <v>2556.85</v>
      </c>
      <c r="C8526">
        <f t="shared" si="163"/>
        <v>2015</v>
      </c>
    </row>
    <row r="8527" spans="1:3">
      <c r="A8527" s="68">
        <v>42093</v>
      </c>
      <c r="B8527" s="32">
        <v>2556.85</v>
      </c>
      <c r="C8527">
        <f t="shared" si="163"/>
        <v>2015</v>
      </c>
    </row>
    <row r="8528" spans="1:3">
      <c r="A8528" s="68">
        <v>42094</v>
      </c>
      <c r="B8528" s="33">
        <v>2576.0500000000002</v>
      </c>
      <c r="C8528">
        <f t="shared" si="163"/>
        <v>2015</v>
      </c>
    </row>
    <row r="8529" spans="1:3">
      <c r="A8529" s="68">
        <v>42095</v>
      </c>
      <c r="B8529" s="32">
        <v>2598.36</v>
      </c>
      <c r="C8529">
        <f t="shared" si="163"/>
        <v>2015</v>
      </c>
    </row>
    <row r="8530" spans="1:3">
      <c r="A8530" s="68">
        <v>42096</v>
      </c>
      <c r="B8530" s="33">
        <v>2576.41</v>
      </c>
      <c r="C8530">
        <f t="shared" si="163"/>
        <v>2015</v>
      </c>
    </row>
    <row r="8531" spans="1:3">
      <c r="A8531" s="68">
        <v>42097</v>
      </c>
      <c r="B8531" s="32">
        <v>2576.41</v>
      </c>
      <c r="C8531">
        <f t="shared" si="163"/>
        <v>2015</v>
      </c>
    </row>
    <row r="8532" spans="1:3">
      <c r="A8532" s="68">
        <v>42098</v>
      </c>
      <c r="B8532" s="33">
        <v>2576.41</v>
      </c>
      <c r="C8532">
        <f t="shared" si="163"/>
        <v>2015</v>
      </c>
    </row>
    <row r="8533" spans="1:3">
      <c r="A8533" s="68">
        <v>42099</v>
      </c>
      <c r="B8533" s="32">
        <v>2576.41</v>
      </c>
      <c r="C8533">
        <f t="shared" si="163"/>
        <v>2015</v>
      </c>
    </row>
    <row r="8534" spans="1:3">
      <c r="A8534" s="68">
        <v>42100</v>
      </c>
      <c r="B8534" s="33">
        <v>2576.41</v>
      </c>
      <c r="C8534">
        <f t="shared" si="163"/>
        <v>2015</v>
      </c>
    </row>
    <row r="8535" spans="1:3">
      <c r="A8535" s="68">
        <v>42101</v>
      </c>
      <c r="B8535" s="32">
        <v>2522.71</v>
      </c>
      <c r="C8535">
        <f t="shared" si="163"/>
        <v>2015</v>
      </c>
    </row>
    <row r="8536" spans="1:3">
      <c r="A8536" s="68">
        <v>42102</v>
      </c>
      <c r="B8536" s="33">
        <v>2518.0500000000002</v>
      </c>
      <c r="C8536">
        <f t="shared" si="163"/>
        <v>2015</v>
      </c>
    </row>
    <row r="8537" spans="1:3">
      <c r="A8537" s="68">
        <v>42103</v>
      </c>
      <c r="B8537" s="32">
        <v>2490.9</v>
      </c>
      <c r="C8537">
        <f t="shared" si="163"/>
        <v>2015</v>
      </c>
    </row>
    <row r="8538" spans="1:3">
      <c r="A8538" s="68">
        <v>42104</v>
      </c>
      <c r="B8538" s="33">
        <v>2494.77</v>
      </c>
      <c r="C8538">
        <f t="shared" si="163"/>
        <v>2015</v>
      </c>
    </row>
    <row r="8539" spans="1:3">
      <c r="A8539" s="68">
        <v>42105</v>
      </c>
      <c r="B8539" s="32">
        <v>2516.08</v>
      </c>
      <c r="C8539">
        <f t="shared" si="163"/>
        <v>2015</v>
      </c>
    </row>
    <row r="8540" spans="1:3">
      <c r="A8540" s="68">
        <v>42106</v>
      </c>
      <c r="B8540" s="33">
        <v>2516.08</v>
      </c>
      <c r="C8540">
        <f t="shared" si="163"/>
        <v>2015</v>
      </c>
    </row>
    <row r="8541" spans="1:3">
      <c r="A8541" s="68">
        <v>42107</v>
      </c>
      <c r="B8541" s="32">
        <v>2516.08</v>
      </c>
      <c r="C8541">
        <f t="shared" si="163"/>
        <v>2015</v>
      </c>
    </row>
    <row r="8542" spans="1:3">
      <c r="A8542" s="68">
        <v>42108</v>
      </c>
      <c r="B8542" s="33">
        <v>2537.33</v>
      </c>
      <c r="C8542">
        <f t="shared" si="163"/>
        <v>2015</v>
      </c>
    </row>
    <row r="8543" spans="1:3">
      <c r="A8543" s="68">
        <v>42109</v>
      </c>
      <c r="B8543" s="32">
        <v>2550.83</v>
      </c>
      <c r="C8543">
        <f t="shared" si="163"/>
        <v>2015</v>
      </c>
    </row>
    <row r="8544" spans="1:3">
      <c r="A8544" s="68">
        <v>42110</v>
      </c>
      <c r="B8544" s="33">
        <v>2534.63</v>
      </c>
      <c r="C8544">
        <f t="shared" si="163"/>
        <v>2015</v>
      </c>
    </row>
    <row r="8545" spans="1:3">
      <c r="A8545" s="68">
        <v>42111</v>
      </c>
      <c r="B8545" s="32">
        <v>2493.9299999999998</v>
      </c>
      <c r="C8545">
        <f t="shared" si="163"/>
        <v>2015</v>
      </c>
    </row>
    <row r="8546" spans="1:3">
      <c r="A8546" s="68">
        <v>42112</v>
      </c>
      <c r="B8546" s="33">
        <v>2495.0100000000002</v>
      </c>
      <c r="C8546">
        <f t="shared" si="163"/>
        <v>2015</v>
      </c>
    </row>
    <row r="8547" spans="1:3">
      <c r="A8547" s="68">
        <v>42113</v>
      </c>
      <c r="B8547" s="32">
        <v>2495.0100000000002</v>
      </c>
      <c r="C8547">
        <f t="shared" si="163"/>
        <v>2015</v>
      </c>
    </row>
    <row r="8548" spans="1:3">
      <c r="A8548" s="68">
        <v>42114</v>
      </c>
      <c r="B8548" s="33">
        <v>2495.0100000000002</v>
      </c>
      <c r="C8548">
        <f t="shared" si="163"/>
        <v>2015</v>
      </c>
    </row>
    <row r="8549" spans="1:3">
      <c r="A8549" s="68">
        <v>42115</v>
      </c>
      <c r="B8549" s="32">
        <v>2487.0700000000002</v>
      </c>
      <c r="C8549">
        <f t="shared" si="163"/>
        <v>2015</v>
      </c>
    </row>
    <row r="8550" spans="1:3">
      <c r="A8550" s="68">
        <v>42116</v>
      </c>
      <c r="B8550" s="33">
        <v>2469.0300000000002</v>
      </c>
      <c r="C8550">
        <f t="shared" si="163"/>
        <v>2015</v>
      </c>
    </row>
    <row r="8551" spans="1:3">
      <c r="A8551" s="68">
        <v>42117</v>
      </c>
      <c r="B8551" s="32">
        <v>2488.5</v>
      </c>
      <c r="C8551">
        <f t="shared" si="163"/>
        <v>2015</v>
      </c>
    </row>
    <row r="8552" spans="1:3">
      <c r="A8552" s="68">
        <v>42118</v>
      </c>
      <c r="B8552" s="33">
        <v>2471.21</v>
      </c>
      <c r="C8552">
        <f t="shared" si="163"/>
        <v>2015</v>
      </c>
    </row>
    <row r="8553" spans="1:3">
      <c r="A8553" s="68">
        <v>42119</v>
      </c>
      <c r="B8553" s="32">
        <v>2461.17</v>
      </c>
      <c r="C8553">
        <f t="shared" si="163"/>
        <v>2015</v>
      </c>
    </row>
    <row r="8554" spans="1:3">
      <c r="A8554" s="68">
        <v>42120</v>
      </c>
      <c r="B8554" s="33">
        <v>2461.17</v>
      </c>
      <c r="C8554">
        <f t="shared" si="163"/>
        <v>2015</v>
      </c>
    </row>
    <row r="8555" spans="1:3">
      <c r="A8555" s="68">
        <v>42121</v>
      </c>
      <c r="B8555" s="32">
        <v>2461.17</v>
      </c>
      <c r="C8555">
        <f t="shared" si="163"/>
        <v>2015</v>
      </c>
    </row>
    <row r="8556" spans="1:3">
      <c r="A8556" s="68">
        <v>42122</v>
      </c>
      <c r="B8556" s="33">
        <v>2419.81</v>
      </c>
      <c r="C8556">
        <f t="shared" si="163"/>
        <v>2015</v>
      </c>
    </row>
    <row r="8557" spans="1:3">
      <c r="A8557" s="68">
        <v>42123</v>
      </c>
      <c r="B8557" s="32">
        <v>2393.42</v>
      </c>
      <c r="C8557">
        <f t="shared" si="163"/>
        <v>2015</v>
      </c>
    </row>
    <row r="8558" spans="1:3">
      <c r="A8558" s="68">
        <v>42124</v>
      </c>
      <c r="B8558" s="33">
        <v>2388.06</v>
      </c>
      <c r="C8558">
        <f t="shared" si="163"/>
        <v>2015</v>
      </c>
    </row>
    <row r="8559" spans="1:3">
      <c r="A8559" s="68">
        <v>42125</v>
      </c>
      <c r="B8559" s="32">
        <v>2393.58</v>
      </c>
      <c r="C8559">
        <f t="shared" si="163"/>
        <v>2015</v>
      </c>
    </row>
    <row r="8560" spans="1:3">
      <c r="A8560" s="68">
        <v>42126</v>
      </c>
      <c r="B8560" s="33">
        <v>2393.58</v>
      </c>
      <c r="C8560">
        <f t="shared" si="163"/>
        <v>2015</v>
      </c>
    </row>
    <row r="8561" spans="1:3">
      <c r="A8561" s="68">
        <v>42127</v>
      </c>
      <c r="B8561" s="32">
        <v>2393.58</v>
      </c>
      <c r="C8561">
        <f t="shared" si="163"/>
        <v>2015</v>
      </c>
    </row>
    <row r="8562" spans="1:3">
      <c r="A8562" s="68">
        <v>42128</v>
      </c>
      <c r="B8562" s="33">
        <v>2393.58</v>
      </c>
      <c r="C8562">
        <f t="shared" si="163"/>
        <v>2015</v>
      </c>
    </row>
    <row r="8563" spans="1:3">
      <c r="A8563" s="68">
        <v>42129</v>
      </c>
      <c r="B8563" s="32">
        <v>2408.17</v>
      </c>
      <c r="C8563">
        <f t="shared" si="163"/>
        <v>2015</v>
      </c>
    </row>
    <row r="8564" spans="1:3">
      <c r="A8564" s="68">
        <v>42130</v>
      </c>
      <c r="B8564" s="33">
        <v>2386.7199999999998</v>
      </c>
      <c r="C8564">
        <f t="shared" si="163"/>
        <v>2015</v>
      </c>
    </row>
    <row r="8565" spans="1:3">
      <c r="A8565" s="68">
        <v>42131</v>
      </c>
      <c r="B8565" s="32">
        <v>2362.41</v>
      </c>
      <c r="C8565">
        <f t="shared" si="163"/>
        <v>2015</v>
      </c>
    </row>
    <row r="8566" spans="1:3">
      <c r="A8566" s="68">
        <v>42132</v>
      </c>
      <c r="B8566" s="33">
        <v>2369.23</v>
      </c>
      <c r="C8566">
        <f t="shared" si="163"/>
        <v>2015</v>
      </c>
    </row>
    <row r="8567" spans="1:3">
      <c r="A8567" s="68">
        <v>42133</v>
      </c>
      <c r="B8567" s="32">
        <v>2360.58</v>
      </c>
      <c r="C8567">
        <f t="shared" si="163"/>
        <v>2015</v>
      </c>
    </row>
    <row r="8568" spans="1:3">
      <c r="A8568" s="68">
        <v>42134</v>
      </c>
      <c r="B8568" s="33">
        <v>2360.58</v>
      </c>
      <c r="C8568">
        <f t="shared" si="163"/>
        <v>2015</v>
      </c>
    </row>
    <row r="8569" spans="1:3">
      <c r="A8569" s="68">
        <v>42135</v>
      </c>
      <c r="B8569" s="32">
        <v>2360.58</v>
      </c>
      <c r="C8569">
        <f t="shared" si="163"/>
        <v>2015</v>
      </c>
    </row>
    <row r="8570" spans="1:3">
      <c r="A8570" s="68">
        <v>42136</v>
      </c>
      <c r="B8570" s="33">
        <v>2381.5300000000002</v>
      </c>
      <c r="C8570">
        <f t="shared" si="163"/>
        <v>2015</v>
      </c>
    </row>
    <row r="8571" spans="1:3">
      <c r="A8571" s="68">
        <v>42137</v>
      </c>
      <c r="B8571" s="32">
        <v>2386.77</v>
      </c>
      <c r="C8571">
        <f t="shared" si="163"/>
        <v>2015</v>
      </c>
    </row>
    <row r="8572" spans="1:3">
      <c r="A8572" s="68">
        <v>42138</v>
      </c>
      <c r="B8572" s="33">
        <v>2377.87</v>
      </c>
      <c r="C8572">
        <f t="shared" si="163"/>
        <v>2015</v>
      </c>
    </row>
    <row r="8573" spans="1:3">
      <c r="A8573" s="68">
        <v>42139</v>
      </c>
      <c r="B8573" s="32">
        <v>2389.4899999999998</v>
      </c>
      <c r="C8573">
        <f t="shared" si="163"/>
        <v>2015</v>
      </c>
    </row>
    <row r="8574" spans="1:3">
      <c r="A8574" s="68">
        <v>42140</v>
      </c>
      <c r="B8574" s="33">
        <v>2417.0100000000002</v>
      </c>
      <c r="C8574">
        <f t="shared" si="163"/>
        <v>2015</v>
      </c>
    </row>
    <row r="8575" spans="1:3">
      <c r="A8575" s="68">
        <v>42141</v>
      </c>
      <c r="B8575" s="32">
        <v>2417.0100000000002</v>
      </c>
      <c r="C8575">
        <f t="shared" si="163"/>
        <v>2015</v>
      </c>
    </row>
    <row r="8576" spans="1:3">
      <c r="A8576" s="68">
        <v>42142</v>
      </c>
      <c r="B8576" s="33">
        <v>2417.0100000000002</v>
      </c>
      <c r="C8576">
        <f t="shared" si="163"/>
        <v>2015</v>
      </c>
    </row>
    <row r="8577" spans="1:3">
      <c r="A8577" s="68">
        <v>42143</v>
      </c>
      <c r="B8577" s="32">
        <v>2417.0100000000002</v>
      </c>
      <c r="C8577">
        <f t="shared" si="163"/>
        <v>2015</v>
      </c>
    </row>
    <row r="8578" spans="1:3">
      <c r="A8578" s="68">
        <v>42144</v>
      </c>
      <c r="B8578" s="33">
        <v>2475.4499999999998</v>
      </c>
      <c r="C8578">
        <f t="shared" si="163"/>
        <v>2015</v>
      </c>
    </row>
    <row r="8579" spans="1:3">
      <c r="A8579" s="68">
        <v>42145</v>
      </c>
      <c r="B8579" s="32">
        <v>2503.37</v>
      </c>
      <c r="C8579">
        <f t="shared" si="163"/>
        <v>2015</v>
      </c>
    </row>
    <row r="8580" spans="1:3">
      <c r="A8580" s="68">
        <v>42146</v>
      </c>
      <c r="B8580" s="33">
        <v>2489.39</v>
      </c>
      <c r="C8580">
        <f t="shared" ref="C8580:C8643" si="164">YEAR(A8580)</f>
        <v>2015</v>
      </c>
    </row>
    <row r="8581" spans="1:3">
      <c r="A8581" s="68">
        <v>42147</v>
      </c>
      <c r="B8581" s="32">
        <v>2500.2199999999998</v>
      </c>
      <c r="C8581">
        <f t="shared" si="164"/>
        <v>2015</v>
      </c>
    </row>
    <row r="8582" spans="1:3">
      <c r="A8582" s="68">
        <v>42148</v>
      </c>
      <c r="B8582" s="33">
        <v>2500.2199999999998</v>
      </c>
      <c r="C8582">
        <f t="shared" si="164"/>
        <v>2015</v>
      </c>
    </row>
    <row r="8583" spans="1:3">
      <c r="A8583" s="68">
        <v>42149</v>
      </c>
      <c r="B8583" s="32">
        <v>2500.2199999999998</v>
      </c>
      <c r="C8583">
        <f t="shared" si="164"/>
        <v>2015</v>
      </c>
    </row>
    <row r="8584" spans="1:3">
      <c r="A8584" s="68">
        <v>42150</v>
      </c>
      <c r="B8584" s="33">
        <v>2500.2199999999998</v>
      </c>
      <c r="C8584">
        <f t="shared" si="164"/>
        <v>2015</v>
      </c>
    </row>
    <row r="8585" spans="1:3">
      <c r="A8585" s="68">
        <v>42151</v>
      </c>
      <c r="B8585" s="32">
        <v>2542.5300000000002</v>
      </c>
      <c r="C8585">
        <f t="shared" si="164"/>
        <v>2015</v>
      </c>
    </row>
    <row r="8586" spans="1:3">
      <c r="A8586" s="68">
        <v>42152</v>
      </c>
      <c r="B8586" s="33">
        <v>2548.13</v>
      </c>
      <c r="C8586">
        <f t="shared" si="164"/>
        <v>2015</v>
      </c>
    </row>
    <row r="8587" spans="1:3">
      <c r="A8587" s="68">
        <v>42153</v>
      </c>
      <c r="B8587" s="32">
        <v>2549.9699999999998</v>
      </c>
      <c r="C8587">
        <f t="shared" si="164"/>
        <v>2015</v>
      </c>
    </row>
    <row r="8588" spans="1:3">
      <c r="A8588" s="68">
        <v>42154</v>
      </c>
      <c r="B8588" s="33">
        <v>2533.79</v>
      </c>
      <c r="C8588">
        <f t="shared" si="164"/>
        <v>2015</v>
      </c>
    </row>
    <row r="8589" spans="1:3">
      <c r="A8589" s="68">
        <v>42155</v>
      </c>
      <c r="B8589" s="32">
        <v>2533.79</v>
      </c>
      <c r="C8589">
        <f t="shared" si="164"/>
        <v>2015</v>
      </c>
    </row>
    <row r="8590" spans="1:3">
      <c r="A8590" s="68">
        <v>42156</v>
      </c>
      <c r="B8590" s="33">
        <v>2533.79</v>
      </c>
      <c r="C8590">
        <f t="shared" si="164"/>
        <v>2015</v>
      </c>
    </row>
    <row r="8591" spans="1:3">
      <c r="A8591" s="68">
        <v>42157</v>
      </c>
      <c r="B8591" s="32">
        <v>2549.29</v>
      </c>
      <c r="C8591">
        <f t="shared" si="164"/>
        <v>2015</v>
      </c>
    </row>
    <row r="8592" spans="1:3">
      <c r="A8592" s="68">
        <v>42158</v>
      </c>
      <c r="B8592" s="33">
        <v>2554.44</v>
      </c>
      <c r="C8592">
        <f t="shared" si="164"/>
        <v>2015</v>
      </c>
    </row>
    <row r="8593" spans="1:3">
      <c r="A8593" s="68">
        <v>42159</v>
      </c>
      <c r="B8593" s="32">
        <v>2571.92</v>
      </c>
      <c r="C8593">
        <f t="shared" si="164"/>
        <v>2015</v>
      </c>
    </row>
    <row r="8594" spans="1:3">
      <c r="A8594" s="68">
        <v>42160</v>
      </c>
      <c r="B8594" s="33">
        <v>2588.56</v>
      </c>
      <c r="C8594">
        <f t="shared" si="164"/>
        <v>2015</v>
      </c>
    </row>
    <row r="8595" spans="1:3">
      <c r="A8595" s="68">
        <v>42161</v>
      </c>
      <c r="B8595" s="32">
        <v>2623.66</v>
      </c>
      <c r="C8595">
        <f t="shared" si="164"/>
        <v>2015</v>
      </c>
    </row>
    <row r="8596" spans="1:3">
      <c r="A8596" s="68">
        <v>42162</v>
      </c>
      <c r="B8596" s="33">
        <v>2623.66</v>
      </c>
      <c r="C8596">
        <f t="shared" si="164"/>
        <v>2015</v>
      </c>
    </row>
    <row r="8597" spans="1:3">
      <c r="A8597" s="68">
        <v>42163</v>
      </c>
      <c r="B8597" s="32">
        <v>2623.66</v>
      </c>
      <c r="C8597">
        <f t="shared" si="164"/>
        <v>2015</v>
      </c>
    </row>
    <row r="8598" spans="1:3">
      <c r="A8598" s="68">
        <v>42164</v>
      </c>
      <c r="B8598" s="33">
        <v>2623.66</v>
      </c>
      <c r="C8598">
        <f t="shared" si="164"/>
        <v>2015</v>
      </c>
    </row>
    <row r="8599" spans="1:3">
      <c r="A8599" s="68">
        <v>42165</v>
      </c>
      <c r="B8599" s="32">
        <v>2569.17</v>
      </c>
      <c r="C8599">
        <f t="shared" si="164"/>
        <v>2015</v>
      </c>
    </row>
    <row r="8600" spans="1:3">
      <c r="A8600" s="68">
        <v>42166</v>
      </c>
      <c r="B8600" s="33">
        <v>2523</v>
      </c>
      <c r="C8600">
        <f t="shared" si="164"/>
        <v>2015</v>
      </c>
    </row>
    <row r="8601" spans="1:3">
      <c r="A8601" s="68">
        <v>42167</v>
      </c>
      <c r="B8601" s="32">
        <v>2538.5500000000002</v>
      </c>
      <c r="C8601">
        <f t="shared" si="164"/>
        <v>2015</v>
      </c>
    </row>
    <row r="8602" spans="1:3">
      <c r="A8602" s="68">
        <v>42168</v>
      </c>
      <c r="B8602" s="33">
        <v>2535.91</v>
      </c>
      <c r="C8602">
        <f t="shared" si="164"/>
        <v>2015</v>
      </c>
    </row>
    <row r="8603" spans="1:3">
      <c r="A8603" s="68">
        <v>42169</v>
      </c>
      <c r="B8603" s="32">
        <v>2535.91</v>
      </c>
      <c r="C8603">
        <f t="shared" si="164"/>
        <v>2015</v>
      </c>
    </row>
    <row r="8604" spans="1:3">
      <c r="A8604" s="68">
        <v>42170</v>
      </c>
      <c r="B8604" s="33">
        <v>2535.91</v>
      </c>
      <c r="C8604">
        <f t="shared" si="164"/>
        <v>2015</v>
      </c>
    </row>
    <row r="8605" spans="1:3">
      <c r="A8605" s="68">
        <v>42171</v>
      </c>
      <c r="B8605" s="32">
        <v>2535.91</v>
      </c>
      <c r="C8605">
        <f t="shared" si="164"/>
        <v>2015</v>
      </c>
    </row>
    <row r="8606" spans="1:3">
      <c r="A8606" s="68">
        <v>42172</v>
      </c>
      <c r="B8606" s="33">
        <v>2531.7199999999998</v>
      </c>
      <c r="C8606">
        <f t="shared" si="164"/>
        <v>2015</v>
      </c>
    </row>
    <row r="8607" spans="1:3">
      <c r="A8607" s="68">
        <v>42173</v>
      </c>
      <c r="B8607" s="32">
        <v>2550.4299999999998</v>
      </c>
      <c r="C8607">
        <f t="shared" si="164"/>
        <v>2015</v>
      </c>
    </row>
    <row r="8608" spans="1:3">
      <c r="A8608" s="68">
        <v>42174</v>
      </c>
      <c r="B8608" s="33">
        <v>2528.85</v>
      </c>
      <c r="C8608">
        <f t="shared" si="164"/>
        <v>2015</v>
      </c>
    </row>
    <row r="8609" spans="1:3">
      <c r="A8609" s="68">
        <v>42175</v>
      </c>
      <c r="B8609" s="32">
        <v>2548.1999999999998</v>
      </c>
      <c r="C8609">
        <f t="shared" si="164"/>
        <v>2015</v>
      </c>
    </row>
    <row r="8610" spans="1:3">
      <c r="A8610" s="68">
        <v>42176</v>
      </c>
      <c r="B8610" s="33">
        <v>2548.1999999999998</v>
      </c>
      <c r="C8610">
        <f t="shared" si="164"/>
        <v>2015</v>
      </c>
    </row>
    <row r="8611" spans="1:3">
      <c r="A8611" s="68">
        <v>42177</v>
      </c>
      <c r="B8611" s="32">
        <v>2548.1999999999998</v>
      </c>
      <c r="C8611">
        <f t="shared" si="164"/>
        <v>2015</v>
      </c>
    </row>
    <row r="8612" spans="1:3">
      <c r="A8612" s="68">
        <v>42178</v>
      </c>
      <c r="B8612" s="33">
        <v>2537.6799999999998</v>
      </c>
      <c r="C8612">
        <f t="shared" si="164"/>
        <v>2015</v>
      </c>
    </row>
    <row r="8613" spans="1:3">
      <c r="A8613" s="68">
        <v>42179</v>
      </c>
      <c r="B8613" s="32">
        <v>2550.7399999999998</v>
      </c>
      <c r="C8613">
        <f t="shared" si="164"/>
        <v>2015</v>
      </c>
    </row>
    <row r="8614" spans="1:3">
      <c r="A8614" s="68">
        <v>42180</v>
      </c>
      <c r="B8614" s="33">
        <v>2566.66</v>
      </c>
      <c r="C8614">
        <f t="shared" si="164"/>
        <v>2015</v>
      </c>
    </row>
    <row r="8615" spans="1:3">
      <c r="A8615" s="68">
        <v>42181</v>
      </c>
      <c r="B8615" s="32">
        <v>2556.21</v>
      </c>
      <c r="C8615">
        <f t="shared" si="164"/>
        <v>2015</v>
      </c>
    </row>
    <row r="8616" spans="1:3">
      <c r="A8616" s="68">
        <v>42182</v>
      </c>
      <c r="B8616" s="33">
        <v>2585.11</v>
      </c>
      <c r="C8616">
        <f t="shared" si="164"/>
        <v>2015</v>
      </c>
    </row>
    <row r="8617" spans="1:3">
      <c r="A8617" s="68">
        <v>42183</v>
      </c>
      <c r="B8617" s="32">
        <v>2585.11</v>
      </c>
      <c r="C8617">
        <f t="shared" si="164"/>
        <v>2015</v>
      </c>
    </row>
    <row r="8618" spans="1:3">
      <c r="A8618" s="68">
        <v>42184</v>
      </c>
      <c r="B8618" s="33">
        <v>2585.11</v>
      </c>
      <c r="C8618">
        <f t="shared" si="164"/>
        <v>2015</v>
      </c>
    </row>
    <row r="8619" spans="1:3">
      <c r="A8619" s="68">
        <v>42185</v>
      </c>
      <c r="B8619" s="32">
        <v>2585.11</v>
      </c>
      <c r="C8619">
        <f t="shared" si="164"/>
        <v>2015</v>
      </c>
    </row>
    <row r="8620" spans="1:3">
      <c r="A8620" s="68">
        <v>42186</v>
      </c>
      <c r="B8620" s="33">
        <v>2598.6799999999998</v>
      </c>
      <c r="C8620">
        <f t="shared" si="164"/>
        <v>2015</v>
      </c>
    </row>
    <row r="8621" spans="1:3">
      <c r="A8621" s="68">
        <v>42187</v>
      </c>
      <c r="B8621" s="32">
        <v>2626.8</v>
      </c>
      <c r="C8621">
        <f t="shared" si="164"/>
        <v>2015</v>
      </c>
    </row>
    <row r="8622" spans="1:3">
      <c r="A8622" s="68">
        <v>42188</v>
      </c>
      <c r="B8622" s="33">
        <v>2623.91</v>
      </c>
      <c r="C8622">
        <f t="shared" si="164"/>
        <v>2015</v>
      </c>
    </row>
    <row r="8623" spans="1:3">
      <c r="A8623" s="68">
        <v>42189</v>
      </c>
      <c r="B8623" s="32">
        <v>2642.97</v>
      </c>
      <c r="C8623">
        <f t="shared" si="164"/>
        <v>2015</v>
      </c>
    </row>
    <row r="8624" spans="1:3">
      <c r="A8624" s="68">
        <v>42190</v>
      </c>
      <c r="B8624" s="33">
        <v>2642.97</v>
      </c>
      <c r="C8624">
        <f t="shared" si="164"/>
        <v>2015</v>
      </c>
    </row>
    <row r="8625" spans="1:3">
      <c r="A8625" s="68">
        <v>42191</v>
      </c>
      <c r="B8625" s="32">
        <v>2642.97</v>
      </c>
      <c r="C8625">
        <f t="shared" si="164"/>
        <v>2015</v>
      </c>
    </row>
    <row r="8626" spans="1:3">
      <c r="A8626" s="68">
        <v>42192</v>
      </c>
      <c r="B8626" s="33">
        <v>2665.41</v>
      </c>
      <c r="C8626">
        <f t="shared" si="164"/>
        <v>2015</v>
      </c>
    </row>
    <row r="8627" spans="1:3">
      <c r="A8627" s="68">
        <v>42193</v>
      </c>
      <c r="B8627" s="32">
        <v>2690.15</v>
      </c>
      <c r="C8627">
        <f t="shared" si="164"/>
        <v>2015</v>
      </c>
    </row>
    <row r="8628" spans="1:3">
      <c r="A8628" s="68">
        <v>42194</v>
      </c>
      <c r="B8628" s="33">
        <v>2690.79</v>
      </c>
      <c r="C8628">
        <f t="shared" si="164"/>
        <v>2015</v>
      </c>
    </row>
    <row r="8629" spans="1:3">
      <c r="A8629" s="68">
        <v>42195</v>
      </c>
      <c r="B8629" s="32">
        <v>2670.79</v>
      </c>
      <c r="C8629">
        <f t="shared" si="164"/>
        <v>2015</v>
      </c>
    </row>
    <row r="8630" spans="1:3">
      <c r="A8630" s="68">
        <v>42196</v>
      </c>
      <c r="B8630" s="33">
        <v>2667.37</v>
      </c>
      <c r="C8630">
        <f t="shared" si="164"/>
        <v>2015</v>
      </c>
    </row>
    <row r="8631" spans="1:3">
      <c r="A8631" s="68">
        <v>42197</v>
      </c>
      <c r="B8631" s="32">
        <v>2667.37</v>
      </c>
      <c r="C8631">
        <f t="shared" si="164"/>
        <v>2015</v>
      </c>
    </row>
    <row r="8632" spans="1:3">
      <c r="A8632" s="68">
        <v>42198</v>
      </c>
      <c r="B8632" s="33">
        <v>2667.37</v>
      </c>
      <c r="C8632">
        <f t="shared" si="164"/>
        <v>2015</v>
      </c>
    </row>
    <row r="8633" spans="1:3">
      <c r="A8633" s="68">
        <v>42199</v>
      </c>
      <c r="B8633" s="32">
        <v>2693.54</v>
      </c>
      <c r="C8633">
        <f t="shared" si="164"/>
        <v>2015</v>
      </c>
    </row>
    <row r="8634" spans="1:3">
      <c r="A8634" s="68">
        <v>42200</v>
      </c>
      <c r="B8634" s="33">
        <v>2688.2</v>
      </c>
      <c r="C8634">
        <f t="shared" si="164"/>
        <v>2015</v>
      </c>
    </row>
    <row r="8635" spans="1:3">
      <c r="A8635" s="68">
        <v>42201</v>
      </c>
      <c r="B8635" s="32">
        <v>2713.04</v>
      </c>
      <c r="C8635">
        <f t="shared" si="164"/>
        <v>2015</v>
      </c>
    </row>
    <row r="8636" spans="1:3">
      <c r="A8636" s="68">
        <v>42202</v>
      </c>
      <c r="B8636" s="33">
        <v>2727.23</v>
      </c>
      <c r="C8636">
        <f t="shared" si="164"/>
        <v>2015</v>
      </c>
    </row>
    <row r="8637" spans="1:3">
      <c r="A8637" s="68">
        <v>42203</v>
      </c>
      <c r="B8637" s="32">
        <v>2751.88</v>
      </c>
      <c r="C8637">
        <f t="shared" si="164"/>
        <v>2015</v>
      </c>
    </row>
    <row r="8638" spans="1:3">
      <c r="A8638" s="68">
        <v>42204</v>
      </c>
      <c r="B8638" s="33">
        <v>2751.88</v>
      </c>
      <c r="C8638">
        <f t="shared" si="164"/>
        <v>2015</v>
      </c>
    </row>
    <row r="8639" spans="1:3">
      <c r="A8639" s="68">
        <v>42205</v>
      </c>
      <c r="B8639" s="32">
        <v>2751.88</v>
      </c>
      <c r="C8639">
        <f t="shared" si="164"/>
        <v>2015</v>
      </c>
    </row>
    <row r="8640" spans="1:3">
      <c r="A8640" s="68">
        <v>42206</v>
      </c>
      <c r="B8640" s="33">
        <v>2751.88</v>
      </c>
      <c r="C8640">
        <f t="shared" si="164"/>
        <v>2015</v>
      </c>
    </row>
    <row r="8641" spans="1:3">
      <c r="A8641" s="68">
        <v>42207</v>
      </c>
      <c r="B8641" s="32">
        <v>2765.1</v>
      </c>
      <c r="C8641">
        <f t="shared" si="164"/>
        <v>2015</v>
      </c>
    </row>
    <row r="8642" spans="1:3">
      <c r="A8642" s="68">
        <v>42208</v>
      </c>
      <c r="B8642" s="33">
        <v>2790.26</v>
      </c>
      <c r="C8642">
        <f t="shared" si="164"/>
        <v>2015</v>
      </c>
    </row>
    <row r="8643" spans="1:3">
      <c r="A8643" s="68">
        <v>42209</v>
      </c>
      <c r="B8643" s="32">
        <v>2807.36</v>
      </c>
      <c r="C8643">
        <f t="shared" si="164"/>
        <v>2015</v>
      </c>
    </row>
    <row r="8644" spans="1:3">
      <c r="A8644" s="68">
        <v>42210</v>
      </c>
      <c r="B8644" s="33">
        <v>2857.46</v>
      </c>
      <c r="C8644">
        <f t="shared" ref="C8644:C8707" si="165">YEAR(A8644)</f>
        <v>2015</v>
      </c>
    </row>
    <row r="8645" spans="1:3">
      <c r="A8645" s="68">
        <v>42211</v>
      </c>
      <c r="B8645" s="32">
        <v>2857.46</v>
      </c>
      <c r="C8645">
        <f t="shared" si="165"/>
        <v>2015</v>
      </c>
    </row>
    <row r="8646" spans="1:3">
      <c r="A8646" s="68">
        <v>42212</v>
      </c>
      <c r="B8646" s="33">
        <v>2857.46</v>
      </c>
      <c r="C8646">
        <f t="shared" si="165"/>
        <v>2015</v>
      </c>
    </row>
    <row r="8647" spans="1:3">
      <c r="A8647" s="68">
        <v>42213</v>
      </c>
      <c r="B8647" s="32">
        <v>2854.13</v>
      </c>
      <c r="C8647">
        <f t="shared" si="165"/>
        <v>2015</v>
      </c>
    </row>
    <row r="8648" spans="1:3">
      <c r="A8648" s="68">
        <v>42214</v>
      </c>
      <c r="B8648" s="33">
        <v>2855.44</v>
      </c>
      <c r="C8648">
        <f t="shared" si="165"/>
        <v>2015</v>
      </c>
    </row>
    <row r="8649" spans="1:3">
      <c r="A8649" s="68">
        <v>42215</v>
      </c>
      <c r="B8649" s="32">
        <v>2855.32</v>
      </c>
      <c r="C8649">
        <f t="shared" si="165"/>
        <v>2015</v>
      </c>
    </row>
    <row r="8650" spans="1:3">
      <c r="A8650" s="68">
        <v>42216</v>
      </c>
      <c r="B8650" s="33">
        <v>2866.04</v>
      </c>
      <c r="C8650">
        <f t="shared" si="165"/>
        <v>2015</v>
      </c>
    </row>
    <row r="8651" spans="1:3">
      <c r="A8651" s="68">
        <v>42217</v>
      </c>
      <c r="B8651" s="32">
        <v>2862.51</v>
      </c>
      <c r="C8651">
        <f t="shared" si="165"/>
        <v>2015</v>
      </c>
    </row>
    <row r="8652" spans="1:3">
      <c r="A8652" s="68">
        <v>42218</v>
      </c>
      <c r="B8652" s="33">
        <v>2862.51</v>
      </c>
      <c r="C8652">
        <f t="shared" si="165"/>
        <v>2015</v>
      </c>
    </row>
    <row r="8653" spans="1:3">
      <c r="A8653" s="68">
        <v>42219</v>
      </c>
      <c r="B8653" s="32">
        <v>2862.51</v>
      </c>
      <c r="C8653">
        <f t="shared" si="165"/>
        <v>2015</v>
      </c>
    </row>
    <row r="8654" spans="1:3">
      <c r="A8654" s="68">
        <v>42220</v>
      </c>
      <c r="B8654" s="33">
        <v>2902.98</v>
      </c>
      <c r="C8654">
        <f t="shared" si="165"/>
        <v>2015</v>
      </c>
    </row>
    <row r="8655" spans="1:3">
      <c r="A8655" s="68">
        <v>42221</v>
      </c>
      <c r="B8655" s="32">
        <v>2906.95</v>
      </c>
      <c r="C8655">
        <f t="shared" si="165"/>
        <v>2015</v>
      </c>
    </row>
    <row r="8656" spans="1:3">
      <c r="A8656" s="68">
        <v>42222</v>
      </c>
      <c r="B8656" s="33">
        <v>2945.97</v>
      </c>
      <c r="C8656">
        <f t="shared" si="165"/>
        <v>2015</v>
      </c>
    </row>
    <row r="8657" spans="1:3">
      <c r="A8657" s="68">
        <v>42223</v>
      </c>
      <c r="B8657" s="32">
        <v>2955.31</v>
      </c>
      <c r="C8657">
        <f t="shared" si="165"/>
        <v>2015</v>
      </c>
    </row>
    <row r="8658" spans="1:3">
      <c r="A8658" s="68">
        <v>42224</v>
      </c>
      <c r="B8658" s="33">
        <v>2955.31</v>
      </c>
      <c r="C8658">
        <f t="shared" si="165"/>
        <v>2015</v>
      </c>
    </row>
    <row r="8659" spans="1:3">
      <c r="A8659" s="68">
        <v>42225</v>
      </c>
      <c r="B8659" s="32">
        <v>2955.31</v>
      </c>
      <c r="C8659">
        <f t="shared" si="165"/>
        <v>2015</v>
      </c>
    </row>
    <row r="8660" spans="1:3">
      <c r="A8660" s="68">
        <v>42226</v>
      </c>
      <c r="B8660" s="33">
        <v>2955.31</v>
      </c>
      <c r="C8660">
        <f t="shared" si="165"/>
        <v>2015</v>
      </c>
    </row>
    <row r="8661" spans="1:3">
      <c r="A8661" s="68">
        <v>42227</v>
      </c>
      <c r="B8661" s="32">
        <v>2913.45</v>
      </c>
      <c r="C8661">
        <f t="shared" si="165"/>
        <v>2015</v>
      </c>
    </row>
    <row r="8662" spans="1:3">
      <c r="A8662" s="68">
        <v>42228</v>
      </c>
      <c r="B8662" s="33">
        <v>2943.97</v>
      </c>
      <c r="C8662">
        <f t="shared" si="165"/>
        <v>2015</v>
      </c>
    </row>
    <row r="8663" spans="1:3">
      <c r="A8663" s="68">
        <v>42229</v>
      </c>
      <c r="B8663" s="32">
        <v>2937.63</v>
      </c>
      <c r="C8663">
        <f t="shared" si="165"/>
        <v>2015</v>
      </c>
    </row>
    <row r="8664" spans="1:3">
      <c r="A8664" s="68">
        <v>42230</v>
      </c>
      <c r="B8664" s="33">
        <v>2966.12</v>
      </c>
      <c r="C8664">
        <f t="shared" si="165"/>
        <v>2015</v>
      </c>
    </row>
    <row r="8665" spans="1:3">
      <c r="A8665" s="68">
        <v>42231</v>
      </c>
      <c r="B8665" s="32">
        <v>2983.12</v>
      </c>
      <c r="C8665">
        <f t="shared" si="165"/>
        <v>2015</v>
      </c>
    </row>
    <row r="8666" spans="1:3">
      <c r="A8666" s="68">
        <v>42232</v>
      </c>
      <c r="B8666" s="33">
        <v>2983.12</v>
      </c>
      <c r="C8666">
        <f t="shared" si="165"/>
        <v>2015</v>
      </c>
    </row>
    <row r="8667" spans="1:3">
      <c r="A8667" s="68">
        <v>42233</v>
      </c>
      <c r="B8667" s="32">
        <v>2983.12</v>
      </c>
      <c r="C8667">
        <f t="shared" si="165"/>
        <v>2015</v>
      </c>
    </row>
    <row r="8668" spans="1:3">
      <c r="A8668" s="68">
        <v>42234</v>
      </c>
      <c r="B8668" s="33">
        <v>2983.12</v>
      </c>
      <c r="C8668">
        <f t="shared" si="165"/>
        <v>2015</v>
      </c>
    </row>
    <row r="8669" spans="1:3">
      <c r="A8669" s="68">
        <v>42235</v>
      </c>
      <c r="B8669" s="32">
        <v>3003.35</v>
      </c>
      <c r="C8669">
        <f t="shared" si="165"/>
        <v>2015</v>
      </c>
    </row>
    <row r="8670" spans="1:3">
      <c r="A8670" s="68">
        <v>42236</v>
      </c>
      <c r="B8670" s="33">
        <v>3027.2</v>
      </c>
      <c r="C8670">
        <f t="shared" si="165"/>
        <v>2015</v>
      </c>
    </row>
    <row r="8671" spans="1:3">
      <c r="A8671" s="68">
        <v>42237</v>
      </c>
      <c r="B8671" s="32">
        <v>3053.65</v>
      </c>
      <c r="C8671">
        <f t="shared" si="165"/>
        <v>2015</v>
      </c>
    </row>
    <row r="8672" spans="1:3">
      <c r="A8672" s="68">
        <v>42238</v>
      </c>
      <c r="B8672" s="33">
        <v>3102.6</v>
      </c>
      <c r="C8672">
        <f t="shared" si="165"/>
        <v>2015</v>
      </c>
    </row>
    <row r="8673" spans="1:3">
      <c r="A8673" s="68">
        <v>42239</v>
      </c>
      <c r="B8673" s="32">
        <v>3102.6</v>
      </c>
      <c r="C8673">
        <f t="shared" si="165"/>
        <v>2015</v>
      </c>
    </row>
    <row r="8674" spans="1:3">
      <c r="A8674" s="68">
        <v>42240</v>
      </c>
      <c r="B8674" s="33">
        <v>3102.6</v>
      </c>
      <c r="C8674">
        <f t="shared" si="165"/>
        <v>2015</v>
      </c>
    </row>
    <row r="8675" spans="1:3">
      <c r="A8675" s="68">
        <v>42241</v>
      </c>
      <c r="B8675" s="32">
        <v>3208.37</v>
      </c>
      <c r="C8675">
        <f t="shared" si="165"/>
        <v>2015</v>
      </c>
    </row>
    <row r="8676" spans="1:3">
      <c r="A8676" s="68">
        <v>42242</v>
      </c>
      <c r="B8676" s="33">
        <v>3194.24</v>
      </c>
      <c r="C8676">
        <f t="shared" si="165"/>
        <v>2015</v>
      </c>
    </row>
    <row r="8677" spans="1:3">
      <c r="A8677" s="68">
        <v>42243</v>
      </c>
      <c r="B8677" s="32">
        <v>3238.51</v>
      </c>
      <c r="C8677">
        <f t="shared" si="165"/>
        <v>2015</v>
      </c>
    </row>
    <row r="8678" spans="1:3">
      <c r="A8678" s="68">
        <v>42244</v>
      </c>
      <c r="B8678" s="33">
        <v>3195.47</v>
      </c>
      <c r="C8678">
        <f t="shared" si="165"/>
        <v>2015</v>
      </c>
    </row>
    <row r="8679" spans="1:3">
      <c r="A8679" s="68">
        <v>42245</v>
      </c>
      <c r="B8679" s="32">
        <v>3101.1</v>
      </c>
      <c r="C8679">
        <f t="shared" si="165"/>
        <v>2015</v>
      </c>
    </row>
    <row r="8680" spans="1:3">
      <c r="A8680" s="68">
        <v>42246</v>
      </c>
      <c r="B8680" s="33">
        <v>3101.1</v>
      </c>
      <c r="C8680">
        <f t="shared" si="165"/>
        <v>2015</v>
      </c>
    </row>
    <row r="8681" spans="1:3">
      <c r="A8681" s="68">
        <v>42247</v>
      </c>
      <c r="B8681" s="32">
        <v>3101.1</v>
      </c>
      <c r="C8681">
        <f t="shared" si="165"/>
        <v>2015</v>
      </c>
    </row>
    <row r="8682" spans="1:3">
      <c r="A8682" s="68">
        <v>42248</v>
      </c>
      <c r="B8682" s="33">
        <v>3079.97</v>
      </c>
      <c r="C8682">
        <f t="shared" si="165"/>
        <v>2015</v>
      </c>
    </row>
    <row r="8683" spans="1:3">
      <c r="A8683" s="68">
        <v>42249</v>
      </c>
      <c r="B8683" s="32">
        <v>3093.64</v>
      </c>
      <c r="C8683">
        <f t="shared" si="165"/>
        <v>2015</v>
      </c>
    </row>
    <row r="8684" spans="1:3">
      <c r="A8684" s="68">
        <v>42250</v>
      </c>
      <c r="B8684" s="33">
        <v>3142.34</v>
      </c>
      <c r="C8684">
        <f t="shared" si="165"/>
        <v>2015</v>
      </c>
    </row>
    <row r="8685" spans="1:3">
      <c r="A8685" s="68">
        <v>42251</v>
      </c>
      <c r="B8685" s="32">
        <v>3119.93</v>
      </c>
      <c r="C8685">
        <f t="shared" si="165"/>
        <v>2015</v>
      </c>
    </row>
    <row r="8686" spans="1:3">
      <c r="A8686" s="68">
        <v>42252</v>
      </c>
      <c r="B8686" s="33">
        <v>3113.55</v>
      </c>
      <c r="C8686">
        <f t="shared" si="165"/>
        <v>2015</v>
      </c>
    </row>
    <row r="8687" spans="1:3">
      <c r="A8687" s="68">
        <v>42253</v>
      </c>
      <c r="B8687" s="32">
        <v>3113.55</v>
      </c>
      <c r="C8687">
        <f t="shared" si="165"/>
        <v>2015</v>
      </c>
    </row>
    <row r="8688" spans="1:3">
      <c r="A8688" s="68">
        <v>42254</v>
      </c>
      <c r="B8688" s="33">
        <v>3113.55</v>
      </c>
      <c r="C8688">
        <f t="shared" si="165"/>
        <v>2015</v>
      </c>
    </row>
    <row r="8689" spans="1:3">
      <c r="A8689" s="68">
        <v>42255</v>
      </c>
      <c r="B8689" s="32">
        <v>3113.55</v>
      </c>
      <c r="C8689">
        <f t="shared" si="165"/>
        <v>2015</v>
      </c>
    </row>
    <row r="8690" spans="1:3">
      <c r="A8690" s="68">
        <v>42256</v>
      </c>
      <c r="B8690" s="33">
        <v>3138.46</v>
      </c>
      <c r="C8690">
        <f t="shared" si="165"/>
        <v>2015</v>
      </c>
    </row>
    <row r="8691" spans="1:3">
      <c r="A8691" s="68">
        <v>42257</v>
      </c>
      <c r="B8691" s="32">
        <v>3105.4</v>
      </c>
      <c r="C8691">
        <f t="shared" si="165"/>
        <v>2015</v>
      </c>
    </row>
    <row r="8692" spans="1:3">
      <c r="A8692" s="68">
        <v>42258</v>
      </c>
      <c r="B8692" s="33">
        <v>3080.57</v>
      </c>
      <c r="C8692">
        <f t="shared" si="165"/>
        <v>2015</v>
      </c>
    </row>
    <row r="8693" spans="1:3">
      <c r="A8693" s="68">
        <v>42259</v>
      </c>
      <c r="B8693" s="32">
        <v>3012.96</v>
      </c>
      <c r="C8693">
        <f t="shared" si="165"/>
        <v>2015</v>
      </c>
    </row>
    <row r="8694" spans="1:3">
      <c r="A8694" s="68">
        <v>42260</v>
      </c>
      <c r="B8694" s="33">
        <v>3012.96</v>
      </c>
      <c r="C8694">
        <f t="shared" si="165"/>
        <v>2015</v>
      </c>
    </row>
    <row r="8695" spans="1:3">
      <c r="A8695" s="68">
        <v>42261</v>
      </c>
      <c r="B8695" s="32">
        <v>3012.96</v>
      </c>
      <c r="C8695">
        <f t="shared" si="165"/>
        <v>2015</v>
      </c>
    </row>
    <row r="8696" spans="1:3">
      <c r="A8696" s="68">
        <v>42262</v>
      </c>
      <c r="B8696" s="33">
        <v>3032.59</v>
      </c>
      <c r="C8696">
        <f t="shared" si="165"/>
        <v>2015</v>
      </c>
    </row>
    <row r="8697" spans="1:3">
      <c r="A8697" s="68">
        <v>42263</v>
      </c>
      <c r="B8697" s="32">
        <v>3025.28</v>
      </c>
      <c r="C8697">
        <f t="shared" si="165"/>
        <v>2015</v>
      </c>
    </row>
    <row r="8698" spans="1:3">
      <c r="A8698" s="68">
        <v>42264</v>
      </c>
      <c r="B8698" s="33">
        <v>2989.04</v>
      </c>
      <c r="C8698">
        <f t="shared" si="165"/>
        <v>2015</v>
      </c>
    </row>
    <row r="8699" spans="1:3">
      <c r="A8699" s="68">
        <v>42265</v>
      </c>
      <c r="B8699" s="32">
        <v>2975.13</v>
      </c>
      <c r="C8699">
        <f t="shared" si="165"/>
        <v>2015</v>
      </c>
    </row>
    <row r="8700" spans="1:3">
      <c r="A8700" s="68">
        <v>42266</v>
      </c>
      <c r="B8700" s="33">
        <v>2984.9</v>
      </c>
      <c r="C8700">
        <f t="shared" si="165"/>
        <v>2015</v>
      </c>
    </row>
    <row r="8701" spans="1:3">
      <c r="A8701" s="68">
        <v>42267</v>
      </c>
      <c r="B8701" s="32">
        <v>2984.9</v>
      </c>
      <c r="C8701">
        <f t="shared" si="165"/>
        <v>2015</v>
      </c>
    </row>
    <row r="8702" spans="1:3">
      <c r="A8702" s="68">
        <v>42268</v>
      </c>
      <c r="B8702" s="33">
        <v>2984.9</v>
      </c>
      <c r="C8702">
        <f t="shared" si="165"/>
        <v>2015</v>
      </c>
    </row>
    <row r="8703" spans="1:3">
      <c r="A8703" s="68">
        <v>42269</v>
      </c>
      <c r="B8703" s="32">
        <v>3001.68</v>
      </c>
      <c r="C8703">
        <f t="shared" si="165"/>
        <v>2015</v>
      </c>
    </row>
    <row r="8704" spans="1:3">
      <c r="A8704" s="68">
        <v>42270</v>
      </c>
      <c r="B8704" s="33">
        <v>3065.74</v>
      </c>
      <c r="C8704">
        <f t="shared" si="165"/>
        <v>2015</v>
      </c>
    </row>
    <row r="8705" spans="1:3">
      <c r="A8705" s="68">
        <v>42271</v>
      </c>
      <c r="B8705" s="32">
        <v>3099.28</v>
      </c>
      <c r="C8705">
        <f t="shared" si="165"/>
        <v>2015</v>
      </c>
    </row>
    <row r="8706" spans="1:3">
      <c r="A8706" s="68">
        <v>42272</v>
      </c>
      <c r="B8706" s="33">
        <v>3135.17</v>
      </c>
      <c r="C8706">
        <f t="shared" si="165"/>
        <v>2015</v>
      </c>
    </row>
    <row r="8707" spans="1:3">
      <c r="A8707" s="68">
        <v>42273</v>
      </c>
      <c r="B8707" s="32">
        <v>3080.44</v>
      </c>
      <c r="C8707">
        <f t="shared" si="165"/>
        <v>2015</v>
      </c>
    </row>
    <row r="8708" spans="1:3">
      <c r="A8708" s="68">
        <v>42274</v>
      </c>
      <c r="B8708" s="33">
        <v>3080.44</v>
      </c>
      <c r="C8708">
        <f t="shared" ref="C8708:C8771" si="166">YEAR(A8708)</f>
        <v>2015</v>
      </c>
    </row>
    <row r="8709" spans="1:3">
      <c r="A8709" s="68">
        <v>42275</v>
      </c>
      <c r="B8709" s="32">
        <v>3080.44</v>
      </c>
      <c r="C8709">
        <f t="shared" si="166"/>
        <v>2015</v>
      </c>
    </row>
    <row r="8710" spans="1:3">
      <c r="A8710" s="68">
        <v>42276</v>
      </c>
      <c r="B8710" s="33">
        <v>3096.98</v>
      </c>
      <c r="C8710">
        <f t="shared" si="166"/>
        <v>2015</v>
      </c>
    </row>
    <row r="8711" spans="1:3">
      <c r="A8711" s="68">
        <v>42277</v>
      </c>
      <c r="B8711" s="32">
        <v>3121.94</v>
      </c>
      <c r="C8711">
        <f t="shared" si="166"/>
        <v>2015</v>
      </c>
    </row>
    <row r="8712" spans="1:3">
      <c r="A8712" s="68">
        <v>42278</v>
      </c>
      <c r="B8712" s="33">
        <v>3086.75</v>
      </c>
      <c r="C8712">
        <f t="shared" si="166"/>
        <v>2015</v>
      </c>
    </row>
    <row r="8713" spans="1:3">
      <c r="A8713" s="68">
        <v>42279</v>
      </c>
      <c r="B8713" s="32">
        <v>3061.85</v>
      </c>
      <c r="C8713">
        <f t="shared" si="166"/>
        <v>2015</v>
      </c>
    </row>
    <row r="8714" spans="1:3">
      <c r="A8714" s="68">
        <v>42280</v>
      </c>
      <c r="B8714" s="33">
        <v>3034.9</v>
      </c>
      <c r="C8714">
        <f t="shared" si="166"/>
        <v>2015</v>
      </c>
    </row>
    <row r="8715" spans="1:3">
      <c r="A8715" s="68">
        <v>42281</v>
      </c>
      <c r="B8715" s="32">
        <v>3034.9</v>
      </c>
      <c r="C8715">
        <f t="shared" si="166"/>
        <v>2015</v>
      </c>
    </row>
    <row r="8716" spans="1:3">
      <c r="A8716" s="68">
        <v>42282</v>
      </c>
      <c r="B8716" s="33">
        <v>3034.9</v>
      </c>
      <c r="C8716">
        <f t="shared" si="166"/>
        <v>2015</v>
      </c>
    </row>
    <row r="8717" spans="1:3">
      <c r="A8717" s="68">
        <v>42283</v>
      </c>
      <c r="B8717" s="32">
        <v>2971.15</v>
      </c>
      <c r="C8717">
        <f t="shared" si="166"/>
        <v>2015</v>
      </c>
    </row>
    <row r="8718" spans="1:3">
      <c r="A8718" s="68">
        <v>42284</v>
      </c>
      <c r="B8718" s="33">
        <v>2913.74</v>
      </c>
      <c r="C8718">
        <f t="shared" si="166"/>
        <v>2015</v>
      </c>
    </row>
    <row r="8719" spans="1:3">
      <c r="A8719" s="68">
        <v>42285</v>
      </c>
      <c r="B8719" s="32">
        <v>2891.91</v>
      </c>
      <c r="C8719">
        <f t="shared" si="166"/>
        <v>2015</v>
      </c>
    </row>
    <row r="8720" spans="1:3">
      <c r="A8720" s="68">
        <v>42286</v>
      </c>
      <c r="B8720" s="33">
        <v>2887.21</v>
      </c>
      <c r="C8720">
        <f t="shared" si="166"/>
        <v>2015</v>
      </c>
    </row>
    <row r="8721" spans="1:3">
      <c r="A8721" s="68">
        <v>42287</v>
      </c>
      <c r="B8721" s="32">
        <v>2855.74</v>
      </c>
      <c r="C8721">
        <f t="shared" si="166"/>
        <v>2015</v>
      </c>
    </row>
    <row r="8722" spans="1:3">
      <c r="A8722" s="68">
        <v>42288</v>
      </c>
      <c r="B8722" s="33">
        <v>2855.74</v>
      </c>
      <c r="C8722">
        <f t="shared" si="166"/>
        <v>2015</v>
      </c>
    </row>
    <row r="8723" spans="1:3">
      <c r="A8723" s="68">
        <v>42289</v>
      </c>
      <c r="B8723" s="32">
        <v>2855.74</v>
      </c>
      <c r="C8723">
        <f t="shared" si="166"/>
        <v>2015</v>
      </c>
    </row>
    <row r="8724" spans="1:3">
      <c r="A8724" s="68">
        <v>42290</v>
      </c>
      <c r="B8724" s="33">
        <v>2855.74</v>
      </c>
      <c r="C8724">
        <f t="shared" si="166"/>
        <v>2015</v>
      </c>
    </row>
    <row r="8725" spans="1:3">
      <c r="A8725" s="68">
        <v>42291</v>
      </c>
      <c r="B8725" s="32">
        <v>2910.7</v>
      </c>
      <c r="C8725">
        <f t="shared" si="166"/>
        <v>2015</v>
      </c>
    </row>
    <row r="8726" spans="1:3">
      <c r="A8726" s="68">
        <v>42292</v>
      </c>
      <c r="B8726" s="33">
        <v>2928.69</v>
      </c>
      <c r="C8726">
        <f t="shared" si="166"/>
        <v>2015</v>
      </c>
    </row>
    <row r="8727" spans="1:3">
      <c r="A8727" s="68">
        <v>42293</v>
      </c>
      <c r="B8727" s="32">
        <v>2908.87</v>
      </c>
      <c r="C8727">
        <f t="shared" si="166"/>
        <v>2015</v>
      </c>
    </row>
    <row r="8728" spans="1:3">
      <c r="A8728" s="68">
        <v>42294</v>
      </c>
      <c r="B8728" s="33">
        <v>2879.89</v>
      </c>
      <c r="C8728">
        <f t="shared" si="166"/>
        <v>2015</v>
      </c>
    </row>
    <row r="8729" spans="1:3">
      <c r="A8729" s="68">
        <v>42295</v>
      </c>
      <c r="B8729" s="32">
        <v>2879.89</v>
      </c>
      <c r="C8729">
        <f t="shared" si="166"/>
        <v>2015</v>
      </c>
    </row>
    <row r="8730" spans="1:3">
      <c r="A8730" s="68">
        <v>42296</v>
      </c>
      <c r="B8730" s="33">
        <v>2879.89</v>
      </c>
      <c r="C8730">
        <f t="shared" si="166"/>
        <v>2015</v>
      </c>
    </row>
    <row r="8731" spans="1:3">
      <c r="A8731" s="68">
        <v>42297</v>
      </c>
      <c r="B8731" s="32">
        <v>2912.99</v>
      </c>
      <c r="C8731">
        <f t="shared" si="166"/>
        <v>2015</v>
      </c>
    </row>
    <row r="8732" spans="1:3">
      <c r="A8732" s="68">
        <v>42298</v>
      </c>
      <c r="B8732" s="33">
        <v>2929.19</v>
      </c>
      <c r="C8732">
        <f t="shared" si="166"/>
        <v>2015</v>
      </c>
    </row>
    <row r="8733" spans="1:3">
      <c r="A8733" s="68">
        <v>42299</v>
      </c>
      <c r="B8733" s="32">
        <v>2966.68</v>
      </c>
      <c r="C8733">
        <f t="shared" si="166"/>
        <v>2015</v>
      </c>
    </row>
    <row r="8734" spans="1:3">
      <c r="A8734" s="68">
        <v>42300</v>
      </c>
      <c r="B8734" s="33">
        <v>2925.36</v>
      </c>
      <c r="C8734">
        <f t="shared" si="166"/>
        <v>2015</v>
      </c>
    </row>
    <row r="8735" spans="1:3">
      <c r="A8735" s="68">
        <v>42301</v>
      </c>
      <c r="B8735" s="32">
        <v>2912.08</v>
      </c>
      <c r="C8735">
        <f t="shared" si="166"/>
        <v>2015</v>
      </c>
    </row>
    <row r="8736" spans="1:3">
      <c r="A8736" s="68">
        <v>42302</v>
      </c>
      <c r="B8736" s="33">
        <v>2912.08</v>
      </c>
      <c r="C8736">
        <f t="shared" si="166"/>
        <v>2015</v>
      </c>
    </row>
    <row r="8737" spans="1:3">
      <c r="A8737" s="68">
        <v>42303</v>
      </c>
      <c r="B8737" s="32">
        <v>2912.08</v>
      </c>
      <c r="C8737">
        <f t="shared" si="166"/>
        <v>2015</v>
      </c>
    </row>
    <row r="8738" spans="1:3">
      <c r="A8738" s="68">
        <v>42304</v>
      </c>
      <c r="B8738" s="33">
        <v>2918.21</v>
      </c>
      <c r="C8738">
        <f t="shared" si="166"/>
        <v>2015</v>
      </c>
    </row>
    <row r="8739" spans="1:3">
      <c r="A8739" s="68">
        <v>42305</v>
      </c>
      <c r="B8739" s="32">
        <v>2950.87</v>
      </c>
      <c r="C8739">
        <f t="shared" si="166"/>
        <v>2015</v>
      </c>
    </row>
    <row r="8740" spans="1:3">
      <c r="A8740" s="68">
        <v>42306</v>
      </c>
      <c r="B8740" s="33">
        <v>2926.75</v>
      </c>
      <c r="C8740">
        <f t="shared" si="166"/>
        <v>2015</v>
      </c>
    </row>
    <row r="8741" spans="1:3">
      <c r="A8741" s="68">
        <v>42307</v>
      </c>
      <c r="B8741" s="32">
        <v>2921.32</v>
      </c>
      <c r="C8741">
        <f t="shared" si="166"/>
        <v>2015</v>
      </c>
    </row>
    <row r="8742" spans="1:3">
      <c r="A8742" s="68">
        <v>42308</v>
      </c>
      <c r="B8742" s="33">
        <v>2897.83</v>
      </c>
      <c r="C8742">
        <f t="shared" si="166"/>
        <v>2015</v>
      </c>
    </row>
    <row r="8743" spans="1:3">
      <c r="A8743" s="68">
        <v>42309</v>
      </c>
      <c r="B8743" s="32">
        <v>2897.83</v>
      </c>
      <c r="C8743">
        <f t="shared" si="166"/>
        <v>2015</v>
      </c>
    </row>
    <row r="8744" spans="1:3">
      <c r="A8744" s="68">
        <v>42310</v>
      </c>
      <c r="B8744" s="33">
        <v>2897.83</v>
      </c>
      <c r="C8744">
        <f t="shared" si="166"/>
        <v>2015</v>
      </c>
    </row>
    <row r="8745" spans="1:3">
      <c r="A8745" s="68">
        <v>42311</v>
      </c>
      <c r="B8745" s="32">
        <v>2897.83</v>
      </c>
      <c r="C8745">
        <f t="shared" si="166"/>
        <v>2015</v>
      </c>
    </row>
    <row r="8746" spans="1:3">
      <c r="A8746" s="68">
        <v>42312</v>
      </c>
      <c r="B8746" s="33">
        <v>2825.25</v>
      </c>
      <c r="C8746">
        <f t="shared" si="166"/>
        <v>2015</v>
      </c>
    </row>
    <row r="8747" spans="1:3">
      <c r="A8747" s="68">
        <v>42313</v>
      </c>
      <c r="B8747" s="32">
        <v>2819.63</v>
      </c>
      <c r="C8747">
        <f t="shared" si="166"/>
        <v>2015</v>
      </c>
    </row>
    <row r="8748" spans="1:3">
      <c r="A8748" s="68">
        <v>42314</v>
      </c>
      <c r="B8748" s="33">
        <v>2853.32</v>
      </c>
      <c r="C8748">
        <f t="shared" si="166"/>
        <v>2015</v>
      </c>
    </row>
    <row r="8749" spans="1:3">
      <c r="A8749" s="68">
        <v>42315</v>
      </c>
      <c r="B8749" s="32">
        <v>2896.19</v>
      </c>
      <c r="C8749">
        <f t="shared" si="166"/>
        <v>2015</v>
      </c>
    </row>
    <row r="8750" spans="1:3">
      <c r="A8750" s="68">
        <v>42316</v>
      </c>
      <c r="B8750" s="33">
        <v>2896.19</v>
      </c>
      <c r="C8750">
        <f t="shared" si="166"/>
        <v>2015</v>
      </c>
    </row>
    <row r="8751" spans="1:3">
      <c r="A8751" s="68">
        <v>42317</v>
      </c>
      <c r="B8751" s="32">
        <v>2896.19</v>
      </c>
      <c r="C8751">
        <f t="shared" si="166"/>
        <v>2015</v>
      </c>
    </row>
    <row r="8752" spans="1:3">
      <c r="A8752" s="68">
        <v>42318</v>
      </c>
      <c r="B8752" s="33">
        <v>2921.15</v>
      </c>
      <c r="C8752">
        <f t="shared" si="166"/>
        <v>2015</v>
      </c>
    </row>
    <row r="8753" spans="1:3">
      <c r="A8753" s="68">
        <v>42319</v>
      </c>
      <c r="B8753" s="32">
        <v>2935.86</v>
      </c>
      <c r="C8753">
        <f t="shared" si="166"/>
        <v>2015</v>
      </c>
    </row>
    <row r="8754" spans="1:3">
      <c r="A8754" s="68">
        <v>42320</v>
      </c>
      <c r="B8754" s="33">
        <v>2935.86</v>
      </c>
      <c r="C8754">
        <f t="shared" si="166"/>
        <v>2015</v>
      </c>
    </row>
    <row r="8755" spans="1:3">
      <c r="A8755" s="68">
        <v>42321</v>
      </c>
      <c r="B8755" s="32">
        <v>3009.36</v>
      </c>
      <c r="C8755">
        <f t="shared" si="166"/>
        <v>2015</v>
      </c>
    </row>
    <row r="8756" spans="1:3">
      <c r="A8756" s="68">
        <v>42322</v>
      </c>
      <c r="B8756" s="33">
        <v>3073.23</v>
      </c>
      <c r="C8756">
        <f t="shared" si="166"/>
        <v>2015</v>
      </c>
    </row>
    <row r="8757" spans="1:3">
      <c r="A8757" s="68">
        <v>42323</v>
      </c>
      <c r="B8757" s="32">
        <v>3073.23</v>
      </c>
      <c r="C8757">
        <f t="shared" si="166"/>
        <v>2015</v>
      </c>
    </row>
    <row r="8758" spans="1:3">
      <c r="A8758" s="68">
        <v>42324</v>
      </c>
      <c r="B8758" s="33">
        <v>3073.23</v>
      </c>
      <c r="C8758">
        <f t="shared" si="166"/>
        <v>2015</v>
      </c>
    </row>
    <row r="8759" spans="1:3">
      <c r="A8759" s="68">
        <v>42325</v>
      </c>
      <c r="B8759" s="32">
        <v>3073.23</v>
      </c>
      <c r="C8759">
        <f t="shared" si="166"/>
        <v>2015</v>
      </c>
    </row>
    <row r="8760" spans="1:3">
      <c r="A8760" s="68">
        <v>42326</v>
      </c>
      <c r="B8760" s="33">
        <v>3069.24</v>
      </c>
      <c r="C8760">
        <f t="shared" si="166"/>
        <v>2015</v>
      </c>
    </row>
    <row r="8761" spans="1:3">
      <c r="A8761" s="68">
        <v>42327</v>
      </c>
      <c r="B8761" s="32">
        <v>3108.7</v>
      </c>
      <c r="C8761">
        <f t="shared" si="166"/>
        <v>2015</v>
      </c>
    </row>
    <row r="8762" spans="1:3">
      <c r="A8762" s="68">
        <v>42328</v>
      </c>
      <c r="B8762" s="33">
        <v>3082.04</v>
      </c>
      <c r="C8762">
        <f t="shared" si="166"/>
        <v>2015</v>
      </c>
    </row>
    <row r="8763" spans="1:3">
      <c r="A8763" s="68">
        <v>42329</v>
      </c>
      <c r="B8763" s="32">
        <v>3047.31</v>
      </c>
      <c r="C8763">
        <f t="shared" si="166"/>
        <v>2015</v>
      </c>
    </row>
    <row r="8764" spans="1:3">
      <c r="A8764" s="68">
        <v>42330</v>
      </c>
      <c r="B8764" s="33">
        <v>3047.31</v>
      </c>
      <c r="C8764">
        <f t="shared" si="166"/>
        <v>2015</v>
      </c>
    </row>
    <row r="8765" spans="1:3">
      <c r="A8765" s="68">
        <v>42331</v>
      </c>
      <c r="B8765" s="32">
        <v>3047.31</v>
      </c>
      <c r="C8765">
        <f t="shared" si="166"/>
        <v>2015</v>
      </c>
    </row>
    <row r="8766" spans="1:3">
      <c r="A8766" s="68">
        <v>42332</v>
      </c>
      <c r="B8766" s="33">
        <v>3086.82</v>
      </c>
      <c r="C8766">
        <f t="shared" si="166"/>
        <v>2015</v>
      </c>
    </row>
    <row r="8767" spans="1:3">
      <c r="A8767" s="68">
        <v>42333</v>
      </c>
      <c r="B8767" s="32">
        <v>3074.35</v>
      </c>
      <c r="C8767">
        <f t="shared" si="166"/>
        <v>2015</v>
      </c>
    </row>
    <row r="8768" spans="1:3">
      <c r="A8768" s="68">
        <v>42334</v>
      </c>
      <c r="B8768" s="33">
        <v>3099.75</v>
      </c>
      <c r="C8768">
        <f t="shared" si="166"/>
        <v>2015</v>
      </c>
    </row>
    <row r="8769" spans="1:3">
      <c r="A8769" s="68">
        <v>42335</v>
      </c>
      <c r="B8769" s="32">
        <v>3099.75</v>
      </c>
      <c r="C8769">
        <f t="shared" si="166"/>
        <v>2015</v>
      </c>
    </row>
    <row r="8770" spans="1:3">
      <c r="A8770" s="68">
        <v>42336</v>
      </c>
      <c r="B8770" s="33">
        <v>3101.1</v>
      </c>
      <c r="C8770">
        <f t="shared" si="166"/>
        <v>2015</v>
      </c>
    </row>
    <row r="8771" spans="1:3">
      <c r="A8771" s="68">
        <v>42337</v>
      </c>
      <c r="B8771" s="32">
        <v>3101.1</v>
      </c>
      <c r="C8771">
        <f t="shared" si="166"/>
        <v>2015</v>
      </c>
    </row>
    <row r="8772" spans="1:3">
      <c r="A8772" s="68">
        <v>42338</v>
      </c>
      <c r="B8772" s="33">
        <v>3101.1</v>
      </c>
      <c r="C8772">
        <f t="shared" ref="C8772:C8835" si="167">YEAR(A8772)</f>
        <v>2015</v>
      </c>
    </row>
    <row r="8773" spans="1:3">
      <c r="A8773" s="68">
        <v>42339</v>
      </c>
      <c r="B8773" s="32">
        <v>3142.11</v>
      </c>
      <c r="C8773">
        <f t="shared" si="167"/>
        <v>2015</v>
      </c>
    </row>
    <row r="8774" spans="1:3">
      <c r="A8774" s="68">
        <v>42340</v>
      </c>
      <c r="B8774" s="33">
        <v>3131.95</v>
      </c>
      <c r="C8774">
        <f t="shared" si="167"/>
        <v>2015</v>
      </c>
    </row>
    <row r="8775" spans="1:3">
      <c r="A8775" s="68">
        <v>42341</v>
      </c>
      <c r="B8775" s="32">
        <v>3166.67</v>
      </c>
      <c r="C8775">
        <f t="shared" si="167"/>
        <v>2015</v>
      </c>
    </row>
    <row r="8776" spans="1:3">
      <c r="A8776" s="68">
        <v>42342</v>
      </c>
      <c r="B8776" s="33">
        <v>3149.12</v>
      </c>
      <c r="C8776">
        <f t="shared" si="167"/>
        <v>2015</v>
      </c>
    </row>
    <row r="8777" spans="1:3">
      <c r="A8777" s="68">
        <v>42343</v>
      </c>
      <c r="B8777" s="32">
        <v>3179.22</v>
      </c>
      <c r="C8777">
        <f t="shared" si="167"/>
        <v>2015</v>
      </c>
    </row>
    <row r="8778" spans="1:3">
      <c r="A8778" s="68">
        <v>42344</v>
      </c>
      <c r="B8778" s="33">
        <v>3179.22</v>
      </c>
      <c r="C8778">
        <f t="shared" si="167"/>
        <v>2015</v>
      </c>
    </row>
    <row r="8779" spans="1:3">
      <c r="A8779" s="68">
        <v>42345</v>
      </c>
      <c r="B8779" s="32">
        <v>3179.22</v>
      </c>
      <c r="C8779">
        <f t="shared" si="167"/>
        <v>2015</v>
      </c>
    </row>
    <row r="8780" spans="1:3">
      <c r="A8780" s="68">
        <v>42346</v>
      </c>
      <c r="B8780" s="33">
        <v>3287.03</v>
      </c>
      <c r="C8780">
        <f t="shared" si="167"/>
        <v>2015</v>
      </c>
    </row>
    <row r="8781" spans="1:3">
      <c r="A8781" s="68">
        <v>42347</v>
      </c>
      <c r="B8781" s="32">
        <v>3287.03</v>
      </c>
      <c r="C8781">
        <f t="shared" si="167"/>
        <v>2015</v>
      </c>
    </row>
    <row r="8782" spans="1:3">
      <c r="A8782" s="68">
        <v>42348</v>
      </c>
      <c r="B8782" s="33">
        <v>3294.02</v>
      </c>
      <c r="C8782">
        <f t="shared" si="167"/>
        <v>2015</v>
      </c>
    </row>
    <row r="8783" spans="1:3">
      <c r="A8783" s="68">
        <v>42349</v>
      </c>
      <c r="B8783" s="32">
        <v>3259.56</v>
      </c>
      <c r="C8783">
        <f t="shared" si="167"/>
        <v>2015</v>
      </c>
    </row>
    <row r="8784" spans="1:3">
      <c r="A8784" s="68">
        <v>42350</v>
      </c>
      <c r="B8784" s="33">
        <v>3299.36</v>
      </c>
      <c r="C8784">
        <f t="shared" si="167"/>
        <v>2015</v>
      </c>
    </row>
    <row r="8785" spans="1:3">
      <c r="A8785" s="68">
        <v>42351</v>
      </c>
      <c r="B8785" s="32">
        <v>3299.36</v>
      </c>
      <c r="C8785">
        <f t="shared" si="167"/>
        <v>2015</v>
      </c>
    </row>
    <row r="8786" spans="1:3">
      <c r="A8786" s="68">
        <v>42352</v>
      </c>
      <c r="B8786" s="33">
        <v>3299.36</v>
      </c>
      <c r="C8786">
        <f t="shared" si="167"/>
        <v>2015</v>
      </c>
    </row>
    <row r="8787" spans="1:3">
      <c r="A8787" s="68">
        <v>42353</v>
      </c>
      <c r="B8787" s="32">
        <v>3356</v>
      </c>
      <c r="C8787">
        <f t="shared" si="167"/>
        <v>2015</v>
      </c>
    </row>
    <row r="8788" spans="1:3">
      <c r="A8788" s="68">
        <v>42354</v>
      </c>
      <c r="B8788" s="33">
        <v>3328.08</v>
      </c>
      <c r="C8788">
        <f t="shared" si="167"/>
        <v>2015</v>
      </c>
    </row>
    <row r="8789" spans="1:3">
      <c r="A8789" s="68">
        <v>42355</v>
      </c>
      <c r="B8789" s="32">
        <v>3317.72</v>
      </c>
      <c r="C8789">
        <f t="shared" si="167"/>
        <v>2015</v>
      </c>
    </row>
    <row r="8790" spans="1:3">
      <c r="A8790" s="68">
        <v>42356</v>
      </c>
      <c r="B8790" s="33">
        <v>3333.37</v>
      </c>
      <c r="C8790">
        <f t="shared" si="167"/>
        <v>2015</v>
      </c>
    </row>
    <row r="8791" spans="1:3">
      <c r="A8791" s="68">
        <v>42357</v>
      </c>
      <c r="B8791" s="32">
        <v>3337.68</v>
      </c>
      <c r="C8791">
        <f t="shared" si="167"/>
        <v>2015</v>
      </c>
    </row>
    <row r="8792" spans="1:3">
      <c r="A8792" s="68">
        <v>42358</v>
      </c>
      <c r="B8792" s="33">
        <v>3337.68</v>
      </c>
      <c r="C8792">
        <f t="shared" si="167"/>
        <v>2015</v>
      </c>
    </row>
    <row r="8793" spans="1:3">
      <c r="A8793" s="68">
        <v>42359</v>
      </c>
      <c r="B8793" s="32">
        <v>3337.68</v>
      </c>
      <c r="C8793">
        <f t="shared" si="167"/>
        <v>2015</v>
      </c>
    </row>
    <row r="8794" spans="1:3">
      <c r="A8794" s="68">
        <v>42360</v>
      </c>
      <c r="B8794" s="33">
        <v>3332.7</v>
      </c>
      <c r="C8794">
        <f t="shared" si="167"/>
        <v>2015</v>
      </c>
    </row>
    <row r="8795" spans="1:3">
      <c r="A8795" s="68">
        <v>42361</v>
      </c>
      <c r="B8795" s="32">
        <v>3307.24</v>
      </c>
      <c r="C8795">
        <f t="shared" si="167"/>
        <v>2015</v>
      </c>
    </row>
    <row r="8796" spans="1:3">
      <c r="A8796" s="68">
        <v>42362</v>
      </c>
      <c r="B8796" s="33">
        <v>3255.19</v>
      </c>
      <c r="C8796">
        <f t="shared" si="167"/>
        <v>2015</v>
      </c>
    </row>
    <row r="8797" spans="1:3">
      <c r="A8797" s="68">
        <v>42363</v>
      </c>
      <c r="B8797" s="32">
        <v>3172.03</v>
      </c>
      <c r="C8797">
        <f t="shared" si="167"/>
        <v>2015</v>
      </c>
    </row>
    <row r="8798" spans="1:3">
      <c r="A8798" s="68">
        <v>42364</v>
      </c>
      <c r="B8798" s="33">
        <v>3172.03</v>
      </c>
      <c r="C8798">
        <f t="shared" si="167"/>
        <v>2015</v>
      </c>
    </row>
    <row r="8799" spans="1:3">
      <c r="A8799" s="68">
        <v>42365</v>
      </c>
      <c r="B8799" s="32">
        <v>3172.03</v>
      </c>
      <c r="C8799">
        <f t="shared" si="167"/>
        <v>2015</v>
      </c>
    </row>
    <row r="8800" spans="1:3">
      <c r="A8800" s="68">
        <v>42366</v>
      </c>
      <c r="B8800" s="33">
        <v>3172.03</v>
      </c>
      <c r="C8800">
        <f t="shared" si="167"/>
        <v>2015</v>
      </c>
    </row>
    <row r="8801" spans="1:4">
      <c r="A8801" s="68">
        <v>42367</v>
      </c>
      <c r="B8801" s="32">
        <v>3180.87</v>
      </c>
      <c r="C8801">
        <f t="shared" si="167"/>
        <v>2015</v>
      </c>
    </row>
    <row r="8802" spans="1:4">
      <c r="A8802" s="68">
        <v>42368</v>
      </c>
      <c r="B8802" s="33">
        <v>3155.22</v>
      </c>
      <c r="C8802">
        <f t="shared" si="167"/>
        <v>2015</v>
      </c>
    </row>
    <row r="8803" spans="1:4">
      <c r="A8803" s="68">
        <v>42369</v>
      </c>
      <c r="B8803" s="32">
        <v>3149.47</v>
      </c>
      <c r="C8803">
        <f t="shared" si="167"/>
        <v>2015</v>
      </c>
      <c r="D8803" s="141">
        <f>(B8803-B8439)/B8439</f>
        <v>0.31641490348845946</v>
      </c>
    </row>
    <row r="8804" spans="1:4">
      <c r="A8804" s="68">
        <v>42370</v>
      </c>
      <c r="B8804" s="33">
        <v>3149.47</v>
      </c>
      <c r="C8804">
        <f t="shared" si="167"/>
        <v>2016</v>
      </c>
    </row>
    <row r="8805" spans="1:4">
      <c r="A8805" s="68">
        <v>42371</v>
      </c>
      <c r="B8805" s="32">
        <v>3149.47</v>
      </c>
      <c r="C8805">
        <f t="shared" si="167"/>
        <v>2016</v>
      </c>
      <c r="D8805">
        <f>B8805/B8804-1</f>
        <v>0</v>
      </c>
    </row>
    <row r="8806" spans="1:4">
      <c r="A8806" s="68">
        <v>42372</v>
      </c>
      <c r="B8806" s="33">
        <v>3149.47</v>
      </c>
      <c r="C8806">
        <f t="shared" si="167"/>
        <v>2016</v>
      </c>
      <c r="D8806" s="76"/>
    </row>
    <row r="8807" spans="1:4">
      <c r="A8807" s="68">
        <v>42373</v>
      </c>
      <c r="B8807" s="32">
        <v>3149.47</v>
      </c>
      <c r="C8807">
        <f t="shared" si="167"/>
        <v>2016</v>
      </c>
      <c r="D8807" s="76"/>
    </row>
    <row r="8808" spans="1:4">
      <c r="A8808" s="68">
        <v>42374</v>
      </c>
      <c r="B8808" s="33">
        <v>3213.24</v>
      </c>
      <c r="C8808">
        <f t="shared" si="167"/>
        <v>2016</v>
      </c>
      <c r="D8808" s="76"/>
    </row>
    <row r="8809" spans="1:4">
      <c r="A8809" s="68">
        <v>42375</v>
      </c>
      <c r="B8809" s="32">
        <v>3203.86</v>
      </c>
      <c r="C8809">
        <f t="shared" si="167"/>
        <v>2016</v>
      </c>
      <c r="D8809" s="76"/>
    </row>
    <row r="8810" spans="1:4">
      <c r="A8810" s="68">
        <v>42376</v>
      </c>
      <c r="B8810" s="33">
        <v>3250.69</v>
      </c>
      <c r="C8810">
        <f t="shared" si="167"/>
        <v>2016</v>
      </c>
      <c r="D8810" s="76"/>
    </row>
    <row r="8811" spans="1:4">
      <c r="A8811" s="68">
        <v>42377</v>
      </c>
      <c r="B8811" s="32">
        <v>3287.28</v>
      </c>
      <c r="C8811">
        <f t="shared" si="167"/>
        <v>2016</v>
      </c>
      <c r="D8811" s="76"/>
    </row>
    <row r="8812" spans="1:4">
      <c r="A8812" s="68">
        <v>42378</v>
      </c>
      <c r="B8812" s="33">
        <v>3268.37</v>
      </c>
      <c r="C8812">
        <f t="shared" si="167"/>
        <v>2016</v>
      </c>
      <c r="D8812" s="76"/>
    </row>
    <row r="8813" spans="1:4">
      <c r="A8813" s="68">
        <v>42379</v>
      </c>
      <c r="B8813" s="32">
        <v>3268.37</v>
      </c>
      <c r="C8813">
        <f t="shared" si="167"/>
        <v>2016</v>
      </c>
      <c r="D8813" s="76"/>
    </row>
    <row r="8814" spans="1:4">
      <c r="A8814" s="68">
        <v>42380</v>
      </c>
      <c r="B8814" s="33">
        <v>3268.37</v>
      </c>
      <c r="C8814">
        <f t="shared" si="167"/>
        <v>2016</v>
      </c>
      <c r="D8814" s="76"/>
    </row>
    <row r="8815" spans="1:4">
      <c r="A8815" s="68">
        <v>42381</v>
      </c>
      <c r="B8815" s="32">
        <v>3268.37</v>
      </c>
      <c r="C8815">
        <f t="shared" si="167"/>
        <v>2016</v>
      </c>
      <c r="D8815" s="76"/>
    </row>
    <row r="8816" spans="1:4">
      <c r="A8816" s="68">
        <v>42382</v>
      </c>
      <c r="B8816" s="33">
        <v>3246.51</v>
      </c>
      <c r="C8816">
        <f t="shared" si="167"/>
        <v>2016</v>
      </c>
      <c r="D8816" s="76"/>
    </row>
    <row r="8817" spans="1:4">
      <c r="A8817" s="68">
        <v>42383</v>
      </c>
      <c r="B8817" s="32">
        <v>3235.45</v>
      </c>
      <c r="C8817">
        <f t="shared" si="167"/>
        <v>2016</v>
      </c>
      <c r="D8817" s="76"/>
    </row>
    <row r="8818" spans="1:4">
      <c r="A8818" s="68">
        <v>42384</v>
      </c>
      <c r="B8818" s="33">
        <v>3240.71</v>
      </c>
      <c r="C8818">
        <f t="shared" si="167"/>
        <v>2016</v>
      </c>
      <c r="D8818" s="76"/>
    </row>
    <row r="8819" spans="1:4">
      <c r="A8819" s="68">
        <v>42385</v>
      </c>
      <c r="B8819" s="32">
        <v>3293.94</v>
      </c>
      <c r="C8819">
        <f t="shared" si="167"/>
        <v>2016</v>
      </c>
      <c r="D8819" s="76"/>
    </row>
    <row r="8820" spans="1:4">
      <c r="A8820" s="68">
        <v>42386</v>
      </c>
      <c r="B8820" s="33">
        <v>3293.94</v>
      </c>
      <c r="C8820">
        <f t="shared" si="167"/>
        <v>2016</v>
      </c>
      <c r="D8820" s="76"/>
    </row>
    <row r="8821" spans="1:4">
      <c r="A8821" s="68">
        <v>42387</v>
      </c>
      <c r="B8821" s="32">
        <v>3293.94</v>
      </c>
      <c r="C8821">
        <f t="shared" si="167"/>
        <v>2016</v>
      </c>
      <c r="D8821" s="76"/>
    </row>
    <row r="8822" spans="1:4">
      <c r="A8822" s="68">
        <v>42388</v>
      </c>
      <c r="B8822" s="33">
        <v>3293.94</v>
      </c>
      <c r="C8822">
        <f t="shared" si="167"/>
        <v>2016</v>
      </c>
      <c r="D8822" s="76"/>
    </row>
    <row r="8823" spans="1:4">
      <c r="A8823" s="68">
        <v>42389</v>
      </c>
      <c r="B8823" s="32">
        <v>3297.46</v>
      </c>
      <c r="C8823">
        <f t="shared" si="167"/>
        <v>2016</v>
      </c>
      <c r="D8823" s="76"/>
    </row>
    <row r="8824" spans="1:4">
      <c r="A8824" s="68">
        <v>42390</v>
      </c>
      <c r="B8824" s="33">
        <v>3357.67</v>
      </c>
      <c r="C8824">
        <f t="shared" si="167"/>
        <v>2016</v>
      </c>
      <c r="D8824" s="76"/>
    </row>
    <row r="8825" spans="1:4">
      <c r="A8825" s="68">
        <v>42391</v>
      </c>
      <c r="B8825" s="32">
        <v>3368.49</v>
      </c>
      <c r="C8825">
        <f t="shared" si="167"/>
        <v>2016</v>
      </c>
      <c r="D8825" s="76"/>
    </row>
    <row r="8826" spans="1:4">
      <c r="A8826" s="68">
        <v>42392</v>
      </c>
      <c r="B8826" s="33">
        <v>3281.74</v>
      </c>
      <c r="C8826">
        <f t="shared" si="167"/>
        <v>2016</v>
      </c>
      <c r="D8826" s="76"/>
    </row>
    <row r="8827" spans="1:4">
      <c r="A8827" s="68">
        <v>42393</v>
      </c>
      <c r="B8827" s="32">
        <v>3281.74</v>
      </c>
      <c r="C8827">
        <f t="shared" si="167"/>
        <v>2016</v>
      </c>
      <c r="D8827" s="76"/>
    </row>
    <row r="8828" spans="1:4">
      <c r="A8828" s="68">
        <v>42394</v>
      </c>
      <c r="B8828" s="33">
        <v>3281.74</v>
      </c>
      <c r="C8828">
        <f t="shared" si="167"/>
        <v>2016</v>
      </c>
      <c r="D8828" s="76"/>
    </row>
    <row r="8829" spans="1:4">
      <c r="A8829" s="68">
        <v>42395</v>
      </c>
      <c r="B8829" s="32">
        <v>3362.38</v>
      </c>
      <c r="C8829">
        <f t="shared" si="167"/>
        <v>2016</v>
      </c>
      <c r="D8829" s="76"/>
    </row>
    <row r="8830" spans="1:4">
      <c r="A8830" s="68">
        <v>42396</v>
      </c>
      <c r="B8830" s="33">
        <v>3375.8</v>
      </c>
      <c r="C8830">
        <f t="shared" si="167"/>
        <v>2016</v>
      </c>
      <c r="D8830" s="76"/>
    </row>
    <row r="8831" spans="1:4">
      <c r="A8831" s="68">
        <v>42397</v>
      </c>
      <c r="B8831" s="32">
        <v>3366.63</v>
      </c>
      <c r="C8831">
        <f t="shared" si="167"/>
        <v>2016</v>
      </c>
      <c r="D8831" s="76"/>
    </row>
    <row r="8832" spans="1:4">
      <c r="A8832" s="68">
        <v>42398</v>
      </c>
      <c r="B8832" s="33">
        <v>3302.92</v>
      </c>
      <c r="C8832">
        <f t="shared" si="167"/>
        <v>2016</v>
      </c>
      <c r="D8832" s="76"/>
    </row>
    <row r="8833" spans="1:4">
      <c r="A8833" s="68">
        <v>42399</v>
      </c>
      <c r="B8833" s="32">
        <v>3287.31</v>
      </c>
      <c r="C8833">
        <f t="shared" si="167"/>
        <v>2016</v>
      </c>
      <c r="D8833" s="76"/>
    </row>
    <row r="8834" spans="1:4">
      <c r="A8834" s="68">
        <v>42400</v>
      </c>
      <c r="B8834" s="33">
        <v>3287.31</v>
      </c>
      <c r="C8834">
        <f t="shared" si="167"/>
        <v>2016</v>
      </c>
      <c r="D8834" s="76"/>
    </row>
    <row r="8835" spans="1:4">
      <c r="A8835" s="68">
        <v>42401</v>
      </c>
      <c r="B8835" s="32">
        <v>3287.31</v>
      </c>
      <c r="C8835">
        <f t="shared" si="167"/>
        <v>2016</v>
      </c>
      <c r="D8835" s="76"/>
    </row>
    <row r="8836" spans="1:4">
      <c r="A8836" s="68">
        <v>42402</v>
      </c>
      <c r="B8836" s="33">
        <v>3326.82</v>
      </c>
      <c r="C8836">
        <f t="shared" ref="C8836:C8899" si="168">YEAR(A8836)</f>
        <v>2016</v>
      </c>
      <c r="D8836" s="76"/>
    </row>
    <row r="8837" spans="1:4">
      <c r="A8837" s="68">
        <v>42403</v>
      </c>
      <c r="B8837" s="32">
        <v>3387.69</v>
      </c>
      <c r="C8837">
        <f t="shared" si="168"/>
        <v>2016</v>
      </c>
      <c r="D8837" s="76"/>
    </row>
    <row r="8838" spans="1:4">
      <c r="A8838" s="68">
        <v>42404</v>
      </c>
      <c r="B8838" s="33">
        <v>3382.2</v>
      </c>
      <c r="C8838">
        <f t="shared" si="168"/>
        <v>2016</v>
      </c>
      <c r="D8838" s="76"/>
    </row>
    <row r="8839" spans="1:4">
      <c r="A8839" s="68">
        <v>42405</v>
      </c>
      <c r="B8839" s="32">
        <v>3315.75</v>
      </c>
      <c r="C8839">
        <f t="shared" si="168"/>
        <v>2016</v>
      </c>
      <c r="D8839" s="76"/>
    </row>
    <row r="8840" spans="1:4">
      <c r="A8840" s="68">
        <v>42406</v>
      </c>
      <c r="B8840" s="33">
        <v>3320.49</v>
      </c>
      <c r="C8840">
        <f t="shared" si="168"/>
        <v>2016</v>
      </c>
      <c r="D8840" s="76"/>
    </row>
    <row r="8841" spans="1:4">
      <c r="A8841" s="68">
        <v>42407</v>
      </c>
      <c r="B8841" s="32">
        <v>3320.49</v>
      </c>
      <c r="C8841">
        <f t="shared" si="168"/>
        <v>2016</v>
      </c>
      <c r="D8841" s="76"/>
    </row>
    <row r="8842" spans="1:4">
      <c r="A8842" s="68">
        <v>42408</v>
      </c>
      <c r="B8842" s="33">
        <v>3320.49</v>
      </c>
      <c r="C8842">
        <f t="shared" si="168"/>
        <v>2016</v>
      </c>
      <c r="D8842" s="76"/>
    </row>
    <row r="8843" spans="1:4">
      <c r="A8843" s="68">
        <v>42409</v>
      </c>
      <c r="B8843" s="32">
        <v>3367.02</v>
      </c>
      <c r="C8843">
        <f t="shared" si="168"/>
        <v>2016</v>
      </c>
      <c r="D8843" s="76"/>
    </row>
    <row r="8844" spans="1:4">
      <c r="A8844" s="68">
        <v>42410</v>
      </c>
      <c r="B8844" s="33">
        <v>3391.93</v>
      </c>
      <c r="C8844">
        <f t="shared" si="168"/>
        <v>2016</v>
      </c>
      <c r="D8844" s="76"/>
    </row>
    <row r="8845" spans="1:4">
      <c r="A8845" s="68">
        <v>42411</v>
      </c>
      <c r="B8845" s="32">
        <v>3385.65</v>
      </c>
      <c r="C8845">
        <f t="shared" si="168"/>
        <v>2016</v>
      </c>
      <c r="D8845" s="76"/>
    </row>
    <row r="8846" spans="1:4">
      <c r="A8846" s="68">
        <v>42412</v>
      </c>
      <c r="B8846" s="33">
        <v>3434.89</v>
      </c>
      <c r="C8846">
        <f t="shared" si="168"/>
        <v>2016</v>
      </c>
      <c r="D8846" s="76"/>
    </row>
    <row r="8847" spans="1:4">
      <c r="A8847" s="68">
        <v>42413</v>
      </c>
      <c r="B8847" s="32">
        <v>3409.82</v>
      </c>
      <c r="C8847">
        <f t="shared" si="168"/>
        <v>2016</v>
      </c>
      <c r="D8847" s="76"/>
    </row>
    <row r="8848" spans="1:4">
      <c r="A8848" s="68">
        <v>42414</v>
      </c>
      <c r="B8848" s="33">
        <v>3409.82</v>
      </c>
      <c r="C8848">
        <f t="shared" si="168"/>
        <v>2016</v>
      </c>
      <c r="D8848" s="76"/>
    </row>
    <row r="8849" spans="1:4">
      <c r="A8849" s="68">
        <v>42415</v>
      </c>
      <c r="B8849" s="32">
        <v>3409.82</v>
      </c>
      <c r="C8849">
        <f t="shared" si="168"/>
        <v>2016</v>
      </c>
      <c r="D8849" s="76"/>
    </row>
    <row r="8850" spans="1:4">
      <c r="A8850" s="68">
        <v>42416</v>
      </c>
      <c r="B8850" s="33">
        <v>3409.82</v>
      </c>
      <c r="C8850">
        <f t="shared" si="168"/>
        <v>2016</v>
      </c>
      <c r="D8850" s="76"/>
    </row>
    <row r="8851" spans="1:4">
      <c r="A8851" s="68">
        <v>42417</v>
      </c>
      <c r="B8851" s="32">
        <v>3406.87</v>
      </c>
      <c r="C8851">
        <f t="shared" si="168"/>
        <v>2016</v>
      </c>
      <c r="D8851" s="76"/>
    </row>
    <row r="8852" spans="1:4">
      <c r="A8852" s="68">
        <v>42418</v>
      </c>
      <c r="B8852" s="33">
        <v>3391.87</v>
      </c>
      <c r="C8852">
        <f t="shared" si="168"/>
        <v>2016</v>
      </c>
      <c r="D8852" s="76"/>
    </row>
    <row r="8853" spans="1:4">
      <c r="A8853" s="68">
        <v>42419</v>
      </c>
      <c r="B8853" s="32">
        <v>3338.03</v>
      </c>
      <c r="C8853">
        <f t="shared" si="168"/>
        <v>2016</v>
      </c>
      <c r="D8853" s="76"/>
    </row>
    <row r="8854" spans="1:4">
      <c r="A8854" s="68">
        <v>42420</v>
      </c>
      <c r="B8854" s="33">
        <v>3356.78</v>
      </c>
      <c r="C8854">
        <f t="shared" si="168"/>
        <v>2016</v>
      </c>
      <c r="D8854" s="76"/>
    </row>
    <row r="8855" spans="1:4">
      <c r="A8855" s="68">
        <v>42421</v>
      </c>
      <c r="B8855" s="32">
        <v>3356.78</v>
      </c>
      <c r="C8855">
        <f t="shared" si="168"/>
        <v>2016</v>
      </c>
      <c r="D8855" s="76"/>
    </row>
    <row r="8856" spans="1:4">
      <c r="A8856" s="68">
        <v>42422</v>
      </c>
      <c r="B8856" s="33">
        <v>3356.78</v>
      </c>
      <c r="C8856">
        <f t="shared" si="168"/>
        <v>2016</v>
      </c>
      <c r="D8856" s="76"/>
    </row>
    <row r="8857" spans="1:4">
      <c r="A8857" s="68">
        <v>42423</v>
      </c>
      <c r="B8857" s="32">
        <v>3314.24</v>
      </c>
      <c r="C8857">
        <f t="shared" si="168"/>
        <v>2016</v>
      </c>
      <c r="D8857" s="76"/>
    </row>
    <row r="8858" spans="1:4">
      <c r="A8858" s="68">
        <v>42424</v>
      </c>
      <c r="B8858" s="33">
        <v>3322.54</v>
      </c>
      <c r="C8858">
        <f t="shared" si="168"/>
        <v>2016</v>
      </c>
      <c r="D8858" s="76"/>
    </row>
    <row r="8859" spans="1:4">
      <c r="A8859" s="68">
        <v>42425</v>
      </c>
      <c r="B8859" s="32">
        <v>3341.69</v>
      </c>
      <c r="C8859">
        <f t="shared" si="168"/>
        <v>2016</v>
      </c>
      <c r="D8859" s="76"/>
    </row>
    <row r="8860" spans="1:4">
      <c r="A8860" s="68">
        <v>42426</v>
      </c>
      <c r="B8860" s="33">
        <v>3310.16</v>
      </c>
      <c r="C8860">
        <f t="shared" si="168"/>
        <v>2016</v>
      </c>
      <c r="D8860" s="76"/>
    </row>
    <row r="8861" spans="1:4">
      <c r="A8861" s="68">
        <v>42427</v>
      </c>
      <c r="B8861" s="32">
        <v>3306</v>
      </c>
      <c r="C8861">
        <f t="shared" si="168"/>
        <v>2016</v>
      </c>
      <c r="D8861" s="76"/>
    </row>
    <row r="8862" spans="1:4">
      <c r="A8862" s="68">
        <v>42428</v>
      </c>
      <c r="B8862" s="33">
        <v>3306</v>
      </c>
      <c r="C8862">
        <f t="shared" si="168"/>
        <v>2016</v>
      </c>
      <c r="D8862" s="76"/>
    </row>
    <row r="8863" spans="1:4">
      <c r="A8863" s="68">
        <v>42429</v>
      </c>
      <c r="B8863" s="32">
        <v>3306</v>
      </c>
      <c r="C8863">
        <f t="shared" si="168"/>
        <v>2016</v>
      </c>
      <c r="D8863" s="76"/>
    </row>
    <row r="8864" spans="1:4">
      <c r="A8864" s="68">
        <v>42430</v>
      </c>
      <c r="B8864" s="33">
        <v>3319.8</v>
      </c>
      <c r="C8864">
        <f t="shared" si="168"/>
        <v>2016</v>
      </c>
      <c r="D8864" s="76"/>
    </row>
    <row r="8865" spans="1:4">
      <c r="A8865" s="68">
        <v>42431</v>
      </c>
      <c r="B8865" s="32">
        <v>3268.86</v>
      </c>
      <c r="C8865">
        <f t="shared" si="168"/>
        <v>2016</v>
      </c>
      <c r="D8865" s="76"/>
    </row>
    <row r="8866" spans="1:4">
      <c r="A8866" s="68">
        <v>42432</v>
      </c>
      <c r="B8866" s="33">
        <v>3205.6</v>
      </c>
      <c r="C8866">
        <f t="shared" si="168"/>
        <v>2016</v>
      </c>
      <c r="D8866" s="76"/>
    </row>
    <row r="8867" spans="1:4">
      <c r="A8867" s="68">
        <v>42433</v>
      </c>
      <c r="B8867" s="32">
        <v>3203.03</v>
      </c>
      <c r="C8867">
        <f t="shared" si="168"/>
        <v>2016</v>
      </c>
      <c r="D8867" s="76"/>
    </row>
    <row r="8868" spans="1:4">
      <c r="A8868" s="68">
        <v>42434</v>
      </c>
      <c r="B8868" s="33">
        <v>3163.25</v>
      </c>
      <c r="C8868">
        <f t="shared" si="168"/>
        <v>2016</v>
      </c>
      <c r="D8868" s="76"/>
    </row>
    <row r="8869" spans="1:4">
      <c r="A8869" s="68">
        <v>42435</v>
      </c>
      <c r="B8869" s="32">
        <v>3163.25</v>
      </c>
      <c r="C8869">
        <f t="shared" si="168"/>
        <v>2016</v>
      </c>
      <c r="D8869" s="76"/>
    </row>
    <row r="8870" spans="1:4">
      <c r="A8870" s="68">
        <v>42436</v>
      </c>
      <c r="B8870" s="33">
        <v>3163.25</v>
      </c>
      <c r="C8870">
        <f t="shared" si="168"/>
        <v>2016</v>
      </c>
      <c r="D8870" s="76"/>
    </row>
    <row r="8871" spans="1:4">
      <c r="A8871" s="68">
        <v>42437</v>
      </c>
      <c r="B8871" s="32">
        <v>3135.28</v>
      </c>
      <c r="C8871">
        <f t="shared" si="168"/>
        <v>2016</v>
      </c>
      <c r="D8871" s="76"/>
    </row>
    <row r="8872" spans="1:4">
      <c r="A8872" s="68">
        <v>42438</v>
      </c>
      <c r="B8872" s="33">
        <v>3155.9</v>
      </c>
      <c r="C8872">
        <f t="shared" si="168"/>
        <v>2016</v>
      </c>
      <c r="D8872" s="76"/>
    </row>
    <row r="8873" spans="1:4">
      <c r="A8873" s="68">
        <v>42439</v>
      </c>
      <c r="B8873" s="32">
        <v>3192.49</v>
      </c>
      <c r="C8873">
        <f t="shared" si="168"/>
        <v>2016</v>
      </c>
      <c r="D8873" s="76"/>
    </row>
    <row r="8874" spans="1:4">
      <c r="A8874" s="68">
        <v>42440</v>
      </c>
      <c r="B8874" s="33">
        <v>3204.27</v>
      </c>
      <c r="C8874">
        <f t="shared" si="168"/>
        <v>2016</v>
      </c>
      <c r="D8874" s="76"/>
    </row>
    <row r="8875" spans="1:4">
      <c r="A8875" s="68">
        <v>42441</v>
      </c>
      <c r="B8875" s="32">
        <v>3164.12</v>
      </c>
      <c r="C8875">
        <f t="shared" si="168"/>
        <v>2016</v>
      </c>
      <c r="D8875" s="76"/>
    </row>
    <row r="8876" spans="1:4">
      <c r="A8876" s="68">
        <v>42442</v>
      </c>
      <c r="B8876" s="33">
        <v>3164.12</v>
      </c>
      <c r="C8876">
        <f t="shared" si="168"/>
        <v>2016</v>
      </c>
      <c r="D8876" s="76"/>
    </row>
    <row r="8877" spans="1:4">
      <c r="A8877" s="68">
        <v>42443</v>
      </c>
      <c r="B8877" s="32">
        <v>3164.12</v>
      </c>
      <c r="C8877">
        <f t="shared" si="168"/>
        <v>2016</v>
      </c>
      <c r="D8877" s="76"/>
    </row>
    <row r="8878" spans="1:4">
      <c r="A8878" s="68">
        <v>42444</v>
      </c>
      <c r="B8878" s="33">
        <v>3175.95</v>
      </c>
      <c r="C8878">
        <f t="shared" si="168"/>
        <v>2016</v>
      </c>
      <c r="D8878" s="76"/>
    </row>
    <row r="8879" spans="1:4">
      <c r="A8879" s="68">
        <v>42445</v>
      </c>
      <c r="B8879" s="32">
        <v>3175.88</v>
      </c>
      <c r="C8879">
        <f t="shared" si="168"/>
        <v>2016</v>
      </c>
      <c r="D8879" s="76"/>
    </row>
    <row r="8880" spans="1:4">
      <c r="A8880" s="68">
        <v>42446</v>
      </c>
      <c r="B8880" s="33">
        <v>3155.9</v>
      </c>
      <c r="C8880">
        <f t="shared" si="168"/>
        <v>2016</v>
      </c>
      <c r="D8880" s="76"/>
    </row>
    <row r="8881" spans="1:4">
      <c r="A8881" s="68">
        <v>42447</v>
      </c>
      <c r="B8881" s="32">
        <v>3087.39</v>
      </c>
      <c r="C8881">
        <f t="shared" si="168"/>
        <v>2016</v>
      </c>
      <c r="D8881" s="76"/>
    </row>
    <row r="8882" spans="1:4">
      <c r="A8882" s="68">
        <v>42448</v>
      </c>
      <c r="B8882" s="33">
        <v>3065.79</v>
      </c>
      <c r="C8882">
        <f t="shared" si="168"/>
        <v>2016</v>
      </c>
      <c r="D8882" s="76"/>
    </row>
    <row r="8883" spans="1:4">
      <c r="A8883" s="68">
        <v>42449</v>
      </c>
      <c r="B8883" s="32">
        <v>3065.79</v>
      </c>
      <c r="C8883">
        <f t="shared" si="168"/>
        <v>2016</v>
      </c>
      <c r="D8883" s="76"/>
    </row>
    <row r="8884" spans="1:4">
      <c r="A8884" s="68">
        <v>42450</v>
      </c>
      <c r="B8884" s="33">
        <v>3065.79</v>
      </c>
      <c r="C8884">
        <f t="shared" si="168"/>
        <v>2016</v>
      </c>
      <c r="D8884" s="76"/>
    </row>
    <row r="8885" spans="1:4">
      <c r="A8885" s="68">
        <v>42451</v>
      </c>
      <c r="B8885" s="32">
        <v>3065.79</v>
      </c>
      <c r="C8885">
        <f t="shared" si="168"/>
        <v>2016</v>
      </c>
      <c r="D8885" s="76"/>
    </row>
    <row r="8886" spans="1:4">
      <c r="A8886" s="68">
        <v>42452</v>
      </c>
      <c r="B8886" s="33">
        <v>3050.31</v>
      </c>
      <c r="C8886">
        <f t="shared" si="168"/>
        <v>2016</v>
      </c>
      <c r="D8886" s="76"/>
    </row>
    <row r="8887" spans="1:4">
      <c r="A8887" s="68">
        <v>42453</v>
      </c>
      <c r="B8887" s="32">
        <v>3058.8</v>
      </c>
      <c r="C8887">
        <f t="shared" si="168"/>
        <v>2016</v>
      </c>
      <c r="D8887" s="76"/>
    </row>
    <row r="8888" spans="1:4">
      <c r="A8888" s="68">
        <v>42454</v>
      </c>
      <c r="B8888" s="33">
        <v>3058.8</v>
      </c>
      <c r="C8888">
        <f t="shared" si="168"/>
        <v>2016</v>
      </c>
      <c r="D8888" s="76"/>
    </row>
    <row r="8889" spans="1:4">
      <c r="A8889" s="68">
        <v>42455</v>
      </c>
      <c r="B8889" s="32">
        <v>3058.8</v>
      </c>
      <c r="C8889">
        <f t="shared" si="168"/>
        <v>2016</v>
      </c>
      <c r="D8889" s="76"/>
    </row>
    <row r="8890" spans="1:4">
      <c r="A8890" s="68">
        <v>42456</v>
      </c>
      <c r="B8890" s="33">
        <v>3058.8</v>
      </c>
      <c r="C8890">
        <f t="shared" si="168"/>
        <v>2016</v>
      </c>
      <c r="D8890" s="76"/>
    </row>
    <row r="8891" spans="1:4">
      <c r="A8891" s="68">
        <v>42457</v>
      </c>
      <c r="B8891" s="32">
        <v>3058.8</v>
      </c>
      <c r="C8891">
        <f t="shared" si="168"/>
        <v>2016</v>
      </c>
      <c r="D8891" s="76"/>
    </row>
    <row r="8892" spans="1:4">
      <c r="A8892" s="68">
        <v>42458</v>
      </c>
      <c r="B8892" s="33">
        <v>3047.85</v>
      </c>
      <c r="C8892">
        <f t="shared" si="168"/>
        <v>2016</v>
      </c>
      <c r="D8892" s="76"/>
    </row>
    <row r="8893" spans="1:4">
      <c r="A8893" s="68">
        <v>42459</v>
      </c>
      <c r="B8893" s="32">
        <v>3052.33</v>
      </c>
      <c r="C8893">
        <f t="shared" si="168"/>
        <v>2016</v>
      </c>
      <c r="D8893" s="76"/>
    </row>
    <row r="8894" spans="1:4">
      <c r="A8894" s="68">
        <v>42460</v>
      </c>
      <c r="B8894" s="33">
        <v>3022.35</v>
      </c>
      <c r="C8894">
        <f t="shared" si="168"/>
        <v>2016</v>
      </c>
      <c r="D8894" s="76"/>
    </row>
    <row r="8895" spans="1:4">
      <c r="A8895" s="68">
        <v>42461</v>
      </c>
      <c r="B8895" s="32">
        <v>3000.63</v>
      </c>
      <c r="C8895">
        <f t="shared" si="168"/>
        <v>2016</v>
      </c>
      <c r="D8895" s="76"/>
    </row>
    <row r="8896" spans="1:4">
      <c r="A8896" s="68">
        <v>42462</v>
      </c>
      <c r="B8896" s="33">
        <v>3038.48</v>
      </c>
      <c r="C8896">
        <f t="shared" si="168"/>
        <v>2016</v>
      </c>
      <c r="D8896" s="76"/>
    </row>
    <row r="8897" spans="1:4">
      <c r="A8897" s="68">
        <v>42463</v>
      </c>
      <c r="B8897" s="32">
        <v>3038.48</v>
      </c>
      <c r="C8897">
        <f t="shared" si="168"/>
        <v>2016</v>
      </c>
      <c r="D8897" s="76"/>
    </row>
    <row r="8898" spans="1:4">
      <c r="A8898" s="68">
        <v>42464</v>
      </c>
      <c r="B8898" s="33">
        <v>3038.48</v>
      </c>
      <c r="C8898">
        <f t="shared" si="168"/>
        <v>2016</v>
      </c>
      <c r="D8898" s="76"/>
    </row>
    <row r="8899" spans="1:4">
      <c r="A8899" s="68">
        <v>42465</v>
      </c>
      <c r="B8899" s="32">
        <v>3066.94</v>
      </c>
      <c r="C8899">
        <f t="shared" si="168"/>
        <v>2016</v>
      </c>
      <c r="D8899" s="76"/>
    </row>
    <row r="8900" spans="1:4">
      <c r="A8900" s="68">
        <v>42466</v>
      </c>
      <c r="B8900" s="33">
        <v>3085.82</v>
      </c>
      <c r="C8900">
        <f t="shared" ref="C8900:C8963" si="169">YEAR(A8900)</f>
        <v>2016</v>
      </c>
      <c r="D8900" s="76"/>
    </row>
    <row r="8901" spans="1:4">
      <c r="A8901" s="68">
        <v>42467</v>
      </c>
      <c r="B8901" s="32">
        <v>3081.39</v>
      </c>
      <c r="C8901">
        <f t="shared" si="169"/>
        <v>2016</v>
      </c>
      <c r="D8901" s="76"/>
    </row>
    <row r="8902" spans="1:4">
      <c r="A8902" s="68">
        <v>42468</v>
      </c>
      <c r="B8902" s="33">
        <v>3109.6</v>
      </c>
      <c r="C8902">
        <f t="shared" si="169"/>
        <v>2016</v>
      </c>
      <c r="D8902" s="76"/>
    </row>
    <row r="8903" spans="1:4">
      <c r="A8903" s="68">
        <v>42469</v>
      </c>
      <c r="B8903" s="32">
        <v>3076.29</v>
      </c>
      <c r="C8903">
        <f t="shared" si="169"/>
        <v>2016</v>
      </c>
      <c r="D8903" s="76"/>
    </row>
    <row r="8904" spans="1:4">
      <c r="A8904" s="68">
        <v>42470</v>
      </c>
      <c r="B8904" s="33">
        <v>3076.29</v>
      </c>
      <c r="C8904">
        <f t="shared" si="169"/>
        <v>2016</v>
      </c>
      <c r="D8904" s="76"/>
    </row>
    <row r="8905" spans="1:4">
      <c r="A8905" s="68">
        <v>42471</v>
      </c>
      <c r="B8905" s="32">
        <v>3076.29</v>
      </c>
      <c r="C8905">
        <f t="shared" si="169"/>
        <v>2016</v>
      </c>
      <c r="D8905" s="76"/>
    </row>
    <row r="8906" spans="1:4">
      <c r="A8906" s="68">
        <v>42472</v>
      </c>
      <c r="B8906" s="33">
        <v>3057.96</v>
      </c>
      <c r="C8906">
        <f t="shared" si="169"/>
        <v>2016</v>
      </c>
      <c r="D8906" s="76"/>
    </row>
    <row r="8907" spans="1:4">
      <c r="A8907" s="68">
        <v>42473</v>
      </c>
      <c r="B8907" s="32">
        <v>3036.57</v>
      </c>
      <c r="C8907">
        <f t="shared" si="169"/>
        <v>2016</v>
      </c>
      <c r="D8907" s="76"/>
    </row>
    <row r="8908" spans="1:4">
      <c r="A8908" s="68">
        <v>42474</v>
      </c>
      <c r="B8908" s="33">
        <v>3006.35</v>
      </c>
      <c r="C8908">
        <f t="shared" si="169"/>
        <v>2016</v>
      </c>
      <c r="D8908" s="76"/>
    </row>
    <row r="8909" spans="1:4">
      <c r="A8909" s="68">
        <v>42475</v>
      </c>
      <c r="B8909" s="32">
        <v>3000.78</v>
      </c>
      <c r="C8909">
        <f t="shared" si="169"/>
        <v>2016</v>
      </c>
      <c r="D8909" s="76"/>
    </row>
    <row r="8910" spans="1:4">
      <c r="A8910" s="68">
        <v>42476</v>
      </c>
      <c r="B8910" s="33">
        <v>2999.38</v>
      </c>
      <c r="C8910">
        <f t="shared" si="169"/>
        <v>2016</v>
      </c>
      <c r="D8910" s="76"/>
    </row>
    <row r="8911" spans="1:4">
      <c r="A8911" s="68">
        <v>42477</v>
      </c>
      <c r="B8911" s="32">
        <v>2999.38</v>
      </c>
      <c r="C8911">
        <f t="shared" si="169"/>
        <v>2016</v>
      </c>
      <c r="D8911" s="76"/>
    </row>
    <row r="8912" spans="1:4">
      <c r="A8912" s="68">
        <v>42478</v>
      </c>
      <c r="B8912" s="33">
        <v>2999.38</v>
      </c>
      <c r="C8912">
        <f t="shared" si="169"/>
        <v>2016</v>
      </c>
      <c r="D8912" s="76"/>
    </row>
    <row r="8913" spans="1:4">
      <c r="A8913" s="68">
        <v>42479</v>
      </c>
      <c r="B8913" s="32">
        <v>2995.86</v>
      </c>
      <c r="C8913">
        <f t="shared" si="169"/>
        <v>2016</v>
      </c>
      <c r="D8913" s="76"/>
    </row>
    <row r="8914" spans="1:4">
      <c r="A8914" s="68">
        <v>42480</v>
      </c>
      <c r="B8914" s="33">
        <v>2912.2</v>
      </c>
      <c r="C8914">
        <f t="shared" si="169"/>
        <v>2016</v>
      </c>
      <c r="D8914" s="76"/>
    </row>
    <row r="8915" spans="1:4">
      <c r="A8915" s="68">
        <v>42481</v>
      </c>
      <c r="B8915" s="32">
        <v>2899.92</v>
      </c>
      <c r="C8915">
        <f t="shared" si="169"/>
        <v>2016</v>
      </c>
      <c r="D8915" s="76"/>
    </row>
    <row r="8916" spans="1:4">
      <c r="A8916" s="68">
        <v>42482</v>
      </c>
      <c r="B8916" s="33">
        <v>2928.7</v>
      </c>
      <c r="C8916">
        <f t="shared" si="169"/>
        <v>2016</v>
      </c>
      <c r="D8916" s="76"/>
    </row>
    <row r="8917" spans="1:4">
      <c r="A8917" s="68">
        <v>42483</v>
      </c>
      <c r="B8917" s="32">
        <v>2939.7</v>
      </c>
      <c r="C8917">
        <f t="shared" si="169"/>
        <v>2016</v>
      </c>
      <c r="D8917" s="76"/>
    </row>
    <row r="8918" spans="1:4">
      <c r="A8918" s="68">
        <v>42484</v>
      </c>
      <c r="B8918" s="33">
        <v>2939.7</v>
      </c>
      <c r="C8918">
        <f t="shared" si="169"/>
        <v>2016</v>
      </c>
      <c r="D8918" s="76"/>
    </row>
    <row r="8919" spans="1:4">
      <c r="A8919" s="68">
        <v>42485</v>
      </c>
      <c r="B8919" s="32">
        <v>2939.7</v>
      </c>
      <c r="C8919">
        <f t="shared" si="169"/>
        <v>2016</v>
      </c>
      <c r="D8919" s="76"/>
    </row>
    <row r="8920" spans="1:4">
      <c r="A8920" s="68">
        <v>42486</v>
      </c>
      <c r="B8920" s="33">
        <v>2962.08</v>
      </c>
      <c r="C8920">
        <f t="shared" si="169"/>
        <v>2016</v>
      </c>
      <c r="D8920" s="76"/>
    </row>
    <row r="8921" spans="1:4">
      <c r="A8921" s="68">
        <v>42487</v>
      </c>
      <c r="B8921" s="32">
        <v>2945.37</v>
      </c>
      <c r="C8921">
        <f t="shared" si="169"/>
        <v>2016</v>
      </c>
      <c r="D8921" s="76"/>
    </row>
    <row r="8922" spans="1:4">
      <c r="A8922" s="68">
        <v>42488</v>
      </c>
      <c r="B8922" s="33">
        <v>2943.23</v>
      </c>
      <c r="C8922">
        <f t="shared" si="169"/>
        <v>2016</v>
      </c>
      <c r="D8922" s="76"/>
    </row>
    <row r="8923" spans="1:4">
      <c r="A8923" s="68">
        <v>42489</v>
      </c>
      <c r="B8923" s="32">
        <v>2885.72</v>
      </c>
      <c r="C8923">
        <f t="shared" si="169"/>
        <v>2016</v>
      </c>
      <c r="D8923" s="76"/>
    </row>
    <row r="8924" spans="1:4">
      <c r="A8924" s="68">
        <v>42490</v>
      </c>
      <c r="B8924" s="33">
        <v>2851.14</v>
      </c>
      <c r="C8924">
        <f t="shared" si="169"/>
        <v>2016</v>
      </c>
      <c r="D8924" s="76"/>
    </row>
    <row r="8925" spans="1:4">
      <c r="A8925" s="68">
        <v>42491</v>
      </c>
      <c r="B8925" s="32">
        <v>2851.14</v>
      </c>
      <c r="C8925">
        <f t="shared" si="169"/>
        <v>2016</v>
      </c>
      <c r="D8925" s="76"/>
    </row>
    <row r="8926" spans="1:4">
      <c r="A8926" s="68">
        <v>42492</v>
      </c>
      <c r="B8926" s="33">
        <v>2851.14</v>
      </c>
      <c r="C8926">
        <f t="shared" si="169"/>
        <v>2016</v>
      </c>
      <c r="D8926" s="76"/>
    </row>
    <row r="8927" spans="1:4">
      <c r="A8927" s="68">
        <v>42493</v>
      </c>
      <c r="B8927" s="32">
        <v>2833.78</v>
      </c>
      <c r="C8927">
        <f t="shared" si="169"/>
        <v>2016</v>
      </c>
      <c r="D8927" s="76"/>
    </row>
    <row r="8928" spans="1:4">
      <c r="A8928" s="68">
        <v>42494</v>
      </c>
      <c r="B8928" s="33">
        <v>2895.51</v>
      </c>
      <c r="C8928">
        <f t="shared" si="169"/>
        <v>2016</v>
      </c>
      <c r="D8928" s="76"/>
    </row>
    <row r="8929" spans="1:4">
      <c r="A8929" s="68">
        <v>42495</v>
      </c>
      <c r="B8929" s="32">
        <v>2942.16</v>
      </c>
      <c r="C8929">
        <f t="shared" si="169"/>
        <v>2016</v>
      </c>
      <c r="D8929" s="76"/>
    </row>
    <row r="8930" spans="1:4">
      <c r="A8930" s="68">
        <v>42496</v>
      </c>
      <c r="B8930" s="33">
        <v>2952.37</v>
      </c>
      <c r="C8930">
        <f t="shared" si="169"/>
        <v>2016</v>
      </c>
      <c r="D8930" s="76"/>
    </row>
    <row r="8931" spans="1:4">
      <c r="A8931" s="68">
        <v>42497</v>
      </c>
      <c r="B8931" s="32">
        <v>2969.62</v>
      </c>
      <c r="C8931">
        <f t="shared" si="169"/>
        <v>2016</v>
      </c>
      <c r="D8931" s="76"/>
    </row>
    <row r="8932" spans="1:4">
      <c r="A8932" s="68">
        <v>42498</v>
      </c>
      <c r="B8932" s="33">
        <v>2969.62</v>
      </c>
      <c r="C8932">
        <f t="shared" si="169"/>
        <v>2016</v>
      </c>
      <c r="D8932" s="76"/>
    </row>
    <row r="8933" spans="1:4">
      <c r="A8933" s="68">
        <v>42499</v>
      </c>
      <c r="B8933" s="32">
        <v>2969.62</v>
      </c>
      <c r="C8933">
        <f t="shared" si="169"/>
        <v>2016</v>
      </c>
      <c r="D8933" s="76"/>
    </row>
    <row r="8934" spans="1:4">
      <c r="A8934" s="68">
        <v>42500</v>
      </c>
      <c r="B8934" s="33">
        <v>2969.62</v>
      </c>
      <c r="C8934">
        <f t="shared" si="169"/>
        <v>2016</v>
      </c>
      <c r="D8934" s="76"/>
    </row>
    <row r="8935" spans="1:4">
      <c r="A8935" s="68">
        <v>42501</v>
      </c>
      <c r="B8935" s="32">
        <v>2979.54</v>
      </c>
      <c r="C8935">
        <f t="shared" si="169"/>
        <v>2016</v>
      </c>
      <c r="D8935" s="76"/>
    </row>
    <row r="8936" spans="1:4">
      <c r="A8936" s="68">
        <v>42502</v>
      </c>
      <c r="B8936" s="33">
        <v>2956.82</v>
      </c>
      <c r="C8936">
        <f t="shared" si="169"/>
        <v>2016</v>
      </c>
      <c r="D8936" s="76"/>
    </row>
    <row r="8937" spans="1:4">
      <c r="A8937" s="68">
        <v>42503</v>
      </c>
      <c r="B8937" s="32">
        <v>2934.88</v>
      </c>
      <c r="C8937">
        <f t="shared" si="169"/>
        <v>2016</v>
      </c>
      <c r="D8937" s="76"/>
    </row>
    <row r="8938" spans="1:4">
      <c r="A8938" s="68">
        <v>42504</v>
      </c>
      <c r="B8938" s="33">
        <v>2983.82</v>
      </c>
      <c r="C8938">
        <f t="shared" si="169"/>
        <v>2016</v>
      </c>
      <c r="D8938" s="76"/>
    </row>
    <row r="8939" spans="1:4">
      <c r="A8939" s="68">
        <v>42505</v>
      </c>
      <c r="B8939" s="32">
        <v>2983.82</v>
      </c>
      <c r="C8939">
        <f t="shared" si="169"/>
        <v>2016</v>
      </c>
      <c r="D8939" s="76"/>
    </row>
    <row r="8940" spans="1:4">
      <c r="A8940" s="68">
        <v>42506</v>
      </c>
      <c r="B8940" s="33">
        <v>2983.82</v>
      </c>
      <c r="C8940">
        <f t="shared" si="169"/>
        <v>2016</v>
      </c>
      <c r="D8940" s="76"/>
    </row>
    <row r="8941" spans="1:4">
      <c r="A8941" s="68">
        <v>42507</v>
      </c>
      <c r="B8941" s="32">
        <v>3007.74</v>
      </c>
      <c r="C8941">
        <f t="shared" si="169"/>
        <v>2016</v>
      </c>
      <c r="D8941" s="76"/>
    </row>
    <row r="8942" spans="1:4">
      <c r="A8942" s="68">
        <v>42508</v>
      </c>
      <c r="B8942" s="33">
        <v>3020.89</v>
      </c>
      <c r="C8942">
        <f t="shared" si="169"/>
        <v>2016</v>
      </c>
      <c r="D8942" s="76"/>
    </row>
    <row r="8943" spans="1:4">
      <c r="A8943" s="68">
        <v>42509</v>
      </c>
      <c r="B8943" s="32">
        <v>3031.48</v>
      </c>
      <c r="C8943">
        <f t="shared" si="169"/>
        <v>2016</v>
      </c>
      <c r="D8943" s="76"/>
    </row>
    <row r="8944" spans="1:4">
      <c r="A8944" s="68">
        <v>42510</v>
      </c>
      <c r="B8944" s="33">
        <v>3056.06</v>
      </c>
      <c r="C8944">
        <f t="shared" si="169"/>
        <v>2016</v>
      </c>
      <c r="D8944" s="76"/>
    </row>
    <row r="8945" spans="1:4">
      <c r="A8945" s="68">
        <v>42511</v>
      </c>
      <c r="B8945" s="32">
        <v>3047.99</v>
      </c>
      <c r="C8945">
        <f t="shared" si="169"/>
        <v>2016</v>
      </c>
      <c r="D8945" s="76"/>
    </row>
    <row r="8946" spans="1:4">
      <c r="A8946" s="68">
        <v>42512</v>
      </c>
      <c r="B8946" s="33">
        <v>3047.99</v>
      </c>
      <c r="C8946">
        <f t="shared" si="169"/>
        <v>2016</v>
      </c>
      <c r="D8946" s="76"/>
    </row>
    <row r="8947" spans="1:4">
      <c r="A8947" s="68">
        <v>42513</v>
      </c>
      <c r="B8947" s="32">
        <v>3047.99</v>
      </c>
      <c r="C8947">
        <f t="shared" si="169"/>
        <v>2016</v>
      </c>
      <c r="D8947" s="76"/>
    </row>
    <row r="8948" spans="1:4">
      <c r="A8948" s="68">
        <v>42514</v>
      </c>
      <c r="B8948" s="33">
        <v>3058.25</v>
      </c>
      <c r="C8948">
        <f t="shared" si="169"/>
        <v>2016</v>
      </c>
      <c r="D8948" s="76"/>
    </row>
    <row r="8949" spans="1:4">
      <c r="A8949" s="68">
        <v>42515</v>
      </c>
      <c r="B8949" s="32">
        <v>3059.92</v>
      </c>
      <c r="C8949">
        <f t="shared" si="169"/>
        <v>2016</v>
      </c>
      <c r="D8949" s="76"/>
    </row>
    <row r="8950" spans="1:4">
      <c r="A8950" s="68">
        <v>42516</v>
      </c>
      <c r="B8950" s="33">
        <v>3061.89</v>
      </c>
      <c r="C8950">
        <f t="shared" si="169"/>
        <v>2016</v>
      </c>
      <c r="D8950" s="76"/>
    </row>
    <row r="8951" spans="1:4">
      <c r="A8951" s="68">
        <v>42517</v>
      </c>
      <c r="B8951" s="32">
        <v>3054.6</v>
      </c>
      <c r="C8951">
        <f t="shared" si="169"/>
        <v>2016</v>
      </c>
      <c r="D8951" s="76"/>
    </row>
    <row r="8952" spans="1:4">
      <c r="A8952" s="68">
        <v>42518</v>
      </c>
      <c r="B8952" s="33">
        <v>3069.17</v>
      </c>
      <c r="C8952">
        <f t="shared" si="169"/>
        <v>2016</v>
      </c>
      <c r="D8952" s="76"/>
    </row>
    <row r="8953" spans="1:4">
      <c r="A8953" s="68">
        <v>42519</v>
      </c>
      <c r="B8953" s="32">
        <v>3069.17</v>
      </c>
      <c r="C8953">
        <f t="shared" si="169"/>
        <v>2016</v>
      </c>
      <c r="D8953" s="76"/>
    </row>
    <row r="8954" spans="1:4">
      <c r="A8954" s="68">
        <v>42520</v>
      </c>
      <c r="B8954" s="33">
        <v>3069.17</v>
      </c>
      <c r="C8954">
        <f t="shared" si="169"/>
        <v>2016</v>
      </c>
      <c r="D8954" s="76"/>
    </row>
    <row r="8955" spans="1:4">
      <c r="A8955" s="68">
        <v>42521</v>
      </c>
      <c r="B8955" s="32">
        <v>3069.17</v>
      </c>
      <c r="C8955">
        <f t="shared" si="169"/>
        <v>2016</v>
      </c>
      <c r="D8955" s="76"/>
    </row>
    <row r="8956" spans="1:4">
      <c r="A8956" s="68">
        <v>42522</v>
      </c>
      <c r="B8956" s="33">
        <v>3089.65</v>
      </c>
      <c r="C8956">
        <f t="shared" si="169"/>
        <v>2016</v>
      </c>
      <c r="D8956" s="76"/>
    </row>
    <row r="8957" spans="1:4">
      <c r="A8957" s="68">
        <v>42523</v>
      </c>
      <c r="B8957" s="32">
        <v>3117.83</v>
      </c>
      <c r="C8957">
        <f t="shared" si="169"/>
        <v>2016</v>
      </c>
      <c r="D8957" s="76"/>
    </row>
    <row r="8958" spans="1:4">
      <c r="A8958" s="68">
        <v>42524</v>
      </c>
      <c r="B8958" s="33">
        <v>3110.88</v>
      </c>
      <c r="C8958">
        <f t="shared" si="169"/>
        <v>2016</v>
      </c>
      <c r="D8958" s="76"/>
    </row>
    <row r="8959" spans="1:4">
      <c r="A8959" s="68">
        <v>42525</v>
      </c>
      <c r="B8959" s="32">
        <v>3017.71</v>
      </c>
      <c r="C8959">
        <f t="shared" si="169"/>
        <v>2016</v>
      </c>
      <c r="D8959" s="76"/>
    </row>
    <row r="8960" spans="1:4">
      <c r="A8960" s="68">
        <v>42526</v>
      </c>
      <c r="B8960" s="33">
        <v>3017.71</v>
      </c>
      <c r="C8960">
        <f t="shared" si="169"/>
        <v>2016</v>
      </c>
      <c r="D8960" s="76"/>
    </row>
    <row r="8961" spans="1:4">
      <c r="A8961" s="68">
        <v>42527</v>
      </c>
      <c r="B8961" s="32">
        <v>3017.71</v>
      </c>
      <c r="C8961">
        <f t="shared" si="169"/>
        <v>2016</v>
      </c>
      <c r="D8961" s="76"/>
    </row>
    <row r="8962" spans="1:4">
      <c r="A8962" s="68">
        <v>42528</v>
      </c>
      <c r="B8962" s="33">
        <v>3017.71</v>
      </c>
      <c r="C8962">
        <f t="shared" si="169"/>
        <v>2016</v>
      </c>
      <c r="D8962" s="76"/>
    </row>
    <row r="8963" spans="1:4">
      <c r="A8963" s="68">
        <v>42529</v>
      </c>
      <c r="B8963" s="32">
        <v>2950.95</v>
      </c>
      <c r="C8963">
        <f t="shared" si="169"/>
        <v>2016</v>
      </c>
      <c r="D8963" s="76"/>
    </row>
    <row r="8964" spans="1:4">
      <c r="A8964" s="68">
        <v>42530</v>
      </c>
      <c r="B8964" s="33">
        <v>2905.23</v>
      </c>
      <c r="C8964">
        <f t="shared" ref="C8964:C9027" si="170">YEAR(A8964)</f>
        <v>2016</v>
      </c>
      <c r="D8964" s="76"/>
    </row>
    <row r="8965" spans="1:4">
      <c r="A8965" s="68">
        <v>42531</v>
      </c>
      <c r="B8965" s="32">
        <v>2942.13</v>
      </c>
      <c r="C8965">
        <f t="shared" si="170"/>
        <v>2016</v>
      </c>
      <c r="D8965" s="76"/>
    </row>
    <row r="8966" spans="1:4">
      <c r="A8966" s="68">
        <v>42532</v>
      </c>
      <c r="B8966" s="33">
        <v>2969.83</v>
      </c>
      <c r="C8966">
        <f t="shared" si="170"/>
        <v>2016</v>
      </c>
      <c r="D8966" s="76"/>
    </row>
    <row r="8967" spans="1:4">
      <c r="A8967" s="68">
        <v>42533</v>
      </c>
      <c r="B8967" s="32">
        <v>2969.83</v>
      </c>
      <c r="C8967">
        <f t="shared" si="170"/>
        <v>2016</v>
      </c>
      <c r="D8967" s="76"/>
    </row>
    <row r="8968" spans="1:4">
      <c r="A8968" s="68">
        <v>42534</v>
      </c>
      <c r="B8968" s="33">
        <v>2969.83</v>
      </c>
      <c r="C8968">
        <f t="shared" si="170"/>
        <v>2016</v>
      </c>
      <c r="D8968" s="76"/>
    </row>
    <row r="8969" spans="1:4">
      <c r="A8969" s="68">
        <v>42535</v>
      </c>
      <c r="B8969" s="32">
        <v>2990.35</v>
      </c>
      <c r="C8969">
        <f t="shared" si="170"/>
        <v>2016</v>
      </c>
      <c r="D8969" s="76"/>
    </row>
    <row r="8970" spans="1:4">
      <c r="A8970" s="68">
        <v>42536</v>
      </c>
      <c r="B8970" s="33">
        <v>3003.28</v>
      </c>
      <c r="C8970">
        <f t="shared" si="170"/>
        <v>2016</v>
      </c>
      <c r="D8970" s="76"/>
    </row>
    <row r="8971" spans="1:4">
      <c r="A8971" s="68">
        <v>42537</v>
      </c>
      <c r="B8971" s="32">
        <v>2989.56</v>
      </c>
      <c r="C8971">
        <f t="shared" si="170"/>
        <v>2016</v>
      </c>
      <c r="D8971" s="76"/>
    </row>
    <row r="8972" spans="1:4">
      <c r="A8972" s="68">
        <v>42538</v>
      </c>
      <c r="B8972" s="33">
        <v>3019.12</v>
      </c>
      <c r="C8972">
        <f t="shared" si="170"/>
        <v>2016</v>
      </c>
      <c r="D8972" s="76"/>
    </row>
    <row r="8973" spans="1:4">
      <c r="A8973" s="68">
        <v>42539</v>
      </c>
      <c r="B8973" s="32">
        <v>3010.91</v>
      </c>
      <c r="C8973">
        <f t="shared" si="170"/>
        <v>2016</v>
      </c>
      <c r="D8973" s="76"/>
    </row>
    <row r="8974" spans="1:4">
      <c r="A8974" s="68">
        <v>42540</v>
      </c>
      <c r="B8974" s="33">
        <v>3010.91</v>
      </c>
      <c r="C8974">
        <f t="shared" si="170"/>
        <v>2016</v>
      </c>
      <c r="D8974" s="76"/>
    </row>
    <row r="8975" spans="1:4">
      <c r="A8975" s="68">
        <v>42541</v>
      </c>
      <c r="B8975" s="32">
        <v>3010.91</v>
      </c>
      <c r="C8975">
        <f t="shared" si="170"/>
        <v>2016</v>
      </c>
      <c r="D8975" s="76"/>
    </row>
    <row r="8976" spans="1:4">
      <c r="A8976" s="68">
        <v>42542</v>
      </c>
      <c r="B8976" s="33">
        <v>2972.97</v>
      </c>
      <c r="C8976">
        <f t="shared" si="170"/>
        <v>2016</v>
      </c>
      <c r="D8976" s="76"/>
    </row>
    <row r="8977" spans="1:4">
      <c r="A8977" s="68">
        <v>42543</v>
      </c>
      <c r="B8977" s="32">
        <v>2976.29</v>
      </c>
      <c r="C8977">
        <f t="shared" si="170"/>
        <v>2016</v>
      </c>
      <c r="D8977" s="76"/>
    </row>
    <row r="8978" spans="1:4">
      <c r="A8978" s="68">
        <v>42544</v>
      </c>
      <c r="B8978" s="33">
        <v>2944.06</v>
      </c>
      <c r="C8978">
        <f t="shared" si="170"/>
        <v>2016</v>
      </c>
      <c r="D8978" s="76"/>
    </row>
    <row r="8979" spans="1:4">
      <c r="A8979" s="68">
        <v>42545</v>
      </c>
      <c r="B8979" s="32">
        <v>2897.53</v>
      </c>
      <c r="C8979">
        <f t="shared" si="170"/>
        <v>2016</v>
      </c>
      <c r="D8979" s="76"/>
    </row>
    <row r="8980" spans="1:4">
      <c r="A8980" s="68">
        <v>42546</v>
      </c>
      <c r="B8980" s="33">
        <v>2972.92</v>
      </c>
      <c r="C8980">
        <f t="shared" si="170"/>
        <v>2016</v>
      </c>
      <c r="D8980" s="76"/>
    </row>
    <row r="8981" spans="1:4">
      <c r="A8981" s="68">
        <v>42547</v>
      </c>
      <c r="B8981" s="32">
        <v>2972.92</v>
      </c>
      <c r="C8981">
        <f t="shared" si="170"/>
        <v>2016</v>
      </c>
      <c r="D8981" s="76"/>
    </row>
    <row r="8982" spans="1:4">
      <c r="A8982" s="68">
        <v>42548</v>
      </c>
      <c r="B8982" s="33">
        <v>2972.92</v>
      </c>
      <c r="C8982">
        <f t="shared" si="170"/>
        <v>2016</v>
      </c>
      <c r="D8982" s="76"/>
    </row>
    <row r="8983" spans="1:4">
      <c r="A8983" s="68">
        <v>42549</v>
      </c>
      <c r="B8983" s="32">
        <v>3022.78</v>
      </c>
      <c r="C8983">
        <f t="shared" si="170"/>
        <v>2016</v>
      </c>
      <c r="D8983" s="76"/>
    </row>
    <row r="8984" spans="1:4">
      <c r="A8984" s="68">
        <v>42550</v>
      </c>
      <c r="B8984" s="33">
        <v>3005.18</v>
      </c>
      <c r="C8984">
        <f t="shared" si="170"/>
        <v>2016</v>
      </c>
      <c r="D8984" s="76"/>
    </row>
    <row r="8985" spans="1:4">
      <c r="A8985" s="68">
        <v>42551</v>
      </c>
      <c r="B8985" s="32">
        <v>2916.15</v>
      </c>
      <c r="C8985">
        <f t="shared" si="170"/>
        <v>2016</v>
      </c>
      <c r="D8985" s="76"/>
    </row>
    <row r="8986" spans="1:4">
      <c r="A8986" s="68">
        <v>42552</v>
      </c>
      <c r="B8986" s="33">
        <v>2919.01</v>
      </c>
      <c r="C8986">
        <f t="shared" si="170"/>
        <v>2016</v>
      </c>
      <c r="D8986" s="76"/>
    </row>
    <row r="8987" spans="1:4">
      <c r="A8987" s="68">
        <v>42553</v>
      </c>
      <c r="B8987" s="32">
        <v>2914.38</v>
      </c>
      <c r="C8987">
        <f t="shared" si="170"/>
        <v>2016</v>
      </c>
      <c r="D8987" s="76"/>
    </row>
    <row r="8988" spans="1:4">
      <c r="A8988" s="68">
        <v>42554</v>
      </c>
      <c r="B8988" s="33">
        <v>2914.38</v>
      </c>
      <c r="C8988">
        <f t="shared" si="170"/>
        <v>2016</v>
      </c>
      <c r="D8988" s="76"/>
    </row>
    <row r="8989" spans="1:4">
      <c r="A8989" s="68">
        <v>42555</v>
      </c>
      <c r="B8989" s="32">
        <v>2914.38</v>
      </c>
      <c r="C8989">
        <f t="shared" si="170"/>
        <v>2016</v>
      </c>
      <c r="D8989" s="76"/>
    </row>
    <row r="8990" spans="1:4">
      <c r="A8990" s="68">
        <v>42556</v>
      </c>
      <c r="B8990" s="33">
        <v>2914.38</v>
      </c>
      <c r="C8990">
        <f t="shared" si="170"/>
        <v>2016</v>
      </c>
      <c r="D8990" s="76"/>
    </row>
    <row r="8991" spans="1:4">
      <c r="A8991" s="68">
        <v>42557</v>
      </c>
      <c r="B8991" s="32">
        <v>2966.87</v>
      </c>
      <c r="C8991">
        <f t="shared" si="170"/>
        <v>2016</v>
      </c>
      <c r="D8991" s="76"/>
    </row>
    <row r="8992" spans="1:4">
      <c r="A8992" s="68">
        <v>42558</v>
      </c>
      <c r="B8992" s="33">
        <v>3003.2</v>
      </c>
      <c r="C8992">
        <f t="shared" si="170"/>
        <v>2016</v>
      </c>
      <c r="D8992" s="76"/>
    </row>
    <row r="8993" spans="1:4">
      <c r="A8993" s="68">
        <v>42559</v>
      </c>
      <c r="B8993" s="32">
        <v>2986.49</v>
      </c>
      <c r="C8993">
        <f t="shared" si="170"/>
        <v>2016</v>
      </c>
      <c r="D8993" s="76"/>
    </row>
    <row r="8994" spans="1:4">
      <c r="A8994" s="68">
        <v>42560</v>
      </c>
      <c r="B8994" s="33">
        <v>2952.64</v>
      </c>
      <c r="C8994">
        <f t="shared" si="170"/>
        <v>2016</v>
      </c>
      <c r="D8994" s="76"/>
    </row>
    <row r="8995" spans="1:4">
      <c r="A8995" s="68">
        <v>42561</v>
      </c>
      <c r="B8995" s="32">
        <v>2952.64</v>
      </c>
      <c r="C8995">
        <f t="shared" si="170"/>
        <v>2016</v>
      </c>
      <c r="D8995" s="76"/>
    </row>
    <row r="8996" spans="1:4">
      <c r="A8996" s="68">
        <v>42562</v>
      </c>
      <c r="B8996" s="33">
        <v>2952.64</v>
      </c>
      <c r="C8996">
        <f t="shared" si="170"/>
        <v>2016</v>
      </c>
      <c r="D8996" s="76"/>
    </row>
    <row r="8997" spans="1:4">
      <c r="A8997" s="68">
        <v>42563</v>
      </c>
      <c r="B8997" s="32">
        <v>2929.81</v>
      </c>
      <c r="C8997">
        <f t="shared" si="170"/>
        <v>2016</v>
      </c>
      <c r="D8997" s="76"/>
    </row>
    <row r="8998" spans="1:4">
      <c r="A8998" s="68">
        <v>42564</v>
      </c>
      <c r="B8998" s="33">
        <v>2911.91</v>
      </c>
      <c r="C8998">
        <f t="shared" si="170"/>
        <v>2016</v>
      </c>
      <c r="D8998" s="76"/>
    </row>
    <row r="8999" spans="1:4">
      <c r="A8999" s="68">
        <v>42565</v>
      </c>
      <c r="B8999" s="32">
        <v>2936.53</v>
      </c>
      <c r="C8999">
        <f t="shared" si="170"/>
        <v>2016</v>
      </c>
      <c r="D8999" s="76"/>
    </row>
    <row r="9000" spans="1:4">
      <c r="A9000" s="68">
        <v>42566</v>
      </c>
      <c r="B9000" s="33">
        <v>2923.07</v>
      </c>
      <c r="C9000">
        <f t="shared" si="170"/>
        <v>2016</v>
      </c>
      <c r="D9000" s="76"/>
    </row>
    <row r="9001" spans="1:4">
      <c r="A9001" s="68">
        <v>42567</v>
      </c>
      <c r="B9001" s="32">
        <v>2923.46</v>
      </c>
      <c r="C9001">
        <f t="shared" si="170"/>
        <v>2016</v>
      </c>
      <c r="D9001" s="76"/>
    </row>
    <row r="9002" spans="1:4">
      <c r="A9002" s="68">
        <v>42568</v>
      </c>
      <c r="B9002" s="33">
        <v>2923.46</v>
      </c>
      <c r="C9002">
        <f t="shared" si="170"/>
        <v>2016</v>
      </c>
      <c r="D9002" s="76"/>
    </row>
    <row r="9003" spans="1:4">
      <c r="A9003" s="68">
        <v>42569</v>
      </c>
      <c r="B9003" s="32">
        <v>2923.46</v>
      </c>
      <c r="C9003">
        <f t="shared" si="170"/>
        <v>2016</v>
      </c>
      <c r="D9003" s="76"/>
    </row>
    <row r="9004" spans="1:4">
      <c r="A9004" s="68">
        <v>42570</v>
      </c>
      <c r="B9004" s="33">
        <v>2928.3</v>
      </c>
      <c r="C9004">
        <f t="shared" si="170"/>
        <v>2016</v>
      </c>
      <c r="D9004" s="76"/>
    </row>
    <row r="9005" spans="1:4">
      <c r="A9005" s="68">
        <v>42571</v>
      </c>
      <c r="B9005" s="32">
        <v>2931.08</v>
      </c>
      <c r="C9005">
        <f t="shared" si="170"/>
        <v>2016</v>
      </c>
      <c r="D9005" s="76"/>
    </row>
    <row r="9006" spans="1:4">
      <c r="A9006" s="68">
        <v>42572</v>
      </c>
      <c r="B9006" s="33">
        <v>2931.08</v>
      </c>
      <c r="C9006">
        <f t="shared" si="170"/>
        <v>2016</v>
      </c>
      <c r="D9006" s="76"/>
    </row>
    <row r="9007" spans="1:4">
      <c r="A9007" s="68">
        <v>42573</v>
      </c>
      <c r="B9007" s="32">
        <v>2928.67</v>
      </c>
      <c r="C9007">
        <f t="shared" si="170"/>
        <v>2016</v>
      </c>
      <c r="D9007" s="76"/>
    </row>
    <row r="9008" spans="1:4">
      <c r="A9008" s="68">
        <v>42574</v>
      </c>
      <c r="B9008" s="33">
        <v>2942.65</v>
      </c>
      <c r="C9008">
        <f t="shared" si="170"/>
        <v>2016</v>
      </c>
      <c r="D9008" s="76"/>
    </row>
    <row r="9009" spans="1:4">
      <c r="A9009" s="68">
        <v>42575</v>
      </c>
      <c r="B9009" s="32">
        <v>2942.65</v>
      </c>
      <c r="C9009">
        <f t="shared" si="170"/>
        <v>2016</v>
      </c>
      <c r="D9009" s="76"/>
    </row>
    <row r="9010" spans="1:4">
      <c r="A9010" s="68">
        <v>42576</v>
      </c>
      <c r="B9010" s="33">
        <v>2942.65</v>
      </c>
      <c r="C9010">
        <f t="shared" si="170"/>
        <v>2016</v>
      </c>
      <c r="D9010" s="76"/>
    </row>
    <row r="9011" spans="1:4">
      <c r="A9011" s="68">
        <v>42577</v>
      </c>
      <c r="B9011" s="32">
        <v>2997.25</v>
      </c>
      <c r="C9011">
        <f t="shared" si="170"/>
        <v>2016</v>
      </c>
      <c r="D9011" s="76"/>
    </row>
    <row r="9012" spans="1:4">
      <c r="A9012" s="68">
        <v>42578</v>
      </c>
      <c r="B9012" s="33">
        <v>3055.15</v>
      </c>
      <c r="C9012">
        <f t="shared" si="170"/>
        <v>2016</v>
      </c>
      <c r="D9012" s="76"/>
    </row>
    <row r="9013" spans="1:4">
      <c r="A9013" s="68">
        <v>42579</v>
      </c>
      <c r="B9013" s="32">
        <v>3073.52</v>
      </c>
      <c r="C9013">
        <f t="shared" si="170"/>
        <v>2016</v>
      </c>
      <c r="D9013" s="76"/>
    </row>
    <row r="9014" spans="1:4">
      <c r="A9014" s="68">
        <v>42580</v>
      </c>
      <c r="B9014" s="33">
        <v>3091.78</v>
      </c>
      <c r="C9014">
        <f t="shared" si="170"/>
        <v>2016</v>
      </c>
      <c r="D9014" s="76"/>
    </row>
    <row r="9015" spans="1:4">
      <c r="A9015" s="68">
        <v>42581</v>
      </c>
      <c r="B9015" s="32">
        <v>3081.75</v>
      </c>
      <c r="C9015">
        <f t="shared" si="170"/>
        <v>2016</v>
      </c>
      <c r="D9015" s="76"/>
    </row>
    <row r="9016" spans="1:4">
      <c r="A9016" s="68">
        <v>42582</v>
      </c>
      <c r="B9016" s="33">
        <v>3081.75</v>
      </c>
      <c r="C9016">
        <f t="shared" si="170"/>
        <v>2016</v>
      </c>
      <c r="D9016" s="76"/>
    </row>
    <row r="9017" spans="1:4">
      <c r="A9017" s="68">
        <v>42583</v>
      </c>
      <c r="B9017" s="32">
        <v>3081.75</v>
      </c>
      <c r="C9017">
        <f t="shared" si="170"/>
        <v>2016</v>
      </c>
      <c r="D9017" s="76"/>
    </row>
    <row r="9018" spans="1:4">
      <c r="A9018" s="68">
        <v>42584</v>
      </c>
      <c r="B9018" s="33">
        <v>3090.28</v>
      </c>
      <c r="C9018">
        <f t="shared" si="170"/>
        <v>2016</v>
      </c>
      <c r="D9018" s="76"/>
    </row>
    <row r="9019" spans="1:4">
      <c r="A9019" s="68">
        <v>42585</v>
      </c>
      <c r="B9019" s="32">
        <v>3084.81</v>
      </c>
      <c r="C9019">
        <f t="shared" si="170"/>
        <v>2016</v>
      </c>
      <c r="D9019" s="76"/>
    </row>
    <row r="9020" spans="1:4">
      <c r="A9020" s="68">
        <v>42586</v>
      </c>
      <c r="B9020" s="33">
        <v>3110.43</v>
      </c>
      <c r="C9020">
        <f t="shared" si="170"/>
        <v>2016</v>
      </c>
      <c r="D9020" s="76"/>
    </row>
    <row r="9021" spans="1:4">
      <c r="A9021" s="68">
        <v>42587</v>
      </c>
      <c r="B9021" s="32">
        <v>3079.83</v>
      </c>
      <c r="C9021">
        <f t="shared" si="170"/>
        <v>2016</v>
      </c>
      <c r="D9021" s="76"/>
    </row>
    <row r="9022" spans="1:4">
      <c r="A9022" s="68">
        <v>42588</v>
      </c>
      <c r="B9022" s="33">
        <v>3052.8</v>
      </c>
      <c r="C9022">
        <f t="shared" si="170"/>
        <v>2016</v>
      </c>
      <c r="D9022" s="76"/>
    </row>
    <row r="9023" spans="1:4">
      <c r="A9023" s="68">
        <v>42589</v>
      </c>
      <c r="B9023" s="32">
        <v>3052.8</v>
      </c>
      <c r="C9023">
        <f t="shared" si="170"/>
        <v>2016</v>
      </c>
      <c r="D9023" s="76"/>
    </row>
    <row r="9024" spans="1:4">
      <c r="A9024" s="68">
        <v>42590</v>
      </c>
      <c r="B9024" s="33">
        <v>3052.8</v>
      </c>
      <c r="C9024">
        <f t="shared" si="170"/>
        <v>2016</v>
      </c>
      <c r="D9024" s="76"/>
    </row>
    <row r="9025" spans="1:4">
      <c r="A9025" s="68">
        <v>42591</v>
      </c>
      <c r="B9025" s="32">
        <v>2992.5</v>
      </c>
      <c r="C9025">
        <f t="shared" si="170"/>
        <v>2016</v>
      </c>
      <c r="D9025" s="76"/>
    </row>
    <row r="9026" spans="1:4">
      <c r="A9026" s="68">
        <v>42592</v>
      </c>
      <c r="B9026" s="33">
        <v>2974.31</v>
      </c>
      <c r="C9026">
        <f t="shared" si="170"/>
        <v>2016</v>
      </c>
      <c r="D9026" s="76"/>
    </row>
    <row r="9027" spans="1:4">
      <c r="A9027" s="68">
        <v>42593</v>
      </c>
      <c r="B9027" s="32">
        <v>2954.9</v>
      </c>
      <c r="C9027">
        <f t="shared" si="170"/>
        <v>2016</v>
      </c>
      <c r="D9027" s="76"/>
    </row>
    <row r="9028" spans="1:4">
      <c r="A9028" s="68">
        <v>42594</v>
      </c>
      <c r="B9028" s="33">
        <v>2911.26</v>
      </c>
      <c r="C9028">
        <f t="shared" ref="C9028:C9091" si="171">YEAR(A9028)</f>
        <v>2016</v>
      </c>
      <c r="D9028" s="76"/>
    </row>
    <row r="9029" spans="1:4">
      <c r="A9029" s="68">
        <v>42595</v>
      </c>
      <c r="B9029" s="32">
        <v>2908.67</v>
      </c>
      <c r="C9029">
        <f t="shared" si="171"/>
        <v>2016</v>
      </c>
      <c r="D9029" s="76"/>
    </row>
    <row r="9030" spans="1:4">
      <c r="A9030" s="68">
        <v>42596</v>
      </c>
      <c r="B9030" s="33">
        <v>2908.67</v>
      </c>
      <c r="C9030">
        <f t="shared" si="171"/>
        <v>2016</v>
      </c>
      <c r="D9030" s="76"/>
    </row>
    <row r="9031" spans="1:4">
      <c r="A9031" s="68">
        <v>42597</v>
      </c>
      <c r="B9031" s="32">
        <v>2908.67</v>
      </c>
      <c r="C9031">
        <f t="shared" si="171"/>
        <v>2016</v>
      </c>
      <c r="D9031" s="76"/>
    </row>
    <row r="9032" spans="1:4">
      <c r="A9032" s="68">
        <v>42598</v>
      </c>
      <c r="B9032" s="33">
        <v>2908.67</v>
      </c>
      <c r="C9032">
        <f t="shared" si="171"/>
        <v>2016</v>
      </c>
      <c r="D9032" s="76"/>
    </row>
    <row r="9033" spans="1:4">
      <c r="A9033" s="68">
        <v>42599</v>
      </c>
      <c r="B9033" s="32">
        <v>2905.3</v>
      </c>
      <c r="C9033">
        <f t="shared" si="171"/>
        <v>2016</v>
      </c>
      <c r="D9033" s="76"/>
    </row>
    <row r="9034" spans="1:4">
      <c r="A9034" s="68">
        <v>42600</v>
      </c>
      <c r="B9034" s="33">
        <v>2918.07</v>
      </c>
      <c r="C9034">
        <f t="shared" si="171"/>
        <v>2016</v>
      </c>
      <c r="D9034" s="76"/>
    </row>
    <row r="9035" spans="1:4">
      <c r="A9035" s="68">
        <v>42601</v>
      </c>
      <c r="B9035" s="32">
        <v>2884.02</v>
      </c>
      <c r="C9035">
        <f t="shared" si="171"/>
        <v>2016</v>
      </c>
      <c r="D9035" s="76"/>
    </row>
    <row r="9036" spans="1:4">
      <c r="A9036" s="68">
        <v>42602</v>
      </c>
      <c r="B9036" s="33">
        <v>2867.37</v>
      </c>
      <c r="C9036">
        <f t="shared" si="171"/>
        <v>2016</v>
      </c>
      <c r="D9036" s="76"/>
    </row>
    <row r="9037" spans="1:4">
      <c r="A9037" s="68">
        <v>42603</v>
      </c>
      <c r="B9037" s="32">
        <v>2867.37</v>
      </c>
      <c r="C9037">
        <f t="shared" si="171"/>
        <v>2016</v>
      </c>
      <c r="D9037" s="76"/>
    </row>
    <row r="9038" spans="1:4">
      <c r="A9038" s="68">
        <v>42604</v>
      </c>
      <c r="B9038" s="33">
        <v>2867.37</v>
      </c>
      <c r="C9038">
        <f t="shared" si="171"/>
        <v>2016</v>
      </c>
      <c r="D9038" s="76"/>
    </row>
    <row r="9039" spans="1:4">
      <c r="A9039" s="68">
        <v>42605</v>
      </c>
      <c r="B9039" s="32">
        <v>2883.89</v>
      </c>
      <c r="C9039">
        <f t="shared" si="171"/>
        <v>2016</v>
      </c>
      <c r="D9039" s="76"/>
    </row>
    <row r="9040" spans="1:4">
      <c r="A9040" s="68">
        <v>42606</v>
      </c>
      <c r="B9040" s="33">
        <v>2909.1</v>
      </c>
      <c r="C9040">
        <f t="shared" si="171"/>
        <v>2016</v>
      </c>
      <c r="D9040" s="76"/>
    </row>
    <row r="9041" spans="1:4">
      <c r="A9041" s="68">
        <v>42607</v>
      </c>
      <c r="B9041" s="32">
        <v>2938.28</v>
      </c>
      <c r="C9041">
        <f t="shared" si="171"/>
        <v>2016</v>
      </c>
      <c r="D9041" s="76"/>
    </row>
    <row r="9042" spans="1:4">
      <c r="A9042" s="68">
        <v>42608</v>
      </c>
      <c r="B9042" s="33">
        <v>2915.67</v>
      </c>
      <c r="C9042">
        <f t="shared" si="171"/>
        <v>2016</v>
      </c>
      <c r="D9042" s="76"/>
    </row>
    <row r="9043" spans="1:4">
      <c r="A9043" s="68">
        <v>42609</v>
      </c>
      <c r="B9043" s="32">
        <v>2882.69</v>
      </c>
      <c r="C9043">
        <f t="shared" si="171"/>
        <v>2016</v>
      </c>
      <c r="D9043" s="76"/>
    </row>
    <row r="9044" spans="1:4">
      <c r="A9044" s="68">
        <v>42610</v>
      </c>
      <c r="B9044" s="33">
        <v>2882.69</v>
      </c>
      <c r="C9044">
        <f t="shared" si="171"/>
        <v>2016</v>
      </c>
      <c r="D9044" s="76"/>
    </row>
    <row r="9045" spans="1:4">
      <c r="A9045" s="68">
        <v>42611</v>
      </c>
      <c r="B9045" s="32">
        <v>2882.69</v>
      </c>
      <c r="C9045">
        <f t="shared" si="171"/>
        <v>2016</v>
      </c>
      <c r="D9045" s="76"/>
    </row>
    <row r="9046" spans="1:4">
      <c r="A9046" s="68">
        <v>42612</v>
      </c>
      <c r="B9046" s="33">
        <v>2924.29</v>
      </c>
      <c r="C9046">
        <f t="shared" si="171"/>
        <v>2016</v>
      </c>
      <c r="D9046" s="76"/>
    </row>
    <row r="9047" spans="1:4">
      <c r="A9047" s="68">
        <v>42613</v>
      </c>
      <c r="B9047" s="32">
        <v>2933.82</v>
      </c>
      <c r="C9047">
        <f t="shared" si="171"/>
        <v>2016</v>
      </c>
      <c r="D9047" s="76"/>
    </row>
    <row r="9048" spans="1:4">
      <c r="A9048" s="68">
        <v>42614</v>
      </c>
      <c r="B9048" s="33">
        <v>2956.53</v>
      </c>
      <c r="C9048">
        <f t="shared" si="171"/>
        <v>2016</v>
      </c>
      <c r="D9048" s="76"/>
    </row>
    <row r="9049" spans="1:4">
      <c r="A9049" s="68">
        <v>42615</v>
      </c>
      <c r="B9049" s="32">
        <v>2986.36</v>
      </c>
      <c r="C9049">
        <f t="shared" si="171"/>
        <v>2016</v>
      </c>
      <c r="D9049" s="76"/>
    </row>
    <row r="9050" spans="1:4">
      <c r="A9050" s="68">
        <v>42616</v>
      </c>
      <c r="B9050" s="33">
        <v>2957.56</v>
      </c>
      <c r="C9050">
        <f t="shared" si="171"/>
        <v>2016</v>
      </c>
      <c r="D9050" s="76"/>
    </row>
    <row r="9051" spans="1:4">
      <c r="A9051" s="68">
        <v>42617</v>
      </c>
      <c r="B9051" s="32">
        <v>2957.56</v>
      </c>
      <c r="C9051">
        <f t="shared" si="171"/>
        <v>2016</v>
      </c>
      <c r="D9051" s="76"/>
    </row>
    <row r="9052" spans="1:4">
      <c r="A9052" s="68">
        <v>42618</v>
      </c>
      <c r="B9052" s="33">
        <v>2957.56</v>
      </c>
      <c r="C9052">
        <f t="shared" si="171"/>
        <v>2016</v>
      </c>
      <c r="D9052" s="76"/>
    </row>
    <row r="9053" spans="1:4">
      <c r="A9053" s="68">
        <v>42619</v>
      </c>
      <c r="B9053" s="32">
        <v>2957.56</v>
      </c>
      <c r="C9053">
        <f t="shared" si="171"/>
        <v>2016</v>
      </c>
      <c r="D9053" s="76"/>
    </row>
    <row r="9054" spans="1:4">
      <c r="A9054" s="68">
        <v>42620</v>
      </c>
      <c r="B9054" s="33">
        <v>2887.64</v>
      </c>
      <c r="C9054">
        <f t="shared" si="171"/>
        <v>2016</v>
      </c>
      <c r="D9054" s="76"/>
    </row>
    <row r="9055" spans="1:4">
      <c r="A9055" s="68">
        <v>42621</v>
      </c>
      <c r="B9055" s="32">
        <v>2840.38</v>
      </c>
      <c r="C9055">
        <f t="shared" si="171"/>
        <v>2016</v>
      </c>
      <c r="D9055" s="76"/>
    </row>
    <row r="9056" spans="1:4">
      <c r="A9056" s="68">
        <v>42622</v>
      </c>
      <c r="B9056" s="33">
        <v>2846.13</v>
      </c>
      <c r="C9056">
        <f t="shared" si="171"/>
        <v>2016</v>
      </c>
      <c r="D9056" s="76"/>
    </row>
    <row r="9057" spans="1:4">
      <c r="A9057" s="68">
        <v>42623</v>
      </c>
      <c r="B9057" s="32">
        <v>2899.29</v>
      </c>
      <c r="C9057">
        <f t="shared" si="171"/>
        <v>2016</v>
      </c>
      <c r="D9057" s="76"/>
    </row>
    <row r="9058" spans="1:4">
      <c r="A9058" s="68">
        <v>42624</v>
      </c>
      <c r="B9058" s="33">
        <v>2899.29</v>
      </c>
      <c r="C9058">
        <f t="shared" si="171"/>
        <v>2016</v>
      </c>
      <c r="D9058" s="76"/>
    </row>
    <row r="9059" spans="1:4">
      <c r="A9059" s="68">
        <v>42625</v>
      </c>
      <c r="B9059" s="32">
        <v>2899.29</v>
      </c>
      <c r="C9059">
        <f t="shared" si="171"/>
        <v>2016</v>
      </c>
      <c r="D9059" s="76"/>
    </row>
    <row r="9060" spans="1:4">
      <c r="A9060" s="68">
        <v>42626</v>
      </c>
      <c r="B9060" s="33">
        <v>2942.29</v>
      </c>
      <c r="C9060">
        <f t="shared" si="171"/>
        <v>2016</v>
      </c>
      <c r="D9060" s="76"/>
    </row>
    <row r="9061" spans="1:4">
      <c r="A9061" s="68">
        <v>42627</v>
      </c>
      <c r="B9061" s="32">
        <v>2976.19</v>
      </c>
      <c r="C9061">
        <f t="shared" si="171"/>
        <v>2016</v>
      </c>
      <c r="D9061" s="76"/>
    </row>
    <row r="9062" spans="1:4">
      <c r="A9062" s="68">
        <v>42628</v>
      </c>
      <c r="B9062" s="33">
        <v>2972.65</v>
      </c>
      <c r="C9062">
        <f t="shared" si="171"/>
        <v>2016</v>
      </c>
      <c r="D9062" s="76"/>
    </row>
    <row r="9063" spans="1:4">
      <c r="A9063" s="68">
        <v>42629</v>
      </c>
      <c r="B9063" s="32">
        <v>2938.5</v>
      </c>
      <c r="C9063">
        <f t="shared" si="171"/>
        <v>2016</v>
      </c>
      <c r="D9063" s="76"/>
    </row>
    <row r="9064" spans="1:4">
      <c r="A9064" s="68">
        <v>42630</v>
      </c>
      <c r="B9064" s="33">
        <v>2956.58</v>
      </c>
      <c r="C9064">
        <f t="shared" si="171"/>
        <v>2016</v>
      </c>
      <c r="D9064" s="76"/>
    </row>
    <row r="9065" spans="1:4">
      <c r="A9065" s="68">
        <v>42631</v>
      </c>
      <c r="B9065" s="32">
        <v>2956.58</v>
      </c>
      <c r="C9065">
        <f t="shared" si="171"/>
        <v>2016</v>
      </c>
      <c r="D9065" s="76"/>
    </row>
    <row r="9066" spans="1:4">
      <c r="A9066" s="68">
        <v>42632</v>
      </c>
      <c r="B9066" s="33">
        <v>2956.58</v>
      </c>
      <c r="C9066">
        <f t="shared" si="171"/>
        <v>2016</v>
      </c>
      <c r="D9066" s="76"/>
    </row>
    <row r="9067" spans="1:4">
      <c r="A9067" s="68">
        <v>42633</v>
      </c>
      <c r="B9067" s="32">
        <v>2928.18</v>
      </c>
      <c r="C9067">
        <f t="shared" si="171"/>
        <v>2016</v>
      </c>
      <c r="D9067" s="76"/>
    </row>
    <row r="9068" spans="1:4">
      <c r="A9068" s="68">
        <v>42634</v>
      </c>
      <c r="B9068" s="33">
        <v>2911.11</v>
      </c>
      <c r="C9068">
        <f t="shared" si="171"/>
        <v>2016</v>
      </c>
      <c r="D9068" s="76"/>
    </row>
    <row r="9069" spans="1:4">
      <c r="A9069" s="68">
        <v>42635</v>
      </c>
      <c r="B9069" s="32">
        <v>2894.15</v>
      </c>
      <c r="C9069">
        <f t="shared" si="171"/>
        <v>2016</v>
      </c>
      <c r="D9069" s="76"/>
    </row>
    <row r="9070" spans="1:4">
      <c r="A9070" s="68">
        <v>42636</v>
      </c>
      <c r="B9070" s="33">
        <v>2862.52</v>
      </c>
      <c r="C9070">
        <f t="shared" si="171"/>
        <v>2016</v>
      </c>
      <c r="D9070" s="76"/>
    </row>
    <row r="9071" spans="1:4">
      <c r="A9071" s="68">
        <v>42637</v>
      </c>
      <c r="B9071" s="32">
        <v>2917.95</v>
      </c>
      <c r="C9071">
        <f t="shared" si="171"/>
        <v>2016</v>
      </c>
      <c r="D9071" s="76"/>
    </row>
    <row r="9072" spans="1:4">
      <c r="A9072" s="68">
        <v>42638</v>
      </c>
      <c r="B9072" s="33">
        <v>2917.95</v>
      </c>
      <c r="C9072">
        <f t="shared" si="171"/>
        <v>2016</v>
      </c>
      <c r="D9072" s="76"/>
    </row>
    <row r="9073" spans="1:4">
      <c r="A9073" s="68">
        <v>42639</v>
      </c>
      <c r="B9073" s="32">
        <v>2917.95</v>
      </c>
      <c r="C9073">
        <f t="shared" si="171"/>
        <v>2016</v>
      </c>
      <c r="D9073" s="76"/>
    </row>
    <row r="9074" spans="1:4">
      <c r="A9074" s="68">
        <v>42640</v>
      </c>
      <c r="B9074" s="33">
        <v>2917.58</v>
      </c>
      <c r="C9074">
        <f t="shared" si="171"/>
        <v>2016</v>
      </c>
      <c r="D9074" s="76"/>
    </row>
    <row r="9075" spans="1:4">
      <c r="A9075" s="68">
        <v>42641</v>
      </c>
      <c r="B9075" s="32">
        <v>2921.99</v>
      </c>
      <c r="C9075">
        <f t="shared" si="171"/>
        <v>2016</v>
      </c>
      <c r="D9075" s="76"/>
    </row>
    <row r="9076" spans="1:4">
      <c r="A9076" s="68">
        <v>42642</v>
      </c>
      <c r="B9076" s="33">
        <v>2914.11</v>
      </c>
      <c r="C9076">
        <f t="shared" si="171"/>
        <v>2016</v>
      </c>
      <c r="D9076" s="76"/>
    </row>
    <row r="9077" spans="1:4">
      <c r="A9077" s="68">
        <v>42643</v>
      </c>
      <c r="B9077" s="32">
        <v>2879.95</v>
      </c>
      <c r="C9077">
        <f t="shared" si="171"/>
        <v>2016</v>
      </c>
      <c r="D9077" s="76"/>
    </row>
    <row r="9078" spans="1:4">
      <c r="A9078" s="68">
        <v>42644</v>
      </c>
      <c r="B9078" s="33">
        <v>2880.08</v>
      </c>
      <c r="C9078">
        <f t="shared" si="171"/>
        <v>2016</v>
      </c>
      <c r="D9078" s="76"/>
    </row>
    <row r="9079" spans="1:4">
      <c r="A9079" s="68">
        <v>42645</v>
      </c>
      <c r="B9079" s="32">
        <v>2880.08</v>
      </c>
      <c r="C9079">
        <f t="shared" si="171"/>
        <v>2016</v>
      </c>
      <c r="D9079" s="76"/>
    </row>
    <row r="9080" spans="1:4">
      <c r="A9080" s="68">
        <v>42646</v>
      </c>
      <c r="B9080" s="33">
        <v>2880.08</v>
      </c>
      <c r="C9080">
        <f t="shared" si="171"/>
        <v>2016</v>
      </c>
      <c r="D9080" s="76"/>
    </row>
    <row r="9081" spans="1:4">
      <c r="A9081" s="68">
        <v>42647</v>
      </c>
      <c r="B9081" s="32">
        <v>2937.23</v>
      </c>
      <c r="C9081">
        <f t="shared" si="171"/>
        <v>2016</v>
      </c>
      <c r="D9081" s="76"/>
    </row>
    <row r="9082" spans="1:4">
      <c r="A9082" s="68">
        <v>42648</v>
      </c>
      <c r="B9082" s="33">
        <v>2963.06</v>
      </c>
      <c r="C9082">
        <f t="shared" si="171"/>
        <v>2016</v>
      </c>
      <c r="D9082" s="76"/>
    </row>
    <row r="9083" spans="1:4">
      <c r="A9083" s="68">
        <v>42649</v>
      </c>
      <c r="B9083" s="32">
        <v>2964.93</v>
      </c>
      <c r="C9083">
        <f t="shared" si="171"/>
        <v>2016</v>
      </c>
      <c r="D9083" s="76"/>
    </row>
    <row r="9084" spans="1:4">
      <c r="A9084" s="68">
        <v>42650</v>
      </c>
      <c r="B9084" s="33">
        <v>2924.8</v>
      </c>
      <c r="C9084">
        <f t="shared" si="171"/>
        <v>2016</v>
      </c>
      <c r="D9084" s="76"/>
    </row>
    <row r="9085" spans="1:4">
      <c r="A9085" s="68">
        <v>42651</v>
      </c>
      <c r="B9085" s="32">
        <v>2913.96</v>
      </c>
      <c r="C9085">
        <f t="shared" si="171"/>
        <v>2016</v>
      </c>
      <c r="D9085" s="76"/>
    </row>
    <row r="9086" spans="1:4">
      <c r="A9086" s="68">
        <v>42652</v>
      </c>
      <c r="B9086" s="33">
        <v>2913.96</v>
      </c>
      <c r="C9086">
        <f t="shared" si="171"/>
        <v>2016</v>
      </c>
      <c r="D9086" s="76"/>
    </row>
    <row r="9087" spans="1:4">
      <c r="A9087" s="68">
        <v>42653</v>
      </c>
      <c r="B9087" s="32">
        <v>2913.96</v>
      </c>
      <c r="C9087">
        <f t="shared" si="171"/>
        <v>2016</v>
      </c>
      <c r="D9087" s="76"/>
    </row>
    <row r="9088" spans="1:4">
      <c r="A9088" s="68">
        <v>42654</v>
      </c>
      <c r="B9088" s="33">
        <v>2913.96</v>
      </c>
      <c r="C9088">
        <f t="shared" si="171"/>
        <v>2016</v>
      </c>
      <c r="D9088" s="76"/>
    </row>
    <row r="9089" spans="1:4">
      <c r="A9089" s="68">
        <v>42655</v>
      </c>
      <c r="B9089" s="32">
        <v>2919.51</v>
      </c>
      <c r="C9089">
        <f t="shared" si="171"/>
        <v>2016</v>
      </c>
      <c r="D9089" s="76"/>
    </row>
    <row r="9090" spans="1:4">
      <c r="A9090" s="68">
        <v>42656</v>
      </c>
      <c r="B9090" s="33">
        <v>2919.18</v>
      </c>
      <c r="C9090">
        <f t="shared" si="171"/>
        <v>2016</v>
      </c>
      <c r="D9090" s="76"/>
    </row>
    <row r="9091" spans="1:4">
      <c r="A9091" s="68">
        <v>42657</v>
      </c>
      <c r="B9091" s="32">
        <v>2930.78</v>
      </c>
      <c r="C9091">
        <f t="shared" si="171"/>
        <v>2016</v>
      </c>
      <c r="D9091" s="76"/>
    </row>
    <row r="9092" spans="1:4">
      <c r="A9092" s="68">
        <v>42658</v>
      </c>
      <c r="B9092" s="33">
        <v>2915.67</v>
      </c>
      <c r="C9092">
        <f t="shared" ref="C9092:C9155" si="172">YEAR(A9092)</f>
        <v>2016</v>
      </c>
      <c r="D9092" s="76"/>
    </row>
    <row r="9093" spans="1:4">
      <c r="A9093" s="68">
        <v>42659</v>
      </c>
      <c r="B9093" s="32">
        <v>2915.67</v>
      </c>
      <c r="C9093">
        <f t="shared" si="172"/>
        <v>2016</v>
      </c>
      <c r="D9093" s="76"/>
    </row>
    <row r="9094" spans="1:4">
      <c r="A9094" s="68">
        <v>42660</v>
      </c>
      <c r="B9094" s="33">
        <v>2915.67</v>
      </c>
      <c r="C9094">
        <f t="shared" si="172"/>
        <v>2016</v>
      </c>
      <c r="D9094" s="76"/>
    </row>
    <row r="9095" spans="1:4">
      <c r="A9095" s="68">
        <v>42661</v>
      </c>
      <c r="B9095" s="32">
        <v>2915.67</v>
      </c>
      <c r="C9095">
        <f t="shared" si="172"/>
        <v>2016</v>
      </c>
      <c r="D9095" s="76"/>
    </row>
    <row r="9096" spans="1:4">
      <c r="A9096" s="68">
        <v>42662</v>
      </c>
      <c r="B9096" s="33">
        <v>2905.93</v>
      </c>
      <c r="C9096">
        <f t="shared" si="172"/>
        <v>2016</v>
      </c>
      <c r="D9096" s="76"/>
    </row>
    <row r="9097" spans="1:4">
      <c r="A9097" s="68">
        <v>42663</v>
      </c>
      <c r="B9097" s="32">
        <v>2914.15</v>
      </c>
      <c r="C9097">
        <f t="shared" si="172"/>
        <v>2016</v>
      </c>
      <c r="D9097" s="76"/>
    </row>
    <row r="9098" spans="1:4">
      <c r="A9098" s="68">
        <v>42664</v>
      </c>
      <c r="B9098" s="33">
        <v>2934.03</v>
      </c>
      <c r="C9098">
        <f t="shared" si="172"/>
        <v>2016</v>
      </c>
      <c r="D9098" s="76"/>
    </row>
    <row r="9099" spans="1:4">
      <c r="A9099" s="68">
        <v>42665</v>
      </c>
      <c r="B9099" s="32">
        <v>2944.25</v>
      </c>
      <c r="C9099">
        <f t="shared" si="172"/>
        <v>2016</v>
      </c>
      <c r="D9099" s="76"/>
    </row>
    <row r="9100" spans="1:4">
      <c r="A9100" s="68">
        <v>42666</v>
      </c>
      <c r="B9100" s="33">
        <v>2944.25</v>
      </c>
      <c r="C9100">
        <f t="shared" si="172"/>
        <v>2016</v>
      </c>
      <c r="D9100" s="76"/>
    </row>
    <row r="9101" spans="1:4">
      <c r="A9101" s="68">
        <v>42667</v>
      </c>
      <c r="B9101" s="32">
        <v>2944.25</v>
      </c>
      <c r="C9101">
        <f t="shared" si="172"/>
        <v>2016</v>
      </c>
      <c r="D9101" s="76"/>
    </row>
    <row r="9102" spans="1:4">
      <c r="A9102" s="68">
        <v>42668</v>
      </c>
      <c r="B9102" s="33">
        <v>2929.83</v>
      </c>
      <c r="C9102">
        <f t="shared" si="172"/>
        <v>2016</v>
      </c>
      <c r="D9102" s="76"/>
    </row>
    <row r="9103" spans="1:4">
      <c r="A9103" s="68">
        <v>42669</v>
      </c>
      <c r="B9103" s="32">
        <v>2941.34</v>
      </c>
      <c r="C9103">
        <f t="shared" si="172"/>
        <v>2016</v>
      </c>
      <c r="D9103" s="76"/>
    </row>
    <row r="9104" spans="1:4">
      <c r="A9104" s="68">
        <v>42670</v>
      </c>
      <c r="B9104" s="33">
        <v>2965.18</v>
      </c>
      <c r="C9104">
        <f t="shared" si="172"/>
        <v>2016</v>
      </c>
      <c r="D9104" s="76"/>
    </row>
    <row r="9105" spans="1:4">
      <c r="A9105" s="68">
        <v>42671</v>
      </c>
      <c r="B9105" s="32">
        <v>2966.61</v>
      </c>
      <c r="C9105">
        <f t="shared" si="172"/>
        <v>2016</v>
      </c>
      <c r="D9105" s="76"/>
    </row>
    <row r="9106" spans="1:4">
      <c r="A9106" s="68">
        <v>42672</v>
      </c>
      <c r="B9106" s="33">
        <v>2967.66</v>
      </c>
      <c r="C9106">
        <f t="shared" si="172"/>
        <v>2016</v>
      </c>
      <c r="D9106" s="76"/>
    </row>
    <row r="9107" spans="1:4">
      <c r="A9107" s="68">
        <v>42673</v>
      </c>
      <c r="B9107" s="32">
        <v>2967.66</v>
      </c>
      <c r="C9107">
        <f t="shared" si="172"/>
        <v>2016</v>
      </c>
      <c r="D9107" s="76"/>
    </row>
    <row r="9108" spans="1:4">
      <c r="A9108" s="68">
        <v>42674</v>
      </c>
      <c r="B9108" s="33">
        <v>2967.66</v>
      </c>
      <c r="C9108">
        <f t="shared" si="172"/>
        <v>2016</v>
      </c>
      <c r="D9108" s="76"/>
    </row>
    <row r="9109" spans="1:4">
      <c r="A9109" s="68">
        <v>42675</v>
      </c>
      <c r="B9109" s="32">
        <v>2998.55</v>
      </c>
      <c r="C9109">
        <f t="shared" si="172"/>
        <v>2016</v>
      </c>
      <c r="D9109" s="76"/>
    </row>
    <row r="9110" spans="1:4">
      <c r="A9110" s="68">
        <v>42676</v>
      </c>
      <c r="B9110" s="33">
        <v>3026.68</v>
      </c>
      <c r="C9110">
        <f t="shared" si="172"/>
        <v>2016</v>
      </c>
      <c r="D9110" s="76"/>
    </row>
    <row r="9111" spans="1:4">
      <c r="A9111" s="68">
        <v>42677</v>
      </c>
      <c r="B9111" s="32">
        <v>3070.54</v>
      </c>
      <c r="C9111">
        <f t="shared" si="172"/>
        <v>2016</v>
      </c>
      <c r="D9111" s="76"/>
    </row>
    <row r="9112" spans="1:4">
      <c r="A9112" s="68">
        <v>42678</v>
      </c>
      <c r="B9112" s="33">
        <v>3071.12</v>
      </c>
      <c r="C9112">
        <f t="shared" si="172"/>
        <v>2016</v>
      </c>
      <c r="D9112" s="76"/>
    </row>
    <row r="9113" spans="1:4">
      <c r="A9113" s="68">
        <v>42679</v>
      </c>
      <c r="B9113" s="32">
        <v>3070.4</v>
      </c>
      <c r="C9113">
        <f t="shared" si="172"/>
        <v>2016</v>
      </c>
      <c r="D9113" s="76"/>
    </row>
    <row r="9114" spans="1:4">
      <c r="A9114" s="68">
        <v>42680</v>
      </c>
      <c r="B9114" s="33">
        <v>3070.4</v>
      </c>
      <c r="C9114">
        <f t="shared" si="172"/>
        <v>2016</v>
      </c>
      <c r="D9114" s="76"/>
    </row>
    <row r="9115" spans="1:4">
      <c r="A9115" s="68">
        <v>42681</v>
      </c>
      <c r="B9115" s="32">
        <v>3070.4</v>
      </c>
      <c r="C9115">
        <f t="shared" si="172"/>
        <v>2016</v>
      </c>
      <c r="D9115" s="76"/>
    </row>
    <row r="9116" spans="1:4">
      <c r="A9116" s="68">
        <v>42682</v>
      </c>
      <c r="B9116" s="33">
        <v>3070.4</v>
      </c>
      <c r="C9116">
        <f t="shared" si="172"/>
        <v>2016</v>
      </c>
      <c r="D9116" s="76"/>
    </row>
    <row r="9117" spans="1:4">
      <c r="A9117" s="68">
        <v>42683</v>
      </c>
      <c r="B9117" s="32">
        <v>2984.78</v>
      </c>
      <c r="C9117">
        <f t="shared" si="172"/>
        <v>2016</v>
      </c>
      <c r="D9117" s="76"/>
    </row>
    <row r="9118" spans="1:4">
      <c r="A9118" s="68">
        <v>42684</v>
      </c>
      <c r="B9118" s="33">
        <v>3012.12</v>
      </c>
      <c r="C9118">
        <f t="shared" si="172"/>
        <v>2016</v>
      </c>
      <c r="D9118" s="76"/>
    </row>
    <row r="9119" spans="1:4">
      <c r="A9119" s="68">
        <v>42685</v>
      </c>
      <c r="B9119" s="32">
        <v>3100.12</v>
      </c>
      <c r="C9119">
        <f t="shared" si="172"/>
        <v>2016</v>
      </c>
      <c r="D9119" s="76"/>
    </row>
    <row r="9120" spans="1:4">
      <c r="A9120" s="68">
        <v>42686</v>
      </c>
      <c r="B9120" s="33">
        <v>3100.12</v>
      </c>
      <c r="C9120">
        <f t="shared" si="172"/>
        <v>2016</v>
      </c>
      <c r="D9120" s="76"/>
    </row>
    <row r="9121" spans="1:4">
      <c r="A9121" s="68">
        <v>42687</v>
      </c>
      <c r="B9121" s="32">
        <v>3100.12</v>
      </c>
      <c r="C9121">
        <f t="shared" si="172"/>
        <v>2016</v>
      </c>
      <c r="D9121" s="76"/>
    </row>
    <row r="9122" spans="1:4">
      <c r="A9122" s="68">
        <v>42688</v>
      </c>
      <c r="B9122" s="33">
        <v>3100.12</v>
      </c>
      <c r="C9122">
        <f t="shared" si="172"/>
        <v>2016</v>
      </c>
      <c r="D9122" s="76"/>
    </row>
    <row r="9123" spans="1:4">
      <c r="A9123" s="68">
        <v>42689</v>
      </c>
      <c r="B9123" s="32">
        <v>3100.12</v>
      </c>
      <c r="C9123">
        <f t="shared" si="172"/>
        <v>2016</v>
      </c>
      <c r="D9123" s="76"/>
    </row>
    <row r="9124" spans="1:4">
      <c r="A9124" s="68">
        <v>42690</v>
      </c>
      <c r="B9124" s="33">
        <v>3124.91</v>
      </c>
      <c r="C9124">
        <f t="shared" si="172"/>
        <v>2016</v>
      </c>
      <c r="D9124" s="76"/>
    </row>
    <row r="9125" spans="1:4">
      <c r="A9125" s="68">
        <v>42691</v>
      </c>
      <c r="B9125" s="32">
        <v>3131.11</v>
      </c>
      <c r="C9125">
        <f t="shared" si="172"/>
        <v>2016</v>
      </c>
      <c r="D9125" s="76"/>
    </row>
    <row r="9126" spans="1:4">
      <c r="A9126" s="68">
        <v>42692</v>
      </c>
      <c r="B9126" s="33">
        <v>3135.65</v>
      </c>
      <c r="C9126">
        <f t="shared" si="172"/>
        <v>2016</v>
      </c>
      <c r="D9126" s="76"/>
    </row>
    <row r="9127" spans="1:4">
      <c r="A9127" s="68">
        <v>42693</v>
      </c>
      <c r="B9127" s="32">
        <v>3163.49</v>
      </c>
      <c r="C9127">
        <f t="shared" si="172"/>
        <v>2016</v>
      </c>
      <c r="D9127" s="76"/>
    </row>
    <row r="9128" spans="1:4">
      <c r="A9128" s="68">
        <v>42694</v>
      </c>
      <c r="B9128" s="33">
        <v>3163.49</v>
      </c>
      <c r="C9128">
        <f t="shared" si="172"/>
        <v>2016</v>
      </c>
      <c r="D9128" s="76"/>
    </row>
    <row r="9129" spans="1:4">
      <c r="A9129" s="68">
        <v>42695</v>
      </c>
      <c r="B9129" s="32">
        <v>3163.49</v>
      </c>
      <c r="C9129">
        <f t="shared" si="172"/>
        <v>2016</v>
      </c>
      <c r="D9129" s="76"/>
    </row>
    <row r="9130" spans="1:4">
      <c r="A9130" s="68">
        <v>42696</v>
      </c>
      <c r="B9130" s="33">
        <v>3144.72</v>
      </c>
      <c r="C9130">
        <f t="shared" si="172"/>
        <v>2016</v>
      </c>
      <c r="D9130" s="76"/>
    </row>
    <row r="9131" spans="1:4">
      <c r="A9131" s="68">
        <v>42697</v>
      </c>
      <c r="B9131" s="32">
        <v>3139.76</v>
      </c>
      <c r="C9131">
        <f t="shared" si="172"/>
        <v>2016</v>
      </c>
      <c r="D9131" s="76"/>
    </row>
    <row r="9132" spans="1:4">
      <c r="A9132" s="68">
        <v>42698</v>
      </c>
      <c r="B9132" s="33">
        <v>3187.97</v>
      </c>
      <c r="C9132">
        <f t="shared" si="172"/>
        <v>2016</v>
      </c>
      <c r="D9132" s="76"/>
    </row>
    <row r="9133" spans="1:4">
      <c r="A9133" s="68">
        <v>42699</v>
      </c>
      <c r="B9133" s="32">
        <v>3187.97</v>
      </c>
      <c r="C9133">
        <f t="shared" si="172"/>
        <v>2016</v>
      </c>
      <c r="D9133" s="76"/>
    </row>
    <row r="9134" spans="1:4">
      <c r="A9134" s="68">
        <v>42700</v>
      </c>
      <c r="B9134" s="33">
        <v>3170.64</v>
      </c>
      <c r="C9134">
        <f t="shared" si="172"/>
        <v>2016</v>
      </c>
      <c r="D9134" s="76"/>
    </row>
    <row r="9135" spans="1:4">
      <c r="A9135" s="68">
        <v>42701</v>
      </c>
      <c r="B9135" s="32">
        <v>3170.64</v>
      </c>
      <c r="C9135">
        <f t="shared" si="172"/>
        <v>2016</v>
      </c>
      <c r="D9135" s="76"/>
    </row>
    <row r="9136" spans="1:4">
      <c r="A9136" s="68">
        <v>42702</v>
      </c>
      <c r="B9136" s="33">
        <v>3170.64</v>
      </c>
      <c r="C9136">
        <f t="shared" si="172"/>
        <v>2016</v>
      </c>
      <c r="D9136" s="76"/>
    </row>
    <row r="9137" spans="1:4">
      <c r="A9137" s="68">
        <v>42703</v>
      </c>
      <c r="B9137" s="32">
        <v>3142.2</v>
      </c>
      <c r="C9137">
        <f t="shared" si="172"/>
        <v>2016</v>
      </c>
      <c r="D9137" s="76"/>
    </row>
    <row r="9138" spans="1:4">
      <c r="A9138" s="68">
        <v>42704</v>
      </c>
      <c r="B9138" s="33">
        <v>3165.09</v>
      </c>
      <c r="C9138">
        <f t="shared" si="172"/>
        <v>2016</v>
      </c>
      <c r="D9138" s="76"/>
    </row>
    <row r="9139" spans="1:4">
      <c r="A9139" s="68">
        <v>42705</v>
      </c>
      <c r="B9139" s="32">
        <v>3085.6</v>
      </c>
      <c r="C9139">
        <f t="shared" si="172"/>
        <v>2016</v>
      </c>
      <c r="D9139" s="76"/>
    </row>
    <row r="9140" spans="1:4">
      <c r="A9140" s="68">
        <v>42706</v>
      </c>
      <c r="B9140" s="33">
        <v>3068.34</v>
      </c>
      <c r="C9140">
        <f t="shared" si="172"/>
        <v>2016</v>
      </c>
      <c r="D9140" s="76"/>
    </row>
    <row r="9141" spans="1:4">
      <c r="A9141" s="68">
        <v>42707</v>
      </c>
      <c r="B9141" s="32">
        <v>3061.04</v>
      </c>
      <c r="C9141">
        <f t="shared" si="172"/>
        <v>2016</v>
      </c>
      <c r="D9141" s="76"/>
    </row>
    <row r="9142" spans="1:4">
      <c r="A9142" s="68">
        <v>42708</v>
      </c>
      <c r="B9142" s="33">
        <v>3061.04</v>
      </c>
      <c r="C9142">
        <f t="shared" si="172"/>
        <v>2016</v>
      </c>
      <c r="D9142" s="76"/>
    </row>
    <row r="9143" spans="1:4">
      <c r="A9143" s="68">
        <v>42709</v>
      </c>
      <c r="B9143" s="32">
        <v>3061.04</v>
      </c>
      <c r="C9143">
        <f t="shared" si="172"/>
        <v>2016</v>
      </c>
      <c r="D9143" s="76"/>
    </row>
    <row r="9144" spans="1:4">
      <c r="A9144" s="68">
        <v>42710</v>
      </c>
      <c r="B9144" s="33">
        <v>3049.47</v>
      </c>
      <c r="C9144">
        <f t="shared" si="172"/>
        <v>2016</v>
      </c>
      <c r="D9144" s="76"/>
    </row>
    <row r="9145" spans="1:4">
      <c r="A9145" s="68">
        <v>42711</v>
      </c>
      <c r="B9145" s="32">
        <v>3015.47</v>
      </c>
      <c r="C9145">
        <f t="shared" si="172"/>
        <v>2016</v>
      </c>
      <c r="D9145" s="76"/>
    </row>
    <row r="9146" spans="1:4">
      <c r="A9146" s="68">
        <v>42712</v>
      </c>
      <c r="B9146" s="33">
        <v>2989.71</v>
      </c>
      <c r="C9146">
        <f t="shared" si="172"/>
        <v>2016</v>
      </c>
      <c r="D9146" s="76"/>
    </row>
    <row r="9147" spans="1:4">
      <c r="A9147" s="68">
        <v>42713</v>
      </c>
      <c r="B9147" s="32">
        <v>2989.71</v>
      </c>
      <c r="C9147">
        <f t="shared" si="172"/>
        <v>2016</v>
      </c>
      <c r="D9147" s="76"/>
    </row>
    <row r="9148" spans="1:4">
      <c r="A9148" s="68">
        <v>42714</v>
      </c>
      <c r="B9148" s="33">
        <v>3002.8</v>
      </c>
      <c r="C9148">
        <f t="shared" si="172"/>
        <v>2016</v>
      </c>
      <c r="D9148" s="76"/>
    </row>
    <row r="9149" spans="1:4">
      <c r="A9149" s="68">
        <v>42715</v>
      </c>
      <c r="B9149" s="32">
        <v>3002.8</v>
      </c>
      <c r="C9149">
        <f t="shared" si="172"/>
        <v>2016</v>
      </c>
      <c r="D9149" s="76"/>
    </row>
    <row r="9150" spans="1:4">
      <c r="A9150" s="68">
        <v>42716</v>
      </c>
      <c r="B9150" s="33">
        <v>3002.8</v>
      </c>
      <c r="C9150">
        <f t="shared" si="172"/>
        <v>2016</v>
      </c>
      <c r="D9150" s="76"/>
    </row>
    <row r="9151" spans="1:4">
      <c r="A9151" s="68">
        <v>42717</v>
      </c>
      <c r="B9151" s="32">
        <v>2984.02</v>
      </c>
      <c r="C9151">
        <f t="shared" si="172"/>
        <v>2016</v>
      </c>
      <c r="D9151" s="76"/>
    </row>
    <row r="9152" spans="1:4">
      <c r="A9152" s="68">
        <v>42718</v>
      </c>
      <c r="B9152" s="33">
        <v>2982.29</v>
      </c>
      <c r="C9152">
        <f t="shared" si="172"/>
        <v>2016</v>
      </c>
      <c r="D9152" s="76"/>
    </row>
    <row r="9153" spans="1:4">
      <c r="A9153" s="68">
        <v>42719</v>
      </c>
      <c r="B9153" s="32">
        <v>2964.56</v>
      </c>
      <c r="C9153">
        <f t="shared" si="172"/>
        <v>2016</v>
      </c>
      <c r="D9153" s="76"/>
    </row>
    <row r="9154" spans="1:4">
      <c r="A9154" s="68">
        <v>42720</v>
      </c>
      <c r="B9154" s="33">
        <v>3000.47</v>
      </c>
      <c r="C9154">
        <f t="shared" si="172"/>
        <v>2016</v>
      </c>
      <c r="D9154" s="76"/>
    </row>
    <row r="9155" spans="1:4">
      <c r="A9155" s="68">
        <v>42721</v>
      </c>
      <c r="B9155" s="32">
        <v>2997.2</v>
      </c>
      <c r="C9155">
        <f t="shared" si="172"/>
        <v>2016</v>
      </c>
      <c r="D9155" s="76"/>
    </row>
    <row r="9156" spans="1:4">
      <c r="A9156" s="68">
        <v>42722</v>
      </c>
      <c r="B9156" s="33">
        <v>2997.2</v>
      </c>
      <c r="C9156">
        <f t="shared" ref="C9156:C9219" si="173">YEAR(A9156)</f>
        <v>2016</v>
      </c>
      <c r="D9156" s="76"/>
    </row>
    <row r="9157" spans="1:4">
      <c r="A9157" s="68">
        <v>42723</v>
      </c>
      <c r="B9157" s="32">
        <v>2997.2</v>
      </c>
      <c r="C9157">
        <f t="shared" si="173"/>
        <v>2016</v>
      </c>
      <c r="D9157" s="76"/>
    </row>
    <row r="9158" spans="1:4">
      <c r="A9158" s="68">
        <v>42724</v>
      </c>
      <c r="B9158" s="33">
        <v>3019.44</v>
      </c>
      <c r="C9158">
        <f t="shared" si="173"/>
        <v>2016</v>
      </c>
      <c r="D9158" s="76"/>
    </row>
    <row r="9159" spans="1:4">
      <c r="A9159" s="68">
        <v>42725</v>
      </c>
      <c r="B9159" s="32">
        <v>2988.06</v>
      </c>
      <c r="C9159">
        <f t="shared" si="173"/>
        <v>2016</v>
      </c>
      <c r="D9159" s="76"/>
    </row>
    <row r="9160" spans="1:4">
      <c r="A9160" s="68">
        <v>42726</v>
      </c>
      <c r="B9160" s="33">
        <v>2989.14</v>
      </c>
      <c r="C9160">
        <f t="shared" si="173"/>
        <v>2016</v>
      </c>
      <c r="D9160" s="76"/>
    </row>
    <row r="9161" spans="1:4">
      <c r="A9161" s="68">
        <v>42727</v>
      </c>
      <c r="B9161" s="32">
        <v>2996.03</v>
      </c>
      <c r="C9161">
        <f t="shared" si="173"/>
        <v>2016</v>
      </c>
      <c r="D9161" s="76"/>
    </row>
    <row r="9162" spans="1:4">
      <c r="A9162" s="68">
        <v>42728</v>
      </c>
      <c r="B9162" s="33">
        <v>2996.6</v>
      </c>
      <c r="C9162">
        <f t="shared" si="173"/>
        <v>2016</v>
      </c>
      <c r="D9162" s="76"/>
    </row>
    <row r="9163" spans="1:4">
      <c r="A9163" s="68">
        <v>42729</v>
      </c>
      <c r="B9163" s="32">
        <v>2996.6</v>
      </c>
      <c r="C9163">
        <f t="shared" si="173"/>
        <v>2016</v>
      </c>
      <c r="D9163" s="76"/>
    </row>
    <row r="9164" spans="1:4">
      <c r="A9164" s="68">
        <v>42730</v>
      </c>
      <c r="B9164" s="33">
        <v>2996.6</v>
      </c>
      <c r="C9164">
        <f t="shared" si="173"/>
        <v>2016</v>
      </c>
      <c r="D9164" s="76"/>
    </row>
    <row r="9165" spans="1:4">
      <c r="A9165" s="68">
        <v>42731</v>
      </c>
      <c r="B9165" s="32">
        <v>2996.6</v>
      </c>
      <c r="C9165">
        <f t="shared" si="173"/>
        <v>2016</v>
      </c>
      <c r="D9165" s="76"/>
    </row>
    <row r="9166" spans="1:4">
      <c r="A9166" s="68">
        <v>42732</v>
      </c>
      <c r="B9166" s="33">
        <v>2992.81</v>
      </c>
      <c r="C9166">
        <f t="shared" si="173"/>
        <v>2016</v>
      </c>
      <c r="D9166" s="76"/>
    </row>
    <row r="9167" spans="1:4">
      <c r="A9167" s="68">
        <v>42733</v>
      </c>
      <c r="B9167" s="32">
        <v>3019.72</v>
      </c>
      <c r="C9167">
        <f t="shared" si="173"/>
        <v>2016</v>
      </c>
      <c r="D9167" s="76"/>
    </row>
    <row r="9168" spans="1:4">
      <c r="A9168" s="68">
        <v>42734</v>
      </c>
      <c r="B9168" s="33">
        <v>3000.71</v>
      </c>
      <c r="C9168">
        <f t="shared" si="173"/>
        <v>2016</v>
      </c>
      <c r="D9168" s="76"/>
    </row>
    <row r="9169" spans="1:4">
      <c r="A9169" s="68">
        <v>42735</v>
      </c>
      <c r="B9169" s="32">
        <v>3000.71</v>
      </c>
      <c r="C9169">
        <f t="shared" si="173"/>
        <v>2016</v>
      </c>
      <c r="D9169" s="141">
        <f>(B9169-B8804)/B8804</f>
        <v>-4.7233344022962524E-2</v>
      </c>
    </row>
    <row r="9170" spans="1:4">
      <c r="A9170" s="68">
        <v>42736</v>
      </c>
      <c r="B9170" s="33">
        <v>3000.71</v>
      </c>
      <c r="C9170">
        <f t="shared" si="173"/>
        <v>2017</v>
      </c>
    </row>
    <row r="9171" spans="1:4">
      <c r="A9171" s="68">
        <v>42737</v>
      </c>
      <c r="B9171" s="32">
        <v>3000.71</v>
      </c>
      <c r="C9171">
        <f t="shared" si="173"/>
        <v>2017</v>
      </c>
    </row>
    <row r="9172" spans="1:4">
      <c r="A9172" s="68">
        <v>42738</v>
      </c>
      <c r="B9172" s="33">
        <v>3000.71</v>
      </c>
      <c r="C9172">
        <f t="shared" si="173"/>
        <v>2017</v>
      </c>
    </row>
    <row r="9173" spans="1:4">
      <c r="A9173" s="68">
        <v>42739</v>
      </c>
      <c r="B9173" s="32">
        <v>2981.06</v>
      </c>
      <c r="C9173">
        <f t="shared" si="173"/>
        <v>2017</v>
      </c>
    </row>
    <row r="9174" spans="1:4">
      <c r="A9174" s="68">
        <v>42740</v>
      </c>
      <c r="B9174" s="33">
        <v>2965.36</v>
      </c>
      <c r="C9174">
        <f t="shared" si="173"/>
        <v>2017</v>
      </c>
    </row>
    <row r="9175" spans="1:4">
      <c r="A9175" s="68">
        <v>42741</v>
      </c>
      <c r="B9175" s="32">
        <v>2941.08</v>
      </c>
      <c r="C9175">
        <f t="shared" si="173"/>
        <v>2017</v>
      </c>
    </row>
    <row r="9176" spans="1:4">
      <c r="A9176" s="68">
        <v>42742</v>
      </c>
      <c r="B9176" s="33">
        <v>2919.01</v>
      </c>
      <c r="C9176">
        <f t="shared" si="173"/>
        <v>2017</v>
      </c>
    </row>
    <row r="9177" spans="1:4">
      <c r="A9177" s="68">
        <v>42743</v>
      </c>
      <c r="B9177" s="32">
        <v>2919.01</v>
      </c>
      <c r="C9177">
        <f t="shared" si="173"/>
        <v>2017</v>
      </c>
    </row>
    <row r="9178" spans="1:4">
      <c r="A9178" s="68">
        <v>42744</v>
      </c>
      <c r="B9178" s="33">
        <v>2919.01</v>
      </c>
      <c r="C9178">
        <f t="shared" si="173"/>
        <v>2017</v>
      </c>
    </row>
    <row r="9179" spans="1:4">
      <c r="A9179" s="68">
        <v>42745</v>
      </c>
      <c r="B9179" s="32">
        <v>2919.01</v>
      </c>
      <c r="C9179">
        <f t="shared" si="173"/>
        <v>2017</v>
      </c>
    </row>
    <row r="9180" spans="1:4">
      <c r="A9180" s="68">
        <v>42746</v>
      </c>
      <c r="B9180" s="33">
        <v>2949.6</v>
      </c>
      <c r="C9180">
        <f t="shared" si="173"/>
        <v>2017</v>
      </c>
    </row>
    <row r="9181" spans="1:4">
      <c r="A9181" s="68">
        <v>42747</v>
      </c>
      <c r="B9181" s="32">
        <v>2980.8</v>
      </c>
      <c r="C9181">
        <f t="shared" si="173"/>
        <v>2017</v>
      </c>
    </row>
    <row r="9182" spans="1:4">
      <c r="A9182" s="68">
        <v>42748</v>
      </c>
      <c r="B9182" s="33">
        <v>2930.19</v>
      </c>
      <c r="C9182">
        <f t="shared" si="173"/>
        <v>2017</v>
      </c>
    </row>
    <row r="9183" spans="1:4">
      <c r="A9183" s="68">
        <v>42749</v>
      </c>
      <c r="B9183" s="32">
        <v>2935.96</v>
      </c>
      <c r="C9183">
        <f t="shared" si="173"/>
        <v>2017</v>
      </c>
    </row>
    <row r="9184" spans="1:4">
      <c r="A9184" s="68">
        <v>42750</v>
      </c>
      <c r="B9184" s="33">
        <v>2935.96</v>
      </c>
      <c r="C9184">
        <f t="shared" si="173"/>
        <v>2017</v>
      </c>
    </row>
    <row r="9185" spans="1:3">
      <c r="A9185" s="68">
        <v>42751</v>
      </c>
      <c r="B9185" s="32">
        <v>2935.96</v>
      </c>
      <c r="C9185">
        <f t="shared" si="173"/>
        <v>2017</v>
      </c>
    </row>
    <row r="9186" spans="1:3">
      <c r="A9186" s="68">
        <v>42752</v>
      </c>
      <c r="B9186" s="33">
        <v>2935.96</v>
      </c>
      <c r="C9186">
        <f t="shared" si="173"/>
        <v>2017</v>
      </c>
    </row>
    <row r="9187" spans="1:3">
      <c r="A9187" s="68">
        <v>42753</v>
      </c>
      <c r="B9187" s="32">
        <v>2924.77</v>
      </c>
      <c r="C9187">
        <f t="shared" si="173"/>
        <v>2017</v>
      </c>
    </row>
    <row r="9188" spans="1:3">
      <c r="A9188" s="68">
        <v>42754</v>
      </c>
      <c r="B9188" s="33">
        <v>2934.58</v>
      </c>
      <c r="C9188">
        <f t="shared" si="173"/>
        <v>2017</v>
      </c>
    </row>
    <row r="9189" spans="1:3">
      <c r="A9189" s="68">
        <v>42755</v>
      </c>
      <c r="B9189" s="32">
        <v>2938.24</v>
      </c>
      <c r="C9189">
        <f t="shared" si="173"/>
        <v>2017</v>
      </c>
    </row>
    <row r="9190" spans="1:3">
      <c r="A9190" s="68">
        <v>42756</v>
      </c>
      <c r="B9190" s="33">
        <v>2927.91</v>
      </c>
      <c r="C9190">
        <f t="shared" si="173"/>
        <v>2017</v>
      </c>
    </row>
    <row r="9191" spans="1:3">
      <c r="A9191" s="68">
        <v>42757</v>
      </c>
      <c r="B9191" s="32">
        <v>2927.91</v>
      </c>
      <c r="C9191">
        <f t="shared" si="173"/>
        <v>2017</v>
      </c>
    </row>
    <row r="9192" spans="1:3">
      <c r="A9192" s="68">
        <v>42758</v>
      </c>
      <c r="B9192" s="33">
        <v>2927.91</v>
      </c>
      <c r="C9192">
        <f t="shared" si="173"/>
        <v>2017</v>
      </c>
    </row>
    <row r="9193" spans="1:3">
      <c r="A9193" s="68">
        <v>42759</v>
      </c>
      <c r="B9193" s="32">
        <v>2908.53</v>
      </c>
      <c r="C9193">
        <f t="shared" si="173"/>
        <v>2017</v>
      </c>
    </row>
    <row r="9194" spans="1:3">
      <c r="A9194" s="68">
        <v>42760</v>
      </c>
      <c r="B9194" s="33">
        <v>2932.01</v>
      </c>
      <c r="C9194">
        <f t="shared" si="173"/>
        <v>2017</v>
      </c>
    </row>
    <row r="9195" spans="1:3">
      <c r="A9195" s="68">
        <v>42761</v>
      </c>
      <c r="B9195" s="32">
        <v>2927.53</v>
      </c>
      <c r="C9195">
        <f t="shared" si="173"/>
        <v>2017</v>
      </c>
    </row>
    <row r="9196" spans="1:3">
      <c r="A9196" s="68">
        <v>42762</v>
      </c>
      <c r="B9196" s="33">
        <v>2936.72</v>
      </c>
      <c r="C9196">
        <f t="shared" si="173"/>
        <v>2017</v>
      </c>
    </row>
    <row r="9197" spans="1:3">
      <c r="A9197" s="68">
        <v>42763</v>
      </c>
      <c r="B9197" s="32">
        <v>2930.17</v>
      </c>
      <c r="C9197">
        <f t="shared" si="173"/>
        <v>2017</v>
      </c>
    </row>
    <row r="9198" spans="1:3">
      <c r="A9198" s="68">
        <v>42764</v>
      </c>
      <c r="B9198" s="33">
        <v>2930.17</v>
      </c>
      <c r="C9198">
        <f t="shared" si="173"/>
        <v>2017</v>
      </c>
    </row>
    <row r="9199" spans="1:3">
      <c r="A9199" s="68">
        <v>42765</v>
      </c>
      <c r="B9199" s="32">
        <v>2930.17</v>
      </c>
      <c r="C9199">
        <f t="shared" si="173"/>
        <v>2017</v>
      </c>
    </row>
    <row r="9200" spans="1:3">
      <c r="A9200" s="68">
        <v>42766</v>
      </c>
      <c r="B9200" s="33">
        <v>2936.66</v>
      </c>
      <c r="C9200">
        <f t="shared" si="173"/>
        <v>2017</v>
      </c>
    </row>
    <row r="9201" spans="1:3">
      <c r="A9201" s="68">
        <v>42767</v>
      </c>
      <c r="B9201" s="32">
        <v>2921.9</v>
      </c>
      <c r="C9201">
        <f t="shared" si="173"/>
        <v>2017</v>
      </c>
    </row>
    <row r="9202" spans="1:3">
      <c r="A9202" s="68">
        <v>42768</v>
      </c>
      <c r="B9202" s="33">
        <v>2906.78</v>
      </c>
      <c r="C9202">
        <f t="shared" si="173"/>
        <v>2017</v>
      </c>
    </row>
    <row r="9203" spans="1:3">
      <c r="A9203" s="68">
        <v>42769</v>
      </c>
      <c r="B9203" s="32">
        <v>2882.2</v>
      </c>
      <c r="C9203">
        <f t="shared" si="173"/>
        <v>2017</v>
      </c>
    </row>
    <row r="9204" spans="1:3">
      <c r="A9204" s="68">
        <v>42770</v>
      </c>
      <c r="B9204" s="33">
        <v>2855.8</v>
      </c>
      <c r="C9204">
        <f t="shared" si="173"/>
        <v>2017</v>
      </c>
    </row>
    <row r="9205" spans="1:3">
      <c r="A9205" s="68">
        <v>42771</v>
      </c>
      <c r="B9205" s="32">
        <v>2855.8</v>
      </c>
      <c r="C9205">
        <f t="shared" si="173"/>
        <v>2017</v>
      </c>
    </row>
    <row r="9206" spans="1:3">
      <c r="A9206" s="68">
        <v>42772</v>
      </c>
      <c r="B9206" s="33">
        <v>2855.8</v>
      </c>
      <c r="C9206">
        <f t="shared" si="173"/>
        <v>2017</v>
      </c>
    </row>
    <row r="9207" spans="1:3">
      <c r="A9207" s="68">
        <v>42773</v>
      </c>
      <c r="B9207" s="32">
        <v>2853.99</v>
      </c>
      <c r="C9207">
        <f t="shared" si="173"/>
        <v>2017</v>
      </c>
    </row>
    <row r="9208" spans="1:3">
      <c r="A9208" s="68">
        <v>42774</v>
      </c>
      <c r="B9208" s="33">
        <v>2867.76</v>
      </c>
      <c r="C9208">
        <f t="shared" si="173"/>
        <v>2017</v>
      </c>
    </row>
    <row r="9209" spans="1:3">
      <c r="A9209" s="68">
        <v>42775</v>
      </c>
      <c r="B9209" s="32">
        <v>2879.49</v>
      </c>
      <c r="C9209">
        <f t="shared" si="173"/>
        <v>2017</v>
      </c>
    </row>
    <row r="9210" spans="1:3">
      <c r="A9210" s="68">
        <v>42776</v>
      </c>
      <c r="B9210" s="33">
        <v>2862.63</v>
      </c>
      <c r="C9210">
        <f t="shared" si="173"/>
        <v>2017</v>
      </c>
    </row>
    <row r="9211" spans="1:3">
      <c r="A9211" s="68">
        <v>42777</v>
      </c>
      <c r="B9211" s="32">
        <v>2851.98</v>
      </c>
      <c r="C9211">
        <f t="shared" si="173"/>
        <v>2017</v>
      </c>
    </row>
    <row r="9212" spans="1:3">
      <c r="A9212" s="68">
        <v>42778</v>
      </c>
      <c r="B9212" s="33">
        <v>2851.98</v>
      </c>
      <c r="C9212">
        <f t="shared" si="173"/>
        <v>2017</v>
      </c>
    </row>
    <row r="9213" spans="1:3">
      <c r="A9213" s="68">
        <v>42779</v>
      </c>
      <c r="B9213" s="32">
        <v>2851.98</v>
      </c>
      <c r="C9213">
        <f t="shared" si="173"/>
        <v>2017</v>
      </c>
    </row>
    <row r="9214" spans="1:3">
      <c r="A9214" s="68">
        <v>42780</v>
      </c>
      <c r="B9214" s="33">
        <v>2875.46</v>
      </c>
      <c r="C9214">
        <f t="shared" si="173"/>
        <v>2017</v>
      </c>
    </row>
    <row r="9215" spans="1:3">
      <c r="A9215" s="68">
        <v>42781</v>
      </c>
      <c r="B9215" s="32">
        <v>2867.64</v>
      </c>
      <c r="C9215">
        <f t="shared" si="173"/>
        <v>2017</v>
      </c>
    </row>
    <row r="9216" spans="1:3">
      <c r="A9216" s="68">
        <v>42782</v>
      </c>
      <c r="B9216" s="33">
        <v>2876.03</v>
      </c>
      <c r="C9216">
        <f t="shared" si="173"/>
        <v>2017</v>
      </c>
    </row>
    <row r="9217" spans="1:3">
      <c r="A9217" s="68">
        <v>42783</v>
      </c>
      <c r="B9217" s="32">
        <v>2875.68</v>
      </c>
      <c r="C9217">
        <f t="shared" si="173"/>
        <v>2017</v>
      </c>
    </row>
    <row r="9218" spans="1:3">
      <c r="A9218" s="68">
        <v>42784</v>
      </c>
      <c r="B9218" s="33">
        <v>2902.81</v>
      </c>
      <c r="C9218">
        <f t="shared" si="173"/>
        <v>2017</v>
      </c>
    </row>
    <row r="9219" spans="1:3">
      <c r="A9219" s="68">
        <v>42785</v>
      </c>
      <c r="B9219" s="32">
        <v>2902.81</v>
      </c>
      <c r="C9219">
        <f t="shared" si="173"/>
        <v>2017</v>
      </c>
    </row>
    <row r="9220" spans="1:3">
      <c r="A9220" s="68">
        <v>42786</v>
      </c>
      <c r="B9220" s="33">
        <v>2902.81</v>
      </c>
      <c r="C9220">
        <f t="shared" ref="C9220:C9283" si="174">YEAR(A9220)</f>
        <v>2017</v>
      </c>
    </row>
    <row r="9221" spans="1:3">
      <c r="A9221" s="68">
        <v>42787</v>
      </c>
      <c r="B9221" s="32">
        <v>2902.81</v>
      </c>
      <c r="C9221">
        <f t="shared" si="174"/>
        <v>2017</v>
      </c>
    </row>
    <row r="9222" spans="1:3">
      <c r="A9222" s="68">
        <v>42788</v>
      </c>
      <c r="B9222" s="33">
        <v>2902.68</v>
      </c>
      <c r="C9222">
        <f t="shared" si="174"/>
        <v>2017</v>
      </c>
    </row>
    <row r="9223" spans="1:3">
      <c r="A9223" s="68">
        <v>42789</v>
      </c>
      <c r="B9223" s="32">
        <v>2893.55</v>
      </c>
      <c r="C9223">
        <f t="shared" si="174"/>
        <v>2017</v>
      </c>
    </row>
    <row r="9224" spans="1:3">
      <c r="A9224" s="68">
        <v>42790</v>
      </c>
      <c r="B9224" s="33">
        <v>2871.67</v>
      </c>
      <c r="C9224">
        <f t="shared" si="174"/>
        <v>2017</v>
      </c>
    </row>
    <row r="9225" spans="1:3">
      <c r="A9225" s="68">
        <v>42791</v>
      </c>
      <c r="B9225" s="32">
        <v>2886.52</v>
      </c>
      <c r="C9225">
        <f t="shared" si="174"/>
        <v>2017</v>
      </c>
    </row>
    <row r="9226" spans="1:3">
      <c r="A9226" s="68">
        <v>42792</v>
      </c>
      <c r="B9226" s="33">
        <v>2886.52</v>
      </c>
      <c r="C9226">
        <f t="shared" si="174"/>
        <v>2017</v>
      </c>
    </row>
    <row r="9227" spans="1:3">
      <c r="A9227" s="68">
        <v>42793</v>
      </c>
      <c r="B9227" s="32">
        <v>2886.52</v>
      </c>
      <c r="C9227">
        <f t="shared" si="174"/>
        <v>2017</v>
      </c>
    </row>
    <row r="9228" spans="1:3">
      <c r="A9228" s="68">
        <v>42794</v>
      </c>
      <c r="B9228" s="33">
        <v>2896.27</v>
      </c>
      <c r="C9228">
        <f t="shared" si="174"/>
        <v>2017</v>
      </c>
    </row>
    <row r="9229" spans="1:3">
      <c r="A9229" s="68">
        <v>42795</v>
      </c>
      <c r="B9229" s="32">
        <v>2919.17</v>
      </c>
      <c r="C9229">
        <f t="shared" si="174"/>
        <v>2017</v>
      </c>
    </row>
    <row r="9230" spans="1:3">
      <c r="A9230" s="68">
        <v>42796</v>
      </c>
      <c r="B9230" s="33">
        <v>2935.75</v>
      </c>
      <c r="C9230">
        <f t="shared" si="174"/>
        <v>2017</v>
      </c>
    </row>
    <row r="9231" spans="1:3">
      <c r="A9231" s="68">
        <v>42797</v>
      </c>
      <c r="B9231" s="32">
        <v>2960.91</v>
      </c>
      <c r="C9231">
        <f t="shared" si="174"/>
        <v>2017</v>
      </c>
    </row>
    <row r="9232" spans="1:3">
      <c r="A9232" s="68">
        <v>42798</v>
      </c>
      <c r="B9232" s="33">
        <v>2977.43</v>
      </c>
      <c r="C9232">
        <f t="shared" si="174"/>
        <v>2017</v>
      </c>
    </row>
    <row r="9233" spans="1:3">
      <c r="A9233" s="68">
        <v>42799</v>
      </c>
      <c r="B9233" s="32">
        <v>2977.43</v>
      </c>
      <c r="C9233">
        <f t="shared" si="174"/>
        <v>2017</v>
      </c>
    </row>
    <row r="9234" spans="1:3">
      <c r="A9234" s="68">
        <v>42800</v>
      </c>
      <c r="B9234" s="33">
        <v>2977.43</v>
      </c>
      <c r="C9234">
        <f t="shared" si="174"/>
        <v>2017</v>
      </c>
    </row>
    <row r="9235" spans="1:3">
      <c r="A9235" s="68">
        <v>42801</v>
      </c>
      <c r="B9235" s="32">
        <v>2966.67</v>
      </c>
      <c r="C9235">
        <f t="shared" si="174"/>
        <v>2017</v>
      </c>
    </row>
    <row r="9236" spans="1:3">
      <c r="A9236" s="68">
        <v>42802</v>
      </c>
      <c r="B9236" s="33">
        <v>2972.44</v>
      </c>
      <c r="C9236">
        <f t="shared" si="174"/>
        <v>2017</v>
      </c>
    </row>
    <row r="9237" spans="1:3">
      <c r="A9237" s="68">
        <v>42803</v>
      </c>
      <c r="B9237" s="32">
        <v>2987.88</v>
      </c>
      <c r="C9237">
        <f t="shared" si="174"/>
        <v>2017</v>
      </c>
    </row>
    <row r="9238" spans="1:3">
      <c r="A9238" s="68">
        <v>42804</v>
      </c>
      <c r="B9238" s="33">
        <v>3004.43</v>
      </c>
      <c r="C9238">
        <f t="shared" si="174"/>
        <v>2017</v>
      </c>
    </row>
    <row r="9239" spans="1:3">
      <c r="A9239" s="68">
        <v>42805</v>
      </c>
      <c r="B9239" s="32">
        <v>2980.83</v>
      </c>
      <c r="C9239">
        <f t="shared" si="174"/>
        <v>2017</v>
      </c>
    </row>
    <row r="9240" spans="1:3">
      <c r="A9240" s="68">
        <v>42806</v>
      </c>
      <c r="B9240" s="33">
        <v>2980.83</v>
      </c>
      <c r="C9240">
        <f t="shared" si="174"/>
        <v>2017</v>
      </c>
    </row>
    <row r="9241" spans="1:3">
      <c r="A9241" s="68">
        <v>42807</v>
      </c>
      <c r="B9241" s="32">
        <v>2980.83</v>
      </c>
      <c r="C9241">
        <f t="shared" si="174"/>
        <v>2017</v>
      </c>
    </row>
    <row r="9242" spans="1:3">
      <c r="A9242" s="68">
        <v>42808</v>
      </c>
      <c r="B9242" s="33">
        <v>2987.93</v>
      </c>
      <c r="C9242">
        <f t="shared" si="174"/>
        <v>2017</v>
      </c>
    </row>
    <row r="9243" spans="1:3">
      <c r="A9243" s="68">
        <v>42809</v>
      </c>
      <c r="B9243" s="32">
        <v>2997.73</v>
      </c>
      <c r="C9243">
        <f t="shared" si="174"/>
        <v>2017</v>
      </c>
    </row>
    <row r="9244" spans="1:3">
      <c r="A9244" s="68">
        <v>42810</v>
      </c>
      <c r="B9244" s="33">
        <v>2972.61</v>
      </c>
      <c r="C9244">
        <f t="shared" si="174"/>
        <v>2017</v>
      </c>
    </row>
    <row r="9245" spans="1:3">
      <c r="A9245" s="68">
        <v>42811</v>
      </c>
      <c r="B9245" s="32">
        <v>2923.96</v>
      </c>
      <c r="C9245">
        <f t="shared" si="174"/>
        <v>2017</v>
      </c>
    </row>
    <row r="9246" spans="1:3">
      <c r="A9246" s="68">
        <v>42812</v>
      </c>
      <c r="B9246" s="33">
        <v>2912.53</v>
      </c>
      <c r="C9246">
        <f t="shared" si="174"/>
        <v>2017</v>
      </c>
    </row>
    <row r="9247" spans="1:3">
      <c r="A9247" s="68">
        <v>42813</v>
      </c>
      <c r="B9247" s="32">
        <v>2912.53</v>
      </c>
      <c r="C9247">
        <f t="shared" si="174"/>
        <v>2017</v>
      </c>
    </row>
    <row r="9248" spans="1:3">
      <c r="A9248" s="68">
        <v>42814</v>
      </c>
      <c r="B9248" s="33">
        <v>2912.53</v>
      </c>
      <c r="C9248">
        <f t="shared" si="174"/>
        <v>2017</v>
      </c>
    </row>
    <row r="9249" spans="1:3">
      <c r="A9249" s="68">
        <v>42815</v>
      </c>
      <c r="B9249" s="32">
        <v>2912.53</v>
      </c>
      <c r="C9249">
        <f t="shared" si="174"/>
        <v>2017</v>
      </c>
    </row>
    <row r="9250" spans="1:3">
      <c r="A9250" s="68">
        <v>42816</v>
      </c>
      <c r="B9250" s="33">
        <v>2904.87</v>
      </c>
      <c r="C9250">
        <f t="shared" si="174"/>
        <v>2017</v>
      </c>
    </row>
    <row r="9251" spans="1:3">
      <c r="A9251" s="68">
        <v>42817</v>
      </c>
      <c r="B9251" s="32">
        <v>2936.82</v>
      </c>
      <c r="C9251">
        <f t="shared" si="174"/>
        <v>2017</v>
      </c>
    </row>
    <row r="9252" spans="1:3">
      <c r="A9252" s="68">
        <v>42818</v>
      </c>
      <c r="B9252" s="33">
        <v>2921.25</v>
      </c>
      <c r="C9252">
        <f t="shared" si="174"/>
        <v>2017</v>
      </c>
    </row>
    <row r="9253" spans="1:3">
      <c r="A9253" s="68">
        <v>42819</v>
      </c>
      <c r="B9253" s="32">
        <v>2899.94</v>
      </c>
      <c r="C9253">
        <f t="shared" si="174"/>
        <v>2017</v>
      </c>
    </row>
    <row r="9254" spans="1:3">
      <c r="A9254" s="68">
        <v>42820</v>
      </c>
      <c r="B9254" s="33">
        <v>2899.94</v>
      </c>
      <c r="C9254">
        <f t="shared" si="174"/>
        <v>2017</v>
      </c>
    </row>
    <row r="9255" spans="1:3">
      <c r="A9255" s="68">
        <v>42821</v>
      </c>
      <c r="B9255" s="32">
        <v>2899.94</v>
      </c>
      <c r="C9255">
        <f t="shared" si="174"/>
        <v>2017</v>
      </c>
    </row>
    <row r="9256" spans="1:3">
      <c r="A9256" s="68">
        <v>42822</v>
      </c>
      <c r="B9256" s="33">
        <v>2913.48</v>
      </c>
      <c r="C9256">
        <f t="shared" si="174"/>
        <v>2017</v>
      </c>
    </row>
    <row r="9257" spans="1:3">
      <c r="A9257" s="68">
        <v>42823</v>
      </c>
      <c r="B9257" s="32">
        <v>2911.99</v>
      </c>
      <c r="C9257">
        <f t="shared" si="174"/>
        <v>2017</v>
      </c>
    </row>
    <row r="9258" spans="1:3">
      <c r="A9258" s="68">
        <v>42824</v>
      </c>
      <c r="B9258" s="33">
        <v>2888.02</v>
      </c>
      <c r="C9258">
        <f t="shared" si="174"/>
        <v>2017</v>
      </c>
    </row>
    <row r="9259" spans="1:3">
      <c r="A9259" s="68">
        <v>42825</v>
      </c>
      <c r="B9259" s="32">
        <v>2880.24</v>
      </c>
      <c r="C9259">
        <f t="shared" si="174"/>
        <v>2017</v>
      </c>
    </row>
    <row r="9260" spans="1:3">
      <c r="A9260" s="68">
        <v>42826</v>
      </c>
      <c r="B9260" s="33">
        <v>2885.57</v>
      </c>
      <c r="C9260">
        <f t="shared" si="174"/>
        <v>2017</v>
      </c>
    </row>
    <row r="9261" spans="1:3">
      <c r="A9261" s="68">
        <v>42827</v>
      </c>
      <c r="B9261" s="32">
        <v>2885.57</v>
      </c>
      <c r="C9261">
        <f t="shared" si="174"/>
        <v>2017</v>
      </c>
    </row>
    <row r="9262" spans="1:3">
      <c r="A9262" s="68">
        <v>42828</v>
      </c>
      <c r="B9262" s="33">
        <v>2885.57</v>
      </c>
      <c r="C9262">
        <f t="shared" si="174"/>
        <v>2017</v>
      </c>
    </row>
    <row r="9263" spans="1:3">
      <c r="A9263" s="68">
        <v>42829</v>
      </c>
      <c r="B9263" s="32">
        <v>2866.87</v>
      </c>
      <c r="C9263">
        <f t="shared" si="174"/>
        <v>2017</v>
      </c>
    </row>
    <row r="9264" spans="1:3">
      <c r="A9264" s="68">
        <v>42830</v>
      </c>
      <c r="B9264" s="33">
        <v>2869.32</v>
      </c>
      <c r="C9264">
        <f t="shared" si="174"/>
        <v>2017</v>
      </c>
    </row>
    <row r="9265" spans="1:3">
      <c r="A9265" s="68">
        <v>42831</v>
      </c>
      <c r="B9265" s="32">
        <v>2857.65</v>
      </c>
      <c r="C9265">
        <f t="shared" si="174"/>
        <v>2017</v>
      </c>
    </row>
    <row r="9266" spans="1:3">
      <c r="A9266" s="68">
        <v>42832</v>
      </c>
      <c r="B9266" s="33">
        <v>2853.1</v>
      </c>
      <c r="C9266">
        <f t="shared" si="174"/>
        <v>2017</v>
      </c>
    </row>
    <row r="9267" spans="1:3">
      <c r="A9267" s="68">
        <v>42833</v>
      </c>
      <c r="B9267" s="32">
        <v>2858</v>
      </c>
      <c r="C9267">
        <f t="shared" si="174"/>
        <v>2017</v>
      </c>
    </row>
    <row r="9268" spans="1:3">
      <c r="A9268" s="68">
        <v>42834</v>
      </c>
      <c r="B9268" s="33">
        <v>2858</v>
      </c>
      <c r="C9268">
        <f t="shared" si="174"/>
        <v>2017</v>
      </c>
    </row>
    <row r="9269" spans="1:3">
      <c r="A9269" s="68">
        <v>42835</v>
      </c>
      <c r="B9269" s="32">
        <v>2858</v>
      </c>
      <c r="C9269">
        <f t="shared" si="174"/>
        <v>2017</v>
      </c>
    </row>
    <row r="9270" spans="1:3">
      <c r="A9270" s="68">
        <v>42836</v>
      </c>
      <c r="B9270" s="33">
        <v>2867.13</v>
      </c>
      <c r="C9270">
        <f t="shared" si="174"/>
        <v>2017</v>
      </c>
    </row>
    <row r="9271" spans="1:3">
      <c r="A9271" s="68">
        <v>42837</v>
      </c>
      <c r="B9271" s="32">
        <v>2868.6</v>
      </c>
      <c r="C9271">
        <f t="shared" si="174"/>
        <v>2017</v>
      </c>
    </row>
    <row r="9272" spans="1:3">
      <c r="A9272" s="68">
        <v>42838</v>
      </c>
      <c r="B9272" s="33">
        <v>2872.55</v>
      </c>
      <c r="C9272">
        <f t="shared" si="174"/>
        <v>2017</v>
      </c>
    </row>
    <row r="9273" spans="1:3">
      <c r="A9273" s="68">
        <v>42839</v>
      </c>
      <c r="B9273" s="32">
        <v>2872.55</v>
      </c>
      <c r="C9273">
        <f t="shared" si="174"/>
        <v>2017</v>
      </c>
    </row>
    <row r="9274" spans="1:3">
      <c r="A9274" s="68">
        <v>42840</v>
      </c>
      <c r="B9274" s="33">
        <v>2872.55</v>
      </c>
      <c r="C9274">
        <f t="shared" si="174"/>
        <v>2017</v>
      </c>
    </row>
    <row r="9275" spans="1:3">
      <c r="A9275" s="68">
        <v>42841</v>
      </c>
      <c r="B9275" s="32">
        <v>2872.55</v>
      </c>
      <c r="C9275">
        <f t="shared" si="174"/>
        <v>2017</v>
      </c>
    </row>
    <row r="9276" spans="1:3">
      <c r="A9276" s="68">
        <v>42842</v>
      </c>
      <c r="B9276" s="33">
        <v>2872.55</v>
      </c>
      <c r="C9276">
        <f t="shared" si="174"/>
        <v>2017</v>
      </c>
    </row>
    <row r="9277" spans="1:3">
      <c r="A9277" s="68">
        <v>42843</v>
      </c>
      <c r="B9277" s="32">
        <v>2854.89</v>
      </c>
      <c r="C9277">
        <f t="shared" si="174"/>
        <v>2017</v>
      </c>
    </row>
    <row r="9278" spans="1:3">
      <c r="A9278" s="68">
        <v>42844</v>
      </c>
      <c r="B9278" s="33">
        <v>2837.9</v>
      </c>
      <c r="C9278">
        <f t="shared" si="174"/>
        <v>2017</v>
      </c>
    </row>
    <row r="9279" spans="1:3">
      <c r="A9279" s="68">
        <v>42845</v>
      </c>
      <c r="B9279" s="32">
        <v>2856.48</v>
      </c>
      <c r="C9279">
        <f t="shared" si="174"/>
        <v>2017</v>
      </c>
    </row>
    <row r="9280" spans="1:3">
      <c r="A9280" s="68">
        <v>42846</v>
      </c>
      <c r="B9280" s="33">
        <v>2863.39</v>
      </c>
      <c r="C9280">
        <f t="shared" si="174"/>
        <v>2017</v>
      </c>
    </row>
    <row r="9281" spans="1:3">
      <c r="A9281" s="68">
        <v>42847</v>
      </c>
      <c r="B9281" s="32">
        <v>2868.89</v>
      </c>
      <c r="C9281">
        <f t="shared" si="174"/>
        <v>2017</v>
      </c>
    </row>
    <row r="9282" spans="1:3">
      <c r="A9282" s="68">
        <v>42848</v>
      </c>
      <c r="B9282" s="33">
        <v>2868.89</v>
      </c>
      <c r="C9282">
        <f t="shared" si="174"/>
        <v>2017</v>
      </c>
    </row>
    <row r="9283" spans="1:3">
      <c r="A9283" s="68">
        <v>42849</v>
      </c>
      <c r="B9283" s="32">
        <v>2868.89</v>
      </c>
      <c r="C9283">
        <f t="shared" si="174"/>
        <v>2017</v>
      </c>
    </row>
    <row r="9284" spans="1:3">
      <c r="A9284" s="68">
        <v>42850</v>
      </c>
      <c r="B9284" s="33">
        <v>2871.98</v>
      </c>
      <c r="C9284">
        <f t="shared" ref="C9284:C9347" si="175">YEAR(A9284)</f>
        <v>2017</v>
      </c>
    </row>
    <row r="9285" spans="1:3">
      <c r="A9285" s="68">
        <v>42851</v>
      </c>
      <c r="B9285" s="32">
        <v>2899.13</v>
      </c>
      <c r="C9285">
        <f t="shared" si="175"/>
        <v>2017</v>
      </c>
    </row>
    <row r="9286" spans="1:3">
      <c r="A9286" s="68">
        <v>42852</v>
      </c>
      <c r="B9286" s="33">
        <v>2928.07</v>
      </c>
      <c r="C9286">
        <f t="shared" si="175"/>
        <v>2017</v>
      </c>
    </row>
    <row r="9287" spans="1:3">
      <c r="A9287" s="68">
        <v>42853</v>
      </c>
      <c r="B9287" s="32">
        <v>2944.31</v>
      </c>
      <c r="C9287">
        <f t="shared" si="175"/>
        <v>2017</v>
      </c>
    </row>
    <row r="9288" spans="1:3">
      <c r="A9288" s="68">
        <v>42854</v>
      </c>
      <c r="B9288" s="33">
        <v>2947.85</v>
      </c>
      <c r="C9288">
        <f t="shared" si="175"/>
        <v>2017</v>
      </c>
    </row>
    <row r="9289" spans="1:3">
      <c r="A9289" s="68">
        <v>42855</v>
      </c>
      <c r="B9289" s="32">
        <v>2947.85</v>
      </c>
      <c r="C9289">
        <f t="shared" si="175"/>
        <v>2017</v>
      </c>
    </row>
    <row r="9290" spans="1:3">
      <c r="A9290" s="68">
        <v>42856</v>
      </c>
      <c r="B9290" s="33">
        <v>2947.85</v>
      </c>
      <c r="C9290">
        <f t="shared" si="175"/>
        <v>2017</v>
      </c>
    </row>
    <row r="9291" spans="1:3">
      <c r="A9291" s="68">
        <v>42857</v>
      </c>
      <c r="B9291" s="32">
        <v>2947.85</v>
      </c>
      <c r="C9291">
        <f t="shared" si="175"/>
        <v>2017</v>
      </c>
    </row>
    <row r="9292" spans="1:3">
      <c r="A9292" s="68">
        <v>42858</v>
      </c>
      <c r="B9292" s="33">
        <v>2945.53</v>
      </c>
      <c r="C9292">
        <f t="shared" si="175"/>
        <v>2017</v>
      </c>
    </row>
    <row r="9293" spans="1:3">
      <c r="A9293" s="68">
        <v>42859</v>
      </c>
      <c r="B9293" s="32">
        <v>2930.17</v>
      </c>
      <c r="C9293">
        <f t="shared" si="175"/>
        <v>2017</v>
      </c>
    </row>
    <row r="9294" spans="1:3">
      <c r="A9294" s="68">
        <v>42860</v>
      </c>
      <c r="B9294" s="33">
        <v>2967.44</v>
      </c>
      <c r="C9294">
        <f t="shared" si="175"/>
        <v>2017</v>
      </c>
    </row>
    <row r="9295" spans="1:3">
      <c r="A9295" s="68">
        <v>42861</v>
      </c>
      <c r="B9295" s="32">
        <v>2961.78</v>
      </c>
      <c r="C9295">
        <f t="shared" si="175"/>
        <v>2017</v>
      </c>
    </row>
    <row r="9296" spans="1:3">
      <c r="A9296" s="68">
        <v>42862</v>
      </c>
      <c r="B9296" s="33">
        <v>2961.78</v>
      </c>
      <c r="C9296">
        <f t="shared" si="175"/>
        <v>2017</v>
      </c>
    </row>
    <row r="9297" spans="1:3">
      <c r="A9297" s="68">
        <v>42863</v>
      </c>
      <c r="B9297" s="32">
        <v>2961.78</v>
      </c>
      <c r="C9297">
        <f t="shared" si="175"/>
        <v>2017</v>
      </c>
    </row>
    <row r="9298" spans="1:3">
      <c r="A9298" s="68">
        <v>42864</v>
      </c>
      <c r="B9298" s="33">
        <v>2959.26</v>
      </c>
      <c r="C9298">
        <f t="shared" si="175"/>
        <v>2017</v>
      </c>
    </row>
    <row r="9299" spans="1:3">
      <c r="A9299" s="68">
        <v>42865</v>
      </c>
      <c r="B9299" s="32">
        <v>2967.24</v>
      </c>
      <c r="C9299">
        <f t="shared" si="175"/>
        <v>2017</v>
      </c>
    </row>
    <row r="9300" spans="1:3">
      <c r="A9300" s="68">
        <v>42866</v>
      </c>
      <c r="B9300" s="33">
        <v>2949.35</v>
      </c>
      <c r="C9300">
        <f t="shared" si="175"/>
        <v>2017</v>
      </c>
    </row>
    <row r="9301" spans="1:3">
      <c r="A9301" s="68">
        <v>42867</v>
      </c>
      <c r="B9301" s="32">
        <v>2933.92</v>
      </c>
      <c r="C9301">
        <f t="shared" si="175"/>
        <v>2017</v>
      </c>
    </row>
    <row r="9302" spans="1:3">
      <c r="A9302" s="68">
        <v>42868</v>
      </c>
      <c r="B9302" s="33">
        <v>2918.69</v>
      </c>
      <c r="C9302">
        <f t="shared" si="175"/>
        <v>2017</v>
      </c>
    </row>
    <row r="9303" spans="1:3">
      <c r="A9303" s="68">
        <v>42869</v>
      </c>
      <c r="B9303" s="32">
        <v>2918.69</v>
      </c>
      <c r="C9303">
        <f t="shared" si="175"/>
        <v>2017</v>
      </c>
    </row>
    <row r="9304" spans="1:3">
      <c r="A9304" s="68">
        <v>42870</v>
      </c>
      <c r="B9304" s="33">
        <v>2918.69</v>
      </c>
      <c r="C9304">
        <f t="shared" si="175"/>
        <v>2017</v>
      </c>
    </row>
    <row r="9305" spans="1:3">
      <c r="A9305" s="68">
        <v>42871</v>
      </c>
      <c r="B9305" s="32">
        <v>2883.87</v>
      </c>
      <c r="C9305">
        <f t="shared" si="175"/>
        <v>2017</v>
      </c>
    </row>
    <row r="9306" spans="1:3">
      <c r="A9306" s="68">
        <v>42872</v>
      </c>
      <c r="B9306" s="33">
        <v>2873.22</v>
      </c>
      <c r="C9306">
        <f t="shared" si="175"/>
        <v>2017</v>
      </c>
    </row>
    <row r="9307" spans="1:3">
      <c r="A9307" s="68">
        <v>42873</v>
      </c>
      <c r="B9307" s="32">
        <v>2893.4</v>
      </c>
      <c r="C9307">
        <f t="shared" si="175"/>
        <v>2017</v>
      </c>
    </row>
    <row r="9308" spans="1:3">
      <c r="A9308" s="68">
        <v>42874</v>
      </c>
      <c r="B9308" s="33">
        <v>2932.16</v>
      </c>
      <c r="C9308">
        <f t="shared" si="175"/>
        <v>2017</v>
      </c>
    </row>
    <row r="9309" spans="1:3">
      <c r="A9309" s="68">
        <v>42875</v>
      </c>
      <c r="B9309" s="32">
        <v>2889.45</v>
      </c>
      <c r="C9309">
        <f t="shared" si="175"/>
        <v>2017</v>
      </c>
    </row>
    <row r="9310" spans="1:3">
      <c r="A9310" s="68">
        <v>42876</v>
      </c>
      <c r="B9310" s="33">
        <v>2889.45</v>
      </c>
      <c r="C9310">
        <f t="shared" si="175"/>
        <v>2017</v>
      </c>
    </row>
    <row r="9311" spans="1:3">
      <c r="A9311" s="68">
        <v>42877</v>
      </c>
      <c r="B9311" s="32">
        <v>2889.45</v>
      </c>
      <c r="C9311">
        <f t="shared" si="175"/>
        <v>2017</v>
      </c>
    </row>
    <row r="9312" spans="1:3">
      <c r="A9312" s="68">
        <v>42878</v>
      </c>
      <c r="B9312" s="33">
        <v>2895.12</v>
      </c>
      <c r="C9312">
        <f t="shared" si="175"/>
        <v>2017</v>
      </c>
    </row>
    <row r="9313" spans="1:3">
      <c r="A9313" s="68">
        <v>42879</v>
      </c>
      <c r="B9313" s="32">
        <v>2904.61</v>
      </c>
      <c r="C9313">
        <f t="shared" si="175"/>
        <v>2017</v>
      </c>
    </row>
    <row r="9314" spans="1:3">
      <c r="A9314" s="68">
        <v>42880</v>
      </c>
      <c r="B9314" s="33">
        <v>2905.29</v>
      </c>
      <c r="C9314">
        <f t="shared" si="175"/>
        <v>2017</v>
      </c>
    </row>
    <row r="9315" spans="1:3">
      <c r="A9315" s="68">
        <v>42881</v>
      </c>
      <c r="B9315" s="32">
        <v>2911.66</v>
      </c>
      <c r="C9315">
        <f t="shared" si="175"/>
        <v>2017</v>
      </c>
    </row>
    <row r="9316" spans="1:3">
      <c r="A9316" s="68">
        <v>42882</v>
      </c>
      <c r="B9316" s="33">
        <v>2913.47</v>
      </c>
      <c r="C9316">
        <f t="shared" si="175"/>
        <v>2017</v>
      </c>
    </row>
    <row r="9317" spans="1:3">
      <c r="A9317" s="68">
        <v>42883</v>
      </c>
      <c r="B9317" s="32">
        <v>2913.47</v>
      </c>
      <c r="C9317">
        <f t="shared" si="175"/>
        <v>2017</v>
      </c>
    </row>
    <row r="9318" spans="1:3">
      <c r="A9318" s="68">
        <v>42884</v>
      </c>
      <c r="B9318" s="33">
        <v>2913.47</v>
      </c>
      <c r="C9318">
        <f t="shared" si="175"/>
        <v>2017</v>
      </c>
    </row>
    <row r="9319" spans="1:3">
      <c r="A9319" s="68">
        <v>42885</v>
      </c>
      <c r="B9319" s="32">
        <v>2913.47</v>
      </c>
      <c r="C9319">
        <f t="shared" si="175"/>
        <v>2017</v>
      </c>
    </row>
    <row r="9320" spans="1:3">
      <c r="A9320" s="68">
        <v>42886</v>
      </c>
      <c r="B9320" s="33">
        <v>2920.42</v>
      </c>
      <c r="C9320">
        <f t="shared" si="175"/>
        <v>2017</v>
      </c>
    </row>
    <row r="9321" spans="1:3">
      <c r="A9321" s="68">
        <v>42887</v>
      </c>
      <c r="B9321" s="32">
        <v>2921</v>
      </c>
      <c r="C9321">
        <f t="shared" si="175"/>
        <v>2017</v>
      </c>
    </row>
    <row r="9322" spans="1:3">
      <c r="A9322" s="68">
        <v>42888</v>
      </c>
      <c r="B9322" s="33">
        <v>2895.73</v>
      </c>
      <c r="C9322">
        <f t="shared" si="175"/>
        <v>2017</v>
      </c>
    </row>
    <row r="9323" spans="1:3">
      <c r="A9323" s="68">
        <v>42889</v>
      </c>
      <c r="B9323" s="32">
        <v>2894.72</v>
      </c>
      <c r="C9323">
        <f t="shared" si="175"/>
        <v>2017</v>
      </c>
    </row>
    <row r="9324" spans="1:3">
      <c r="A9324" s="68">
        <v>42890</v>
      </c>
      <c r="B9324" s="33">
        <v>2894.72</v>
      </c>
      <c r="C9324">
        <f t="shared" si="175"/>
        <v>2017</v>
      </c>
    </row>
    <row r="9325" spans="1:3">
      <c r="A9325" s="68">
        <v>42891</v>
      </c>
      <c r="B9325" s="32">
        <v>2894.72</v>
      </c>
      <c r="C9325">
        <f t="shared" si="175"/>
        <v>2017</v>
      </c>
    </row>
    <row r="9326" spans="1:3">
      <c r="A9326" s="68">
        <v>42892</v>
      </c>
      <c r="B9326" s="33">
        <v>2895.85</v>
      </c>
      <c r="C9326">
        <f t="shared" si="175"/>
        <v>2017</v>
      </c>
    </row>
    <row r="9327" spans="1:3">
      <c r="A9327" s="68">
        <v>42893</v>
      </c>
      <c r="B9327" s="32">
        <v>2893.76</v>
      </c>
      <c r="C9327">
        <f t="shared" si="175"/>
        <v>2017</v>
      </c>
    </row>
    <row r="9328" spans="1:3">
      <c r="A9328" s="68">
        <v>42894</v>
      </c>
      <c r="B9328" s="33">
        <v>2907.1</v>
      </c>
      <c r="C9328">
        <f t="shared" si="175"/>
        <v>2017</v>
      </c>
    </row>
    <row r="9329" spans="1:3">
      <c r="A9329" s="68">
        <v>42895</v>
      </c>
      <c r="B9329" s="32">
        <v>2919.82</v>
      </c>
      <c r="C9329">
        <f t="shared" si="175"/>
        <v>2017</v>
      </c>
    </row>
    <row r="9330" spans="1:3">
      <c r="A9330" s="68">
        <v>42896</v>
      </c>
      <c r="B9330" s="33">
        <v>2919.58</v>
      </c>
      <c r="C9330">
        <f t="shared" si="175"/>
        <v>2017</v>
      </c>
    </row>
    <row r="9331" spans="1:3">
      <c r="A9331" s="68">
        <v>42897</v>
      </c>
      <c r="B9331" s="32">
        <v>2919.58</v>
      </c>
      <c r="C9331">
        <f t="shared" si="175"/>
        <v>2017</v>
      </c>
    </row>
    <row r="9332" spans="1:3">
      <c r="A9332" s="68">
        <v>42898</v>
      </c>
      <c r="B9332" s="33">
        <v>2919.58</v>
      </c>
      <c r="C9332">
        <f t="shared" si="175"/>
        <v>2017</v>
      </c>
    </row>
    <row r="9333" spans="1:3">
      <c r="A9333" s="68">
        <v>42899</v>
      </c>
      <c r="B9333" s="32">
        <v>2929.2</v>
      </c>
      <c r="C9333">
        <f t="shared" si="175"/>
        <v>2017</v>
      </c>
    </row>
    <row r="9334" spans="1:3">
      <c r="A9334" s="68">
        <v>42900</v>
      </c>
      <c r="B9334" s="33">
        <v>2933.13</v>
      </c>
      <c r="C9334">
        <f t="shared" si="175"/>
        <v>2017</v>
      </c>
    </row>
    <row r="9335" spans="1:3">
      <c r="A9335" s="68">
        <v>42901</v>
      </c>
      <c r="B9335" s="32">
        <v>2924.75</v>
      </c>
      <c r="C9335">
        <f t="shared" si="175"/>
        <v>2017</v>
      </c>
    </row>
    <row r="9336" spans="1:3">
      <c r="A9336" s="68">
        <v>42902</v>
      </c>
      <c r="B9336" s="33">
        <v>2953.83</v>
      </c>
      <c r="C9336">
        <f t="shared" si="175"/>
        <v>2017</v>
      </c>
    </row>
    <row r="9337" spans="1:3">
      <c r="A9337" s="68">
        <v>42903</v>
      </c>
      <c r="B9337" s="32">
        <v>2961.68</v>
      </c>
      <c r="C9337">
        <f t="shared" si="175"/>
        <v>2017</v>
      </c>
    </row>
    <row r="9338" spans="1:3">
      <c r="A9338" s="68">
        <v>42904</v>
      </c>
      <c r="B9338" s="33">
        <v>2961.68</v>
      </c>
      <c r="C9338">
        <f t="shared" si="175"/>
        <v>2017</v>
      </c>
    </row>
    <row r="9339" spans="1:3">
      <c r="A9339" s="68">
        <v>42905</v>
      </c>
      <c r="B9339" s="32">
        <v>2961.68</v>
      </c>
      <c r="C9339">
        <f t="shared" si="175"/>
        <v>2017</v>
      </c>
    </row>
    <row r="9340" spans="1:3">
      <c r="A9340" s="68">
        <v>42906</v>
      </c>
      <c r="B9340" s="33">
        <v>2961.68</v>
      </c>
      <c r="C9340">
        <f t="shared" si="175"/>
        <v>2017</v>
      </c>
    </row>
    <row r="9341" spans="1:3">
      <c r="A9341" s="68">
        <v>42907</v>
      </c>
      <c r="B9341" s="32">
        <v>3029.53</v>
      </c>
      <c r="C9341">
        <f t="shared" si="175"/>
        <v>2017</v>
      </c>
    </row>
    <row r="9342" spans="1:3">
      <c r="A9342" s="68">
        <v>42908</v>
      </c>
      <c r="B9342" s="33">
        <v>3053.9</v>
      </c>
      <c r="C9342">
        <f t="shared" si="175"/>
        <v>2017</v>
      </c>
    </row>
    <row r="9343" spans="1:3">
      <c r="A9343" s="68">
        <v>42909</v>
      </c>
      <c r="B9343" s="32">
        <v>3035.83</v>
      </c>
      <c r="C9343">
        <f t="shared" si="175"/>
        <v>2017</v>
      </c>
    </row>
    <row r="9344" spans="1:3">
      <c r="A9344" s="68">
        <v>42910</v>
      </c>
      <c r="B9344" s="33">
        <v>3010.68</v>
      </c>
      <c r="C9344">
        <f t="shared" si="175"/>
        <v>2017</v>
      </c>
    </row>
    <row r="9345" spans="1:3">
      <c r="A9345" s="68">
        <v>42911</v>
      </c>
      <c r="B9345" s="32">
        <v>3010.68</v>
      </c>
      <c r="C9345">
        <f t="shared" si="175"/>
        <v>2017</v>
      </c>
    </row>
    <row r="9346" spans="1:3">
      <c r="A9346" s="68">
        <v>42912</v>
      </c>
      <c r="B9346" s="33">
        <v>3010.68</v>
      </c>
      <c r="C9346">
        <f t="shared" si="175"/>
        <v>2017</v>
      </c>
    </row>
    <row r="9347" spans="1:3">
      <c r="A9347" s="68">
        <v>42913</v>
      </c>
      <c r="B9347" s="32">
        <v>3010.68</v>
      </c>
      <c r="C9347">
        <f t="shared" si="175"/>
        <v>2017</v>
      </c>
    </row>
    <row r="9348" spans="1:3">
      <c r="A9348" s="68">
        <v>42914</v>
      </c>
      <c r="B9348" s="33">
        <v>3025.28</v>
      </c>
      <c r="C9348">
        <f t="shared" ref="C9348:C9411" si="176">YEAR(A9348)</f>
        <v>2017</v>
      </c>
    </row>
    <row r="9349" spans="1:3">
      <c r="A9349" s="68">
        <v>42915</v>
      </c>
      <c r="B9349" s="32">
        <v>3023.64</v>
      </c>
      <c r="C9349">
        <f t="shared" si="176"/>
        <v>2017</v>
      </c>
    </row>
    <row r="9350" spans="1:3">
      <c r="A9350" s="68">
        <v>42916</v>
      </c>
      <c r="B9350" s="33">
        <v>3038.26</v>
      </c>
      <c r="C9350">
        <f t="shared" si="176"/>
        <v>2017</v>
      </c>
    </row>
    <row r="9351" spans="1:3">
      <c r="A9351" s="68">
        <v>42917</v>
      </c>
      <c r="B9351" s="32">
        <v>3050.43</v>
      </c>
      <c r="C9351">
        <f t="shared" si="176"/>
        <v>2017</v>
      </c>
    </row>
    <row r="9352" spans="1:3">
      <c r="A9352" s="68">
        <v>42918</v>
      </c>
      <c r="B9352" s="33">
        <v>3050.43</v>
      </c>
      <c r="C9352">
        <f t="shared" si="176"/>
        <v>2017</v>
      </c>
    </row>
    <row r="9353" spans="1:3">
      <c r="A9353" s="68">
        <v>42919</v>
      </c>
      <c r="B9353" s="32">
        <v>3050.43</v>
      </c>
      <c r="C9353">
        <f t="shared" si="176"/>
        <v>2017</v>
      </c>
    </row>
    <row r="9354" spans="1:3">
      <c r="A9354" s="68">
        <v>42920</v>
      </c>
      <c r="B9354" s="33">
        <v>3050.43</v>
      </c>
      <c r="C9354">
        <f t="shared" si="176"/>
        <v>2017</v>
      </c>
    </row>
    <row r="9355" spans="1:3">
      <c r="A9355" s="68">
        <v>42921</v>
      </c>
      <c r="B9355" s="32">
        <v>3050.43</v>
      </c>
      <c r="C9355">
        <f t="shared" si="176"/>
        <v>2017</v>
      </c>
    </row>
    <row r="9356" spans="1:3">
      <c r="A9356" s="68">
        <v>42922</v>
      </c>
      <c r="B9356" s="33">
        <v>3068.93</v>
      </c>
      <c r="C9356">
        <f t="shared" si="176"/>
        <v>2017</v>
      </c>
    </row>
    <row r="9357" spans="1:3">
      <c r="A9357" s="68">
        <v>42923</v>
      </c>
      <c r="B9357" s="32">
        <v>3084.19</v>
      </c>
      <c r="C9357">
        <f t="shared" si="176"/>
        <v>2017</v>
      </c>
    </row>
    <row r="9358" spans="1:3">
      <c r="A9358" s="68">
        <v>42924</v>
      </c>
      <c r="B9358" s="33">
        <v>3092.65</v>
      </c>
      <c r="C9358">
        <f t="shared" si="176"/>
        <v>2017</v>
      </c>
    </row>
    <row r="9359" spans="1:3">
      <c r="A9359" s="68">
        <v>42925</v>
      </c>
      <c r="B9359" s="32">
        <v>3092.65</v>
      </c>
      <c r="C9359">
        <f t="shared" si="176"/>
        <v>2017</v>
      </c>
    </row>
    <row r="9360" spans="1:3">
      <c r="A9360" s="68">
        <v>42926</v>
      </c>
      <c r="B9360" s="33">
        <v>3092.65</v>
      </c>
      <c r="C9360">
        <f t="shared" si="176"/>
        <v>2017</v>
      </c>
    </row>
    <row r="9361" spans="1:3">
      <c r="A9361" s="68">
        <v>42927</v>
      </c>
      <c r="B9361" s="32">
        <v>3067.33</v>
      </c>
      <c r="C9361">
        <f t="shared" si="176"/>
        <v>2017</v>
      </c>
    </row>
    <row r="9362" spans="1:3">
      <c r="A9362" s="68">
        <v>42928</v>
      </c>
      <c r="B9362" s="33">
        <v>3067.73</v>
      </c>
      <c r="C9362">
        <f t="shared" si="176"/>
        <v>2017</v>
      </c>
    </row>
    <row r="9363" spans="1:3">
      <c r="A9363" s="68">
        <v>42929</v>
      </c>
      <c r="B9363" s="32">
        <v>3052.3</v>
      </c>
      <c r="C9363">
        <f t="shared" si="176"/>
        <v>2017</v>
      </c>
    </row>
    <row r="9364" spans="1:3">
      <c r="A9364" s="68">
        <v>42930</v>
      </c>
      <c r="B9364" s="33">
        <v>3043.6</v>
      </c>
      <c r="C9364">
        <f t="shared" si="176"/>
        <v>2017</v>
      </c>
    </row>
    <row r="9365" spans="1:3">
      <c r="A9365" s="68">
        <v>42931</v>
      </c>
      <c r="B9365" s="32">
        <v>3019.56</v>
      </c>
      <c r="C9365">
        <f t="shared" si="176"/>
        <v>2017</v>
      </c>
    </row>
    <row r="9366" spans="1:3">
      <c r="A9366" s="68">
        <v>42932</v>
      </c>
      <c r="B9366" s="33">
        <v>3019.56</v>
      </c>
      <c r="C9366">
        <f t="shared" si="176"/>
        <v>2017</v>
      </c>
    </row>
    <row r="9367" spans="1:3">
      <c r="A9367" s="68">
        <v>42933</v>
      </c>
      <c r="B9367" s="32">
        <v>3019.56</v>
      </c>
      <c r="C9367">
        <f t="shared" si="176"/>
        <v>2017</v>
      </c>
    </row>
    <row r="9368" spans="1:3">
      <c r="A9368" s="68">
        <v>42934</v>
      </c>
      <c r="B9368" s="33">
        <v>3030.6</v>
      </c>
      <c r="C9368">
        <f t="shared" si="176"/>
        <v>2017</v>
      </c>
    </row>
    <row r="9369" spans="1:3">
      <c r="A9369" s="68">
        <v>42935</v>
      </c>
      <c r="B9369" s="32">
        <v>3013.26</v>
      </c>
      <c r="C9369">
        <f t="shared" si="176"/>
        <v>2017</v>
      </c>
    </row>
    <row r="9370" spans="1:3">
      <c r="A9370" s="68">
        <v>42936</v>
      </c>
      <c r="B9370" s="33">
        <v>3010</v>
      </c>
      <c r="C9370">
        <f t="shared" si="176"/>
        <v>2017</v>
      </c>
    </row>
    <row r="9371" spans="1:3">
      <c r="A9371" s="68">
        <v>42937</v>
      </c>
      <c r="B9371" s="32">
        <v>3010</v>
      </c>
      <c r="C9371">
        <f t="shared" si="176"/>
        <v>2017</v>
      </c>
    </row>
    <row r="9372" spans="1:3">
      <c r="A9372" s="68">
        <v>42938</v>
      </c>
      <c r="B9372" s="33">
        <v>3010.77</v>
      </c>
      <c r="C9372">
        <f t="shared" si="176"/>
        <v>2017</v>
      </c>
    </row>
    <row r="9373" spans="1:3">
      <c r="A9373" s="68">
        <v>42939</v>
      </c>
      <c r="B9373" s="32">
        <v>3010.77</v>
      </c>
      <c r="C9373">
        <f t="shared" si="176"/>
        <v>2017</v>
      </c>
    </row>
    <row r="9374" spans="1:3">
      <c r="A9374" s="68">
        <v>42940</v>
      </c>
      <c r="B9374" s="33">
        <v>3010.77</v>
      </c>
      <c r="C9374">
        <f t="shared" si="176"/>
        <v>2017</v>
      </c>
    </row>
    <row r="9375" spans="1:3">
      <c r="A9375" s="68">
        <v>42941</v>
      </c>
      <c r="B9375" s="32">
        <v>3023.67</v>
      </c>
      <c r="C9375">
        <f t="shared" si="176"/>
        <v>2017</v>
      </c>
    </row>
    <row r="9376" spans="1:3">
      <c r="A9376" s="68">
        <v>42942</v>
      </c>
      <c r="B9376" s="33">
        <v>3026.55</v>
      </c>
      <c r="C9376">
        <f t="shared" si="176"/>
        <v>2017</v>
      </c>
    </row>
    <row r="9377" spans="1:3">
      <c r="A9377" s="68">
        <v>42943</v>
      </c>
      <c r="B9377" s="32">
        <v>3026.22</v>
      </c>
      <c r="C9377">
        <f t="shared" si="176"/>
        <v>2017</v>
      </c>
    </row>
    <row r="9378" spans="1:3">
      <c r="A9378" s="68">
        <v>42944</v>
      </c>
      <c r="B9378" s="33">
        <v>3002.94</v>
      </c>
      <c r="C9378">
        <f t="shared" si="176"/>
        <v>2017</v>
      </c>
    </row>
    <row r="9379" spans="1:3">
      <c r="A9379" s="68">
        <v>42945</v>
      </c>
      <c r="B9379" s="32">
        <v>2995.23</v>
      </c>
      <c r="C9379">
        <f t="shared" si="176"/>
        <v>2017</v>
      </c>
    </row>
    <row r="9380" spans="1:3">
      <c r="A9380" s="68">
        <v>42946</v>
      </c>
      <c r="B9380" s="33">
        <v>2995.23</v>
      </c>
      <c r="C9380">
        <f t="shared" si="176"/>
        <v>2017</v>
      </c>
    </row>
    <row r="9381" spans="1:3">
      <c r="A9381" s="68">
        <v>42947</v>
      </c>
      <c r="B9381" s="32">
        <v>2995.23</v>
      </c>
      <c r="C9381">
        <f t="shared" si="176"/>
        <v>2017</v>
      </c>
    </row>
    <row r="9382" spans="1:3">
      <c r="A9382" s="68">
        <v>42948</v>
      </c>
      <c r="B9382" s="33">
        <v>2997.59</v>
      </c>
      <c r="C9382">
        <f t="shared" si="176"/>
        <v>2017</v>
      </c>
    </row>
    <row r="9383" spans="1:3">
      <c r="A9383" s="68">
        <v>42949</v>
      </c>
      <c r="B9383" s="32">
        <v>2973.03</v>
      </c>
      <c r="C9383">
        <f t="shared" si="176"/>
        <v>2017</v>
      </c>
    </row>
    <row r="9384" spans="1:3">
      <c r="A9384" s="68">
        <v>42950</v>
      </c>
      <c r="B9384" s="33">
        <v>2964.66</v>
      </c>
      <c r="C9384">
        <f t="shared" si="176"/>
        <v>2017</v>
      </c>
    </row>
    <row r="9385" spans="1:3">
      <c r="A9385" s="68">
        <v>42951</v>
      </c>
      <c r="B9385" s="32">
        <v>2954.54</v>
      </c>
      <c r="C9385">
        <f t="shared" si="176"/>
        <v>2017</v>
      </c>
    </row>
    <row r="9386" spans="1:3">
      <c r="A9386" s="68">
        <v>42952</v>
      </c>
      <c r="B9386" s="33">
        <v>2974.39</v>
      </c>
      <c r="C9386">
        <f t="shared" si="176"/>
        <v>2017</v>
      </c>
    </row>
    <row r="9387" spans="1:3">
      <c r="A9387" s="68">
        <v>42953</v>
      </c>
      <c r="B9387" s="32">
        <v>2974.39</v>
      </c>
      <c r="C9387">
        <f t="shared" si="176"/>
        <v>2017</v>
      </c>
    </row>
    <row r="9388" spans="1:3">
      <c r="A9388" s="68">
        <v>42954</v>
      </c>
      <c r="B9388" s="33">
        <v>2974.39</v>
      </c>
      <c r="C9388">
        <f t="shared" si="176"/>
        <v>2017</v>
      </c>
    </row>
    <row r="9389" spans="1:3">
      <c r="A9389" s="68">
        <v>42955</v>
      </c>
      <c r="B9389" s="32">
        <v>2974.39</v>
      </c>
      <c r="C9389">
        <f t="shared" si="176"/>
        <v>2017</v>
      </c>
    </row>
    <row r="9390" spans="1:3">
      <c r="A9390" s="68">
        <v>42956</v>
      </c>
      <c r="B9390" s="33">
        <v>2994.62</v>
      </c>
      <c r="C9390">
        <f t="shared" si="176"/>
        <v>2017</v>
      </c>
    </row>
    <row r="9391" spans="1:3">
      <c r="A9391" s="68">
        <v>42957</v>
      </c>
      <c r="B9391" s="32">
        <v>3011.14</v>
      </c>
      <c r="C9391">
        <f t="shared" si="176"/>
        <v>2017</v>
      </c>
    </row>
    <row r="9392" spans="1:3">
      <c r="A9392" s="68">
        <v>42958</v>
      </c>
      <c r="B9392" s="33">
        <v>2994.85</v>
      </c>
      <c r="C9392">
        <f t="shared" si="176"/>
        <v>2017</v>
      </c>
    </row>
    <row r="9393" spans="1:3">
      <c r="A9393" s="68">
        <v>42959</v>
      </c>
      <c r="B9393" s="32">
        <v>2984.99</v>
      </c>
      <c r="C9393">
        <f t="shared" si="176"/>
        <v>2017</v>
      </c>
    </row>
    <row r="9394" spans="1:3">
      <c r="A9394" s="68">
        <v>42960</v>
      </c>
      <c r="B9394" s="33">
        <v>2984.99</v>
      </c>
      <c r="C9394">
        <f t="shared" si="176"/>
        <v>2017</v>
      </c>
    </row>
    <row r="9395" spans="1:3">
      <c r="A9395" s="68">
        <v>42961</v>
      </c>
      <c r="B9395" s="32">
        <v>2984.99</v>
      </c>
      <c r="C9395">
        <f t="shared" si="176"/>
        <v>2017</v>
      </c>
    </row>
    <row r="9396" spans="1:3">
      <c r="A9396" s="68">
        <v>42962</v>
      </c>
      <c r="B9396" s="33">
        <v>2966.54</v>
      </c>
      <c r="C9396">
        <f t="shared" si="176"/>
        <v>2017</v>
      </c>
    </row>
    <row r="9397" spans="1:3">
      <c r="A9397" s="68">
        <v>42963</v>
      </c>
      <c r="B9397" s="32">
        <v>2974.7</v>
      </c>
      <c r="C9397">
        <f t="shared" si="176"/>
        <v>2017</v>
      </c>
    </row>
    <row r="9398" spans="1:3">
      <c r="A9398" s="68">
        <v>42964</v>
      </c>
      <c r="B9398" s="33">
        <v>2967.32</v>
      </c>
      <c r="C9398">
        <f t="shared" si="176"/>
        <v>2017</v>
      </c>
    </row>
    <row r="9399" spans="1:3">
      <c r="A9399" s="68">
        <v>42965</v>
      </c>
      <c r="B9399" s="32">
        <v>2980.03</v>
      </c>
      <c r="C9399">
        <f t="shared" si="176"/>
        <v>2017</v>
      </c>
    </row>
    <row r="9400" spans="1:3">
      <c r="A9400" s="68">
        <v>42966</v>
      </c>
      <c r="B9400" s="33">
        <v>2994.39</v>
      </c>
      <c r="C9400">
        <f t="shared" si="176"/>
        <v>2017</v>
      </c>
    </row>
    <row r="9401" spans="1:3">
      <c r="A9401" s="68">
        <v>42967</v>
      </c>
      <c r="B9401" s="32">
        <v>2994.39</v>
      </c>
      <c r="C9401">
        <f t="shared" si="176"/>
        <v>2017</v>
      </c>
    </row>
    <row r="9402" spans="1:3">
      <c r="A9402" s="68">
        <v>42968</v>
      </c>
      <c r="B9402" s="33">
        <v>2994.39</v>
      </c>
      <c r="C9402">
        <f t="shared" si="176"/>
        <v>2017</v>
      </c>
    </row>
    <row r="9403" spans="1:3">
      <c r="A9403" s="68">
        <v>42969</v>
      </c>
      <c r="B9403" s="32">
        <v>2994.39</v>
      </c>
      <c r="C9403">
        <f t="shared" si="176"/>
        <v>2017</v>
      </c>
    </row>
    <row r="9404" spans="1:3">
      <c r="A9404" s="68">
        <v>42970</v>
      </c>
      <c r="B9404" s="33">
        <v>2986.83</v>
      </c>
      <c r="C9404">
        <f t="shared" si="176"/>
        <v>2017</v>
      </c>
    </row>
    <row r="9405" spans="1:3">
      <c r="A9405" s="68">
        <v>42971</v>
      </c>
      <c r="B9405" s="32">
        <v>2986.88</v>
      </c>
      <c r="C9405">
        <f t="shared" si="176"/>
        <v>2017</v>
      </c>
    </row>
    <row r="9406" spans="1:3">
      <c r="A9406" s="68">
        <v>42972</v>
      </c>
      <c r="B9406" s="33">
        <v>2972.98</v>
      </c>
      <c r="C9406">
        <f t="shared" si="176"/>
        <v>2017</v>
      </c>
    </row>
    <row r="9407" spans="1:3">
      <c r="A9407" s="68">
        <v>42973</v>
      </c>
      <c r="B9407" s="32">
        <v>2933.96</v>
      </c>
      <c r="C9407">
        <f t="shared" si="176"/>
        <v>2017</v>
      </c>
    </row>
    <row r="9408" spans="1:3">
      <c r="A9408" s="68">
        <v>42974</v>
      </c>
      <c r="B9408" s="33">
        <v>2933.96</v>
      </c>
      <c r="C9408">
        <f t="shared" si="176"/>
        <v>2017</v>
      </c>
    </row>
    <row r="9409" spans="1:3">
      <c r="A9409" s="68">
        <v>42975</v>
      </c>
      <c r="B9409" s="32">
        <v>2933.96</v>
      </c>
      <c r="C9409">
        <f t="shared" si="176"/>
        <v>2017</v>
      </c>
    </row>
    <row r="9410" spans="1:3">
      <c r="A9410" s="68">
        <v>42976</v>
      </c>
      <c r="B9410" s="33">
        <v>2934.23</v>
      </c>
      <c r="C9410">
        <f t="shared" si="176"/>
        <v>2017</v>
      </c>
    </row>
    <row r="9411" spans="1:3">
      <c r="A9411" s="68">
        <v>42977</v>
      </c>
      <c r="B9411" s="32">
        <v>2940.35</v>
      </c>
      <c r="C9411">
        <f t="shared" si="176"/>
        <v>2017</v>
      </c>
    </row>
    <row r="9412" spans="1:3">
      <c r="A9412" s="68">
        <v>42978</v>
      </c>
      <c r="B9412" s="33">
        <v>2937.09</v>
      </c>
      <c r="C9412">
        <f t="shared" ref="C9412:C9475" si="177">YEAR(A9412)</f>
        <v>2017</v>
      </c>
    </row>
    <row r="9413" spans="1:3">
      <c r="A9413" s="68">
        <v>42979</v>
      </c>
      <c r="B9413" s="32">
        <v>2948.09</v>
      </c>
      <c r="C9413">
        <f t="shared" si="177"/>
        <v>2017</v>
      </c>
    </row>
    <row r="9414" spans="1:3">
      <c r="A9414" s="68">
        <v>42980</v>
      </c>
      <c r="B9414" s="33">
        <v>2936.07</v>
      </c>
      <c r="C9414">
        <f t="shared" si="177"/>
        <v>2017</v>
      </c>
    </row>
    <row r="9415" spans="1:3">
      <c r="A9415" s="68">
        <v>42981</v>
      </c>
      <c r="B9415" s="32">
        <v>2936.07</v>
      </c>
      <c r="C9415">
        <f t="shared" si="177"/>
        <v>2017</v>
      </c>
    </row>
    <row r="9416" spans="1:3">
      <c r="A9416" s="68">
        <v>42982</v>
      </c>
      <c r="B9416" s="33">
        <v>2936.07</v>
      </c>
      <c r="C9416">
        <f t="shared" si="177"/>
        <v>2017</v>
      </c>
    </row>
    <row r="9417" spans="1:3">
      <c r="A9417" s="68">
        <v>42983</v>
      </c>
      <c r="B9417" s="32">
        <v>2936.07</v>
      </c>
      <c r="C9417">
        <f t="shared" si="177"/>
        <v>2017</v>
      </c>
    </row>
    <row r="9418" spans="1:3">
      <c r="A9418" s="68">
        <v>42984</v>
      </c>
      <c r="B9418" s="33">
        <v>2923.49</v>
      </c>
      <c r="C9418">
        <f t="shared" si="177"/>
        <v>2017</v>
      </c>
    </row>
    <row r="9419" spans="1:3">
      <c r="A9419" s="68">
        <v>42985</v>
      </c>
      <c r="B9419" s="32">
        <v>2919.5</v>
      </c>
      <c r="C9419">
        <f t="shared" si="177"/>
        <v>2017</v>
      </c>
    </row>
    <row r="9420" spans="1:3">
      <c r="A9420" s="68">
        <v>42986</v>
      </c>
      <c r="B9420" s="33">
        <v>2907.96</v>
      </c>
      <c r="C9420">
        <f t="shared" si="177"/>
        <v>2017</v>
      </c>
    </row>
    <row r="9421" spans="1:3">
      <c r="A9421" s="68">
        <v>42987</v>
      </c>
      <c r="B9421" s="32">
        <v>2909.15</v>
      </c>
      <c r="C9421">
        <f t="shared" si="177"/>
        <v>2017</v>
      </c>
    </row>
    <row r="9422" spans="1:3">
      <c r="A9422" s="68">
        <v>42988</v>
      </c>
      <c r="B9422" s="33">
        <v>2909.15</v>
      </c>
      <c r="C9422">
        <f t="shared" si="177"/>
        <v>2017</v>
      </c>
    </row>
    <row r="9423" spans="1:3">
      <c r="A9423" s="68">
        <v>42989</v>
      </c>
      <c r="B9423" s="32">
        <v>2909.15</v>
      </c>
      <c r="C9423">
        <f t="shared" si="177"/>
        <v>2017</v>
      </c>
    </row>
    <row r="9424" spans="1:3">
      <c r="A9424" s="68">
        <v>42990</v>
      </c>
      <c r="B9424" s="33">
        <v>2916.1</v>
      </c>
      <c r="C9424">
        <f t="shared" si="177"/>
        <v>2017</v>
      </c>
    </row>
    <row r="9425" spans="1:3">
      <c r="A9425" s="68">
        <v>42991</v>
      </c>
      <c r="B9425" s="32">
        <v>2923.03</v>
      </c>
      <c r="C9425">
        <f t="shared" si="177"/>
        <v>2017</v>
      </c>
    </row>
    <row r="9426" spans="1:3">
      <c r="A9426" s="68">
        <v>42992</v>
      </c>
      <c r="B9426" s="33">
        <v>2909.52</v>
      </c>
      <c r="C9426">
        <f t="shared" si="177"/>
        <v>2017</v>
      </c>
    </row>
    <row r="9427" spans="1:3">
      <c r="A9427" s="68">
        <v>42993</v>
      </c>
      <c r="B9427" s="32">
        <v>2905.98</v>
      </c>
      <c r="C9427">
        <f t="shared" si="177"/>
        <v>2017</v>
      </c>
    </row>
    <row r="9428" spans="1:3">
      <c r="A9428" s="68">
        <v>42994</v>
      </c>
      <c r="B9428" s="33">
        <v>2897.83</v>
      </c>
      <c r="C9428">
        <f t="shared" si="177"/>
        <v>2017</v>
      </c>
    </row>
    <row r="9429" spans="1:3">
      <c r="A9429" s="68">
        <v>42995</v>
      </c>
      <c r="B9429" s="32">
        <v>2897.83</v>
      </c>
      <c r="C9429">
        <f t="shared" si="177"/>
        <v>2017</v>
      </c>
    </row>
    <row r="9430" spans="1:3">
      <c r="A9430" s="68">
        <v>42996</v>
      </c>
      <c r="B9430" s="33">
        <v>2897.83</v>
      </c>
      <c r="C9430">
        <f t="shared" si="177"/>
        <v>2017</v>
      </c>
    </row>
    <row r="9431" spans="1:3">
      <c r="A9431" s="68">
        <v>42997</v>
      </c>
      <c r="B9431" s="32">
        <v>2906.06</v>
      </c>
      <c r="C9431">
        <f t="shared" si="177"/>
        <v>2017</v>
      </c>
    </row>
    <row r="9432" spans="1:3">
      <c r="A9432" s="68">
        <v>42998</v>
      </c>
      <c r="B9432" s="33">
        <v>2904.6</v>
      </c>
      <c r="C9432">
        <f t="shared" si="177"/>
        <v>2017</v>
      </c>
    </row>
    <row r="9433" spans="1:3">
      <c r="A9433" s="68">
        <v>42999</v>
      </c>
      <c r="B9433" s="32">
        <v>2893.18</v>
      </c>
      <c r="C9433">
        <f t="shared" si="177"/>
        <v>2017</v>
      </c>
    </row>
    <row r="9434" spans="1:3">
      <c r="A9434" s="68">
        <v>43000</v>
      </c>
      <c r="B9434" s="33">
        <v>2913.96</v>
      </c>
      <c r="C9434">
        <f t="shared" si="177"/>
        <v>2017</v>
      </c>
    </row>
    <row r="9435" spans="1:3">
      <c r="A9435" s="68">
        <v>43001</v>
      </c>
      <c r="B9435" s="32">
        <v>2900.73</v>
      </c>
      <c r="C9435">
        <f t="shared" si="177"/>
        <v>2017</v>
      </c>
    </row>
    <row r="9436" spans="1:3">
      <c r="A9436" s="68">
        <v>43002</v>
      </c>
      <c r="B9436" s="33">
        <v>2900.73</v>
      </c>
      <c r="C9436">
        <f t="shared" si="177"/>
        <v>2017</v>
      </c>
    </row>
    <row r="9437" spans="1:3">
      <c r="A9437" s="68">
        <v>43003</v>
      </c>
      <c r="B9437" s="32">
        <v>2900.73</v>
      </c>
      <c r="C9437">
        <f t="shared" si="177"/>
        <v>2017</v>
      </c>
    </row>
    <row r="9438" spans="1:3">
      <c r="A9438" s="68">
        <v>43004</v>
      </c>
      <c r="B9438" s="33">
        <v>2924.57</v>
      </c>
      <c r="C9438">
        <f t="shared" si="177"/>
        <v>2017</v>
      </c>
    </row>
    <row r="9439" spans="1:3">
      <c r="A9439" s="68">
        <v>43005</v>
      </c>
      <c r="B9439" s="32">
        <v>2930.7</v>
      </c>
      <c r="C9439">
        <f t="shared" si="177"/>
        <v>2017</v>
      </c>
    </row>
    <row r="9440" spans="1:3">
      <c r="A9440" s="68">
        <v>43006</v>
      </c>
      <c r="B9440" s="33">
        <v>2940.66</v>
      </c>
      <c r="C9440">
        <f t="shared" si="177"/>
        <v>2017</v>
      </c>
    </row>
    <row r="9441" spans="1:3">
      <c r="A9441" s="68">
        <v>43007</v>
      </c>
      <c r="B9441" s="32">
        <v>2941.07</v>
      </c>
      <c r="C9441">
        <f t="shared" si="177"/>
        <v>2017</v>
      </c>
    </row>
    <row r="9442" spans="1:3">
      <c r="A9442" s="68">
        <v>43008</v>
      </c>
      <c r="B9442" s="33">
        <v>2936.67</v>
      </c>
      <c r="C9442">
        <f t="shared" si="177"/>
        <v>2017</v>
      </c>
    </row>
    <row r="9443" spans="1:3">
      <c r="A9443" s="68">
        <v>43009</v>
      </c>
      <c r="B9443" s="32">
        <v>2936.67</v>
      </c>
      <c r="C9443">
        <f t="shared" si="177"/>
        <v>2017</v>
      </c>
    </row>
    <row r="9444" spans="1:3">
      <c r="A9444" s="68">
        <v>43010</v>
      </c>
      <c r="B9444" s="33">
        <v>2936.67</v>
      </c>
      <c r="C9444">
        <f t="shared" si="177"/>
        <v>2017</v>
      </c>
    </row>
    <row r="9445" spans="1:3">
      <c r="A9445" s="68">
        <v>43011</v>
      </c>
      <c r="B9445" s="32">
        <v>2949.33</v>
      </c>
      <c r="C9445">
        <f t="shared" si="177"/>
        <v>2017</v>
      </c>
    </row>
    <row r="9446" spans="1:3">
      <c r="A9446" s="68">
        <v>43012</v>
      </c>
      <c r="B9446" s="33">
        <v>2953.81</v>
      </c>
      <c r="C9446">
        <f t="shared" si="177"/>
        <v>2017</v>
      </c>
    </row>
    <row r="9447" spans="1:3">
      <c r="A9447" s="68">
        <v>43013</v>
      </c>
      <c r="B9447" s="32">
        <v>2945.59</v>
      </c>
      <c r="C9447">
        <f t="shared" si="177"/>
        <v>2017</v>
      </c>
    </row>
    <row r="9448" spans="1:3">
      <c r="A9448" s="68">
        <v>43014</v>
      </c>
      <c r="B9448" s="33">
        <v>2926.82</v>
      </c>
      <c r="C9448">
        <f t="shared" si="177"/>
        <v>2017</v>
      </c>
    </row>
    <row r="9449" spans="1:3">
      <c r="A9449" s="68">
        <v>43015</v>
      </c>
      <c r="B9449" s="32">
        <v>2942.19</v>
      </c>
      <c r="C9449">
        <f t="shared" si="177"/>
        <v>2017</v>
      </c>
    </row>
    <row r="9450" spans="1:3">
      <c r="A9450" s="68">
        <v>43016</v>
      </c>
      <c r="B9450" s="33">
        <v>2942.19</v>
      </c>
      <c r="C9450">
        <f t="shared" si="177"/>
        <v>2017</v>
      </c>
    </row>
    <row r="9451" spans="1:3">
      <c r="A9451" s="68">
        <v>43017</v>
      </c>
      <c r="B9451" s="32">
        <v>2942.19</v>
      </c>
      <c r="C9451">
        <f t="shared" si="177"/>
        <v>2017</v>
      </c>
    </row>
    <row r="9452" spans="1:3">
      <c r="A9452" s="68">
        <v>43018</v>
      </c>
      <c r="B9452" s="33">
        <v>2942.19</v>
      </c>
      <c r="C9452">
        <f t="shared" si="177"/>
        <v>2017</v>
      </c>
    </row>
    <row r="9453" spans="1:3">
      <c r="A9453" s="68">
        <v>43019</v>
      </c>
      <c r="B9453" s="32">
        <v>2947.06</v>
      </c>
      <c r="C9453">
        <f t="shared" si="177"/>
        <v>2017</v>
      </c>
    </row>
    <row r="9454" spans="1:3">
      <c r="A9454" s="68">
        <v>43020</v>
      </c>
      <c r="B9454" s="33">
        <v>2953.77</v>
      </c>
      <c r="C9454">
        <f t="shared" si="177"/>
        <v>2017</v>
      </c>
    </row>
    <row r="9455" spans="1:3">
      <c r="A9455" s="68">
        <v>43021</v>
      </c>
      <c r="B9455" s="32">
        <v>2949.69</v>
      </c>
      <c r="C9455">
        <f t="shared" si="177"/>
        <v>2017</v>
      </c>
    </row>
    <row r="9456" spans="1:3">
      <c r="A9456" s="68">
        <v>43022</v>
      </c>
      <c r="B9456" s="33">
        <v>2932.05</v>
      </c>
      <c r="C9456">
        <f t="shared" si="177"/>
        <v>2017</v>
      </c>
    </row>
    <row r="9457" spans="1:3">
      <c r="A9457" s="68">
        <v>43023</v>
      </c>
      <c r="B9457" s="32">
        <v>2932.05</v>
      </c>
      <c r="C9457">
        <f t="shared" si="177"/>
        <v>2017</v>
      </c>
    </row>
    <row r="9458" spans="1:3">
      <c r="A9458" s="68">
        <v>43024</v>
      </c>
      <c r="B9458" s="33">
        <v>2932.05</v>
      </c>
      <c r="C9458">
        <f t="shared" si="177"/>
        <v>2017</v>
      </c>
    </row>
    <row r="9459" spans="1:3">
      <c r="A9459" s="68">
        <v>43025</v>
      </c>
      <c r="B9459" s="32">
        <v>2932.05</v>
      </c>
      <c r="C9459">
        <f t="shared" si="177"/>
        <v>2017</v>
      </c>
    </row>
    <row r="9460" spans="1:3">
      <c r="A9460" s="68">
        <v>43026</v>
      </c>
      <c r="B9460" s="33">
        <v>2944.27</v>
      </c>
      <c r="C9460">
        <f t="shared" si="177"/>
        <v>2017</v>
      </c>
    </row>
    <row r="9461" spans="1:3">
      <c r="A9461" s="68">
        <v>43027</v>
      </c>
      <c r="B9461" s="32">
        <v>2935.66</v>
      </c>
      <c r="C9461">
        <f t="shared" si="177"/>
        <v>2017</v>
      </c>
    </row>
    <row r="9462" spans="1:3">
      <c r="A9462" s="68">
        <v>43028</v>
      </c>
      <c r="B9462" s="33">
        <v>2921.92</v>
      </c>
      <c r="C9462">
        <f t="shared" si="177"/>
        <v>2017</v>
      </c>
    </row>
    <row r="9463" spans="1:3">
      <c r="A9463" s="68">
        <v>43029</v>
      </c>
      <c r="B9463" s="32">
        <v>2936.66</v>
      </c>
      <c r="C9463">
        <f t="shared" si="177"/>
        <v>2017</v>
      </c>
    </row>
    <row r="9464" spans="1:3">
      <c r="A9464" s="68">
        <v>43030</v>
      </c>
      <c r="B9464" s="33">
        <v>2936.66</v>
      </c>
      <c r="C9464">
        <f t="shared" si="177"/>
        <v>2017</v>
      </c>
    </row>
    <row r="9465" spans="1:3">
      <c r="A9465" s="68">
        <v>43031</v>
      </c>
      <c r="B9465" s="32">
        <v>2936.66</v>
      </c>
      <c r="C9465">
        <f t="shared" si="177"/>
        <v>2017</v>
      </c>
    </row>
    <row r="9466" spans="1:3">
      <c r="A9466" s="68">
        <v>43032</v>
      </c>
      <c r="B9466" s="33">
        <v>2947.69</v>
      </c>
      <c r="C9466">
        <f t="shared" si="177"/>
        <v>2017</v>
      </c>
    </row>
    <row r="9467" spans="1:3">
      <c r="A9467" s="68">
        <v>43033</v>
      </c>
      <c r="B9467" s="32">
        <v>2971.36</v>
      </c>
      <c r="C9467">
        <f t="shared" si="177"/>
        <v>2017</v>
      </c>
    </row>
    <row r="9468" spans="1:3">
      <c r="A9468" s="68">
        <v>43034</v>
      </c>
      <c r="B9468" s="33">
        <v>2989.39</v>
      </c>
      <c r="C9468">
        <f t="shared" si="177"/>
        <v>2017</v>
      </c>
    </row>
    <row r="9469" spans="1:3">
      <c r="A9469" s="68">
        <v>43035</v>
      </c>
      <c r="B9469" s="32">
        <v>3008.8</v>
      </c>
      <c r="C9469">
        <f t="shared" si="177"/>
        <v>2017</v>
      </c>
    </row>
    <row r="9470" spans="1:3">
      <c r="A9470" s="68">
        <v>43036</v>
      </c>
      <c r="B9470" s="33">
        <v>3009.85</v>
      </c>
      <c r="C9470">
        <f t="shared" si="177"/>
        <v>2017</v>
      </c>
    </row>
    <row r="9471" spans="1:3">
      <c r="A9471" s="68">
        <v>43037</v>
      </c>
      <c r="B9471" s="32">
        <v>3009.85</v>
      </c>
      <c r="C9471">
        <f t="shared" si="177"/>
        <v>2017</v>
      </c>
    </row>
    <row r="9472" spans="1:3">
      <c r="A9472" s="68">
        <v>43038</v>
      </c>
      <c r="B9472" s="33">
        <v>3009.85</v>
      </c>
      <c r="C9472">
        <f t="shared" si="177"/>
        <v>2017</v>
      </c>
    </row>
    <row r="9473" spans="1:3">
      <c r="A9473" s="68">
        <v>43039</v>
      </c>
      <c r="B9473" s="32">
        <v>3011.44</v>
      </c>
      <c r="C9473">
        <f t="shared" si="177"/>
        <v>2017</v>
      </c>
    </row>
    <row r="9474" spans="1:3">
      <c r="A9474" s="68">
        <v>43040</v>
      </c>
      <c r="B9474" s="33">
        <v>3039.19</v>
      </c>
      <c r="C9474">
        <f t="shared" si="177"/>
        <v>2017</v>
      </c>
    </row>
    <row r="9475" spans="1:3">
      <c r="A9475" s="68">
        <v>43041</v>
      </c>
      <c r="B9475" s="32">
        <v>3038.56</v>
      </c>
      <c r="C9475">
        <f t="shared" si="177"/>
        <v>2017</v>
      </c>
    </row>
    <row r="9476" spans="1:3">
      <c r="A9476" s="68">
        <v>43042</v>
      </c>
      <c r="B9476" s="33">
        <v>3054.38</v>
      </c>
      <c r="C9476">
        <f t="shared" ref="C9476:C9539" si="178">YEAR(A9476)</f>
        <v>2017</v>
      </c>
    </row>
    <row r="9477" spans="1:3">
      <c r="A9477" s="68">
        <v>43043</v>
      </c>
      <c r="B9477" s="32">
        <v>3055.57</v>
      </c>
      <c r="C9477">
        <f t="shared" si="178"/>
        <v>2017</v>
      </c>
    </row>
    <row r="9478" spans="1:3">
      <c r="A9478" s="68">
        <v>43044</v>
      </c>
      <c r="B9478" s="33">
        <v>3055.57</v>
      </c>
      <c r="C9478">
        <f t="shared" si="178"/>
        <v>2017</v>
      </c>
    </row>
    <row r="9479" spans="1:3">
      <c r="A9479" s="68">
        <v>43045</v>
      </c>
      <c r="B9479" s="32">
        <v>3055.57</v>
      </c>
      <c r="C9479">
        <f t="shared" si="178"/>
        <v>2017</v>
      </c>
    </row>
    <row r="9480" spans="1:3">
      <c r="A9480" s="68">
        <v>43046</v>
      </c>
      <c r="B9480" s="33">
        <v>3055.57</v>
      </c>
      <c r="C9480">
        <f t="shared" si="178"/>
        <v>2017</v>
      </c>
    </row>
    <row r="9481" spans="1:3">
      <c r="A9481" s="68">
        <v>43047</v>
      </c>
      <c r="B9481" s="32">
        <v>3026.94</v>
      </c>
      <c r="C9481">
        <f t="shared" si="178"/>
        <v>2017</v>
      </c>
    </row>
    <row r="9482" spans="1:3">
      <c r="A9482" s="68">
        <v>43048</v>
      </c>
      <c r="B9482" s="33">
        <v>3017.78</v>
      </c>
      <c r="C9482">
        <f t="shared" si="178"/>
        <v>2017</v>
      </c>
    </row>
    <row r="9483" spans="1:3">
      <c r="A9483" s="68">
        <v>43049</v>
      </c>
      <c r="B9483" s="32">
        <v>3015.52</v>
      </c>
      <c r="C9483">
        <f t="shared" si="178"/>
        <v>2017</v>
      </c>
    </row>
    <row r="9484" spans="1:3">
      <c r="A9484" s="68">
        <v>43050</v>
      </c>
      <c r="B9484" s="33">
        <v>3004.88</v>
      </c>
      <c r="C9484">
        <f t="shared" si="178"/>
        <v>2017</v>
      </c>
    </row>
    <row r="9485" spans="1:3">
      <c r="A9485" s="68">
        <v>43051</v>
      </c>
      <c r="B9485" s="32">
        <v>3004.88</v>
      </c>
      <c r="C9485">
        <f t="shared" si="178"/>
        <v>2017</v>
      </c>
    </row>
    <row r="9486" spans="1:3">
      <c r="A9486" s="68">
        <v>43052</v>
      </c>
      <c r="B9486" s="33">
        <v>3004.88</v>
      </c>
      <c r="C9486">
        <f t="shared" si="178"/>
        <v>2017</v>
      </c>
    </row>
    <row r="9487" spans="1:3">
      <c r="A9487" s="68">
        <v>43053</v>
      </c>
      <c r="B9487" s="32">
        <v>3004.88</v>
      </c>
      <c r="C9487">
        <f t="shared" si="178"/>
        <v>2017</v>
      </c>
    </row>
    <row r="9488" spans="1:3">
      <c r="A9488" s="68">
        <v>43054</v>
      </c>
      <c r="B9488" s="33">
        <v>3016.7</v>
      </c>
      <c r="C9488">
        <f t="shared" si="178"/>
        <v>2017</v>
      </c>
    </row>
    <row r="9489" spans="1:3">
      <c r="A9489" s="68">
        <v>43055</v>
      </c>
      <c r="B9489" s="32">
        <v>3023.88</v>
      </c>
      <c r="C9489">
        <f t="shared" si="178"/>
        <v>2017</v>
      </c>
    </row>
    <row r="9490" spans="1:3">
      <c r="A9490" s="68">
        <v>43056</v>
      </c>
      <c r="B9490" s="33">
        <v>3015.79</v>
      </c>
      <c r="C9490">
        <f t="shared" si="178"/>
        <v>2017</v>
      </c>
    </row>
    <row r="9491" spans="1:3">
      <c r="A9491" s="68">
        <v>43057</v>
      </c>
      <c r="B9491" s="32">
        <v>3003.19</v>
      </c>
      <c r="C9491">
        <f t="shared" si="178"/>
        <v>2017</v>
      </c>
    </row>
    <row r="9492" spans="1:3">
      <c r="A9492" s="68">
        <v>43058</v>
      </c>
      <c r="B9492" s="33">
        <v>3003.19</v>
      </c>
      <c r="C9492">
        <f t="shared" si="178"/>
        <v>2017</v>
      </c>
    </row>
    <row r="9493" spans="1:3">
      <c r="A9493" s="68">
        <v>43059</v>
      </c>
      <c r="B9493" s="32">
        <v>3003.19</v>
      </c>
      <c r="C9493">
        <f t="shared" si="178"/>
        <v>2017</v>
      </c>
    </row>
    <row r="9494" spans="1:3">
      <c r="A9494" s="68">
        <v>43060</v>
      </c>
      <c r="B9494" s="33">
        <v>3011.32</v>
      </c>
      <c r="C9494">
        <f t="shared" si="178"/>
        <v>2017</v>
      </c>
    </row>
    <row r="9495" spans="1:3">
      <c r="A9495" s="68">
        <v>43061</v>
      </c>
      <c r="B9495" s="32">
        <v>3001.07</v>
      </c>
      <c r="C9495">
        <f t="shared" si="178"/>
        <v>2017</v>
      </c>
    </row>
    <row r="9496" spans="1:3">
      <c r="A9496" s="68">
        <v>43062</v>
      </c>
      <c r="B9496" s="33">
        <v>2982.73</v>
      </c>
      <c r="C9496">
        <f t="shared" si="178"/>
        <v>2017</v>
      </c>
    </row>
    <row r="9497" spans="1:3">
      <c r="A9497" s="68">
        <v>43063</v>
      </c>
      <c r="B9497" s="32">
        <v>2982.73</v>
      </c>
      <c r="C9497">
        <f t="shared" si="178"/>
        <v>2017</v>
      </c>
    </row>
    <row r="9498" spans="1:3">
      <c r="A9498" s="68">
        <v>43064</v>
      </c>
      <c r="B9498" s="33">
        <v>2976.39</v>
      </c>
      <c r="C9498">
        <f t="shared" si="178"/>
        <v>2017</v>
      </c>
    </row>
    <row r="9499" spans="1:3">
      <c r="A9499" s="68">
        <v>43065</v>
      </c>
      <c r="B9499" s="32">
        <v>2976.39</v>
      </c>
      <c r="C9499">
        <f t="shared" si="178"/>
        <v>2017</v>
      </c>
    </row>
    <row r="9500" spans="1:3">
      <c r="A9500" s="68">
        <v>43066</v>
      </c>
      <c r="B9500" s="33">
        <v>2976.39</v>
      </c>
      <c r="C9500">
        <f t="shared" si="178"/>
        <v>2017</v>
      </c>
    </row>
    <row r="9501" spans="1:3">
      <c r="A9501" s="68">
        <v>43067</v>
      </c>
      <c r="B9501" s="32">
        <v>2986.84</v>
      </c>
      <c r="C9501">
        <f t="shared" si="178"/>
        <v>2017</v>
      </c>
    </row>
    <row r="9502" spans="1:3">
      <c r="A9502" s="68">
        <v>43068</v>
      </c>
      <c r="B9502" s="33">
        <v>3003.94</v>
      </c>
      <c r="C9502">
        <f t="shared" si="178"/>
        <v>2017</v>
      </c>
    </row>
    <row r="9503" spans="1:3">
      <c r="A9503" s="68">
        <v>43069</v>
      </c>
      <c r="B9503" s="32">
        <v>3006.09</v>
      </c>
      <c r="C9503">
        <f t="shared" si="178"/>
        <v>2017</v>
      </c>
    </row>
    <row r="9504" spans="1:3">
      <c r="A9504" s="68">
        <v>43070</v>
      </c>
      <c r="B9504" s="33">
        <v>3006.04</v>
      </c>
      <c r="C9504">
        <f t="shared" si="178"/>
        <v>2017</v>
      </c>
    </row>
    <row r="9505" spans="1:3">
      <c r="A9505" s="68">
        <v>43071</v>
      </c>
      <c r="B9505" s="32">
        <v>3005.76</v>
      </c>
      <c r="C9505">
        <f t="shared" si="178"/>
        <v>2017</v>
      </c>
    </row>
    <row r="9506" spans="1:3">
      <c r="A9506" s="68">
        <v>43072</v>
      </c>
      <c r="B9506" s="33">
        <v>3005.76</v>
      </c>
      <c r="C9506">
        <f t="shared" si="178"/>
        <v>2017</v>
      </c>
    </row>
    <row r="9507" spans="1:3">
      <c r="A9507" s="68">
        <v>43073</v>
      </c>
      <c r="B9507" s="32">
        <v>3005.76</v>
      </c>
      <c r="C9507">
        <f t="shared" si="178"/>
        <v>2017</v>
      </c>
    </row>
    <row r="9508" spans="1:3">
      <c r="A9508" s="68">
        <v>43074</v>
      </c>
      <c r="B9508" s="33">
        <v>2993.49</v>
      </c>
      <c r="C9508">
        <f t="shared" si="178"/>
        <v>2017</v>
      </c>
    </row>
    <row r="9509" spans="1:3">
      <c r="A9509" s="68">
        <v>43075</v>
      </c>
      <c r="B9509" s="32">
        <v>2996.53</v>
      </c>
      <c r="C9509">
        <f t="shared" si="178"/>
        <v>2017</v>
      </c>
    </row>
    <row r="9510" spans="1:3">
      <c r="A9510" s="68">
        <v>43076</v>
      </c>
      <c r="B9510" s="33">
        <v>3007.07</v>
      </c>
      <c r="C9510">
        <f t="shared" si="178"/>
        <v>2017</v>
      </c>
    </row>
    <row r="9511" spans="1:3">
      <c r="A9511" s="68">
        <v>43077</v>
      </c>
      <c r="B9511" s="32">
        <v>3016.18</v>
      </c>
      <c r="C9511">
        <f t="shared" si="178"/>
        <v>2017</v>
      </c>
    </row>
    <row r="9512" spans="1:3">
      <c r="A9512" s="68">
        <v>43078</v>
      </c>
      <c r="B9512" s="33">
        <v>3016.18</v>
      </c>
      <c r="C9512">
        <f t="shared" si="178"/>
        <v>2017</v>
      </c>
    </row>
    <row r="9513" spans="1:3">
      <c r="A9513" s="68">
        <v>43079</v>
      </c>
      <c r="B9513" s="32">
        <v>3016.18</v>
      </c>
      <c r="C9513">
        <f t="shared" si="178"/>
        <v>2017</v>
      </c>
    </row>
    <row r="9514" spans="1:3">
      <c r="A9514" s="68">
        <v>43080</v>
      </c>
      <c r="B9514" s="33">
        <v>3016.18</v>
      </c>
      <c r="C9514">
        <f t="shared" si="178"/>
        <v>2017</v>
      </c>
    </row>
    <row r="9515" spans="1:3">
      <c r="A9515" s="68">
        <v>43081</v>
      </c>
      <c r="B9515" s="32">
        <v>3013.99</v>
      </c>
      <c r="C9515">
        <f t="shared" si="178"/>
        <v>2017</v>
      </c>
    </row>
    <row r="9516" spans="1:3">
      <c r="A9516" s="68">
        <v>43082</v>
      </c>
      <c r="B9516" s="33">
        <v>3029.75</v>
      </c>
      <c r="C9516">
        <f t="shared" si="178"/>
        <v>2017</v>
      </c>
    </row>
    <row r="9517" spans="1:3">
      <c r="A9517" s="68">
        <v>43083</v>
      </c>
      <c r="B9517" s="32">
        <v>3015.41</v>
      </c>
      <c r="C9517">
        <f t="shared" si="178"/>
        <v>2017</v>
      </c>
    </row>
    <row r="9518" spans="1:3">
      <c r="A9518" s="68">
        <v>43084</v>
      </c>
      <c r="B9518" s="33">
        <v>2999.07</v>
      </c>
      <c r="C9518">
        <f t="shared" si="178"/>
        <v>2017</v>
      </c>
    </row>
    <row r="9519" spans="1:3">
      <c r="A9519" s="68">
        <v>43085</v>
      </c>
      <c r="B9519" s="32">
        <v>2996.61</v>
      </c>
      <c r="C9519">
        <f t="shared" si="178"/>
        <v>2017</v>
      </c>
    </row>
    <row r="9520" spans="1:3">
      <c r="A9520" s="68">
        <v>43086</v>
      </c>
      <c r="B9520" s="33">
        <v>2996.61</v>
      </c>
      <c r="C9520">
        <f t="shared" si="178"/>
        <v>2017</v>
      </c>
    </row>
    <row r="9521" spans="1:4">
      <c r="A9521" s="68">
        <v>43087</v>
      </c>
      <c r="B9521" s="32">
        <v>2996.61</v>
      </c>
      <c r="C9521">
        <f t="shared" si="178"/>
        <v>2017</v>
      </c>
    </row>
    <row r="9522" spans="1:4">
      <c r="A9522" s="68">
        <v>43088</v>
      </c>
      <c r="B9522" s="33">
        <v>2975.59</v>
      </c>
      <c r="C9522">
        <f t="shared" si="178"/>
        <v>2017</v>
      </c>
    </row>
    <row r="9523" spans="1:4">
      <c r="A9523" s="68">
        <v>43089</v>
      </c>
      <c r="B9523" s="32">
        <v>2972.05</v>
      </c>
      <c r="C9523">
        <f t="shared" si="178"/>
        <v>2017</v>
      </c>
    </row>
    <row r="9524" spans="1:4">
      <c r="A9524" s="68">
        <v>43090</v>
      </c>
      <c r="B9524" s="33">
        <v>2965.77</v>
      </c>
      <c r="C9524">
        <f t="shared" si="178"/>
        <v>2017</v>
      </c>
    </row>
    <row r="9525" spans="1:4">
      <c r="A9525" s="68">
        <v>43091</v>
      </c>
      <c r="B9525" s="32">
        <v>2963.58</v>
      </c>
      <c r="C9525">
        <f t="shared" si="178"/>
        <v>2017</v>
      </c>
    </row>
    <row r="9526" spans="1:4">
      <c r="A9526" s="68">
        <v>43092</v>
      </c>
      <c r="B9526" s="33">
        <v>2962.14</v>
      </c>
      <c r="C9526">
        <f t="shared" si="178"/>
        <v>2017</v>
      </c>
    </row>
    <row r="9527" spans="1:4">
      <c r="A9527" s="68">
        <v>43093</v>
      </c>
      <c r="B9527" s="32">
        <v>2962.14</v>
      </c>
      <c r="C9527">
        <f t="shared" si="178"/>
        <v>2017</v>
      </c>
    </row>
    <row r="9528" spans="1:4">
      <c r="A9528" s="68">
        <v>43094</v>
      </c>
      <c r="B9528" s="33">
        <v>2962.14</v>
      </c>
      <c r="C9528">
        <f t="shared" si="178"/>
        <v>2017</v>
      </c>
    </row>
    <row r="9529" spans="1:4">
      <c r="A9529" s="68">
        <v>43095</v>
      </c>
      <c r="B9529" s="32">
        <v>2962.14</v>
      </c>
      <c r="C9529">
        <f t="shared" si="178"/>
        <v>2017</v>
      </c>
    </row>
    <row r="9530" spans="1:4">
      <c r="A9530" s="68">
        <v>43096</v>
      </c>
      <c r="B9530" s="33">
        <v>2962.26</v>
      </c>
      <c r="C9530">
        <f t="shared" si="178"/>
        <v>2017</v>
      </c>
    </row>
    <row r="9531" spans="1:4">
      <c r="A9531" s="68">
        <v>43097</v>
      </c>
      <c r="B9531" s="32">
        <v>2971.63</v>
      </c>
      <c r="C9531">
        <f t="shared" si="178"/>
        <v>2017</v>
      </c>
    </row>
    <row r="9532" spans="1:4">
      <c r="A9532" s="68">
        <v>43098</v>
      </c>
      <c r="B9532" s="33">
        <v>2984</v>
      </c>
      <c r="C9532">
        <f t="shared" si="178"/>
        <v>2017</v>
      </c>
    </row>
    <row r="9533" spans="1:4">
      <c r="A9533" s="68">
        <v>43099</v>
      </c>
      <c r="B9533" s="32">
        <v>2984</v>
      </c>
      <c r="C9533">
        <f t="shared" si="178"/>
        <v>2017</v>
      </c>
    </row>
    <row r="9534" spans="1:4">
      <c r="A9534" s="68">
        <v>43100</v>
      </c>
      <c r="B9534" s="33">
        <v>2984</v>
      </c>
      <c r="C9534">
        <f t="shared" si="178"/>
        <v>2017</v>
      </c>
      <c r="D9534" s="76">
        <f>(B9534-B9170)/B9170</f>
        <v>-5.5686820785747493E-3</v>
      </c>
    </row>
    <row r="9535" spans="1:4">
      <c r="A9535" s="68">
        <v>43101</v>
      </c>
      <c r="B9535" s="32">
        <v>2984</v>
      </c>
      <c r="C9535">
        <f t="shared" si="178"/>
        <v>2018</v>
      </c>
    </row>
    <row r="9536" spans="1:4">
      <c r="A9536" s="68">
        <v>43102</v>
      </c>
      <c r="B9536" s="33">
        <v>2984</v>
      </c>
      <c r="C9536">
        <f t="shared" si="178"/>
        <v>2018</v>
      </c>
    </row>
    <row r="9537" spans="1:3">
      <c r="A9537" s="68">
        <v>43103</v>
      </c>
      <c r="B9537" s="32">
        <v>2940.94</v>
      </c>
      <c r="C9537">
        <f t="shared" si="178"/>
        <v>2018</v>
      </c>
    </row>
    <row r="9538" spans="1:3">
      <c r="A9538" s="68">
        <v>43104</v>
      </c>
      <c r="B9538" s="33">
        <v>2908.68</v>
      </c>
      <c r="C9538">
        <f t="shared" si="178"/>
        <v>2018</v>
      </c>
    </row>
    <row r="9539" spans="1:3">
      <c r="A9539" s="68">
        <v>43105</v>
      </c>
      <c r="B9539" s="32">
        <v>2885.76</v>
      </c>
      <c r="C9539">
        <f t="shared" si="178"/>
        <v>2018</v>
      </c>
    </row>
    <row r="9540" spans="1:3">
      <c r="A9540" s="68">
        <v>43106</v>
      </c>
      <c r="B9540" s="33">
        <v>2898.32</v>
      </c>
      <c r="C9540">
        <f t="shared" ref="C9540:C9603" si="179">YEAR(A9540)</f>
        <v>2018</v>
      </c>
    </row>
    <row r="9541" spans="1:3">
      <c r="A9541" s="68">
        <v>43107</v>
      </c>
      <c r="B9541" s="32">
        <v>2898.32</v>
      </c>
      <c r="C9541">
        <f t="shared" si="179"/>
        <v>2018</v>
      </c>
    </row>
    <row r="9542" spans="1:3">
      <c r="A9542" s="68">
        <v>43108</v>
      </c>
      <c r="B9542" s="33">
        <v>2898.32</v>
      </c>
      <c r="C9542">
        <f t="shared" si="179"/>
        <v>2018</v>
      </c>
    </row>
    <row r="9543" spans="1:3">
      <c r="A9543" s="68">
        <v>43109</v>
      </c>
      <c r="B9543" s="32">
        <v>2898.32</v>
      </c>
      <c r="C9543">
        <f t="shared" si="179"/>
        <v>2018</v>
      </c>
    </row>
    <row r="9544" spans="1:3">
      <c r="A9544" s="68">
        <v>43110</v>
      </c>
      <c r="B9544" s="33">
        <v>2914.37</v>
      </c>
      <c r="C9544">
        <f t="shared" si="179"/>
        <v>2018</v>
      </c>
    </row>
    <row r="9545" spans="1:3">
      <c r="A9545" s="68">
        <v>43111</v>
      </c>
      <c r="B9545" s="32">
        <v>2895.69</v>
      </c>
      <c r="C9545">
        <f t="shared" si="179"/>
        <v>2018</v>
      </c>
    </row>
    <row r="9546" spans="1:3">
      <c r="A9546" s="68">
        <v>43112</v>
      </c>
      <c r="B9546" s="33">
        <v>2865.79</v>
      </c>
      <c r="C9546">
        <f t="shared" si="179"/>
        <v>2018</v>
      </c>
    </row>
    <row r="9547" spans="1:3">
      <c r="A9547" s="68">
        <v>43113</v>
      </c>
      <c r="B9547" s="32">
        <v>2855.86</v>
      </c>
      <c r="C9547">
        <f t="shared" si="179"/>
        <v>2018</v>
      </c>
    </row>
    <row r="9548" spans="1:3">
      <c r="A9548" s="68">
        <v>43114</v>
      </c>
      <c r="B9548" s="33">
        <v>2855.86</v>
      </c>
      <c r="C9548">
        <f t="shared" si="179"/>
        <v>2018</v>
      </c>
    </row>
    <row r="9549" spans="1:3">
      <c r="A9549" s="68">
        <v>43115</v>
      </c>
      <c r="B9549" s="32">
        <v>2855.86</v>
      </c>
      <c r="C9549">
        <f t="shared" si="179"/>
        <v>2018</v>
      </c>
    </row>
    <row r="9550" spans="1:3">
      <c r="A9550" s="68">
        <v>43116</v>
      </c>
      <c r="B9550" s="33">
        <v>2855.86</v>
      </c>
      <c r="C9550">
        <f t="shared" si="179"/>
        <v>2018</v>
      </c>
    </row>
    <row r="9551" spans="1:3">
      <c r="A9551" s="68">
        <v>43117</v>
      </c>
      <c r="B9551" s="32">
        <v>2868.03</v>
      </c>
      <c r="C9551">
        <f t="shared" si="179"/>
        <v>2018</v>
      </c>
    </row>
    <row r="9552" spans="1:3">
      <c r="A9552" s="68">
        <v>43118</v>
      </c>
      <c r="B9552" s="33">
        <v>2851.13</v>
      </c>
      <c r="C9552">
        <f t="shared" si="179"/>
        <v>2018</v>
      </c>
    </row>
    <row r="9553" spans="1:3">
      <c r="A9553" s="68">
        <v>43119</v>
      </c>
      <c r="B9553" s="32">
        <v>2836.85</v>
      </c>
      <c r="C9553">
        <f t="shared" si="179"/>
        <v>2018</v>
      </c>
    </row>
    <row r="9554" spans="1:3">
      <c r="A9554" s="68">
        <v>43120</v>
      </c>
      <c r="B9554" s="33">
        <v>2851.75</v>
      </c>
      <c r="C9554">
        <f t="shared" si="179"/>
        <v>2018</v>
      </c>
    </row>
    <row r="9555" spans="1:3">
      <c r="A9555" s="68">
        <v>43121</v>
      </c>
      <c r="B9555" s="32">
        <v>2851.75</v>
      </c>
      <c r="C9555">
        <f t="shared" si="179"/>
        <v>2018</v>
      </c>
    </row>
    <row r="9556" spans="1:3">
      <c r="A9556" s="68">
        <v>43122</v>
      </c>
      <c r="B9556" s="33">
        <v>2851.75</v>
      </c>
      <c r="C9556">
        <f t="shared" si="179"/>
        <v>2018</v>
      </c>
    </row>
    <row r="9557" spans="1:3">
      <c r="A9557" s="68">
        <v>43123</v>
      </c>
      <c r="B9557" s="32">
        <v>2854.2</v>
      </c>
      <c r="C9557">
        <f t="shared" si="179"/>
        <v>2018</v>
      </c>
    </row>
    <row r="9558" spans="1:3">
      <c r="A9558" s="68">
        <v>43124</v>
      </c>
      <c r="B9558" s="33">
        <v>2858.5</v>
      </c>
      <c r="C9558">
        <f t="shared" si="179"/>
        <v>2018</v>
      </c>
    </row>
    <row r="9559" spans="1:3">
      <c r="A9559" s="68">
        <v>43125</v>
      </c>
      <c r="B9559" s="32">
        <v>2820.53</v>
      </c>
      <c r="C9559">
        <f t="shared" si="179"/>
        <v>2018</v>
      </c>
    </row>
    <row r="9560" spans="1:3">
      <c r="A9560" s="68">
        <v>43126</v>
      </c>
      <c r="B9560" s="33">
        <v>2783.13</v>
      </c>
      <c r="C9560">
        <f t="shared" si="179"/>
        <v>2018</v>
      </c>
    </row>
    <row r="9561" spans="1:3">
      <c r="A9561" s="68">
        <v>43127</v>
      </c>
      <c r="B9561" s="32">
        <v>2805.12</v>
      </c>
      <c r="C9561">
        <f t="shared" si="179"/>
        <v>2018</v>
      </c>
    </row>
    <row r="9562" spans="1:3">
      <c r="A9562" s="68">
        <v>43128</v>
      </c>
      <c r="B9562" s="33">
        <v>2805.12</v>
      </c>
      <c r="C9562">
        <f t="shared" si="179"/>
        <v>2018</v>
      </c>
    </row>
    <row r="9563" spans="1:3">
      <c r="A9563" s="68">
        <v>43129</v>
      </c>
      <c r="B9563" s="32">
        <v>2805.12</v>
      </c>
      <c r="C9563">
        <f t="shared" si="179"/>
        <v>2018</v>
      </c>
    </row>
    <row r="9564" spans="1:3">
      <c r="A9564" s="68">
        <v>43130</v>
      </c>
      <c r="B9564" s="33">
        <v>2842.67</v>
      </c>
      <c r="C9564">
        <f t="shared" si="179"/>
        <v>2018</v>
      </c>
    </row>
    <row r="9565" spans="1:3">
      <c r="A9565" s="68">
        <v>43131</v>
      </c>
      <c r="B9565" s="32">
        <v>2844.14</v>
      </c>
      <c r="C9565">
        <f t="shared" si="179"/>
        <v>2018</v>
      </c>
    </row>
    <row r="9566" spans="1:3">
      <c r="A9566" s="68">
        <v>43132</v>
      </c>
      <c r="B9566" s="33">
        <v>2835.05</v>
      </c>
      <c r="C9566">
        <f t="shared" si="179"/>
        <v>2018</v>
      </c>
    </row>
    <row r="9567" spans="1:3">
      <c r="A9567" s="68">
        <v>43133</v>
      </c>
      <c r="B9567" s="32">
        <v>2806.67</v>
      </c>
      <c r="C9567">
        <f t="shared" si="179"/>
        <v>2018</v>
      </c>
    </row>
    <row r="9568" spans="1:3">
      <c r="A9568" s="68">
        <v>43134</v>
      </c>
      <c r="B9568" s="33">
        <v>2832.13</v>
      </c>
      <c r="C9568">
        <f t="shared" si="179"/>
        <v>2018</v>
      </c>
    </row>
    <row r="9569" spans="1:3">
      <c r="A9569" s="68">
        <v>43135</v>
      </c>
      <c r="B9569" s="32">
        <v>2832.13</v>
      </c>
      <c r="C9569">
        <f t="shared" si="179"/>
        <v>2018</v>
      </c>
    </row>
    <row r="9570" spans="1:3">
      <c r="A9570" s="68">
        <v>43136</v>
      </c>
      <c r="B9570" s="33">
        <v>2832.13</v>
      </c>
      <c r="C9570">
        <f t="shared" si="179"/>
        <v>2018</v>
      </c>
    </row>
    <row r="9571" spans="1:3">
      <c r="A9571" s="68">
        <v>43137</v>
      </c>
      <c r="B9571" s="32">
        <v>2843.6</v>
      </c>
      <c r="C9571">
        <f t="shared" si="179"/>
        <v>2018</v>
      </c>
    </row>
    <row r="9572" spans="1:3">
      <c r="A9572" s="68">
        <v>43138</v>
      </c>
      <c r="B9572" s="33">
        <v>2844.83</v>
      </c>
      <c r="C9572">
        <f t="shared" si="179"/>
        <v>2018</v>
      </c>
    </row>
    <row r="9573" spans="1:3">
      <c r="A9573" s="68">
        <v>43139</v>
      </c>
      <c r="B9573" s="32">
        <v>2830.89</v>
      </c>
      <c r="C9573">
        <f t="shared" si="179"/>
        <v>2018</v>
      </c>
    </row>
    <row r="9574" spans="1:3">
      <c r="A9574" s="68">
        <v>43140</v>
      </c>
      <c r="B9574" s="33">
        <v>2862.78</v>
      </c>
      <c r="C9574">
        <f t="shared" si="179"/>
        <v>2018</v>
      </c>
    </row>
    <row r="9575" spans="1:3">
      <c r="A9575" s="68">
        <v>43141</v>
      </c>
      <c r="B9575" s="32">
        <v>2908.7</v>
      </c>
      <c r="C9575">
        <f t="shared" si="179"/>
        <v>2018</v>
      </c>
    </row>
    <row r="9576" spans="1:3">
      <c r="A9576" s="68">
        <v>43142</v>
      </c>
      <c r="B9576" s="33">
        <v>2908.7</v>
      </c>
      <c r="C9576">
        <f t="shared" si="179"/>
        <v>2018</v>
      </c>
    </row>
    <row r="9577" spans="1:3">
      <c r="A9577" s="68">
        <v>43143</v>
      </c>
      <c r="B9577" s="32">
        <v>2908.7</v>
      </c>
      <c r="C9577">
        <f t="shared" si="179"/>
        <v>2018</v>
      </c>
    </row>
    <row r="9578" spans="1:3">
      <c r="A9578" s="68">
        <v>43144</v>
      </c>
      <c r="B9578" s="33">
        <v>2904.29</v>
      </c>
      <c r="C9578">
        <f t="shared" si="179"/>
        <v>2018</v>
      </c>
    </row>
    <row r="9579" spans="1:3">
      <c r="A9579" s="68">
        <v>43145</v>
      </c>
      <c r="B9579" s="32">
        <v>2904.71</v>
      </c>
      <c r="C9579">
        <f t="shared" si="179"/>
        <v>2018</v>
      </c>
    </row>
    <row r="9580" spans="1:3">
      <c r="A9580" s="68">
        <v>43146</v>
      </c>
      <c r="B9580" s="33">
        <v>2895.79</v>
      </c>
      <c r="C9580">
        <f t="shared" si="179"/>
        <v>2018</v>
      </c>
    </row>
    <row r="9581" spans="1:3">
      <c r="A9581" s="68">
        <v>43147</v>
      </c>
      <c r="B9581" s="32">
        <v>2851.74</v>
      </c>
      <c r="C9581">
        <f t="shared" si="179"/>
        <v>2018</v>
      </c>
    </row>
    <row r="9582" spans="1:3">
      <c r="A9582" s="68">
        <v>43148</v>
      </c>
      <c r="B9582" s="33">
        <v>2853.16</v>
      </c>
      <c r="C9582">
        <f t="shared" si="179"/>
        <v>2018</v>
      </c>
    </row>
    <row r="9583" spans="1:3">
      <c r="A9583" s="68">
        <v>43149</v>
      </c>
      <c r="B9583" s="32">
        <v>2853.16</v>
      </c>
      <c r="C9583">
        <f t="shared" si="179"/>
        <v>2018</v>
      </c>
    </row>
    <row r="9584" spans="1:3">
      <c r="A9584" s="68">
        <v>43150</v>
      </c>
      <c r="B9584" s="33">
        <v>2853.16</v>
      </c>
      <c r="C9584">
        <f t="shared" si="179"/>
        <v>2018</v>
      </c>
    </row>
    <row r="9585" spans="1:3">
      <c r="A9585" s="68">
        <v>43151</v>
      </c>
      <c r="B9585" s="32">
        <v>2853.16</v>
      </c>
      <c r="C9585">
        <f t="shared" si="179"/>
        <v>2018</v>
      </c>
    </row>
    <row r="9586" spans="1:3">
      <c r="A9586" s="68">
        <v>43152</v>
      </c>
      <c r="B9586" s="33">
        <v>2862.01</v>
      </c>
      <c r="C9586">
        <f t="shared" si="179"/>
        <v>2018</v>
      </c>
    </row>
    <row r="9587" spans="1:3">
      <c r="A9587" s="68">
        <v>43153</v>
      </c>
      <c r="B9587" s="32">
        <v>2877.94</v>
      </c>
      <c r="C9587">
        <f t="shared" si="179"/>
        <v>2018</v>
      </c>
    </row>
    <row r="9588" spans="1:3">
      <c r="A9588" s="68">
        <v>43154</v>
      </c>
      <c r="B9588" s="33">
        <v>2877.04</v>
      </c>
      <c r="C9588">
        <f t="shared" si="179"/>
        <v>2018</v>
      </c>
    </row>
    <row r="9589" spans="1:3">
      <c r="A9589" s="68">
        <v>43155</v>
      </c>
      <c r="B9589" s="32">
        <v>2849.59</v>
      </c>
      <c r="C9589">
        <f t="shared" si="179"/>
        <v>2018</v>
      </c>
    </row>
    <row r="9590" spans="1:3">
      <c r="A9590" s="68">
        <v>43156</v>
      </c>
      <c r="B9590" s="33">
        <v>2849.59</v>
      </c>
      <c r="C9590">
        <f t="shared" si="179"/>
        <v>2018</v>
      </c>
    </row>
    <row r="9591" spans="1:3">
      <c r="A9591" s="68">
        <v>43157</v>
      </c>
      <c r="B9591" s="32">
        <v>2849.59</v>
      </c>
      <c r="C9591">
        <f t="shared" si="179"/>
        <v>2018</v>
      </c>
    </row>
    <row r="9592" spans="1:3">
      <c r="A9592" s="68">
        <v>43158</v>
      </c>
      <c r="B9592" s="33">
        <v>2849.91</v>
      </c>
      <c r="C9592">
        <f t="shared" si="179"/>
        <v>2018</v>
      </c>
    </row>
    <row r="9593" spans="1:3">
      <c r="A9593" s="68">
        <v>43159</v>
      </c>
      <c r="B9593" s="32">
        <v>2855.93</v>
      </c>
      <c r="C9593">
        <f t="shared" si="179"/>
        <v>2018</v>
      </c>
    </row>
    <row r="9594" spans="1:3">
      <c r="A9594" s="68">
        <v>43160</v>
      </c>
      <c r="B9594" s="33">
        <v>2867.94</v>
      </c>
      <c r="C9594">
        <f t="shared" si="179"/>
        <v>2018</v>
      </c>
    </row>
    <row r="9595" spans="1:3">
      <c r="A9595" s="68">
        <v>43161</v>
      </c>
      <c r="B9595" s="32">
        <v>2879.05</v>
      </c>
      <c r="C9595">
        <f t="shared" si="179"/>
        <v>2018</v>
      </c>
    </row>
    <row r="9596" spans="1:3">
      <c r="A9596" s="68">
        <v>43162</v>
      </c>
      <c r="B9596" s="33">
        <v>2879.15</v>
      </c>
      <c r="C9596">
        <f t="shared" si="179"/>
        <v>2018</v>
      </c>
    </row>
    <row r="9597" spans="1:3">
      <c r="A9597" s="68">
        <v>43163</v>
      </c>
      <c r="B9597" s="32">
        <v>2879.15</v>
      </c>
      <c r="C9597">
        <f t="shared" si="179"/>
        <v>2018</v>
      </c>
    </row>
    <row r="9598" spans="1:3">
      <c r="A9598" s="68">
        <v>43164</v>
      </c>
      <c r="B9598" s="33">
        <v>2879.15</v>
      </c>
      <c r="C9598">
        <f t="shared" si="179"/>
        <v>2018</v>
      </c>
    </row>
    <row r="9599" spans="1:3">
      <c r="A9599" s="68">
        <v>43165</v>
      </c>
      <c r="B9599" s="32">
        <v>2859.09</v>
      </c>
      <c r="C9599">
        <f t="shared" si="179"/>
        <v>2018</v>
      </c>
    </row>
    <row r="9600" spans="1:3">
      <c r="A9600" s="68">
        <v>43166</v>
      </c>
      <c r="B9600" s="33">
        <v>2845.05</v>
      </c>
      <c r="C9600">
        <f t="shared" si="179"/>
        <v>2018</v>
      </c>
    </row>
    <row r="9601" spans="1:3">
      <c r="A9601" s="68">
        <v>43167</v>
      </c>
      <c r="B9601" s="32">
        <v>2858.88</v>
      </c>
      <c r="C9601">
        <f t="shared" si="179"/>
        <v>2018</v>
      </c>
    </row>
    <row r="9602" spans="1:3">
      <c r="A9602" s="68">
        <v>43168</v>
      </c>
      <c r="B9602" s="33">
        <v>2871.36</v>
      </c>
      <c r="C9602">
        <f t="shared" si="179"/>
        <v>2018</v>
      </c>
    </row>
    <row r="9603" spans="1:3">
      <c r="A9603" s="68">
        <v>43169</v>
      </c>
      <c r="B9603" s="32">
        <v>2866.93</v>
      </c>
      <c r="C9603">
        <f t="shared" si="179"/>
        <v>2018</v>
      </c>
    </row>
    <row r="9604" spans="1:3">
      <c r="A9604" s="68">
        <v>43170</v>
      </c>
      <c r="B9604" s="33">
        <v>2866.93</v>
      </c>
      <c r="C9604">
        <f t="shared" ref="C9604:C9667" si="180">YEAR(A9604)</f>
        <v>2018</v>
      </c>
    </row>
    <row r="9605" spans="1:3">
      <c r="A9605" s="68">
        <v>43171</v>
      </c>
      <c r="B9605" s="32">
        <v>2866.93</v>
      </c>
      <c r="C9605">
        <f t="shared" si="180"/>
        <v>2018</v>
      </c>
    </row>
    <row r="9606" spans="1:3">
      <c r="A9606" s="68">
        <v>43172</v>
      </c>
      <c r="B9606" s="33">
        <v>2851.84</v>
      </c>
      <c r="C9606">
        <f t="shared" si="180"/>
        <v>2018</v>
      </c>
    </row>
    <row r="9607" spans="1:3">
      <c r="A9607" s="68">
        <v>43173</v>
      </c>
      <c r="B9607" s="32">
        <v>2848.38</v>
      </c>
      <c r="C9607">
        <f t="shared" si="180"/>
        <v>2018</v>
      </c>
    </row>
    <row r="9608" spans="1:3">
      <c r="A9608" s="68">
        <v>43174</v>
      </c>
      <c r="B9608" s="33">
        <v>2845.76</v>
      </c>
      <c r="C9608">
        <f t="shared" si="180"/>
        <v>2018</v>
      </c>
    </row>
    <row r="9609" spans="1:3">
      <c r="A9609" s="68">
        <v>43175</v>
      </c>
      <c r="B9609" s="32">
        <v>2850.04</v>
      </c>
      <c r="C9609">
        <f t="shared" si="180"/>
        <v>2018</v>
      </c>
    </row>
    <row r="9610" spans="1:3">
      <c r="A9610" s="68">
        <v>43176</v>
      </c>
      <c r="B9610" s="33">
        <v>2852.48</v>
      </c>
      <c r="C9610">
        <f t="shared" si="180"/>
        <v>2018</v>
      </c>
    </row>
    <row r="9611" spans="1:3">
      <c r="A9611" s="68">
        <v>43177</v>
      </c>
      <c r="B9611" s="32">
        <v>2852.48</v>
      </c>
      <c r="C9611">
        <f t="shared" si="180"/>
        <v>2018</v>
      </c>
    </row>
    <row r="9612" spans="1:3">
      <c r="A9612" s="68">
        <v>43178</v>
      </c>
      <c r="B9612" s="33">
        <v>2852.48</v>
      </c>
      <c r="C9612">
        <f t="shared" si="180"/>
        <v>2018</v>
      </c>
    </row>
    <row r="9613" spans="1:3">
      <c r="A9613" s="68">
        <v>43179</v>
      </c>
      <c r="B9613" s="32">
        <v>2852.48</v>
      </c>
      <c r="C9613">
        <f t="shared" si="180"/>
        <v>2018</v>
      </c>
    </row>
    <row r="9614" spans="1:3">
      <c r="A9614" s="68">
        <v>43180</v>
      </c>
      <c r="B9614" s="33">
        <v>2866.92</v>
      </c>
      <c r="C9614">
        <f t="shared" si="180"/>
        <v>2018</v>
      </c>
    </row>
    <row r="9615" spans="1:3">
      <c r="A9615" s="68">
        <v>43181</v>
      </c>
      <c r="B9615" s="32">
        <v>2850.69</v>
      </c>
      <c r="C9615">
        <f t="shared" si="180"/>
        <v>2018</v>
      </c>
    </row>
    <row r="9616" spans="1:3">
      <c r="A9616" s="68">
        <v>43182</v>
      </c>
      <c r="B9616" s="33">
        <v>2857.88</v>
      </c>
      <c r="C9616">
        <f t="shared" si="180"/>
        <v>2018</v>
      </c>
    </row>
    <row r="9617" spans="1:3">
      <c r="A9617" s="68">
        <v>43183</v>
      </c>
      <c r="B9617" s="32">
        <v>2849.01</v>
      </c>
      <c r="C9617">
        <f t="shared" si="180"/>
        <v>2018</v>
      </c>
    </row>
    <row r="9618" spans="1:3">
      <c r="A9618" s="68">
        <v>43184</v>
      </c>
      <c r="B9618" s="33">
        <v>2849.01</v>
      </c>
      <c r="C9618">
        <f t="shared" si="180"/>
        <v>2018</v>
      </c>
    </row>
    <row r="9619" spans="1:3">
      <c r="A9619" s="68">
        <v>43185</v>
      </c>
      <c r="B9619" s="32">
        <v>2849.01</v>
      </c>
      <c r="C9619">
        <f t="shared" si="180"/>
        <v>2018</v>
      </c>
    </row>
    <row r="9620" spans="1:3">
      <c r="A9620" s="68">
        <v>43186</v>
      </c>
      <c r="B9620" s="33">
        <v>2816.33</v>
      </c>
      <c r="C9620">
        <f t="shared" si="180"/>
        <v>2018</v>
      </c>
    </row>
    <row r="9621" spans="1:3">
      <c r="A9621" s="68">
        <v>43187</v>
      </c>
      <c r="B9621" s="32">
        <v>2780.04</v>
      </c>
      <c r="C9621">
        <f t="shared" si="180"/>
        <v>2018</v>
      </c>
    </row>
    <row r="9622" spans="1:3">
      <c r="A9622" s="68">
        <v>43188</v>
      </c>
      <c r="B9622" s="33">
        <v>2780.47</v>
      </c>
      <c r="C9622">
        <f t="shared" si="180"/>
        <v>2018</v>
      </c>
    </row>
    <row r="9623" spans="1:3">
      <c r="A9623" s="68">
        <v>43189</v>
      </c>
      <c r="B9623" s="32">
        <v>2780.47</v>
      </c>
      <c r="C9623">
        <f t="shared" si="180"/>
        <v>2018</v>
      </c>
    </row>
    <row r="9624" spans="1:3">
      <c r="A9624" s="68">
        <v>43190</v>
      </c>
      <c r="B9624" s="33">
        <v>2780.47</v>
      </c>
      <c r="C9624">
        <f t="shared" si="180"/>
        <v>2018</v>
      </c>
    </row>
    <row r="9625" spans="1:3">
      <c r="A9625" s="68">
        <v>43191</v>
      </c>
      <c r="B9625" s="32">
        <v>2780.47</v>
      </c>
      <c r="C9625">
        <f t="shared" si="180"/>
        <v>2018</v>
      </c>
    </row>
    <row r="9626" spans="1:3">
      <c r="A9626" s="68">
        <v>43192</v>
      </c>
      <c r="B9626" s="33">
        <v>2780.47</v>
      </c>
      <c r="C9626">
        <f t="shared" si="180"/>
        <v>2018</v>
      </c>
    </row>
    <row r="9627" spans="1:3">
      <c r="A9627" s="68">
        <v>43193</v>
      </c>
      <c r="B9627" s="32">
        <v>2792.96</v>
      </c>
      <c r="C9627">
        <f t="shared" si="180"/>
        <v>2018</v>
      </c>
    </row>
    <row r="9628" spans="1:3">
      <c r="A9628" s="68">
        <v>43194</v>
      </c>
      <c r="B9628" s="33">
        <v>2778.27</v>
      </c>
      <c r="C9628">
        <f t="shared" si="180"/>
        <v>2018</v>
      </c>
    </row>
    <row r="9629" spans="1:3">
      <c r="A9629" s="68">
        <v>43195</v>
      </c>
      <c r="B9629" s="32">
        <v>2791.57</v>
      </c>
      <c r="C9629">
        <f t="shared" si="180"/>
        <v>2018</v>
      </c>
    </row>
    <row r="9630" spans="1:3">
      <c r="A9630" s="68">
        <v>43196</v>
      </c>
      <c r="B9630" s="33">
        <v>2787.36</v>
      </c>
      <c r="C9630">
        <f t="shared" si="180"/>
        <v>2018</v>
      </c>
    </row>
    <row r="9631" spans="1:3">
      <c r="A9631" s="68">
        <v>43197</v>
      </c>
      <c r="B9631" s="32">
        <v>2791.88</v>
      </c>
      <c r="C9631">
        <f t="shared" si="180"/>
        <v>2018</v>
      </c>
    </row>
    <row r="9632" spans="1:3">
      <c r="A9632" s="68">
        <v>43198</v>
      </c>
      <c r="B9632" s="33">
        <v>2791.88</v>
      </c>
      <c r="C9632">
        <f t="shared" si="180"/>
        <v>2018</v>
      </c>
    </row>
    <row r="9633" spans="1:3">
      <c r="A9633" s="68">
        <v>43199</v>
      </c>
      <c r="B9633" s="32">
        <v>2791.88</v>
      </c>
      <c r="C9633">
        <f t="shared" si="180"/>
        <v>2018</v>
      </c>
    </row>
    <row r="9634" spans="1:3">
      <c r="A9634" s="68">
        <v>43200</v>
      </c>
      <c r="B9634" s="33">
        <v>2781.95</v>
      </c>
      <c r="C9634">
        <f t="shared" si="180"/>
        <v>2018</v>
      </c>
    </row>
    <row r="9635" spans="1:3">
      <c r="A9635" s="68">
        <v>43201</v>
      </c>
      <c r="B9635" s="32">
        <v>2767.82</v>
      </c>
      <c r="C9635">
        <f t="shared" si="180"/>
        <v>2018</v>
      </c>
    </row>
    <row r="9636" spans="1:3">
      <c r="A9636" s="68">
        <v>43202</v>
      </c>
      <c r="B9636" s="33">
        <v>2733.24</v>
      </c>
      <c r="C9636">
        <f t="shared" si="180"/>
        <v>2018</v>
      </c>
    </row>
    <row r="9637" spans="1:3">
      <c r="A9637" s="68">
        <v>43203</v>
      </c>
      <c r="B9637" s="32">
        <v>2710.03</v>
      </c>
      <c r="C9637">
        <f t="shared" si="180"/>
        <v>2018</v>
      </c>
    </row>
    <row r="9638" spans="1:3">
      <c r="A9638" s="68">
        <v>43204</v>
      </c>
      <c r="B9638" s="33">
        <v>2705.34</v>
      </c>
      <c r="C9638">
        <f t="shared" si="180"/>
        <v>2018</v>
      </c>
    </row>
    <row r="9639" spans="1:3">
      <c r="A9639" s="68">
        <v>43205</v>
      </c>
      <c r="B9639" s="32">
        <v>2705.34</v>
      </c>
      <c r="C9639">
        <f t="shared" si="180"/>
        <v>2018</v>
      </c>
    </row>
    <row r="9640" spans="1:3">
      <c r="A9640" s="68">
        <v>43206</v>
      </c>
      <c r="B9640" s="33">
        <v>2705.34</v>
      </c>
      <c r="C9640">
        <f t="shared" si="180"/>
        <v>2018</v>
      </c>
    </row>
    <row r="9641" spans="1:3">
      <c r="A9641" s="68">
        <v>43207</v>
      </c>
      <c r="B9641" s="32">
        <v>2726.47</v>
      </c>
      <c r="C9641">
        <f t="shared" si="180"/>
        <v>2018</v>
      </c>
    </row>
    <row r="9642" spans="1:3">
      <c r="A9642" s="68">
        <v>43208</v>
      </c>
      <c r="B9642" s="33">
        <v>2725.66</v>
      </c>
      <c r="C9642">
        <f t="shared" si="180"/>
        <v>2018</v>
      </c>
    </row>
    <row r="9643" spans="1:3">
      <c r="A9643" s="68">
        <v>43209</v>
      </c>
      <c r="B9643" s="32">
        <v>2705.64</v>
      </c>
      <c r="C9643">
        <f t="shared" si="180"/>
        <v>2018</v>
      </c>
    </row>
    <row r="9644" spans="1:3">
      <c r="A9644" s="68">
        <v>43210</v>
      </c>
      <c r="B9644" s="33">
        <v>2724.47</v>
      </c>
      <c r="C9644">
        <f t="shared" si="180"/>
        <v>2018</v>
      </c>
    </row>
    <row r="9645" spans="1:3">
      <c r="A9645" s="68">
        <v>43211</v>
      </c>
      <c r="B9645" s="32">
        <v>2757.96</v>
      </c>
      <c r="C9645">
        <f t="shared" si="180"/>
        <v>2018</v>
      </c>
    </row>
    <row r="9646" spans="1:3">
      <c r="A9646" s="68">
        <v>43212</v>
      </c>
      <c r="B9646" s="33">
        <v>2757.96</v>
      </c>
      <c r="C9646">
        <f t="shared" si="180"/>
        <v>2018</v>
      </c>
    </row>
    <row r="9647" spans="1:3">
      <c r="A9647" s="68">
        <v>43213</v>
      </c>
      <c r="B9647" s="32">
        <v>2757.96</v>
      </c>
      <c r="C9647">
        <f t="shared" si="180"/>
        <v>2018</v>
      </c>
    </row>
    <row r="9648" spans="1:3">
      <c r="A9648" s="68">
        <v>43214</v>
      </c>
      <c r="B9648" s="33">
        <v>2799.45</v>
      </c>
      <c r="C9648">
        <f t="shared" si="180"/>
        <v>2018</v>
      </c>
    </row>
    <row r="9649" spans="1:3">
      <c r="A9649" s="68">
        <v>43215</v>
      </c>
      <c r="B9649" s="32">
        <v>2785.22</v>
      </c>
      <c r="C9649">
        <f t="shared" si="180"/>
        <v>2018</v>
      </c>
    </row>
    <row r="9650" spans="1:3">
      <c r="A9650" s="68">
        <v>43216</v>
      </c>
      <c r="B9650" s="33">
        <v>2820.29</v>
      </c>
      <c r="C9650">
        <f t="shared" si="180"/>
        <v>2018</v>
      </c>
    </row>
    <row r="9651" spans="1:3">
      <c r="A9651" s="68">
        <v>43217</v>
      </c>
      <c r="B9651" s="32">
        <v>2812.83</v>
      </c>
      <c r="C9651">
        <f t="shared" si="180"/>
        <v>2018</v>
      </c>
    </row>
    <row r="9652" spans="1:3">
      <c r="A9652" s="68">
        <v>43218</v>
      </c>
      <c r="B9652" s="33">
        <v>2806.28</v>
      </c>
      <c r="C9652">
        <f t="shared" si="180"/>
        <v>2018</v>
      </c>
    </row>
    <row r="9653" spans="1:3">
      <c r="A9653" s="68">
        <v>43219</v>
      </c>
      <c r="B9653" s="32">
        <v>2806.28</v>
      </c>
      <c r="C9653">
        <f t="shared" si="180"/>
        <v>2018</v>
      </c>
    </row>
    <row r="9654" spans="1:3">
      <c r="A9654" s="68">
        <v>43220</v>
      </c>
      <c r="B9654" s="33">
        <v>2806.28</v>
      </c>
      <c r="C9654">
        <f t="shared" si="180"/>
        <v>2018</v>
      </c>
    </row>
    <row r="9655" spans="1:3">
      <c r="A9655" s="68">
        <v>43221</v>
      </c>
      <c r="B9655" s="32">
        <v>2809.92</v>
      </c>
      <c r="C9655">
        <f t="shared" si="180"/>
        <v>2018</v>
      </c>
    </row>
    <row r="9656" spans="1:3">
      <c r="A9656" s="68">
        <v>43222</v>
      </c>
      <c r="B9656" s="33">
        <v>2809.92</v>
      </c>
      <c r="C9656">
        <f t="shared" si="180"/>
        <v>2018</v>
      </c>
    </row>
    <row r="9657" spans="1:3">
      <c r="A9657" s="68">
        <v>43223</v>
      </c>
      <c r="B9657" s="32">
        <v>2831.99</v>
      </c>
      <c r="C9657">
        <f t="shared" si="180"/>
        <v>2018</v>
      </c>
    </row>
    <row r="9658" spans="1:3">
      <c r="A9658" s="68">
        <v>43224</v>
      </c>
      <c r="B9658" s="33">
        <v>2857.85</v>
      </c>
      <c r="C9658">
        <f t="shared" si="180"/>
        <v>2018</v>
      </c>
    </row>
    <row r="9659" spans="1:3">
      <c r="A9659" s="68">
        <v>43225</v>
      </c>
      <c r="B9659" s="32">
        <v>2843.41</v>
      </c>
      <c r="C9659">
        <f t="shared" si="180"/>
        <v>2018</v>
      </c>
    </row>
    <row r="9660" spans="1:3">
      <c r="A9660" s="68">
        <v>43226</v>
      </c>
      <c r="B9660" s="33">
        <v>2843.41</v>
      </c>
      <c r="C9660">
        <f t="shared" si="180"/>
        <v>2018</v>
      </c>
    </row>
    <row r="9661" spans="1:3">
      <c r="A9661" s="68">
        <v>43227</v>
      </c>
      <c r="B9661" s="32">
        <v>2843.41</v>
      </c>
      <c r="C9661">
        <f t="shared" si="180"/>
        <v>2018</v>
      </c>
    </row>
    <row r="9662" spans="1:3">
      <c r="A9662" s="68">
        <v>43228</v>
      </c>
      <c r="B9662" s="33">
        <v>2817.2</v>
      </c>
      <c r="C9662">
        <f t="shared" si="180"/>
        <v>2018</v>
      </c>
    </row>
    <row r="9663" spans="1:3">
      <c r="A9663" s="68">
        <v>43229</v>
      </c>
      <c r="B9663" s="32">
        <v>2866</v>
      </c>
      <c r="C9663">
        <f t="shared" si="180"/>
        <v>2018</v>
      </c>
    </row>
    <row r="9664" spans="1:3">
      <c r="A9664" s="68">
        <v>43230</v>
      </c>
      <c r="B9664" s="33">
        <v>2859.51</v>
      </c>
      <c r="C9664">
        <f t="shared" si="180"/>
        <v>2018</v>
      </c>
    </row>
    <row r="9665" spans="1:3">
      <c r="A9665" s="68">
        <v>43231</v>
      </c>
      <c r="B9665" s="32">
        <v>2822.37</v>
      </c>
      <c r="C9665">
        <f t="shared" si="180"/>
        <v>2018</v>
      </c>
    </row>
    <row r="9666" spans="1:3">
      <c r="A9666" s="68">
        <v>43232</v>
      </c>
      <c r="B9666" s="33">
        <v>2824.05</v>
      </c>
      <c r="C9666">
        <f t="shared" si="180"/>
        <v>2018</v>
      </c>
    </row>
    <row r="9667" spans="1:3">
      <c r="A9667" s="68">
        <v>43233</v>
      </c>
      <c r="B9667" s="32">
        <v>2824.05</v>
      </c>
      <c r="C9667">
        <f t="shared" si="180"/>
        <v>2018</v>
      </c>
    </row>
    <row r="9668" spans="1:3">
      <c r="A9668" s="68">
        <v>43234</v>
      </c>
      <c r="B9668" s="33">
        <v>2824.05</v>
      </c>
      <c r="C9668">
        <f t="shared" ref="C9668:C9731" si="181">YEAR(A9668)</f>
        <v>2018</v>
      </c>
    </row>
    <row r="9669" spans="1:3">
      <c r="A9669" s="68">
        <v>43235</v>
      </c>
      <c r="B9669" s="32">
        <v>2824.05</v>
      </c>
      <c r="C9669">
        <f t="shared" si="181"/>
        <v>2018</v>
      </c>
    </row>
    <row r="9670" spans="1:3">
      <c r="A9670" s="68">
        <v>43236</v>
      </c>
      <c r="B9670" s="33">
        <v>2889.87</v>
      </c>
      <c r="C9670">
        <f t="shared" si="181"/>
        <v>2018</v>
      </c>
    </row>
    <row r="9671" spans="1:3">
      <c r="A9671" s="68">
        <v>43237</v>
      </c>
      <c r="B9671" s="32">
        <v>2865.37</v>
      </c>
      <c r="C9671">
        <f t="shared" si="181"/>
        <v>2018</v>
      </c>
    </row>
    <row r="9672" spans="1:3">
      <c r="A9672" s="68">
        <v>43238</v>
      </c>
      <c r="B9672" s="33">
        <v>2886.23</v>
      </c>
      <c r="C9672">
        <f t="shared" si="181"/>
        <v>2018</v>
      </c>
    </row>
    <row r="9673" spans="1:3">
      <c r="A9673" s="68">
        <v>43239</v>
      </c>
      <c r="B9673" s="32">
        <v>2925.67</v>
      </c>
      <c r="C9673">
        <f t="shared" si="181"/>
        <v>2018</v>
      </c>
    </row>
    <row r="9674" spans="1:3">
      <c r="A9674" s="68">
        <v>43240</v>
      </c>
      <c r="B9674" s="33">
        <v>2925.67</v>
      </c>
      <c r="C9674">
        <f t="shared" si="181"/>
        <v>2018</v>
      </c>
    </row>
    <row r="9675" spans="1:3">
      <c r="A9675" s="68">
        <v>43241</v>
      </c>
      <c r="B9675" s="32">
        <v>2925.67</v>
      </c>
      <c r="C9675">
        <f t="shared" si="181"/>
        <v>2018</v>
      </c>
    </row>
    <row r="9676" spans="1:3">
      <c r="A9676" s="68">
        <v>43242</v>
      </c>
      <c r="B9676" s="33">
        <v>2897.37</v>
      </c>
      <c r="C9676">
        <f t="shared" si="181"/>
        <v>2018</v>
      </c>
    </row>
    <row r="9677" spans="1:3">
      <c r="A9677" s="68">
        <v>43243</v>
      </c>
      <c r="B9677" s="32">
        <v>2851.42</v>
      </c>
      <c r="C9677">
        <f t="shared" si="181"/>
        <v>2018</v>
      </c>
    </row>
    <row r="9678" spans="1:3">
      <c r="A9678" s="68">
        <v>43244</v>
      </c>
      <c r="B9678" s="33">
        <v>2863.24</v>
      </c>
      <c r="C9678">
        <f t="shared" si="181"/>
        <v>2018</v>
      </c>
    </row>
    <row r="9679" spans="1:3">
      <c r="A9679" s="68">
        <v>43245</v>
      </c>
      <c r="B9679" s="32">
        <v>2863.12</v>
      </c>
      <c r="C9679">
        <f t="shared" si="181"/>
        <v>2018</v>
      </c>
    </row>
    <row r="9680" spans="1:3">
      <c r="A9680" s="68">
        <v>43246</v>
      </c>
      <c r="B9680" s="33">
        <v>2887.16</v>
      </c>
      <c r="C9680">
        <f t="shared" si="181"/>
        <v>2018</v>
      </c>
    </row>
    <row r="9681" spans="1:3">
      <c r="A9681" s="68">
        <v>43247</v>
      </c>
      <c r="B9681" s="32">
        <v>2887.16</v>
      </c>
      <c r="C9681">
        <f t="shared" si="181"/>
        <v>2018</v>
      </c>
    </row>
    <row r="9682" spans="1:3">
      <c r="A9682" s="68">
        <v>43248</v>
      </c>
      <c r="B9682" s="33">
        <v>2887.16</v>
      </c>
      <c r="C9682">
        <f t="shared" si="181"/>
        <v>2018</v>
      </c>
    </row>
    <row r="9683" spans="1:3">
      <c r="A9683" s="68">
        <v>43249</v>
      </c>
      <c r="B9683" s="32">
        <v>2887.16</v>
      </c>
      <c r="C9683">
        <f t="shared" si="181"/>
        <v>2018</v>
      </c>
    </row>
    <row r="9684" spans="1:3">
      <c r="A9684" s="68">
        <v>43250</v>
      </c>
      <c r="B9684" s="33">
        <v>2893.82</v>
      </c>
      <c r="C9684">
        <f t="shared" si="181"/>
        <v>2018</v>
      </c>
    </row>
    <row r="9685" spans="1:3">
      <c r="A9685" s="68">
        <v>43251</v>
      </c>
      <c r="B9685" s="32">
        <v>2879.32</v>
      </c>
      <c r="C9685">
        <f t="shared" si="181"/>
        <v>2018</v>
      </c>
    </row>
    <row r="9686" spans="1:3">
      <c r="A9686" s="68">
        <v>43252</v>
      </c>
      <c r="B9686" s="33">
        <v>2889.32</v>
      </c>
      <c r="C9686">
        <f t="shared" si="181"/>
        <v>2018</v>
      </c>
    </row>
    <row r="9687" spans="1:3">
      <c r="A9687" s="68">
        <v>43253</v>
      </c>
      <c r="B9687" s="32">
        <v>2868.22</v>
      </c>
      <c r="C9687">
        <f t="shared" si="181"/>
        <v>2018</v>
      </c>
    </row>
    <row r="9688" spans="1:3">
      <c r="A9688" s="68">
        <v>43254</v>
      </c>
      <c r="B9688" s="33">
        <v>2868.22</v>
      </c>
      <c r="C9688">
        <f t="shared" si="181"/>
        <v>2018</v>
      </c>
    </row>
    <row r="9689" spans="1:3">
      <c r="A9689" s="68">
        <v>43255</v>
      </c>
      <c r="B9689" s="32">
        <v>2868.22</v>
      </c>
      <c r="C9689">
        <f t="shared" si="181"/>
        <v>2018</v>
      </c>
    </row>
    <row r="9690" spans="1:3">
      <c r="A9690" s="68">
        <v>43256</v>
      </c>
      <c r="B9690" s="33">
        <v>2868.22</v>
      </c>
      <c r="C9690">
        <f t="shared" si="181"/>
        <v>2018</v>
      </c>
    </row>
    <row r="9691" spans="1:3">
      <c r="A9691" s="68">
        <v>43257</v>
      </c>
      <c r="B9691" s="32">
        <v>2865.37</v>
      </c>
      <c r="C9691">
        <f t="shared" si="181"/>
        <v>2018</v>
      </c>
    </row>
    <row r="9692" spans="1:3">
      <c r="A9692" s="68">
        <v>43258</v>
      </c>
      <c r="B9692" s="33">
        <v>2828.42</v>
      </c>
      <c r="C9692">
        <f t="shared" si="181"/>
        <v>2018</v>
      </c>
    </row>
    <row r="9693" spans="1:3">
      <c r="A9693" s="68">
        <v>43259</v>
      </c>
      <c r="B9693" s="32">
        <v>2835.78</v>
      </c>
      <c r="C9693">
        <f t="shared" si="181"/>
        <v>2018</v>
      </c>
    </row>
    <row r="9694" spans="1:3">
      <c r="A9694" s="68">
        <v>43260</v>
      </c>
      <c r="B9694" s="33">
        <v>2855.8</v>
      </c>
      <c r="C9694">
        <f t="shared" si="181"/>
        <v>2018</v>
      </c>
    </row>
    <row r="9695" spans="1:3">
      <c r="A9695" s="68">
        <v>43261</v>
      </c>
      <c r="B9695" s="32">
        <v>2855.8</v>
      </c>
      <c r="C9695">
        <f t="shared" si="181"/>
        <v>2018</v>
      </c>
    </row>
    <row r="9696" spans="1:3">
      <c r="A9696" s="68">
        <v>43262</v>
      </c>
      <c r="B9696" s="33">
        <v>2855.8</v>
      </c>
      <c r="C9696">
        <f t="shared" si="181"/>
        <v>2018</v>
      </c>
    </row>
    <row r="9697" spans="1:3">
      <c r="A9697" s="68">
        <v>43263</v>
      </c>
      <c r="B9697" s="32">
        <v>2855.8</v>
      </c>
      <c r="C9697">
        <f t="shared" si="181"/>
        <v>2018</v>
      </c>
    </row>
    <row r="9698" spans="1:3">
      <c r="A9698" s="68">
        <v>43264</v>
      </c>
      <c r="B9698" s="33">
        <v>2857.11</v>
      </c>
      <c r="C9698">
        <f t="shared" si="181"/>
        <v>2018</v>
      </c>
    </row>
    <row r="9699" spans="1:3">
      <c r="A9699" s="68">
        <v>43265</v>
      </c>
      <c r="B9699" s="32">
        <v>2859.17</v>
      </c>
      <c r="C9699">
        <f t="shared" si="181"/>
        <v>2018</v>
      </c>
    </row>
    <row r="9700" spans="1:3">
      <c r="A9700" s="68">
        <v>43266</v>
      </c>
      <c r="B9700" s="33">
        <v>2859.78</v>
      </c>
      <c r="C9700">
        <f t="shared" si="181"/>
        <v>2018</v>
      </c>
    </row>
    <row r="9701" spans="1:3">
      <c r="A9701" s="68">
        <v>43267</v>
      </c>
      <c r="B9701" s="32">
        <v>2890.06</v>
      </c>
      <c r="C9701">
        <f t="shared" si="181"/>
        <v>2018</v>
      </c>
    </row>
    <row r="9702" spans="1:3">
      <c r="A9702" s="68">
        <v>43268</v>
      </c>
      <c r="B9702" s="33">
        <v>2890.06</v>
      </c>
      <c r="C9702">
        <f t="shared" si="181"/>
        <v>2018</v>
      </c>
    </row>
    <row r="9703" spans="1:3">
      <c r="A9703" s="68">
        <v>43269</v>
      </c>
      <c r="B9703" s="32">
        <v>2890.06</v>
      </c>
      <c r="C9703">
        <f t="shared" si="181"/>
        <v>2018</v>
      </c>
    </row>
    <row r="9704" spans="1:3">
      <c r="A9704" s="68">
        <v>43270</v>
      </c>
      <c r="B9704" s="33">
        <v>2919.14</v>
      </c>
      <c r="C9704">
        <f t="shared" si="181"/>
        <v>2018</v>
      </c>
    </row>
    <row r="9705" spans="1:3">
      <c r="A9705" s="68">
        <v>43271</v>
      </c>
      <c r="B9705" s="32">
        <v>2931.78</v>
      </c>
      <c r="C9705">
        <f t="shared" si="181"/>
        <v>2018</v>
      </c>
    </row>
    <row r="9706" spans="1:3">
      <c r="A9706" s="68">
        <v>43272</v>
      </c>
      <c r="B9706" s="33">
        <v>2916.49</v>
      </c>
      <c r="C9706">
        <f t="shared" si="181"/>
        <v>2018</v>
      </c>
    </row>
    <row r="9707" spans="1:3">
      <c r="A9707" s="68">
        <v>43273</v>
      </c>
      <c r="B9707" s="32">
        <v>2944.82</v>
      </c>
      <c r="C9707">
        <f t="shared" si="181"/>
        <v>2018</v>
      </c>
    </row>
    <row r="9708" spans="1:3">
      <c r="A9708" s="68">
        <v>43274</v>
      </c>
      <c r="B9708" s="33">
        <v>2918.22</v>
      </c>
      <c r="C9708">
        <f t="shared" si="181"/>
        <v>2018</v>
      </c>
    </row>
    <row r="9709" spans="1:3">
      <c r="A9709" s="68">
        <v>43275</v>
      </c>
      <c r="B9709" s="32">
        <v>2918.22</v>
      </c>
      <c r="C9709">
        <f t="shared" si="181"/>
        <v>2018</v>
      </c>
    </row>
    <row r="9710" spans="1:3">
      <c r="A9710" s="68">
        <v>43276</v>
      </c>
      <c r="B9710" s="33">
        <v>2918.22</v>
      </c>
      <c r="C9710">
        <f t="shared" si="181"/>
        <v>2018</v>
      </c>
    </row>
    <row r="9711" spans="1:3">
      <c r="A9711" s="68">
        <v>43277</v>
      </c>
      <c r="B9711" s="32">
        <v>2927.67</v>
      </c>
      <c r="C9711">
        <f t="shared" si="181"/>
        <v>2018</v>
      </c>
    </row>
    <row r="9712" spans="1:3">
      <c r="A9712" s="68">
        <v>43278</v>
      </c>
      <c r="B9712" s="33">
        <v>2924.1</v>
      </c>
      <c r="C9712">
        <f t="shared" si="181"/>
        <v>2018</v>
      </c>
    </row>
    <row r="9713" spans="1:3">
      <c r="A9713" s="68">
        <v>43279</v>
      </c>
      <c r="B9713" s="32">
        <v>2934.91</v>
      </c>
      <c r="C9713">
        <f t="shared" si="181"/>
        <v>2018</v>
      </c>
    </row>
    <row r="9714" spans="1:3">
      <c r="A9714" s="68">
        <v>43280</v>
      </c>
      <c r="B9714" s="33">
        <v>2945.09</v>
      </c>
      <c r="C9714">
        <f t="shared" si="181"/>
        <v>2018</v>
      </c>
    </row>
    <row r="9715" spans="1:3">
      <c r="A9715" s="68">
        <v>43281</v>
      </c>
      <c r="B9715" s="32">
        <v>2930.8</v>
      </c>
      <c r="C9715">
        <f t="shared" si="181"/>
        <v>2018</v>
      </c>
    </row>
    <row r="9716" spans="1:3">
      <c r="A9716" s="68">
        <v>43282</v>
      </c>
      <c r="B9716" s="33">
        <v>2930.8</v>
      </c>
      <c r="C9716">
        <f t="shared" si="181"/>
        <v>2018</v>
      </c>
    </row>
    <row r="9717" spans="1:3">
      <c r="A9717" s="68">
        <v>43283</v>
      </c>
      <c r="B9717" s="32">
        <v>2930.8</v>
      </c>
      <c r="C9717">
        <f t="shared" si="181"/>
        <v>2018</v>
      </c>
    </row>
    <row r="9718" spans="1:3">
      <c r="A9718" s="68">
        <v>43284</v>
      </c>
      <c r="B9718" s="33">
        <v>2930.8</v>
      </c>
      <c r="C9718">
        <f t="shared" si="181"/>
        <v>2018</v>
      </c>
    </row>
    <row r="9719" spans="1:3">
      <c r="A9719" s="68">
        <v>43285</v>
      </c>
      <c r="B9719" s="32">
        <v>2909.83</v>
      </c>
      <c r="C9719">
        <f t="shared" si="181"/>
        <v>2018</v>
      </c>
    </row>
    <row r="9720" spans="1:3">
      <c r="A9720" s="68">
        <v>43286</v>
      </c>
      <c r="B9720" s="33">
        <v>2909.83</v>
      </c>
      <c r="C9720">
        <f t="shared" si="181"/>
        <v>2018</v>
      </c>
    </row>
    <row r="9721" spans="1:3">
      <c r="A9721" s="68">
        <v>43287</v>
      </c>
      <c r="B9721" s="32">
        <v>2885.53</v>
      </c>
      <c r="C9721">
        <f t="shared" si="181"/>
        <v>2018</v>
      </c>
    </row>
    <row r="9722" spans="1:3">
      <c r="A9722" s="68">
        <v>43288</v>
      </c>
      <c r="B9722" s="33">
        <v>2867.94</v>
      </c>
      <c r="C9722">
        <f t="shared" si="181"/>
        <v>2018</v>
      </c>
    </row>
    <row r="9723" spans="1:3">
      <c r="A9723" s="68">
        <v>43289</v>
      </c>
      <c r="B9723" s="32">
        <v>2867.94</v>
      </c>
      <c r="C9723">
        <f t="shared" si="181"/>
        <v>2018</v>
      </c>
    </row>
    <row r="9724" spans="1:3">
      <c r="A9724" s="68">
        <v>43290</v>
      </c>
      <c r="B9724" s="33">
        <v>2867.94</v>
      </c>
      <c r="C9724">
        <f t="shared" si="181"/>
        <v>2018</v>
      </c>
    </row>
    <row r="9725" spans="1:3">
      <c r="A9725" s="68">
        <v>43291</v>
      </c>
      <c r="B9725" s="32">
        <v>2881.09</v>
      </c>
      <c r="C9725">
        <f t="shared" si="181"/>
        <v>2018</v>
      </c>
    </row>
    <row r="9726" spans="1:3">
      <c r="A9726" s="68">
        <v>43292</v>
      </c>
      <c r="B9726" s="33">
        <v>2872.62</v>
      </c>
      <c r="C9726">
        <f t="shared" si="181"/>
        <v>2018</v>
      </c>
    </row>
    <row r="9727" spans="1:3">
      <c r="A9727" s="68">
        <v>43293</v>
      </c>
      <c r="B9727" s="32">
        <v>2880.1</v>
      </c>
      <c r="C9727">
        <f t="shared" si="181"/>
        <v>2018</v>
      </c>
    </row>
    <row r="9728" spans="1:3">
      <c r="A9728" s="68">
        <v>43294</v>
      </c>
      <c r="B9728" s="33">
        <v>2882.02</v>
      </c>
      <c r="C9728">
        <f t="shared" si="181"/>
        <v>2018</v>
      </c>
    </row>
    <row r="9729" spans="1:3">
      <c r="A9729" s="68">
        <v>43295</v>
      </c>
      <c r="B9729" s="32">
        <v>2861.7</v>
      </c>
      <c r="C9729">
        <f t="shared" si="181"/>
        <v>2018</v>
      </c>
    </row>
    <row r="9730" spans="1:3">
      <c r="A9730" s="68">
        <v>43296</v>
      </c>
      <c r="B9730" s="33">
        <v>2861.7</v>
      </c>
      <c r="C9730">
        <f t="shared" si="181"/>
        <v>2018</v>
      </c>
    </row>
    <row r="9731" spans="1:3">
      <c r="A9731" s="68">
        <v>43297</v>
      </c>
      <c r="B9731" s="32">
        <v>2861.7</v>
      </c>
      <c r="C9731">
        <f t="shared" si="181"/>
        <v>2018</v>
      </c>
    </row>
    <row r="9732" spans="1:3">
      <c r="A9732" s="68">
        <v>43298</v>
      </c>
      <c r="B9732" s="33">
        <v>2868.96</v>
      </c>
      <c r="C9732">
        <f t="shared" ref="C9732:C9795" si="182">YEAR(A9732)</f>
        <v>2018</v>
      </c>
    </row>
    <row r="9733" spans="1:3">
      <c r="A9733" s="68">
        <v>43299</v>
      </c>
      <c r="B9733" s="32">
        <v>2878.28</v>
      </c>
      <c r="C9733">
        <f t="shared" si="182"/>
        <v>2018</v>
      </c>
    </row>
    <row r="9734" spans="1:3">
      <c r="A9734" s="68">
        <v>43300</v>
      </c>
      <c r="B9734" s="33">
        <v>2876.93</v>
      </c>
      <c r="C9734">
        <f t="shared" si="182"/>
        <v>2018</v>
      </c>
    </row>
    <row r="9735" spans="1:3">
      <c r="A9735" s="68">
        <v>43301</v>
      </c>
      <c r="B9735" s="32">
        <v>2883.81</v>
      </c>
      <c r="C9735">
        <f t="shared" si="182"/>
        <v>2018</v>
      </c>
    </row>
    <row r="9736" spans="1:3">
      <c r="A9736" s="68">
        <v>43302</v>
      </c>
      <c r="B9736" s="33">
        <v>2883.81</v>
      </c>
      <c r="C9736">
        <f t="shared" si="182"/>
        <v>2018</v>
      </c>
    </row>
    <row r="9737" spans="1:3">
      <c r="A9737" s="68">
        <v>43303</v>
      </c>
      <c r="B9737" s="32">
        <v>2883.81</v>
      </c>
      <c r="C9737">
        <f t="shared" si="182"/>
        <v>2018</v>
      </c>
    </row>
    <row r="9738" spans="1:3">
      <c r="A9738" s="68">
        <v>43304</v>
      </c>
      <c r="B9738" s="33">
        <v>2883.81</v>
      </c>
      <c r="C9738">
        <f t="shared" si="182"/>
        <v>2018</v>
      </c>
    </row>
    <row r="9739" spans="1:3">
      <c r="A9739" s="68">
        <v>43305</v>
      </c>
      <c r="B9739" s="32">
        <v>2897.73</v>
      </c>
      <c r="C9739">
        <f t="shared" si="182"/>
        <v>2018</v>
      </c>
    </row>
    <row r="9740" spans="1:3">
      <c r="A9740" s="68">
        <v>43306</v>
      </c>
      <c r="B9740" s="33">
        <v>2898.36</v>
      </c>
      <c r="C9740">
        <f t="shared" si="182"/>
        <v>2018</v>
      </c>
    </row>
    <row r="9741" spans="1:3">
      <c r="A9741" s="68">
        <v>43307</v>
      </c>
      <c r="B9741" s="32">
        <v>2882.84</v>
      </c>
      <c r="C9741">
        <f t="shared" si="182"/>
        <v>2018</v>
      </c>
    </row>
    <row r="9742" spans="1:3">
      <c r="A9742" s="68">
        <v>43308</v>
      </c>
      <c r="B9742" s="33">
        <v>2886.21</v>
      </c>
      <c r="C9742">
        <f t="shared" si="182"/>
        <v>2018</v>
      </c>
    </row>
    <row r="9743" spans="1:3">
      <c r="A9743" s="68">
        <v>43309</v>
      </c>
      <c r="B9743" s="32">
        <v>2880.79</v>
      </c>
      <c r="C9743">
        <f t="shared" si="182"/>
        <v>2018</v>
      </c>
    </row>
    <row r="9744" spans="1:3">
      <c r="A9744" s="68">
        <v>43310</v>
      </c>
      <c r="B9744" s="33">
        <v>2880.79</v>
      </c>
      <c r="C9744">
        <f t="shared" si="182"/>
        <v>2018</v>
      </c>
    </row>
    <row r="9745" spans="1:3">
      <c r="A9745" s="68">
        <v>43311</v>
      </c>
      <c r="B9745" s="32">
        <v>2880.79</v>
      </c>
      <c r="C9745">
        <f t="shared" si="182"/>
        <v>2018</v>
      </c>
    </row>
    <row r="9746" spans="1:3">
      <c r="A9746" s="68">
        <v>43312</v>
      </c>
      <c r="B9746" s="33">
        <v>2875.72</v>
      </c>
      <c r="C9746">
        <f t="shared" si="182"/>
        <v>2018</v>
      </c>
    </row>
    <row r="9747" spans="1:3">
      <c r="A9747" s="68">
        <v>43313</v>
      </c>
      <c r="B9747" s="32">
        <v>2886.8</v>
      </c>
      <c r="C9747">
        <f t="shared" si="182"/>
        <v>2018</v>
      </c>
    </row>
    <row r="9748" spans="1:3">
      <c r="A9748" s="68">
        <v>43314</v>
      </c>
      <c r="B9748" s="33">
        <v>2892.62</v>
      </c>
      <c r="C9748">
        <f t="shared" si="182"/>
        <v>2018</v>
      </c>
    </row>
    <row r="9749" spans="1:3">
      <c r="A9749" s="68">
        <v>43315</v>
      </c>
      <c r="B9749" s="32">
        <v>2904.9</v>
      </c>
      <c r="C9749">
        <f t="shared" si="182"/>
        <v>2018</v>
      </c>
    </row>
    <row r="9750" spans="1:3">
      <c r="A9750" s="68">
        <v>43316</v>
      </c>
      <c r="B9750" s="33">
        <v>2898.99</v>
      </c>
      <c r="C9750">
        <f t="shared" si="182"/>
        <v>2018</v>
      </c>
    </row>
    <row r="9751" spans="1:3">
      <c r="A9751" s="68">
        <v>43317</v>
      </c>
      <c r="B9751" s="32">
        <v>2898.99</v>
      </c>
      <c r="C9751">
        <f t="shared" si="182"/>
        <v>2018</v>
      </c>
    </row>
    <row r="9752" spans="1:3">
      <c r="A9752" s="68">
        <v>43318</v>
      </c>
      <c r="B9752" s="33">
        <v>2898.99</v>
      </c>
      <c r="C9752">
        <f t="shared" si="182"/>
        <v>2018</v>
      </c>
    </row>
    <row r="9753" spans="1:3">
      <c r="A9753" s="68">
        <v>43319</v>
      </c>
      <c r="B9753" s="32">
        <v>2898.86</v>
      </c>
      <c r="C9753">
        <f t="shared" si="182"/>
        <v>2018</v>
      </c>
    </row>
    <row r="9754" spans="1:3">
      <c r="A9754" s="68">
        <v>43320</v>
      </c>
      <c r="B9754" s="33">
        <v>2898.86</v>
      </c>
      <c r="C9754">
        <f t="shared" si="182"/>
        <v>2018</v>
      </c>
    </row>
    <row r="9755" spans="1:3">
      <c r="A9755" s="68">
        <v>43321</v>
      </c>
      <c r="B9755" s="32">
        <v>2908.9</v>
      </c>
      <c r="C9755">
        <f t="shared" si="182"/>
        <v>2018</v>
      </c>
    </row>
    <row r="9756" spans="1:3">
      <c r="A9756" s="68">
        <v>43322</v>
      </c>
      <c r="B9756" s="33">
        <v>2919.44</v>
      </c>
      <c r="C9756">
        <f t="shared" si="182"/>
        <v>2018</v>
      </c>
    </row>
    <row r="9757" spans="1:3">
      <c r="A9757" s="68">
        <v>43323</v>
      </c>
      <c r="B9757" s="32">
        <v>2940.95</v>
      </c>
      <c r="C9757">
        <f t="shared" si="182"/>
        <v>2018</v>
      </c>
    </row>
    <row r="9758" spans="1:3">
      <c r="A9758" s="68">
        <v>43324</v>
      </c>
      <c r="B9758" s="33">
        <v>2940.95</v>
      </c>
      <c r="C9758">
        <f t="shared" si="182"/>
        <v>2018</v>
      </c>
    </row>
    <row r="9759" spans="1:3">
      <c r="A9759" s="68">
        <v>43325</v>
      </c>
      <c r="B9759" s="32">
        <v>2940.95</v>
      </c>
      <c r="C9759">
        <f t="shared" si="182"/>
        <v>2018</v>
      </c>
    </row>
    <row r="9760" spans="1:3">
      <c r="A9760" s="68">
        <v>43326</v>
      </c>
      <c r="B9760" s="33">
        <v>2983.93</v>
      </c>
      <c r="C9760">
        <f t="shared" si="182"/>
        <v>2018</v>
      </c>
    </row>
    <row r="9761" spans="1:3">
      <c r="A9761" s="68">
        <v>43327</v>
      </c>
      <c r="B9761" s="32">
        <v>3002.66</v>
      </c>
      <c r="C9761">
        <f t="shared" si="182"/>
        <v>2018</v>
      </c>
    </row>
    <row r="9762" spans="1:3">
      <c r="A9762" s="68">
        <v>43328</v>
      </c>
      <c r="B9762" s="33">
        <v>3046.76</v>
      </c>
      <c r="C9762">
        <f t="shared" si="182"/>
        <v>2018</v>
      </c>
    </row>
    <row r="9763" spans="1:3">
      <c r="A9763" s="68">
        <v>43329</v>
      </c>
      <c r="B9763" s="32">
        <v>3019.55</v>
      </c>
      <c r="C9763">
        <f t="shared" si="182"/>
        <v>2018</v>
      </c>
    </row>
    <row r="9764" spans="1:3">
      <c r="A9764" s="68">
        <v>43330</v>
      </c>
      <c r="B9764" s="33">
        <v>3024.02</v>
      </c>
      <c r="C9764">
        <f t="shared" si="182"/>
        <v>2018</v>
      </c>
    </row>
    <row r="9765" spans="1:3">
      <c r="A9765" s="68">
        <v>43331</v>
      </c>
      <c r="B9765" s="32">
        <v>3024.02</v>
      </c>
      <c r="C9765">
        <f t="shared" si="182"/>
        <v>2018</v>
      </c>
    </row>
    <row r="9766" spans="1:3">
      <c r="A9766" s="68">
        <v>43332</v>
      </c>
      <c r="B9766" s="33">
        <v>3024.02</v>
      </c>
      <c r="C9766">
        <f t="shared" si="182"/>
        <v>2018</v>
      </c>
    </row>
    <row r="9767" spans="1:3">
      <c r="A9767" s="68">
        <v>43333</v>
      </c>
      <c r="B9767" s="32">
        <v>3024.02</v>
      </c>
      <c r="C9767">
        <f t="shared" si="182"/>
        <v>2018</v>
      </c>
    </row>
    <row r="9768" spans="1:3">
      <c r="A9768" s="68">
        <v>43334</v>
      </c>
      <c r="B9768" s="33">
        <v>2990.78</v>
      </c>
      <c r="C9768">
        <f t="shared" si="182"/>
        <v>2018</v>
      </c>
    </row>
    <row r="9769" spans="1:3">
      <c r="A9769" s="68">
        <v>43335</v>
      </c>
      <c r="B9769" s="32">
        <v>2965.45</v>
      </c>
      <c r="C9769">
        <f t="shared" si="182"/>
        <v>2018</v>
      </c>
    </row>
    <row r="9770" spans="1:3">
      <c r="A9770" s="68">
        <v>43336</v>
      </c>
      <c r="B9770" s="33">
        <v>2980.64</v>
      </c>
      <c r="C9770">
        <f t="shared" si="182"/>
        <v>2018</v>
      </c>
    </row>
    <row r="9771" spans="1:3">
      <c r="A9771" s="68">
        <v>43337</v>
      </c>
      <c r="B9771" s="32">
        <v>2958.45</v>
      </c>
      <c r="C9771">
        <f t="shared" si="182"/>
        <v>2018</v>
      </c>
    </row>
    <row r="9772" spans="1:3">
      <c r="A9772" s="68">
        <v>43338</v>
      </c>
      <c r="B9772" s="33">
        <v>2958.45</v>
      </c>
      <c r="C9772">
        <f t="shared" si="182"/>
        <v>2018</v>
      </c>
    </row>
    <row r="9773" spans="1:3">
      <c r="A9773" s="68">
        <v>43339</v>
      </c>
      <c r="B9773" s="32">
        <v>2958.45</v>
      </c>
      <c r="C9773">
        <f t="shared" si="182"/>
        <v>2018</v>
      </c>
    </row>
    <row r="9774" spans="1:3">
      <c r="A9774" s="68">
        <v>43340</v>
      </c>
      <c r="B9774" s="33">
        <v>2934.31</v>
      </c>
      <c r="C9774">
        <f t="shared" si="182"/>
        <v>2018</v>
      </c>
    </row>
    <row r="9775" spans="1:3">
      <c r="A9775" s="68">
        <v>43341</v>
      </c>
      <c r="B9775" s="32">
        <v>2966</v>
      </c>
      <c r="C9775">
        <f t="shared" si="182"/>
        <v>2018</v>
      </c>
    </row>
    <row r="9776" spans="1:3">
      <c r="A9776" s="68">
        <v>43342</v>
      </c>
      <c r="B9776" s="33">
        <v>2999.57</v>
      </c>
      <c r="C9776">
        <f t="shared" si="182"/>
        <v>2018</v>
      </c>
    </row>
    <row r="9777" spans="1:3">
      <c r="A9777" s="68">
        <v>43343</v>
      </c>
      <c r="B9777" s="32">
        <v>3027.39</v>
      </c>
      <c r="C9777">
        <f t="shared" si="182"/>
        <v>2018</v>
      </c>
    </row>
    <row r="9778" spans="1:3">
      <c r="A9778" s="68">
        <v>43344</v>
      </c>
      <c r="B9778" s="33">
        <v>3053.14</v>
      </c>
      <c r="C9778">
        <f t="shared" si="182"/>
        <v>2018</v>
      </c>
    </row>
    <row r="9779" spans="1:3">
      <c r="A9779" s="68">
        <v>43345</v>
      </c>
      <c r="B9779" s="32">
        <v>3053.14</v>
      </c>
      <c r="C9779">
        <f t="shared" si="182"/>
        <v>2018</v>
      </c>
    </row>
    <row r="9780" spans="1:3">
      <c r="A9780" s="68">
        <v>43346</v>
      </c>
      <c r="B9780" s="33">
        <v>3053.14</v>
      </c>
      <c r="C9780">
        <f t="shared" si="182"/>
        <v>2018</v>
      </c>
    </row>
    <row r="9781" spans="1:3">
      <c r="A9781" s="68">
        <v>43347</v>
      </c>
      <c r="B9781" s="32">
        <v>3053.14</v>
      </c>
      <c r="C9781">
        <f t="shared" si="182"/>
        <v>2018</v>
      </c>
    </row>
    <row r="9782" spans="1:3">
      <c r="A9782" s="68">
        <v>43348</v>
      </c>
      <c r="B9782" s="33">
        <v>3088.47</v>
      </c>
      <c r="C9782">
        <f t="shared" si="182"/>
        <v>2018</v>
      </c>
    </row>
    <row r="9783" spans="1:3">
      <c r="A9783" s="68">
        <v>43349</v>
      </c>
      <c r="B9783" s="32">
        <v>3100.37</v>
      </c>
      <c r="C9783">
        <f t="shared" si="182"/>
        <v>2018</v>
      </c>
    </row>
    <row r="9784" spans="1:3">
      <c r="A9784" s="68">
        <v>43350</v>
      </c>
      <c r="B9784" s="33">
        <v>3089.47</v>
      </c>
      <c r="C9784">
        <f t="shared" si="182"/>
        <v>2018</v>
      </c>
    </row>
    <row r="9785" spans="1:3">
      <c r="A9785" s="68">
        <v>43351</v>
      </c>
      <c r="B9785" s="32">
        <v>3070.15</v>
      </c>
      <c r="C9785">
        <f t="shared" si="182"/>
        <v>2018</v>
      </c>
    </row>
    <row r="9786" spans="1:3">
      <c r="A9786" s="68">
        <v>43352</v>
      </c>
      <c r="B9786" s="33">
        <v>3070.15</v>
      </c>
      <c r="C9786">
        <f t="shared" si="182"/>
        <v>2018</v>
      </c>
    </row>
    <row r="9787" spans="1:3">
      <c r="A9787" s="68">
        <v>43353</v>
      </c>
      <c r="B9787" s="32">
        <v>3070.15</v>
      </c>
      <c r="C9787">
        <f t="shared" si="182"/>
        <v>2018</v>
      </c>
    </row>
    <row r="9788" spans="1:3">
      <c r="A9788" s="68">
        <v>43354</v>
      </c>
      <c r="B9788" s="33">
        <v>3069.49</v>
      </c>
      <c r="C9788">
        <f t="shared" si="182"/>
        <v>2018</v>
      </c>
    </row>
    <row r="9789" spans="1:3">
      <c r="A9789" s="68">
        <v>43355</v>
      </c>
      <c r="B9789" s="32">
        <v>3087.73</v>
      </c>
      <c r="C9789">
        <f t="shared" si="182"/>
        <v>2018</v>
      </c>
    </row>
    <row r="9790" spans="1:3">
      <c r="A9790" s="68">
        <v>43356</v>
      </c>
      <c r="B9790" s="33">
        <v>3055.01</v>
      </c>
      <c r="C9790">
        <f t="shared" si="182"/>
        <v>2018</v>
      </c>
    </row>
    <row r="9791" spans="1:3">
      <c r="A9791" s="68">
        <v>43357</v>
      </c>
      <c r="B9791" s="32">
        <v>3019.38</v>
      </c>
      <c r="C9791">
        <f t="shared" si="182"/>
        <v>2018</v>
      </c>
    </row>
    <row r="9792" spans="1:3">
      <c r="A9792" s="68">
        <v>43358</v>
      </c>
      <c r="B9792" s="33">
        <v>3026.05</v>
      </c>
      <c r="C9792">
        <f t="shared" si="182"/>
        <v>2018</v>
      </c>
    </row>
    <row r="9793" spans="1:3">
      <c r="A9793" s="68">
        <v>43359</v>
      </c>
      <c r="B9793" s="32">
        <v>3026.05</v>
      </c>
      <c r="C9793">
        <f t="shared" si="182"/>
        <v>2018</v>
      </c>
    </row>
    <row r="9794" spans="1:3">
      <c r="A9794" s="68">
        <v>43360</v>
      </c>
      <c r="B9794" s="33">
        <v>3026.05</v>
      </c>
      <c r="C9794">
        <f t="shared" si="182"/>
        <v>2018</v>
      </c>
    </row>
    <row r="9795" spans="1:3">
      <c r="A9795" s="68">
        <v>43361</v>
      </c>
      <c r="B9795" s="32">
        <v>3013.38</v>
      </c>
      <c r="C9795">
        <f t="shared" si="182"/>
        <v>2018</v>
      </c>
    </row>
    <row r="9796" spans="1:3">
      <c r="A9796" s="68">
        <v>43362</v>
      </c>
      <c r="B9796" s="33">
        <v>3007.03</v>
      </c>
      <c r="C9796">
        <f t="shared" ref="C9796:C9859" si="183">YEAR(A9796)</f>
        <v>2018</v>
      </c>
    </row>
    <row r="9797" spans="1:3">
      <c r="A9797" s="68">
        <v>43363</v>
      </c>
      <c r="B9797" s="32">
        <v>3018.63</v>
      </c>
      <c r="C9797">
        <f t="shared" si="183"/>
        <v>2018</v>
      </c>
    </row>
    <row r="9798" spans="1:3">
      <c r="A9798" s="68">
        <v>43364</v>
      </c>
      <c r="B9798" s="33">
        <v>3014.18</v>
      </c>
      <c r="C9798">
        <f t="shared" si="183"/>
        <v>2018</v>
      </c>
    </row>
    <row r="9799" spans="1:3">
      <c r="A9799" s="68">
        <v>43365</v>
      </c>
      <c r="B9799" s="32">
        <v>3006.96</v>
      </c>
      <c r="C9799">
        <f t="shared" si="183"/>
        <v>2018</v>
      </c>
    </row>
    <row r="9800" spans="1:3">
      <c r="A9800" s="68">
        <v>43366</v>
      </c>
      <c r="B9800" s="33">
        <v>3006.96</v>
      </c>
      <c r="C9800">
        <f t="shared" si="183"/>
        <v>2018</v>
      </c>
    </row>
    <row r="9801" spans="1:3">
      <c r="A9801" s="68">
        <v>43367</v>
      </c>
      <c r="B9801" s="32">
        <v>3006.96</v>
      </c>
      <c r="C9801">
        <f t="shared" si="183"/>
        <v>2018</v>
      </c>
    </row>
    <row r="9802" spans="1:3">
      <c r="A9802" s="68">
        <v>43368</v>
      </c>
      <c r="B9802" s="33">
        <v>2991.9</v>
      </c>
      <c r="C9802">
        <f t="shared" si="183"/>
        <v>2018</v>
      </c>
    </row>
    <row r="9803" spans="1:3">
      <c r="A9803" s="68">
        <v>43369</v>
      </c>
      <c r="B9803" s="32">
        <v>3001.88</v>
      </c>
      <c r="C9803">
        <f t="shared" si="183"/>
        <v>2018</v>
      </c>
    </row>
    <row r="9804" spans="1:3">
      <c r="A9804" s="68">
        <v>43370</v>
      </c>
      <c r="B9804" s="33">
        <v>3000.14</v>
      </c>
      <c r="C9804">
        <f t="shared" si="183"/>
        <v>2018</v>
      </c>
    </row>
    <row r="9805" spans="1:3">
      <c r="A9805" s="68">
        <v>43371</v>
      </c>
      <c r="B9805" s="32">
        <v>2989.58</v>
      </c>
      <c r="C9805">
        <f t="shared" si="183"/>
        <v>2018</v>
      </c>
    </row>
    <row r="9806" spans="1:3">
      <c r="A9806" s="68">
        <v>43372</v>
      </c>
      <c r="B9806" s="33">
        <v>2972.18</v>
      </c>
      <c r="C9806">
        <f t="shared" si="183"/>
        <v>2018</v>
      </c>
    </row>
    <row r="9807" spans="1:3">
      <c r="A9807" s="68">
        <v>43373</v>
      </c>
      <c r="B9807" s="32">
        <v>2972.18</v>
      </c>
      <c r="C9807">
        <f t="shared" si="183"/>
        <v>2018</v>
      </c>
    </row>
    <row r="9808" spans="1:3">
      <c r="A9808" s="68">
        <v>43374</v>
      </c>
      <c r="B9808" s="33">
        <v>2972.18</v>
      </c>
      <c r="C9808">
        <f t="shared" si="183"/>
        <v>2018</v>
      </c>
    </row>
    <row r="9809" spans="1:3">
      <c r="A9809" s="68">
        <v>43375</v>
      </c>
      <c r="B9809" s="32">
        <v>2993.74</v>
      </c>
      <c r="C9809">
        <f t="shared" si="183"/>
        <v>2018</v>
      </c>
    </row>
    <row r="9810" spans="1:3">
      <c r="A9810" s="68">
        <v>43376</v>
      </c>
      <c r="B9810" s="33">
        <v>3005.5</v>
      </c>
      <c r="C9810">
        <f t="shared" si="183"/>
        <v>2018</v>
      </c>
    </row>
    <row r="9811" spans="1:3">
      <c r="A9811" s="68">
        <v>43377</v>
      </c>
      <c r="B9811" s="32">
        <v>3012.65</v>
      </c>
      <c r="C9811">
        <f t="shared" si="183"/>
        <v>2018</v>
      </c>
    </row>
    <row r="9812" spans="1:3">
      <c r="A9812" s="316">
        <v>43378</v>
      </c>
      <c r="B9812" s="318">
        <v>3028.16</v>
      </c>
      <c r="C9812">
        <f t="shared" si="183"/>
        <v>2018</v>
      </c>
    </row>
    <row r="9813" spans="1:3">
      <c r="A9813" s="316">
        <v>43379</v>
      </c>
      <c r="B9813" s="317">
        <v>3031.31</v>
      </c>
      <c r="C9813">
        <f t="shared" si="183"/>
        <v>2018</v>
      </c>
    </row>
    <row r="9814" spans="1:3">
      <c r="A9814" s="316">
        <v>43380</v>
      </c>
      <c r="B9814" s="318">
        <v>3031.31</v>
      </c>
      <c r="C9814">
        <f t="shared" si="183"/>
        <v>2018</v>
      </c>
    </row>
    <row r="9815" spans="1:3">
      <c r="A9815" s="316">
        <v>43381</v>
      </c>
      <c r="B9815" s="317">
        <v>3031.31</v>
      </c>
      <c r="C9815">
        <f t="shared" si="183"/>
        <v>2018</v>
      </c>
    </row>
    <row r="9816" spans="1:3">
      <c r="A9816" s="316">
        <v>43382</v>
      </c>
      <c r="B9816" s="318">
        <v>3031.31</v>
      </c>
      <c r="C9816">
        <f t="shared" si="183"/>
        <v>2018</v>
      </c>
    </row>
    <row r="9817" spans="1:3">
      <c r="A9817" s="316">
        <v>43383</v>
      </c>
      <c r="B9817" s="317">
        <v>3057.55</v>
      </c>
      <c r="C9817">
        <f t="shared" si="183"/>
        <v>2018</v>
      </c>
    </row>
    <row r="9818" spans="1:3">
      <c r="A9818" s="316">
        <v>43384</v>
      </c>
      <c r="B9818" s="318">
        <v>3090.3</v>
      </c>
      <c r="C9818">
        <f t="shared" si="183"/>
        <v>2018</v>
      </c>
    </row>
    <row r="9819" spans="1:3">
      <c r="A9819" s="316">
        <v>43385</v>
      </c>
      <c r="B9819" s="317">
        <v>3087.34</v>
      </c>
      <c r="C9819">
        <f t="shared" si="183"/>
        <v>2018</v>
      </c>
    </row>
    <row r="9820" spans="1:3">
      <c r="A9820" s="316">
        <v>43386</v>
      </c>
      <c r="B9820" s="318">
        <v>3088.78</v>
      </c>
      <c r="C9820">
        <f t="shared" si="183"/>
        <v>2018</v>
      </c>
    </row>
    <row r="9821" spans="1:3">
      <c r="A9821" s="316">
        <v>43387</v>
      </c>
      <c r="B9821" s="317">
        <v>3088.78</v>
      </c>
      <c r="C9821">
        <f t="shared" si="183"/>
        <v>2018</v>
      </c>
    </row>
    <row r="9822" spans="1:3">
      <c r="A9822" s="316">
        <v>43388</v>
      </c>
      <c r="B9822" s="318">
        <v>3088.78</v>
      </c>
      <c r="C9822">
        <f t="shared" si="183"/>
        <v>2018</v>
      </c>
    </row>
    <row r="9823" spans="1:3">
      <c r="A9823" s="316">
        <v>43389</v>
      </c>
      <c r="B9823" s="317">
        <v>3088.78</v>
      </c>
      <c r="C9823">
        <f t="shared" si="183"/>
        <v>2018</v>
      </c>
    </row>
    <row r="9824" spans="1:3">
      <c r="A9824" s="316">
        <v>43390</v>
      </c>
      <c r="B9824" s="318">
        <v>3055.93</v>
      </c>
      <c r="C9824">
        <f t="shared" si="183"/>
        <v>2018</v>
      </c>
    </row>
    <row r="9825" spans="1:3">
      <c r="A9825" s="316">
        <v>43391</v>
      </c>
      <c r="B9825" s="317">
        <v>3056.37</v>
      </c>
      <c r="C9825">
        <f t="shared" si="183"/>
        <v>2018</v>
      </c>
    </row>
    <row r="9826" spans="1:3">
      <c r="A9826" s="316">
        <v>43392</v>
      </c>
      <c r="B9826" s="318">
        <v>3088.47</v>
      </c>
      <c r="C9826">
        <f t="shared" si="183"/>
        <v>2018</v>
      </c>
    </row>
    <row r="9827" spans="1:3">
      <c r="A9827" s="316">
        <v>43393</v>
      </c>
      <c r="B9827" s="317">
        <v>3079.88</v>
      </c>
      <c r="C9827">
        <f t="shared" si="183"/>
        <v>2018</v>
      </c>
    </row>
    <row r="9828" spans="1:3">
      <c r="A9828" s="316">
        <v>43394</v>
      </c>
      <c r="B9828" s="318">
        <v>3079.88</v>
      </c>
      <c r="C9828">
        <f t="shared" si="183"/>
        <v>2018</v>
      </c>
    </row>
    <row r="9829" spans="1:3">
      <c r="A9829" s="316">
        <v>43395</v>
      </c>
      <c r="B9829" s="317">
        <v>3079.88</v>
      </c>
      <c r="C9829">
        <f t="shared" si="183"/>
        <v>2018</v>
      </c>
    </row>
    <row r="9830" spans="1:3">
      <c r="A9830" s="316">
        <v>43396</v>
      </c>
      <c r="B9830" s="318">
        <v>3087.58</v>
      </c>
      <c r="C9830">
        <f t="shared" si="183"/>
        <v>2018</v>
      </c>
    </row>
    <row r="9831" spans="1:3">
      <c r="A9831" s="316">
        <v>43397</v>
      </c>
      <c r="B9831" s="317">
        <v>3110.2</v>
      </c>
      <c r="C9831">
        <f t="shared" si="183"/>
        <v>2018</v>
      </c>
    </row>
    <row r="9832" spans="1:3">
      <c r="A9832" s="316">
        <v>43398</v>
      </c>
      <c r="B9832" s="318">
        <v>3149.7</v>
      </c>
      <c r="C9832">
        <f t="shared" si="183"/>
        <v>2018</v>
      </c>
    </row>
    <row r="9833" spans="1:3">
      <c r="A9833" s="316">
        <v>43399</v>
      </c>
      <c r="B9833" s="317">
        <v>3167.18</v>
      </c>
      <c r="C9833">
        <f t="shared" si="183"/>
        <v>2018</v>
      </c>
    </row>
    <row r="9834" spans="1:3">
      <c r="A9834" s="316">
        <v>43400</v>
      </c>
      <c r="B9834" s="318">
        <v>3185.26</v>
      </c>
      <c r="C9834">
        <f t="shared" si="183"/>
        <v>2018</v>
      </c>
    </row>
    <row r="9835" spans="1:3">
      <c r="A9835" s="316">
        <v>43401</v>
      </c>
      <c r="B9835" s="317">
        <v>3185.26</v>
      </c>
      <c r="C9835">
        <f t="shared" si="183"/>
        <v>2018</v>
      </c>
    </row>
    <row r="9836" spans="1:3">
      <c r="A9836" s="316">
        <v>43402</v>
      </c>
      <c r="B9836" s="318">
        <v>3185.26</v>
      </c>
      <c r="C9836">
        <f t="shared" si="183"/>
        <v>2018</v>
      </c>
    </row>
    <row r="9837" spans="1:3">
      <c r="A9837" s="316">
        <v>43403</v>
      </c>
      <c r="B9837" s="317">
        <v>3188.69</v>
      </c>
      <c r="C9837">
        <f t="shared" si="183"/>
        <v>2018</v>
      </c>
    </row>
    <row r="9838" spans="1:3">
      <c r="A9838" s="316">
        <v>43404</v>
      </c>
      <c r="B9838" s="318">
        <v>3202.44</v>
      </c>
      <c r="C9838">
        <f t="shared" si="183"/>
        <v>2018</v>
      </c>
    </row>
    <row r="9839" spans="1:3">
      <c r="A9839" s="316">
        <v>43405</v>
      </c>
      <c r="B9839" s="317">
        <v>3219.85</v>
      </c>
      <c r="C9839">
        <f t="shared" si="183"/>
        <v>2018</v>
      </c>
    </row>
    <row r="9840" spans="1:3">
      <c r="A9840" s="316">
        <v>43406</v>
      </c>
      <c r="B9840" s="318">
        <v>3193.8</v>
      </c>
      <c r="C9840">
        <f t="shared" si="183"/>
        <v>2018</v>
      </c>
    </row>
    <row r="9841" spans="1:3">
      <c r="A9841" s="316">
        <v>43407</v>
      </c>
      <c r="B9841" s="317">
        <v>3177.57</v>
      </c>
      <c r="C9841">
        <f t="shared" si="183"/>
        <v>2018</v>
      </c>
    </row>
    <row r="9842" spans="1:3">
      <c r="A9842" s="316">
        <v>43408</v>
      </c>
      <c r="B9842" s="318">
        <v>3177.57</v>
      </c>
      <c r="C9842">
        <f t="shared" si="183"/>
        <v>2018</v>
      </c>
    </row>
    <row r="9843" spans="1:3">
      <c r="A9843" s="316">
        <v>43409</v>
      </c>
      <c r="B9843" s="317">
        <v>3177.57</v>
      </c>
      <c r="C9843">
        <f t="shared" si="183"/>
        <v>2018</v>
      </c>
    </row>
    <row r="9844" spans="1:3">
      <c r="A9844" s="316">
        <v>43410</v>
      </c>
      <c r="B9844" s="318">
        <v>3177.57</v>
      </c>
      <c r="C9844">
        <f t="shared" si="183"/>
        <v>2018</v>
      </c>
    </row>
    <row r="9845" spans="1:3">
      <c r="A9845" s="316">
        <v>43411</v>
      </c>
      <c r="B9845" s="317">
        <v>3154.55</v>
      </c>
      <c r="C9845">
        <f t="shared" si="183"/>
        <v>2018</v>
      </c>
    </row>
    <row r="9846" spans="1:3">
      <c r="A9846" s="316">
        <v>43412</v>
      </c>
      <c r="B9846" s="318">
        <v>3140.25</v>
      </c>
      <c r="C9846">
        <f t="shared" si="183"/>
        <v>2018</v>
      </c>
    </row>
    <row r="9847" spans="1:3">
      <c r="A9847" s="316">
        <v>43413</v>
      </c>
      <c r="B9847" s="317">
        <v>3145.39</v>
      </c>
      <c r="C9847">
        <f t="shared" si="183"/>
        <v>2018</v>
      </c>
    </row>
    <row r="9848" spans="1:3">
      <c r="A9848" s="316">
        <v>43414</v>
      </c>
      <c r="B9848" s="318">
        <v>3176.89</v>
      </c>
      <c r="C9848">
        <f t="shared" si="183"/>
        <v>2018</v>
      </c>
    </row>
    <row r="9849" spans="1:3">
      <c r="A9849" s="316">
        <v>43415</v>
      </c>
      <c r="B9849" s="317">
        <v>3176.89</v>
      </c>
      <c r="C9849">
        <f t="shared" si="183"/>
        <v>2018</v>
      </c>
    </row>
    <row r="9850" spans="1:3">
      <c r="A9850" s="316">
        <v>43416</v>
      </c>
      <c r="B9850" s="318">
        <v>3176.89</v>
      </c>
      <c r="C9850">
        <f t="shared" si="183"/>
        <v>2018</v>
      </c>
    </row>
    <row r="9851" spans="1:3">
      <c r="A9851" s="316">
        <v>43417</v>
      </c>
      <c r="B9851" s="317">
        <v>3176.89</v>
      </c>
      <c r="C9851">
        <f t="shared" si="183"/>
        <v>2018</v>
      </c>
    </row>
    <row r="9852" spans="1:3">
      <c r="A9852" s="316">
        <v>43418</v>
      </c>
      <c r="B9852" s="318">
        <v>3197.2</v>
      </c>
      <c r="C9852">
        <f t="shared" si="183"/>
        <v>2018</v>
      </c>
    </row>
    <row r="9853" spans="1:3">
      <c r="A9853" s="316">
        <v>43419</v>
      </c>
      <c r="B9853" s="317">
        <v>3194.7</v>
      </c>
      <c r="C9853">
        <f t="shared" si="183"/>
        <v>2018</v>
      </c>
    </row>
    <row r="9854" spans="1:3">
      <c r="A9854" s="316">
        <v>43420</v>
      </c>
      <c r="B9854" s="318">
        <v>3198.29</v>
      </c>
      <c r="C9854">
        <f t="shared" si="183"/>
        <v>2018</v>
      </c>
    </row>
    <row r="9855" spans="1:3">
      <c r="A9855" s="316">
        <v>43421</v>
      </c>
      <c r="B9855" s="317">
        <v>3173.59</v>
      </c>
      <c r="C9855">
        <f t="shared" si="183"/>
        <v>2018</v>
      </c>
    </row>
    <row r="9856" spans="1:3">
      <c r="A9856" s="316">
        <v>43422</v>
      </c>
      <c r="B9856" s="318">
        <v>3173.59</v>
      </c>
      <c r="C9856">
        <f t="shared" si="183"/>
        <v>2018</v>
      </c>
    </row>
    <row r="9857" spans="1:3">
      <c r="A9857" s="316">
        <v>43423</v>
      </c>
      <c r="B9857" s="317">
        <v>3173.59</v>
      </c>
      <c r="C9857">
        <f t="shared" si="183"/>
        <v>2018</v>
      </c>
    </row>
    <row r="9858" spans="1:3">
      <c r="A9858" s="316">
        <v>43424</v>
      </c>
      <c r="B9858" s="318">
        <v>3178.81</v>
      </c>
      <c r="C9858">
        <f t="shared" si="183"/>
        <v>2018</v>
      </c>
    </row>
    <row r="9859" spans="1:3">
      <c r="A9859" s="316">
        <v>43425</v>
      </c>
      <c r="B9859" s="317">
        <v>3189.51</v>
      </c>
      <c r="C9859">
        <f t="shared" si="183"/>
        <v>2018</v>
      </c>
    </row>
    <row r="9860" spans="1:3">
      <c r="A9860" s="316">
        <v>43426</v>
      </c>
      <c r="B9860" s="318">
        <v>3196.26</v>
      </c>
      <c r="C9860">
        <f t="shared" ref="C9860:C9899" si="184">YEAR(A9860)</f>
        <v>2018</v>
      </c>
    </row>
    <row r="9861" spans="1:3">
      <c r="A9861" s="316">
        <v>43427</v>
      </c>
      <c r="B9861" s="317">
        <v>3196.26</v>
      </c>
      <c r="C9861">
        <f t="shared" si="184"/>
        <v>2018</v>
      </c>
    </row>
    <row r="9862" spans="1:3">
      <c r="A9862" s="316">
        <v>43428</v>
      </c>
      <c r="B9862" s="318">
        <v>3223.95</v>
      </c>
      <c r="C9862">
        <f t="shared" si="184"/>
        <v>2018</v>
      </c>
    </row>
    <row r="9863" spans="1:3">
      <c r="A9863" s="316">
        <v>43429</v>
      </c>
      <c r="B9863" s="317">
        <v>3223.95</v>
      </c>
      <c r="C9863">
        <f t="shared" si="184"/>
        <v>2018</v>
      </c>
    </row>
    <row r="9864" spans="1:3">
      <c r="A9864" s="316">
        <v>43430</v>
      </c>
      <c r="B9864" s="318">
        <v>3223.95</v>
      </c>
      <c r="C9864">
        <f t="shared" si="184"/>
        <v>2018</v>
      </c>
    </row>
    <row r="9865" spans="1:3">
      <c r="A9865" s="316">
        <v>43431</v>
      </c>
      <c r="B9865" s="317">
        <v>3240.65</v>
      </c>
      <c r="C9865">
        <f t="shared" si="184"/>
        <v>2018</v>
      </c>
    </row>
    <row r="9866" spans="1:3">
      <c r="A9866" s="316">
        <v>43432</v>
      </c>
      <c r="B9866" s="318">
        <v>3250.56</v>
      </c>
      <c r="C9866">
        <f t="shared" si="184"/>
        <v>2018</v>
      </c>
    </row>
    <row r="9867" spans="1:3">
      <c r="A9867" s="316">
        <v>43433</v>
      </c>
      <c r="B9867" s="317">
        <v>3274.47</v>
      </c>
      <c r="C9867">
        <f t="shared" si="184"/>
        <v>2018</v>
      </c>
    </row>
    <row r="9868" spans="1:3">
      <c r="A9868" s="316">
        <v>43434</v>
      </c>
      <c r="B9868" s="318">
        <v>3240.02</v>
      </c>
      <c r="C9868">
        <f t="shared" si="184"/>
        <v>2018</v>
      </c>
    </row>
    <row r="9869" spans="1:3">
      <c r="A9869" s="316">
        <v>43435</v>
      </c>
      <c r="B9869" s="317">
        <v>3235.27</v>
      </c>
      <c r="C9869">
        <f t="shared" si="184"/>
        <v>2018</v>
      </c>
    </row>
    <row r="9870" spans="1:3">
      <c r="A9870" s="316">
        <v>43436</v>
      </c>
      <c r="B9870" s="318">
        <v>3235.27</v>
      </c>
      <c r="C9870">
        <f t="shared" si="184"/>
        <v>2018</v>
      </c>
    </row>
    <row r="9871" spans="1:3">
      <c r="A9871" s="316">
        <v>43437</v>
      </c>
      <c r="B9871" s="317">
        <v>3235.27</v>
      </c>
      <c r="C9871">
        <f t="shared" si="184"/>
        <v>2018</v>
      </c>
    </row>
    <row r="9872" spans="1:3">
      <c r="A9872" s="316">
        <v>43438</v>
      </c>
      <c r="B9872" s="318">
        <v>3196.15</v>
      </c>
      <c r="C9872">
        <f t="shared" si="184"/>
        <v>2018</v>
      </c>
    </row>
    <row r="9873" spans="1:3">
      <c r="A9873" s="316">
        <v>43439</v>
      </c>
      <c r="B9873" s="317">
        <v>3174.11</v>
      </c>
      <c r="C9873">
        <f t="shared" si="184"/>
        <v>2018</v>
      </c>
    </row>
    <row r="9874" spans="1:3">
      <c r="A9874" s="316">
        <v>43440</v>
      </c>
      <c r="B9874" s="318">
        <v>3162.29</v>
      </c>
      <c r="C9874">
        <f t="shared" si="184"/>
        <v>2018</v>
      </c>
    </row>
    <row r="9875" spans="1:3">
      <c r="A9875" s="316">
        <v>43441</v>
      </c>
      <c r="B9875" s="317">
        <v>3187.86</v>
      </c>
      <c r="C9875">
        <f t="shared" si="184"/>
        <v>2018</v>
      </c>
    </row>
    <row r="9876" spans="1:3">
      <c r="A9876" s="316">
        <v>43442</v>
      </c>
      <c r="B9876" s="318">
        <v>3153.29</v>
      </c>
      <c r="C9876">
        <f t="shared" si="184"/>
        <v>2018</v>
      </c>
    </row>
    <row r="9877" spans="1:3">
      <c r="A9877" s="316">
        <v>43443</v>
      </c>
      <c r="B9877" s="317">
        <v>3153.29</v>
      </c>
      <c r="C9877">
        <f t="shared" si="184"/>
        <v>2018</v>
      </c>
    </row>
    <row r="9878" spans="1:3">
      <c r="A9878" s="316">
        <v>43444</v>
      </c>
      <c r="B9878" s="318">
        <v>3153.29</v>
      </c>
      <c r="C9878">
        <f t="shared" si="184"/>
        <v>2018</v>
      </c>
    </row>
    <row r="9879" spans="1:3">
      <c r="A9879" s="316">
        <v>43445</v>
      </c>
      <c r="B9879" s="317">
        <v>3176.12</v>
      </c>
      <c r="C9879">
        <f t="shared" si="184"/>
        <v>2018</v>
      </c>
    </row>
    <row r="9880" spans="1:3">
      <c r="A9880" s="316">
        <v>43446</v>
      </c>
      <c r="B9880" s="318">
        <v>3184.7</v>
      </c>
      <c r="C9880">
        <f t="shared" si="184"/>
        <v>2018</v>
      </c>
    </row>
    <row r="9881" spans="1:3">
      <c r="A9881" s="316">
        <v>43447</v>
      </c>
      <c r="B9881" s="317">
        <v>3169.36</v>
      </c>
      <c r="C9881">
        <f t="shared" si="184"/>
        <v>2018</v>
      </c>
    </row>
    <row r="9882" spans="1:3">
      <c r="A9882" s="316">
        <v>43448</v>
      </c>
      <c r="B9882" s="318">
        <v>3178.4</v>
      </c>
      <c r="C9882">
        <f t="shared" si="184"/>
        <v>2018</v>
      </c>
    </row>
    <row r="9883" spans="1:3">
      <c r="A9883" s="316">
        <v>43449</v>
      </c>
      <c r="B9883" s="317">
        <v>3196.3</v>
      </c>
      <c r="C9883">
        <f t="shared" si="184"/>
        <v>2018</v>
      </c>
    </row>
    <row r="9884" spans="1:3">
      <c r="A9884" s="316">
        <v>43450</v>
      </c>
      <c r="B9884" s="318">
        <v>3196.3</v>
      </c>
      <c r="C9884">
        <f t="shared" si="184"/>
        <v>2018</v>
      </c>
    </row>
    <row r="9885" spans="1:3">
      <c r="A9885" s="316">
        <v>43451</v>
      </c>
      <c r="B9885" s="317">
        <v>3196.3</v>
      </c>
      <c r="C9885">
        <f t="shared" si="184"/>
        <v>2018</v>
      </c>
    </row>
    <row r="9886" spans="1:3">
      <c r="A9886" s="316">
        <v>43452</v>
      </c>
      <c r="B9886" s="318">
        <v>3188.66</v>
      </c>
      <c r="C9886">
        <f t="shared" si="184"/>
        <v>2018</v>
      </c>
    </row>
    <row r="9887" spans="1:3">
      <c r="A9887" s="316">
        <v>43453</v>
      </c>
      <c r="B9887" s="317">
        <v>3198.45</v>
      </c>
      <c r="C9887">
        <f t="shared" si="184"/>
        <v>2018</v>
      </c>
    </row>
    <row r="9888" spans="1:3">
      <c r="A9888" s="316">
        <v>43454</v>
      </c>
      <c r="B9888" s="318">
        <v>3216.55</v>
      </c>
      <c r="C9888">
        <f t="shared" si="184"/>
        <v>2018</v>
      </c>
    </row>
    <row r="9889" spans="1:3">
      <c r="A9889" s="316">
        <v>43455</v>
      </c>
      <c r="B9889" s="317">
        <v>3246.86</v>
      </c>
      <c r="C9889">
        <f t="shared" si="184"/>
        <v>2018</v>
      </c>
    </row>
    <row r="9890" spans="1:3">
      <c r="A9890" s="316">
        <v>43456</v>
      </c>
      <c r="B9890" s="318">
        <v>3285.34</v>
      </c>
      <c r="C9890">
        <f t="shared" si="184"/>
        <v>2018</v>
      </c>
    </row>
    <row r="9891" spans="1:3">
      <c r="A9891" s="316">
        <v>43457</v>
      </c>
      <c r="B9891" s="317">
        <v>3285.34</v>
      </c>
      <c r="C9891">
        <f t="shared" si="184"/>
        <v>2018</v>
      </c>
    </row>
    <row r="9892" spans="1:3">
      <c r="A9892" s="316">
        <v>43458</v>
      </c>
      <c r="B9892" s="318">
        <v>3285.34</v>
      </c>
      <c r="C9892">
        <f t="shared" si="184"/>
        <v>2018</v>
      </c>
    </row>
    <row r="9893" spans="1:3">
      <c r="A9893" s="316">
        <v>43459</v>
      </c>
      <c r="B9893" s="317">
        <v>3285.51</v>
      </c>
      <c r="C9893">
        <f t="shared" si="184"/>
        <v>2018</v>
      </c>
    </row>
    <row r="9894" spans="1:3">
      <c r="A9894" s="316">
        <v>43460</v>
      </c>
      <c r="B9894" s="318">
        <v>3285.51</v>
      </c>
      <c r="C9894">
        <f t="shared" si="184"/>
        <v>2018</v>
      </c>
    </row>
    <row r="9895" spans="1:3">
      <c r="A9895" s="316">
        <v>43461</v>
      </c>
      <c r="B9895" s="317">
        <v>3289.69</v>
      </c>
      <c r="C9895">
        <f t="shared" si="184"/>
        <v>2018</v>
      </c>
    </row>
    <row r="9896" spans="1:3">
      <c r="A9896" s="316">
        <v>43462</v>
      </c>
      <c r="B9896" s="318">
        <v>3275.01</v>
      </c>
      <c r="C9896">
        <f t="shared" si="184"/>
        <v>2018</v>
      </c>
    </row>
    <row r="9897" spans="1:3">
      <c r="A9897" s="316">
        <v>43463</v>
      </c>
      <c r="B9897" s="317">
        <v>3249.75</v>
      </c>
      <c r="C9897">
        <f t="shared" si="184"/>
        <v>2018</v>
      </c>
    </row>
    <row r="9898" spans="1:3">
      <c r="A9898" s="316">
        <v>43464</v>
      </c>
      <c r="B9898" s="318">
        <v>3249.75</v>
      </c>
      <c r="C9898">
        <f t="shared" si="184"/>
        <v>2018</v>
      </c>
    </row>
    <row r="9899" spans="1:3">
      <c r="A9899" s="316">
        <v>43465</v>
      </c>
      <c r="B9899" s="317">
        <v>3249.75</v>
      </c>
      <c r="C9899">
        <f t="shared" si="184"/>
        <v>2018</v>
      </c>
    </row>
  </sheetData>
  <autoFilter ref="A2:C9811"/>
  <mergeCells count="2">
    <mergeCell ref="A1:B1"/>
    <mergeCell ref="N1:S1"/>
  </mergeCell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A1:K6"/>
  <sheetViews>
    <sheetView showGridLines="0" topLeftCell="A2" workbookViewId="0">
      <selection activeCell="G2" sqref="G2:K2"/>
    </sheetView>
  </sheetViews>
  <sheetFormatPr baseColWidth="10" defaultColWidth="11" defaultRowHeight="15"/>
  <cols>
    <col min="1" max="1" width="28.875" style="268" bestFit="1" customWidth="1"/>
    <col min="2" max="2" width="15.5" style="268" bestFit="1" customWidth="1"/>
    <col min="3" max="3" width="11.5" style="268" bestFit="1" customWidth="1"/>
    <col min="4" max="16384" width="11" style="268"/>
  </cols>
  <sheetData>
    <row r="1" spans="1:11" customFormat="1" ht="49.5" customHeight="1">
      <c r="B1" s="668" t="s">
        <v>882</v>
      </c>
      <c r="C1" s="668"/>
      <c r="D1" s="668"/>
      <c r="E1" s="668"/>
      <c r="F1" s="668"/>
      <c r="G1" s="668"/>
      <c r="H1" s="668"/>
      <c r="I1" s="668"/>
      <c r="J1" s="668"/>
    </row>
    <row r="2" spans="1:11" ht="18.75">
      <c r="B2" s="269">
        <v>2014</v>
      </c>
      <c r="C2" s="269">
        <v>2015</v>
      </c>
      <c r="D2" s="269">
        <v>2016</v>
      </c>
      <c r="E2" s="269">
        <v>2017</v>
      </c>
      <c r="F2" s="269">
        <v>2018</v>
      </c>
      <c r="G2" s="431" t="s">
        <v>771</v>
      </c>
      <c r="H2" s="431" t="s">
        <v>772</v>
      </c>
      <c r="I2" s="431" t="s">
        <v>773</v>
      </c>
      <c r="J2" s="431" t="s">
        <v>774</v>
      </c>
      <c r="K2" s="431" t="s">
        <v>859</v>
      </c>
    </row>
    <row r="3" spans="1:11" ht="15.75">
      <c r="A3" s="270" t="s">
        <v>880</v>
      </c>
      <c r="B3" s="271">
        <v>-0.24165598418127199</v>
      </c>
      <c r="C3" s="272">
        <v>-0.31641490348845902</v>
      </c>
      <c r="D3" s="272">
        <v>4.7233344022962503E-2</v>
      </c>
      <c r="E3" s="271">
        <v>5.5686820785747502E-3</v>
      </c>
      <c r="F3" s="273">
        <v>-8.9800000000000005E-2</v>
      </c>
      <c r="G3" s="274">
        <f>(Suspuestos!E20/Suspuestos!D20-1)*-1</f>
        <v>3.0694668820678506E-2</v>
      </c>
      <c r="H3" s="274">
        <f>(Suspuestos!F20/Suspuestos!E20-1)*-1</f>
        <v>-2.5396825396825307E-2</v>
      </c>
      <c r="I3" s="274">
        <f>(Suspuestos!G20/Suspuestos!F20-1)*-1</f>
        <v>-1.8575851393188847E-2</v>
      </c>
      <c r="J3" s="274">
        <f>(Suspuestos!H20/Suspuestos!G20-1)*-1</f>
        <v>-1.8237082066869359E-2</v>
      </c>
      <c r="K3" s="274">
        <f>(Suspuestos!I20/Suspuestos!H20-1)*-1</f>
        <v>-1.4925373134328401E-2</v>
      </c>
    </row>
    <row r="4" spans="1:11" ht="15.75">
      <c r="A4" s="270" t="s">
        <v>881</v>
      </c>
      <c r="B4" s="275">
        <f>'Balance General'!E50+'Balance General'!E51</f>
        <v>-278423</v>
      </c>
      <c r="C4" s="275">
        <f>'Balance General'!F50+'Balance General'!F51</f>
        <v>-279449</v>
      </c>
      <c r="D4" s="275">
        <f>'Balance General'!G50+'Balance General'!G51</f>
        <v>45092</v>
      </c>
      <c r="E4" s="275">
        <f>'Balance General'!H50+'Balance General'!H51</f>
        <v>-10922</v>
      </c>
      <c r="F4" s="275">
        <f>'Balance General'!I50+'Balance General'!I51</f>
        <v>-152324</v>
      </c>
      <c r="G4" s="275">
        <f>928332*G3-24721</f>
        <v>3773.8432956381184</v>
      </c>
      <c r="H4" s="275">
        <f t="shared" ref="H4:K4" si="0">928332*H3-24721</f>
        <v>-48297.685714285632</v>
      </c>
      <c r="I4" s="275">
        <f t="shared" si="0"/>
        <v>-41965.557275541789</v>
      </c>
      <c r="J4" s="275">
        <f t="shared" si="0"/>
        <v>-41651.066869300965</v>
      </c>
      <c r="K4" s="275">
        <f t="shared" si="0"/>
        <v>-38576.701492537351</v>
      </c>
    </row>
    <row r="6" spans="1:11">
      <c r="B6" s="290"/>
      <c r="C6" s="290"/>
      <c r="D6" s="290"/>
      <c r="E6" s="290"/>
      <c r="F6" s="290"/>
    </row>
  </sheetData>
  <mergeCells count="1">
    <mergeCell ref="B1:J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3:O117"/>
  <sheetViews>
    <sheetView zoomScale="30" zoomScaleNormal="30" workbookViewId="0">
      <selection activeCell="A32" sqref="A32"/>
    </sheetView>
  </sheetViews>
  <sheetFormatPr baseColWidth="10" defaultColWidth="11" defaultRowHeight="15.75"/>
  <sheetData>
    <row r="3" spans="1:15">
      <c r="A3" s="612" t="s">
        <v>53</v>
      </c>
      <c r="B3" s="612" t="s">
        <v>64</v>
      </c>
      <c r="C3" s="87"/>
      <c r="D3" s="614" t="s">
        <v>579</v>
      </c>
      <c r="E3" s="87"/>
      <c r="F3" s="616" t="s">
        <v>580</v>
      </c>
      <c r="G3" s="616"/>
      <c r="H3" s="88"/>
      <c r="I3" s="610" t="s">
        <v>581</v>
      </c>
      <c r="J3" s="610"/>
      <c r="K3" s="610"/>
      <c r="L3" s="89"/>
      <c r="M3" s="610" t="s">
        <v>582</v>
      </c>
      <c r="N3" s="610"/>
      <c r="O3" s="611"/>
    </row>
    <row r="4" spans="1:15" ht="24">
      <c r="A4" s="613"/>
      <c r="B4" s="613"/>
      <c r="C4" s="90"/>
      <c r="D4" s="615"/>
      <c r="E4" s="90"/>
      <c r="F4" s="91" t="s">
        <v>583</v>
      </c>
      <c r="G4" s="92" t="s">
        <v>584</v>
      </c>
      <c r="H4" s="90"/>
      <c r="I4" s="93" t="s">
        <v>585</v>
      </c>
      <c r="J4" s="93" t="s">
        <v>586</v>
      </c>
      <c r="K4" s="92" t="s">
        <v>587</v>
      </c>
      <c r="L4" s="93"/>
      <c r="M4" s="93" t="s">
        <v>585</v>
      </c>
      <c r="N4" s="93" t="s">
        <v>586</v>
      </c>
      <c r="O4" s="94" t="s">
        <v>587</v>
      </c>
    </row>
    <row r="5" spans="1:15">
      <c r="A5" t="s">
        <v>55</v>
      </c>
      <c r="B5" s="112">
        <v>2009</v>
      </c>
      <c r="C5" s="95"/>
      <c r="D5" s="96" t="s">
        <v>588</v>
      </c>
      <c r="E5" s="96"/>
      <c r="F5" s="97">
        <v>757117</v>
      </c>
      <c r="G5" s="98">
        <v>678660.64850000013</v>
      </c>
      <c r="H5" s="99"/>
      <c r="I5" s="99" t="s">
        <v>589</v>
      </c>
      <c r="J5" s="99" t="s">
        <v>589</v>
      </c>
      <c r="K5" s="99" t="s">
        <v>589</v>
      </c>
      <c r="L5" s="99"/>
      <c r="M5" s="99" t="s">
        <v>589</v>
      </c>
      <c r="N5" s="99" t="s">
        <v>589</v>
      </c>
      <c r="O5" s="100" t="s">
        <v>589</v>
      </c>
    </row>
    <row r="6" spans="1:15">
      <c r="A6" t="s">
        <v>55</v>
      </c>
      <c r="B6" s="112">
        <v>2009</v>
      </c>
      <c r="C6" s="101"/>
      <c r="D6" s="102" t="s">
        <v>590</v>
      </c>
      <c r="E6" s="102"/>
      <c r="F6" s="103">
        <v>816612</v>
      </c>
      <c r="G6" s="104">
        <v>695754.57950000034</v>
      </c>
      <c r="H6" s="105"/>
      <c r="I6" s="105" t="s">
        <v>589</v>
      </c>
      <c r="J6" s="105" t="s">
        <v>589</v>
      </c>
      <c r="K6" s="105" t="s">
        <v>589</v>
      </c>
      <c r="L6" s="105"/>
      <c r="M6" s="105" t="s">
        <v>589</v>
      </c>
      <c r="N6" s="105" t="s">
        <v>589</v>
      </c>
      <c r="O6" s="106" t="s">
        <v>589</v>
      </c>
    </row>
    <row r="7" spans="1:15">
      <c r="A7" t="s">
        <v>55</v>
      </c>
      <c r="B7" s="112">
        <v>2009</v>
      </c>
      <c r="C7" s="101"/>
      <c r="D7" s="107" t="s">
        <v>591</v>
      </c>
      <c r="E7" s="107"/>
      <c r="F7" s="108">
        <v>734996</v>
      </c>
      <c r="G7" s="109">
        <v>635398.91900000011</v>
      </c>
      <c r="H7" s="110"/>
      <c r="I7" s="110" t="s">
        <v>589</v>
      </c>
      <c r="J7" s="110" t="s">
        <v>589</v>
      </c>
      <c r="K7" s="110" t="s">
        <v>589</v>
      </c>
      <c r="L7" s="110"/>
      <c r="M7" s="110" t="s">
        <v>589</v>
      </c>
      <c r="N7" s="110" t="s">
        <v>589</v>
      </c>
      <c r="O7" s="111" t="s">
        <v>589</v>
      </c>
    </row>
    <row r="8" spans="1:15">
      <c r="A8" t="s">
        <v>55</v>
      </c>
      <c r="B8" s="112">
        <v>2009</v>
      </c>
      <c r="C8" s="101"/>
      <c r="D8" s="102" t="s">
        <v>592</v>
      </c>
      <c r="E8" s="102"/>
      <c r="F8" s="103">
        <v>767767</v>
      </c>
      <c r="G8" s="104">
        <v>741963.02499999979</v>
      </c>
      <c r="H8" s="105"/>
      <c r="I8" s="105" t="s">
        <v>589</v>
      </c>
      <c r="J8" s="105" t="s">
        <v>589</v>
      </c>
      <c r="K8" s="105" t="s">
        <v>589</v>
      </c>
      <c r="L8" s="105"/>
      <c r="M8" s="105" t="s">
        <v>589</v>
      </c>
      <c r="N8" s="105" t="s">
        <v>589</v>
      </c>
      <c r="O8" s="106" t="s">
        <v>589</v>
      </c>
    </row>
    <row r="9" spans="1:15">
      <c r="A9" t="s">
        <v>55</v>
      </c>
      <c r="B9" s="112">
        <v>2009</v>
      </c>
      <c r="C9" s="101"/>
      <c r="D9" s="107" t="s">
        <v>593</v>
      </c>
      <c r="E9" s="107"/>
      <c r="F9" s="108">
        <v>790129</v>
      </c>
      <c r="G9" s="109">
        <v>700399.2784999999</v>
      </c>
      <c r="H9" s="110"/>
      <c r="I9" s="110" t="s">
        <v>589</v>
      </c>
      <c r="J9" s="110" t="s">
        <v>589</v>
      </c>
      <c r="K9" s="110" t="s">
        <v>589</v>
      </c>
      <c r="L9" s="110"/>
      <c r="M9" s="110" t="s">
        <v>589</v>
      </c>
      <c r="N9" s="110" t="s">
        <v>589</v>
      </c>
      <c r="O9" s="111" t="s">
        <v>589</v>
      </c>
    </row>
    <row r="10" spans="1:15">
      <c r="A10" t="s">
        <v>55</v>
      </c>
      <c r="B10" s="112">
        <v>2009</v>
      </c>
      <c r="C10" s="101"/>
      <c r="D10" s="102" t="s">
        <v>594</v>
      </c>
      <c r="E10" s="102"/>
      <c r="F10" s="103">
        <v>751160</v>
      </c>
      <c r="G10" s="104">
        <v>725187.071</v>
      </c>
      <c r="H10" s="105"/>
      <c r="I10" s="105" t="s">
        <v>589</v>
      </c>
      <c r="J10" s="105" t="s">
        <v>589</v>
      </c>
      <c r="K10" s="105" t="s">
        <v>589</v>
      </c>
      <c r="L10" s="105"/>
      <c r="M10" s="105" t="s">
        <v>589</v>
      </c>
      <c r="N10" s="105" t="s">
        <v>589</v>
      </c>
      <c r="O10" s="106" t="s">
        <v>589</v>
      </c>
    </row>
    <row r="11" spans="1:15">
      <c r="A11" t="s">
        <v>55</v>
      </c>
      <c r="B11" s="112">
        <v>2009</v>
      </c>
      <c r="C11" s="101"/>
      <c r="D11" s="107" t="s">
        <v>595</v>
      </c>
      <c r="E11" s="107"/>
      <c r="F11" s="108">
        <v>750262</v>
      </c>
      <c r="G11" s="109">
        <v>731458.28799999994</v>
      </c>
      <c r="H11" s="110"/>
      <c r="I11" s="110" t="s">
        <v>589</v>
      </c>
      <c r="J11" s="110" t="s">
        <v>589</v>
      </c>
      <c r="K11" s="110" t="s">
        <v>589</v>
      </c>
      <c r="L11" s="110"/>
      <c r="M11" s="110" t="s">
        <v>589</v>
      </c>
      <c r="N11" s="110" t="s">
        <v>589</v>
      </c>
      <c r="O11" s="111" t="s">
        <v>589</v>
      </c>
    </row>
    <row r="12" spans="1:15">
      <c r="A12" t="s">
        <v>55</v>
      </c>
      <c r="B12" s="112">
        <v>2009</v>
      </c>
      <c r="C12" s="101"/>
      <c r="D12" s="102" t="s">
        <v>596</v>
      </c>
      <c r="E12" s="102"/>
      <c r="F12" s="103">
        <v>800924</v>
      </c>
      <c r="G12" s="104">
        <v>716674.87049999973</v>
      </c>
      <c r="H12" s="105"/>
      <c r="I12" s="105" t="s">
        <v>589</v>
      </c>
      <c r="J12" s="105" t="s">
        <v>589</v>
      </c>
      <c r="K12" s="105" t="s">
        <v>589</v>
      </c>
      <c r="L12" s="105"/>
      <c r="M12" s="105" t="s">
        <v>589</v>
      </c>
      <c r="N12" s="105" t="s">
        <v>589</v>
      </c>
      <c r="O12" s="106" t="s">
        <v>589</v>
      </c>
    </row>
    <row r="13" spans="1:15">
      <c r="A13" t="s">
        <v>55</v>
      </c>
      <c r="B13" s="112">
        <v>2009</v>
      </c>
      <c r="C13" s="101"/>
      <c r="D13" s="107" t="s">
        <v>597</v>
      </c>
      <c r="E13" s="107"/>
      <c r="F13" s="108">
        <v>804175</v>
      </c>
      <c r="G13" s="109">
        <v>701444.9589999998</v>
      </c>
      <c r="H13" s="110"/>
      <c r="I13" s="110" t="s">
        <v>589</v>
      </c>
      <c r="J13" s="110" t="s">
        <v>589</v>
      </c>
      <c r="K13" s="110" t="s">
        <v>589</v>
      </c>
      <c r="L13" s="110"/>
      <c r="M13" s="110" t="s">
        <v>589</v>
      </c>
      <c r="N13" s="110" t="s">
        <v>589</v>
      </c>
      <c r="O13" s="111" t="s">
        <v>589</v>
      </c>
    </row>
    <row r="14" spans="1:15">
      <c r="A14" t="s">
        <v>55</v>
      </c>
      <c r="B14" s="112">
        <v>2010</v>
      </c>
      <c r="C14" s="113"/>
      <c r="D14" s="114" t="s">
        <v>598</v>
      </c>
      <c r="E14" s="114"/>
      <c r="F14" s="104">
        <v>692439</v>
      </c>
      <c r="G14" s="104">
        <v>661697.38400000008</v>
      </c>
      <c r="H14" s="115"/>
      <c r="I14" s="105" t="s">
        <v>589</v>
      </c>
      <c r="J14" s="105" t="s">
        <v>589</v>
      </c>
      <c r="K14" s="105" t="s">
        <v>589</v>
      </c>
      <c r="L14" s="115"/>
      <c r="M14" s="105" t="s">
        <v>589</v>
      </c>
      <c r="N14" s="105" t="s">
        <v>589</v>
      </c>
      <c r="O14" s="106" t="s">
        <v>589</v>
      </c>
    </row>
    <row r="15" spans="1:15">
      <c r="A15" t="s">
        <v>55</v>
      </c>
      <c r="B15" s="112">
        <v>2010</v>
      </c>
      <c r="C15" s="113"/>
      <c r="D15" s="116" t="s">
        <v>599</v>
      </c>
      <c r="E15" s="116"/>
      <c r="F15" s="109">
        <v>741123</v>
      </c>
      <c r="G15" s="109">
        <v>711607.67499999993</v>
      </c>
      <c r="H15" s="117"/>
      <c r="I15" s="110" t="s">
        <v>589</v>
      </c>
      <c r="J15" s="110" t="s">
        <v>589</v>
      </c>
      <c r="K15" s="110" t="s">
        <v>589</v>
      </c>
      <c r="L15" s="117"/>
      <c r="M15" s="110" t="s">
        <v>589</v>
      </c>
      <c r="N15" s="110" t="s">
        <v>589</v>
      </c>
      <c r="O15" s="111" t="s">
        <v>589</v>
      </c>
    </row>
    <row r="16" spans="1:15">
      <c r="A16" t="s">
        <v>55</v>
      </c>
      <c r="B16" s="112">
        <v>2010</v>
      </c>
      <c r="C16" s="113"/>
      <c r="D16" s="114" t="s">
        <v>600</v>
      </c>
      <c r="E16" s="114"/>
      <c r="F16" s="104">
        <v>813412</v>
      </c>
      <c r="G16" s="104">
        <v>761517.15349999978</v>
      </c>
      <c r="H16" s="115"/>
      <c r="I16" s="105" t="s">
        <v>589</v>
      </c>
      <c r="J16" s="105" t="s">
        <v>589</v>
      </c>
      <c r="K16" s="105" t="s">
        <v>589</v>
      </c>
      <c r="L16" s="115"/>
      <c r="M16" s="105" t="s">
        <v>589</v>
      </c>
      <c r="N16" s="105" t="s">
        <v>589</v>
      </c>
      <c r="O16" s="106" t="s">
        <v>589</v>
      </c>
    </row>
    <row r="17" spans="1:15">
      <c r="A17" t="s">
        <v>55</v>
      </c>
      <c r="B17" s="112">
        <v>2010</v>
      </c>
      <c r="C17" s="113"/>
      <c r="D17" s="116" t="s">
        <v>588</v>
      </c>
      <c r="E17" s="116"/>
      <c r="F17" s="109">
        <v>712879.77860099997</v>
      </c>
      <c r="G17" s="109">
        <v>686064.2699999999</v>
      </c>
      <c r="H17" s="117"/>
      <c r="I17" s="117">
        <v>-5.8428514217749665</v>
      </c>
      <c r="J17" s="110" t="s">
        <v>589</v>
      </c>
      <c r="K17" s="110" t="s">
        <v>589</v>
      </c>
      <c r="L17" s="117"/>
      <c r="M17" s="117">
        <v>1.0909165746332121</v>
      </c>
      <c r="N17" s="110" t="s">
        <v>589</v>
      </c>
      <c r="O17" s="111" t="s">
        <v>589</v>
      </c>
    </row>
    <row r="18" spans="1:15">
      <c r="A18" t="s">
        <v>55</v>
      </c>
      <c r="B18" s="112">
        <v>2010</v>
      </c>
      <c r="C18" s="113"/>
      <c r="D18" s="102" t="s">
        <v>590</v>
      </c>
      <c r="E18" s="114"/>
      <c r="F18" s="104">
        <v>813099.5</v>
      </c>
      <c r="G18" s="104">
        <v>755619.38850000012</v>
      </c>
      <c r="H18" s="115"/>
      <c r="I18" s="115">
        <v>-0.4301308332476026</v>
      </c>
      <c r="J18" s="105" t="s">
        <v>589</v>
      </c>
      <c r="K18" s="105" t="s">
        <v>589</v>
      </c>
      <c r="L18" s="115"/>
      <c r="M18" s="115">
        <v>8.6042996717350206</v>
      </c>
      <c r="N18" s="105" t="s">
        <v>589</v>
      </c>
      <c r="O18" s="106" t="s">
        <v>589</v>
      </c>
    </row>
    <row r="19" spans="1:15">
      <c r="A19" t="s">
        <v>55</v>
      </c>
      <c r="B19" s="112">
        <v>2010</v>
      </c>
      <c r="C19" s="113"/>
      <c r="D19" s="107" t="s">
        <v>591</v>
      </c>
      <c r="E19" s="116"/>
      <c r="F19" s="109">
        <v>735585</v>
      </c>
      <c r="G19" s="109">
        <v>708921.55249999987</v>
      </c>
      <c r="H19" s="117"/>
      <c r="I19" s="117">
        <v>8.0136490538734506E-2</v>
      </c>
      <c r="J19" s="110" t="s">
        <v>589</v>
      </c>
      <c r="K19" s="110" t="s">
        <v>589</v>
      </c>
      <c r="L19" s="117"/>
      <c r="M19" s="117">
        <v>11.571098297697887</v>
      </c>
      <c r="N19" s="110" t="s">
        <v>589</v>
      </c>
      <c r="O19" s="111" t="s">
        <v>589</v>
      </c>
    </row>
    <row r="20" spans="1:15">
      <c r="A20" t="s">
        <v>55</v>
      </c>
      <c r="B20" s="112">
        <v>2010</v>
      </c>
      <c r="C20" s="118"/>
      <c r="D20" s="102" t="s">
        <v>592</v>
      </c>
      <c r="E20" s="119"/>
      <c r="F20" s="104">
        <v>815345</v>
      </c>
      <c r="G20" s="104">
        <v>754067.74250000017</v>
      </c>
      <c r="H20" s="115"/>
      <c r="I20" s="115">
        <v>6.1969321421733383</v>
      </c>
      <c r="J20" s="105" t="s">
        <v>589</v>
      </c>
      <c r="K20" s="105" t="s">
        <v>589</v>
      </c>
      <c r="L20" s="115"/>
      <c r="M20" s="115">
        <v>1.6314448418774532</v>
      </c>
      <c r="N20" s="105" t="s">
        <v>589</v>
      </c>
      <c r="O20" s="106" t="s">
        <v>589</v>
      </c>
    </row>
    <row r="21" spans="1:15">
      <c r="A21" t="s">
        <v>55</v>
      </c>
      <c r="B21" s="112">
        <v>2010</v>
      </c>
      <c r="C21" s="118"/>
      <c r="D21" s="107" t="s">
        <v>593</v>
      </c>
      <c r="E21" s="116"/>
      <c r="F21" s="109">
        <v>855570</v>
      </c>
      <c r="G21" s="109">
        <v>749920.79799999995</v>
      </c>
      <c r="H21" s="117"/>
      <c r="I21" s="117">
        <v>8.2823184568595849</v>
      </c>
      <c r="J21" s="110" t="s">
        <v>589</v>
      </c>
      <c r="K21" s="110" t="s">
        <v>589</v>
      </c>
      <c r="L21" s="117"/>
      <c r="M21" s="117">
        <v>7.0704698048885888</v>
      </c>
      <c r="N21" s="110" t="s">
        <v>589</v>
      </c>
      <c r="O21" s="111" t="s">
        <v>589</v>
      </c>
    </row>
    <row r="22" spans="1:15">
      <c r="A22" t="s">
        <v>55</v>
      </c>
      <c r="B22" s="112">
        <v>2010</v>
      </c>
      <c r="C22" s="118"/>
      <c r="D22" s="102" t="s">
        <v>594</v>
      </c>
      <c r="E22" s="114"/>
      <c r="F22" s="104">
        <v>784709</v>
      </c>
      <c r="G22" s="104">
        <v>777478.74600000004</v>
      </c>
      <c r="H22" s="115"/>
      <c r="I22" s="115">
        <v>4.4662921348314484</v>
      </c>
      <c r="J22" s="105" t="s">
        <v>589</v>
      </c>
      <c r="K22" s="105" t="s">
        <v>589</v>
      </c>
      <c r="L22" s="115"/>
      <c r="M22" s="115">
        <v>7.2107842363891166</v>
      </c>
      <c r="N22" s="105" t="s">
        <v>589</v>
      </c>
      <c r="O22" s="106" t="s">
        <v>589</v>
      </c>
    </row>
    <row r="23" spans="1:15">
      <c r="A23" t="s">
        <v>55</v>
      </c>
      <c r="B23" s="112">
        <v>2010</v>
      </c>
      <c r="C23" s="118"/>
      <c r="D23" s="107" t="s">
        <v>595</v>
      </c>
      <c r="E23" s="116"/>
      <c r="F23" s="109">
        <v>834038.5</v>
      </c>
      <c r="G23" s="109">
        <v>795135.37360000017</v>
      </c>
      <c r="H23" s="117"/>
      <c r="I23" s="117">
        <v>11.166299239465687</v>
      </c>
      <c r="J23" s="110" t="s">
        <v>589</v>
      </c>
      <c r="K23" s="110" t="s">
        <v>589</v>
      </c>
      <c r="L23" s="117"/>
      <c r="M23" s="117">
        <v>8.7054978588198395</v>
      </c>
      <c r="N23" s="110" t="s">
        <v>589</v>
      </c>
      <c r="O23" s="111" t="s">
        <v>589</v>
      </c>
    </row>
    <row r="24" spans="1:15">
      <c r="A24" t="s">
        <v>55</v>
      </c>
      <c r="B24" s="112">
        <v>2010</v>
      </c>
      <c r="C24" s="118"/>
      <c r="D24" s="102" t="s">
        <v>596</v>
      </c>
      <c r="E24" s="114"/>
      <c r="F24" s="104">
        <v>812573.7</v>
      </c>
      <c r="G24" s="104">
        <v>799131.19599999976</v>
      </c>
      <c r="H24" s="115"/>
      <c r="I24" s="115">
        <v>1.4545325149452282</v>
      </c>
      <c r="J24" s="105" t="s">
        <v>589</v>
      </c>
      <c r="K24" s="105" t="s">
        <v>589</v>
      </c>
      <c r="L24" s="115"/>
      <c r="M24" s="115">
        <v>11.5054020859519</v>
      </c>
      <c r="N24" s="105" t="s">
        <v>589</v>
      </c>
      <c r="O24" s="106" t="s">
        <v>589</v>
      </c>
    </row>
    <row r="25" spans="1:15">
      <c r="A25" t="s">
        <v>55</v>
      </c>
      <c r="B25" s="112">
        <v>2010</v>
      </c>
      <c r="C25" s="118"/>
      <c r="D25" s="107" t="s">
        <v>597</v>
      </c>
      <c r="E25" s="116"/>
      <c r="F25" s="109">
        <v>894003</v>
      </c>
      <c r="G25" s="109">
        <v>760219.97700000007</v>
      </c>
      <c r="H25" s="117"/>
      <c r="I25" s="117">
        <v>11.170205490098553</v>
      </c>
      <c r="J25" s="110" t="s">
        <v>589</v>
      </c>
      <c r="K25" s="110" t="s">
        <v>589</v>
      </c>
      <c r="L25" s="117"/>
      <c r="M25" s="117">
        <v>8.3791347055643115</v>
      </c>
      <c r="N25" s="110" t="s">
        <v>589</v>
      </c>
      <c r="O25" s="111" t="s">
        <v>589</v>
      </c>
    </row>
    <row r="26" spans="1:15">
      <c r="A26" t="s">
        <v>55</v>
      </c>
      <c r="B26" s="112">
        <v>2011</v>
      </c>
      <c r="C26" s="118"/>
      <c r="D26" s="102" t="s">
        <v>598</v>
      </c>
      <c r="E26" s="114"/>
      <c r="F26" s="104">
        <v>760747</v>
      </c>
      <c r="G26" s="104">
        <v>736901.49000000011</v>
      </c>
      <c r="H26" s="115"/>
      <c r="I26" s="115">
        <v>9.8648400797759734</v>
      </c>
      <c r="J26" s="105">
        <v>9.8648400797759734</v>
      </c>
      <c r="K26" s="105" t="s">
        <v>589</v>
      </c>
      <c r="L26" s="115"/>
      <c r="M26" s="115">
        <v>11.365332222622172</v>
      </c>
      <c r="N26" s="105">
        <v>11.365332222622172</v>
      </c>
      <c r="O26" s="106" t="s">
        <v>589</v>
      </c>
    </row>
    <row r="27" spans="1:15">
      <c r="A27" t="s">
        <v>55</v>
      </c>
      <c r="B27" s="112">
        <v>2011</v>
      </c>
      <c r="C27" s="118"/>
      <c r="D27" s="107" t="s">
        <v>599</v>
      </c>
      <c r="E27" s="116"/>
      <c r="F27" s="109">
        <v>754074.6</v>
      </c>
      <c r="G27" s="109">
        <v>726418.95200000005</v>
      </c>
      <c r="H27" s="117"/>
      <c r="I27" s="117">
        <v>1.7475641695103121</v>
      </c>
      <c r="J27" s="110">
        <v>5.6683701158373339</v>
      </c>
      <c r="K27" s="110" t="s">
        <v>589</v>
      </c>
      <c r="L27" s="117"/>
      <c r="M27" s="117">
        <v>2.0813824134204424</v>
      </c>
      <c r="N27" s="110">
        <v>6.5546531275102637</v>
      </c>
      <c r="O27" s="111" t="s">
        <v>589</v>
      </c>
    </row>
    <row r="28" spans="1:15">
      <c r="A28" t="s">
        <v>55</v>
      </c>
      <c r="B28" s="112">
        <v>2011</v>
      </c>
      <c r="C28" s="118"/>
      <c r="D28" s="102" t="s">
        <v>600</v>
      </c>
      <c r="E28" s="114"/>
      <c r="F28" s="104">
        <v>1006055</v>
      </c>
      <c r="G28" s="104">
        <v>914686.76500000025</v>
      </c>
      <c r="H28" s="115"/>
      <c r="I28" s="115">
        <v>23.68332407193401</v>
      </c>
      <c r="J28" s="105">
        <v>12.189842873126253</v>
      </c>
      <c r="K28" s="105">
        <v>6.0581025076148762</v>
      </c>
      <c r="L28" s="115"/>
      <c r="M28" s="115">
        <v>20.113744095719881</v>
      </c>
      <c r="N28" s="105">
        <v>11.391346458552022</v>
      </c>
      <c r="O28" s="120">
        <v>8.3056253038238168</v>
      </c>
    </row>
    <row r="29" spans="1:15">
      <c r="A29" t="s">
        <v>55</v>
      </c>
      <c r="B29" s="112">
        <v>2011</v>
      </c>
      <c r="C29" s="118"/>
      <c r="D29" s="107" t="s">
        <v>588</v>
      </c>
      <c r="E29" s="116"/>
      <c r="F29" s="109">
        <v>850575</v>
      </c>
      <c r="G29" s="109">
        <v>776826.33450000011</v>
      </c>
      <c r="H29" s="121"/>
      <c r="I29" s="117">
        <v>19.31534959081344</v>
      </c>
      <c r="J29" s="110">
        <v>13.906018749127043</v>
      </c>
      <c r="K29" s="110">
        <v>8.0700338274510131</v>
      </c>
      <c r="L29" s="117"/>
      <c r="M29" s="117">
        <v>13.22938221225256</v>
      </c>
      <c r="N29" s="110">
        <v>11.838372833210983</v>
      </c>
      <c r="O29" s="122">
        <v>1.1751444460062146</v>
      </c>
    </row>
    <row r="30" spans="1:15">
      <c r="A30" t="s">
        <v>55</v>
      </c>
      <c r="B30" s="112">
        <v>2011</v>
      </c>
      <c r="C30" s="118"/>
      <c r="D30" s="102" t="s">
        <v>590</v>
      </c>
      <c r="E30" s="114"/>
      <c r="F30" s="104">
        <v>933348</v>
      </c>
      <c r="G30" s="104">
        <v>870177.86449999991</v>
      </c>
      <c r="H30" s="123"/>
      <c r="I30" s="115">
        <v>14.788903449085851</v>
      </c>
      <c r="J30" s="105">
        <v>14.096286970089551</v>
      </c>
      <c r="K30" s="105">
        <v>9.4224052458012011</v>
      </c>
      <c r="L30" s="115"/>
      <c r="M30" s="115">
        <v>15.160870372504974</v>
      </c>
      <c r="N30" s="105">
        <v>12.540327100724085</v>
      </c>
      <c r="O30" s="120">
        <v>9.8587328761150701</v>
      </c>
    </row>
    <row r="31" spans="1:15">
      <c r="A31" t="s">
        <v>55</v>
      </c>
      <c r="B31" s="112">
        <v>2011</v>
      </c>
      <c r="C31" s="118"/>
      <c r="D31" s="107" t="s">
        <v>591</v>
      </c>
      <c r="E31" s="116"/>
      <c r="F31" s="109">
        <v>863386</v>
      </c>
      <c r="G31" s="109">
        <v>807107.1370000001</v>
      </c>
      <c r="H31" s="121"/>
      <c r="I31" s="117">
        <v>17.374062820748094</v>
      </c>
      <c r="J31" s="110">
        <v>14.631068444730815</v>
      </c>
      <c r="K31" s="110">
        <v>10.808616103383102</v>
      </c>
      <c r="L31" s="117"/>
      <c r="M31" s="117">
        <v>13.849992873506295</v>
      </c>
      <c r="N31" s="110">
        <v>12.756980003957395</v>
      </c>
      <c r="O31" s="122">
        <v>10.061167514787073</v>
      </c>
    </row>
    <row r="32" spans="1:15">
      <c r="A32" t="s">
        <v>55</v>
      </c>
      <c r="B32" s="112">
        <v>2011</v>
      </c>
      <c r="C32" s="118"/>
      <c r="D32" s="102" t="s">
        <v>592</v>
      </c>
      <c r="E32" s="114"/>
      <c r="F32" s="104">
        <v>927677</v>
      </c>
      <c r="G32" s="104">
        <v>851728.57899999979</v>
      </c>
      <c r="H32" s="123"/>
      <c r="I32" s="115">
        <v>13.777235403418175</v>
      </c>
      <c r="J32" s="105">
        <v>14.500305153231281</v>
      </c>
      <c r="K32" s="105">
        <v>11.455124009478766</v>
      </c>
      <c r="L32" s="115"/>
      <c r="M32" s="115">
        <v>12.951201993632509</v>
      </c>
      <c r="N32" s="105">
        <v>12.786041751706705</v>
      </c>
      <c r="O32" s="120">
        <v>11.040175934017697</v>
      </c>
    </row>
    <row r="33" spans="1:15">
      <c r="A33" t="s">
        <v>55</v>
      </c>
      <c r="B33" s="112">
        <v>2011</v>
      </c>
      <c r="C33" s="118"/>
      <c r="D33" s="107" t="s">
        <v>593</v>
      </c>
      <c r="E33" s="116"/>
      <c r="F33" s="109">
        <v>937922</v>
      </c>
      <c r="G33" s="109">
        <v>916550.89150000014</v>
      </c>
      <c r="H33" s="121"/>
      <c r="I33" s="117">
        <v>9.6253959348738078</v>
      </c>
      <c r="J33" s="110">
        <v>13.825354491431924</v>
      </c>
      <c r="K33" s="110">
        <v>11.55650973395413</v>
      </c>
      <c r="L33" s="117"/>
      <c r="M33" s="117">
        <v>22.21969225875506</v>
      </c>
      <c r="N33" s="110">
        <v>14.008011421927264</v>
      </c>
      <c r="O33" s="122">
        <v>12.328714448586808</v>
      </c>
    </row>
    <row r="34" spans="1:15">
      <c r="A34" t="s">
        <v>55</v>
      </c>
      <c r="B34" s="112">
        <v>2011</v>
      </c>
      <c r="C34" s="118"/>
      <c r="D34" s="102" t="s">
        <v>594</v>
      </c>
      <c r="E34" s="114"/>
      <c r="F34" s="104">
        <v>937029</v>
      </c>
      <c r="G34" s="104">
        <v>918049.30450000009</v>
      </c>
      <c r="H34" s="123"/>
      <c r="I34" s="115">
        <v>19.411017332539842</v>
      </c>
      <c r="J34" s="105">
        <v>14.454736709570511</v>
      </c>
      <c r="K34" s="105">
        <v>12.789340031327441</v>
      </c>
      <c r="L34" s="115"/>
      <c r="M34" s="115">
        <v>18.080308847439539</v>
      </c>
      <c r="N34" s="105">
        <v>14.490145647546115</v>
      </c>
      <c r="O34" s="120">
        <v>13.267534471643501</v>
      </c>
    </row>
    <row r="35" spans="1:15">
      <c r="A35" t="s">
        <v>55</v>
      </c>
      <c r="B35" s="112">
        <v>2011</v>
      </c>
      <c r="C35" s="118"/>
      <c r="D35" s="107" t="s">
        <v>595</v>
      </c>
      <c r="E35" s="116"/>
      <c r="F35" s="109">
        <v>948855</v>
      </c>
      <c r="G35" s="109">
        <v>887708.91450000007</v>
      </c>
      <c r="H35" s="121"/>
      <c r="I35" s="117">
        <v>13.766330930766372</v>
      </c>
      <c r="J35" s="110">
        <v>14.381109864167826</v>
      </c>
      <c r="K35" s="110">
        <v>13.005493286325347</v>
      </c>
      <c r="L35" s="117"/>
      <c r="M35" s="117">
        <v>11.642488055948292</v>
      </c>
      <c r="N35" s="110">
        <v>14.182584654549913</v>
      </c>
      <c r="O35" s="122">
        <v>13.500424299492252</v>
      </c>
    </row>
    <row r="36" spans="1:15">
      <c r="A36" t="s">
        <v>55</v>
      </c>
      <c r="B36" s="112">
        <v>2011</v>
      </c>
      <c r="C36" s="118"/>
      <c r="D36" s="102" t="s">
        <v>596</v>
      </c>
      <c r="E36" s="114"/>
      <c r="F36" s="104">
        <v>897775</v>
      </c>
      <c r="G36" s="104">
        <v>885829.97699999996</v>
      </c>
      <c r="H36" s="123"/>
      <c r="I36" s="115">
        <v>10.485362743096417</v>
      </c>
      <c r="J36" s="105">
        <v>14.013479558636035</v>
      </c>
      <c r="K36" s="105">
        <v>13.770622182793176</v>
      </c>
      <c r="L36" s="115"/>
      <c r="M36" s="115">
        <v>10.849129834245659</v>
      </c>
      <c r="N36" s="105">
        <v>13.856176727283426</v>
      </c>
      <c r="O36" s="120">
        <v>13.422687591815176</v>
      </c>
    </row>
    <row r="37" spans="1:15">
      <c r="A37" t="s">
        <v>55</v>
      </c>
      <c r="B37" s="112">
        <v>2011</v>
      </c>
      <c r="C37" s="118"/>
      <c r="D37" s="107" t="s">
        <v>597</v>
      </c>
      <c r="E37" s="116"/>
      <c r="F37" s="109">
        <v>961094</v>
      </c>
      <c r="G37" s="109">
        <v>883854.3955000001</v>
      </c>
      <c r="H37" s="121"/>
      <c r="I37" s="117">
        <v>7.5045609466635028</v>
      </c>
      <c r="J37" s="110">
        <v>13.401261884002366</v>
      </c>
      <c r="K37" s="110">
        <v>13.401261884002366</v>
      </c>
      <c r="L37" s="117"/>
      <c r="M37" s="117">
        <v>16.262979432333438</v>
      </c>
      <c r="N37" s="110">
        <v>14.06126823099234</v>
      </c>
      <c r="O37" s="122">
        <v>14.06126823099234</v>
      </c>
    </row>
    <row r="38" spans="1:15">
      <c r="A38" t="s">
        <v>55</v>
      </c>
      <c r="B38" s="112">
        <v>2012</v>
      </c>
      <c r="C38" s="118"/>
      <c r="D38" s="102" t="s">
        <v>598</v>
      </c>
      <c r="E38" s="114"/>
      <c r="F38" s="104">
        <v>868474</v>
      </c>
      <c r="G38" s="104">
        <v>823283.71750000003</v>
      </c>
      <c r="H38" s="123"/>
      <c r="I38" s="115">
        <v>14.160686798633463</v>
      </c>
      <c r="J38" s="105">
        <v>14.160686798633463</v>
      </c>
      <c r="K38" s="105">
        <v>13.717407249046204</v>
      </c>
      <c r="L38" s="115"/>
      <c r="M38" s="115">
        <v>11.722357556910353</v>
      </c>
      <c r="N38" s="105">
        <v>11.722357556910353</v>
      </c>
      <c r="O38" s="120">
        <v>14.067976003000254</v>
      </c>
    </row>
    <row r="39" spans="1:15">
      <c r="A39" t="s">
        <v>55</v>
      </c>
      <c r="B39" s="112">
        <v>2012</v>
      </c>
      <c r="C39" s="118"/>
      <c r="D39" s="107" t="s">
        <v>599</v>
      </c>
      <c r="E39" s="116"/>
      <c r="F39" s="109">
        <v>865408</v>
      </c>
      <c r="G39" s="109">
        <v>846615.05949999974</v>
      </c>
      <c r="H39" s="121"/>
      <c r="I39" s="117">
        <v>14.764242158534444</v>
      </c>
      <c r="J39" s="110">
        <v>14.461135225428535</v>
      </c>
      <c r="K39" s="110">
        <v>14.725176940427673</v>
      </c>
      <c r="L39" s="124"/>
      <c r="M39" s="117">
        <v>16.546389266011261</v>
      </c>
      <c r="N39" s="117">
        <v>14.117094866634801</v>
      </c>
      <c r="O39" s="111">
        <v>15.214315330157959</v>
      </c>
    </row>
    <row r="40" spans="1:15">
      <c r="A40" t="s">
        <v>55</v>
      </c>
      <c r="B40" s="112">
        <v>2012</v>
      </c>
      <c r="C40" s="118"/>
      <c r="D40" s="102" t="s">
        <v>600</v>
      </c>
      <c r="E40" s="114"/>
      <c r="F40" s="104">
        <v>998847</v>
      </c>
      <c r="G40" s="104">
        <v>950452.89200000023</v>
      </c>
      <c r="H40" s="123"/>
      <c r="I40" s="115">
        <v>-0.71646182365775246</v>
      </c>
      <c r="J40" s="105">
        <v>8.4039179069693546</v>
      </c>
      <c r="K40" s="105">
        <v>12.391344349741246</v>
      </c>
      <c r="L40" s="125"/>
      <c r="M40" s="115">
        <v>3.9102049322862911</v>
      </c>
      <c r="N40" s="115">
        <v>10.191073487356334</v>
      </c>
      <c r="O40" s="106">
        <v>13.6789759771722</v>
      </c>
    </row>
    <row r="41" spans="1:15">
      <c r="A41" t="s">
        <v>55</v>
      </c>
      <c r="B41" s="112">
        <v>2012</v>
      </c>
      <c r="C41" s="118"/>
      <c r="D41" s="107" t="s">
        <v>588</v>
      </c>
      <c r="E41" s="116"/>
      <c r="F41" s="109">
        <v>852138</v>
      </c>
      <c r="G41" s="109">
        <v>789541.98850000021</v>
      </c>
      <c r="H41" s="121"/>
      <c r="I41" s="117">
        <v>0.18375804602767687</v>
      </c>
      <c r="J41" s="110">
        <v>6.3300745589822469</v>
      </c>
      <c r="K41" s="110">
        <v>10.846480366671884</v>
      </c>
      <c r="L41" s="124"/>
      <c r="M41" s="117">
        <v>1.6368721598739739</v>
      </c>
      <c r="N41" s="117">
        <v>8.0847408474910623</v>
      </c>
      <c r="O41" s="111">
        <v>12.701574329011706</v>
      </c>
    </row>
    <row r="42" spans="1:15">
      <c r="A42" t="s">
        <v>55</v>
      </c>
      <c r="B42" s="112">
        <v>2012</v>
      </c>
      <c r="C42" s="118"/>
      <c r="D42" s="102" t="s">
        <v>590</v>
      </c>
      <c r="E42" s="114"/>
      <c r="F42" s="104">
        <v>919675</v>
      </c>
      <c r="G42" s="104">
        <v>904690.56449999986</v>
      </c>
      <c r="H42" s="123"/>
      <c r="I42" s="115">
        <v>-1.4649412652086795</v>
      </c>
      <c r="J42" s="105">
        <v>4.6399929975834482</v>
      </c>
      <c r="K42" s="105">
        <v>9.3822008153777716</v>
      </c>
      <c r="L42" s="125"/>
      <c r="M42" s="115">
        <v>3.9661661607343461</v>
      </c>
      <c r="N42" s="115">
        <v>7.1943352897917237</v>
      </c>
      <c r="O42" s="106">
        <v>11.69199429796879</v>
      </c>
    </row>
    <row r="43" spans="1:15">
      <c r="A43" t="s">
        <v>55</v>
      </c>
      <c r="B43" s="112">
        <v>2012</v>
      </c>
      <c r="C43" s="118"/>
      <c r="D43" s="107" t="s">
        <v>591</v>
      </c>
      <c r="E43" s="116"/>
      <c r="F43" s="109">
        <v>906243</v>
      </c>
      <c r="G43" s="109">
        <v>879219.2855</v>
      </c>
      <c r="H43" s="121"/>
      <c r="I43" s="117">
        <v>4.9638284614297703</v>
      </c>
      <c r="J43" s="110">
        <v>4.6940922555103128</v>
      </c>
      <c r="K43" s="110">
        <v>8.428535965950573</v>
      </c>
      <c r="L43" s="124"/>
      <c r="M43" s="117">
        <v>8.9346438897863294</v>
      </c>
      <c r="N43" s="117">
        <v>7.4850184506328361</v>
      </c>
      <c r="O43" s="111">
        <v>11.295363521930724</v>
      </c>
    </row>
    <row r="44" spans="1:15">
      <c r="A44" t="s">
        <v>55</v>
      </c>
      <c r="B44" s="112">
        <v>2012</v>
      </c>
      <c r="C44" s="118"/>
      <c r="D44" s="102" t="s">
        <v>592</v>
      </c>
      <c r="E44" s="114"/>
      <c r="F44" s="104">
        <v>910743</v>
      </c>
      <c r="G44" s="104">
        <v>879632.56099999975</v>
      </c>
      <c r="H44" s="123"/>
      <c r="I44" s="115">
        <v>-1.8254198390172434</v>
      </c>
      <c r="J44" s="105">
        <v>3.701943675698999</v>
      </c>
      <c r="K44" s="105">
        <v>7.0785580914009927</v>
      </c>
      <c r="L44" s="115"/>
      <c r="M44" s="115">
        <v>3.2761589417090704</v>
      </c>
      <c r="N44" s="115">
        <v>6.854317826249229</v>
      </c>
      <c r="O44" s="106">
        <v>10.450807237475516</v>
      </c>
    </row>
    <row r="45" spans="1:15">
      <c r="A45" t="s">
        <v>55</v>
      </c>
      <c r="B45" s="112">
        <v>2012</v>
      </c>
      <c r="C45" s="118"/>
      <c r="D45" s="107" t="s">
        <v>593</v>
      </c>
      <c r="E45" s="116"/>
      <c r="F45" s="109">
        <v>942864</v>
      </c>
      <c r="G45" s="109">
        <v>906462.98000000021</v>
      </c>
      <c r="H45" s="121"/>
      <c r="I45" s="117">
        <v>0.52690948714284502</v>
      </c>
      <c r="J45" s="110">
        <v>3.2785678424102116</v>
      </c>
      <c r="K45" s="110">
        <v>6.2750204921102863</v>
      </c>
      <c r="L45" s="117"/>
      <c r="M45" s="117">
        <v>-1.1006384471996142</v>
      </c>
      <c r="N45" s="117">
        <v>5.7496689475967173</v>
      </c>
      <c r="O45" s="111">
        <v>8.4560995928314497</v>
      </c>
    </row>
    <row r="46" spans="1:15">
      <c r="A46" t="s">
        <v>55</v>
      </c>
      <c r="B46" s="112">
        <v>2012</v>
      </c>
      <c r="C46" s="118"/>
      <c r="D46" s="102" t="s">
        <v>594</v>
      </c>
      <c r="E46" s="114"/>
      <c r="F46" s="104">
        <v>894974</v>
      </c>
      <c r="G46" s="104">
        <v>862746.65600000019</v>
      </c>
      <c r="H46" s="123"/>
      <c r="I46" s="115">
        <v>-4.4881214989077165</v>
      </c>
      <c r="J46" s="105">
        <v>2.365535182004507</v>
      </c>
      <c r="K46" s="105">
        <v>4.3349121101405501</v>
      </c>
      <c r="L46" s="115"/>
      <c r="M46" s="115">
        <v>-6.0239301123505129</v>
      </c>
      <c r="N46" s="115">
        <v>4.3120390791837195</v>
      </c>
      <c r="O46" s="106">
        <v>6.3517606367092299</v>
      </c>
    </row>
    <row r="47" spans="1:15">
      <c r="A47" t="s">
        <v>55</v>
      </c>
      <c r="B47" s="112">
        <v>2012</v>
      </c>
      <c r="C47" s="118"/>
      <c r="D47" s="116" t="s">
        <v>595</v>
      </c>
      <c r="E47" s="116"/>
      <c r="F47" s="109">
        <v>885860</v>
      </c>
      <c r="G47" s="109">
        <v>906790.64849999989</v>
      </c>
      <c r="H47" s="121"/>
      <c r="I47" s="117">
        <v>-6.6390544392978939</v>
      </c>
      <c r="J47" s="117">
        <v>1.4076464679416745</v>
      </c>
      <c r="K47" s="117">
        <v>2.6147495390493276</v>
      </c>
      <c r="L47" s="117"/>
      <c r="M47" s="117">
        <v>2.14954853875129</v>
      </c>
      <c r="N47" s="117">
        <v>4.0836752375931837</v>
      </c>
      <c r="O47" s="126">
        <v>5.5552948532701549</v>
      </c>
    </row>
    <row r="48" spans="1:15">
      <c r="A48" t="s">
        <v>55</v>
      </c>
      <c r="B48" s="112">
        <v>2012</v>
      </c>
      <c r="C48" s="118"/>
      <c r="D48" s="102" t="s">
        <v>596</v>
      </c>
      <c r="E48" s="114"/>
      <c r="F48" s="104">
        <v>931125</v>
      </c>
      <c r="G48" s="104">
        <v>915069.58950000012</v>
      </c>
      <c r="H48" s="123"/>
      <c r="I48" s="115">
        <v>3.7147392163960831</v>
      </c>
      <c r="J48" s="105">
        <v>1.6186229987611256</v>
      </c>
      <c r="K48" s="105">
        <v>2.109877483775179</v>
      </c>
      <c r="L48" s="115"/>
      <c r="M48" s="115">
        <v>3.3008154227320858</v>
      </c>
      <c r="N48" s="115">
        <v>4.0090431109243525</v>
      </c>
      <c r="O48" s="106">
        <v>4.9357737226513478</v>
      </c>
    </row>
    <row r="49" spans="1:15">
      <c r="A49" t="s">
        <v>55</v>
      </c>
      <c r="B49" s="112">
        <v>2012</v>
      </c>
      <c r="C49" s="118"/>
      <c r="D49" s="107" t="s">
        <v>597</v>
      </c>
      <c r="E49" s="116"/>
      <c r="F49" s="109">
        <v>948435</v>
      </c>
      <c r="G49" s="109">
        <v>831485.21549999993</v>
      </c>
      <c r="H49" s="121"/>
      <c r="I49" s="117">
        <v>-1.3171448370294883</v>
      </c>
      <c r="J49" s="110">
        <v>1.3568482611221953</v>
      </c>
      <c r="K49" s="110">
        <v>1.3568482611221953</v>
      </c>
      <c r="L49" s="117"/>
      <c r="M49" s="117">
        <v>-5.9250913121696556</v>
      </c>
      <c r="N49" s="117">
        <v>3.146182860241467</v>
      </c>
      <c r="O49" s="111">
        <v>3.146182860241467</v>
      </c>
    </row>
    <row r="50" spans="1:15">
      <c r="A50" t="s">
        <v>55</v>
      </c>
      <c r="B50" s="112">
        <v>2013</v>
      </c>
      <c r="C50" s="118"/>
      <c r="D50" s="102" t="s">
        <v>598</v>
      </c>
      <c r="E50" s="114"/>
      <c r="F50" s="104">
        <v>803846</v>
      </c>
      <c r="G50" s="104">
        <v>797141.56500000006</v>
      </c>
      <c r="H50" s="123"/>
      <c r="I50" s="115">
        <v>-7.4415584116507887</v>
      </c>
      <c r="J50" s="105">
        <v>-7.4415584116507887</v>
      </c>
      <c r="K50" s="105">
        <v>-0.2398122860250993</v>
      </c>
      <c r="L50" s="115"/>
      <c r="M50" s="115">
        <v>-3.1753515761715647</v>
      </c>
      <c r="N50" s="115">
        <v>-3.1753515761715647</v>
      </c>
      <c r="O50" s="106">
        <v>2.0232085815020184</v>
      </c>
    </row>
    <row r="51" spans="1:15">
      <c r="A51" t="s">
        <v>55</v>
      </c>
      <c r="B51" s="112">
        <v>2013</v>
      </c>
      <c r="C51" s="118"/>
      <c r="D51" s="107" t="s">
        <v>599</v>
      </c>
      <c r="E51" s="116"/>
      <c r="F51" s="109">
        <v>823731</v>
      </c>
      <c r="G51" s="109">
        <v>826921.12899999996</v>
      </c>
      <c r="H51" s="121"/>
      <c r="I51" s="117">
        <v>-4.8158787531430391</v>
      </c>
      <c r="J51" s="110">
        <v>-6.1310400592427925</v>
      </c>
      <c r="K51" s="110">
        <v>-1.6286920107463487</v>
      </c>
      <c r="L51" s="117"/>
      <c r="M51" s="117">
        <v>-2.3261965729301721</v>
      </c>
      <c r="N51" s="117">
        <v>-2.7448420006837324</v>
      </c>
      <c r="O51" s="111">
        <v>0.65241188389187244</v>
      </c>
    </row>
    <row r="52" spans="1:15">
      <c r="A52" t="s">
        <v>55</v>
      </c>
      <c r="B52" s="112">
        <v>2013</v>
      </c>
      <c r="C52" s="118"/>
      <c r="D52" s="102" t="s">
        <v>600</v>
      </c>
      <c r="E52" s="114"/>
      <c r="F52" s="104">
        <v>930060</v>
      </c>
      <c r="G52" s="104">
        <v>808108.26300000015</v>
      </c>
      <c r="H52" s="123"/>
      <c r="I52" s="115">
        <v>-6.8866402962615894</v>
      </c>
      <c r="J52" s="105">
        <v>-6.4072214990948879</v>
      </c>
      <c r="K52" s="105">
        <v>-2.1900587695250096</v>
      </c>
      <c r="L52" s="115"/>
      <c r="M52" s="115">
        <v>-14.976505432107203</v>
      </c>
      <c r="N52" s="115">
        <v>-7.1815059873934786</v>
      </c>
      <c r="O52" s="106">
        <v>-1.0594419305298999</v>
      </c>
    </row>
    <row r="53" spans="1:15">
      <c r="A53" t="s">
        <v>55</v>
      </c>
      <c r="B53" s="112">
        <v>2013</v>
      </c>
      <c r="C53" s="118"/>
      <c r="D53" s="107" t="s">
        <v>588</v>
      </c>
      <c r="E53" s="116"/>
      <c r="F53" s="109">
        <v>888046</v>
      </c>
      <c r="G53" s="109">
        <v>917850.46050000028</v>
      </c>
      <c r="H53" s="121"/>
      <c r="I53" s="117">
        <v>4.2138714621340796</v>
      </c>
      <c r="J53" s="110">
        <v>-3.882542922791842</v>
      </c>
      <c r="K53" s="110">
        <v>-1.8772915058861628</v>
      </c>
      <c r="L53" s="117"/>
      <c r="M53" s="117">
        <v>16.251000436818444</v>
      </c>
      <c r="N53" s="117">
        <v>-1.7558389209092127</v>
      </c>
      <c r="O53" s="111">
        <v>5.0026331757663911E-2</v>
      </c>
    </row>
    <row r="54" spans="1:15">
      <c r="A54" t="s">
        <v>55</v>
      </c>
      <c r="B54" s="112">
        <v>2013</v>
      </c>
      <c r="C54" s="118"/>
      <c r="D54" s="102" t="s">
        <v>590</v>
      </c>
      <c r="E54" s="114"/>
      <c r="F54" s="104">
        <v>929099</v>
      </c>
      <c r="G54" s="104">
        <v>901645.57550000004</v>
      </c>
      <c r="H54" s="123"/>
      <c r="I54" s="115">
        <v>1.0247098159676113</v>
      </c>
      <c r="J54" s="105">
        <v>-2.8806480214858823</v>
      </c>
      <c r="K54" s="105">
        <v>-1.6692414476584787</v>
      </c>
      <c r="L54" s="115"/>
      <c r="M54" s="115">
        <v>-0.33657795488147713</v>
      </c>
      <c r="N54" s="115">
        <v>-1.4582454707729511</v>
      </c>
      <c r="O54" s="106">
        <v>-0.30901303846353301</v>
      </c>
    </row>
    <row r="55" spans="1:15">
      <c r="A55" t="s">
        <v>55</v>
      </c>
      <c r="B55" s="112">
        <v>2013</v>
      </c>
      <c r="C55" s="118"/>
      <c r="D55" s="107" t="s">
        <v>591</v>
      </c>
      <c r="E55" s="116"/>
      <c r="F55" s="109">
        <v>879965</v>
      </c>
      <c r="G55" s="109">
        <v>864810.72199999983</v>
      </c>
      <c r="H55" s="121"/>
      <c r="I55" s="117">
        <v>-2.8996637767133109</v>
      </c>
      <c r="J55" s="110">
        <v>-2.8838329373649145</v>
      </c>
      <c r="K55" s="110">
        <v>-2.290045028929427</v>
      </c>
      <c r="L55" s="117"/>
      <c r="M55" s="117">
        <v>-1.638790656395372</v>
      </c>
      <c r="N55" s="117">
        <v>-1.4888085848519097</v>
      </c>
      <c r="O55" s="111">
        <v>-1.1279707291437688</v>
      </c>
    </row>
    <row r="56" spans="1:15">
      <c r="A56" t="s">
        <v>55</v>
      </c>
      <c r="B56" s="112">
        <v>2013</v>
      </c>
      <c r="C56" s="118"/>
      <c r="D56" s="102" t="s">
        <v>592</v>
      </c>
      <c r="E56" s="114"/>
      <c r="F56" s="104">
        <v>966824</v>
      </c>
      <c r="G56" s="104">
        <v>980476.58700000017</v>
      </c>
      <c r="H56" s="123"/>
      <c r="I56" s="115">
        <v>6.1577195762141343</v>
      </c>
      <c r="J56" s="105">
        <v>-1.5812158073174913</v>
      </c>
      <c r="K56" s="105">
        <v>-1.6300499000245736</v>
      </c>
      <c r="L56" s="115"/>
      <c r="M56" s="115">
        <v>11.464335277147669</v>
      </c>
      <c r="N56" s="115">
        <v>0.38723110336138689</v>
      </c>
      <c r="O56" s="106">
        <v>-0.43462653152117525</v>
      </c>
    </row>
    <row r="57" spans="1:15">
      <c r="A57" t="s">
        <v>55</v>
      </c>
      <c r="B57" s="112">
        <v>2013</v>
      </c>
      <c r="C57" s="118"/>
      <c r="D57" s="107" t="s">
        <v>593</v>
      </c>
      <c r="E57" s="116"/>
      <c r="F57" s="109">
        <v>941125</v>
      </c>
      <c r="G57" s="109">
        <v>870423.13750000019</v>
      </c>
      <c r="H57" s="121"/>
      <c r="I57" s="117">
        <v>-0.18443805257174972</v>
      </c>
      <c r="J57" s="110">
        <v>-1.3999244534160766</v>
      </c>
      <c r="K57" s="110">
        <v>-1.6900040829692102</v>
      </c>
      <c r="L57" s="117"/>
      <c r="M57" s="117">
        <v>-3.9758758267215768</v>
      </c>
      <c r="N57" s="117">
        <v>-0.1793952736707638</v>
      </c>
      <c r="O57" s="111">
        <v>-0.68090729273637862</v>
      </c>
    </row>
    <row r="58" spans="1:15">
      <c r="A58" t="s">
        <v>55</v>
      </c>
      <c r="B58" s="112">
        <v>2013</v>
      </c>
      <c r="C58" s="118"/>
      <c r="D58" s="102" t="s">
        <v>594</v>
      </c>
      <c r="E58" s="114"/>
      <c r="F58" s="104">
        <v>1002957</v>
      </c>
      <c r="G58" s="104">
        <v>981342.53900000034</v>
      </c>
      <c r="H58" s="123"/>
      <c r="I58" s="115">
        <v>12.065490170664162</v>
      </c>
      <c r="J58" s="105">
        <v>7.7052555308810611E-2</v>
      </c>
      <c r="K58" s="105">
        <v>-0.32840981518340584</v>
      </c>
      <c r="L58" s="115"/>
      <c r="M58" s="115">
        <v>13.746316160743262</v>
      </c>
      <c r="N58" s="115">
        <v>1.3525317602851317</v>
      </c>
      <c r="O58" s="106">
        <v>0.97167677741572334</v>
      </c>
    </row>
    <row r="59" spans="1:15">
      <c r="A59" t="s">
        <v>55</v>
      </c>
      <c r="B59" s="112">
        <v>2013</v>
      </c>
      <c r="C59" s="118"/>
      <c r="D59" s="107" t="s">
        <v>595</v>
      </c>
      <c r="E59" s="116"/>
      <c r="F59" s="109">
        <v>1048557</v>
      </c>
      <c r="G59" s="109">
        <v>1032773.2879999999</v>
      </c>
      <c r="H59" s="121"/>
      <c r="I59" s="117">
        <v>18.365994626690437</v>
      </c>
      <c r="J59" s="110">
        <v>1.8682120269852618</v>
      </c>
      <c r="K59" s="110">
        <v>1.739484111244451</v>
      </c>
      <c r="L59" s="117"/>
      <c r="M59" s="117">
        <v>13.893244235414073</v>
      </c>
      <c r="N59" s="117">
        <v>2.6522498608774185</v>
      </c>
      <c r="O59" s="111">
        <v>1.986167394139045</v>
      </c>
    </row>
    <row r="60" spans="1:15">
      <c r="A60" t="s">
        <v>55</v>
      </c>
      <c r="B60" s="112">
        <v>2013</v>
      </c>
      <c r="C60" s="118"/>
      <c r="D60" s="102" t="s">
        <v>596</v>
      </c>
      <c r="E60" s="114"/>
      <c r="F60" s="104">
        <v>1020409</v>
      </c>
      <c r="G60" s="104">
        <v>978662.32400000049</v>
      </c>
      <c r="H60" s="123"/>
      <c r="I60" s="115">
        <v>9.5888307155322963</v>
      </c>
      <c r="J60" s="105">
        <v>2.5888022584610155</v>
      </c>
      <c r="K60" s="105">
        <v>2.245579292055865</v>
      </c>
      <c r="L60" s="115"/>
      <c r="M60" s="115">
        <v>6.9494970906800404</v>
      </c>
      <c r="N60" s="115">
        <v>3.0591284206249014</v>
      </c>
      <c r="O60" s="106">
        <v>2.3063344463460851</v>
      </c>
    </row>
    <row r="61" spans="1:15">
      <c r="A61" t="s">
        <v>55</v>
      </c>
      <c r="B61" s="112">
        <v>2013</v>
      </c>
      <c r="C61" s="118"/>
      <c r="D61" s="107" t="s">
        <v>597</v>
      </c>
      <c r="E61" s="116"/>
      <c r="F61" s="109">
        <v>1017314</v>
      </c>
      <c r="G61" s="109">
        <v>905880.76750000007</v>
      </c>
      <c r="H61" s="121"/>
      <c r="I61" s="117">
        <v>7.2623848761380572</v>
      </c>
      <c r="J61" s="110">
        <v>2.9945392065345686</v>
      </c>
      <c r="K61" s="110">
        <v>2.9945392065345686</v>
      </c>
      <c r="L61" s="117"/>
      <c r="M61" s="117">
        <v>8.9473090577158985</v>
      </c>
      <c r="N61" s="117">
        <v>3.5255860492789566</v>
      </c>
      <c r="O61" s="111">
        <v>3.5255860492789566</v>
      </c>
    </row>
    <row r="62" spans="1:15">
      <c r="A62" t="s">
        <v>55</v>
      </c>
      <c r="B62" s="112">
        <v>2014</v>
      </c>
      <c r="C62" s="118"/>
      <c r="D62" s="102" t="s">
        <v>598</v>
      </c>
      <c r="E62" s="114"/>
      <c r="F62" s="104">
        <v>821445.8280000001</v>
      </c>
      <c r="G62" s="104">
        <v>810402.54249999998</v>
      </c>
      <c r="H62" s="123"/>
      <c r="I62" s="115">
        <v>2.1894527061153752</v>
      </c>
      <c r="J62" s="105">
        <v>2.1894527061153752</v>
      </c>
      <c r="K62" s="105">
        <v>3.7695107934893741</v>
      </c>
      <c r="L62" s="115"/>
      <c r="M62" s="115">
        <v>1.663566182250193</v>
      </c>
      <c r="N62" s="115">
        <v>1.663566182250193</v>
      </c>
      <c r="O62" s="106">
        <v>3.9107376790716586</v>
      </c>
    </row>
    <row r="63" spans="1:15">
      <c r="A63" t="s">
        <v>55</v>
      </c>
      <c r="B63" s="112">
        <v>2014</v>
      </c>
      <c r="C63" s="118"/>
      <c r="D63" s="107" t="s">
        <v>599</v>
      </c>
      <c r="E63" s="116"/>
      <c r="F63" s="109">
        <v>908543.11699999997</v>
      </c>
      <c r="G63" s="109">
        <v>928329.43100000022</v>
      </c>
      <c r="H63" s="121"/>
      <c r="I63" s="117">
        <v>10.296093870450434</v>
      </c>
      <c r="J63" s="110">
        <v>6.292294926753101</v>
      </c>
      <c r="K63" s="110">
        <v>4.9532272136910933</v>
      </c>
      <c r="L63" s="117"/>
      <c r="M63" s="117">
        <v>12.26335843209543</v>
      </c>
      <c r="N63" s="117">
        <v>7.0606436514820956</v>
      </c>
      <c r="O63" s="111">
        <v>5.0769635349167572</v>
      </c>
    </row>
    <row r="64" spans="1:15">
      <c r="A64" t="s">
        <v>55</v>
      </c>
      <c r="B64" s="112">
        <v>2014</v>
      </c>
      <c r="C64" s="118"/>
      <c r="D64" s="102" t="s">
        <v>600</v>
      </c>
      <c r="E64" s="114"/>
      <c r="F64" s="104">
        <v>1089339.5409999997</v>
      </c>
      <c r="G64" s="104">
        <v>1041472.45</v>
      </c>
      <c r="H64" s="123"/>
      <c r="I64" s="115">
        <v>17.125727479947514</v>
      </c>
      <c r="J64" s="105">
        <v>10.231768073420895</v>
      </c>
      <c r="K64" s="105">
        <v>7.1065323905964135</v>
      </c>
      <c r="L64" s="115"/>
      <c r="M64" s="115">
        <v>28.877837003381785</v>
      </c>
      <c r="N64" s="115">
        <v>14.30958072656567</v>
      </c>
      <c r="O64" s="106">
        <v>8.7919678310700959</v>
      </c>
    </row>
    <row r="65" spans="1:15">
      <c r="A65" t="s">
        <v>55</v>
      </c>
      <c r="B65" s="112">
        <v>2014</v>
      </c>
      <c r="C65" s="118"/>
      <c r="D65" s="107" t="s">
        <v>588</v>
      </c>
      <c r="E65" s="116"/>
      <c r="F65" s="109">
        <v>1028889.655712</v>
      </c>
      <c r="G65" s="109">
        <v>956972.43249999988</v>
      </c>
      <c r="H65" s="121"/>
      <c r="I65" s="117">
        <v>15.859950465629026</v>
      </c>
      <c r="J65" s="110">
        <v>11.682303384031556</v>
      </c>
      <c r="K65" s="110">
        <v>8.0557964378066345</v>
      </c>
      <c r="L65" s="117"/>
      <c r="M65" s="117">
        <v>4.2623470471091451</v>
      </c>
      <c r="N65" s="117">
        <v>11.55680487526314</v>
      </c>
      <c r="O65" s="111">
        <v>7.8292791115165414</v>
      </c>
    </row>
    <row r="66" spans="1:15">
      <c r="A66" t="s">
        <v>55</v>
      </c>
      <c r="B66" s="112">
        <v>2014</v>
      </c>
      <c r="C66" s="118"/>
      <c r="D66" s="102" t="s">
        <v>590</v>
      </c>
      <c r="E66" s="114"/>
      <c r="F66" s="104">
        <v>1074107.7874008578</v>
      </c>
      <c r="G66" s="104">
        <v>1034413.3280900004</v>
      </c>
      <c r="H66" s="123"/>
      <c r="I66" s="115">
        <v>15.607463510439445</v>
      </c>
      <c r="J66" s="105">
        <v>12.515913458381661</v>
      </c>
      <c r="K66" s="105">
        <v>9.3047569233539349</v>
      </c>
      <c r="L66" s="115"/>
      <c r="M66" s="115">
        <v>14.72504897685269</v>
      </c>
      <c r="N66" s="115">
        <v>12.22869034536356</v>
      </c>
      <c r="O66" s="106">
        <v>9.1333160924062895</v>
      </c>
    </row>
    <row r="67" spans="1:15">
      <c r="A67" t="s">
        <v>55</v>
      </c>
      <c r="B67" s="112">
        <v>2014</v>
      </c>
      <c r="C67" s="118"/>
      <c r="D67" s="107" t="s">
        <v>591</v>
      </c>
      <c r="E67" s="116"/>
      <c r="F67" s="109">
        <v>986800.08589999983</v>
      </c>
      <c r="G67" s="109">
        <v>918642.49503337545</v>
      </c>
      <c r="H67" s="121"/>
      <c r="I67" s="117">
        <v>12.140833544515957</v>
      </c>
      <c r="J67" s="110">
        <v>12.453102214299918</v>
      </c>
      <c r="K67" s="110">
        <v>10.563567974780909</v>
      </c>
      <c r="L67" s="117"/>
      <c r="M67" s="117">
        <v>6.2246884392092028</v>
      </c>
      <c r="N67" s="117">
        <v>11.213866180659693</v>
      </c>
      <c r="O67" s="111">
        <v>9.8009286295411329</v>
      </c>
    </row>
    <row r="68" spans="1:15">
      <c r="A68" t="s">
        <v>55</v>
      </c>
      <c r="B68" s="112">
        <v>2014</v>
      </c>
      <c r="C68" s="118"/>
      <c r="D68" s="102" t="s">
        <v>592</v>
      </c>
      <c r="E68" s="114"/>
      <c r="F68" s="104">
        <v>1081296.09671</v>
      </c>
      <c r="G68" s="104">
        <v>1059514.6639999999</v>
      </c>
      <c r="H68" s="123"/>
      <c r="I68" s="115">
        <v>11.840013974622067</v>
      </c>
      <c r="J68" s="105">
        <v>12.357829103338332</v>
      </c>
      <c r="K68" s="105">
        <v>11.048258699725039</v>
      </c>
      <c r="L68" s="115"/>
      <c r="M68" s="115">
        <v>8.0611896345057232</v>
      </c>
      <c r="N68" s="115">
        <v>10.706871148915084</v>
      </c>
      <c r="O68" s="106">
        <v>9.499682641386741</v>
      </c>
    </row>
    <row r="69" spans="1:15">
      <c r="A69" t="s">
        <v>55</v>
      </c>
      <c r="B69" s="112">
        <v>2014</v>
      </c>
      <c r="C69" s="118"/>
      <c r="D69" s="107" t="s">
        <v>593</v>
      </c>
      <c r="E69" s="116"/>
      <c r="F69" s="109">
        <v>1068933.5554362899</v>
      </c>
      <c r="G69" s="109">
        <v>1020250.3045000004</v>
      </c>
      <c r="H69" s="121"/>
      <c r="I69" s="117">
        <v>13.580401693323395</v>
      </c>
      <c r="J69" s="110">
        <v>12.518466051876942</v>
      </c>
      <c r="K69" s="110">
        <v>12.246989234674643</v>
      </c>
      <c r="L69" s="117"/>
      <c r="M69" s="117">
        <v>17.213141579660757</v>
      </c>
      <c r="N69" s="117">
        <v>11.519688937376898</v>
      </c>
      <c r="O69" s="111">
        <v>11.305293649051791</v>
      </c>
    </row>
    <row r="70" spans="1:15">
      <c r="A70" t="s">
        <v>55</v>
      </c>
      <c r="B70" s="112">
        <v>2014</v>
      </c>
      <c r="C70" s="118"/>
      <c r="D70" s="102" t="s">
        <v>594</v>
      </c>
      <c r="E70" s="114"/>
      <c r="F70" s="104">
        <v>1071902.6915605001</v>
      </c>
      <c r="G70" s="104">
        <v>1085842.5399999998</v>
      </c>
      <c r="H70" s="123"/>
      <c r="I70" s="115">
        <v>6.8742420223897938</v>
      </c>
      <c r="J70" s="105">
        <v>11.82520685999819</v>
      </c>
      <c r="K70" s="105">
        <v>11.768884525056649</v>
      </c>
      <c r="L70" s="115"/>
      <c r="M70" s="115">
        <v>10.64867738297437</v>
      </c>
      <c r="N70" s="115">
        <v>11.412154555412556</v>
      </c>
      <c r="O70" s="106">
        <v>11.045877264525217</v>
      </c>
    </row>
    <row r="71" spans="1:15">
      <c r="A71" t="s">
        <v>55</v>
      </c>
      <c r="B71" s="112">
        <v>2014</v>
      </c>
      <c r="C71" s="118"/>
      <c r="D71" s="107" t="s">
        <v>595</v>
      </c>
      <c r="E71" s="116"/>
      <c r="F71" s="109">
        <v>1074163.9422204799</v>
      </c>
      <c r="G71" s="109">
        <v>1089667.1430000002</v>
      </c>
      <c r="H71" s="121"/>
      <c r="I71" s="117">
        <v>2.442112562357579</v>
      </c>
      <c r="J71" s="110">
        <v>10.757431195296491</v>
      </c>
      <c r="K71" s="110">
        <v>10.360547414811407</v>
      </c>
      <c r="L71" s="117"/>
      <c r="M71" s="117">
        <v>5.5088426144499891</v>
      </c>
      <c r="N71" s="117">
        <v>10.733338382817067</v>
      </c>
      <c r="O71" s="111">
        <v>10.272160818806753</v>
      </c>
    </row>
    <row r="72" spans="1:15">
      <c r="A72" t="s">
        <v>55</v>
      </c>
      <c r="B72" s="112">
        <v>2014</v>
      </c>
      <c r="C72" s="118"/>
      <c r="D72" s="102" t="s">
        <v>596</v>
      </c>
      <c r="E72" s="114"/>
      <c r="F72" s="104">
        <v>1069628.5453576799</v>
      </c>
      <c r="G72" s="104">
        <v>1040586.7650000004</v>
      </c>
      <c r="H72" s="123"/>
      <c r="I72" s="115">
        <v>4.8235114897732245</v>
      </c>
      <c r="J72" s="105">
        <v>10.165809262638973</v>
      </c>
      <c r="K72" s="105">
        <v>9.9195697910231502</v>
      </c>
      <c r="L72" s="115"/>
      <c r="M72" s="115">
        <v>6.3274573345075424</v>
      </c>
      <c r="N72" s="115">
        <v>10.300426492352344</v>
      </c>
      <c r="O72" s="106">
        <v>10.196170136719189</v>
      </c>
    </row>
    <row r="73" spans="1:15">
      <c r="A73" t="s">
        <v>55</v>
      </c>
      <c r="B73" s="112">
        <v>2014</v>
      </c>
      <c r="C73" s="118"/>
      <c r="D73" s="107" t="s">
        <v>597</v>
      </c>
      <c r="E73" s="116"/>
      <c r="F73" s="109">
        <v>1127320.3263702581</v>
      </c>
      <c r="G73" s="109">
        <v>984139.63099999994</v>
      </c>
      <c r="H73" s="121"/>
      <c r="I73" s="117">
        <v>10.813409268943317</v>
      </c>
      <c r="J73" s="110">
        <v>10.224360318072144</v>
      </c>
      <c r="K73" s="110">
        <v>10.224360318072144</v>
      </c>
      <c r="L73" s="117"/>
      <c r="M73" s="117">
        <v>8.638980570917127</v>
      </c>
      <c r="N73" s="117">
        <v>10.16191490847001</v>
      </c>
      <c r="O73" s="111">
        <v>10.16191490847001</v>
      </c>
    </row>
    <row r="74" spans="1:15">
      <c r="A74" t="s">
        <v>55</v>
      </c>
      <c r="B74" s="112">
        <v>2015</v>
      </c>
      <c r="C74" s="118"/>
      <c r="D74" s="102" t="s">
        <v>598</v>
      </c>
      <c r="E74" s="114"/>
      <c r="F74" s="104">
        <v>899518.54152924824</v>
      </c>
      <c r="G74" s="104">
        <v>927848.33150000009</v>
      </c>
      <c r="H74" s="123"/>
      <c r="I74" s="115">
        <v>9.5043045893037288</v>
      </c>
      <c r="J74" s="105">
        <v>9.5043045893037288</v>
      </c>
      <c r="K74" s="105">
        <v>10.744997833350439</v>
      </c>
      <c r="L74" s="115"/>
      <c r="M74" s="115">
        <v>14.492277953335787</v>
      </c>
      <c r="N74" s="115">
        <v>14.492277953335787</v>
      </c>
      <c r="O74" s="106">
        <v>11.107171197355981</v>
      </c>
    </row>
    <row r="75" spans="1:15">
      <c r="A75" t="s">
        <v>55</v>
      </c>
      <c r="B75" s="112">
        <v>2015</v>
      </c>
      <c r="C75" s="118"/>
      <c r="D75" s="107" t="s">
        <v>599</v>
      </c>
      <c r="E75" s="116"/>
      <c r="F75" s="109">
        <v>1034033.3822100068</v>
      </c>
      <c r="G75" s="109">
        <v>986176.44500000007</v>
      </c>
      <c r="H75" s="121"/>
      <c r="I75" s="117">
        <v>13.812252039768282</v>
      </c>
      <c r="J75" s="110">
        <v>11.766721361289086</v>
      </c>
      <c r="K75" s="110">
        <v>11.022997913749947</v>
      </c>
      <c r="L75" s="117"/>
      <c r="M75" s="117">
        <v>6.231302387740385</v>
      </c>
      <c r="N75" s="117">
        <v>10.081646031224835</v>
      </c>
      <c r="O75" s="111">
        <v>10.607887421600793</v>
      </c>
    </row>
    <row r="76" spans="1:15">
      <c r="A76" t="s">
        <v>55</v>
      </c>
      <c r="B76" s="112">
        <v>2015</v>
      </c>
      <c r="C76" s="118"/>
      <c r="D76" s="102" t="s">
        <v>600</v>
      </c>
      <c r="E76" s="114"/>
      <c r="F76" s="104">
        <v>1098525.9529999997</v>
      </c>
      <c r="G76" s="104">
        <v>1079949.0679999995</v>
      </c>
      <c r="H76" s="123"/>
      <c r="I76" s="115">
        <v>0.8433010695239318</v>
      </c>
      <c r="J76" s="105">
        <v>7.5461015555906101</v>
      </c>
      <c r="K76" s="105">
        <v>9.5668924998091285</v>
      </c>
      <c r="L76" s="115"/>
      <c r="M76" s="115">
        <v>3.69444414972277</v>
      </c>
      <c r="N76" s="115">
        <v>7.6889821191955576</v>
      </c>
      <c r="O76" s="106">
        <v>8.6492534673210884</v>
      </c>
    </row>
    <row r="77" spans="1:15">
      <c r="A77" t="s">
        <v>55</v>
      </c>
      <c r="B77" s="112">
        <v>2015</v>
      </c>
      <c r="C77" s="118"/>
      <c r="D77" s="107" t="s">
        <v>588</v>
      </c>
      <c r="E77" s="116"/>
      <c r="F77" s="109">
        <v>1056733.9013149492</v>
      </c>
      <c r="G77" s="109">
        <v>999411.62249999982</v>
      </c>
      <c r="H77" s="121"/>
      <c r="I77" s="117">
        <v>2.7062421561309975</v>
      </c>
      <c r="J77" s="110">
        <v>6.2520789488084603</v>
      </c>
      <c r="K77" s="110">
        <v>8.4816969361337584</v>
      </c>
      <c r="L77" s="117"/>
      <c r="M77" s="117">
        <v>4.4347348532424888</v>
      </c>
      <c r="N77" s="117">
        <v>6.8556726339739242</v>
      </c>
      <c r="O77" s="111">
        <v>8.6486621637967147</v>
      </c>
    </row>
    <row r="78" spans="1:15">
      <c r="A78" t="s">
        <v>55</v>
      </c>
      <c r="B78" s="112">
        <v>2015</v>
      </c>
      <c r="C78" s="118"/>
      <c r="D78" s="102" t="s">
        <v>590</v>
      </c>
      <c r="E78" s="114"/>
      <c r="F78" s="104">
        <v>1128654.1194462343</v>
      </c>
      <c r="G78" s="104">
        <v>1061957.2385</v>
      </c>
      <c r="H78" s="123"/>
      <c r="I78" s="115">
        <v>5.078292205419018</v>
      </c>
      <c r="J78" s="105">
        <v>5.9959452632339918</v>
      </c>
      <c r="K78" s="105">
        <v>7.6107967949584889</v>
      </c>
      <c r="L78" s="115"/>
      <c r="M78" s="115">
        <v>2.662756720358388</v>
      </c>
      <c r="N78" s="115">
        <v>5.9467077109035955</v>
      </c>
      <c r="O78" s="106">
        <v>7.6236587281108541</v>
      </c>
    </row>
    <row r="79" spans="1:15">
      <c r="A79" t="s">
        <v>55</v>
      </c>
      <c r="B79" s="112">
        <v>2015</v>
      </c>
      <c r="C79" s="118"/>
      <c r="D79" s="107" t="s">
        <v>591</v>
      </c>
      <c r="E79" s="116"/>
      <c r="F79" s="109">
        <v>1023576.5567957654</v>
      </c>
      <c r="G79" s="109">
        <v>1012089.6115000001</v>
      </c>
      <c r="H79" s="121"/>
      <c r="I79" s="117">
        <v>3.7268410715858522</v>
      </c>
      <c r="J79" s="110">
        <v>5.6170140633330874</v>
      </c>
      <c r="K79" s="110">
        <v>6.9540895274250261</v>
      </c>
      <c r="L79" s="117"/>
      <c r="M79" s="117">
        <v>10.172305001330216</v>
      </c>
      <c r="N79" s="117">
        <v>6.628896552165827</v>
      </c>
      <c r="O79" s="111">
        <v>7.9340786629676927</v>
      </c>
    </row>
    <row r="80" spans="1:15">
      <c r="A80" t="s">
        <v>55</v>
      </c>
      <c r="B80" s="112">
        <v>2015</v>
      </c>
      <c r="C80" s="118"/>
      <c r="D80" s="102" t="s">
        <v>592</v>
      </c>
      <c r="E80" s="114"/>
      <c r="F80" s="104">
        <v>1108864.3792492715</v>
      </c>
      <c r="G80" s="104">
        <v>1152372.0020000001</v>
      </c>
      <c r="H80" s="123"/>
      <c r="I80" s="115">
        <v>2.5495590544673234</v>
      </c>
      <c r="J80" s="105">
        <v>5.142532397575323</v>
      </c>
      <c r="K80" s="105">
        <v>6.1649204900462422</v>
      </c>
      <c r="L80" s="125"/>
      <c r="M80" s="115">
        <v>8.7641390114823707</v>
      </c>
      <c r="N80" s="115">
        <v>6.9640677195942402</v>
      </c>
      <c r="O80" s="127">
        <v>7.9996089137907518</v>
      </c>
    </row>
    <row r="81" spans="1:15">
      <c r="A81" t="s">
        <v>55</v>
      </c>
      <c r="B81" s="112">
        <v>2015</v>
      </c>
      <c r="C81" s="118"/>
      <c r="D81" s="107" t="s">
        <v>593</v>
      </c>
      <c r="E81" s="128"/>
      <c r="F81" s="109">
        <v>1139186.2269362439</v>
      </c>
      <c r="G81" s="109">
        <v>1108117.5230000005</v>
      </c>
      <c r="H81" s="124"/>
      <c r="I81" s="117">
        <v>6.5722206158342686</v>
      </c>
      <c r="J81" s="117">
        <v>5.3321557090934277</v>
      </c>
      <c r="K81" s="117">
        <v>5.6262969510798797</v>
      </c>
      <c r="L81" s="117"/>
      <c r="M81" s="117">
        <v>8.6123197525593156</v>
      </c>
      <c r="N81" s="117">
        <v>7.180493736021603</v>
      </c>
      <c r="O81" s="126">
        <v>7.3658981220849284</v>
      </c>
    </row>
    <row r="82" spans="1:15">
      <c r="A82" t="s">
        <v>55</v>
      </c>
      <c r="B82" s="112">
        <v>2015</v>
      </c>
      <c r="C82" s="118"/>
      <c r="D82" s="102" t="s">
        <v>594</v>
      </c>
      <c r="E82" s="119"/>
      <c r="F82" s="104">
        <v>1125937.9141345799</v>
      </c>
      <c r="G82" s="104">
        <v>1142760.7019999996</v>
      </c>
      <c r="H82" s="125"/>
      <c r="I82" s="115">
        <v>5.0410567115391984</v>
      </c>
      <c r="J82" s="115">
        <v>5.2979840991431928</v>
      </c>
      <c r="K82" s="115">
        <v>5.4725052642694294</v>
      </c>
      <c r="L82" s="125"/>
      <c r="M82" s="115">
        <v>5.241843076068804</v>
      </c>
      <c r="N82" s="115">
        <v>6.9427896546270631</v>
      </c>
      <c r="O82" s="127">
        <v>6.8963621714155749</v>
      </c>
    </row>
    <row r="83" spans="1:15">
      <c r="A83" t="s">
        <v>55</v>
      </c>
      <c r="B83" s="112">
        <v>2015</v>
      </c>
      <c r="C83" s="118"/>
      <c r="D83" s="107" t="s">
        <v>595</v>
      </c>
      <c r="E83" s="128"/>
      <c r="F83" s="109">
        <v>1176890.0433873765</v>
      </c>
      <c r="G83" s="109">
        <v>1161600.8485000003</v>
      </c>
      <c r="H83" s="124"/>
      <c r="I83" s="117">
        <v>9.5633540774552728</v>
      </c>
      <c r="J83" s="117">
        <v>5.7469323636859144</v>
      </c>
      <c r="K83" s="117">
        <v>6.0909559632051895</v>
      </c>
      <c r="L83" s="124"/>
      <c r="M83" s="117">
        <v>6.6014384265966584</v>
      </c>
      <c r="N83" s="117">
        <v>6.9053899318133176</v>
      </c>
      <c r="O83" s="126">
        <v>6.9903283322455252</v>
      </c>
    </row>
    <row r="84" spans="1:15">
      <c r="A84" t="s">
        <v>55</v>
      </c>
      <c r="B84" s="112">
        <v>2015</v>
      </c>
      <c r="C84" s="118"/>
      <c r="D84" s="102" t="s">
        <v>596</v>
      </c>
      <c r="E84" s="119"/>
      <c r="F84" s="104">
        <v>1045135.6737836866</v>
      </c>
      <c r="G84" s="104">
        <v>1067607.3384999998</v>
      </c>
      <c r="H84" s="125"/>
      <c r="I84" s="115">
        <v>-2.2898483478489311</v>
      </c>
      <c r="J84" s="105">
        <v>4.9845083020099139</v>
      </c>
      <c r="K84" s="105">
        <v>5.4669071432760887</v>
      </c>
      <c r="L84" s="125"/>
      <c r="M84" s="115">
        <v>2.5966670352567149</v>
      </c>
      <c r="N84" s="115">
        <v>6.4972740007841736</v>
      </c>
      <c r="O84" s="127">
        <v>6.6604202245058559</v>
      </c>
    </row>
    <row r="85" spans="1:15">
      <c r="A85" t="s">
        <v>55</v>
      </c>
      <c r="B85" s="112">
        <v>2015</v>
      </c>
      <c r="C85" s="118"/>
      <c r="D85" s="107" t="s">
        <v>597</v>
      </c>
      <c r="E85" s="128"/>
      <c r="F85" s="109">
        <v>1209660.2629999998</v>
      </c>
      <c r="G85" s="109">
        <v>1106888.899</v>
      </c>
      <c r="H85" s="124"/>
      <c r="I85" s="117">
        <v>7.3040408039886557</v>
      </c>
      <c r="J85" s="110">
        <v>5.1953434802796608</v>
      </c>
      <c r="K85" s="110">
        <v>5.1953434802796608</v>
      </c>
      <c r="L85" s="124"/>
      <c r="M85" s="117">
        <v>12.472749204833121</v>
      </c>
      <c r="N85" s="117">
        <v>6.9885511217381975</v>
      </c>
      <c r="O85" s="126">
        <v>6.9885511217381975</v>
      </c>
    </row>
    <row r="86" spans="1:15">
      <c r="A86" t="s">
        <v>55</v>
      </c>
      <c r="B86" s="112">
        <v>2016</v>
      </c>
      <c r="C86" s="118"/>
      <c r="D86" s="102" t="s">
        <v>598</v>
      </c>
      <c r="E86" s="119"/>
      <c r="F86" s="104">
        <v>968000.71539720567</v>
      </c>
      <c r="G86" s="104">
        <v>939138.76699999999</v>
      </c>
      <c r="H86" s="125"/>
      <c r="I86" s="115">
        <v>7.6132031421534379</v>
      </c>
      <c r="J86" s="105">
        <v>7.6132031421534379</v>
      </c>
      <c r="K86" s="105">
        <v>5.0859989295733783</v>
      </c>
      <c r="L86" s="125"/>
      <c r="M86" s="115">
        <v>1.2168406318893972</v>
      </c>
      <c r="N86" s="115">
        <v>1.2168406318893972</v>
      </c>
      <c r="O86" s="127">
        <v>6.042438078645219</v>
      </c>
    </row>
    <row r="87" spans="1:15">
      <c r="A87" t="s">
        <v>55</v>
      </c>
      <c r="B87" s="112">
        <v>2016</v>
      </c>
      <c r="C87" s="118"/>
      <c r="D87" s="107" t="s">
        <v>599</v>
      </c>
      <c r="E87" s="128"/>
      <c r="F87" s="109">
        <v>1076538.1327059092</v>
      </c>
      <c r="G87" s="109">
        <v>1045943.8569999998</v>
      </c>
      <c r="H87" s="124"/>
      <c r="I87" s="117">
        <v>4.1105781715729819</v>
      </c>
      <c r="J87" s="110">
        <v>5.7400539908555714</v>
      </c>
      <c r="K87" s="110">
        <v>4.3770633823460088</v>
      </c>
      <c r="L87" s="124"/>
      <c r="M87" s="117">
        <v>6.0605191193752006</v>
      </c>
      <c r="N87" s="117">
        <v>3.7124831596974559</v>
      </c>
      <c r="O87" s="126">
        <v>6.0294705716585639</v>
      </c>
    </row>
    <row r="88" spans="1:15">
      <c r="A88" t="s">
        <v>55</v>
      </c>
      <c r="B88" s="112">
        <v>2016</v>
      </c>
      <c r="C88" s="118"/>
      <c r="D88" s="102" t="s">
        <v>600</v>
      </c>
      <c r="E88" s="119"/>
      <c r="F88" s="104">
        <v>1025163.2700000001</v>
      </c>
      <c r="G88" s="104">
        <v>1007468.491</v>
      </c>
      <c r="H88" s="125"/>
      <c r="I88" s="115">
        <v>-6.6782840040921343</v>
      </c>
      <c r="J88" s="105">
        <v>1.2408731864209841</v>
      </c>
      <c r="K88" s="105">
        <v>3.7195096977905138</v>
      </c>
      <c r="L88" s="125"/>
      <c r="M88" s="115">
        <v>-6.7114810455116185</v>
      </c>
      <c r="N88" s="115">
        <v>-4.7519770508785086E-2</v>
      </c>
      <c r="O88" s="127">
        <v>5.0997504297085356</v>
      </c>
    </row>
    <row r="89" spans="1:15">
      <c r="A89" t="s">
        <v>55</v>
      </c>
      <c r="B89" s="112">
        <v>2016</v>
      </c>
      <c r="C89" s="118"/>
      <c r="D89" s="107" t="s">
        <v>588</v>
      </c>
      <c r="E89" s="128"/>
      <c r="F89" s="109">
        <v>1108543.3700000001</v>
      </c>
      <c r="G89" s="109">
        <v>1058103.0590000001</v>
      </c>
      <c r="H89" s="124"/>
      <c r="I89" s="117">
        <v>4.9027923321643812</v>
      </c>
      <c r="J89" s="110">
        <v>2.1872787230981601</v>
      </c>
      <c r="K89" s="110">
        <v>3.9008718546343175</v>
      </c>
      <c r="L89" s="124"/>
      <c r="M89" s="117">
        <v>5.8725989550917319</v>
      </c>
      <c r="N89" s="117">
        <v>1.4340891324729341</v>
      </c>
      <c r="O89" s="126">
        <v>5.2149757204070539</v>
      </c>
    </row>
    <row r="90" spans="1:15">
      <c r="A90" t="s">
        <v>55</v>
      </c>
      <c r="B90" s="112">
        <v>2016</v>
      </c>
      <c r="C90" s="118"/>
      <c r="D90" s="102" t="s">
        <v>590</v>
      </c>
      <c r="E90" s="119"/>
      <c r="F90" s="104">
        <v>1054354.3869999999</v>
      </c>
      <c r="G90" s="104">
        <v>1005410.9814999998</v>
      </c>
      <c r="H90" s="125"/>
      <c r="I90" s="115">
        <v>-6.5830382546859454</v>
      </c>
      <c r="J90" s="105">
        <v>0.29006375700369347</v>
      </c>
      <c r="K90" s="105">
        <v>2.8693795759418634</v>
      </c>
      <c r="L90" s="125"/>
      <c r="M90" s="115">
        <v>-5.3247207090815607</v>
      </c>
      <c r="N90" s="115">
        <v>1.4290821455361424E-2</v>
      </c>
      <c r="O90" s="127">
        <v>4.517026710842444</v>
      </c>
    </row>
    <row r="91" spans="1:15">
      <c r="A91" t="s">
        <v>55</v>
      </c>
      <c r="B91" s="112">
        <v>2016</v>
      </c>
      <c r="C91" s="118"/>
      <c r="D91" s="107" t="s">
        <v>591</v>
      </c>
      <c r="E91" s="128"/>
      <c r="F91" s="109">
        <v>1012287.1370000001</v>
      </c>
      <c r="G91" s="109">
        <v>997177.49849999999</v>
      </c>
      <c r="H91" s="124"/>
      <c r="I91" s="117">
        <v>-1.1029384876795234</v>
      </c>
      <c r="J91" s="110">
        <v>6.1601212218391765E-2</v>
      </c>
      <c r="K91" s="110">
        <v>2.4836403125215014</v>
      </c>
      <c r="L91" s="124"/>
      <c r="M91" s="117">
        <v>-1.4733984847348864</v>
      </c>
      <c r="N91" s="117">
        <v>-0.23386602863691053</v>
      </c>
      <c r="O91" s="126">
        <v>3.6052561642476064</v>
      </c>
    </row>
    <row r="92" spans="1:15">
      <c r="A92" t="s">
        <v>55</v>
      </c>
      <c r="B92" s="112">
        <v>2016</v>
      </c>
      <c r="C92" s="118"/>
      <c r="D92" s="102" t="s">
        <v>592</v>
      </c>
      <c r="E92" s="119"/>
      <c r="F92" s="104">
        <v>912684.10499999998</v>
      </c>
      <c r="G92" s="104">
        <v>924987.70199999982</v>
      </c>
      <c r="H92" s="125"/>
      <c r="I92" s="115">
        <v>-17.691998942385581</v>
      </c>
      <c r="J92" s="105">
        <v>-2.6168456389749934</v>
      </c>
      <c r="K92" s="105">
        <v>0.72501479893891485</v>
      </c>
      <c r="L92" s="125"/>
      <c r="M92" s="115">
        <v>-19.731848709042154</v>
      </c>
      <c r="N92" s="115">
        <v>-3.3459904496893671</v>
      </c>
      <c r="O92" s="127">
        <v>1.0041161214576562</v>
      </c>
    </row>
    <row r="93" spans="1:15">
      <c r="A93" t="s">
        <v>55</v>
      </c>
      <c r="B93" s="112">
        <v>2016</v>
      </c>
      <c r="C93" s="118"/>
      <c r="D93" s="107" t="s">
        <v>593</v>
      </c>
      <c r="E93" s="128"/>
      <c r="F93" s="109">
        <v>1130482.352</v>
      </c>
      <c r="G93" s="109">
        <v>1089617.8940000003</v>
      </c>
      <c r="H93" s="124"/>
      <c r="I93" s="117">
        <v>-0.76404320298466644</v>
      </c>
      <c r="J93" s="110">
        <v>-2.3682104783899689</v>
      </c>
      <c r="K93" s="110">
        <v>0.10574098051259284</v>
      </c>
      <c r="L93" s="124"/>
      <c r="M93" s="117">
        <v>-1.6694645302527249</v>
      </c>
      <c r="N93" s="117">
        <v>-3.1229110567341962</v>
      </c>
      <c r="O93" s="126">
        <v>0.14805143036160473</v>
      </c>
    </row>
    <row r="94" spans="1:15">
      <c r="A94" t="s">
        <v>55</v>
      </c>
      <c r="B94" s="112">
        <v>2016</v>
      </c>
      <c r="C94" s="118"/>
      <c r="D94" s="102" t="s">
        <v>594</v>
      </c>
      <c r="E94" s="119"/>
      <c r="F94" s="104">
        <v>1023568.3660000002</v>
      </c>
      <c r="G94" s="104">
        <v>1015052.3179999999</v>
      </c>
      <c r="H94" s="125"/>
      <c r="I94" s="115">
        <v>-9.0919354299622341</v>
      </c>
      <c r="J94" s="105">
        <v>-3.1555711085506033</v>
      </c>
      <c r="K94" s="105">
        <v>-1.1084462166043352</v>
      </c>
      <c r="L94" s="125"/>
      <c r="M94" s="115">
        <v>-11.175426646759135</v>
      </c>
      <c r="N94" s="115">
        <v>-4.0945515193693467</v>
      </c>
      <c r="O94" s="127">
        <v>-1.3196458082946378</v>
      </c>
    </row>
    <row r="95" spans="1:15">
      <c r="A95" t="s">
        <v>55</v>
      </c>
      <c r="B95" s="112">
        <v>2016</v>
      </c>
      <c r="C95" s="118"/>
      <c r="D95" s="107" t="s">
        <v>595</v>
      </c>
      <c r="E95" s="128"/>
      <c r="F95" s="109">
        <v>1076104.8659999999</v>
      </c>
      <c r="G95" s="109">
        <v>993667.2855</v>
      </c>
      <c r="H95" s="124"/>
      <c r="I95" s="117">
        <v>-8.5636868077575201</v>
      </c>
      <c r="J95" s="110">
        <v>-3.7453416887156692</v>
      </c>
      <c r="K95" s="110">
        <v>-2.666492580071349</v>
      </c>
      <c r="L95" s="124"/>
      <c r="M95" s="117">
        <v>-14.45707991836062</v>
      </c>
      <c r="N95" s="117">
        <v>-5.2266810287619165</v>
      </c>
      <c r="O95" s="126">
        <v>-3.2072796362126468</v>
      </c>
    </row>
    <row r="96" spans="1:15">
      <c r="A96" t="s">
        <v>55</v>
      </c>
      <c r="B96" s="112">
        <v>2016</v>
      </c>
      <c r="C96" s="118"/>
      <c r="D96" s="102" t="s">
        <v>596</v>
      </c>
      <c r="E96" s="119"/>
      <c r="F96" s="104">
        <v>1009009.1589999999</v>
      </c>
      <c r="G96" s="104">
        <v>1017490.6450000003</v>
      </c>
      <c r="H96" s="125"/>
      <c r="I96" s="115">
        <v>-3.4566339748885042</v>
      </c>
      <c r="J96" s="105">
        <v>-3.7198506617759648</v>
      </c>
      <c r="K96" s="105">
        <v>-2.7612656940871716</v>
      </c>
      <c r="L96" s="125"/>
      <c r="M96" s="115">
        <v>-4.6943002068919952</v>
      </c>
      <c r="N96" s="115">
        <v>-5.1781016287168313</v>
      </c>
      <c r="O96" s="127">
        <v>-3.808591990975259</v>
      </c>
    </row>
    <row r="97" spans="1:15">
      <c r="A97" t="s">
        <v>55</v>
      </c>
      <c r="B97" s="112">
        <v>2016</v>
      </c>
      <c r="C97" s="118"/>
      <c r="D97" s="107" t="s">
        <v>597</v>
      </c>
      <c r="E97" s="128"/>
      <c r="F97" s="109">
        <v>1098666.1730000002</v>
      </c>
      <c r="G97" s="109">
        <v>1006878.6065000003</v>
      </c>
      <c r="H97" s="124"/>
      <c r="I97" s="117">
        <v>-9.1756415743318342</v>
      </c>
      <c r="J97" s="110">
        <v>-4.2256984925387684</v>
      </c>
      <c r="K97" s="110">
        <v>-4.2256984925387684</v>
      </c>
      <c r="L97" s="124"/>
      <c r="M97" s="117">
        <v>-9.0352602316594073</v>
      </c>
      <c r="N97" s="117">
        <v>-5.5114755261858193</v>
      </c>
      <c r="O97" s="126">
        <v>-5.5114755261858193</v>
      </c>
    </row>
    <row r="98" spans="1:15">
      <c r="A98" t="s">
        <v>55</v>
      </c>
      <c r="B98" s="112">
        <v>2017</v>
      </c>
      <c r="C98" s="118"/>
      <c r="D98" s="102" t="s">
        <v>598</v>
      </c>
      <c r="E98" s="119"/>
      <c r="F98" s="104">
        <v>898063.11800000002</v>
      </c>
      <c r="G98" s="104">
        <v>913190.40699999989</v>
      </c>
      <c r="H98" s="125"/>
      <c r="I98" s="115">
        <v>-7.2249530692245116</v>
      </c>
      <c r="J98" s="105">
        <v>-7.2249530692245116</v>
      </c>
      <c r="K98" s="105">
        <v>-5.259048575499051</v>
      </c>
      <c r="L98" s="125"/>
      <c r="M98" s="115">
        <v>-2.7629953007785986</v>
      </c>
      <c r="N98" s="115">
        <v>-2.7629953007785986</v>
      </c>
      <c r="O98" s="127">
        <v>-5.7971388571202596</v>
      </c>
    </row>
    <row r="99" spans="1:15">
      <c r="A99" t="s">
        <v>55</v>
      </c>
      <c r="B99" s="112">
        <v>2017</v>
      </c>
      <c r="C99" s="118"/>
      <c r="D99" s="107" t="s">
        <v>599</v>
      </c>
      <c r="E99" s="128"/>
      <c r="F99" s="109">
        <v>1025704.9600000002</v>
      </c>
      <c r="G99" s="109">
        <v>1007968.2989999999</v>
      </c>
      <c r="H99" s="124"/>
      <c r="I99" s="117">
        <v>-4.721911018436316</v>
      </c>
      <c r="J99" s="110">
        <v>-5.9069931693967845</v>
      </c>
      <c r="K99" s="110">
        <v>-5.9514382094585869</v>
      </c>
      <c r="L99" s="124"/>
      <c r="M99" s="117">
        <v>-3.6307453546237412</v>
      </c>
      <c r="N99" s="117">
        <v>-3.2202144750625763</v>
      </c>
      <c r="O99" s="126">
        <v>-6.529235145023975</v>
      </c>
    </row>
    <row r="100" spans="1:15">
      <c r="A100" t="s">
        <v>55</v>
      </c>
      <c r="B100" s="112">
        <v>2017</v>
      </c>
      <c r="C100" s="118"/>
      <c r="D100" s="102" t="s">
        <v>600</v>
      </c>
      <c r="E100" s="119"/>
      <c r="F100" s="104">
        <v>1098805.5690000001</v>
      </c>
      <c r="G100" s="104">
        <v>1083268.2308999998</v>
      </c>
      <c r="H100" s="125"/>
      <c r="I100" s="115">
        <v>7.1834702973702775</v>
      </c>
      <c r="J100" s="105">
        <v>-1.5352783198467819</v>
      </c>
      <c r="K100" s="105">
        <v>-4.8612889607183405</v>
      </c>
      <c r="L100" s="125"/>
      <c r="M100" s="115">
        <v>7.5237826867182775</v>
      </c>
      <c r="N100" s="115">
        <v>0.39684608361316975</v>
      </c>
      <c r="O100" s="127">
        <v>-5.4082364043516975</v>
      </c>
    </row>
    <row r="101" spans="1:15">
      <c r="A101" t="s">
        <v>55</v>
      </c>
      <c r="B101" s="112">
        <v>2017</v>
      </c>
      <c r="C101" s="118"/>
      <c r="D101" s="107" t="s">
        <v>588</v>
      </c>
      <c r="E101" s="128"/>
      <c r="F101" s="109">
        <v>976913.69099999999</v>
      </c>
      <c r="G101" s="109">
        <v>900004.94350000005</v>
      </c>
      <c r="H101" s="124"/>
      <c r="I101" s="117">
        <v>-11.87411179050217</v>
      </c>
      <c r="J101" s="110">
        <v>-4.2783065430717357</v>
      </c>
      <c r="K101" s="110">
        <v>-6.2385610727652789</v>
      </c>
      <c r="L101" s="124"/>
      <c r="M101" s="117">
        <v>-14.941655650198811</v>
      </c>
      <c r="N101" s="117">
        <v>-3.6098439244347134</v>
      </c>
      <c r="O101" s="126">
        <v>-7.0687974872151784</v>
      </c>
    </row>
    <row r="102" spans="1:15">
      <c r="A102" t="s">
        <v>55</v>
      </c>
      <c r="B102" s="112">
        <v>2017</v>
      </c>
      <c r="C102" s="118"/>
      <c r="D102" s="102" t="s">
        <v>590</v>
      </c>
      <c r="E102" s="119"/>
      <c r="F102" s="104">
        <v>1021787.4417899998</v>
      </c>
      <c r="G102" s="104">
        <v>999046.00350000034</v>
      </c>
      <c r="H102" s="125"/>
      <c r="I102" s="115">
        <v>-3.0888044486317483</v>
      </c>
      <c r="J102" s="105">
        <v>-4.0386251644924442</v>
      </c>
      <c r="K102" s="105">
        <v>-5.9545465541285409</v>
      </c>
      <c r="L102" s="125"/>
      <c r="M102" s="115">
        <v>-0.63307225772521747</v>
      </c>
      <c r="N102" s="115">
        <v>-3.0179055630644882</v>
      </c>
      <c r="O102" s="127">
        <v>-6.7081952533245328</v>
      </c>
    </row>
    <row r="103" spans="1:15">
      <c r="A103" t="s">
        <v>55</v>
      </c>
      <c r="B103" s="112">
        <v>2017</v>
      </c>
      <c r="C103" s="118"/>
      <c r="D103" s="107" t="s">
        <v>591</v>
      </c>
      <c r="E103" s="128"/>
      <c r="F103" s="109">
        <v>1012842.7850000001</v>
      </c>
      <c r="G103" s="109">
        <v>983520.26650000003</v>
      </c>
      <c r="H103" s="124"/>
      <c r="I103" s="117">
        <v>5.4890354691934817E-2</v>
      </c>
      <c r="J103" s="110">
        <v>-3.3750722295635853</v>
      </c>
      <c r="K103" s="110">
        <v>-5.868934651318412</v>
      </c>
      <c r="L103" s="124"/>
      <c r="M103" s="117">
        <v>-1.369588866630437</v>
      </c>
      <c r="N103" s="117">
        <v>-2.7463710461060913</v>
      </c>
      <c r="O103" s="126">
        <v>-6.7062054502883939</v>
      </c>
    </row>
    <row r="104" spans="1:15">
      <c r="A104" t="s">
        <v>55</v>
      </c>
      <c r="B104" s="112">
        <v>2017</v>
      </c>
      <c r="C104" s="118"/>
      <c r="D104" s="102" t="s">
        <v>592</v>
      </c>
      <c r="E104" s="119"/>
      <c r="F104" s="104">
        <v>1077344.09149</v>
      </c>
      <c r="G104" s="104">
        <v>1041467.7605</v>
      </c>
      <c r="H104" s="125"/>
      <c r="I104" s="115">
        <v>18.041290035395122</v>
      </c>
      <c r="J104" s="105">
        <v>-0.64420541645665708</v>
      </c>
      <c r="K104" s="105">
        <v>-3.1513665150727661</v>
      </c>
      <c r="L104" s="125"/>
      <c r="M104" s="115">
        <v>12.592606177157606</v>
      </c>
      <c r="N104" s="115">
        <v>-0.71313846865504615</v>
      </c>
      <c r="O104" s="127">
        <v>-4.090923942852811</v>
      </c>
    </row>
    <row r="105" spans="1:15">
      <c r="A105" t="s">
        <v>55</v>
      </c>
      <c r="B105" s="112">
        <v>2017</v>
      </c>
      <c r="C105" s="118"/>
      <c r="D105" s="107" t="s">
        <v>593</v>
      </c>
      <c r="E105" s="128"/>
      <c r="F105" s="109">
        <v>1034803.5079999999</v>
      </c>
      <c r="G105" s="109">
        <v>1033008.4924999999</v>
      </c>
      <c r="H105" s="124"/>
      <c r="I105" s="117">
        <v>-8.4635415874232081</v>
      </c>
      <c r="J105" s="110">
        <v>-1.7107551894022635</v>
      </c>
      <c r="K105" s="110">
        <v>-3.8305775647955329</v>
      </c>
      <c r="L105" s="124"/>
      <c r="M105" s="117">
        <v>-5.1953443323316577</v>
      </c>
      <c r="N105" s="117">
        <v>-1.3184909198062797</v>
      </c>
      <c r="O105" s="126">
        <v>-4.4006990992514972</v>
      </c>
    </row>
    <row r="106" spans="1:15">
      <c r="A106" t="s">
        <v>55</v>
      </c>
      <c r="B106" s="112">
        <v>2017</v>
      </c>
      <c r="C106" s="118"/>
      <c r="D106" s="102" t="s">
        <v>594</v>
      </c>
      <c r="E106" s="119"/>
      <c r="F106" s="104">
        <v>1025617.127</v>
      </c>
      <c r="G106" s="104">
        <v>1022836.0429999996</v>
      </c>
      <c r="H106" s="125"/>
      <c r="I106" s="115">
        <v>0.20015868681113602</v>
      </c>
      <c r="J106" s="105">
        <v>-1.5007003752699859</v>
      </c>
      <c r="K106" s="105">
        <v>-3.0419521494218458</v>
      </c>
      <c r="L106" s="125"/>
      <c r="M106" s="115">
        <v>0.76682993201140448</v>
      </c>
      <c r="N106" s="115">
        <v>-1.0854475490719722</v>
      </c>
      <c r="O106" s="127">
        <v>-3.3549460448267467</v>
      </c>
    </row>
    <row r="107" spans="1:15">
      <c r="A107" t="s">
        <v>55</v>
      </c>
      <c r="B107" s="112">
        <v>2017</v>
      </c>
      <c r="C107" s="118"/>
      <c r="D107" s="107" t="s">
        <v>595</v>
      </c>
      <c r="E107" s="128"/>
      <c r="F107" s="109">
        <v>1081553.1040000001</v>
      </c>
      <c r="G107" s="109">
        <v>1029658.6714999999</v>
      </c>
      <c r="H107" s="124"/>
      <c r="I107" s="117">
        <v>0.5062924787480938</v>
      </c>
      <c r="J107" s="110">
        <v>-1.2927882075377823</v>
      </c>
      <c r="K107" s="110">
        <v>-2.2259158133794585</v>
      </c>
      <c r="L107" s="124"/>
      <c r="M107" s="117">
        <v>3.622076174309143</v>
      </c>
      <c r="N107" s="117">
        <v>-0.62123072568064686</v>
      </c>
      <c r="O107" s="126">
        <v>-1.736385672459889</v>
      </c>
    </row>
    <row r="108" spans="1:15">
      <c r="A108" t="s">
        <v>55</v>
      </c>
      <c r="B108" s="112">
        <v>2017</v>
      </c>
      <c r="C108" s="118"/>
      <c r="D108" s="102" t="s">
        <v>596</v>
      </c>
      <c r="E108" s="119"/>
      <c r="F108" s="104">
        <v>1027958.5740500001</v>
      </c>
      <c r="G108" s="104">
        <v>1021276.6684999999</v>
      </c>
      <c r="H108" s="125"/>
      <c r="I108" s="115">
        <v>1.8780221052483483</v>
      </c>
      <c r="J108" s="105">
        <v>-1.0120607530871411</v>
      </c>
      <c r="K108" s="105">
        <v>-1.7954059079447688</v>
      </c>
      <c r="L108" s="125"/>
      <c r="M108" s="115">
        <v>0.37209418274304085</v>
      </c>
      <c r="N108" s="115">
        <v>-0.53012801499065176</v>
      </c>
      <c r="O108" s="127">
        <v>-1.3017268202676178</v>
      </c>
    </row>
    <row r="109" spans="1:15">
      <c r="A109" t="s">
        <v>55</v>
      </c>
      <c r="B109" s="112">
        <v>2017</v>
      </c>
      <c r="C109" s="118"/>
      <c r="D109" s="129" t="s">
        <v>597</v>
      </c>
      <c r="E109" s="118"/>
      <c r="F109" s="130">
        <v>1020361.5179999998</v>
      </c>
      <c r="G109" s="130">
        <v>948589.07400000014</v>
      </c>
      <c r="H109" s="124"/>
      <c r="I109" s="131">
        <v>-7.1272472862418965</v>
      </c>
      <c r="J109" s="132">
        <v>-1.5497424193323184</v>
      </c>
      <c r="K109" s="132">
        <v>-1.5497424193323184</v>
      </c>
      <c r="L109" s="124"/>
      <c r="M109" s="131">
        <v>-5.7891320883874897</v>
      </c>
      <c r="N109" s="131">
        <v>-0.96771219934376518</v>
      </c>
      <c r="O109" s="133">
        <v>-0.96771219934376518</v>
      </c>
    </row>
    <row r="110" spans="1:15">
      <c r="A110" t="s">
        <v>55</v>
      </c>
      <c r="B110" s="112">
        <v>2018</v>
      </c>
      <c r="C110" s="118"/>
      <c r="D110" s="102" t="s">
        <v>598</v>
      </c>
      <c r="E110" s="119"/>
      <c r="F110" s="104">
        <v>907424.55099999986</v>
      </c>
      <c r="G110" s="104">
        <v>909395.54500000004</v>
      </c>
      <c r="H110" s="125"/>
      <c r="I110" s="115">
        <v>1.0424025675219752</v>
      </c>
      <c r="J110" s="105">
        <v>1.0424025675219752</v>
      </c>
      <c r="K110" s="105">
        <v>-0.92026753581392029</v>
      </c>
      <c r="L110" s="125"/>
      <c r="M110" s="115">
        <v>-0.41556086999059971</v>
      </c>
      <c r="N110" s="115">
        <v>-0.41556086999059971</v>
      </c>
      <c r="O110" s="127">
        <v>-0.78632575652974879</v>
      </c>
    </row>
    <row r="111" spans="1:15">
      <c r="A111" t="s">
        <v>55</v>
      </c>
      <c r="B111" s="112">
        <v>2018</v>
      </c>
      <c r="C111" s="118"/>
      <c r="D111" s="129" t="s">
        <v>599</v>
      </c>
      <c r="E111" s="118"/>
      <c r="F111" s="130">
        <v>955712.29400000011</v>
      </c>
      <c r="G111" s="130">
        <v>960500.28150000016</v>
      </c>
      <c r="H111" s="124"/>
      <c r="I111" s="131">
        <v>-6.8238595628903056</v>
      </c>
      <c r="J111" s="132">
        <v>-3.1516913963472177</v>
      </c>
      <c r="K111" s="132">
        <v>-1.0788766617166488</v>
      </c>
      <c r="L111" s="124"/>
      <c r="M111" s="131">
        <v>-4.7092768241910505</v>
      </c>
      <c r="N111" s="131">
        <v>-2.6683313221286653</v>
      </c>
      <c r="O111" s="133">
        <v>-0.86766712370803134</v>
      </c>
    </row>
    <row r="112" spans="1:15">
      <c r="A112" t="s">
        <v>55</v>
      </c>
      <c r="B112" s="112">
        <v>2018</v>
      </c>
      <c r="C112" s="118"/>
      <c r="D112" s="102" t="s">
        <v>600</v>
      </c>
      <c r="E112" s="119"/>
      <c r="F112" s="104">
        <v>1065677.3597217214</v>
      </c>
      <c r="G112" s="104">
        <v>978879.9053061225</v>
      </c>
      <c r="H112" s="125"/>
      <c r="I112" s="115">
        <v>-3.0149291387763952</v>
      </c>
      <c r="J112" s="105">
        <v>-3.1019737888384498</v>
      </c>
      <c r="K112" s="105">
        <v>-1.9302075565061187</v>
      </c>
      <c r="L112" s="125"/>
      <c r="M112" s="115">
        <v>-9.6364245360680059</v>
      </c>
      <c r="N112" s="115">
        <v>-5.1807285836173236</v>
      </c>
      <c r="O112" s="127">
        <v>-2.3498197595520907</v>
      </c>
    </row>
    <row r="113" spans="1:15">
      <c r="A113" t="s">
        <v>55</v>
      </c>
      <c r="B113" s="112">
        <v>2018</v>
      </c>
      <c r="C113" s="118"/>
      <c r="D113" s="129" t="s">
        <v>588</v>
      </c>
      <c r="E113" s="118"/>
      <c r="F113" s="130">
        <v>1034777.5640000001</v>
      </c>
      <c r="G113" s="130">
        <v>1030819.5475000006</v>
      </c>
      <c r="H113" s="124"/>
      <c r="I113" s="131">
        <v>5.9231305214659073</v>
      </c>
      <c r="J113" s="132">
        <v>-0.89750426103933023</v>
      </c>
      <c r="K113" s="132">
        <v>-0.41231982860503535</v>
      </c>
      <c r="L113" s="124"/>
      <c r="M113" s="131">
        <v>14.534876163155275</v>
      </c>
      <c r="N113" s="131">
        <v>-0.63611305958632158</v>
      </c>
      <c r="O113" s="133">
        <v>3.583061556633993E-2</v>
      </c>
    </row>
    <row r="114" spans="1:15">
      <c r="A114" t="s">
        <v>55</v>
      </c>
      <c r="B114" s="112">
        <v>2018</v>
      </c>
      <c r="C114" s="118"/>
      <c r="D114" s="102" t="s">
        <v>590</v>
      </c>
      <c r="E114" s="119"/>
      <c r="F114" s="104">
        <v>1007110.9000000001</v>
      </c>
      <c r="G114" s="104">
        <v>984012.02788435412</v>
      </c>
      <c r="H114" s="125"/>
      <c r="I114" s="115">
        <v>-1.4363595782982941</v>
      </c>
      <c r="J114" s="105">
        <v>-1.0071568134813873</v>
      </c>
      <c r="K114" s="105">
        <v>-0.26777397841824779</v>
      </c>
      <c r="L114" s="125"/>
      <c r="M114" s="115">
        <v>-1.5048331671391537</v>
      </c>
      <c r="N114" s="115">
        <v>-0.8131081174125967</v>
      </c>
      <c r="O114" s="127">
        <v>-3.6704229208822881E-2</v>
      </c>
    </row>
    <row r="115" spans="1:15">
      <c r="A115" t="s">
        <v>55</v>
      </c>
      <c r="B115" s="112">
        <v>2018</v>
      </c>
      <c r="C115" s="118"/>
      <c r="D115" s="129" t="s">
        <v>591</v>
      </c>
      <c r="E115" s="118"/>
      <c r="F115" s="130">
        <v>990843.473</v>
      </c>
      <c r="G115" s="130">
        <v>943219.3038301589</v>
      </c>
      <c r="H115" s="124"/>
      <c r="I115" s="131">
        <v>-2.1720362059942033</v>
      </c>
      <c r="J115" s="132">
        <v>-1.2026849375912576</v>
      </c>
      <c r="K115" s="132">
        <v>-0.45136491580886684</v>
      </c>
      <c r="L115" s="124"/>
      <c r="M115" s="131">
        <v>-4.0976240187970916</v>
      </c>
      <c r="N115" s="131">
        <v>-1.3618407434681359</v>
      </c>
      <c r="O115" s="133">
        <v>-0.25999228816101549</v>
      </c>
    </row>
    <row r="116" spans="1:15">
      <c r="A116" t="s">
        <v>55</v>
      </c>
      <c r="B116" s="112">
        <v>2018</v>
      </c>
      <c r="C116" s="118"/>
      <c r="D116" s="102" t="s">
        <v>592</v>
      </c>
      <c r="E116" s="119"/>
      <c r="F116" s="104">
        <v>1021108.186</v>
      </c>
      <c r="G116" s="104">
        <v>990012.08699999982</v>
      </c>
      <c r="H116" s="125"/>
      <c r="I116" s="115">
        <v>-5.2198648448727312</v>
      </c>
      <c r="J116" s="105">
        <v>-1.811263770852662</v>
      </c>
      <c r="K116" s="105">
        <v>-2.2197599735393538</v>
      </c>
      <c r="L116" s="125"/>
      <c r="M116" s="115">
        <v>-4.9406880799936204</v>
      </c>
      <c r="N116" s="115">
        <v>-1.8998031392820138</v>
      </c>
      <c r="O116" s="127">
        <v>-1.6510012593331709</v>
      </c>
    </row>
    <row r="117" spans="1:15">
      <c r="A117" t="s">
        <v>55</v>
      </c>
      <c r="B117" s="112">
        <v>2018</v>
      </c>
      <c r="C117" s="134"/>
      <c r="D117" s="135" t="s">
        <v>593</v>
      </c>
      <c r="E117" s="134"/>
      <c r="F117" s="136">
        <v>1089306.017</v>
      </c>
      <c r="G117" s="136">
        <v>1061280.1780000001</v>
      </c>
      <c r="H117" s="137"/>
      <c r="I117" s="138">
        <v>5.2669428136495924</v>
      </c>
      <c r="J117" s="139">
        <v>-0.91213357360489056</v>
      </c>
      <c r="K117" s="139">
        <v>-1.0212644112342986</v>
      </c>
      <c r="L117" s="137"/>
      <c r="M117" s="138">
        <v>2.7368299201083346</v>
      </c>
      <c r="N117" s="138">
        <v>-1.2981958132682507</v>
      </c>
      <c r="O117" s="140">
        <v>-0.95113029896666035</v>
      </c>
    </row>
  </sheetData>
  <mergeCells count="6">
    <mergeCell ref="M3:O3"/>
    <mergeCell ref="A3:A4"/>
    <mergeCell ref="B3:B4"/>
    <mergeCell ref="D3:D4"/>
    <mergeCell ref="F3:G3"/>
    <mergeCell ref="I3:K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sheetPr>
  <dimension ref="A1:M1422"/>
  <sheetViews>
    <sheetView showGridLines="0" topLeftCell="A2" zoomScale="80" zoomScaleNormal="80" workbookViewId="0">
      <selection activeCell="M7" sqref="M7"/>
    </sheetView>
  </sheetViews>
  <sheetFormatPr baseColWidth="10" defaultColWidth="11" defaultRowHeight="15.75"/>
  <cols>
    <col min="1" max="1" width="14.125" customWidth="1"/>
    <col min="2" max="2" width="18.5" bestFit="1" customWidth="1"/>
    <col min="3" max="3" width="11.625" bestFit="1" customWidth="1"/>
    <col min="4" max="4" width="19" customWidth="1"/>
    <col min="5" max="6" width="14.375" customWidth="1"/>
    <col min="7" max="7" width="14.125" customWidth="1"/>
    <col min="8" max="8" width="14.375" customWidth="1"/>
    <col min="9" max="9" width="12.875" customWidth="1"/>
    <col min="10" max="10" width="19" customWidth="1"/>
    <col min="11" max="11" width="11" style="71"/>
    <col min="12" max="12" width="16" customWidth="1"/>
  </cols>
  <sheetData>
    <row r="1" spans="1:13" ht="49.5" customHeight="1">
      <c r="B1" s="625" t="s">
        <v>172</v>
      </c>
      <c r="C1" s="625"/>
      <c r="D1" s="625"/>
      <c r="E1" s="625"/>
      <c r="F1" s="625"/>
      <c r="G1" s="625"/>
      <c r="H1" s="625"/>
      <c r="I1" s="625"/>
      <c r="J1" s="625"/>
    </row>
    <row r="2" spans="1:13">
      <c r="A2" s="39" t="s">
        <v>1319</v>
      </c>
      <c r="B2" s="40" t="s">
        <v>114</v>
      </c>
      <c r="C2" s="39" t="s">
        <v>84</v>
      </c>
      <c r="D2" s="39" t="s">
        <v>85</v>
      </c>
      <c r="E2" s="39" t="s">
        <v>87</v>
      </c>
      <c r="F2" s="39" t="s">
        <v>89</v>
      </c>
      <c r="G2" s="39" t="s">
        <v>86</v>
      </c>
      <c r="H2" s="39" t="s">
        <v>88</v>
      </c>
      <c r="I2" s="39" t="s">
        <v>1320</v>
      </c>
      <c r="J2" s="39" t="s">
        <v>1321</v>
      </c>
      <c r="K2" s="71" t="s">
        <v>64</v>
      </c>
      <c r="L2" s="39" t="s">
        <v>1322</v>
      </c>
      <c r="M2" s="39" t="s">
        <v>1323</v>
      </c>
    </row>
    <row r="3" spans="1:13">
      <c r="A3" s="685" t="s">
        <v>90</v>
      </c>
      <c r="B3" s="312">
        <v>43467</v>
      </c>
      <c r="C3" s="686">
        <v>67642</v>
      </c>
      <c r="D3" s="686">
        <v>243521660</v>
      </c>
      <c r="E3" s="686">
        <v>3540</v>
      </c>
      <c r="F3" s="686">
        <v>3700</v>
      </c>
      <c r="G3" s="686">
        <v>3600.15</v>
      </c>
      <c r="H3" s="686">
        <v>3540</v>
      </c>
      <c r="I3" s="686">
        <v>-4.32</v>
      </c>
      <c r="J3" s="686">
        <v>-160</v>
      </c>
      <c r="K3" s="71">
        <f>YEAR(Accion[[#This Row],[fecha]])</f>
        <v>2019</v>
      </c>
      <c r="L3" s="310" t="str">
        <f>IF(Accion[[#This Row],[Precio Cierre]]=MAX(Accion[Precio Cierre]),Accion[[#This Row],[Precio Cierre]],"NA")</f>
        <v>NA</v>
      </c>
      <c r="M3" s="310" t="str">
        <f>IF(Accion[[#This Row],[Precio Cierre]]=MIN(Accion[Precio Cierre]),Accion[[#This Row],[Precio Cierre]],"NA")</f>
        <v>NA</v>
      </c>
    </row>
    <row r="4" spans="1:13">
      <c r="A4" s="685" t="s">
        <v>90</v>
      </c>
      <c r="B4" s="312">
        <v>43468</v>
      </c>
      <c r="C4" s="686">
        <v>48932</v>
      </c>
      <c r="D4" s="686">
        <v>175440570</v>
      </c>
      <c r="E4" s="686">
        <v>3560</v>
      </c>
      <c r="F4" s="686">
        <v>3725</v>
      </c>
      <c r="G4" s="686">
        <v>3585.4</v>
      </c>
      <c r="H4" s="686">
        <v>3540</v>
      </c>
      <c r="I4" s="686">
        <v>0.56000000000000005</v>
      </c>
      <c r="J4" s="686">
        <v>20</v>
      </c>
      <c r="K4" s="71">
        <f>YEAR(Accion[[#This Row],[fecha]])</f>
        <v>2019</v>
      </c>
      <c r="L4" s="310" t="str">
        <f>IF(Accion[[#This Row],[Precio Cierre]]=MAX(Accion[Precio Cierre]),Accion[[#This Row],[Precio Cierre]],"NA")</f>
        <v>NA</v>
      </c>
      <c r="M4" s="310" t="str">
        <f>IF(Accion[[#This Row],[Precio Cierre]]=MIN(Accion[Precio Cierre]),Accion[[#This Row],[Precio Cierre]],"NA")</f>
        <v>NA</v>
      </c>
    </row>
    <row r="5" spans="1:13">
      <c r="A5" s="685" t="s">
        <v>90</v>
      </c>
      <c r="B5" s="312">
        <v>43469</v>
      </c>
      <c r="C5" s="686">
        <v>214981</v>
      </c>
      <c r="D5" s="686">
        <v>765380140</v>
      </c>
      <c r="E5" s="686">
        <v>3565</v>
      </c>
      <c r="F5" s="686">
        <v>3570</v>
      </c>
      <c r="G5" s="686">
        <v>3560.22</v>
      </c>
      <c r="H5" s="686">
        <v>3545</v>
      </c>
      <c r="I5" s="686">
        <v>0.14000000000000001</v>
      </c>
      <c r="J5" s="686">
        <v>5</v>
      </c>
      <c r="K5" s="71">
        <f>YEAR(Accion[[#This Row],[fecha]])</f>
        <v>2019</v>
      </c>
      <c r="L5" s="310" t="str">
        <f>IF(Accion[[#This Row],[Precio Cierre]]=MAX(Accion[Precio Cierre]),Accion[[#This Row],[Precio Cierre]],"NA")</f>
        <v>NA</v>
      </c>
      <c r="M5" s="310" t="str">
        <f>IF(Accion[[#This Row],[Precio Cierre]]=MIN(Accion[Precio Cierre]),Accion[[#This Row],[Precio Cierre]],"NA")</f>
        <v>NA</v>
      </c>
    </row>
    <row r="6" spans="1:13">
      <c r="A6" s="685" t="s">
        <v>90</v>
      </c>
      <c r="B6" s="312">
        <v>43473</v>
      </c>
      <c r="C6" s="686">
        <v>45280</v>
      </c>
      <c r="D6" s="686">
        <v>167103590</v>
      </c>
      <c r="E6" s="686">
        <v>3690</v>
      </c>
      <c r="F6" s="686">
        <v>3700</v>
      </c>
      <c r="G6" s="686">
        <v>3690.45</v>
      </c>
      <c r="H6" s="686">
        <v>3680</v>
      </c>
      <c r="I6" s="686">
        <v>3.51</v>
      </c>
      <c r="J6" s="686">
        <v>125</v>
      </c>
      <c r="K6" s="71">
        <f>YEAR(Accion[[#This Row],[fecha]])</f>
        <v>2019</v>
      </c>
      <c r="L6" s="310" t="str">
        <f>IF(Accion[[#This Row],[Precio Cierre]]=MAX(Accion[Precio Cierre]),Accion[[#This Row],[Precio Cierre]],"NA")</f>
        <v>NA</v>
      </c>
      <c r="M6" s="310" t="str">
        <f>IF(Accion[[#This Row],[Precio Cierre]]=MIN(Accion[Precio Cierre]),Accion[[#This Row],[Precio Cierre]],"NA")</f>
        <v>NA</v>
      </c>
    </row>
    <row r="7" spans="1:13">
      <c r="A7" s="685" t="s">
        <v>90</v>
      </c>
      <c r="B7" s="312">
        <v>43474</v>
      </c>
      <c r="C7" s="686">
        <v>1255624</v>
      </c>
      <c r="D7" s="686">
        <v>4682110050</v>
      </c>
      <c r="E7" s="686">
        <v>3770</v>
      </c>
      <c r="F7" s="686">
        <v>3800</v>
      </c>
      <c r="G7" s="686">
        <v>3728.91</v>
      </c>
      <c r="H7" s="686">
        <v>3670</v>
      </c>
      <c r="I7" s="686">
        <v>2.17</v>
      </c>
      <c r="J7" s="686">
        <v>80</v>
      </c>
      <c r="K7" s="71">
        <f>YEAR(Accion[[#This Row],[fecha]])</f>
        <v>2019</v>
      </c>
      <c r="L7" s="310" t="str">
        <f>IF(Accion[[#This Row],[Precio Cierre]]=MAX(Accion[Precio Cierre]),Accion[[#This Row],[Precio Cierre]],"NA")</f>
        <v>NA</v>
      </c>
      <c r="M7" s="310" t="str">
        <f>IF(Accion[[#This Row],[Precio Cierre]]=MIN(Accion[Precio Cierre]),Accion[[#This Row],[Precio Cierre]],"NA")</f>
        <v>NA</v>
      </c>
    </row>
    <row r="8" spans="1:13">
      <c r="A8" s="685" t="s">
        <v>90</v>
      </c>
      <c r="B8" s="312">
        <v>43475</v>
      </c>
      <c r="C8" s="686">
        <v>24731</v>
      </c>
      <c r="D8" s="686">
        <v>93798440</v>
      </c>
      <c r="E8" s="686">
        <v>3750</v>
      </c>
      <c r="F8" s="686">
        <v>3845</v>
      </c>
      <c r="G8" s="686">
        <v>3792.75</v>
      </c>
      <c r="H8" s="686">
        <v>3750</v>
      </c>
      <c r="I8" s="686">
        <v>-0.53</v>
      </c>
      <c r="J8" s="686">
        <v>-20</v>
      </c>
      <c r="K8" s="71">
        <f>YEAR(Accion[[#This Row],[fecha]])</f>
        <v>2019</v>
      </c>
      <c r="L8" s="310" t="str">
        <f>IF(Accion[[#This Row],[Precio Cierre]]=MAX(Accion[Precio Cierre]),Accion[[#This Row],[Precio Cierre]],"NA")</f>
        <v>NA</v>
      </c>
      <c r="M8" s="310" t="str">
        <f>IF(Accion[[#This Row],[Precio Cierre]]=MIN(Accion[Precio Cierre]),Accion[[#This Row],[Precio Cierre]],"NA")</f>
        <v>NA</v>
      </c>
    </row>
    <row r="9" spans="1:13">
      <c r="A9" s="685" t="s">
        <v>90</v>
      </c>
      <c r="B9" s="312">
        <v>43476</v>
      </c>
      <c r="C9" s="686">
        <v>69682</v>
      </c>
      <c r="D9" s="686">
        <v>267296350</v>
      </c>
      <c r="E9" s="686">
        <v>3835</v>
      </c>
      <c r="F9" s="686">
        <v>3840</v>
      </c>
      <c r="G9" s="686">
        <v>3835.95</v>
      </c>
      <c r="H9" s="686">
        <v>3815</v>
      </c>
      <c r="I9" s="686">
        <v>2.27</v>
      </c>
      <c r="J9" s="686">
        <v>85</v>
      </c>
      <c r="K9" s="71">
        <f>YEAR(Accion[[#This Row],[fecha]])</f>
        <v>2019</v>
      </c>
      <c r="L9" s="310" t="str">
        <f>IF(Accion[[#This Row],[Precio Cierre]]=MAX(Accion[Precio Cierre]),Accion[[#This Row],[Precio Cierre]],"NA")</f>
        <v>NA</v>
      </c>
      <c r="M9" s="310" t="str">
        <f>IF(Accion[[#This Row],[Precio Cierre]]=MIN(Accion[Precio Cierre]),Accion[[#This Row],[Precio Cierre]],"NA")</f>
        <v>NA</v>
      </c>
    </row>
    <row r="10" spans="1:13">
      <c r="A10" s="685" t="s">
        <v>90</v>
      </c>
      <c r="B10" s="312">
        <v>43479</v>
      </c>
      <c r="C10" s="686">
        <v>427684</v>
      </c>
      <c r="D10" s="686">
        <v>1707225785</v>
      </c>
      <c r="E10" s="686">
        <v>4285</v>
      </c>
      <c r="F10" s="686">
        <v>4285</v>
      </c>
      <c r="G10" s="686">
        <v>3991.79</v>
      </c>
      <c r="H10" s="686">
        <v>3835</v>
      </c>
      <c r="I10" s="686">
        <v>11.73</v>
      </c>
      <c r="J10" s="686">
        <v>450</v>
      </c>
      <c r="K10" s="71">
        <f>YEAR(Accion[[#This Row],[fecha]])</f>
        <v>2019</v>
      </c>
      <c r="L10" s="310" t="str">
        <f>IF(Accion[[#This Row],[Precio Cierre]]=MAX(Accion[Precio Cierre]),Accion[[#This Row],[Precio Cierre]],"NA")</f>
        <v>NA</v>
      </c>
      <c r="M10" s="310" t="str">
        <f>IF(Accion[[#This Row],[Precio Cierre]]=MIN(Accion[Precio Cierre]),Accion[[#This Row],[Precio Cierre]],"NA")</f>
        <v>NA</v>
      </c>
    </row>
    <row r="11" spans="1:13">
      <c r="A11" s="685" t="s">
        <v>90</v>
      </c>
      <c r="B11" s="312">
        <v>43480</v>
      </c>
      <c r="C11" s="686">
        <v>262751</v>
      </c>
      <c r="D11" s="686">
        <v>1174542935</v>
      </c>
      <c r="E11" s="686">
        <v>4355</v>
      </c>
      <c r="F11" s="686">
        <v>4620</v>
      </c>
      <c r="G11" s="686">
        <v>4470.17</v>
      </c>
      <c r="H11" s="686">
        <v>4300</v>
      </c>
      <c r="I11" s="686">
        <v>1.63</v>
      </c>
      <c r="J11" s="686">
        <v>70</v>
      </c>
      <c r="K11" s="71">
        <f>YEAR(Accion[[#This Row],[fecha]])</f>
        <v>2019</v>
      </c>
      <c r="L11" s="310" t="str">
        <f>IF(Accion[[#This Row],[Precio Cierre]]=MAX(Accion[Precio Cierre]),Accion[[#This Row],[Precio Cierre]],"NA")</f>
        <v>NA</v>
      </c>
      <c r="M11" s="310" t="str">
        <f>IF(Accion[[#This Row],[Precio Cierre]]=MIN(Accion[Precio Cierre]),Accion[[#This Row],[Precio Cierre]],"NA")</f>
        <v>NA</v>
      </c>
    </row>
    <row r="12" spans="1:13">
      <c r="A12" s="685" t="s">
        <v>90</v>
      </c>
      <c r="B12" s="312">
        <v>43481</v>
      </c>
      <c r="C12" s="686">
        <v>115196</v>
      </c>
      <c r="D12" s="686">
        <v>487686840</v>
      </c>
      <c r="E12" s="686">
        <v>4100</v>
      </c>
      <c r="F12" s="686">
        <v>4400</v>
      </c>
      <c r="G12" s="686">
        <v>4233.54</v>
      </c>
      <c r="H12" s="686">
        <v>4100</v>
      </c>
      <c r="I12" s="686">
        <v>-5.86</v>
      </c>
      <c r="J12" s="686">
        <v>-255</v>
      </c>
      <c r="K12" s="71">
        <f>YEAR(Accion[[#This Row],[fecha]])</f>
        <v>2019</v>
      </c>
      <c r="L12" s="310" t="str">
        <f>IF(Accion[[#This Row],[Precio Cierre]]=MAX(Accion[Precio Cierre]),Accion[[#This Row],[Precio Cierre]],"NA")</f>
        <v>NA</v>
      </c>
      <c r="M12" s="310" t="str">
        <f>IF(Accion[[#This Row],[Precio Cierre]]=MIN(Accion[Precio Cierre]),Accion[[#This Row],[Precio Cierre]],"NA")</f>
        <v>NA</v>
      </c>
    </row>
    <row r="13" spans="1:13">
      <c r="A13" s="685" t="s">
        <v>90</v>
      </c>
      <c r="B13" s="312">
        <v>43482</v>
      </c>
      <c r="C13" s="686">
        <v>148953</v>
      </c>
      <c r="D13" s="686">
        <v>636663570</v>
      </c>
      <c r="E13" s="686">
        <v>4300</v>
      </c>
      <c r="F13" s="686">
        <v>4300</v>
      </c>
      <c r="G13" s="686">
        <v>4274.26</v>
      </c>
      <c r="H13" s="686">
        <v>4200</v>
      </c>
      <c r="I13" s="686">
        <v>4.88</v>
      </c>
      <c r="J13" s="686">
        <v>200</v>
      </c>
      <c r="K13" s="71">
        <f>YEAR(Accion[[#This Row],[fecha]])</f>
        <v>2019</v>
      </c>
      <c r="L13" s="310" t="str">
        <f>IF(Accion[[#This Row],[Precio Cierre]]=MAX(Accion[Precio Cierre]),Accion[[#This Row],[Precio Cierre]],"NA")</f>
        <v>NA</v>
      </c>
      <c r="M13" s="310" t="str">
        <f>IF(Accion[[#This Row],[Precio Cierre]]=MIN(Accion[Precio Cierre]),Accion[[#This Row],[Precio Cierre]],"NA")</f>
        <v>NA</v>
      </c>
    </row>
    <row r="14" spans="1:13">
      <c r="A14" s="685" t="s">
        <v>90</v>
      </c>
      <c r="B14" s="312">
        <v>43483</v>
      </c>
      <c r="C14" s="686">
        <v>49633</v>
      </c>
      <c r="D14" s="686">
        <v>220322080</v>
      </c>
      <c r="E14" s="686">
        <v>4480</v>
      </c>
      <c r="F14" s="686">
        <v>4480</v>
      </c>
      <c r="G14" s="686">
        <v>4439.0200000000004</v>
      </c>
      <c r="H14" s="686">
        <v>4300</v>
      </c>
      <c r="I14" s="686">
        <v>4.1900000000000004</v>
      </c>
      <c r="J14" s="686">
        <v>180</v>
      </c>
      <c r="K14" s="71">
        <f>YEAR(Accion[[#This Row],[fecha]])</f>
        <v>2019</v>
      </c>
      <c r="L14" s="310" t="str">
        <f>IF(Accion[[#This Row],[Precio Cierre]]=MAX(Accion[Precio Cierre]),Accion[[#This Row],[Precio Cierre]],"NA")</f>
        <v>NA</v>
      </c>
      <c r="M14" s="310" t="str">
        <f>IF(Accion[[#This Row],[Precio Cierre]]=MIN(Accion[Precio Cierre]),Accion[[#This Row],[Precio Cierre]],"NA")</f>
        <v>NA</v>
      </c>
    </row>
    <row r="15" spans="1:13">
      <c r="A15" s="685" t="s">
        <v>90</v>
      </c>
      <c r="B15" s="312">
        <v>43486</v>
      </c>
      <c r="C15" s="686">
        <v>247963</v>
      </c>
      <c r="D15" s="686">
        <v>1136770030</v>
      </c>
      <c r="E15" s="686">
        <v>4580</v>
      </c>
      <c r="F15" s="686">
        <v>4640</v>
      </c>
      <c r="G15" s="686">
        <v>4584.43</v>
      </c>
      <c r="H15" s="686">
        <v>4500</v>
      </c>
      <c r="I15" s="686">
        <v>2.23</v>
      </c>
      <c r="J15" s="686">
        <v>100</v>
      </c>
      <c r="K15" s="71">
        <f>YEAR(Accion[[#This Row],[fecha]])</f>
        <v>2019</v>
      </c>
      <c r="L15" s="310" t="str">
        <f>IF(Accion[[#This Row],[Precio Cierre]]=MAX(Accion[Precio Cierre]),Accion[[#This Row],[Precio Cierre]],"NA")</f>
        <v>NA</v>
      </c>
      <c r="M15" s="310" t="str">
        <f>IF(Accion[[#This Row],[Precio Cierre]]=MIN(Accion[Precio Cierre]),Accion[[#This Row],[Precio Cierre]],"NA")</f>
        <v>NA</v>
      </c>
    </row>
    <row r="16" spans="1:13">
      <c r="A16" s="685" t="s">
        <v>90</v>
      </c>
      <c r="B16" s="312">
        <v>43487</v>
      </c>
      <c r="C16" s="686">
        <v>195567</v>
      </c>
      <c r="D16" s="686">
        <v>918029975</v>
      </c>
      <c r="E16" s="686">
        <v>4660</v>
      </c>
      <c r="F16" s="686">
        <v>4765</v>
      </c>
      <c r="G16" s="686">
        <v>4694.2</v>
      </c>
      <c r="H16" s="686">
        <v>4660</v>
      </c>
      <c r="I16" s="686">
        <v>1.75</v>
      </c>
      <c r="J16" s="686">
        <v>80</v>
      </c>
      <c r="K16" s="71">
        <f>YEAR(Accion[[#This Row],[fecha]])</f>
        <v>2019</v>
      </c>
      <c r="L16" s="310" t="str">
        <f>IF(Accion[[#This Row],[Precio Cierre]]=MAX(Accion[Precio Cierre]),Accion[[#This Row],[Precio Cierre]],"NA")</f>
        <v>NA</v>
      </c>
      <c r="M16" s="310" t="str">
        <f>IF(Accion[[#This Row],[Precio Cierre]]=MIN(Accion[Precio Cierre]),Accion[[#This Row],[Precio Cierre]],"NA")</f>
        <v>NA</v>
      </c>
    </row>
    <row r="17" spans="1:13">
      <c r="A17" s="685" t="s">
        <v>90</v>
      </c>
      <c r="B17" s="312">
        <v>43488</v>
      </c>
      <c r="C17" s="686">
        <v>143030</v>
      </c>
      <c r="D17" s="686">
        <v>678031215</v>
      </c>
      <c r="E17" s="686">
        <v>4740</v>
      </c>
      <c r="F17" s="686">
        <v>4780</v>
      </c>
      <c r="G17" s="686">
        <v>4740.4799999999996</v>
      </c>
      <c r="H17" s="686">
        <v>4665</v>
      </c>
      <c r="I17" s="686">
        <v>1.72</v>
      </c>
      <c r="J17" s="686">
        <v>80</v>
      </c>
      <c r="K17" s="71">
        <f>YEAR(Accion[[#This Row],[fecha]])</f>
        <v>2019</v>
      </c>
      <c r="L17" s="310" t="str">
        <f>IF(Accion[[#This Row],[Precio Cierre]]=MAX(Accion[Precio Cierre]),Accion[[#This Row],[Precio Cierre]],"NA")</f>
        <v>NA</v>
      </c>
      <c r="M17" s="310" t="str">
        <f>IF(Accion[[#This Row],[Precio Cierre]]=MIN(Accion[Precio Cierre]),Accion[[#This Row],[Precio Cierre]],"NA")</f>
        <v>NA</v>
      </c>
    </row>
    <row r="18" spans="1:13">
      <c r="A18" s="685" t="s">
        <v>90</v>
      </c>
      <c r="B18" s="312">
        <v>43489</v>
      </c>
      <c r="C18" s="686">
        <v>476470</v>
      </c>
      <c r="D18" s="686">
        <v>2259025335</v>
      </c>
      <c r="E18" s="686">
        <v>4745</v>
      </c>
      <c r="F18" s="686">
        <v>4770</v>
      </c>
      <c r="G18" s="686">
        <v>4741.17</v>
      </c>
      <c r="H18" s="686">
        <v>4730</v>
      </c>
      <c r="I18" s="686">
        <v>0.11</v>
      </c>
      <c r="J18" s="686">
        <v>5</v>
      </c>
      <c r="K18" s="71">
        <f>YEAR(Accion[[#This Row],[fecha]])</f>
        <v>2019</v>
      </c>
      <c r="L18" s="310" t="str">
        <f>IF(Accion[[#This Row],[Precio Cierre]]=MAX(Accion[Precio Cierre]),Accion[[#This Row],[Precio Cierre]],"NA")</f>
        <v>NA</v>
      </c>
      <c r="M18" s="310" t="str">
        <f>IF(Accion[[#This Row],[Precio Cierre]]=MIN(Accion[Precio Cierre]),Accion[[#This Row],[Precio Cierre]],"NA")</f>
        <v>NA</v>
      </c>
    </row>
    <row r="19" spans="1:13">
      <c r="A19" s="685" t="s">
        <v>90</v>
      </c>
      <c r="B19" s="312">
        <v>43490</v>
      </c>
      <c r="C19" s="686">
        <v>55601</v>
      </c>
      <c r="D19" s="686">
        <v>261590635</v>
      </c>
      <c r="E19" s="686">
        <v>4695</v>
      </c>
      <c r="F19" s="686">
        <v>4740</v>
      </c>
      <c r="G19" s="686">
        <v>4704.78</v>
      </c>
      <c r="H19" s="686">
        <v>4620</v>
      </c>
      <c r="I19" s="686">
        <v>-1.05</v>
      </c>
      <c r="J19" s="686">
        <v>-50</v>
      </c>
      <c r="K19" s="71">
        <f>YEAR(Accion[[#This Row],[fecha]])</f>
        <v>2019</v>
      </c>
      <c r="L19" s="310" t="str">
        <f>IF(Accion[[#This Row],[Precio Cierre]]=MAX(Accion[Precio Cierre]),Accion[[#This Row],[Precio Cierre]],"NA")</f>
        <v>NA</v>
      </c>
      <c r="M19" s="310" t="str">
        <f>IF(Accion[[#This Row],[Precio Cierre]]=MIN(Accion[Precio Cierre]),Accion[[#This Row],[Precio Cierre]],"NA")</f>
        <v>NA</v>
      </c>
    </row>
    <row r="20" spans="1:13">
      <c r="A20" s="685" t="s">
        <v>90</v>
      </c>
      <c r="B20" s="312">
        <v>43493</v>
      </c>
      <c r="C20" s="686">
        <v>109551</v>
      </c>
      <c r="D20" s="686">
        <v>497089255</v>
      </c>
      <c r="E20" s="686">
        <v>4405</v>
      </c>
      <c r="F20" s="686">
        <v>4695</v>
      </c>
      <c r="G20" s="686">
        <v>4537.51</v>
      </c>
      <c r="H20" s="686">
        <v>4400</v>
      </c>
      <c r="I20" s="686">
        <v>-6.18</v>
      </c>
      <c r="J20" s="686">
        <v>-290</v>
      </c>
      <c r="K20" s="71">
        <f>YEAR(Accion[[#This Row],[fecha]])</f>
        <v>2019</v>
      </c>
      <c r="L20" s="310" t="str">
        <f>IF(Accion[[#This Row],[Precio Cierre]]=MAX(Accion[Precio Cierre]),Accion[[#This Row],[Precio Cierre]],"NA")</f>
        <v>NA</v>
      </c>
      <c r="M20" s="310" t="str">
        <f>IF(Accion[[#This Row],[Precio Cierre]]=MIN(Accion[Precio Cierre]),Accion[[#This Row],[Precio Cierre]],"NA")</f>
        <v>NA</v>
      </c>
    </row>
    <row r="21" spans="1:13">
      <c r="A21" s="685" t="s">
        <v>90</v>
      </c>
      <c r="B21" s="312">
        <v>43494</v>
      </c>
      <c r="C21" s="686">
        <v>49549</v>
      </c>
      <c r="D21" s="686">
        <v>223651840</v>
      </c>
      <c r="E21" s="686">
        <v>4540</v>
      </c>
      <c r="F21" s="686">
        <v>4570</v>
      </c>
      <c r="G21" s="686">
        <v>4513.75</v>
      </c>
      <c r="H21" s="686">
        <v>4450</v>
      </c>
      <c r="I21" s="686">
        <v>3.06</v>
      </c>
      <c r="J21" s="686">
        <v>135</v>
      </c>
      <c r="K21" s="71">
        <f>YEAR(Accion[[#This Row],[fecha]])</f>
        <v>2019</v>
      </c>
      <c r="L21" s="310" t="str">
        <f>IF(Accion[[#This Row],[Precio Cierre]]=MAX(Accion[Precio Cierre]),Accion[[#This Row],[Precio Cierre]],"NA")</f>
        <v>NA</v>
      </c>
      <c r="M21" s="310" t="str">
        <f>IF(Accion[[#This Row],[Precio Cierre]]=MIN(Accion[Precio Cierre]),Accion[[#This Row],[Precio Cierre]],"NA")</f>
        <v>NA</v>
      </c>
    </row>
    <row r="22" spans="1:13">
      <c r="A22" s="685" t="s">
        <v>90</v>
      </c>
      <c r="B22" s="312">
        <v>43495</v>
      </c>
      <c r="C22" s="686">
        <v>75337</v>
      </c>
      <c r="D22" s="686">
        <v>346023800</v>
      </c>
      <c r="E22" s="686">
        <v>4575</v>
      </c>
      <c r="F22" s="686">
        <v>4600</v>
      </c>
      <c r="G22" s="686">
        <v>4593.01</v>
      </c>
      <c r="H22" s="686">
        <v>4575</v>
      </c>
      <c r="I22" s="686">
        <v>0.77</v>
      </c>
      <c r="J22" s="686">
        <v>35</v>
      </c>
      <c r="K22" s="71">
        <f>YEAR(Accion[[#This Row],[fecha]])</f>
        <v>2019</v>
      </c>
      <c r="L22" s="310" t="str">
        <f>IF(Accion[[#This Row],[Precio Cierre]]=MAX(Accion[Precio Cierre]),Accion[[#This Row],[Precio Cierre]],"NA")</f>
        <v>NA</v>
      </c>
      <c r="M22" s="310" t="str">
        <f>IF(Accion[[#This Row],[Precio Cierre]]=MIN(Accion[Precio Cierre]),Accion[[#This Row],[Precio Cierre]],"NA")</f>
        <v>NA</v>
      </c>
    </row>
    <row r="23" spans="1:13">
      <c r="A23" s="685" t="s">
        <v>90</v>
      </c>
      <c r="B23" s="312">
        <v>43496</v>
      </c>
      <c r="C23" s="686">
        <v>366272</v>
      </c>
      <c r="D23" s="686">
        <v>1611138835</v>
      </c>
      <c r="E23" s="686">
        <v>4360</v>
      </c>
      <c r="F23" s="686">
        <v>4660</v>
      </c>
      <c r="G23" s="686">
        <v>4398.75</v>
      </c>
      <c r="H23" s="686">
        <v>4360</v>
      </c>
      <c r="I23" s="686">
        <v>-4.7</v>
      </c>
      <c r="J23" s="686">
        <v>-215</v>
      </c>
      <c r="K23" s="71">
        <f>YEAR(Accion[[#This Row],[fecha]])</f>
        <v>2019</v>
      </c>
      <c r="L23" s="310" t="str">
        <f>IF(Accion[[#This Row],[Precio Cierre]]=MAX(Accion[Precio Cierre]),Accion[[#This Row],[Precio Cierre]],"NA")</f>
        <v>NA</v>
      </c>
      <c r="M23" s="310" t="str">
        <f>IF(Accion[[#This Row],[Precio Cierre]]=MIN(Accion[Precio Cierre]),Accion[[#This Row],[Precio Cierre]],"NA")</f>
        <v>NA</v>
      </c>
    </row>
    <row r="24" spans="1:13">
      <c r="A24" s="685" t="s">
        <v>90</v>
      </c>
      <c r="B24" s="312">
        <v>43497</v>
      </c>
      <c r="C24" s="686">
        <v>181426</v>
      </c>
      <c r="D24" s="686">
        <v>804407000</v>
      </c>
      <c r="E24" s="686">
        <v>4465</v>
      </c>
      <c r="F24" s="686">
        <v>4500</v>
      </c>
      <c r="G24" s="686">
        <v>4433.8</v>
      </c>
      <c r="H24" s="686">
        <v>4400</v>
      </c>
      <c r="I24" s="686">
        <v>2.41</v>
      </c>
      <c r="J24" s="686">
        <v>105</v>
      </c>
      <c r="K24" s="71">
        <f>YEAR(Accion[[#This Row],[fecha]])</f>
        <v>2019</v>
      </c>
      <c r="L24" s="310" t="str">
        <f>IF(Accion[[#This Row],[Precio Cierre]]=MAX(Accion[Precio Cierre]),Accion[[#This Row],[Precio Cierre]],"NA")</f>
        <v>NA</v>
      </c>
      <c r="M24" s="310" t="str">
        <f>IF(Accion[[#This Row],[Precio Cierre]]=MIN(Accion[Precio Cierre]),Accion[[#This Row],[Precio Cierre]],"NA")</f>
        <v>NA</v>
      </c>
    </row>
    <row r="25" spans="1:13">
      <c r="A25" s="685" t="s">
        <v>90</v>
      </c>
      <c r="B25" s="312">
        <v>43500</v>
      </c>
      <c r="C25" s="686">
        <v>120765</v>
      </c>
      <c r="D25" s="686">
        <v>544642640</v>
      </c>
      <c r="E25" s="686">
        <v>4555</v>
      </c>
      <c r="F25" s="686">
        <v>4555</v>
      </c>
      <c r="G25" s="686">
        <v>4509.9399999999996</v>
      </c>
      <c r="H25" s="686">
        <v>4460</v>
      </c>
      <c r="I25" s="686">
        <v>2.02</v>
      </c>
      <c r="J25" s="686">
        <v>90</v>
      </c>
      <c r="K25" s="71">
        <f>YEAR(Accion[[#This Row],[fecha]])</f>
        <v>2019</v>
      </c>
      <c r="L25" s="310" t="str">
        <f>IF(Accion[[#This Row],[Precio Cierre]]=MAX(Accion[Precio Cierre]),Accion[[#This Row],[Precio Cierre]],"NA")</f>
        <v>NA</v>
      </c>
      <c r="M25" s="310" t="str">
        <f>IF(Accion[[#This Row],[Precio Cierre]]=MIN(Accion[Precio Cierre]),Accion[[#This Row],[Precio Cierre]],"NA")</f>
        <v>NA</v>
      </c>
    </row>
    <row r="26" spans="1:13">
      <c r="A26" s="685" t="s">
        <v>90</v>
      </c>
      <c r="B26" s="312">
        <v>43501</v>
      </c>
      <c r="C26" s="686">
        <v>386080</v>
      </c>
      <c r="D26" s="686">
        <v>1776737025</v>
      </c>
      <c r="E26" s="686">
        <v>4580</v>
      </c>
      <c r="F26" s="686">
        <v>4660</v>
      </c>
      <c r="G26" s="686">
        <v>4601.99</v>
      </c>
      <c r="H26" s="686">
        <v>4560</v>
      </c>
      <c r="I26" s="686">
        <v>0.55000000000000004</v>
      </c>
      <c r="J26" s="686">
        <v>25</v>
      </c>
      <c r="K26" s="71">
        <f>YEAR(Accion[[#This Row],[fecha]])</f>
        <v>2019</v>
      </c>
      <c r="L26" s="310" t="str">
        <f>IF(Accion[[#This Row],[Precio Cierre]]=MAX(Accion[Precio Cierre]),Accion[[#This Row],[Precio Cierre]],"NA")</f>
        <v>NA</v>
      </c>
      <c r="M26" s="310" t="str">
        <f>IF(Accion[[#This Row],[Precio Cierre]]=MIN(Accion[Precio Cierre]),Accion[[#This Row],[Precio Cierre]],"NA")</f>
        <v>NA</v>
      </c>
    </row>
    <row r="27" spans="1:13">
      <c r="A27" s="685" t="s">
        <v>90</v>
      </c>
      <c r="B27" s="312">
        <v>43502</v>
      </c>
      <c r="C27" s="686">
        <v>779631</v>
      </c>
      <c r="D27" s="686">
        <v>3631402030</v>
      </c>
      <c r="E27" s="686">
        <v>4800</v>
      </c>
      <c r="F27" s="686">
        <v>4975</v>
      </c>
      <c r="G27" s="686">
        <v>4657.8500000000004</v>
      </c>
      <c r="H27" s="686">
        <v>4580</v>
      </c>
      <c r="I27" s="686">
        <v>4.8</v>
      </c>
      <c r="J27" s="686">
        <v>220</v>
      </c>
      <c r="K27" s="71">
        <f>YEAR(Accion[[#This Row],[fecha]])</f>
        <v>2019</v>
      </c>
      <c r="L27" s="310" t="str">
        <f>IF(Accion[[#This Row],[Precio Cierre]]=MAX(Accion[Precio Cierre]),Accion[[#This Row],[Precio Cierre]],"NA")</f>
        <v>NA</v>
      </c>
      <c r="M27" s="310" t="str">
        <f>IF(Accion[[#This Row],[Precio Cierre]]=MIN(Accion[Precio Cierre]),Accion[[#This Row],[Precio Cierre]],"NA")</f>
        <v>NA</v>
      </c>
    </row>
    <row r="28" spans="1:13">
      <c r="A28" s="685" t="s">
        <v>90</v>
      </c>
      <c r="B28" s="312">
        <v>43503</v>
      </c>
      <c r="C28" s="686">
        <v>254811</v>
      </c>
      <c r="D28" s="686">
        <v>1190702070</v>
      </c>
      <c r="E28" s="686">
        <v>4625</v>
      </c>
      <c r="F28" s="686">
        <v>4855</v>
      </c>
      <c r="G28" s="686">
        <v>4672.88</v>
      </c>
      <c r="H28" s="686">
        <v>4600</v>
      </c>
      <c r="I28" s="686">
        <v>-3.65</v>
      </c>
      <c r="J28" s="686">
        <v>-175</v>
      </c>
      <c r="K28" s="71">
        <f>YEAR(Accion[[#This Row],[fecha]])</f>
        <v>2019</v>
      </c>
      <c r="L28" s="310" t="str">
        <f>IF(Accion[[#This Row],[Precio Cierre]]=MAX(Accion[Precio Cierre]),Accion[[#This Row],[Precio Cierre]],"NA")</f>
        <v>NA</v>
      </c>
      <c r="M28" s="310" t="str">
        <f>IF(Accion[[#This Row],[Precio Cierre]]=MIN(Accion[Precio Cierre]),Accion[[#This Row],[Precio Cierre]],"NA")</f>
        <v>NA</v>
      </c>
    </row>
    <row r="29" spans="1:13">
      <c r="A29" s="685" t="s">
        <v>90</v>
      </c>
      <c r="B29" s="312">
        <v>43504</v>
      </c>
      <c r="C29" s="686">
        <v>275997</v>
      </c>
      <c r="D29" s="686">
        <v>1304752830</v>
      </c>
      <c r="E29" s="686">
        <v>4890</v>
      </c>
      <c r="F29" s="686">
        <v>4890</v>
      </c>
      <c r="G29" s="686">
        <v>4727.42</v>
      </c>
      <c r="H29" s="686">
        <v>4700</v>
      </c>
      <c r="I29" s="686">
        <v>5.73</v>
      </c>
      <c r="J29" s="686">
        <v>265</v>
      </c>
      <c r="K29" s="71">
        <f>YEAR(Accion[[#This Row],[fecha]])</f>
        <v>2019</v>
      </c>
      <c r="L29" s="310" t="str">
        <f>IF(Accion[[#This Row],[Precio Cierre]]=MAX(Accion[Precio Cierre]),Accion[[#This Row],[Precio Cierre]],"NA")</f>
        <v>NA</v>
      </c>
      <c r="M29" s="310" t="str">
        <f>IF(Accion[[#This Row],[Precio Cierre]]=MIN(Accion[Precio Cierre]),Accion[[#This Row],[Precio Cierre]],"NA")</f>
        <v>NA</v>
      </c>
    </row>
    <row r="30" spans="1:13">
      <c r="A30" s="685" t="s">
        <v>90</v>
      </c>
      <c r="B30" s="312">
        <v>43507</v>
      </c>
      <c r="C30" s="686">
        <v>680204</v>
      </c>
      <c r="D30" s="686">
        <v>3327482660</v>
      </c>
      <c r="E30" s="686">
        <v>4930</v>
      </c>
      <c r="F30" s="686">
        <v>5000</v>
      </c>
      <c r="G30" s="686">
        <v>4891.8900000000003</v>
      </c>
      <c r="H30" s="686">
        <v>4780</v>
      </c>
      <c r="I30" s="686">
        <v>0.82</v>
      </c>
      <c r="J30" s="686">
        <v>40</v>
      </c>
      <c r="K30" s="71">
        <f>YEAR(Accion[[#This Row],[fecha]])</f>
        <v>2019</v>
      </c>
      <c r="L30" s="310" t="str">
        <f>IF(Accion[[#This Row],[Precio Cierre]]=MAX(Accion[Precio Cierre]),Accion[[#This Row],[Precio Cierre]],"NA")</f>
        <v>NA</v>
      </c>
      <c r="M30" s="310" t="str">
        <f>IF(Accion[[#This Row],[Precio Cierre]]=MIN(Accion[Precio Cierre]),Accion[[#This Row],[Precio Cierre]],"NA")</f>
        <v>NA</v>
      </c>
    </row>
    <row r="31" spans="1:13">
      <c r="A31" s="685" t="s">
        <v>90</v>
      </c>
      <c r="B31" s="312">
        <v>43508</v>
      </c>
      <c r="C31" s="686">
        <v>368650</v>
      </c>
      <c r="D31" s="686">
        <v>1799786420</v>
      </c>
      <c r="E31" s="686">
        <v>4840</v>
      </c>
      <c r="F31" s="686">
        <v>5010</v>
      </c>
      <c r="G31" s="686">
        <v>4882.1000000000004</v>
      </c>
      <c r="H31" s="686">
        <v>4840</v>
      </c>
      <c r="I31" s="686">
        <v>-1.83</v>
      </c>
      <c r="J31" s="686">
        <v>-90</v>
      </c>
      <c r="K31" s="71">
        <f>YEAR(Accion[[#This Row],[fecha]])</f>
        <v>2019</v>
      </c>
      <c r="L31" s="310" t="str">
        <f>IF(Accion[[#This Row],[Precio Cierre]]=MAX(Accion[Precio Cierre]),Accion[[#This Row],[Precio Cierre]],"NA")</f>
        <v>NA</v>
      </c>
      <c r="M31" s="310" t="str">
        <f>IF(Accion[[#This Row],[Precio Cierre]]=MIN(Accion[Precio Cierre]),Accion[[#This Row],[Precio Cierre]],"NA")</f>
        <v>NA</v>
      </c>
    </row>
    <row r="32" spans="1:13">
      <c r="A32" s="685" t="s">
        <v>90</v>
      </c>
      <c r="B32" s="312">
        <v>43509</v>
      </c>
      <c r="C32" s="686">
        <v>188091</v>
      </c>
      <c r="D32" s="686">
        <v>904426630</v>
      </c>
      <c r="E32" s="686">
        <v>4800</v>
      </c>
      <c r="F32" s="686">
        <v>4940</v>
      </c>
      <c r="G32" s="686">
        <v>4808.45</v>
      </c>
      <c r="H32" s="686">
        <v>4750</v>
      </c>
      <c r="I32" s="686">
        <v>-0.83</v>
      </c>
      <c r="J32" s="686">
        <v>-40</v>
      </c>
      <c r="K32" s="71">
        <f>YEAR(Accion[[#This Row],[fecha]])</f>
        <v>2019</v>
      </c>
      <c r="L32" s="310" t="str">
        <f>IF(Accion[[#This Row],[Precio Cierre]]=MAX(Accion[Precio Cierre]),Accion[[#This Row],[Precio Cierre]],"NA")</f>
        <v>NA</v>
      </c>
      <c r="M32" s="310" t="str">
        <f>IF(Accion[[#This Row],[Precio Cierre]]=MIN(Accion[Precio Cierre]),Accion[[#This Row],[Precio Cierre]],"NA")</f>
        <v>NA</v>
      </c>
    </row>
    <row r="33" spans="1:13">
      <c r="A33" s="685" t="s">
        <v>90</v>
      </c>
      <c r="B33" s="312">
        <v>43510</v>
      </c>
      <c r="C33" s="686">
        <v>272504</v>
      </c>
      <c r="D33" s="686">
        <v>1342767190</v>
      </c>
      <c r="E33" s="686">
        <v>4980</v>
      </c>
      <c r="F33" s="686">
        <v>5100</v>
      </c>
      <c r="G33" s="686">
        <v>4927.51</v>
      </c>
      <c r="H33" s="686">
        <v>4760</v>
      </c>
      <c r="I33" s="686">
        <v>3.75</v>
      </c>
      <c r="J33" s="686">
        <v>180</v>
      </c>
      <c r="K33" s="71">
        <f>YEAR(Accion[[#This Row],[fecha]])</f>
        <v>2019</v>
      </c>
      <c r="L33" s="310" t="str">
        <f>IF(Accion[[#This Row],[Precio Cierre]]=MAX(Accion[Precio Cierre]),Accion[[#This Row],[Precio Cierre]],"NA")</f>
        <v>NA</v>
      </c>
      <c r="M33" s="310" t="str">
        <f>IF(Accion[[#This Row],[Precio Cierre]]=MIN(Accion[Precio Cierre]),Accion[[#This Row],[Precio Cierre]],"NA")</f>
        <v>NA</v>
      </c>
    </row>
    <row r="34" spans="1:13">
      <c r="A34" s="685" t="s">
        <v>90</v>
      </c>
      <c r="B34" s="312">
        <v>43511</v>
      </c>
      <c r="C34" s="686">
        <v>697132</v>
      </c>
      <c r="D34" s="686">
        <v>3595687970</v>
      </c>
      <c r="E34" s="686">
        <v>5170</v>
      </c>
      <c r="F34" s="686">
        <v>5220</v>
      </c>
      <c r="G34" s="686">
        <v>5157.83</v>
      </c>
      <c r="H34" s="686">
        <v>4985</v>
      </c>
      <c r="I34" s="686">
        <v>3.82</v>
      </c>
      <c r="J34" s="686">
        <v>190</v>
      </c>
      <c r="K34" s="71">
        <f>YEAR(Accion[[#This Row],[fecha]])</f>
        <v>2019</v>
      </c>
      <c r="L34" s="310" t="str">
        <f>IF(Accion[[#This Row],[Precio Cierre]]=MAX(Accion[Precio Cierre]),Accion[[#This Row],[Precio Cierre]],"NA")</f>
        <v>NA</v>
      </c>
      <c r="M34" s="310" t="str">
        <f>IF(Accion[[#This Row],[Precio Cierre]]=MIN(Accion[Precio Cierre]),Accion[[#This Row],[Precio Cierre]],"NA")</f>
        <v>NA</v>
      </c>
    </row>
    <row r="35" spans="1:13">
      <c r="A35" s="685" t="s">
        <v>90</v>
      </c>
      <c r="B35" s="312">
        <v>43514</v>
      </c>
      <c r="C35" s="686">
        <v>443353</v>
      </c>
      <c r="D35" s="686">
        <v>2445464070</v>
      </c>
      <c r="E35" s="686">
        <v>5610</v>
      </c>
      <c r="F35" s="686">
        <v>5610</v>
      </c>
      <c r="G35" s="686">
        <v>5515.84</v>
      </c>
      <c r="H35" s="686">
        <v>5280</v>
      </c>
      <c r="I35" s="686">
        <v>8.51</v>
      </c>
      <c r="J35" s="686">
        <v>440</v>
      </c>
      <c r="K35" s="71">
        <f>YEAR(Accion[[#This Row],[fecha]])</f>
        <v>2019</v>
      </c>
      <c r="L35" s="310" t="str">
        <f>IF(Accion[[#This Row],[Precio Cierre]]=MAX(Accion[Precio Cierre]),Accion[[#This Row],[Precio Cierre]],"NA")</f>
        <v>NA</v>
      </c>
      <c r="M35" s="310" t="str">
        <f>IF(Accion[[#This Row],[Precio Cierre]]=MIN(Accion[Precio Cierre]),Accion[[#This Row],[Precio Cierre]],"NA")</f>
        <v>NA</v>
      </c>
    </row>
    <row r="36" spans="1:13">
      <c r="A36" s="685" t="s">
        <v>90</v>
      </c>
      <c r="B36" s="312">
        <v>43515</v>
      </c>
      <c r="C36" s="686">
        <v>838643</v>
      </c>
      <c r="D36" s="686">
        <v>4616079580</v>
      </c>
      <c r="E36" s="686">
        <v>5430</v>
      </c>
      <c r="F36" s="686">
        <v>5640</v>
      </c>
      <c r="G36" s="686">
        <v>5504.22</v>
      </c>
      <c r="H36" s="686">
        <v>5400</v>
      </c>
      <c r="I36" s="686">
        <v>-3.21</v>
      </c>
      <c r="J36" s="686">
        <v>-180</v>
      </c>
      <c r="K36" s="71">
        <f>YEAR(Accion[[#This Row],[fecha]])</f>
        <v>2019</v>
      </c>
      <c r="L36" s="310" t="str">
        <f>IF(Accion[[#This Row],[Precio Cierre]]=MAX(Accion[Precio Cierre]),Accion[[#This Row],[Precio Cierre]],"NA")</f>
        <v>NA</v>
      </c>
      <c r="M36" s="310" t="str">
        <f>IF(Accion[[#This Row],[Precio Cierre]]=MIN(Accion[Precio Cierre]),Accion[[#This Row],[Precio Cierre]],"NA")</f>
        <v>NA</v>
      </c>
    </row>
    <row r="37" spans="1:13">
      <c r="A37" s="685" t="s">
        <v>90</v>
      </c>
      <c r="B37" s="312">
        <v>43516</v>
      </c>
      <c r="C37" s="686">
        <v>471499</v>
      </c>
      <c r="D37" s="686">
        <v>2545863790</v>
      </c>
      <c r="E37" s="686">
        <v>5410</v>
      </c>
      <c r="F37" s="686">
        <v>5490</v>
      </c>
      <c r="G37" s="686">
        <v>5399.51</v>
      </c>
      <c r="H37" s="686">
        <v>5240</v>
      </c>
      <c r="I37" s="686">
        <v>-0.37</v>
      </c>
      <c r="J37" s="686">
        <v>-20</v>
      </c>
      <c r="K37" s="71">
        <f>YEAR(Accion[[#This Row],[fecha]])</f>
        <v>2019</v>
      </c>
      <c r="L37" s="310" t="str">
        <f>IF(Accion[[#This Row],[Precio Cierre]]=MAX(Accion[Precio Cierre]),Accion[[#This Row],[Precio Cierre]],"NA")</f>
        <v>NA</v>
      </c>
      <c r="M37" s="310" t="str">
        <f>IF(Accion[[#This Row],[Precio Cierre]]=MIN(Accion[Precio Cierre]),Accion[[#This Row],[Precio Cierre]],"NA")</f>
        <v>NA</v>
      </c>
    </row>
    <row r="38" spans="1:13">
      <c r="A38" s="685" t="s">
        <v>90</v>
      </c>
      <c r="B38" s="312">
        <v>43517</v>
      </c>
      <c r="C38" s="686">
        <v>644441</v>
      </c>
      <c r="D38" s="686">
        <v>3297149820</v>
      </c>
      <c r="E38" s="686">
        <v>5120</v>
      </c>
      <c r="F38" s="686">
        <v>5350</v>
      </c>
      <c r="G38" s="686">
        <v>5116.29</v>
      </c>
      <c r="H38" s="686">
        <v>4985</v>
      </c>
      <c r="I38" s="686">
        <v>-5.36</v>
      </c>
      <c r="J38" s="686">
        <v>-290</v>
      </c>
      <c r="K38" s="71">
        <f>YEAR(Accion[[#This Row],[fecha]])</f>
        <v>2019</v>
      </c>
      <c r="L38" s="310" t="str">
        <f>IF(Accion[[#This Row],[Precio Cierre]]=MAX(Accion[Precio Cierre]),Accion[[#This Row],[Precio Cierre]],"NA")</f>
        <v>NA</v>
      </c>
      <c r="M38" s="310" t="str">
        <f>IF(Accion[[#This Row],[Precio Cierre]]=MIN(Accion[Precio Cierre]),Accion[[#This Row],[Precio Cierre]],"NA")</f>
        <v>NA</v>
      </c>
    </row>
    <row r="39" spans="1:13">
      <c r="A39" s="685" t="s">
        <v>90</v>
      </c>
      <c r="B39" s="312">
        <v>43518</v>
      </c>
      <c r="C39" s="686">
        <v>425165</v>
      </c>
      <c r="D39" s="686">
        <v>2074265985</v>
      </c>
      <c r="E39" s="686">
        <v>4800</v>
      </c>
      <c r="F39" s="686">
        <v>5120</v>
      </c>
      <c r="G39" s="686">
        <v>4878.7299999999996</v>
      </c>
      <c r="H39" s="686">
        <v>4800</v>
      </c>
      <c r="I39" s="686">
        <v>-6.25</v>
      </c>
      <c r="J39" s="686">
        <v>-320</v>
      </c>
      <c r="K39" s="71">
        <f>YEAR(Accion[[#This Row],[fecha]])</f>
        <v>2019</v>
      </c>
      <c r="L39" s="310" t="str">
        <f>IF(Accion[[#This Row],[Precio Cierre]]=MAX(Accion[Precio Cierre]),Accion[[#This Row],[Precio Cierre]],"NA")</f>
        <v>NA</v>
      </c>
      <c r="M39" s="310" t="str">
        <f>IF(Accion[[#This Row],[Precio Cierre]]=MIN(Accion[Precio Cierre]),Accion[[#This Row],[Precio Cierre]],"NA")</f>
        <v>NA</v>
      </c>
    </row>
    <row r="40" spans="1:13">
      <c r="A40" s="685" t="s">
        <v>90</v>
      </c>
      <c r="B40" s="312">
        <v>43521</v>
      </c>
      <c r="C40" s="686">
        <v>524293</v>
      </c>
      <c r="D40" s="686">
        <v>2478694305</v>
      </c>
      <c r="E40" s="686">
        <v>4690</v>
      </c>
      <c r="F40" s="686">
        <v>4900</v>
      </c>
      <c r="G40" s="686">
        <v>4727.6899999999996</v>
      </c>
      <c r="H40" s="686">
        <v>4680</v>
      </c>
      <c r="I40" s="686">
        <v>-2.29</v>
      </c>
      <c r="J40" s="686">
        <v>-110</v>
      </c>
      <c r="K40" s="71">
        <f>YEAR(Accion[[#This Row],[fecha]])</f>
        <v>2019</v>
      </c>
      <c r="L40" s="310" t="str">
        <f>IF(Accion[[#This Row],[Precio Cierre]]=MAX(Accion[Precio Cierre]),Accion[[#This Row],[Precio Cierre]],"NA")</f>
        <v>NA</v>
      </c>
      <c r="M40" s="310" t="str">
        <f>IF(Accion[[#This Row],[Precio Cierre]]=MIN(Accion[Precio Cierre]),Accion[[#This Row],[Precio Cierre]],"NA")</f>
        <v>NA</v>
      </c>
    </row>
    <row r="41" spans="1:13">
      <c r="A41" s="685" t="s">
        <v>90</v>
      </c>
      <c r="B41" s="312">
        <v>43522</v>
      </c>
      <c r="C41" s="686">
        <v>338961</v>
      </c>
      <c r="D41" s="686">
        <v>1654699990</v>
      </c>
      <c r="E41" s="686">
        <v>4880</v>
      </c>
      <c r="F41" s="686">
        <v>4905</v>
      </c>
      <c r="G41" s="686">
        <v>4881.68</v>
      </c>
      <c r="H41" s="686">
        <v>4735</v>
      </c>
      <c r="I41" s="686">
        <v>4.05</v>
      </c>
      <c r="J41" s="686">
        <v>190</v>
      </c>
      <c r="K41" s="71">
        <f>YEAR(Accion[[#This Row],[fecha]])</f>
        <v>2019</v>
      </c>
      <c r="L41" s="310" t="str">
        <f>IF(Accion[[#This Row],[Precio Cierre]]=MAX(Accion[Precio Cierre]),Accion[[#This Row],[Precio Cierre]],"NA")</f>
        <v>NA</v>
      </c>
      <c r="M41" s="310" t="str">
        <f>IF(Accion[[#This Row],[Precio Cierre]]=MIN(Accion[Precio Cierre]),Accion[[#This Row],[Precio Cierre]],"NA")</f>
        <v>NA</v>
      </c>
    </row>
    <row r="42" spans="1:13">
      <c r="A42" s="685" t="s">
        <v>90</v>
      </c>
      <c r="B42" s="312">
        <v>43523</v>
      </c>
      <c r="C42" s="686">
        <v>119674</v>
      </c>
      <c r="D42" s="686">
        <v>593571000</v>
      </c>
      <c r="E42" s="686">
        <v>4980</v>
      </c>
      <c r="F42" s="686">
        <v>4990</v>
      </c>
      <c r="G42" s="686">
        <v>4959.8999999999996</v>
      </c>
      <c r="H42" s="686">
        <v>4900</v>
      </c>
      <c r="I42" s="686">
        <v>2.0499999999999998</v>
      </c>
      <c r="J42" s="686">
        <v>100</v>
      </c>
      <c r="K42" s="71">
        <f>YEAR(Accion[[#This Row],[fecha]])</f>
        <v>2019</v>
      </c>
      <c r="L42" s="310" t="str">
        <f>IF(Accion[[#This Row],[Precio Cierre]]=MAX(Accion[Precio Cierre]),Accion[[#This Row],[Precio Cierre]],"NA")</f>
        <v>NA</v>
      </c>
      <c r="M42" s="310" t="str">
        <f>IF(Accion[[#This Row],[Precio Cierre]]=MIN(Accion[Precio Cierre]),Accion[[#This Row],[Precio Cierre]],"NA")</f>
        <v>NA</v>
      </c>
    </row>
    <row r="43" spans="1:13">
      <c r="A43" s="685" t="s">
        <v>90</v>
      </c>
      <c r="B43" s="312">
        <v>43524</v>
      </c>
      <c r="C43" s="686">
        <v>852487</v>
      </c>
      <c r="D43" s="686">
        <v>4286090610</v>
      </c>
      <c r="E43" s="686">
        <v>5000</v>
      </c>
      <c r="F43" s="686">
        <v>5180</v>
      </c>
      <c r="G43" s="686">
        <v>5027.75</v>
      </c>
      <c r="H43" s="686">
        <v>5000</v>
      </c>
      <c r="I43" s="686">
        <v>0.4</v>
      </c>
      <c r="J43" s="686">
        <v>20</v>
      </c>
      <c r="K43" s="71">
        <f>YEAR(Accion[[#This Row],[fecha]])</f>
        <v>2019</v>
      </c>
      <c r="L43" s="310" t="str">
        <f>IF(Accion[[#This Row],[Precio Cierre]]=MAX(Accion[Precio Cierre]),Accion[[#This Row],[Precio Cierre]],"NA")</f>
        <v>NA</v>
      </c>
      <c r="M43" s="310" t="str">
        <f>IF(Accion[[#This Row],[Precio Cierre]]=MIN(Accion[Precio Cierre]),Accion[[#This Row],[Precio Cierre]],"NA")</f>
        <v>NA</v>
      </c>
    </row>
    <row r="44" spans="1:13">
      <c r="A44" s="685" t="s">
        <v>90</v>
      </c>
      <c r="B44" s="312">
        <v>43525</v>
      </c>
      <c r="C44" s="686">
        <v>44017</v>
      </c>
      <c r="D44" s="686">
        <v>217769825</v>
      </c>
      <c r="E44" s="686">
        <v>4945</v>
      </c>
      <c r="F44" s="686">
        <v>4980</v>
      </c>
      <c r="G44" s="686">
        <v>4947.3999999999996</v>
      </c>
      <c r="H44" s="686">
        <v>4880</v>
      </c>
      <c r="I44" s="686">
        <v>-1.1000000000000001</v>
      </c>
      <c r="J44" s="686">
        <v>-55</v>
      </c>
      <c r="K44" s="71">
        <f>YEAR(Accion[[#This Row],[fecha]])</f>
        <v>2019</v>
      </c>
      <c r="L44" s="310" t="str">
        <f>IF(Accion[[#This Row],[Precio Cierre]]=MAX(Accion[Precio Cierre]),Accion[[#This Row],[Precio Cierre]],"NA")</f>
        <v>NA</v>
      </c>
      <c r="M44" s="310" t="str">
        <f>IF(Accion[[#This Row],[Precio Cierre]]=MIN(Accion[Precio Cierre]),Accion[[#This Row],[Precio Cierre]],"NA")</f>
        <v>NA</v>
      </c>
    </row>
    <row r="45" spans="1:13">
      <c r="A45" s="685" t="s">
        <v>90</v>
      </c>
      <c r="B45" s="312">
        <v>43528</v>
      </c>
      <c r="C45" s="686">
        <v>47785</v>
      </c>
      <c r="D45" s="686">
        <v>234127420</v>
      </c>
      <c r="E45" s="686">
        <v>4855</v>
      </c>
      <c r="F45" s="686">
        <v>4945</v>
      </c>
      <c r="G45" s="686">
        <v>4899.6000000000004</v>
      </c>
      <c r="H45" s="686">
        <v>4850</v>
      </c>
      <c r="I45" s="686">
        <v>-1.82</v>
      </c>
      <c r="J45" s="686">
        <v>-90</v>
      </c>
      <c r="K45" s="71">
        <f>YEAR(Accion[[#This Row],[fecha]])</f>
        <v>2019</v>
      </c>
      <c r="L45" s="310" t="str">
        <f>IF(Accion[[#This Row],[Precio Cierre]]=MAX(Accion[Precio Cierre]),Accion[[#This Row],[Precio Cierre]],"NA")</f>
        <v>NA</v>
      </c>
      <c r="M45" s="310" t="str">
        <f>IF(Accion[[#This Row],[Precio Cierre]]=MIN(Accion[Precio Cierre]),Accion[[#This Row],[Precio Cierre]],"NA")</f>
        <v>NA</v>
      </c>
    </row>
    <row r="46" spans="1:13">
      <c r="A46" s="685" t="s">
        <v>90</v>
      </c>
      <c r="B46" s="312">
        <v>43529</v>
      </c>
      <c r="C46" s="686">
        <v>84478</v>
      </c>
      <c r="D46" s="686">
        <v>407657930</v>
      </c>
      <c r="E46" s="686">
        <v>4795</v>
      </c>
      <c r="F46" s="686">
        <v>4870</v>
      </c>
      <c r="G46" s="686">
        <v>4825.6099999999997</v>
      </c>
      <c r="H46" s="686">
        <v>4770</v>
      </c>
      <c r="I46" s="686">
        <v>-1.24</v>
      </c>
      <c r="J46" s="686">
        <v>-60</v>
      </c>
      <c r="K46" s="71">
        <f>YEAR(Accion[[#This Row],[fecha]])</f>
        <v>2019</v>
      </c>
      <c r="L46" s="310" t="str">
        <f>IF(Accion[[#This Row],[Precio Cierre]]=MAX(Accion[Precio Cierre]),Accion[[#This Row],[Precio Cierre]],"NA")</f>
        <v>NA</v>
      </c>
      <c r="M46" s="310" t="str">
        <f>IF(Accion[[#This Row],[Precio Cierre]]=MIN(Accion[Precio Cierre]),Accion[[#This Row],[Precio Cierre]],"NA")</f>
        <v>NA</v>
      </c>
    </row>
    <row r="47" spans="1:13">
      <c r="A47" s="685" t="s">
        <v>90</v>
      </c>
      <c r="B47" s="312">
        <v>43530</v>
      </c>
      <c r="C47" s="686">
        <v>85717</v>
      </c>
      <c r="D47" s="686">
        <v>411395615</v>
      </c>
      <c r="E47" s="686">
        <v>4790</v>
      </c>
      <c r="F47" s="686">
        <v>4800</v>
      </c>
      <c r="G47" s="686">
        <v>4799.46</v>
      </c>
      <c r="H47" s="686">
        <v>4790</v>
      </c>
      <c r="I47" s="686">
        <v>-0.1</v>
      </c>
      <c r="J47" s="686">
        <v>-5</v>
      </c>
      <c r="K47" s="71">
        <f>YEAR(Accion[[#This Row],[fecha]])</f>
        <v>2019</v>
      </c>
      <c r="L47" s="310" t="str">
        <f>IF(Accion[[#This Row],[Precio Cierre]]=MAX(Accion[Precio Cierre]),Accion[[#This Row],[Precio Cierre]],"NA")</f>
        <v>NA</v>
      </c>
      <c r="M47" s="310" t="str">
        <f>IF(Accion[[#This Row],[Precio Cierre]]=MIN(Accion[Precio Cierre]),Accion[[#This Row],[Precio Cierre]],"NA")</f>
        <v>NA</v>
      </c>
    </row>
    <row r="48" spans="1:13">
      <c r="A48" s="685" t="s">
        <v>90</v>
      </c>
      <c r="B48" s="312">
        <v>43531</v>
      </c>
      <c r="C48" s="686">
        <v>78234</v>
      </c>
      <c r="D48" s="686">
        <v>366158950</v>
      </c>
      <c r="E48" s="686">
        <v>4600</v>
      </c>
      <c r="F48" s="686">
        <v>4725</v>
      </c>
      <c r="G48" s="686">
        <v>4680.3</v>
      </c>
      <c r="H48" s="686">
        <v>4600</v>
      </c>
      <c r="I48" s="686">
        <v>-3.97</v>
      </c>
      <c r="J48" s="686">
        <v>-190</v>
      </c>
      <c r="K48" s="71">
        <f>YEAR(Accion[[#This Row],[fecha]])</f>
        <v>2019</v>
      </c>
      <c r="L48" s="310" t="str">
        <f>IF(Accion[[#This Row],[Precio Cierre]]=MAX(Accion[Precio Cierre]),Accion[[#This Row],[Precio Cierre]],"NA")</f>
        <v>NA</v>
      </c>
      <c r="M48" s="310" t="str">
        <f>IF(Accion[[#This Row],[Precio Cierre]]=MIN(Accion[Precio Cierre]),Accion[[#This Row],[Precio Cierre]],"NA")</f>
        <v>NA</v>
      </c>
    </row>
    <row r="49" spans="1:13">
      <c r="A49" s="685" t="s">
        <v>90</v>
      </c>
      <c r="B49" s="312">
        <v>43532</v>
      </c>
      <c r="C49" s="686">
        <v>200223</v>
      </c>
      <c r="D49" s="686">
        <v>903402830</v>
      </c>
      <c r="E49" s="686">
        <v>4505</v>
      </c>
      <c r="F49" s="686">
        <v>4630</v>
      </c>
      <c r="G49" s="686">
        <v>4511.9799999999996</v>
      </c>
      <c r="H49" s="686">
        <v>4500</v>
      </c>
      <c r="I49" s="686">
        <v>-2.0699999999999998</v>
      </c>
      <c r="J49" s="686">
        <v>-95</v>
      </c>
      <c r="K49" s="71">
        <f>YEAR(Accion[[#This Row],[fecha]])</f>
        <v>2019</v>
      </c>
      <c r="L49" s="310" t="str">
        <f>IF(Accion[[#This Row],[Precio Cierre]]=MAX(Accion[Precio Cierre]),Accion[[#This Row],[Precio Cierre]],"NA")</f>
        <v>NA</v>
      </c>
      <c r="M49" s="310" t="str">
        <f>IF(Accion[[#This Row],[Precio Cierre]]=MIN(Accion[Precio Cierre]),Accion[[#This Row],[Precio Cierre]],"NA")</f>
        <v>NA</v>
      </c>
    </row>
    <row r="50" spans="1:13">
      <c r="A50" s="685" t="s">
        <v>90</v>
      </c>
      <c r="B50" s="312">
        <v>43535</v>
      </c>
      <c r="C50" s="686">
        <v>50559</v>
      </c>
      <c r="D50" s="686">
        <v>232459690</v>
      </c>
      <c r="E50" s="686">
        <v>4610</v>
      </c>
      <c r="F50" s="686">
        <v>4660</v>
      </c>
      <c r="G50" s="686">
        <v>4597.79</v>
      </c>
      <c r="H50" s="686">
        <v>4570</v>
      </c>
      <c r="I50" s="686">
        <v>2.33</v>
      </c>
      <c r="J50" s="686">
        <v>105</v>
      </c>
      <c r="K50" s="71">
        <f>YEAR(Accion[[#This Row],[fecha]])</f>
        <v>2019</v>
      </c>
      <c r="L50" s="310" t="str">
        <f>IF(Accion[[#This Row],[Precio Cierre]]=MAX(Accion[Precio Cierre]),Accion[[#This Row],[Precio Cierre]],"NA")</f>
        <v>NA</v>
      </c>
      <c r="M50" s="310" t="str">
        <f>IF(Accion[[#This Row],[Precio Cierre]]=MIN(Accion[Precio Cierre]),Accion[[#This Row],[Precio Cierre]],"NA")</f>
        <v>NA</v>
      </c>
    </row>
    <row r="51" spans="1:13">
      <c r="A51" s="685" t="s">
        <v>90</v>
      </c>
      <c r="B51" s="312">
        <v>43536</v>
      </c>
      <c r="C51" s="686">
        <v>31592</v>
      </c>
      <c r="D51" s="686">
        <v>146906350</v>
      </c>
      <c r="E51" s="686">
        <v>4670</v>
      </c>
      <c r="F51" s="686">
        <v>4770</v>
      </c>
      <c r="G51" s="686">
        <v>4650.1099999999997</v>
      </c>
      <c r="H51" s="686">
        <v>4625</v>
      </c>
      <c r="I51" s="686">
        <v>1.3</v>
      </c>
      <c r="J51" s="686">
        <v>60</v>
      </c>
      <c r="K51" s="71">
        <f>YEAR(Accion[[#This Row],[fecha]])</f>
        <v>2019</v>
      </c>
      <c r="L51" s="310" t="str">
        <f>IF(Accion[[#This Row],[Precio Cierre]]=MAX(Accion[Precio Cierre]),Accion[[#This Row],[Precio Cierre]],"NA")</f>
        <v>NA</v>
      </c>
      <c r="M51" s="310" t="str">
        <f>IF(Accion[[#This Row],[Precio Cierre]]=MIN(Accion[Precio Cierre]),Accion[[#This Row],[Precio Cierre]],"NA")</f>
        <v>NA</v>
      </c>
    </row>
    <row r="52" spans="1:13">
      <c r="A52" s="685" t="s">
        <v>90</v>
      </c>
      <c r="B52" s="312">
        <v>43537</v>
      </c>
      <c r="C52" s="686">
        <v>291872</v>
      </c>
      <c r="D52" s="686">
        <v>1381114490</v>
      </c>
      <c r="E52" s="686">
        <v>4735</v>
      </c>
      <c r="F52" s="686">
        <v>4800</v>
      </c>
      <c r="G52" s="686">
        <v>4731.92</v>
      </c>
      <c r="H52" s="686">
        <v>4700</v>
      </c>
      <c r="I52" s="686">
        <v>1.39</v>
      </c>
      <c r="J52" s="686">
        <v>65</v>
      </c>
      <c r="K52" s="71">
        <f>YEAR(Accion[[#This Row],[fecha]])</f>
        <v>2019</v>
      </c>
      <c r="L52" s="310" t="str">
        <f>IF(Accion[[#This Row],[Precio Cierre]]=MAX(Accion[Precio Cierre]),Accion[[#This Row],[Precio Cierre]],"NA")</f>
        <v>NA</v>
      </c>
      <c r="M52" s="310" t="str">
        <f>IF(Accion[[#This Row],[Precio Cierre]]=MIN(Accion[Precio Cierre]),Accion[[#This Row],[Precio Cierre]],"NA")</f>
        <v>NA</v>
      </c>
    </row>
    <row r="53" spans="1:13">
      <c r="A53" s="685" t="s">
        <v>90</v>
      </c>
      <c r="B53" s="312">
        <v>43538</v>
      </c>
      <c r="C53" s="686">
        <v>364703</v>
      </c>
      <c r="D53" s="686">
        <v>1667968000</v>
      </c>
      <c r="E53" s="686">
        <v>4520</v>
      </c>
      <c r="F53" s="686">
        <v>4725</v>
      </c>
      <c r="G53" s="686">
        <v>4573.5</v>
      </c>
      <c r="H53" s="686">
        <v>4515</v>
      </c>
      <c r="I53" s="686">
        <v>-4.54</v>
      </c>
      <c r="J53" s="686">
        <v>-215</v>
      </c>
      <c r="K53" s="71">
        <f>YEAR(Accion[[#This Row],[fecha]])</f>
        <v>2019</v>
      </c>
      <c r="L53" s="310" t="str">
        <f>IF(Accion[[#This Row],[Precio Cierre]]=MAX(Accion[Precio Cierre]),Accion[[#This Row],[Precio Cierre]],"NA")</f>
        <v>NA</v>
      </c>
      <c r="M53" s="310" t="str">
        <f>IF(Accion[[#This Row],[Precio Cierre]]=MIN(Accion[Precio Cierre]),Accion[[#This Row],[Precio Cierre]],"NA")</f>
        <v>NA</v>
      </c>
    </row>
    <row r="54" spans="1:13">
      <c r="A54" s="685" t="s">
        <v>90</v>
      </c>
      <c r="B54" s="312">
        <v>43539</v>
      </c>
      <c r="C54" s="686">
        <v>1947442</v>
      </c>
      <c r="D54" s="686">
        <v>8746009235</v>
      </c>
      <c r="E54" s="686">
        <v>4500</v>
      </c>
      <c r="F54" s="686">
        <v>4520</v>
      </c>
      <c r="G54" s="686">
        <v>4491.0200000000004</v>
      </c>
      <c r="H54" s="686">
        <v>4400</v>
      </c>
      <c r="I54" s="686">
        <v>-0.44</v>
      </c>
      <c r="J54" s="686">
        <v>-20</v>
      </c>
      <c r="K54" s="71">
        <f>YEAR(Accion[[#This Row],[fecha]])</f>
        <v>2019</v>
      </c>
      <c r="L54" s="310" t="str">
        <f>IF(Accion[[#This Row],[Precio Cierre]]=MAX(Accion[Precio Cierre]),Accion[[#This Row],[Precio Cierre]],"NA")</f>
        <v>NA</v>
      </c>
      <c r="M54" s="310" t="str">
        <f>IF(Accion[[#This Row],[Precio Cierre]]=MIN(Accion[Precio Cierre]),Accion[[#This Row],[Precio Cierre]],"NA")</f>
        <v>NA</v>
      </c>
    </row>
    <row r="55" spans="1:13">
      <c r="A55" s="685" t="s">
        <v>90</v>
      </c>
      <c r="B55" s="312">
        <v>43542</v>
      </c>
      <c r="C55" s="686">
        <v>580593</v>
      </c>
      <c r="D55" s="686">
        <v>2669934160</v>
      </c>
      <c r="E55" s="686">
        <v>4600</v>
      </c>
      <c r="F55" s="686">
        <v>4620</v>
      </c>
      <c r="G55" s="686">
        <v>4598.63</v>
      </c>
      <c r="H55" s="686">
        <v>4500</v>
      </c>
      <c r="I55" s="686">
        <v>2.2200000000000002</v>
      </c>
      <c r="J55" s="686">
        <v>100</v>
      </c>
      <c r="K55" s="71">
        <f>YEAR(Accion[[#This Row],[fecha]])</f>
        <v>2019</v>
      </c>
      <c r="L55" s="310" t="str">
        <f>IF(Accion[[#This Row],[Precio Cierre]]=MAX(Accion[Precio Cierre]),Accion[[#This Row],[Precio Cierre]],"NA")</f>
        <v>NA</v>
      </c>
      <c r="M55" s="310" t="str">
        <f>IF(Accion[[#This Row],[Precio Cierre]]=MIN(Accion[Precio Cierre]),Accion[[#This Row],[Precio Cierre]],"NA")</f>
        <v>NA</v>
      </c>
    </row>
    <row r="56" spans="1:13">
      <c r="A56" s="685" t="s">
        <v>90</v>
      </c>
      <c r="B56" s="312">
        <v>43543</v>
      </c>
      <c r="C56" s="686">
        <v>891140</v>
      </c>
      <c r="D56" s="686">
        <v>4150716095</v>
      </c>
      <c r="E56" s="686">
        <v>4645</v>
      </c>
      <c r="F56" s="686">
        <v>4790</v>
      </c>
      <c r="G56" s="686">
        <v>4657.76</v>
      </c>
      <c r="H56" s="686">
        <v>4600</v>
      </c>
      <c r="I56" s="686">
        <v>0.98</v>
      </c>
      <c r="J56" s="686">
        <v>45</v>
      </c>
      <c r="K56" s="71">
        <f>YEAR(Accion[[#This Row],[fecha]])</f>
        <v>2019</v>
      </c>
      <c r="L56" s="310" t="str">
        <f>IF(Accion[[#This Row],[Precio Cierre]]=MAX(Accion[Precio Cierre]),Accion[[#This Row],[Precio Cierre]],"NA")</f>
        <v>NA</v>
      </c>
      <c r="M56" s="310" t="str">
        <f>IF(Accion[[#This Row],[Precio Cierre]]=MIN(Accion[Precio Cierre]),Accion[[#This Row],[Precio Cierre]],"NA")</f>
        <v>NA</v>
      </c>
    </row>
    <row r="57" spans="1:13">
      <c r="A57" s="685" t="s">
        <v>90</v>
      </c>
      <c r="B57" s="312">
        <v>43544</v>
      </c>
      <c r="C57" s="686">
        <v>525834</v>
      </c>
      <c r="D57" s="686">
        <v>2474346060</v>
      </c>
      <c r="E57" s="686">
        <v>4710</v>
      </c>
      <c r="F57" s="686">
        <v>4760</v>
      </c>
      <c r="G57" s="686">
        <v>4705.5600000000004</v>
      </c>
      <c r="H57" s="686">
        <v>4665</v>
      </c>
      <c r="I57" s="686">
        <v>1.4</v>
      </c>
      <c r="J57" s="686">
        <v>65</v>
      </c>
      <c r="K57" s="71">
        <f>YEAR(Accion[[#This Row],[fecha]])</f>
        <v>2019</v>
      </c>
      <c r="L57" s="310" t="str">
        <f>IF(Accion[[#This Row],[Precio Cierre]]=MAX(Accion[Precio Cierre]),Accion[[#This Row],[Precio Cierre]],"NA")</f>
        <v>NA</v>
      </c>
      <c r="M57" s="310" t="str">
        <f>IF(Accion[[#This Row],[Precio Cierre]]=MIN(Accion[Precio Cierre]),Accion[[#This Row],[Precio Cierre]],"NA")</f>
        <v>NA</v>
      </c>
    </row>
    <row r="58" spans="1:13">
      <c r="A58" s="685" t="s">
        <v>90</v>
      </c>
      <c r="B58" s="312">
        <v>43545</v>
      </c>
      <c r="C58" s="686">
        <v>415341</v>
      </c>
      <c r="D58" s="686">
        <v>1985434195</v>
      </c>
      <c r="E58" s="686">
        <v>4750</v>
      </c>
      <c r="F58" s="686">
        <v>4820</v>
      </c>
      <c r="G58" s="686">
        <v>4780.25</v>
      </c>
      <c r="H58" s="686">
        <v>4750</v>
      </c>
      <c r="I58" s="686">
        <v>0.85</v>
      </c>
      <c r="J58" s="686">
        <v>40</v>
      </c>
      <c r="K58" s="71">
        <f>YEAR(Accion[[#This Row],[fecha]])</f>
        <v>2019</v>
      </c>
      <c r="L58" s="310" t="str">
        <f>IF(Accion[[#This Row],[Precio Cierre]]=MAX(Accion[Precio Cierre]),Accion[[#This Row],[Precio Cierre]],"NA")</f>
        <v>NA</v>
      </c>
      <c r="M58" s="310" t="str">
        <f>IF(Accion[[#This Row],[Precio Cierre]]=MIN(Accion[Precio Cierre]),Accion[[#This Row],[Precio Cierre]],"NA")</f>
        <v>NA</v>
      </c>
    </row>
    <row r="59" spans="1:13">
      <c r="A59" s="685" t="s">
        <v>90</v>
      </c>
      <c r="B59" s="312">
        <v>43546</v>
      </c>
      <c r="C59" s="686">
        <v>99747</v>
      </c>
      <c r="D59" s="686">
        <v>462573655</v>
      </c>
      <c r="E59" s="686">
        <v>4730</v>
      </c>
      <c r="F59" s="686">
        <v>4750</v>
      </c>
      <c r="G59" s="686">
        <v>4637.47</v>
      </c>
      <c r="H59" s="686">
        <v>4575</v>
      </c>
      <c r="I59" s="686">
        <v>-0.42</v>
      </c>
      <c r="J59" s="686">
        <v>-20</v>
      </c>
      <c r="K59" s="71">
        <f>YEAR(Accion[[#This Row],[fecha]])</f>
        <v>2019</v>
      </c>
      <c r="L59" s="310" t="str">
        <f>IF(Accion[[#This Row],[Precio Cierre]]=MAX(Accion[Precio Cierre]),Accion[[#This Row],[Precio Cierre]],"NA")</f>
        <v>NA</v>
      </c>
      <c r="M59" s="310" t="str">
        <f>IF(Accion[[#This Row],[Precio Cierre]]=MIN(Accion[Precio Cierre]),Accion[[#This Row],[Precio Cierre]],"NA")</f>
        <v>NA</v>
      </c>
    </row>
    <row r="60" spans="1:13">
      <c r="A60" s="685" t="s">
        <v>90</v>
      </c>
      <c r="B60" s="312">
        <v>43550</v>
      </c>
      <c r="C60" s="686">
        <v>807704</v>
      </c>
      <c r="D60" s="686">
        <v>3790292090</v>
      </c>
      <c r="E60" s="686">
        <v>4750</v>
      </c>
      <c r="F60" s="686">
        <v>4785</v>
      </c>
      <c r="G60" s="686">
        <v>4692.67</v>
      </c>
      <c r="H60" s="686">
        <v>4650</v>
      </c>
      <c r="I60" s="686">
        <v>0.42</v>
      </c>
      <c r="J60" s="686">
        <v>20</v>
      </c>
      <c r="K60" s="71">
        <f>YEAR(Accion[[#This Row],[fecha]])</f>
        <v>2019</v>
      </c>
      <c r="L60" s="310" t="str">
        <f>IF(Accion[[#This Row],[Precio Cierre]]=MAX(Accion[Precio Cierre]),Accion[[#This Row],[Precio Cierre]],"NA")</f>
        <v>NA</v>
      </c>
      <c r="M60" s="310" t="str">
        <f>IF(Accion[[#This Row],[Precio Cierre]]=MIN(Accion[Precio Cierre]),Accion[[#This Row],[Precio Cierre]],"NA")</f>
        <v>NA</v>
      </c>
    </row>
    <row r="61" spans="1:13">
      <c r="A61" s="685" t="s">
        <v>90</v>
      </c>
      <c r="B61" s="312">
        <v>43551</v>
      </c>
      <c r="C61" s="686">
        <v>43116</v>
      </c>
      <c r="D61" s="686">
        <v>203799780</v>
      </c>
      <c r="E61" s="686">
        <v>4700</v>
      </c>
      <c r="F61" s="686">
        <v>4750</v>
      </c>
      <c r="G61" s="686">
        <v>4726.78</v>
      </c>
      <c r="H61" s="686">
        <v>4700</v>
      </c>
      <c r="I61" s="686">
        <v>-1.05</v>
      </c>
      <c r="J61" s="686">
        <v>-50</v>
      </c>
      <c r="K61" s="71">
        <f>YEAR(Accion[[#This Row],[fecha]])</f>
        <v>2019</v>
      </c>
      <c r="L61" s="310" t="str">
        <f>IF(Accion[[#This Row],[Precio Cierre]]=MAX(Accion[Precio Cierre]),Accion[[#This Row],[Precio Cierre]],"NA")</f>
        <v>NA</v>
      </c>
      <c r="M61" s="310" t="str">
        <f>IF(Accion[[#This Row],[Precio Cierre]]=MIN(Accion[Precio Cierre]),Accion[[#This Row],[Precio Cierre]],"NA")</f>
        <v>NA</v>
      </c>
    </row>
    <row r="62" spans="1:13">
      <c r="A62" s="685" t="s">
        <v>90</v>
      </c>
      <c r="B62" s="312">
        <v>43552</v>
      </c>
      <c r="C62" s="686">
        <v>269952</v>
      </c>
      <c r="D62" s="686">
        <v>1272761530</v>
      </c>
      <c r="E62" s="686">
        <v>4800</v>
      </c>
      <c r="F62" s="686">
        <v>4810</v>
      </c>
      <c r="G62" s="686">
        <v>4714.7700000000004</v>
      </c>
      <c r="H62" s="686">
        <v>4690</v>
      </c>
      <c r="I62" s="686">
        <v>2.13</v>
      </c>
      <c r="J62" s="686">
        <v>100</v>
      </c>
      <c r="K62" s="71">
        <f>YEAR(Accion[[#This Row],[fecha]])</f>
        <v>2019</v>
      </c>
      <c r="L62" s="310" t="str">
        <f>IF(Accion[[#This Row],[Precio Cierre]]=MAX(Accion[Precio Cierre]),Accion[[#This Row],[Precio Cierre]],"NA")</f>
        <v>NA</v>
      </c>
      <c r="M62" s="310" t="str">
        <f>IF(Accion[[#This Row],[Precio Cierre]]=MIN(Accion[Precio Cierre]),Accion[[#This Row],[Precio Cierre]],"NA")</f>
        <v>NA</v>
      </c>
    </row>
    <row r="63" spans="1:13">
      <c r="A63" s="685" t="s">
        <v>90</v>
      </c>
      <c r="B63" s="312">
        <v>43553</v>
      </c>
      <c r="C63" s="686">
        <v>159511</v>
      </c>
      <c r="D63" s="686">
        <v>769091270</v>
      </c>
      <c r="E63" s="686">
        <v>4800</v>
      </c>
      <c r="F63" s="686">
        <v>4900</v>
      </c>
      <c r="G63" s="686">
        <v>4821.5600000000004</v>
      </c>
      <c r="H63" s="686">
        <v>4800</v>
      </c>
      <c r="I63" s="686">
        <v>0</v>
      </c>
      <c r="J63" s="686">
        <v>0</v>
      </c>
      <c r="K63" s="71">
        <f>YEAR(Accion[[#This Row],[fecha]])</f>
        <v>2019</v>
      </c>
      <c r="L63" s="310" t="str">
        <f>IF(Accion[[#This Row],[Precio Cierre]]=MAX(Accion[Precio Cierre]),Accion[[#This Row],[Precio Cierre]],"NA")</f>
        <v>NA</v>
      </c>
      <c r="M63" s="310" t="str">
        <f>IF(Accion[[#This Row],[Precio Cierre]]=MIN(Accion[Precio Cierre]),Accion[[#This Row],[Precio Cierre]],"NA")</f>
        <v>NA</v>
      </c>
    </row>
    <row r="64" spans="1:13">
      <c r="A64" s="685" t="s">
        <v>90</v>
      </c>
      <c r="B64" s="312">
        <v>43556</v>
      </c>
      <c r="C64" s="686">
        <v>84728</v>
      </c>
      <c r="D64" s="686">
        <v>399041005</v>
      </c>
      <c r="E64" s="686">
        <v>4700</v>
      </c>
      <c r="F64" s="686">
        <v>4750</v>
      </c>
      <c r="G64" s="686">
        <v>4709.67</v>
      </c>
      <c r="H64" s="686">
        <v>4700</v>
      </c>
      <c r="I64" s="686">
        <v>-2.08</v>
      </c>
      <c r="J64" s="686">
        <v>-100</v>
      </c>
      <c r="K64" s="71">
        <f>YEAR(Accion[[#This Row],[fecha]])</f>
        <v>2019</v>
      </c>
      <c r="L64" s="310" t="str">
        <f>IF(Accion[[#This Row],[Precio Cierre]]=MAX(Accion[Precio Cierre]),Accion[[#This Row],[Precio Cierre]],"NA")</f>
        <v>NA</v>
      </c>
      <c r="M64" s="310" t="str">
        <f>IF(Accion[[#This Row],[Precio Cierre]]=MIN(Accion[Precio Cierre]),Accion[[#This Row],[Precio Cierre]],"NA")</f>
        <v>NA</v>
      </c>
    </row>
    <row r="65" spans="1:13">
      <c r="A65" s="685" t="s">
        <v>90</v>
      </c>
      <c r="B65" s="312">
        <v>43557</v>
      </c>
      <c r="C65" s="686">
        <v>36279</v>
      </c>
      <c r="D65" s="686">
        <v>168393870</v>
      </c>
      <c r="E65" s="686">
        <v>4630</v>
      </c>
      <c r="F65" s="686">
        <v>4675</v>
      </c>
      <c r="G65" s="686">
        <v>4641.63</v>
      </c>
      <c r="H65" s="686">
        <v>4630</v>
      </c>
      <c r="I65" s="686">
        <v>-1.49</v>
      </c>
      <c r="J65" s="686">
        <v>-70</v>
      </c>
      <c r="K65" s="71">
        <f>YEAR(Accion[[#This Row],[fecha]])</f>
        <v>2019</v>
      </c>
      <c r="L65" s="310" t="str">
        <f>IF(Accion[[#This Row],[Precio Cierre]]=MAX(Accion[Precio Cierre]),Accion[[#This Row],[Precio Cierre]],"NA")</f>
        <v>NA</v>
      </c>
      <c r="M65" s="310" t="str">
        <f>IF(Accion[[#This Row],[Precio Cierre]]=MIN(Accion[Precio Cierre]),Accion[[#This Row],[Precio Cierre]],"NA")</f>
        <v>NA</v>
      </c>
    </row>
    <row r="66" spans="1:13">
      <c r="A66" s="685" t="s">
        <v>90</v>
      </c>
      <c r="B66" s="312">
        <v>43558</v>
      </c>
      <c r="C66" s="686">
        <v>142898</v>
      </c>
      <c r="D66" s="686">
        <v>661081970</v>
      </c>
      <c r="E66" s="686">
        <v>4565</v>
      </c>
      <c r="F66" s="686">
        <v>4745</v>
      </c>
      <c r="G66" s="686">
        <v>4626.25</v>
      </c>
      <c r="H66" s="686">
        <v>4520</v>
      </c>
      <c r="I66" s="686">
        <v>-1.4</v>
      </c>
      <c r="J66" s="686">
        <v>-65</v>
      </c>
      <c r="K66" s="71">
        <f>YEAR(Accion[[#This Row],[fecha]])</f>
        <v>2019</v>
      </c>
      <c r="L66" s="310" t="str">
        <f>IF(Accion[[#This Row],[Precio Cierre]]=MAX(Accion[Precio Cierre]),Accion[[#This Row],[Precio Cierre]],"NA")</f>
        <v>NA</v>
      </c>
      <c r="M66" s="310" t="str">
        <f>IF(Accion[[#This Row],[Precio Cierre]]=MIN(Accion[Precio Cierre]),Accion[[#This Row],[Precio Cierre]],"NA")</f>
        <v>NA</v>
      </c>
    </row>
    <row r="67" spans="1:13">
      <c r="A67" s="685" t="s">
        <v>90</v>
      </c>
      <c r="B67" s="312">
        <v>43559</v>
      </c>
      <c r="C67" s="686">
        <v>133715</v>
      </c>
      <c r="D67" s="686">
        <v>604688800</v>
      </c>
      <c r="E67" s="686">
        <v>4550</v>
      </c>
      <c r="F67" s="686">
        <v>4550</v>
      </c>
      <c r="G67" s="686">
        <v>4522.22</v>
      </c>
      <c r="H67" s="686">
        <v>4500</v>
      </c>
      <c r="I67" s="686">
        <v>-0.33</v>
      </c>
      <c r="J67" s="686">
        <v>-15</v>
      </c>
      <c r="K67" s="71">
        <f>YEAR(Accion[[#This Row],[fecha]])</f>
        <v>2019</v>
      </c>
      <c r="L67" s="310" t="str">
        <f>IF(Accion[[#This Row],[Precio Cierre]]=MAX(Accion[Precio Cierre]),Accion[[#This Row],[Precio Cierre]],"NA")</f>
        <v>NA</v>
      </c>
      <c r="M67" s="310" t="str">
        <f>IF(Accion[[#This Row],[Precio Cierre]]=MIN(Accion[Precio Cierre]),Accion[[#This Row],[Precio Cierre]],"NA")</f>
        <v>NA</v>
      </c>
    </row>
    <row r="68" spans="1:13">
      <c r="A68" s="685" t="s">
        <v>90</v>
      </c>
      <c r="B68" s="312">
        <v>43560</v>
      </c>
      <c r="C68" s="686">
        <v>110896</v>
      </c>
      <c r="D68" s="686">
        <v>503222410</v>
      </c>
      <c r="E68" s="686">
        <v>4600</v>
      </c>
      <c r="F68" s="686">
        <v>4640</v>
      </c>
      <c r="G68" s="686">
        <v>4537.79</v>
      </c>
      <c r="H68" s="686">
        <v>4520</v>
      </c>
      <c r="I68" s="686">
        <v>1.1000000000000001</v>
      </c>
      <c r="J68" s="686">
        <v>50</v>
      </c>
      <c r="K68" s="71">
        <f>YEAR(Accion[[#This Row],[fecha]])</f>
        <v>2019</v>
      </c>
      <c r="L68" s="310" t="str">
        <f>IF(Accion[[#This Row],[Precio Cierre]]=MAX(Accion[Precio Cierre]),Accion[[#This Row],[Precio Cierre]],"NA")</f>
        <v>NA</v>
      </c>
      <c r="M68" s="310" t="str">
        <f>IF(Accion[[#This Row],[Precio Cierre]]=MIN(Accion[Precio Cierre]),Accion[[#This Row],[Precio Cierre]],"NA")</f>
        <v>NA</v>
      </c>
    </row>
    <row r="69" spans="1:13">
      <c r="A69" s="685" t="s">
        <v>90</v>
      </c>
      <c r="B69" s="312">
        <v>43563</v>
      </c>
      <c r="C69" s="686">
        <v>28409</v>
      </c>
      <c r="D69" s="686">
        <v>129115195</v>
      </c>
      <c r="E69" s="686">
        <v>4580</v>
      </c>
      <c r="F69" s="686">
        <v>4600</v>
      </c>
      <c r="G69" s="686">
        <v>4544.87</v>
      </c>
      <c r="H69" s="686">
        <v>4530</v>
      </c>
      <c r="I69" s="686">
        <v>-0.43</v>
      </c>
      <c r="J69" s="686">
        <v>-20</v>
      </c>
      <c r="K69" s="71">
        <f>YEAR(Accion[[#This Row],[fecha]])</f>
        <v>2019</v>
      </c>
      <c r="L69" s="310" t="str">
        <f>IF(Accion[[#This Row],[Precio Cierre]]=MAX(Accion[Precio Cierre]),Accion[[#This Row],[Precio Cierre]],"NA")</f>
        <v>NA</v>
      </c>
      <c r="M69" s="310" t="str">
        <f>IF(Accion[[#This Row],[Precio Cierre]]=MIN(Accion[Precio Cierre]),Accion[[#This Row],[Precio Cierre]],"NA")</f>
        <v>NA</v>
      </c>
    </row>
    <row r="70" spans="1:13">
      <c r="A70" s="685" t="s">
        <v>90</v>
      </c>
      <c r="B70" s="312">
        <v>43564</v>
      </c>
      <c r="C70" s="686">
        <v>213757</v>
      </c>
      <c r="D70" s="686">
        <v>967336320</v>
      </c>
      <c r="E70" s="686">
        <v>4530</v>
      </c>
      <c r="F70" s="686">
        <v>4600</v>
      </c>
      <c r="G70" s="686">
        <v>4525.3999999999996</v>
      </c>
      <c r="H70" s="686">
        <v>4500</v>
      </c>
      <c r="I70" s="686">
        <v>-1.0900000000000001</v>
      </c>
      <c r="J70" s="686">
        <v>-50</v>
      </c>
      <c r="K70" s="71">
        <f>YEAR(Accion[[#This Row],[fecha]])</f>
        <v>2019</v>
      </c>
      <c r="L70" s="310" t="str">
        <f>IF(Accion[[#This Row],[Precio Cierre]]=MAX(Accion[Precio Cierre]),Accion[[#This Row],[Precio Cierre]],"NA")</f>
        <v>NA</v>
      </c>
      <c r="M70" s="310" t="str">
        <f>IF(Accion[[#This Row],[Precio Cierre]]=MIN(Accion[Precio Cierre]),Accion[[#This Row],[Precio Cierre]],"NA")</f>
        <v>NA</v>
      </c>
    </row>
    <row r="71" spans="1:13">
      <c r="A71" s="685" t="s">
        <v>90</v>
      </c>
      <c r="B71" s="312">
        <v>43565</v>
      </c>
      <c r="C71" s="686">
        <v>92321</v>
      </c>
      <c r="D71" s="686">
        <v>418223430</v>
      </c>
      <c r="E71" s="686">
        <v>4530</v>
      </c>
      <c r="F71" s="686">
        <v>4540</v>
      </c>
      <c r="G71" s="686">
        <v>4530.1000000000004</v>
      </c>
      <c r="H71" s="686">
        <v>4530</v>
      </c>
      <c r="I71" s="686">
        <v>0</v>
      </c>
      <c r="J71" s="686">
        <v>0</v>
      </c>
      <c r="K71" s="71">
        <f>YEAR(Accion[[#This Row],[fecha]])</f>
        <v>2019</v>
      </c>
      <c r="L71" s="310" t="str">
        <f>IF(Accion[[#This Row],[Precio Cierre]]=MAX(Accion[Precio Cierre]),Accion[[#This Row],[Precio Cierre]],"NA")</f>
        <v>NA</v>
      </c>
      <c r="M71" s="310" t="str">
        <f>IF(Accion[[#This Row],[Precio Cierre]]=MIN(Accion[Precio Cierre]),Accion[[#This Row],[Precio Cierre]],"NA")</f>
        <v>NA</v>
      </c>
    </row>
    <row r="72" spans="1:13">
      <c r="A72" s="685" t="s">
        <v>90</v>
      </c>
      <c r="B72" s="312">
        <v>43566</v>
      </c>
      <c r="C72" s="686">
        <v>113908</v>
      </c>
      <c r="D72" s="686">
        <v>509372820</v>
      </c>
      <c r="E72" s="686">
        <v>4450</v>
      </c>
      <c r="F72" s="686">
        <v>4500</v>
      </c>
      <c r="G72" s="686">
        <v>4471.79</v>
      </c>
      <c r="H72" s="686">
        <v>4450</v>
      </c>
      <c r="I72" s="686">
        <v>-1.77</v>
      </c>
      <c r="J72" s="686">
        <v>-80</v>
      </c>
      <c r="K72" s="71">
        <f>YEAR(Accion[[#This Row],[fecha]])</f>
        <v>2019</v>
      </c>
      <c r="L72" s="310" t="str">
        <f>IF(Accion[[#This Row],[Precio Cierre]]=MAX(Accion[Precio Cierre]),Accion[[#This Row],[Precio Cierre]],"NA")</f>
        <v>NA</v>
      </c>
      <c r="M72" s="310" t="str">
        <f>IF(Accion[[#This Row],[Precio Cierre]]=MIN(Accion[Precio Cierre]),Accion[[#This Row],[Precio Cierre]],"NA")</f>
        <v>NA</v>
      </c>
    </row>
    <row r="73" spans="1:13">
      <c r="A73" s="685" t="s">
        <v>90</v>
      </c>
      <c r="B73" s="312">
        <v>43567</v>
      </c>
      <c r="C73" s="686">
        <v>51157</v>
      </c>
      <c r="D73" s="686">
        <v>229765025</v>
      </c>
      <c r="E73" s="686">
        <v>4480</v>
      </c>
      <c r="F73" s="686">
        <v>4500</v>
      </c>
      <c r="G73" s="686">
        <v>4491.37</v>
      </c>
      <c r="H73" s="686">
        <v>4480</v>
      </c>
      <c r="I73" s="686">
        <v>0.67</v>
      </c>
      <c r="J73" s="686">
        <v>30</v>
      </c>
      <c r="K73" s="71">
        <f>YEAR(Accion[[#This Row],[fecha]])</f>
        <v>2019</v>
      </c>
      <c r="L73" s="310" t="str">
        <f>IF(Accion[[#This Row],[Precio Cierre]]=MAX(Accion[Precio Cierre]),Accion[[#This Row],[Precio Cierre]],"NA")</f>
        <v>NA</v>
      </c>
      <c r="M73" s="310" t="str">
        <f>IF(Accion[[#This Row],[Precio Cierre]]=MIN(Accion[Precio Cierre]),Accion[[#This Row],[Precio Cierre]],"NA")</f>
        <v>NA</v>
      </c>
    </row>
    <row r="74" spans="1:13">
      <c r="A74" s="685" t="s">
        <v>90</v>
      </c>
      <c r="B74" s="312">
        <v>43570</v>
      </c>
      <c r="C74" s="686">
        <v>1925501</v>
      </c>
      <c r="D74" s="686">
        <v>9512892860</v>
      </c>
      <c r="E74" s="686">
        <v>4975</v>
      </c>
      <c r="F74" s="686">
        <v>5100</v>
      </c>
      <c r="G74" s="686">
        <v>4940.4799999999996</v>
      </c>
      <c r="H74" s="686">
        <v>4700</v>
      </c>
      <c r="I74" s="686">
        <v>11.05</v>
      </c>
      <c r="J74" s="686">
        <v>495</v>
      </c>
      <c r="K74" s="71">
        <f>YEAR(Accion[[#This Row],[fecha]])</f>
        <v>2019</v>
      </c>
      <c r="L74" s="310" t="str">
        <f>IF(Accion[[#This Row],[Precio Cierre]]=MAX(Accion[Precio Cierre]),Accion[[#This Row],[Precio Cierre]],"NA")</f>
        <v>NA</v>
      </c>
      <c r="M74" s="310" t="str">
        <f>IF(Accion[[#This Row],[Precio Cierre]]=MIN(Accion[Precio Cierre]),Accion[[#This Row],[Precio Cierre]],"NA")</f>
        <v>NA</v>
      </c>
    </row>
    <row r="75" spans="1:13">
      <c r="A75" s="685" t="s">
        <v>90</v>
      </c>
      <c r="B75" s="312">
        <v>43571</v>
      </c>
      <c r="C75" s="686">
        <v>208612</v>
      </c>
      <c r="D75" s="686">
        <v>1043987570</v>
      </c>
      <c r="E75" s="686">
        <v>5010</v>
      </c>
      <c r="F75" s="686">
        <v>5060</v>
      </c>
      <c r="G75" s="686">
        <v>5004.45</v>
      </c>
      <c r="H75" s="686">
        <v>4965</v>
      </c>
      <c r="I75" s="686">
        <v>0.7</v>
      </c>
      <c r="J75" s="686">
        <v>35</v>
      </c>
      <c r="K75" s="71">
        <f>YEAR(Accion[[#This Row],[fecha]])</f>
        <v>2019</v>
      </c>
      <c r="L75" s="310" t="str">
        <f>IF(Accion[[#This Row],[Precio Cierre]]=MAX(Accion[Precio Cierre]),Accion[[#This Row],[Precio Cierre]],"NA")</f>
        <v>NA</v>
      </c>
      <c r="M75" s="310" t="str">
        <f>IF(Accion[[#This Row],[Precio Cierre]]=MIN(Accion[Precio Cierre]),Accion[[#This Row],[Precio Cierre]],"NA")</f>
        <v>NA</v>
      </c>
    </row>
    <row r="76" spans="1:13">
      <c r="A76" s="685" t="s">
        <v>90</v>
      </c>
      <c r="B76" s="312">
        <v>43572</v>
      </c>
      <c r="C76" s="686">
        <v>98683</v>
      </c>
      <c r="D76" s="686">
        <v>494418815</v>
      </c>
      <c r="E76" s="686">
        <v>5000</v>
      </c>
      <c r="F76" s="686">
        <v>5050</v>
      </c>
      <c r="G76" s="686">
        <v>5010.17</v>
      </c>
      <c r="H76" s="686">
        <v>4970</v>
      </c>
      <c r="I76" s="686">
        <v>-0.2</v>
      </c>
      <c r="J76" s="686">
        <v>-10</v>
      </c>
      <c r="K76" s="71">
        <f>YEAR(Accion[[#This Row],[fecha]])</f>
        <v>2019</v>
      </c>
      <c r="L76" s="310" t="str">
        <f>IF(Accion[[#This Row],[Precio Cierre]]=MAX(Accion[Precio Cierre]),Accion[[#This Row],[Precio Cierre]],"NA")</f>
        <v>NA</v>
      </c>
      <c r="M76" s="310" t="str">
        <f>IF(Accion[[#This Row],[Precio Cierre]]=MIN(Accion[Precio Cierre]),Accion[[#This Row],[Precio Cierre]],"NA")</f>
        <v>NA</v>
      </c>
    </row>
    <row r="77" spans="1:13">
      <c r="A77" s="685" t="s">
        <v>90</v>
      </c>
      <c r="B77" s="312">
        <v>43577</v>
      </c>
      <c r="C77" s="686">
        <v>161517</v>
      </c>
      <c r="D77" s="686">
        <v>807881010</v>
      </c>
      <c r="E77" s="686">
        <v>4995</v>
      </c>
      <c r="F77" s="686">
        <v>5050</v>
      </c>
      <c r="G77" s="686">
        <v>5001.83</v>
      </c>
      <c r="H77" s="686">
        <v>4965</v>
      </c>
      <c r="I77" s="686">
        <v>-0.1</v>
      </c>
      <c r="J77" s="686">
        <v>-5</v>
      </c>
      <c r="K77" s="71">
        <f>YEAR(Accion[[#This Row],[fecha]])</f>
        <v>2019</v>
      </c>
      <c r="L77" s="310" t="str">
        <f>IF(Accion[[#This Row],[Precio Cierre]]=MAX(Accion[Precio Cierre]),Accion[[#This Row],[Precio Cierre]],"NA")</f>
        <v>NA</v>
      </c>
      <c r="M77" s="310" t="str">
        <f>IF(Accion[[#This Row],[Precio Cierre]]=MIN(Accion[Precio Cierre]),Accion[[#This Row],[Precio Cierre]],"NA")</f>
        <v>NA</v>
      </c>
    </row>
    <row r="78" spans="1:13">
      <c r="A78" s="685" t="s">
        <v>90</v>
      </c>
      <c r="B78" s="312">
        <v>43578</v>
      </c>
      <c r="C78" s="686">
        <v>634314</v>
      </c>
      <c r="D78" s="686">
        <v>3166590640</v>
      </c>
      <c r="E78" s="686">
        <v>4990</v>
      </c>
      <c r="F78" s="686">
        <v>5000</v>
      </c>
      <c r="G78" s="686">
        <v>4992.1499999999996</v>
      </c>
      <c r="H78" s="686">
        <v>4980</v>
      </c>
      <c r="I78" s="686">
        <v>-0.1</v>
      </c>
      <c r="J78" s="686">
        <v>-5</v>
      </c>
      <c r="K78" s="71">
        <f>YEAR(Accion[[#This Row],[fecha]])</f>
        <v>2019</v>
      </c>
      <c r="L78" s="310" t="str">
        <f>IF(Accion[[#This Row],[Precio Cierre]]=MAX(Accion[Precio Cierre]),Accion[[#This Row],[Precio Cierre]],"NA")</f>
        <v>NA</v>
      </c>
      <c r="M78" s="310" t="str">
        <f>IF(Accion[[#This Row],[Precio Cierre]]=MIN(Accion[Precio Cierre]),Accion[[#This Row],[Precio Cierre]],"NA")</f>
        <v>NA</v>
      </c>
    </row>
    <row r="79" spans="1:13">
      <c r="A79" s="685" t="s">
        <v>90</v>
      </c>
      <c r="B79" s="312">
        <v>43579</v>
      </c>
      <c r="C79" s="686">
        <v>121047</v>
      </c>
      <c r="D79" s="686">
        <v>587451180</v>
      </c>
      <c r="E79" s="686">
        <v>4800</v>
      </c>
      <c r="F79" s="686">
        <v>4960</v>
      </c>
      <c r="G79" s="686">
        <v>4853.08</v>
      </c>
      <c r="H79" s="686">
        <v>4800</v>
      </c>
      <c r="I79" s="686">
        <v>-3.81</v>
      </c>
      <c r="J79" s="686">
        <v>-190</v>
      </c>
      <c r="K79" s="71">
        <f>YEAR(Accion[[#This Row],[fecha]])</f>
        <v>2019</v>
      </c>
      <c r="L79" s="310" t="str">
        <f>IF(Accion[[#This Row],[Precio Cierre]]=MAX(Accion[Precio Cierre]),Accion[[#This Row],[Precio Cierre]],"NA")</f>
        <v>NA</v>
      </c>
      <c r="M79" s="310" t="str">
        <f>IF(Accion[[#This Row],[Precio Cierre]]=MIN(Accion[Precio Cierre]),Accion[[#This Row],[Precio Cierre]],"NA")</f>
        <v>NA</v>
      </c>
    </row>
    <row r="80" spans="1:13">
      <c r="A80" s="685" t="s">
        <v>90</v>
      </c>
      <c r="B80" s="312">
        <v>43580</v>
      </c>
      <c r="C80" s="686">
        <v>388239</v>
      </c>
      <c r="D80" s="686">
        <v>1825563370</v>
      </c>
      <c r="E80" s="686">
        <v>4750</v>
      </c>
      <c r="F80" s="686">
        <v>4795</v>
      </c>
      <c r="G80" s="686">
        <v>4702.16</v>
      </c>
      <c r="H80" s="686">
        <v>4600</v>
      </c>
      <c r="I80" s="686">
        <v>-1.04</v>
      </c>
      <c r="J80" s="686">
        <v>-50</v>
      </c>
      <c r="K80" s="71">
        <f>YEAR(Accion[[#This Row],[fecha]])</f>
        <v>2019</v>
      </c>
      <c r="L80" s="310" t="str">
        <f>IF(Accion[[#This Row],[Precio Cierre]]=MAX(Accion[Precio Cierre]),Accion[[#This Row],[Precio Cierre]],"NA")</f>
        <v>NA</v>
      </c>
      <c r="M80" s="310" t="str">
        <f>IF(Accion[[#This Row],[Precio Cierre]]=MIN(Accion[Precio Cierre]),Accion[[#This Row],[Precio Cierre]],"NA")</f>
        <v>NA</v>
      </c>
    </row>
    <row r="81" spans="1:13">
      <c r="A81" s="685" t="s">
        <v>90</v>
      </c>
      <c r="B81" s="312">
        <v>43581</v>
      </c>
      <c r="C81" s="686">
        <v>18948</v>
      </c>
      <c r="D81" s="686">
        <v>90967700</v>
      </c>
      <c r="E81" s="686">
        <v>4840</v>
      </c>
      <c r="F81" s="686">
        <v>4840</v>
      </c>
      <c r="G81" s="686">
        <v>4800.91</v>
      </c>
      <c r="H81" s="686">
        <v>4750</v>
      </c>
      <c r="I81" s="686">
        <v>1.89</v>
      </c>
      <c r="J81" s="686">
        <v>90</v>
      </c>
      <c r="K81" s="71">
        <f>YEAR(Accion[[#This Row],[fecha]])</f>
        <v>2019</v>
      </c>
      <c r="L81" s="310" t="str">
        <f>IF(Accion[[#This Row],[Precio Cierre]]=MAX(Accion[Precio Cierre]),Accion[[#This Row],[Precio Cierre]],"NA")</f>
        <v>NA</v>
      </c>
      <c r="M81" s="310" t="str">
        <f>IF(Accion[[#This Row],[Precio Cierre]]=MIN(Accion[Precio Cierre]),Accion[[#This Row],[Precio Cierre]],"NA")</f>
        <v>NA</v>
      </c>
    </row>
    <row r="82" spans="1:13">
      <c r="A82" s="685" t="s">
        <v>90</v>
      </c>
      <c r="B82" s="312">
        <v>43584</v>
      </c>
      <c r="C82" s="686">
        <v>60194</v>
      </c>
      <c r="D82" s="686">
        <v>290254100</v>
      </c>
      <c r="E82" s="686">
        <v>4860</v>
      </c>
      <c r="F82" s="686">
        <v>4860</v>
      </c>
      <c r="G82" s="686">
        <v>4821.9799999999996</v>
      </c>
      <c r="H82" s="686">
        <v>4760</v>
      </c>
      <c r="I82" s="686">
        <v>0.41</v>
      </c>
      <c r="J82" s="686">
        <v>20</v>
      </c>
      <c r="K82" s="71">
        <f>YEAR(Accion[[#This Row],[fecha]])</f>
        <v>2019</v>
      </c>
      <c r="L82" s="310" t="str">
        <f>IF(Accion[[#This Row],[Precio Cierre]]=MAX(Accion[Precio Cierre]),Accion[[#This Row],[Precio Cierre]],"NA")</f>
        <v>NA</v>
      </c>
      <c r="M82" s="310" t="str">
        <f>IF(Accion[[#This Row],[Precio Cierre]]=MIN(Accion[Precio Cierre]),Accion[[#This Row],[Precio Cierre]],"NA")</f>
        <v>NA</v>
      </c>
    </row>
    <row r="83" spans="1:13">
      <c r="A83" s="685" t="s">
        <v>90</v>
      </c>
      <c r="B83" s="312">
        <v>43585</v>
      </c>
      <c r="C83" s="686">
        <v>163212</v>
      </c>
      <c r="D83" s="686">
        <v>794039640</v>
      </c>
      <c r="E83" s="686">
        <v>4870</v>
      </c>
      <c r="F83" s="686">
        <v>4870</v>
      </c>
      <c r="G83" s="686">
        <v>4865.08</v>
      </c>
      <c r="H83" s="686">
        <v>4850</v>
      </c>
      <c r="I83" s="686">
        <v>0.21</v>
      </c>
      <c r="J83" s="686">
        <v>10</v>
      </c>
      <c r="K83" s="71">
        <f>YEAR(Accion[[#This Row],[fecha]])</f>
        <v>2019</v>
      </c>
      <c r="L83" s="310" t="str">
        <f>IF(Accion[[#This Row],[Precio Cierre]]=MAX(Accion[Precio Cierre]),Accion[[#This Row],[Precio Cierre]],"NA")</f>
        <v>NA</v>
      </c>
      <c r="M83" s="310" t="str">
        <f>IF(Accion[[#This Row],[Precio Cierre]]=MIN(Accion[Precio Cierre]),Accion[[#This Row],[Precio Cierre]],"NA")</f>
        <v>NA</v>
      </c>
    </row>
    <row r="84" spans="1:13">
      <c r="A84" s="685" t="s">
        <v>90</v>
      </c>
      <c r="B84" s="312">
        <v>43587</v>
      </c>
      <c r="C84" s="686">
        <v>83855</v>
      </c>
      <c r="D84" s="686">
        <v>405917550</v>
      </c>
      <c r="E84" s="686">
        <v>4790</v>
      </c>
      <c r="F84" s="686">
        <v>4870</v>
      </c>
      <c r="G84" s="686">
        <v>4840.71</v>
      </c>
      <c r="H84" s="686">
        <v>4780</v>
      </c>
      <c r="I84" s="686">
        <v>-1.64</v>
      </c>
      <c r="J84" s="686">
        <v>-80</v>
      </c>
      <c r="K84" s="71">
        <f>YEAR(Accion[[#This Row],[fecha]])</f>
        <v>2019</v>
      </c>
      <c r="L84" s="310" t="str">
        <f>IF(Accion[[#This Row],[Precio Cierre]]=MAX(Accion[Precio Cierre]),Accion[[#This Row],[Precio Cierre]],"NA")</f>
        <v>NA</v>
      </c>
      <c r="M84" s="310" t="str">
        <f>IF(Accion[[#This Row],[Precio Cierre]]=MIN(Accion[Precio Cierre]),Accion[[#This Row],[Precio Cierre]],"NA")</f>
        <v>NA</v>
      </c>
    </row>
    <row r="85" spans="1:13">
      <c r="A85" s="685" t="s">
        <v>90</v>
      </c>
      <c r="B85" s="312">
        <v>43588</v>
      </c>
      <c r="C85" s="686">
        <v>52863</v>
      </c>
      <c r="D85" s="686">
        <v>254022710</v>
      </c>
      <c r="E85" s="686">
        <v>4840</v>
      </c>
      <c r="F85" s="686">
        <v>4840</v>
      </c>
      <c r="G85" s="686">
        <v>4805.3</v>
      </c>
      <c r="H85" s="686">
        <v>4790</v>
      </c>
      <c r="I85" s="686">
        <v>1.04</v>
      </c>
      <c r="J85" s="686">
        <v>50</v>
      </c>
      <c r="K85" s="71">
        <f>YEAR(Accion[[#This Row],[fecha]])</f>
        <v>2019</v>
      </c>
      <c r="L85" s="310" t="str">
        <f>IF(Accion[[#This Row],[Precio Cierre]]=MAX(Accion[Precio Cierre]),Accion[[#This Row],[Precio Cierre]],"NA")</f>
        <v>NA</v>
      </c>
      <c r="M85" s="310" t="str">
        <f>IF(Accion[[#This Row],[Precio Cierre]]=MIN(Accion[Precio Cierre]),Accion[[#This Row],[Precio Cierre]],"NA")</f>
        <v>NA</v>
      </c>
    </row>
    <row r="86" spans="1:13">
      <c r="A86" s="685" t="s">
        <v>90</v>
      </c>
      <c r="B86" s="312">
        <v>43591</v>
      </c>
      <c r="C86" s="686">
        <v>103070</v>
      </c>
      <c r="D86" s="686">
        <v>489213535</v>
      </c>
      <c r="E86" s="686">
        <v>4695</v>
      </c>
      <c r="F86" s="686">
        <v>4780</v>
      </c>
      <c r="G86" s="686">
        <v>4746.42</v>
      </c>
      <c r="H86" s="686">
        <v>4695</v>
      </c>
      <c r="I86" s="686">
        <v>-3</v>
      </c>
      <c r="J86" s="686">
        <v>-145</v>
      </c>
      <c r="K86" s="71">
        <f>YEAR(Accion[[#This Row],[fecha]])</f>
        <v>2019</v>
      </c>
      <c r="L86" s="310" t="str">
        <f>IF(Accion[[#This Row],[Precio Cierre]]=MAX(Accion[Precio Cierre]),Accion[[#This Row],[Precio Cierre]],"NA")</f>
        <v>NA</v>
      </c>
      <c r="M86" s="310" t="str">
        <f>IF(Accion[[#This Row],[Precio Cierre]]=MIN(Accion[Precio Cierre]),Accion[[#This Row],[Precio Cierre]],"NA")</f>
        <v>NA</v>
      </c>
    </row>
    <row r="87" spans="1:13">
      <c r="A87" s="685" t="s">
        <v>90</v>
      </c>
      <c r="B87" s="312">
        <v>43592</v>
      </c>
      <c r="C87" s="686">
        <v>51136</v>
      </c>
      <c r="D87" s="686">
        <v>238499740</v>
      </c>
      <c r="E87" s="686">
        <v>4630</v>
      </c>
      <c r="F87" s="686">
        <v>4695</v>
      </c>
      <c r="G87" s="686">
        <v>4664.03</v>
      </c>
      <c r="H87" s="686">
        <v>4630</v>
      </c>
      <c r="I87" s="686">
        <v>-1.38</v>
      </c>
      <c r="J87" s="686">
        <v>-65</v>
      </c>
      <c r="K87" s="71">
        <f>YEAR(Accion[[#This Row],[fecha]])</f>
        <v>2019</v>
      </c>
      <c r="L87" s="310" t="str">
        <f>IF(Accion[[#This Row],[Precio Cierre]]=MAX(Accion[Precio Cierre]),Accion[[#This Row],[Precio Cierre]],"NA")</f>
        <v>NA</v>
      </c>
      <c r="M87" s="310" t="str">
        <f>IF(Accion[[#This Row],[Precio Cierre]]=MIN(Accion[Precio Cierre]),Accion[[#This Row],[Precio Cierre]],"NA")</f>
        <v>NA</v>
      </c>
    </row>
    <row r="88" spans="1:13">
      <c r="A88" s="685" t="s">
        <v>90</v>
      </c>
      <c r="B88" s="312">
        <v>43593</v>
      </c>
      <c r="C88" s="686">
        <v>85388</v>
      </c>
      <c r="D88" s="686">
        <v>389674325</v>
      </c>
      <c r="E88" s="686">
        <v>4520</v>
      </c>
      <c r="F88" s="686">
        <v>4610</v>
      </c>
      <c r="G88" s="686">
        <v>4563.57</v>
      </c>
      <c r="H88" s="686">
        <v>4520</v>
      </c>
      <c r="I88" s="686">
        <v>-2.38</v>
      </c>
      <c r="J88" s="686">
        <v>-110</v>
      </c>
      <c r="K88" s="71">
        <f>YEAR(Accion[[#This Row],[fecha]])</f>
        <v>2019</v>
      </c>
      <c r="L88" s="310" t="str">
        <f>IF(Accion[[#This Row],[Precio Cierre]]=MAX(Accion[Precio Cierre]),Accion[[#This Row],[Precio Cierre]],"NA")</f>
        <v>NA</v>
      </c>
      <c r="M88" s="310" t="str">
        <f>IF(Accion[[#This Row],[Precio Cierre]]=MIN(Accion[Precio Cierre]),Accion[[#This Row],[Precio Cierre]],"NA")</f>
        <v>NA</v>
      </c>
    </row>
    <row r="89" spans="1:13">
      <c r="A89" s="685" t="s">
        <v>90</v>
      </c>
      <c r="B89" s="312">
        <v>43594</v>
      </c>
      <c r="C89" s="686">
        <v>68258</v>
      </c>
      <c r="D89" s="686">
        <v>307267885</v>
      </c>
      <c r="E89" s="686">
        <v>4470</v>
      </c>
      <c r="F89" s="686">
        <v>4510</v>
      </c>
      <c r="G89" s="686">
        <v>4501.57</v>
      </c>
      <c r="H89" s="686">
        <v>4470</v>
      </c>
      <c r="I89" s="686">
        <v>-1.1100000000000001</v>
      </c>
      <c r="J89" s="686">
        <v>-50</v>
      </c>
      <c r="K89" s="71">
        <f>YEAR(Accion[[#This Row],[fecha]])</f>
        <v>2019</v>
      </c>
      <c r="L89" s="310" t="str">
        <f>IF(Accion[[#This Row],[Precio Cierre]]=MAX(Accion[Precio Cierre]),Accion[[#This Row],[Precio Cierre]],"NA")</f>
        <v>NA</v>
      </c>
      <c r="M89" s="310" t="str">
        <f>IF(Accion[[#This Row],[Precio Cierre]]=MIN(Accion[Precio Cierre]),Accion[[#This Row],[Precio Cierre]],"NA")</f>
        <v>NA</v>
      </c>
    </row>
    <row r="90" spans="1:13">
      <c r="A90" s="685" t="s">
        <v>90</v>
      </c>
      <c r="B90" s="312">
        <v>43595</v>
      </c>
      <c r="C90" s="686">
        <v>67221</v>
      </c>
      <c r="D90" s="686">
        <v>311601805</v>
      </c>
      <c r="E90" s="686">
        <v>4650</v>
      </c>
      <c r="F90" s="686">
        <v>4650</v>
      </c>
      <c r="G90" s="686">
        <v>4635.4799999999996</v>
      </c>
      <c r="H90" s="686">
        <v>4520</v>
      </c>
      <c r="I90" s="686">
        <v>4.03</v>
      </c>
      <c r="J90" s="686">
        <v>180</v>
      </c>
      <c r="K90" s="71">
        <f>YEAR(Accion[[#This Row],[fecha]])</f>
        <v>2019</v>
      </c>
      <c r="L90" s="310" t="str">
        <f>IF(Accion[[#This Row],[Precio Cierre]]=MAX(Accion[Precio Cierre]),Accion[[#This Row],[Precio Cierre]],"NA")</f>
        <v>NA</v>
      </c>
      <c r="M90" s="310" t="str">
        <f>IF(Accion[[#This Row],[Precio Cierre]]=MIN(Accion[Precio Cierre]),Accion[[#This Row],[Precio Cierre]],"NA")</f>
        <v>NA</v>
      </c>
    </row>
    <row r="91" spans="1:13">
      <c r="A91" s="685" t="s">
        <v>90</v>
      </c>
      <c r="B91" s="312">
        <v>43598</v>
      </c>
      <c r="C91" s="686">
        <v>23098</v>
      </c>
      <c r="D91" s="686">
        <v>104789040</v>
      </c>
      <c r="E91" s="686">
        <v>4480</v>
      </c>
      <c r="F91" s="686">
        <v>4580</v>
      </c>
      <c r="G91" s="686">
        <v>4536.71</v>
      </c>
      <c r="H91" s="686">
        <v>4480</v>
      </c>
      <c r="I91" s="686">
        <v>-3.66</v>
      </c>
      <c r="J91" s="686">
        <v>-170</v>
      </c>
      <c r="K91" s="71">
        <f>YEAR(Accion[[#This Row],[fecha]])</f>
        <v>2019</v>
      </c>
      <c r="L91" s="310" t="str">
        <f>IF(Accion[[#This Row],[Precio Cierre]]=MAX(Accion[Precio Cierre]),Accion[[#This Row],[Precio Cierre]],"NA")</f>
        <v>NA</v>
      </c>
      <c r="M91" s="310" t="str">
        <f>IF(Accion[[#This Row],[Precio Cierre]]=MIN(Accion[Precio Cierre]),Accion[[#This Row],[Precio Cierre]],"NA")</f>
        <v>NA</v>
      </c>
    </row>
    <row r="92" spans="1:13">
      <c r="A92" s="685" t="s">
        <v>90</v>
      </c>
      <c r="B92" s="312">
        <v>43599</v>
      </c>
      <c r="C92" s="686">
        <v>44879</v>
      </c>
      <c r="D92" s="686">
        <v>201742595</v>
      </c>
      <c r="E92" s="686">
        <v>4490</v>
      </c>
      <c r="F92" s="686">
        <v>4500</v>
      </c>
      <c r="G92" s="686">
        <v>4495.26</v>
      </c>
      <c r="H92" s="686">
        <v>4490</v>
      </c>
      <c r="I92" s="686">
        <v>0.22</v>
      </c>
      <c r="J92" s="686">
        <v>10</v>
      </c>
      <c r="K92" s="71">
        <f>YEAR(Accion[[#This Row],[fecha]])</f>
        <v>2019</v>
      </c>
      <c r="L92" s="310" t="str">
        <f>IF(Accion[[#This Row],[Precio Cierre]]=MAX(Accion[Precio Cierre]),Accion[[#This Row],[Precio Cierre]],"NA")</f>
        <v>NA</v>
      </c>
      <c r="M92" s="310" t="str">
        <f>IF(Accion[[#This Row],[Precio Cierre]]=MIN(Accion[Precio Cierre]),Accion[[#This Row],[Precio Cierre]],"NA")</f>
        <v>NA</v>
      </c>
    </row>
    <row r="93" spans="1:13">
      <c r="A93" s="685" t="s">
        <v>90</v>
      </c>
      <c r="B93" s="312">
        <v>43600</v>
      </c>
      <c r="C93" s="686">
        <v>21853</v>
      </c>
      <c r="D93" s="686">
        <v>97659155</v>
      </c>
      <c r="E93" s="686">
        <v>4430</v>
      </c>
      <c r="F93" s="686">
        <v>4500</v>
      </c>
      <c r="G93" s="686">
        <v>4468.91</v>
      </c>
      <c r="H93" s="686">
        <v>4430</v>
      </c>
      <c r="I93" s="686">
        <v>-1.34</v>
      </c>
      <c r="J93" s="686">
        <v>-60</v>
      </c>
      <c r="K93" s="71">
        <f>YEAR(Accion[[#This Row],[fecha]])</f>
        <v>2019</v>
      </c>
      <c r="L93" s="310" t="str">
        <f>IF(Accion[[#This Row],[Precio Cierre]]=MAX(Accion[Precio Cierre]),Accion[[#This Row],[Precio Cierre]],"NA")</f>
        <v>NA</v>
      </c>
      <c r="M93" s="310" t="str">
        <f>IF(Accion[[#This Row],[Precio Cierre]]=MIN(Accion[Precio Cierre]),Accion[[#This Row],[Precio Cierre]],"NA")</f>
        <v>NA</v>
      </c>
    </row>
    <row r="94" spans="1:13">
      <c r="A94" s="685" t="s">
        <v>90</v>
      </c>
      <c r="B94" s="312">
        <v>43601</v>
      </c>
      <c r="C94" s="686">
        <v>236814</v>
      </c>
      <c r="D94" s="686">
        <v>1048446040</v>
      </c>
      <c r="E94" s="686">
        <v>4345</v>
      </c>
      <c r="F94" s="686">
        <v>4500</v>
      </c>
      <c r="G94" s="686">
        <v>4427.3</v>
      </c>
      <c r="H94" s="686">
        <v>4345</v>
      </c>
      <c r="I94" s="686">
        <v>-1.92</v>
      </c>
      <c r="J94" s="686">
        <v>-85</v>
      </c>
      <c r="K94" s="71">
        <f>YEAR(Accion[[#This Row],[fecha]])</f>
        <v>2019</v>
      </c>
      <c r="L94" s="310" t="str">
        <f>IF(Accion[[#This Row],[Precio Cierre]]=MAX(Accion[Precio Cierre]),Accion[[#This Row],[Precio Cierre]],"NA")</f>
        <v>NA</v>
      </c>
      <c r="M94" s="310" t="str">
        <f>IF(Accion[[#This Row],[Precio Cierre]]=MIN(Accion[Precio Cierre]),Accion[[#This Row],[Precio Cierre]],"NA")</f>
        <v>NA</v>
      </c>
    </row>
    <row r="95" spans="1:13">
      <c r="A95" s="685" t="s">
        <v>90</v>
      </c>
      <c r="B95" s="312">
        <v>43602</v>
      </c>
      <c r="C95" s="686">
        <v>25447</v>
      </c>
      <c r="D95" s="686">
        <v>113539545</v>
      </c>
      <c r="E95" s="686">
        <v>4495</v>
      </c>
      <c r="F95" s="686">
        <v>4495</v>
      </c>
      <c r="G95" s="686">
        <v>4461.8</v>
      </c>
      <c r="H95" s="686">
        <v>4350</v>
      </c>
      <c r="I95" s="686">
        <v>3.45</v>
      </c>
      <c r="J95" s="686">
        <v>150</v>
      </c>
      <c r="K95" s="71">
        <f>YEAR(Accion[[#This Row],[fecha]])</f>
        <v>2019</v>
      </c>
      <c r="L95" s="310" t="str">
        <f>IF(Accion[[#This Row],[Precio Cierre]]=MAX(Accion[Precio Cierre]),Accion[[#This Row],[Precio Cierre]],"NA")</f>
        <v>NA</v>
      </c>
      <c r="M95" s="310" t="str">
        <f>IF(Accion[[#This Row],[Precio Cierre]]=MIN(Accion[Precio Cierre]),Accion[[#This Row],[Precio Cierre]],"NA")</f>
        <v>NA</v>
      </c>
    </row>
    <row r="96" spans="1:13">
      <c r="A96" s="685" t="s">
        <v>90</v>
      </c>
      <c r="B96" s="312">
        <v>43605</v>
      </c>
      <c r="C96" s="686">
        <v>13086</v>
      </c>
      <c r="D96" s="686">
        <v>58690790</v>
      </c>
      <c r="E96" s="686">
        <v>4485</v>
      </c>
      <c r="F96" s="686">
        <v>4495</v>
      </c>
      <c r="G96" s="686">
        <v>4485.01</v>
      </c>
      <c r="H96" s="686">
        <v>4485</v>
      </c>
      <c r="I96" s="686">
        <v>-0.22</v>
      </c>
      <c r="J96" s="686">
        <v>-10</v>
      </c>
      <c r="K96" s="71">
        <f>YEAR(Accion[[#This Row],[fecha]])</f>
        <v>2019</v>
      </c>
      <c r="L96" s="310" t="str">
        <f>IF(Accion[[#This Row],[Precio Cierre]]=MAX(Accion[Precio Cierre]),Accion[[#This Row],[Precio Cierre]],"NA")</f>
        <v>NA</v>
      </c>
      <c r="M96" s="310" t="str">
        <f>IF(Accion[[#This Row],[Precio Cierre]]=MIN(Accion[Precio Cierre]),Accion[[#This Row],[Precio Cierre]],"NA")</f>
        <v>NA</v>
      </c>
    </row>
    <row r="97" spans="1:13">
      <c r="A97" s="685" t="s">
        <v>90</v>
      </c>
      <c r="B97" s="312">
        <v>43606</v>
      </c>
      <c r="C97" s="686">
        <v>22747</v>
      </c>
      <c r="D97" s="686">
        <v>102117950</v>
      </c>
      <c r="E97" s="686">
        <v>4500</v>
      </c>
      <c r="F97" s="686">
        <v>4500</v>
      </c>
      <c r="G97" s="686">
        <v>4489.29</v>
      </c>
      <c r="H97" s="686">
        <v>4485</v>
      </c>
      <c r="I97" s="686">
        <v>0.33</v>
      </c>
      <c r="J97" s="686">
        <v>15</v>
      </c>
      <c r="K97" s="71">
        <f>YEAR(Accion[[#This Row],[fecha]])</f>
        <v>2019</v>
      </c>
      <c r="L97" s="310" t="str">
        <f>IF(Accion[[#This Row],[Precio Cierre]]=MAX(Accion[Precio Cierre]),Accion[[#This Row],[Precio Cierre]],"NA")</f>
        <v>NA</v>
      </c>
      <c r="M97" s="310" t="str">
        <f>IF(Accion[[#This Row],[Precio Cierre]]=MIN(Accion[Precio Cierre]),Accion[[#This Row],[Precio Cierre]],"NA")</f>
        <v>NA</v>
      </c>
    </row>
    <row r="98" spans="1:13">
      <c r="A98" s="685" t="s">
        <v>90</v>
      </c>
      <c r="B98" s="312">
        <v>43607</v>
      </c>
      <c r="C98" s="686">
        <v>387248</v>
      </c>
      <c r="D98" s="686">
        <v>1744051390</v>
      </c>
      <c r="E98" s="686">
        <v>4580</v>
      </c>
      <c r="F98" s="686">
        <v>4580</v>
      </c>
      <c r="G98" s="686">
        <v>4503.71</v>
      </c>
      <c r="H98" s="686">
        <v>4490</v>
      </c>
      <c r="I98" s="686">
        <v>1.78</v>
      </c>
      <c r="J98" s="686">
        <v>80</v>
      </c>
      <c r="K98" s="71">
        <f>YEAR(Accion[[#This Row],[fecha]])</f>
        <v>2019</v>
      </c>
      <c r="L98" s="310" t="str">
        <f>IF(Accion[[#This Row],[Precio Cierre]]=MAX(Accion[Precio Cierre]),Accion[[#This Row],[Precio Cierre]],"NA")</f>
        <v>NA</v>
      </c>
      <c r="M98" s="310" t="str">
        <f>IF(Accion[[#This Row],[Precio Cierre]]=MIN(Accion[Precio Cierre]),Accion[[#This Row],[Precio Cierre]],"NA")</f>
        <v>NA</v>
      </c>
    </row>
    <row r="99" spans="1:13">
      <c r="A99" s="685" t="s">
        <v>90</v>
      </c>
      <c r="B99" s="312">
        <v>43608</v>
      </c>
      <c r="C99" s="686">
        <v>39038</v>
      </c>
      <c r="D99" s="686">
        <v>175931950</v>
      </c>
      <c r="E99" s="686">
        <v>4400</v>
      </c>
      <c r="F99" s="686">
        <v>4530</v>
      </c>
      <c r="G99" s="686">
        <v>4506.68</v>
      </c>
      <c r="H99" s="686">
        <v>4400</v>
      </c>
      <c r="I99" s="686">
        <v>-3.93</v>
      </c>
      <c r="J99" s="686">
        <v>-180</v>
      </c>
      <c r="K99" s="71">
        <f>YEAR(Accion[[#This Row],[fecha]])</f>
        <v>2019</v>
      </c>
      <c r="L99" s="310" t="str">
        <f>IF(Accion[[#This Row],[Precio Cierre]]=MAX(Accion[Precio Cierre]),Accion[[#This Row],[Precio Cierre]],"NA")</f>
        <v>NA</v>
      </c>
      <c r="M99" s="310" t="str">
        <f>IF(Accion[[#This Row],[Precio Cierre]]=MIN(Accion[Precio Cierre]),Accion[[#This Row],[Precio Cierre]],"NA")</f>
        <v>NA</v>
      </c>
    </row>
    <row r="100" spans="1:13">
      <c r="A100" s="685" t="s">
        <v>90</v>
      </c>
      <c r="B100" s="312">
        <v>43609</v>
      </c>
      <c r="C100" s="686">
        <v>92036</v>
      </c>
      <c r="D100" s="686">
        <v>401141545</v>
      </c>
      <c r="E100" s="686">
        <v>4340</v>
      </c>
      <c r="F100" s="686">
        <v>4450</v>
      </c>
      <c r="G100" s="686">
        <v>4358.53</v>
      </c>
      <c r="H100" s="686">
        <v>4300</v>
      </c>
      <c r="I100" s="686">
        <v>-1.36</v>
      </c>
      <c r="J100" s="686">
        <v>-60</v>
      </c>
      <c r="K100" s="71">
        <f>YEAR(Accion[[#This Row],[fecha]])</f>
        <v>2019</v>
      </c>
      <c r="L100" s="310" t="str">
        <f>IF(Accion[[#This Row],[Precio Cierre]]=MAX(Accion[Precio Cierre]),Accion[[#This Row],[Precio Cierre]],"NA")</f>
        <v>NA</v>
      </c>
      <c r="M100" s="310" t="str">
        <f>IF(Accion[[#This Row],[Precio Cierre]]=MIN(Accion[Precio Cierre]),Accion[[#This Row],[Precio Cierre]],"NA")</f>
        <v>NA</v>
      </c>
    </row>
    <row r="101" spans="1:13">
      <c r="A101" s="685" t="s">
        <v>90</v>
      </c>
      <c r="B101" s="312">
        <v>43612</v>
      </c>
      <c r="C101" s="686">
        <v>102649</v>
      </c>
      <c r="D101" s="686">
        <v>457880405</v>
      </c>
      <c r="E101" s="686">
        <v>4550</v>
      </c>
      <c r="F101" s="686">
        <v>4550</v>
      </c>
      <c r="G101" s="686">
        <v>4460.6400000000003</v>
      </c>
      <c r="H101" s="686">
        <v>4225</v>
      </c>
      <c r="I101" s="686">
        <v>4.84</v>
      </c>
      <c r="J101" s="686">
        <v>210</v>
      </c>
      <c r="K101" s="71">
        <f>YEAR(Accion[[#This Row],[fecha]])</f>
        <v>2019</v>
      </c>
      <c r="L101" s="310" t="str">
        <f>IF(Accion[[#This Row],[Precio Cierre]]=MAX(Accion[Precio Cierre]),Accion[[#This Row],[Precio Cierre]],"NA")</f>
        <v>NA</v>
      </c>
      <c r="M101" s="310" t="str">
        <f>IF(Accion[[#This Row],[Precio Cierre]]=MIN(Accion[Precio Cierre]),Accion[[#This Row],[Precio Cierre]],"NA")</f>
        <v>NA</v>
      </c>
    </row>
    <row r="102" spans="1:13">
      <c r="A102" s="685" t="s">
        <v>90</v>
      </c>
      <c r="B102" s="312">
        <v>43613</v>
      </c>
      <c r="C102" s="686">
        <v>386489</v>
      </c>
      <c r="D102" s="686">
        <v>1813722135</v>
      </c>
      <c r="E102" s="686">
        <v>4720</v>
      </c>
      <c r="F102" s="686">
        <v>4720</v>
      </c>
      <c r="G102" s="686">
        <v>4692.82</v>
      </c>
      <c r="H102" s="686">
        <v>4550</v>
      </c>
      <c r="I102" s="686">
        <v>3.74</v>
      </c>
      <c r="J102" s="686">
        <v>170</v>
      </c>
      <c r="K102" s="71">
        <f>YEAR(Accion[[#This Row],[fecha]])</f>
        <v>2019</v>
      </c>
      <c r="L102" s="310" t="str">
        <f>IF(Accion[[#This Row],[Precio Cierre]]=MAX(Accion[Precio Cierre]),Accion[[#This Row],[Precio Cierre]],"NA")</f>
        <v>NA</v>
      </c>
      <c r="M102" s="310" t="str">
        <f>IF(Accion[[#This Row],[Precio Cierre]]=MIN(Accion[Precio Cierre]),Accion[[#This Row],[Precio Cierre]],"NA")</f>
        <v>NA</v>
      </c>
    </row>
    <row r="103" spans="1:13">
      <c r="A103" s="685" t="s">
        <v>90</v>
      </c>
      <c r="B103" s="312">
        <v>43614</v>
      </c>
      <c r="C103" s="686">
        <v>10590</v>
      </c>
      <c r="D103" s="686">
        <v>49889205</v>
      </c>
      <c r="E103" s="686">
        <v>4720</v>
      </c>
      <c r="F103" s="686">
        <v>4720</v>
      </c>
      <c r="G103" s="686">
        <v>4710.97</v>
      </c>
      <c r="H103" s="686">
        <v>4720</v>
      </c>
      <c r="I103" s="686">
        <v>0</v>
      </c>
      <c r="J103" s="686">
        <v>0</v>
      </c>
      <c r="K103" s="71">
        <f>YEAR(Accion[[#This Row],[fecha]])</f>
        <v>2019</v>
      </c>
      <c r="L103" s="310" t="str">
        <f>IF(Accion[[#This Row],[Precio Cierre]]=MAX(Accion[Precio Cierre]),Accion[[#This Row],[Precio Cierre]],"NA")</f>
        <v>NA</v>
      </c>
      <c r="M103" s="310" t="str">
        <f>IF(Accion[[#This Row],[Precio Cierre]]=MIN(Accion[Precio Cierre]),Accion[[#This Row],[Precio Cierre]],"NA")</f>
        <v>NA</v>
      </c>
    </row>
    <row r="104" spans="1:13">
      <c r="A104" s="685" t="s">
        <v>90</v>
      </c>
      <c r="B104" s="312">
        <v>43615</v>
      </c>
      <c r="C104" s="686">
        <v>35597</v>
      </c>
      <c r="D104" s="686">
        <v>163244705</v>
      </c>
      <c r="E104" s="686">
        <v>4550</v>
      </c>
      <c r="F104" s="686">
        <v>4625</v>
      </c>
      <c r="G104" s="686">
        <v>4585.91</v>
      </c>
      <c r="H104" s="686">
        <v>4550</v>
      </c>
      <c r="I104" s="686">
        <v>-3.6</v>
      </c>
      <c r="J104" s="686">
        <v>-170</v>
      </c>
      <c r="K104" s="71">
        <f>YEAR(Accion[[#This Row],[fecha]])</f>
        <v>2019</v>
      </c>
      <c r="L104" s="310" t="str">
        <f>IF(Accion[[#This Row],[Precio Cierre]]=MAX(Accion[Precio Cierre]),Accion[[#This Row],[Precio Cierre]],"NA")</f>
        <v>NA</v>
      </c>
      <c r="M104" s="310" t="str">
        <f>IF(Accion[[#This Row],[Precio Cierre]]=MIN(Accion[Precio Cierre]),Accion[[#This Row],[Precio Cierre]],"NA")</f>
        <v>NA</v>
      </c>
    </row>
    <row r="105" spans="1:13">
      <c r="A105" s="685" t="s">
        <v>90</v>
      </c>
      <c r="B105" s="312">
        <v>43616</v>
      </c>
      <c r="C105" s="686">
        <v>67980</v>
      </c>
      <c r="D105" s="686">
        <v>311736145</v>
      </c>
      <c r="E105" s="686">
        <v>4600</v>
      </c>
      <c r="F105" s="686">
        <v>4600</v>
      </c>
      <c r="G105" s="686">
        <v>4585.7</v>
      </c>
      <c r="H105" s="686">
        <v>4510</v>
      </c>
      <c r="I105" s="686">
        <v>1.1000000000000001</v>
      </c>
      <c r="J105" s="686">
        <v>50</v>
      </c>
      <c r="K105" s="71">
        <f>YEAR(Accion[[#This Row],[fecha]])</f>
        <v>2019</v>
      </c>
      <c r="L105" s="310" t="str">
        <f>IF(Accion[[#This Row],[Precio Cierre]]=MAX(Accion[Precio Cierre]),Accion[[#This Row],[Precio Cierre]],"NA")</f>
        <v>NA</v>
      </c>
      <c r="M105" s="310" t="str">
        <f>IF(Accion[[#This Row],[Precio Cierre]]=MIN(Accion[Precio Cierre]),Accion[[#This Row],[Precio Cierre]],"NA")</f>
        <v>NA</v>
      </c>
    </row>
    <row r="106" spans="1:13">
      <c r="A106" s="685" t="s">
        <v>90</v>
      </c>
      <c r="B106" s="312">
        <v>43620</v>
      </c>
      <c r="C106" s="686">
        <v>38567</v>
      </c>
      <c r="D106" s="686">
        <v>171848845</v>
      </c>
      <c r="E106" s="686">
        <v>4400</v>
      </c>
      <c r="F106" s="686">
        <v>4600</v>
      </c>
      <c r="G106" s="686">
        <v>4455.8500000000004</v>
      </c>
      <c r="H106" s="686">
        <v>4400</v>
      </c>
      <c r="I106" s="686">
        <v>-4.3499999999999996</v>
      </c>
      <c r="J106" s="686">
        <v>-200</v>
      </c>
      <c r="K106" s="71">
        <f>YEAR(Accion[[#This Row],[fecha]])</f>
        <v>2019</v>
      </c>
      <c r="L106" s="310" t="str">
        <f>IF(Accion[[#This Row],[Precio Cierre]]=MAX(Accion[Precio Cierre]),Accion[[#This Row],[Precio Cierre]],"NA")</f>
        <v>NA</v>
      </c>
      <c r="M106" s="310" t="str">
        <f>IF(Accion[[#This Row],[Precio Cierre]]=MIN(Accion[Precio Cierre]),Accion[[#This Row],[Precio Cierre]],"NA")</f>
        <v>NA</v>
      </c>
    </row>
    <row r="107" spans="1:13">
      <c r="A107" s="685" t="s">
        <v>90</v>
      </c>
      <c r="B107" s="312">
        <v>43621</v>
      </c>
      <c r="C107" s="686">
        <v>25682</v>
      </c>
      <c r="D107" s="686">
        <v>113883760</v>
      </c>
      <c r="E107" s="686">
        <v>4415</v>
      </c>
      <c r="F107" s="686">
        <v>4460</v>
      </c>
      <c r="G107" s="686">
        <v>4434.38</v>
      </c>
      <c r="H107" s="686">
        <v>4415</v>
      </c>
      <c r="I107" s="686">
        <v>0.34</v>
      </c>
      <c r="J107" s="686">
        <v>15</v>
      </c>
      <c r="K107" s="71">
        <f>YEAR(Accion[[#This Row],[fecha]])</f>
        <v>2019</v>
      </c>
      <c r="L107" s="310" t="str">
        <f>IF(Accion[[#This Row],[Precio Cierre]]=MAX(Accion[Precio Cierre]),Accion[[#This Row],[Precio Cierre]],"NA")</f>
        <v>NA</v>
      </c>
      <c r="M107" s="310" t="str">
        <f>IF(Accion[[#This Row],[Precio Cierre]]=MIN(Accion[Precio Cierre]),Accion[[#This Row],[Precio Cierre]],"NA")</f>
        <v>NA</v>
      </c>
    </row>
    <row r="108" spans="1:13">
      <c r="A108" s="685" t="s">
        <v>90</v>
      </c>
      <c r="B108" s="312">
        <v>43622</v>
      </c>
      <c r="C108" s="686">
        <v>30917</v>
      </c>
      <c r="D108" s="686">
        <v>136931920</v>
      </c>
      <c r="E108" s="686">
        <v>4400</v>
      </c>
      <c r="F108" s="686">
        <v>4430</v>
      </c>
      <c r="G108" s="686">
        <v>4429.0200000000004</v>
      </c>
      <c r="H108" s="686">
        <v>4400</v>
      </c>
      <c r="I108" s="686">
        <v>-0.34</v>
      </c>
      <c r="J108" s="686">
        <v>-15</v>
      </c>
      <c r="K108" s="71">
        <f>YEAR(Accion[[#This Row],[fecha]])</f>
        <v>2019</v>
      </c>
      <c r="L108" s="310" t="str">
        <f>IF(Accion[[#This Row],[Precio Cierre]]=MAX(Accion[Precio Cierre]),Accion[[#This Row],[Precio Cierre]],"NA")</f>
        <v>NA</v>
      </c>
      <c r="M108" s="310" t="str">
        <f>IF(Accion[[#This Row],[Precio Cierre]]=MIN(Accion[Precio Cierre]),Accion[[#This Row],[Precio Cierre]],"NA")</f>
        <v>NA</v>
      </c>
    </row>
    <row r="109" spans="1:13">
      <c r="A109" s="685" t="s">
        <v>90</v>
      </c>
      <c r="B109" s="312">
        <v>43623</v>
      </c>
      <c r="C109" s="686">
        <v>142751</v>
      </c>
      <c r="D109" s="686">
        <v>628599045</v>
      </c>
      <c r="E109" s="686">
        <v>4525</v>
      </c>
      <c r="F109" s="686">
        <v>4525</v>
      </c>
      <c r="G109" s="686">
        <v>4403.47</v>
      </c>
      <c r="H109" s="686">
        <v>4395</v>
      </c>
      <c r="I109" s="686">
        <v>2.84</v>
      </c>
      <c r="J109" s="686">
        <v>125</v>
      </c>
      <c r="K109" s="71">
        <f>YEAR(Accion[[#This Row],[fecha]])</f>
        <v>2019</v>
      </c>
      <c r="L109" s="310" t="str">
        <f>IF(Accion[[#This Row],[Precio Cierre]]=MAX(Accion[Precio Cierre]),Accion[[#This Row],[Precio Cierre]],"NA")</f>
        <v>NA</v>
      </c>
      <c r="M109" s="310" t="str">
        <f>IF(Accion[[#This Row],[Precio Cierre]]=MIN(Accion[Precio Cierre]),Accion[[#This Row],[Precio Cierre]],"NA")</f>
        <v>NA</v>
      </c>
    </row>
    <row r="110" spans="1:13">
      <c r="A110" s="685" t="s">
        <v>90</v>
      </c>
      <c r="B110" s="312">
        <v>43626</v>
      </c>
      <c r="C110" s="686">
        <v>35675</v>
      </c>
      <c r="D110" s="686">
        <v>160178515</v>
      </c>
      <c r="E110" s="686">
        <v>4525</v>
      </c>
      <c r="F110" s="686">
        <v>4525</v>
      </c>
      <c r="G110" s="686">
        <v>4489.9399999999996</v>
      </c>
      <c r="H110" s="686">
        <v>4420</v>
      </c>
      <c r="I110" s="686">
        <v>0</v>
      </c>
      <c r="J110" s="686">
        <v>0</v>
      </c>
      <c r="K110" s="71">
        <f>YEAR(Accion[[#This Row],[fecha]])</f>
        <v>2019</v>
      </c>
      <c r="L110" s="310" t="str">
        <f>IF(Accion[[#This Row],[Precio Cierre]]=MAX(Accion[Precio Cierre]),Accion[[#This Row],[Precio Cierre]],"NA")</f>
        <v>NA</v>
      </c>
      <c r="M110" s="310" t="str">
        <f>IF(Accion[[#This Row],[Precio Cierre]]=MIN(Accion[Precio Cierre]),Accion[[#This Row],[Precio Cierre]],"NA")</f>
        <v>NA</v>
      </c>
    </row>
    <row r="111" spans="1:13">
      <c r="A111" s="685" t="s">
        <v>90</v>
      </c>
      <c r="B111" s="312">
        <v>43627</v>
      </c>
      <c r="C111" s="686">
        <v>18736</v>
      </c>
      <c r="D111" s="686">
        <v>84022900</v>
      </c>
      <c r="E111" s="686">
        <v>4450</v>
      </c>
      <c r="F111" s="686">
        <v>4525</v>
      </c>
      <c r="G111" s="686">
        <v>4484.57</v>
      </c>
      <c r="H111" s="686">
        <v>4450</v>
      </c>
      <c r="I111" s="686">
        <v>-1.66</v>
      </c>
      <c r="J111" s="686">
        <v>-75</v>
      </c>
      <c r="K111" s="71">
        <f>YEAR(Accion[[#This Row],[fecha]])</f>
        <v>2019</v>
      </c>
      <c r="L111" s="310" t="str">
        <f>IF(Accion[[#This Row],[Precio Cierre]]=MAX(Accion[Precio Cierre]),Accion[[#This Row],[Precio Cierre]],"NA")</f>
        <v>NA</v>
      </c>
      <c r="M111" s="310" t="str">
        <f>IF(Accion[[#This Row],[Precio Cierre]]=MIN(Accion[Precio Cierre]),Accion[[#This Row],[Precio Cierre]],"NA")</f>
        <v>NA</v>
      </c>
    </row>
    <row r="112" spans="1:13">
      <c r="A112" s="685" t="s">
        <v>90</v>
      </c>
      <c r="B112" s="312">
        <v>43628</v>
      </c>
      <c r="C112" s="686">
        <v>30365</v>
      </c>
      <c r="D112" s="686">
        <v>134084630</v>
      </c>
      <c r="E112" s="686">
        <v>4405</v>
      </c>
      <c r="F112" s="686">
        <v>4450</v>
      </c>
      <c r="G112" s="686">
        <v>4415.76</v>
      </c>
      <c r="H112" s="686">
        <v>4405</v>
      </c>
      <c r="I112" s="686">
        <v>-1.01</v>
      </c>
      <c r="J112" s="686">
        <v>-45</v>
      </c>
      <c r="K112" s="71">
        <f>YEAR(Accion[[#This Row],[fecha]])</f>
        <v>2019</v>
      </c>
      <c r="L112" s="310" t="str">
        <f>IF(Accion[[#This Row],[Precio Cierre]]=MAX(Accion[Precio Cierre]),Accion[[#This Row],[Precio Cierre]],"NA")</f>
        <v>NA</v>
      </c>
      <c r="M112" s="310" t="str">
        <f>IF(Accion[[#This Row],[Precio Cierre]]=MIN(Accion[Precio Cierre]),Accion[[#This Row],[Precio Cierre]],"NA")</f>
        <v>NA</v>
      </c>
    </row>
    <row r="113" spans="1:13">
      <c r="A113" s="685" t="s">
        <v>90</v>
      </c>
      <c r="B113" s="312">
        <v>43629</v>
      </c>
      <c r="C113" s="686">
        <v>29414</v>
      </c>
      <c r="D113" s="686">
        <v>131880805</v>
      </c>
      <c r="E113" s="686">
        <v>4450</v>
      </c>
      <c r="F113" s="686">
        <v>4510</v>
      </c>
      <c r="G113" s="686">
        <v>4483.6099999999997</v>
      </c>
      <c r="H113" s="686">
        <v>4450</v>
      </c>
      <c r="I113" s="686">
        <v>1.02</v>
      </c>
      <c r="J113" s="686">
        <v>45</v>
      </c>
      <c r="K113" s="71">
        <f>YEAR(Accion[[#This Row],[fecha]])</f>
        <v>2019</v>
      </c>
      <c r="L113" s="310" t="str">
        <f>IF(Accion[[#This Row],[Precio Cierre]]=MAX(Accion[Precio Cierre]),Accion[[#This Row],[Precio Cierre]],"NA")</f>
        <v>NA</v>
      </c>
      <c r="M113" s="310" t="str">
        <f>IF(Accion[[#This Row],[Precio Cierre]]=MIN(Accion[Precio Cierre]),Accion[[#This Row],[Precio Cierre]],"NA")</f>
        <v>NA</v>
      </c>
    </row>
    <row r="114" spans="1:13">
      <c r="A114" s="685" t="s">
        <v>90</v>
      </c>
      <c r="B114" s="312">
        <v>43630</v>
      </c>
      <c r="C114" s="686">
        <v>33909</v>
      </c>
      <c r="D114" s="686">
        <v>151504700</v>
      </c>
      <c r="E114" s="686">
        <v>4480</v>
      </c>
      <c r="F114" s="686">
        <v>4495</v>
      </c>
      <c r="G114" s="686">
        <v>4467.9799999999996</v>
      </c>
      <c r="H114" s="686">
        <v>4420</v>
      </c>
      <c r="I114" s="686">
        <v>0.67</v>
      </c>
      <c r="J114" s="686">
        <v>30</v>
      </c>
      <c r="K114" s="71">
        <f>YEAR(Accion[[#This Row],[fecha]])</f>
        <v>2019</v>
      </c>
      <c r="L114" s="310" t="str">
        <f>IF(Accion[[#This Row],[Precio Cierre]]=MAX(Accion[Precio Cierre]),Accion[[#This Row],[Precio Cierre]],"NA")</f>
        <v>NA</v>
      </c>
      <c r="M114" s="310" t="str">
        <f>IF(Accion[[#This Row],[Precio Cierre]]=MIN(Accion[Precio Cierre]),Accion[[#This Row],[Precio Cierre]],"NA")</f>
        <v>NA</v>
      </c>
    </row>
    <row r="115" spans="1:13">
      <c r="A115" s="685" t="s">
        <v>90</v>
      </c>
      <c r="B115" s="312">
        <v>43633</v>
      </c>
      <c r="C115" s="686">
        <v>214028</v>
      </c>
      <c r="D115" s="686">
        <v>915718270</v>
      </c>
      <c r="E115" s="686">
        <v>4265</v>
      </c>
      <c r="F115" s="686">
        <v>4420</v>
      </c>
      <c r="G115" s="686">
        <v>4278.5</v>
      </c>
      <c r="H115" s="686">
        <v>4150</v>
      </c>
      <c r="I115" s="686">
        <v>-4.8</v>
      </c>
      <c r="J115" s="686">
        <v>-215</v>
      </c>
      <c r="K115" s="71">
        <f>YEAR(Accion[[#This Row],[fecha]])</f>
        <v>2019</v>
      </c>
      <c r="L115" s="310" t="str">
        <f>IF(Accion[[#This Row],[Precio Cierre]]=MAX(Accion[Precio Cierre]),Accion[[#This Row],[Precio Cierre]],"NA")</f>
        <v>NA</v>
      </c>
      <c r="M115" s="310" t="str">
        <f>IF(Accion[[#This Row],[Precio Cierre]]=MIN(Accion[Precio Cierre]),Accion[[#This Row],[Precio Cierre]],"NA")</f>
        <v>NA</v>
      </c>
    </row>
    <row r="116" spans="1:13">
      <c r="A116" s="685" t="s">
        <v>90</v>
      </c>
      <c r="B116" s="312">
        <v>43634</v>
      </c>
      <c r="C116" s="686">
        <v>28395</v>
      </c>
      <c r="D116" s="686">
        <v>124136975</v>
      </c>
      <c r="E116" s="686">
        <v>4425</v>
      </c>
      <c r="F116" s="686">
        <v>4425</v>
      </c>
      <c r="G116" s="686">
        <v>4371.79</v>
      </c>
      <c r="H116" s="686">
        <v>4330</v>
      </c>
      <c r="I116" s="686">
        <v>3.75</v>
      </c>
      <c r="J116" s="686">
        <v>160</v>
      </c>
      <c r="K116" s="71">
        <f>YEAR(Accion[[#This Row],[fecha]])</f>
        <v>2019</v>
      </c>
      <c r="L116" s="310" t="str">
        <f>IF(Accion[[#This Row],[Precio Cierre]]=MAX(Accion[Precio Cierre]),Accion[[#This Row],[Precio Cierre]],"NA")</f>
        <v>NA</v>
      </c>
      <c r="M116" s="310" t="str">
        <f>IF(Accion[[#This Row],[Precio Cierre]]=MIN(Accion[Precio Cierre]),Accion[[#This Row],[Precio Cierre]],"NA")</f>
        <v>NA</v>
      </c>
    </row>
    <row r="117" spans="1:13">
      <c r="A117" s="685" t="s">
        <v>90</v>
      </c>
      <c r="B117" s="312">
        <v>43635</v>
      </c>
      <c r="C117" s="686">
        <v>28325</v>
      </c>
      <c r="D117" s="686">
        <v>122788875</v>
      </c>
      <c r="E117" s="686">
        <v>4335</v>
      </c>
      <c r="F117" s="686">
        <v>4335</v>
      </c>
      <c r="G117" s="686">
        <v>4335</v>
      </c>
      <c r="H117" s="686">
        <v>4335</v>
      </c>
      <c r="I117" s="686">
        <v>-2.0299999999999998</v>
      </c>
      <c r="J117" s="686">
        <v>-90</v>
      </c>
      <c r="K117" s="71">
        <f>YEAR(Accion[[#This Row],[fecha]])</f>
        <v>2019</v>
      </c>
      <c r="L117" s="310" t="str">
        <f>IF(Accion[[#This Row],[Precio Cierre]]=MAX(Accion[Precio Cierre]),Accion[[#This Row],[Precio Cierre]],"NA")</f>
        <v>NA</v>
      </c>
      <c r="M117" s="310" t="str">
        <f>IF(Accion[[#This Row],[Precio Cierre]]=MIN(Accion[Precio Cierre]),Accion[[#This Row],[Precio Cierre]],"NA")</f>
        <v>NA</v>
      </c>
    </row>
    <row r="118" spans="1:13">
      <c r="A118" s="685" t="s">
        <v>90</v>
      </c>
      <c r="B118" s="312">
        <v>43636</v>
      </c>
      <c r="C118" s="686">
        <v>18748</v>
      </c>
      <c r="D118" s="686">
        <v>82318700</v>
      </c>
      <c r="E118" s="686">
        <v>4350</v>
      </c>
      <c r="F118" s="686">
        <v>4460</v>
      </c>
      <c r="G118" s="686">
        <v>4390.8</v>
      </c>
      <c r="H118" s="686">
        <v>4350</v>
      </c>
      <c r="I118" s="686">
        <v>0.35</v>
      </c>
      <c r="J118" s="686">
        <v>15</v>
      </c>
      <c r="K118" s="71">
        <f>YEAR(Accion[[#This Row],[fecha]])</f>
        <v>2019</v>
      </c>
      <c r="L118" s="310" t="str">
        <f>IF(Accion[[#This Row],[Precio Cierre]]=MAX(Accion[Precio Cierre]),Accion[[#This Row],[Precio Cierre]],"NA")</f>
        <v>NA</v>
      </c>
      <c r="M118" s="310" t="str">
        <f>IF(Accion[[#This Row],[Precio Cierre]]=MIN(Accion[Precio Cierre]),Accion[[#This Row],[Precio Cierre]],"NA")</f>
        <v>NA</v>
      </c>
    </row>
    <row r="119" spans="1:13">
      <c r="A119" s="685" t="s">
        <v>90</v>
      </c>
      <c r="B119" s="312">
        <v>43637</v>
      </c>
      <c r="C119" s="686">
        <v>359207</v>
      </c>
      <c r="D119" s="686">
        <v>1589370210</v>
      </c>
      <c r="E119" s="686">
        <v>4430</v>
      </c>
      <c r="F119" s="686">
        <v>4430</v>
      </c>
      <c r="G119" s="686">
        <v>4424.66</v>
      </c>
      <c r="H119" s="686">
        <v>4350</v>
      </c>
      <c r="I119" s="686">
        <v>1.84</v>
      </c>
      <c r="J119" s="686">
        <v>80</v>
      </c>
      <c r="K119" s="71">
        <f>YEAR(Accion[[#This Row],[fecha]])</f>
        <v>2019</v>
      </c>
      <c r="L119" s="310" t="str">
        <f>IF(Accion[[#This Row],[Precio Cierre]]=MAX(Accion[Precio Cierre]),Accion[[#This Row],[Precio Cierre]],"NA")</f>
        <v>NA</v>
      </c>
      <c r="M119" s="310" t="str">
        <f>IF(Accion[[#This Row],[Precio Cierre]]=MIN(Accion[Precio Cierre]),Accion[[#This Row],[Precio Cierre]],"NA")</f>
        <v>NA</v>
      </c>
    </row>
    <row r="120" spans="1:13">
      <c r="A120" s="685" t="s">
        <v>90</v>
      </c>
      <c r="B120" s="312">
        <v>43641</v>
      </c>
      <c r="C120" s="686">
        <v>185038</v>
      </c>
      <c r="D120" s="686">
        <v>833348545</v>
      </c>
      <c r="E120" s="686">
        <v>4500</v>
      </c>
      <c r="F120" s="686">
        <v>4650</v>
      </c>
      <c r="G120" s="686">
        <v>4503.66</v>
      </c>
      <c r="H120" s="686">
        <v>4430</v>
      </c>
      <c r="I120" s="686">
        <v>1.58</v>
      </c>
      <c r="J120" s="686">
        <v>70</v>
      </c>
      <c r="K120" s="71">
        <f>YEAR(Accion[[#This Row],[fecha]])</f>
        <v>2019</v>
      </c>
      <c r="L120" s="310" t="str">
        <f>IF(Accion[[#This Row],[Precio Cierre]]=MAX(Accion[Precio Cierre]),Accion[[#This Row],[Precio Cierre]],"NA")</f>
        <v>NA</v>
      </c>
      <c r="M120" s="310" t="str">
        <f>IF(Accion[[#This Row],[Precio Cierre]]=MIN(Accion[Precio Cierre]),Accion[[#This Row],[Precio Cierre]],"NA")</f>
        <v>NA</v>
      </c>
    </row>
    <row r="121" spans="1:13">
      <c r="A121" s="685" t="s">
        <v>90</v>
      </c>
      <c r="B121" s="312">
        <v>43642</v>
      </c>
      <c r="C121" s="686">
        <v>414471</v>
      </c>
      <c r="D121" s="686">
        <v>1865782115</v>
      </c>
      <c r="E121" s="686">
        <v>4500</v>
      </c>
      <c r="F121" s="686">
        <v>4600</v>
      </c>
      <c r="G121" s="686">
        <v>4501.6000000000004</v>
      </c>
      <c r="H121" s="686">
        <v>4470</v>
      </c>
      <c r="I121" s="686">
        <v>0</v>
      </c>
      <c r="J121" s="686">
        <v>0</v>
      </c>
      <c r="K121" s="71">
        <f>YEAR(Accion[[#This Row],[fecha]])</f>
        <v>2019</v>
      </c>
      <c r="L121" s="310" t="str">
        <f>IF(Accion[[#This Row],[Precio Cierre]]=MAX(Accion[Precio Cierre]),Accion[[#This Row],[Precio Cierre]],"NA")</f>
        <v>NA</v>
      </c>
      <c r="M121" s="310" t="str">
        <f>IF(Accion[[#This Row],[Precio Cierre]]=MIN(Accion[Precio Cierre]),Accion[[#This Row],[Precio Cierre]],"NA")</f>
        <v>NA</v>
      </c>
    </row>
    <row r="122" spans="1:13">
      <c r="A122" s="685" t="s">
        <v>90</v>
      </c>
      <c r="B122" s="312">
        <v>43643</v>
      </c>
      <c r="C122" s="686">
        <v>104786</v>
      </c>
      <c r="D122" s="686">
        <v>468602795</v>
      </c>
      <c r="E122" s="686">
        <v>4500</v>
      </c>
      <c r="F122" s="686">
        <v>4540</v>
      </c>
      <c r="G122" s="686">
        <v>4472</v>
      </c>
      <c r="H122" s="686">
        <v>4420</v>
      </c>
      <c r="I122" s="686">
        <v>0</v>
      </c>
      <c r="J122" s="686">
        <v>0</v>
      </c>
      <c r="K122" s="71">
        <f>YEAR(Accion[[#This Row],[fecha]])</f>
        <v>2019</v>
      </c>
      <c r="L122" s="310" t="str">
        <f>IF(Accion[[#This Row],[Precio Cierre]]=MAX(Accion[Precio Cierre]),Accion[[#This Row],[Precio Cierre]],"NA")</f>
        <v>NA</v>
      </c>
      <c r="M122" s="310" t="str">
        <f>IF(Accion[[#This Row],[Precio Cierre]]=MIN(Accion[Precio Cierre]),Accion[[#This Row],[Precio Cierre]],"NA")</f>
        <v>NA</v>
      </c>
    </row>
    <row r="123" spans="1:13">
      <c r="A123" s="685" t="s">
        <v>90</v>
      </c>
      <c r="B123" s="312">
        <v>43644</v>
      </c>
      <c r="C123" s="686">
        <v>20000</v>
      </c>
      <c r="D123" s="686">
        <v>91000000</v>
      </c>
      <c r="E123" s="686">
        <v>4550</v>
      </c>
      <c r="F123" s="686">
        <v>4550</v>
      </c>
      <c r="G123" s="686">
        <v>4550</v>
      </c>
      <c r="H123" s="686">
        <v>4550</v>
      </c>
      <c r="I123" s="686">
        <v>1.1100000000000001</v>
      </c>
      <c r="J123" s="686">
        <v>50</v>
      </c>
      <c r="K123" s="71">
        <f>YEAR(Accion[[#This Row],[fecha]])</f>
        <v>2019</v>
      </c>
      <c r="L123" s="310" t="str">
        <f>IF(Accion[[#This Row],[Precio Cierre]]=MAX(Accion[Precio Cierre]),Accion[[#This Row],[Precio Cierre]],"NA")</f>
        <v>NA</v>
      </c>
      <c r="M123" s="310" t="str">
        <f>IF(Accion[[#This Row],[Precio Cierre]]=MIN(Accion[Precio Cierre]),Accion[[#This Row],[Precio Cierre]],"NA")</f>
        <v>NA</v>
      </c>
    </row>
    <row r="124" spans="1:13">
      <c r="A124" s="311" t="s">
        <v>90</v>
      </c>
      <c r="B124" s="312">
        <v>43462</v>
      </c>
      <c r="C124" s="309">
        <v>58942</v>
      </c>
      <c r="D124" s="309">
        <v>217830980</v>
      </c>
      <c r="E124" s="309">
        <v>3700</v>
      </c>
      <c r="F124" s="309">
        <v>3800</v>
      </c>
      <c r="G124" s="309">
        <v>3695.68</v>
      </c>
      <c r="H124" s="309">
        <v>3615</v>
      </c>
      <c r="I124" s="309">
        <v>0.27</v>
      </c>
      <c r="J124" s="309">
        <v>10</v>
      </c>
      <c r="K124" s="71">
        <f>YEAR(Accion[[#This Row],[fecha]])</f>
        <v>2018</v>
      </c>
      <c r="L124" s="310" t="str">
        <f>IF(Accion[[#This Row],[Precio Cierre]]=MAX(Accion[Precio Cierre]),Accion[[#This Row],[Precio Cierre]],"NA")</f>
        <v>NA</v>
      </c>
      <c r="M124" s="310" t="str">
        <f>IF(Accion[[#This Row],[Precio Cierre]]=MIN(Accion[Precio Cierre]),Accion[[#This Row],[Precio Cierre]],"NA")</f>
        <v>NA</v>
      </c>
    </row>
    <row r="125" spans="1:13">
      <c r="A125" s="311" t="s">
        <v>90</v>
      </c>
      <c r="B125" s="312">
        <v>43461</v>
      </c>
      <c r="C125" s="309">
        <v>13077</v>
      </c>
      <c r="D125" s="309">
        <v>48264900</v>
      </c>
      <c r="E125" s="309">
        <v>3690</v>
      </c>
      <c r="F125" s="309">
        <v>3690</v>
      </c>
      <c r="G125" s="309">
        <v>3690.82</v>
      </c>
      <c r="H125" s="309">
        <v>3690</v>
      </c>
      <c r="I125" s="309">
        <v>-0.27</v>
      </c>
      <c r="J125" s="309">
        <v>-10</v>
      </c>
      <c r="K125" s="71">
        <f>YEAR(Accion[[#This Row],[fecha]])</f>
        <v>2018</v>
      </c>
      <c r="L125" s="310" t="str">
        <f>IF(Accion[[#This Row],[Precio Cierre]]=MAX(Accion[Precio Cierre]),Accion[[#This Row],[Precio Cierre]],"NA")</f>
        <v>NA</v>
      </c>
      <c r="M125" s="310" t="str">
        <f>IF(Accion[[#This Row],[Precio Cierre]]=MIN(Accion[Precio Cierre]),Accion[[#This Row],[Precio Cierre]],"NA")</f>
        <v>NA</v>
      </c>
    </row>
    <row r="126" spans="1:13">
      <c r="A126" s="311" t="s">
        <v>90</v>
      </c>
      <c r="B126" s="312">
        <v>43460</v>
      </c>
      <c r="C126" s="309">
        <v>7500</v>
      </c>
      <c r="D126" s="309">
        <v>27625000</v>
      </c>
      <c r="E126" s="309">
        <v>3700</v>
      </c>
      <c r="F126" s="309">
        <v>3700</v>
      </c>
      <c r="G126" s="309">
        <v>3683.33</v>
      </c>
      <c r="H126" s="309">
        <v>3700</v>
      </c>
      <c r="I126" s="309">
        <v>5.71</v>
      </c>
      <c r="J126" s="309">
        <v>200</v>
      </c>
      <c r="K126" s="71">
        <f>YEAR(Accion[[#This Row],[fecha]])</f>
        <v>2018</v>
      </c>
      <c r="L126" s="310" t="str">
        <f>IF(Accion[[#This Row],[Precio Cierre]]=MAX(Accion[Precio Cierre]),Accion[[#This Row],[Precio Cierre]],"NA")</f>
        <v>NA</v>
      </c>
      <c r="M126" s="310" t="str">
        <f>IF(Accion[[#This Row],[Precio Cierre]]=MIN(Accion[Precio Cierre]),Accion[[#This Row],[Precio Cierre]],"NA")</f>
        <v>NA</v>
      </c>
    </row>
    <row r="127" spans="1:13">
      <c r="A127" s="311" t="s">
        <v>90</v>
      </c>
      <c r="B127" s="312">
        <v>43458</v>
      </c>
      <c r="C127" s="309">
        <v>26982</v>
      </c>
      <c r="D127" s="309">
        <v>94738600</v>
      </c>
      <c r="E127" s="309">
        <v>3500</v>
      </c>
      <c r="F127" s="309">
        <v>3500</v>
      </c>
      <c r="G127" s="309">
        <v>3511.18</v>
      </c>
      <c r="H127" s="309">
        <v>3500</v>
      </c>
      <c r="I127" s="309">
        <v>0.86</v>
      </c>
      <c r="J127" s="309">
        <v>30</v>
      </c>
      <c r="K127" s="71">
        <f>YEAR(Accion[[#This Row],[fecha]])</f>
        <v>2018</v>
      </c>
      <c r="L127" s="310" t="str">
        <f>IF(Accion[[#This Row],[Precio Cierre]]=MAX(Accion[Precio Cierre]),Accion[[#This Row],[Precio Cierre]],"NA")</f>
        <v>NA</v>
      </c>
      <c r="M127" s="310">
        <f>IF(Accion[[#This Row],[Precio Cierre]]=MIN(Accion[Precio Cierre]),Accion[[#This Row],[Precio Cierre]],"NA")</f>
        <v>3511.18</v>
      </c>
    </row>
    <row r="128" spans="1:13">
      <c r="A128" s="311" t="s">
        <v>90</v>
      </c>
      <c r="B128" s="312">
        <v>43455</v>
      </c>
      <c r="C128" s="309">
        <v>299795</v>
      </c>
      <c r="D128" s="309">
        <v>1073717720</v>
      </c>
      <c r="E128" s="309">
        <v>3470</v>
      </c>
      <c r="F128" s="309">
        <v>3850</v>
      </c>
      <c r="G128" s="309">
        <v>3581.51</v>
      </c>
      <c r="H128" s="309">
        <v>3470</v>
      </c>
      <c r="I128" s="309">
        <v>-9.8699999999999992</v>
      </c>
      <c r="J128" s="309">
        <v>-380</v>
      </c>
      <c r="K128" s="71">
        <f>YEAR(Accion[[#This Row],[fecha]])</f>
        <v>2018</v>
      </c>
      <c r="L128" s="310" t="str">
        <f>IF(Accion[[#This Row],[Precio Cierre]]=MAX(Accion[Precio Cierre]),Accion[[#This Row],[Precio Cierre]],"NA")</f>
        <v>NA</v>
      </c>
      <c r="M128" s="310" t="str">
        <f>IF(Accion[[#This Row],[Precio Cierre]]=MIN(Accion[Precio Cierre]),Accion[[#This Row],[Precio Cierre]],"NA")</f>
        <v>NA</v>
      </c>
    </row>
    <row r="129" spans="1:13">
      <c r="A129" s="311" t="s">
        <v>90</v>
      </c>
      <c r="B129" s="312">
        <v>43454</v>
      </c>
      <c r="C129" s="309">
        <v>64193</v>
      </c>
      <c r="D129" s="309">
        <v>248125330</v>
      </c>
      <c r="E129" s="309">
        <v>3850</v>
      </c>
      <c r="F129" s="309">
        <v>3900</v>
      </c>
      <c r="G129" s="309">
        <v>3865.3</v>
      </c>
      <c r="H129" s="309">
        <v>3840</v>
      </c>
      <c r="I129" s="309">
        <v>-3.02</v>
      </c>
      <c r="J129" s="309">
        <v>-120</v>
      </c>
      <c r="K129" s="71">
        <f>YEAR(Accion[[#This Row],[fecha]])</f>
        <v>2018</v>
      </c>
      <c r="L129" s="310" t="str">
        <f>IF(Accion[[#This Row],[Precio Cierre]]=MAX(Accion[Precio Cierre]),Accion[[#This Row],[Precio Cierre]],"NA")</f>
        <v>NA</v>
      </c>
      <c r="M129" s="310" t="str">
        <f>IF(Accion[[#This Row],[Precio Cierre]]=MIN(Accion[Precio Cierre]),Accion[[#This Row],[Precio Cierre]],"NA")</f>
        <v>NA</v>
      </c>
    </row>
    <row r="130" spans="1:13">
      <c r="A130" s="311" t="s">
        <v>90</v>
      </c>
      <c r="B130" s="312">
        <v>43453</v>
      </c>
      <c r="C130" s="309">
        <v>124758</v>
      </c>
      <c r="D130" s="309">
        <v>482824665</v>
      </c>
      <c r="E130" s="309">
        <v>3970</v>
      </c>
      <c r="F130" s="309">
        <v>3975</v>
      </c>
      <c r="G130" s="309">
        <v>3870.09</v>
      </c>
      <c r="H130" s="309">
        <v>3840</v>
      </c>
      <c r="I130" s="309">
        <v>3.12</v>
      </c>
      <c r="J130" s="309">
        <v>120</v>
      </c>
      <c r="K130" s="71">
        <f>YEAR(Accion[[#This Row],[fecha]])</f>
        <v>2018</v>
      </c>
      <c r="L130" s="310" t="str">
        <f>IF(Accion[[#This Row],[Precio Cierre]]=MAX(Accion[Precio Cierre]),Accion[[#This Row],[Precio Cierre]],"NA")</f>
        <v>NA</v>
      </c>
      <c r="M130" s="310" t="str">
        <f>IF(Accion[[#This Row],[Precio Cierre]]=MIN(Accion[Precio Cierre]),Accion[[#This Row],[Precio Cierre]],"NA")</f>
        <v>NA</v>
      </c>
    </row>
    <row r="131" spans="1:13">
      <c r="A131" s="311" t="s">
        <v>90</v>
      </c>
      <c r="B131" s="312">
        <v>43452</v>
      </c>
      <c r="C131" s="309">
        <v>294891</v>
      </c>
      <c r="D131" s="309">
        <v>1164658305</v>
      </c>
      <c r="E131" s="309">
        <v>3850</v>
      </c>
      <c r="F131" s="309">
        <v>4000</v>
      </c>
      <c r="G131" s="309">
        <v>3949.45</v>
      </c>
      <c r="H131" s="309">
        <v>3850</v>
      </c>
      <c r="I131" s="309">
        <v>1.32</v>
      </c>
      <c r="J131" s="309">
        <v>50</v>
      </c>
      <c r="K131" s="71">
        <f>YEAR(Accion[[#This Row],[fecha]])</f>
        <v>2018</v>
      </c>
      <c r="L131" s="310" t="str">
        <f>IF(Accion[[#This Row],[Precio Cierre]]=MAX(Accion[Precio Cierre]),Accion[[#This Row],[Precio Cierre]],"NA")</f>
        <v>NA</v>
      </c>
      <c r="M131" s="310" t="str">
        <f>IF(Accion[[#This Row],[Precio Cierre]]=MIN(Accion[Precio Cierre]),Accion[[#This Row],[Precio Cierre]],"NA")</f>
        <v>NA</v>
      </c>
    </row>
    <row r="132" spans="1:13">
      <c r="A132" s="311" t="s">
        <v>90</v>
      </c>
      <c r="B132" s="312">
        <v>43451</v>
      </c>
      <c r="C132" s="309">
        <v>10000</v>
      </c>
      <c r="D132" s="309">
        <v>38000000</v>
      </c>
      <c r="E132" s="309">
        <v>3800</v>
      </c>
      <c r="F132" s="309">
        <v>3800</v>
      </c>
      <c r="G132" s="309">
        <v>3800</v>
      </c>
      <c r="H132" s="309">
        <v>3800</v>
      </c>
      <c r="I132" s="309">
        <v>0</v>
      </c>
      <c r="J132" s="309">
        <v>0</v>
      </c>
      <c r="K132" s="71">
        <f>YEAR(Accion[[#This Row],[fecha]])</f>
        <v>2018</v>
      </c>
      <c r="L132" s="310" t="str">
        <f>IF(Accion[[#This Row],[Precio Cierre]]=MAX(Accion[Precio Cierre]),Accion[[#This Row],[Precio Cierre]],"NA")</f>
        <v>NA</v>
      </c>
      <c r="M132" s="310" t="str">
        <f>IF(Accion[[#This Row],[Precio Cierre]]=MIN(Accion[Precio Cierre]),Accion[[#This Row],[Precio Cierre]],"NA")</f>
        <v>NA</v>
      </c>
    </row>
    <row r="133" spans="1:13">
      <c r="A133" s="311" t="s">
        <v>90</v>
      </c>
      <c r="B133" s="312">
        <v>43448</v>
      </c>
      <c r="C133" s="309">
        <v>26182</v>
      </c>
      <c r="D133" s="309">
        <v>102038400</v>
      </c>
      <c r="E133" s="309">
        <v>3800</v>
      </c>
      <c r="F133" s="309">
        <v>4000</v>
      </c>
      <c r="G133" s="309">
        <v>3897.27</v>
      </c>
      <c r="H133" s="309">
        <v>3800</v>
      </c>
      <c r="I133" s="309">
        <v>-5</v>
      </c>
      <c r="J133" s="309">
        <v>-200</v>
      </c>
      <c r="K133" s="71">
        <f>YEAR(Accion[[#This Row],[fecha]])</f>
        <v>2018</v>
      </c>
      <c r="L133" s="310" t="str">
        <f>IF(Accion[[#This Row],[Precio Cierre]]=MAX(Accion[Precio Cierre]),Accion[[#This Row],[Precio Cierre]],"NA")</f>
        <v>NA</v>
      </c>
      <c r="M133" s="310" t="str">
        <f>IF(Accion[[#This Row],[Precio Cierre]]=MIN(Accion[Precio Cierre]),Accion[[#This Row],[Precio Cierre]],"NA")</f>
        <v>NA</v>
      </c>
    </row>
    <row r="134" spans="1:13">
      <c r="A134" s="311" t="s">
        <v>90</v>
      </c>
      <c r="B134" s="312">
        <v>43447</v>
      </c>
      <c r="C134" s="309">
        <v>566099</v>
      </c>
      <c r="D134" s="309">
        <v>2299733685</v>
      </c>
      <c r="E134" s="309">
        <v>4000</v>
      </c>
      <c r="F134" s="309">
        <v>4080</v>
      </c>
      <c r="G134" s="309">
        <v>4062.42</v>
      </c>
      <c r="H134" s="309">
        <v>4000</v>
      </c>
      <c r="I134" s="309">
        <v>-3.61</v>
      </c>
      <c r="J134" s="309">
        <v>-150</v>
      </c>
      <c r="K134" s="71">
        <f>YEAR(Accion[[#This Row],[fecha]])</f>
        <v>2018</v>
      </c>
      <c r="L134" s="310" t="str">
        <f>IF(Accion[[#This Row],[Precio Cierre]]=MAX(Accion[Precio Cierre]),Accion[[#This Row],[Precio Cierre]],"NA")</f>
        <v>NA</v>
      </c>
      <c r="M134" s="310" t="str">
        <f>IF(Accion[[#This Row],[Precio Cierre]]=MIN(Accion[Precio Cierre]),Accion[[#This Row],[Precio Cierre]],"NA")</f>
        <v>NA</v>
      </c>
    </row>
    <row r="135" spans="1:13">
      <c r="A135" s="311" t="s">
        <v>90</v>
      </c>
      <c r="B135" s="312">
        <v>43446</v>
      </c>
      <c r="C135" s="309">
        <v>78868</v>
      </c>
      <c r="D135" s="309">
        <v>329135670</v>
      </c>
      <c r="E135" s="309">
        <v>4150</v>
      </c>
      <c r="F135" s="309">
        <v>4190</v>
      </c>
      <c r="G135" s="309">
        <v>4173.25</v>
      </c>
      <c r="H135" s="309">
        <v>4150</v>
      </c>
      <c r="I135" s="309">
        <v>-0.6</v>
      </c>
      <c r="J135" s="309">
        <v>-25</v>
      </c>
      <c r="K135" s="71">
        <f>YEAR(Accion[[#This Row],[fecha]])</f>
        <v>2018</v>
      </c>
      <c r="L135" s="310" t="str">
        <f>IF(Accion[[#This Row],[Precio Cierre]]=MAX(Accion[Precio Cierre]),Accion[[#This Row],[Precio Cierre]],"NA")</f>
        <v>NA</v>
      </c>
      <c r="M135" s="310" t="str">
        <f>IF(Accion[[#This Row],[Precio Cierre]]=MIN(Accion[Precio Cierre]),Accion[[#This Row],[Precio Cierre]],"NA")</f>
        <v>NA</v>
      </c>
    </row>
    <row r="136" spans="1:13">
      <c r="A136" s="311" t="s">
        <v>90</v>
      </c>
      <c r="B136" s="312">
        <v>43445</v>
      </c>
      <c r="C136" s="309">
        <v>167894</v>
      </c>
      <c r="D136" s="309">
        <v>698102505</v>
      </c>
      <c r="E136" s="309">
        <v>4175</v>
      </c>
      <c r="F136" s="309">
        <v>4265</v>
      </c>
      <c r="G136" s="309">
        <v>4158</v>
      </c>
      <c r="H136" s="309">
        <v>4000</v>
      </c>
      <c r="I136" s="309">
        <v>-2.11</v>
      </c>
      <c r="J136" s="309">
        <v>-90</v>
      </c>
      <c r="K136" s="71">
        <f>YEAR(Accion[[#This Row],[fecha]])</f>
        <v>2018</v>
      </c>
      <c r="L136" s="310" t="str">
        <f>IF(Accion[[#This Row],[Precio Cierre]]=MAX(Accion[Precio Cierre]),Accion[[#This Row],[Precio Cierre]],"NA")</f>
        <v>NA</v>
      </c>
      <c r="M136" s="310" t="str">
        <f>IF(Accion[[#This Row],[Precio Cierre]]=MIN(Accion[Precio Cierre]),Accion[[#This Row],[Precio Cierre]],"NA")</f>
        <v>NA</v>
      </c>
    </row>
    <row r="137" spans="1:13">
      <c r="A137" s="311" t="s">
        <v>90</v>
      </c>
      <c r="B137" s="312">
        <v>43444</v>
      </c>
      <c r="C137" s="309">
        <v>11309</v>
      </c>
      <c r="D137" s="309">
        <v>48305500</v>
      </c>
      <c r="E137" s="309">
        <v>4265</v>
      </c>
      <c r="F137" s="309">
        <v>4280</v>
      </c>
      <c r="G137" s="309">
        <v>4271.42</v>
      </c>
      <c r="H137" s="309">
        <v>4265</v>
      </c>
      <c r="I137" s="309">
        <v>-0.12</v>
      </c>
      <c r="J137" s="309">
        <v>-5</v>
      </c>
      <c r="K137" s="71">
        <f>YEAR(Accion[[#This Row],[fecha]])</f>
        <v>2018</v>
      </c>
      <c r="L137" s="310" t="str">
        <f>IF(Accion[[#This Row],[Precio Cierre]]=MAX(Accion[Precio Cierre]),Accion[[#This Row],[Precio Cierre]],"NA")</f>
        <v>NA</v>
      </c>
      <c r="M137" s="310" t="str">
        <f>IF(Accion[[#This Row],[Precio Cierre]]=MIN(Accion[Precio Cierre]),Accion[[#This Row],[Precio Cierre]],"NA")</f>
        <v>NA</v>
      </c>
    </row>
    <row r="138" spans="1:13">
      <c r="A138" s="311" t="s">
        <v>90</v>
      </c>
      <c r="B138" s="312">
        <v>43441</v>
      </c>
      <c r="C138" s="309">
        <v>71689</v>
      </c>
      <c r="D138" s="309">
        <v>303309255</v>
      </c>
      <c r="E138" s="309">
        <v>4270</v>
      </c>
      <c r="F138" s="309">
        <v>4270</v>
      </c>
      <c r="G138" s="309">
        <v>4230.8999999999996</v>
      </c>
      <c r="H138" s="309">
        <v>4155</v>
      </c>
      <c r="I138" s="309">
        <v>-0.35</v>
      </c>
      <c r="J138" s="309">
        <v>-15</v>
      </c>
      <c r="K138" s="71">
        <f>YEAR(Accion[[#This Row],[fecha]])</f>
        <v>2018</v>
      </c>
      <c r="L138" s="310" t="str">
        <f>IF(Accion[[#This Row],[Precio Cierre]]=MAX(Accion[Precio Cierre]),Accion[[#This Row],[Precio Cierre]],"NA")</f>
        <v>NA</v>
      </c>
      <c r="M138" s="310" t="str">
        <f>IF(Accion[[#This Row],[Precio Cierre]]=MIN(Accion[Precio Cierre]),Accion[[#This Row],[Precio Cierre]],"NA")</f>
        <v>NA</v>
      </c>
    </row>
    <row r="139" spans="1:13">
      <c r="A139" s="311" t="s">
        <v>90</v>
      </c>
      <c r="B139" s="312">
        <v>43440</v>
      </c>
      <c r="C139" s="309">
        <v>226152</v>
      </c>
      <c r="D139" s="309">
        <v>960587235</v>
      </c>
      <c r="E139" s="309">
        <v>4285</v>
      </c>
      <c r="F139" s="309">
        <v>4285</v>
      </c>
      <c r="G139" s="309">
        <v>4247.53</v>
      </c>
      <c r="H139" s="309">
        <v>4200</v>
      </c>
      <c r="I139" s="309">
        <v>0.12</v>
      </c>
      <c r="J139" s="309">
        <v>5</v>
      </c>
      <c r="K139" s="71">
        <f>YEAR(Accion[[#This Row],[fecha]])</f>
        <v>2018</v>
      </c>
      <c r="L139" s="310" t="str">
        <f>IF(Accion[[#This Row],[Precio Cierre]]=MAX(Accion[Precio Cierre]),Accion[[#This Row],[Precio Cierre]],"NA")</f>
        <v>NA</v>
      </c>
      <c r="M139" s="310" t="str">
        <f>IF(Accion[[#This Row],[Precio Cierre]]=MIN(Accion[Precio Cierre]),Accion[[#This Row],[Precio Cierre]],"NA")</f>
        <v>NA</v>
      </c>
    </row>
    <row r="140" spans="1:13">
      <c r="A140" s="311" t="s">
        <v>90</v>
      </c>
      <c r="B140" s="312">
        <v>43439</v>
      </c>
      <c r="C140" s="309">
        <v>6091</v>
      </c>
      <c r="D140" s="309">
        <v>26069480</v>
      </c>
      <c r="E140" s="309">
        <v>4280</v>
      </c>
      <c r="F140" s="309">
        <v>4280</v>
      </c>
      <c r="G140" s="309">
        <v>4280</v>
      </c>
      <c r="H140" s="309">
        <v>4280</v>
      </c>
      <c r="I140" s="309">
        <v>0</v>
      </c>
      <c r="J140" s="309">
        <v>0</v>
      </c>
      <c r="K140" s="71">
        <f>YEAR(Accion[[#This Row],[fecha]])</f>
        <v>2018</v>
      </c>
      <c r="L140" s="310" t="str">
        <f>IF(Accion[[#This Row],[Precio Cierre]]=MAX(Accion[Precio Cierre]),Accion[[#This Row],[Precio Cierre]],"NA")</f>
        <v>NA</v>
      </c>
      <c r="M140" s="310" t="str">
        <f>IF(Accion[[#This Row],[Precio Cierre]]=MIN(Accion[Precio Cierre]),Accion[[#This Row],[Precio Cierre]],"NA")</f>
        <v>NA</v>
      </c>
    </row>
    <row r="141" spans="1:13">
      <c r="A141" s="311" t="s">
        <v>90</v>
      </c>
      <c r="B141" s="312">
        <v>43438</v>
      </c>
      <c r="C141" s="309">
        <v>820758</v>
      </c>
      <c r="D141" s="309">
        <v>3409341480</v>
      </c>
      <c r="E141" s="309">
        <v>4280</v>
      </c>
      <c r="F141" s="309">
        <v>4280</v>
      </c>
      <c r="G141" s="309">
        <v>4153.8900000000003</v>
      </c>
      <c r="H141" s="309">
        <v>4100</v>
      </c>
      <c r="I141" s="309">
        <v>0.23</v>
      </c>
      <c r="J141" s="309">
        <v>10</v>
      </c>
      <c r="K141" s="71">
        <f>YEAR(Accion[[#This Row],[fecha]])</f>
        <v>2018</v>
      </c>
      <c r="L141" s="310" t="str">
        <f>IF(Accion[[#This Row],[Precio Cierre]]=MAX(Accion[Precio Cierre]),Accion[[#This Row],[Precio Cierre]],"NA")</f>
        <v>NA</v>
      </c>
      <c r="M141" s="310" t="str">
        <f>IF(Accion[[#This Row],[Precio Cierre]]=MIN(Accion[Precio Cierre]),Accion[[#This Row],[Precio Cierre]],"NA")</f>
        <v>NA</v>
      </c>
    </row>
    <row r="142" spans="1:13">
      <c r="A142" s="311" t="s">
        <v>90</v>
      </c>
      <c r="B142" s="312">
        <v>43437</v>
      </c>
      <c r="C142" s="309">
        <v>50798</v>
      </c>
      <c r="D142" s="309">
        <v>217802170</v>
      </c>
      <c r="E142" s="309">
        <v>4270</v>
      </c>
      <c r="F142" s="309">
        <v>4300</v>
      </c>
      <c r="G142" s="309">
        <v>4287.6099999999997</v>
      </c>
      <c r="H142" s="309">
        <v>4250</v>
      </c>
      <c r="I142" s="309">
        <v>3.39</v>
      </c>
      <c r="J142" s="309">
        <v>140</v>
      </c>
      <c r="K142" s="71">
        <f>YEAR(Accion[[#This Row],[fecha]])</f>
        <v>2018</v>
      </c>
      <c r="L142" s="310" t="str">
        <f>IF(Accion[[#This Row],[Precio Cierre]]=MAX(Accion[Precio Cierre]),Accion[[#This Row],[Precio Cierre]],"NA")</f>
        <v>NA</v>
      </c>
      <c r="M142" s="310" t="str">
        <f>IF(Accion[[#This Row],[Precio Cierre]]=MIN(Accion[Precio Cierre]),Accion[[#This Row],[Precio Cierre]],"NA")</f>
        <v>NA</v>
      </c>
    </row>
    <row r="143" spans="1:13">
      <c r="A143" s="311" t="s">
        <v>90</v>
      </c>
      <c r="B143" s="312">
        <v>43434</v>
      </c>
      <c r="C143" s="309">
        <v>5439373</v>
      </c>
      <c r="D143" s="309">
        <v>22460113565</v>
      </c>
      <c r="E143" s="309">
        <v>4130</v>
      </c>
      <c r="F143" s="309">
        <v>4150</v>
      </c>
      <c r="G143" s="309">
        <v>4129.17</v>
      </c>
      <c r="H143" s="309">
        <v>4000</v>
      </c>
      <c r="I143" s="309">
        <v>-0.48</v>
      </c>
      <c r="J143" s="309">
        <v>-20</v>
      </c>
      <c r="K143" s="71">
        <f>YEAR(Accion[[#This Row],[fecha]])</f>
        <v>2018</v>
      </c>
      <c r="L143" s="310" t="str">
        <f>IF(Accion[[#This Row],[Precio Cierre]]=MAX(Accion[Precio Cierre]),Accion[[#This Row],[Precio Cierre]],"NA")</f>
        <v>NA</v>
      </c>
      <c r="M143" s="310" t="str">
        <f>IF(Accion[[#This Row],[Precio Cierre]]=MIN(Accion[Precio Cierre]),Accion[[#This Row],[Precio Cierre]],"NA")</f>
        <v>NA</v>
      </c>
    </row>
    <row r="144" spans="1:13">
      <c r="A144" s="311" t="s">
        <v>90</v>
      </c>
      <c r="B144" s="312">
        <v>43433</v>
      </c>
      <c r="C144" s="309">
        <v>605158</v>
      </c>
      <c r="D144" s="309">
        <v>2434644940</v>
      </c>
      <c r="E144" s="309">
        <v>4150</v>
      </c>
      <c r="F144" s="309">
        <v>4150</v>
      </c>
      <c r="G144" s="309">
        <v>4023.16</v>
      </c>
      <c r="H144" s="309">
        <v>4020</v>
      </c>
      <c r="I144" s="309">
        <v>3.75</v>
      </c>
      <c r="J144" s="309">
        <v>150</v>
      </c>
      <c r="K144" s="71">
        <f>YEAR(Accion[[#This Row],[fecha]])</f>
        <v>2018</v>
      </c>
      <c r="L144" s="310" t="str">
        <f>IF(Accion[[#This Row],[Precio Cierre]]=MAX(Accion[Precio Cierre]),Accion[[#This Row],[Precio Cierre]],"NA")</f>
        <v>NA</v>
      </c>
      <c r="M144" s="310" t="str">
        <f>IF(Accion[[#This Row],[Precio Cierre]]=MIN(Accion[Precio Cierre]),Accion[[#This Row],[Precio Cierre]],"NA")</f>
        <v>NA</v>
      </c>
    </row>
    <row r="145" spans="1:13">
      <c r="A145" s="311" t="s">
        <v>90</v>
      </c>
      <c r="B145" s="312">
        <v>43432</v>
      </c>
      <c r="C145" s="309">
        <v>271217</v>
      </c>
      <c r="D145" s="309">
        <v>1083610105</v>
      </c>
      <c r="E145" s="309">
        <v>4000</v>
      </c>
      <c r="F145" s="309">
        <v>4000</v>
      </c>
      <c r="G145" s="309">
        <v>3995.36</v>
      </c>
      <c r="H145" s="309">
        <v>3990</v>
      </c>
      <c r="I145" s="309">
        <v>0</v>
      </c>
      <c r="J145" s="309">
        <v>0</v>
      </c>
      <c r="K145" s="71">
        <f>YEAR(Accion[[#This Row],[fecha]])</f>
        <v>2018</v>
      </c>
      <c r="L145" s="310" t="str">
        <f>IF(Accion[[#This Row],[Precio Cierre]]=MAX(Accion[Precio Cierre]),Accion[[#This Row],[Precio Cierre]],"NA")</f>
        <v>NA</v>
      </c>
      <c r="M145" s="310" t="str">
        <f>IF(Accion[[#This Row],[Precio Cierre]]=MIN(Accion[Precio Cierre]),Accion[[#This Row],[Precio Cierre]],"NA")</f>
        <v>NA</v>
      </c>
    </row>
    <row r="146" spans="1:13">
      <c r="A146" s="311" t="s">
        <v>90</v>
      </c>
      <c r="B146" s="312">
        <v>43431</v>
      </c>
      <c r="C146" s="309">
        <v>285569</v>
      </c>
      <c r="D146" s="309">
        <v>1142497660</v>
      </c>
      <c r="E146" s="309">
        <v>4000</v>
      </c>
      <c r="F146" s="309">
        <v>4020</v>
      </c>
      <c r="G146" s="309">
        <v>4000.78</v>
      </c>
      <c r="H146" s="309">
        <v>3990</v>
      </c>
      <c r="I146" s="309">
        <v>-0.5</v>
      </c>
      <c r="J146" s="309">
        <v>-20</v>
      </c>
      <c r="K146" s="71">
        <f>YEAR(Accion[[#This Row],[fecha]])</f>
        <v>2018</v>
      </c>
      <c r="L146" s="310" t="str">
        <f>IF(Accion[[#This Row],[Precio Cierre]]=MAX(Accion[Precio Cierre]),Accion[[#This Row],[Precio Cierre]],"NA")</f>
        <v>NA</v>
      </c>
      <c r="M146" s="310" t="str">
        <f>IF(Accion[[#This Row],[Precio Cierre]]=MIN(Accion[Precio Cierre]),Accion[[#This Row],[Precio Cierre]],"NA")</f>
        <v>NA</v>
      </c>
    </row>
    <row r="147" spans="1:13">
      <c r="A147" s="311" t="s">
        <v>90</v>
      </c>
      <c r="B147" s="312">
        <v>43430</v>
      </c>
      <c r="C147" s="309">
        <v>47194</v>
      </c>
      <c r="D147" s="309">
        <v>188325200</v>
      </c>
      <c r="E147" s="309">
        <v>4020</v>
      </c>
      <c r="F147" s="309">
        <v>4020</v>
      </c>
      <c r="G147" s="309">
        <v>3990.45</v>
      </c>
      <c r="H147" s="309">
        <v>3920</v>
      </c>
      <c r="I147" s="309">
        <v>1.01</v>
      </c>
      <c r="J147" s="309">
        <v>40</v>
      </c>
      <c r="K147" s="71">
        <f>YEAR(Accion[[#This Row],[fecha]])</f>
        <v>2018</v>
      </c>
      <c r="L147" s="310" t="str">
        <f>IF(Accion[[#This Row],[Precio Cierre]]=MAX(Accion[Precio Cierre]),Accion[[#This Row],[Precio Cierre]],"NA")</f>
        <v>NA</v>
      </c>
      <c r="M147" s="310" t="str">
        <f>IF(Accion[[#This Row],[Precio Cierre]]=MIN(Accion[Precio Cierre]),Accion[[#This Row],[Precio Cierre]],"NA")</f>
        <v>NA</v>
      </c>
    </row>
    <row r="148" spans="1:13">
      <c r="A148" s="311" t="s">
        <v>90</v>
      </c>
      <c r="B148" s="312">
        <v>43427</v>
      </c>
      <c r="C148" s="309">
        <v>152961</v>
      </c>
      <c r="D148" s="309">
        <v>613451300</v>
      </c>
      <c r="E148" s="309">
        <v>3980</v>
      </c>
      <c r="F148" s="309">
        <v>4060</v>
      </c>
      <c r="G148" s="309">
        <v>4010.51</v>
      </c>
      <c r="H148" s="309">
        <v>3980</v>
      </c>
      <c r="I148" s="309">
        <v>-0.25</v>
      </c>
      <c r="J148" s="309">
        <v>-10</v>
      </c>
      <c r="K148" s="71">
        <f>YEAR(Accion[[#This Row],[fecha]])</f>
        <v>2018</v>
      </c>
      <c r="L148" s="310" t="str">
        <f>IF(Accion[[#This Row],[Precio Cierre]]=MAX(Accion[Precio Cierre]),Accion[[#This Row],[Precio Cierre]],"NA")</f>
        <v>NA</v>
      </c>
      <c r="M148" s="310" t="str">
        <f>IF(Accion[[#This Row],[Precio Cierre]]=MIN(Accion[Precio Cierre]),Accion[[#This Row],[Precio Cierre]],"NA")</f>
        <v>NA</v>
      </c>
    </row>
    <row r="149" spans="1:13">
      <c r="A149" s="311" t="s">
        <v>90</v>
      </c>
      <c r="B149" s="312">
        <v>43426</v>
      </c>
      <c r="C149" s="309">
        <v>390493</v>
      </c>
      <c r="D149" s="309">
        <v>1562434095</v>
      </c>
      <c r="E149" s="309">
        <v>3990</v>
      </c>
      <c r="F149" s="309">
        <v>4130</v>
      </c>
      <c r="G149" s="309">
        <v>4001.18</v>
      </c>
      <c r="H149" s="309">
        <v>3955</v>
      </c>
      <c r="I149" s="309">
        <v>-0.25</v>
      </c>
      <c r="J149" s="309">
        <v>-10</v>
      </c>
      <c r="K149" s="71">
        <f>YEAR(Accion[[#This Row],[fecha]])</f>
        <v>2018</v>
      </c>
      <c r="L149" s="310" t="str">
        <f>IF(Accion[[#This Row],[Precio Cierre]]=MAX(Accion[Precio Cierre]),Accion[[#This Row],[Precio Cierre]],"NA")</f>
        <v>NA</v>
      </c>
      <c r="M149" s="310" t="str">
        <f>IF(Accion[[#This Row],[Precio Cierre]]=MIN(Accion[Precio Cierre]),Accion[[#This Row],[Precio Cierre]],"NA")</f>
        <v>NA</v>
      </c>
    </row>
    <row r="150" spans="1:13">
      <c r="A150" s="311" t="s">
        <v>90</v>
      </c>
      <c r="B150" s="312">
        <v>43425</v>
      </c>
      <c r="C150" s="309">
        <v>1589575</v>
      </c>
      <c r="D150" s="309">
        <v>6702048340</v>
      </c>
      <c r="E150" s="309">
        <v>4000</v>
      </c>
      <c r="F150" s="309">
        <v>4980</v>
      </c>
      <c r="G150" s="309">
        <v>4216.25</v>
      </c>
      <c r="H150" s="309">
        <v>3800</v>
      </c>
      <c r="I150" s="309">
        <v>-22.18</v>
      </c>
      <c r="J150" s="309">
        <v>-1140</v>
      </c>
      <c r="K150" s="71">
        <f>YEAR(Accion[[#This Row],[fecha]])</f>
        <v>2018</v>
      </c>
      <c r="L150" s="310" t="str">
        <f>IF(Accion[[#This Row],[Precio Cierre]]=MAX(Accion[Precio Cierre]),Accion[[#This Row],[Precio Cierre]],"NA")</f>
        <v>NA</v>
      </c>
      <c r="M150" s="310" t="str">
        <f>IF(Accion[[#This Row],[Precio Cierre]]=MIN(Accion[Precio Cierre]),Accion[[#This Row],[Precio Cierre]],"NA")</f>
        <v>NA</v>
      </c>
    </row>
    <row r="151" spans="1:13">
      <c r="A151" s="311" t="s">
        <v>90</v>
      </c>
      <c r="B151" s="312">
        <v>43424</v>
      </c>
      <c r="C151" s="309">
        <v>103232</v>
      </c>
      <c r="D151" s="309">
        <v>557038600</v>
      </c>
      <c r="E151" s="309">
        <v>5140</v>
      </c>
      <c r="F151" s="309">
        <v>5600</v>
      </c>
      <c r="G151" s="309">
        <v>5395.99</v>
      </c>
      <c r="H151" s="309">
        <v>5140</v>
      </c>
      <c r="I151" s="309">
        <v>-9.82</v>
      </c>
      <c r="J151" s="309">
        <v>-560</v>
      </c>
      <c r="K151" s="71">
        <f>YEAR(Accion[[#This Row],[fecha]])</f>
        <v>2018</v>
      </c>
      <c r="L151" s="310" t="str">
        <f>IF(Accion[[#This Row],[Precio Cierre]]=MAX(Accion[Precio Cierre]),Accion[[#This Row],[Precio Cierre]],"NA")</f>
        <v>NA</v>
      </c>
      <c r="M151" s="310" t="str">
        <f>IF(Accion[[#This Row],[Precio Cierre]]=MIN(Accion[Precio Cierre]),Accion[[#This Row],[Precio Cierre]],"NA")</f>
        <v>NA</v>
      </c>
    </row>
    <row r="152" spans="1:13">
      <c r="A152" s="311" t="s">
        <v>90</v>
      </c>
      <c r="B152" s="312">
        <v>43423</v>
      </c>
      <c r="C152" s="309">
        <v>8350</v>
      </c>
      <c r="D152" s="309">
        <v>46865300</v>
      </c>
      <c r="E152" s="309">
        <v>5700</v>
      </c>
      <c r="F152" s="309">
        <v>5700</v>
      </c>
      <c r="G152" s="309">
        <v>5612.61</v>
      </c>
      <c r="H152" s="309">
        <v>5550</v>
      </c>
      <c r="I152" s="309">
        <v>1.97</v>
      </c>
      <c r="J152" s="309">
        <v>110</v>
      </c>
      <c r="K152" s="71">
        <f>YEAR(Accion[[#This Row],[fecha]])</f>
        <v>2018</v>
      </c>
      <c r="L152" s="310" t="str">
        <f>IF(Accion[[#This Row],[Precio Cierre]]=MAX(Accion[Precio Cierre]),Accion[[#This Row],[Precio Cierre]],"NA")</f>
        <v>NA</v>
      </c>
      <c r="M152" s="310" t="str">
        <f>IF(Accion[[#This Row],[Precio Cierre]]=MIN(Accion[Precio Cierre]),Accion[[#This Row],[Precio Cierre]],"NA")</f>
        <v>NA</v>
      </c>
    </row>
    <row r="153" spans="1:13">
      <c r="A153" s="311" t="s">
        <v>90</v>
      </c>
      <c r="B153" s="312">
        <v>43420</v>
      </c>
      <c r="C153" s="309">
        <v>349005</v>
      </c>
      <c r="D153" s="309">
        <v>1954958860</v>
      </c>
      <c r="E153" s="309">
        <v>5590</v>
      </c>
      <c r="F153" s="309">
        <v>5690</v>
      </c>
      <c r="G153" s="309">
        <v>5601.52</v>
      </c>
      <c r="H153" s="309">
        <v>5560</v>
      </c>
      <c r="I153" s="309">
        <v>-0.18</v>
      </c>
      <c r="J153" s="309">
        <v>-10</v>
      </c>
      <c r="K153" s="71">
        <f>YEAR(Accion[[#This Row],[fecha]])</f>
        <v>2018</v>
      </c>
      <c r="L153" s="310" t="str">
        <f>IF(Accion[[#This Row],[Precio Cierre]]=MAX(Accion[Precio Cierre]),Accion[[#This Row],[Precio Cierre]],"NA")</f>
        <v>NA</v>
      </c>
      <c r="M153" s="310" t="str">
        <f>IF(Accion[[#This Row],[Precio Cierre]]=MIN(Accion[Precio Cierre]),Accion[[#This Row],[Precio Cierre]],"NA")</f>
        <v>NA</v>
      </c>
    </row>
    <row r="154" spans="1:13">
      <c r="A154" s="311" t="s">
        <v>90</v>
      </c>
      <c r="B154" s="312">
        <v>43419</v>
      </c>
      <c r="C154" s="309">
        <v>601624</v>
      </c>
      <c r="D154" s="309">
        <v>3398971300</v>
      </c>
      <c r="E154" s="309">
        <v>5600</v>
      </c>
      <c r="F154" s="309">
        <v>5740</v>
      </c>
      <c r="G154" s="309">
        <v>5649.66</v>
      </c>
      <c r="H154" s="309">
        <v>5480</v>
      </c>
      <c r="I154" s="309">
        <v>2.75</v>
      </c>
      <c r="J154" s="309">
        <v>150</v>
      </c>
      <c r="K154" s="71">
        <f>YEAR(Accion[[#This Row],[fecha]])</f>
        <v>2018</v>
      </c>
      <c r="L154" s="310" t="str">
        <f>IF(Accion[[#This Row],[Precio Cierre]]=MAX(Accion[Precio Cierre]),Accion[[#This Row],[Precio Cierre]],"NA")</f>
        <v>NA</v>
      </c>
      <c r="M154" s="310" t="str">
        <f>IF(Accion[[#This Row],[Precio Cierre]]=MIN(Accion[Precio Cierre]),Accion[[#This Row],[Precio Cierre]],"NA")</f>
        <v>NA</v>
      </c>
    </row>
    <row r="155" spans="1:13">
      <c r="A155" s="311" t="s">
        <v>90</v>
      </c>
      <c r="B155" s="312">
        <v>43418</v>
      </c>
      <c r="C155" s="309">
        <v>184602</v>
      </c>
      <c r="D155" s="309">
        <v>986543320</v>
      </c>
      <c r="E155" s="309">
        <v>5450</v>
      </c>
      <c r="F155" s="309">
        <v>5450</v>
      </c>
      <c r="G155" s="309">
        <v>5344.16</v>
      </c>
      <c r="H155" s="309">
        <v>5200</v>
      </c>
      <c r="I155" s="309">
        <v>6.45</v>
      </c>
      <c r="J155" s="309">
        <v>330</v>
      </c>
      <c r="K155" s="71">
        <f>YEAR(Accion[[#This Row],[fecha]])</f>
        <v>2018</v>
      </c>
      <c r="L155" s="310" t="str">
        <f>IF(Accion[[#This Row],[Precio Cierre]]=MAX(Accion[Precio Cierre]),Accion[[#This Row],[Precio Cierre]],"NA")</f>
        <v>NA</v>
      </c>
      <c r="M155" s="310" t="str">
        <f>IF(Accion[[#This Row],[Precio Cierre]]=MIN(Accion[Precio Cierre]),Accion[[#This Row],[Precio Cierre]],"NA")</f>
        <v>NA</v>
      </c>
    </row>
    <row r="156" spans="1:13">
      <c r="A156" s="311" t="s">
        <v>90</v>
      </c>
      <c r="B156" s="312">
        <v>43417</v>
      </c>
      <c r="C156" s="309">
        <v>205596</v>
      </c>
      <c r="D156" s="309">
        <v>1046919340</v>
      </c>
      <c r="E156" s="309">
        <v>5120</v>
      </c>
      <c r="F156" s="309">
        <v>5120</v>
      </c>
      <c r="G156" s="309">
        <v>5092.12</v>
      </c>
      <c r="H156" s="309">
        <v>5000</v>
      </c>
      <c r="I156" s="309">
        <v>1.59</v>
      </c>
      <c r="J156" s="309">
        <v>80</v>
      </c>
      <c r="K156" s="71">
        <f>YEAR(Accion[[#This Row],[fecha]])</f>
        <v>2018</v>
      </c>
      <c r="L156" s="310" t="str">
        <f>IF(Accion[[#This Row],[Precio Cierre]]=MAX(Accion[Precio Cierre]),Accion[[#This Row],[Precio Cierre]],"NA")</f>
        <v>NA</v>
      </c>
      <c r="M156" s="310" t="str">
        <f>IF(Accion[[#This Row],[Precio Cierre]]=MIN(Accion[Precio Cierre]),Accion[[#This Row],[Precio Cierre]],"NA")</f>
        <v>NA</v>
      </c>
    </row>
    <row r="157" spans="1:13">
      <c r="A157" s="311" t="s">
        <v>90</v>
      </c>
      <c r="B157" s="312">
        <v>43413</v>
      </c>
      <c r="C157" s="309">
        <v>31035</v>
      </c>
      <c r="D157" s="309">
        <v>157176550</v>
      </c>
      <c r="E157" s="309">
        <v>5040</v>
      </c>
      <c r="F157" s="309">
        <v>5140</v>
      </c>
      <c r="G157" s="309">
        <v>5064.49</v>
      </c>
      <c r="H157" s="309">
        <v>5000</v>
      </c>
      <c r="I157" s="309">
        <v>1.82</v>
      </c>
      <c r="J157" s="309">
        <v>90</v>
      </c>
      <c r="K157" s="71">
        <f>YEAR(Accion[[#This Row],[fecha]])</f>
        <v>2018</v>
      </c>
      <c r="L157" s="310" t="str">
        <f>IF(Accion[[#This Row],[Precio Cierre]]=MAX(Accion[Precio Cierre]),Accion[[#This Row],[Precio Cierre]],"NA")</f>
        <v>NA</v>
      </c>
      <c r="M157" s="310" t="str">
        <f>IF(Accion[[#This Row],[Precio Cierre]]=MIN(Accion[Precio Cierre]),Accion[[#This Row],[Precio Cierre]],"NA")</f>
        <v>NA</v>
      </c>
    </row>
    <row r="158" spans="1:13">
      <c r="A158" s="311" t="s">
        <v>90</v>
      </c>
      <c r="B158" s="312">
        <v>43412</v>
      </c>
      <c r="C158" s="309">
        <v>466757</v>
      </c>
      <c r="D158" s="309">
        <v>2337953240</v>
      </c>
      <c r="E158" s="309">
        <v>4950</v>
      </c>
      <c r="F158" s="309">
        <v>5100</v>
      </c>
      <c r="G158" s="309">
        <v>5008.93</v>
      </c>
      <c r="H158" s="309">
        <v>4950</v>
      </c>
      <c r="I158" s="309">
        <v>-1</v>
      </c>
      <c r="J158" s="309">
        <v>-50</v>
      </c>
      <c r="K158" s="71">
        <f>YEAR(Accion[[#This Row],[fecha]])</f>
        <v>2018</v>
      </c>
      <c r="L158" s="310" t="str">
        <f>IF(Accion[[#This Row],[Precio Cierre]]=MAX(Accion[Precio Cierre]),Accion[[#This Row],[Precio Cierre]],"NA")</f>
        <v>NA</v>
      </c>
      <c r="M158" s="310" t="str">
        <f>IF(Accion[[#This Row],[Precio Cierre]]=MIN(Accion[Precio Cierre]),Accion[[#This Row],[Precio Cierre]],"NA")</f>
        <v>NA</v>
      </c>
    </row>
    <row r="159" spans="1:13">
      <c r="A159" s="311" t="s">
        <v>90</v>
      </c>
      <c r="B159" s="312">
        <v>43411</v>
      </c>
      <c r="C159" s="309">
        <v>174792</v>
      </c>
      <c r="D159" s="309">
        <v>871347530</v>
      </c>
      <c r="E159" s="309">
        <v>5000</v>
      </c>
      <c r="F159" s="309">
        <v>5000</v>
      </c>
      <c r="G159" s="309">
        <v>4985.05</v>
      </c>
      <c r="H159" s="309">
        <v>4900</v>
      </c>
      <c r="I159" s="309">
        <v>1.63</v>
      </c>
      <c r="J159" s="309">
        <v>80</v>
      </c>
      <c r="K159" s="71">
        <f>YEAR(Accion[[#This Row],[fecha]])</f>
        <v>2018</v>
      </c>
      <c r="L159" s="310" t="str">
        <f>IF(Accion[[#This Row],[Precio Cierre]]=MAX(Accion[Precio Cierre]),Accion[[#This Row],[Precio Cierre]],"NA")</f>
        <v>NA</v>
      </c>
      <c r="M159" s="310" t="str">
        <f>IF(Accion[[#This Row],[Precio Cierre]]=MIN(Accion[Precio Cierre]),Accion[[#This Row],[Precio Cierre]],"NA")</f>
        <v>NA</v>
      </c>
    </row>
    <row r="160" spans="1:13">
      <c r="A160" s="311" t="s">
        <v>90</v>
      </c>
      <c r="B160" s="312">
        <v>43410</v>
      </c>
      <c r="C160" s="309">
        <v>1220409</v>
      </c>
      <c r="D160" s="309">
        <v>6101017945</v>
      </c>
      <c r="E160" s="309">
        <v>4920</v>
      </c>
      <c r="F160" s="309">
        <v>5010</v>
      </c>
      <c r="G160" s="309">
        <v>4999.16</v>
      </c>
      <c r="H160" s="309">
        <v>4920</v>
      </c>
      <c r="I160" s="309">
        <v>-2.77</v>
      </c>
      <c r="J160" s="309">
        <v>-140</v>
      </c>
      <c r="K160" s="71">
        <f>YEAR(Accion[[#This Row],[fecha]])</f>
        <v>2018</v>
      </c>
      <c r="L160" s="310" t="str">
        <f>IF(Accion[[#This Row],[Precio Cierre]]=MAX(Accion[Precio Cierre]),Accion[[#This Row],[Precio Cierre]],"NA")</f>
        <v>NA</v>
      </c>
      <c r="M160" s="310" t="str">
        <f>IF(Accion[[#This Row],[Precio Cierre]]=MIN(Accion[Precio Cierre]),Accion[[#This Row],[Precio Cierre]],"NA")</f>
        <v>NA</v>
      </c>
    </row>
    <row r="161" spans="1:13">
      <c r="A161" s="311" t="s">
        <v>90</v>
      </c>
      <c r="B161" s="312">
        <v>43406</v>
      </c>
      <c r="C161" s="309">
        <v>50184</v>
      </c>
      <c r="D161" s="309">
        <v>253821040</v>
      </c>
      <c r="E161" s="309">
        <v>5060</v>
      </c>
      <c r="F161" s="309">
        <v>5060</v>
      </c>
      <c r="G161" s="309">
        <v>5057.8100000000004</v>
      </c>
      <c r="H161" s="309">
        <v>5050</v>
      </c>
      <c r="I161" s="309">
        <v>2.12</v>
      </c>
      <c r="J161" s="309">
        <v>105</v>
      </c>
      <c r="K161" s="71">
        <f>YEAR(Accion[[#This Row],[fecha]])</f>
        <v>2018</v>
      </c>
      <c r="L161" s="310" t="str">
        <f>IF(Accion[[#This Row],[Precio Cierre]]=MAX(Accion[Precio Cierre]),Accion[[#This Row],[Precio Cierre]],"NA")</f>
        <v>NA</v>
      </c>
      <c r="M161" s="310" t="str">
        <f>IF(Accion[[#This Row],[Precio Cierre]]=MIN(Accion[Precio Cierre]),Accion[[#This Row],[Precio Cierre]],"NA")</f>
        <v>NA</v>
      </c>
    </row>
    <row r="162" spans="1:13">
      <c r="A162" s="311" t="s">
        <v>90</v>
      </c>
      <c r="B162" s="312">
        <v>43405</v>
      </c>
      <c r="C162" s="309">
        <v>157849</v>
      </c>
      <c r="D162" s="309">
        <v>788476805</v>
      </c>
      <c r="E162" s="309">
        <v>4955</v>
      </c>
      <c r="F162" s="309">
        <v>5000</v>
      </c>
      <c r="G162" s="309">
        <v>4995.13</v>
      </c>
      <c r="H162" s="309">
        <v>4955</v>
      </c>
      <c r="I162" s="309">
        <v>-0.9</v>
      </c>
      <c r="J162" s="309">
        <v>-45</v>
      </c>
      <c r="K162" s="71">
        <f>YEAR(Accion[[#This Row],[fecha]])</f>
        <v>2018</v>
      </c>
      <c r="L162" s="310" t="str">
        <f>IF(Accion[[#This Row],[Precio Cierre]]=MAX(Accion[Precio Cierre]),Accion[[#This Row],[Precio Cierre]],"NA")</f>
        <v>NA</v>
      </c>
      <c r="M162" s="310" t="str">
        <f>IF(Accion[[#This Row],[Precio Cierre]]=MIN(Accion[Precio Cierre]),Accion[[#This Row],[Precio Cierre]],"NA")</f>
        <v>NA</v>
      </c>
    </row>
    <row r="163" spans="1:13">
      <c r="A163" s="311" t="s">
        <v>90</v>
      </c>
      <c r="B163" s="312">
        <v>43404</v>
      </c>
      <c r="C163" s="309">
        <v>521954</v>
      </c>
      <c r="D163" s="309">
        <v>2636652450</v>
      </c>
      <c r="E163" s="309">
        <v>5000</v>
      </c>
      <c r="F163" s="309">
        <v>5200</v>
      </c>
      <c r="G163" s="309">
        <v>5051.5</v>
      </c>
      <c r="H163" s="309">
        <v>5000</v>
      </c>
      <c r="I163" s="309">
        <v>-1.19</v>
      </c>
      <c r="J163" s="309">
        <v>-60</v>
      </c>
      <c r="K163" s="71">
        <f>YEAR(Accion[[#This Row],[fecha]])</f>
        <v>2018</v>
      </c>
      <c r="L163" s="310" t="str">
        <f>IF(Accion[[#This Row],[Precio Cierre]]=MAX(Accion[Precio Cierre]),Accion[[#This Row],[Precio Cierre]],"NA")</f>
        <v>NA</v>
      </c>
      <c r="M163" s="310" t="str">
        <f>IF(Accion[[#This Row],[Precio Cierre]]=MIN(Accion[Precio Cierre]),Accion[[#This Row],[Precio Cierre]],"NA")</f>
        <v>NA</v>
      </c>
    </row>
    <row r="164" spans="1:13">
      <c r="A164" s="311" t="s">
        <v>90</v>
      </c>
      <c r="B164" s="312">
        <v>43403</v>
      </c>
      <c r="C164" s="309">
        <v>66774</v>
      </c>
      <c r="D164" s="309">
        <v>341315150</v>
      </c>
      <c r="E164" s="309">
        <v>5060</v>
      </c>
      <c r="F164" s="309">
        <v>5180</v>
      </c>
      <c r="G164" s="309">
        <v>5111.5</v>
      </c>
      <c r="H164" s="309">
        <v>5050</v>
      </c>
      <c r="I164" s="309">
        <v>1.2</v>
      </c>
      <c r="J164" s="309">
        <v>60</v>
      </c>
      <c r="K164" s="71">
        <f>YEAR(Accion[[#This Row],[fecha]])</f>
        <v>2018</v>
      </c>
      <c r="L164" s="310" t="str">
        <f>IF(Accion[[#This Row],[Precio Cierre]]=MAX(Accion[Precio Cierre]),Accion[[#This Row],[Precio Cierre]],"NA")</f>
        <v>NA</v>
      </c>
      <c r="M164" s="310" t="str">
        <f>IF(Accion[[#This Row],[Precio Cierre]]=MIN(Accion[Precio Cierre]),Accion[[#This Row],[Precio Cierre]],"NA")</f>
        <v>NA</v>
      </c>
    </row>
    <row r="165" spans="1:13">
      <c r="A165" s="311" t="s">
        <v>90</v>
      </c>
      <c r="B165" s="312">
        <v>43402</v>
      </c>
      <c r="C165" s="309">
        <v>57999</v>
      </c>
      <c r="D165" s="309">
        <v>295654350</v>
      </c>
      <c r="E165" s="309">
        <v>5000</v>
      </c>
      <c r="F165" s="309">
        <v>5250</v>
      </c>
      <c r="G165" s="309">
        <v>5097.58</v>
      </c>
      <c r="H165" s="309">
        <v>5000</v>
      </c>
      <c r="I165" s="309">
        <v>-4.76</v>
      </c>
      <c r="J165" s="309">
        <v>-250</v>
      </c>
      <c r="K165" s="71">
        <f>YEAR(Accion[[#This Row],[fecha]])</f>
        <v>2018</v>
      </c>
      <c r="L165" s="310" t="str">
        <f>IF(Accion[[#This Row],[Precio Cierre]]=MAX(Accion[Precio Cierre]),Accion[[#This Row],[Precio Cierre]],"NA")</f>
        <v>NA</v>
      </c>
      <c r="M165" s="310" t="str">
        <f>IF(Accion[[#This Row],[Precio Cierre]]=MIN(Accion[Precio Cierre]),Accion[[#This Row],[Precio Cierre]],"NA")</f>
        <v>NA</v>
      </c>
    </row>
    <row r="166" spans="1:13">
      <c r="A166" s="311" t="s">
        <v>90</v>
      </c>
      <c r="B166" s="312">
        <v>43399</v>
      </c>
      <c r="C166" s="309">
        <v>134005</v>
      </c>
      <c r="D166" s="309">
        <v>686652190</v>
      </c>
      <c r="E166" s="309">
        <v>5250</v>
      </c>
      <c r="F166" s="309">
        <v>5300</v>
      </c>
      <c r="G166" s="309">
        <v>5124.08</v>
      </c>
      <c r="H166" s="309">
        <v>5100</v>
      </c>
      <c r="I166" s="309">
        <v>0.96</v>
      </c>
      <c r="J166" s="309">
        <v>50</v>
      </c>
      <c r="K166" s="71">
        <f>YEAR(Accion[[#This Row],[fecha]])</f>
        <v>2018</v>
      </c>
      <c r="L166" s="310" t="str">
        <f>IF(Accion[[#This Row],[Precio Cierre]]=MAX(Accion[Precio Cierre]),Accion[[#This Row],[Precio Cierre]],"NA")</f>
        <v>NA</v>
      </c>
      <c r="M166" s="310" t="str">
        <f>IF(Accion[[#This Row],[Precio Cierre]]=MIN(Accion[Precio Cierre]),Accion[[#This Row],[Precio Cierre]],"NA")</f>
        <v>NA</v>
      </c>
    </row>
    <row r="167" spans="1:13">
      <c r="A167" s="311" t="s">
        <v>90</v>
      </c>
      <c r="B167" s="312">
        <v>43398</v>
      </c>
      <c r="C167" s="309">
        <v>36489</v>
      </c>
      <c r="D167" s="309">
        <v>191078830</v>
      </c>
      <c r="E167" s="309">
        <v>5200</v>
      </c>
      <c r="F167" s="309">
        <v>5400</v>
      </c>
      <c r="G167" s="309">
        <v>5236.6099999999997</v>
      </c>
      <c r="H167" s="309">
        <v>5190</v>
      </c>
      <c r="I167" s="309">
        <v>-1.33</v>
      </c>
      <c r="J167" s="309">
        <v>-70</v>
      </c>
      <c r="K167" s="71">
        <f>YEAR(Accion[[#This Row],[fecha]])</f>
        <v>2018</v>
      </c>
      <c r="L167" s="310" t="str">
        <f>IF(Accion[[#This Row],[Precio Cierre]]=MAX(Accion[Precio Cierre]),Accion[[#This Row],[Precio Cierre]],"NA")</f>
        <v>NA</v>
      </c>
      <c r="M167" s="310" t="str">
        <f>IF(Accion[[#This Row],[Precio Cierre]]=MIN(Accion[Precio Cierre]),Accion[[#This Row],[Precio Cierre]],"NA")</f>
        <v>NA</v>
      </c>
    </row>
    <row r="168" spans="1:13">
      <c r="A168" s="311" t="s">
        <v>90</v>
      </c>
      <c r="B168" s="312">
        <v>43397</v>
      </c>
      <c r="C168" s="309">
        <v>38080</v>
      </c>
      <c r="D168" s="309">
        <v>199121900</v>
      </c>
      <c r="E168" s="309">
        <v>5270</v>
      </c>
      <c r="F168" s="309">
        <v>5300</v>
      </c>
      <c r="G168" s="309">
        <v>5229.04</v>
      </c>
      <c r="H168" s="309">
        <v>5100</v>
      </c>
      <c r="I168" s="309">
        <v>-0.38</v>
      </c>
      <c r="J168" s="309">
        <v>-20</v>
      </c>
      <c r="K168" s="71">
        <f>YEAR(Accion[[#This Row],[fecha]])</f>
        <v>2018</v>
      </c>
      <c r="L168" s="310" t="str">
        <f>IF(Accion[[#This Row],[Precio Cierre]]=MAX(Accion[Precio Cierre]),Accion[[#This Row],[Precio Cierre]],"NA")</f>
        <v>NA</v>
      </c>
      <c r="M168" s="310" t="str">
        <f>IF(Accion[[#This Row],[Precio Cierre]]=MIN(Accion[Precio Cierre]),Accion[[#This Row],[Precio Cierre]],"NA")</f>
        <v>NA</v>
      </c>
    </row>
    <row r="169" spans="1:13">
      <c r="A169" s="311" t="s">
        <v>90</v>
      </c>
      <c r="B169" s="312">
        <v>43396</v>
      </c>
      <c r="C169" s="309">
        <v>38208</v>
      </c>
      <c r="D169" s="309">
        <v>200906510</v>
      </c>
      <c r="E169" s="309">
        <v>5290</v>
      </c>
      <c r="F169" s="309">
        <v>5300</v>
      </c>
      <c r="G169" s="309">
        <v>5258.23</v>
      </c>
      <c r="H169" s="309">
        <v>5170</v>
      </c>
      <c r="I169" s="309">
        <v>1.34</v>
      </c>
      <c r="J169" s="309">
        <v>70</v>
      </c>
      <c r="K169" s="71">
        <f>YEAR(Accion[[#This Row],[fecha]])</f>
        <v>2018</v>
      </c>
      <c r="L169" s="310" t="str">
        <f>IF(Accion[[#This Row],[Precio Cierre]]=MAX(Accion[Precio Cierre]),Accion[[#This Row],[Precio Cierre]],"NA")</f>
        <v>NA</v>
      </c>
      <c r="M169" s="310" t="str">
        <f>IF(Accion[[#This Row],[Precio Cierre]]=MIN(Accion[Precio Cierre]),Accion[[#This Row],[Precio Cierre]],"NA")</f>
        <v>NA</v>
      </c>
    </row>
    <row r="170" spans="1:13">
      <c r="A170" s="311" t="s">
        <v>90</v>
      </c>
      <c r="B170" s="312">
        <v>43395</v>
      </c>
      <c r="C170" s="309">
        <v>28704</v>
      </c>
      <c r="D170" s="309">
        <v>151406470</v>
      </c>
      <c r="E170" s="309">
        <v>5220</v>
      </c>
      <c r="F170" s="309">
        <v>5460</v>
      </c>
      <c r="G170" s="309">
        <v>5274.75</v>
      </c>
      <c r="H170" s="309">
        <v>5220</v>
      </c>
      <c r="I170" s="309">
        <v>-1.51</v>
      </c>
      <c r="J170" s="309">
        <v>-80</v>
      </c>
      <c r="K170" s="71">
        <f>YEAR(Accion[[#This Row],[fecha]])</f>
        <v>2018</v>
      </c>
      <c r="L170" s="310" t="str">
        <f>IF(Accion[[#This Row],[Precio Cierre]]=MAX(Accion[Precio Cierre]),Accion[[#This Row],[Precio Cierre]],"NA")</f>
        <v>NA</v>
      </c>
      <c r="M170" s="310" t="str">
        <f>IF(Accion[[#This Row],[Precio Cierre]]=MIN(Accion[Precio Cierre]),Accion[[#This Row],[Precio Cierre]],"NA")</f>
        <v>NA</v>
      </c>
    </row>
    <row r="171" spans="1:13">
      <c r="A171" s="311" t="s">
        <v>90</v>
      </c>
      <c r="B171" s="312">
        <v>43392</v>
      </c>
      <c r="C171" s="309">
        <v>102860</v>
      </c>
      <c r="D171" s="309">
        <v>541634480</v>
      </c>
      <c r="E171" s="309">
        <v>5300</v>
      </c>
      <c r="F171" s="309">
        <v>5420</v>
      </c>
      <c r="G171" s="309">
        <v>5265.74</v>
      </c>
      <c r="H171" s="309">
        <v>5200</v>
      </c>
      <c r="I171" s="309">
        <v>1.92</v>
      </c>
      <c r="J171" s="309">
        <v>100</v>
      </c>
      <c r="K171" s="71">
        <f>YEAR(Accion[[#This Row],[fecha]])</f>
        <v>2018</v>
      </c>
      <c r="L171" s="310" t="str">
        <f>IF(Accion[[#This Row],[Precio Cierre]]=MAX(Accion[Precio Cierre]),Accion[[#This Row],[Precio Cierre]],"NA")</f>
        <v>NA</v>
      </c>
      <c r="M171" s="310" t="str">
        <f>IF(Accion[[#This Row],[Precio Cierre]]=MIN(Accion[Precio Cierre]),Accion[[#This Row],[Precio Cierre]],"NA")</f>
        <v>NA</v>
      </c>
    </row>
    <row r="172" spans="1:13">
      <c r="A172" s="311" t="s">
        <v>90</v>
      </c>
      <c r="B172" s="312">
        <v>43391</v>
      </c>
      <c r="C172" s="309">
        <v>1091187</v>
      </c>
      <c r="D172" s="309">
        <v>5557462710</v>
      </c>
      <c r="E172" s="309">
        <v>5200</v>
      </c>
      <c r="F172" s="309">
        <v>5270</v>
      </c>
      <c r="G172" s="309">
        <v>5093.04</v>
      </c>
      <c r="H172" s="309">
        <v>5020</v>
      </c>
      <c r="I172" s="309">
        <v>-0.56999999999999995</v>
      </c>
      <c r="J172" s="309">
        <v>-30</v>
      </c>
      <c r="K172" s="71">
        <f>YEAR(Accion[[#This Row],[fecha]])</f>
        <v>2018</v>
      </c>
      <c r="L172" s="310" t="str">
        <f>IF(Accion[[#This Row],[Precio Cierre]]=MAX(Accion[Precio Cierre]),Accion[[#This Row],[Precio Cierre]],"NA")</f>
        <v>NA</v>
      </c>
      <c r="M172" s="310" t="str">
        <f>IF(Accion[[#This Row],[Precio Cierre]]=MIN(Accion[Precio Cierre]),Accion[[#This Row],[Precio Cierre]],"NA")</f>
        <v>NA</v>
      </c>
    </row>
    <row r="173" spans="1:13">
      <c r="A173" s="311" t="s">
        <v>90</v>
      </c>
      <c r="B173" s="312">
        <v>43390</v>
      </c>
      <c r="C173" s="309">
        <v>777191</v>
      </c>
      <c r="D173" s="309">
        <v>4113494250</v>
      </c>
      <c r="E173" s="309">
        <v>5230</v>
      </c>
      <c r="F173" s="309">
        <v>5480</v>
      </c>
      <c r="G173" s="309">
        <v>5292.77</v>
      </c>
      <c r="H173" s="309">
        <v>5180</v>
      </c>
      <c r="I173" s="309">
        <v>-1.32</v>
      </c>
      <c r="J173" s="309">
        <v>-70</v>
      </c>
      <c r="K173" s="71">
        <f>YEAR(Accion[[#This Row],[fecha]])</f>
        <v>2018</v>
      </c>
      <c r="L173" s="310" t="str">
        <f>IF(Accion[[#This Row],[Precio Cierre]]=MAX(Accion[Precio Cierre]),Accion[[#This Row],[Precio Cierre]],"NA")</f>
        <v>NA</v>
      </c>
      <c r="M173" s="310" t="str">
        <f>IF(Accion[[#This Row],[Precio Cierre]]=MIN(Accion[Precio Cierre]),Accion[[#This Row],[Precio Cierre]],"NA")</f>
        <v>NA</v>
      </c>
    </row>
    <row r="174" spans="1:13">
      <c r="A174" s="311" t="s">
        <v>90</v>
      </c>
      <c r="B174" s="312">
        <v>43389</v>
      </c>
      <c r="C174" s="309">
        <v>180703</v>
      </c>
      <c r="D174" s="309">
        <v>972336700</v>
      </c>
      <c r="E174" s="309">
        <v>5300</v>
      </c>
      <c r="F174" s="309">
        <v>5500</v>
      </c>
      <c r="G174" s="309">
        <v>5380.86</v>
      </c>
      <c r="H174" s="309">
        <v>5300</v>
      </c>
      <c r="I174" s="309">
        <v>-5.0199999999999996</v>
      </c>
      <c r="J174" s="309">
        <v>-280</v>
      </c>
      <c r="K174" s="71">
        <f>YEAR(Accion[[#This Row],[fecha]])</f>
        <v>2018</v>
      </c>
      <c r="L174" s="310" t="str">
        <f>IF(Accion[[#This Row],[Precio Cierre]]=MAX(Accion[Precio Cierre]),Accion[[#This Row],[Precio Cierre]],"NA")</f>
        <v>NA</v>
      </c>
      <c r="M174" s="310" t="str">
        <f>IF(Accion[[#This Row],[Precio Cierre]]=MIN(Accion[Precio Cierre]),Accion[[#This Row],[Precio Cierre]],"NA")</f>
        <v>NA</v>
      </c>
    </row>
    <row r="175" spans="1:13">
      <c r="A175" s="311" t="s">
        <v>90</v>
      </c>
      <c r="B175" s="312">
        <v>43385</v>
      </c>
      <c r="C175" s="309">
        <v>24397</v>
      </c>
      <c r="D175" s="309">
        <v>135704910</v>
      </c>
      <c r="E175" s="309">
        <v>5580</v>
      </c>
      <c r="F175" s="309">
        <v>5620</v>
      </c>
      <c r="G175" s="309">
        <v>5562.36</v>
      </c>
      <c r="H175" s="309">
        <v>5500</v>
      </c>
      <c r="I175" s="309">
        <v>1.45</v>
      </c>
      <c r="J175" s="309">
        <v>80</v>
      </c>
      <c r="K175" s="71">
        <f>YEAR(Accion[[#This Row],[fecha]])</f>
        <v>2018</v>
      </c>
      <c r="L175" s="310" t="str">
        <f>IF(Accion[[#This Row],[Precio Cierre]]=MAX(Accion[Precio Cierre]),Accion[[#This Row],[Precio Cierre]],"NA")</f>
        <v>NA</v>
      </c>
      <c r="M175" s="310" t="str">
        <f>IF(Accion[[#This Row],[Precio Cierre]]=MIN(Accion[Precio Cierre]),Accion[[#This Row],[Precio Cierre]],"NA")</f>
        <v>NA</v>
      </c>
    </row>
    <row r="176" spans="1:13">
      <c r="A176" s="311" t="s">
        <v>90</v>
      </c>
      <c r="B176" s="312">
        <v>43384</v>
      </c>
      <c r="C176" s="309">
        <v>56457</v>
      </c>
      <c r="D176" s="309">
        <v>311189130</v>
      </c>
      <c r="E176" s="309">
        <v>5500</v>
      </c>
      <c r="F176" s="309">
        <v>5640</v>
      </c>
      <c r="G176" s="309">
        <v>5511.97</v>
      </c>
      <c r="H176" s="309">
        <v>5450</v>
      </c>
      <c r="I176" s="309">
        <v>-1.79</v>
      </c>
      <c r="J176" s="309">
        <v>-100</v>
      </c>
      <c r="K176" s="71">
        <f>YEAR(Accion[[#This Row],[fecha]])</f>
        <v>2018</v>
      </c>
      <c r="L176" s="310" t="str">
        <f>IF(Accion[[#This Row],[Precio Cierre]]=MAX(Accion[Precio Cierre]),Accion[[#This Row],[Precio Cierre]],"NA")</f>
        <v>NA</v>
      </c>
      <c r="M176" s="310" t="str">
        <f>IF(Accion[[#This Row],[Precio Cierre]]=MIN(Accion[Precio Cierre]),Accion[[#This Row],[Precio Cierre]],"NA")</f>
        <v>NA</v>
      </c>
    </row>
    <row r="177" spans="1:13">
      <c r="A177" s="311" t="s">
        <v>90</v>
      </c>
      <c r="B177" s="312">
        <v>43383</v>
      </c>
      <c r="C177" s="309">
        <v>396568</v>
      </c>
      <c r="D177" s="309">
        <v>2221305040</v>
      </c>
      <c r="E177" s="309">
        <v>5600</v>
      </c>
      <c r="F177" s="309">
        <v>5650</v>
      </c>
      <c r="G177" s="309">
        <v>5601.32</v>
      </c>
      <c r="H177" s="309">
        <v>5600</v>
      </c>
      <c r="I177" s="309">
        <v>-0.71</v>
      </c>
      <c r="J177" s="309">
        <v>-40</v>
      </c>
      <c r="K177" s="71">
        <f>YEAR(Accion[[#This Row],[fecha]])</f>
        <v>2018</v>
      </c>
      <c r="L177" s="310" t="str">
        <f>IF(Accion[[#This Row],[Precio Cierre]]=MAX(Accion[Precio Cierre]),Accion[[#This Row],[Precio Cierre]],"NA")</f>
        <v>NA</v>
      </c>
      <c r="M177" s="310" t="str">
        <f>IF(Accion[[#This Row],[Precio Cierre]]=MIN(Accion[Precio Cierre]),Accion[[#This Row],[Precio Cierre]],"NA")</f>
        <v>NA</v>
      </c>
    </row>
    <row r="178" spans="1:13">
      <c r="A178" s="311" t="s">
        <v>90</v>
      </c>
      <c r="B178" s="312">
        <v>43382</v>
      </c>
      <c r="C178" s="309">
        <v>35919</v>
      </c>
      <c r="D178" s="309">
        <v>201146650</v>
      </c>
      <c r="E178" s="309">
        <v>5640</v>
      </c>
      <c r="F178" s="309">
        <v>5640</v>
      </c>
      <c r="G178" s="309">
        <v>5600.01</v>
      </c>
      <c r="H178" s="309">
        <v>5440</v>
      </c>
      <c r="I178" s="309">
        <v>3.68</v>
      </c>
      <c r="J178" s="309">
        <v>200</v>
      </c>
      <c r="K178" s="71">
        <f>YEAR(Accion[[#This Row],[fecha]])</f>
        <v>2018</v>
      </c>
      <c r="L178" s="310" t="str">
        <f>IF(Accion[[#This Row],[Precio Cierre]]=MAX(Accion[Precio Cierre]),Accion[[#This Row],[Precio Cierre]],"NA")</f>
        <v>NA</v>
      </c>
      <c r="M178" s="310" t="str">
        <f>IF(Accion[[#This Row],[Precio Cierre]]=MIN(Accion[Precio Cierre]),Accion[[#This Row],[Precio Cierre]],"NA")</f>
        <v>NA</v>
      </c>
    </row>
    <row r="179" spans="1:13">
      <c r="A179" s="311" t="s">
        <v>90</v>
      </c>
      <c r="B179" s="312">
        <v>43381</v>
      </c>
      <c r="C179" s="309">
        <v>23976</v>
      </c>
      <c r="D179" s="309">
        <v>129508140</v>
      </c>
      <c r="E179" s="309">
        <v>5440</v>
      </c>
      <c r="F179" s="309">
        <v>5450</v>
      </c>
      <c r="G179" s="309">
        <v>5401.57</v>
      </c>
      <c r="H179" s="309">
        <v>5350</v>
      </c>
      <c r="I179" s="309">
        <v>0.74</v>
      </c>
      <c r="J179" s="309">
        <v>40</v>
      </c>
      <c r="K179" s="71">
        <f>YEAR(Accion[[#This Row],[fecha]])</f>
        <v>2018</v>
      </c>
      <c r="L179" s="310" t="str">
        <f>IF(Accion[[#This Row],[Precio Cierre]]=MAX(Accion[Precio Cierre]),Accion[[#This Row],[Precio Cierre]],"NA")</f>
        <v>NA</v>
      </c>
      <c r="M179" s="310" t="str">
        <f>IF(Accion[[#This Row],[Precio Cierre]]=MIN(Accion[Precio Cierre]),Accion[[#This Row],[Precio Cierre]],"NA")</f>
        <v>NA</v>
      </c>
    </row>
    <row r="180" spans="1:13">
      <c r="A180" s="311" t="s">
        <v>90</v>
      </c>
      <c r="B180" s="312">
        <v>43378</v>
      </c>
      <c r="C180" s="309">
        <v>37141</v>
      </c>
      <c r="D180" s="309">
        <v>200968990</v>
      </c>
      <c r="E180" s="309">
        <v>5400</v>
      </c>
      <c r="F180" s="309">
        <v>5490</v>
      </c>
      <c r="G180" s="309">
        <v>5410.97</v>
      </c>
      <c r="H180" s="309">
        <v>5360</v>
      </c>
      <c r="I180" s="309">
        <v>-0.37</v>
      </c>
      <c r="J180" s="309">
        <v>-20</v>
      </c>
      <c r="K180" s="71">
        <f>YEAR(Accion[[#This Row],[fecha]])</f>
        <v>2018</v>
      </c>
      <c r="L180" s="310" t="str">
        <f>IF(Accion[[#This Row],[Precio Cierre]]=MAX(Accion[Precio Cierre]),Accion[[#This Row],[Precio Cierre]],"NA")</f>
        <v>NA</v>
      </c>
      <c r="M180" s="310" t="str">
        <f>IF(Accion[[#This Row],[Precio Cierre]]=MIN(Accion[Precio Cierre]),Accion[[#This Row],[Precio Cierre]],"NA")</f>
        <v>NA</v>
      </c>
    </row>
    <row r="181" spans="1:13">
      <c r="A181" s="311" t="s">
        <v>90</v>
      </c>
      <c r="B181" s="312">
        <v>43377</v>
      </c>
      <c r="C181" s="309">
        <v>265678</v>
      </c>
      <c r="D181" s="309">
        <v>1428164790</v>
      </c>
      <c r="E181" s="309">
        <v>5420</v>
      </c>
      <c r="F181" s="309">
        <v>5420</v>
      </c>
      <c r="G181" s="309">
        <v>5375.55</v>
      </c>
      <c r="H181" s="309">
        <v>5350</v>
      </c>
      <c r="I181" s="309">
        <v>0.37</v>
      </c>
      <c r="J181" s="309">
        <v>20</v>
      </c>
      <c r="K181" s="71">
        <f>YEAR(Accion[[#This Row],[fecha]])</f>
        <v>2018</v>
      </c>
      <c r="L181" s="310" t="str">
        <f>IF(Accion[[#This Row],[Precio Cierre]]=MAX(Accion[Precio Cierre]),Accion[[#This Row],[Precio Cierre]],"NA")</f>
        <v>NA</v>
      </c>
      <c r="M181" s="310" t="str">
        <f>IF(Accion[[#This Row],[Precio Cierre]]=MIN(Accion[Precio Cierre]),Accion[[#This Row],[Precio Cierre]],"NA")</f>
        <v>NA</v>
      </c>
    </row>
    <row r="182" spans="1:13">
      <c r="A182" s="311" t="s">
        <v>90</v>
      </c>
      <c r="B182" s="312">
        <v>43376</v>
      </c>
      <c r="C182" s="309">
        <v>42381</v>
      </c>
      <c r="D182" s="309">
        <v>227265760</v>
      </c>
      <c r="E182" s="309">
        <v>5400</v>
      </c>
      <c r="F182" s="309">
        <v>5400</v>
      </c>
      <c r="G182" s="309">
        <v>5362.44</v>
      </c>
      <c r="H182" s="309">
        <v>5320</v>
      </c>
      <c r="I182" s="309">
        <v>0</v>
      </c>
      <c r="J182" s="309">
        <v>0</v>
      </c>
      <c r="K182" s="71">
        <f>YEAR(Accion[[#This Row],[fecha]])</f>
        <v>2018</v>
      </c>
      <c r="L182" s="310" t="str">
        <f>IF(Accion[[#This Row],[Precio Cierre]]=MAX(Accion[Precio Cierre]),Accion[[#This Row],[Precio Cierre]],"NA")</f>
        <v>NA</v>
      </c>
      <c r="M182" s="310" t="str">
        <f>IF(Accion[[#This Row],[Precio Cierre]]=MIN(Accion[Precio Cierre]),Accion[[#This Row],[Precio Cierre]],"NA")</f>
        <v>NA</v>
      </c>
    </row>
    <row r="183" spans="1:13">
      <c r="A183" s="311" t="s">
        <v>90</v>
      </c>
      <c r="B183" s="312">
        <v>43375</v>
      </c>
      <c r="C183" s="309">
        <v>50963</v>
      </c>
      <c r="D183" s="309">
        <v>274304670</v>
      </c>
      <c r="E183" s="309">
        <v>5400</v>
      </c>
      <c r="F183" s="309">
        <v>5400</v>
      </c>
      <c r="G183" s="309">
        <v>5382.43</v>
      </c>
      <c r="H183" s="309">
        <v>5300</v>
      </c>
      <c r="I183" s="309">
        <v>0</v>
      </c>
      <c r="J183" s="309">
        <v>0</v>
      </c>
      <c r="K183" s="71">
        <f>YEAR(Accion[[#This Row],[fecha]])</f>
        <v>2018</v>
      </c>
      <c r="L183" s="310" t="str">
        <f>IF(Accion[[#This Row],[Precio Cierre]]=MAX(Accion[Precio Cierre]),Accion[[#This Row],[Precio Cierre]],"NA")</f>
        <v>NA</v>
      </c>
      <c r="M183" s="310" t="str">
        <f>IF(Accion[[#This Row],[Precio Cierre]]=MIN(Accion[Precio Cierre]),Accion[[#This Row],[Precio Cierre]],"NA")</f>
        <v>NA</v>
      </c>
    </row>
    <row r="184" spans="1:13">
      <c r="A184" s="38" t="s">
        <v>90</v>
      </c>
      <c r="B184" s="34">
        <v>43374</v>
      </c>
      <c r="C184" s="35">
        <v>274602</v>
      </c>
      <c r="D184" s="35">
        <v>1479075330</v>
      </c>
      <c r="E184" s="35">
        <v>5410</v>
      </c>
      <c r="F184" s="35">
        <v>5300</v>
      </c>
      <c r="G184" s="35">
        <v>5400</v>
      </c>
      <c r="H184" s="35">
        <v>5386.25</v>
      </c>
      <c r="I184" s="35">
        <v>0</v>
      </c>
      <c r="J184" s="35">
        <v>0</v>
      </c>
      <c r="K184" s="71">
        <f>YEAR(Accion[[#This Row],[fecha]])</f>
        <v>2018</v>
      </c>
      <c r="L184" s="79" t="str">
        <f>IF(Accion[[#This Row],[Precio Cierre]]=MAX(Accion[Precio Cierre]),Accion[[#This Row],[Precio Cierre]],"NA")</f>
        <v>NA</v>
      </c>
      <c r="M184" s="79" t="str">
        <f>IF(Accion[[#This Row],[Precio Cierre]]=MIN(Accion[Precio Cierre]),Accion[[#This Row],[Precio Cierre]],"NA")</f>
        <v>NA</v>
      </c>
    </row>
    <row r="185" spans="1:13">
      <c r="A185" s="38" t="s">
        <v>90</v>
      </c>
      <c r="B185" s="34">
        <v>43371</v>
      </c>
      <c r="C185" s="35">
        <v>139230</v>
      </c>
      <c r="D185" s="35">
        <v>761621140</v>
      </c>
      <c r="E185" s="35">
        <v>5550</v>
      </c>
      <c r="F185" s="35">
        <v>5400</v>
      </c>
      <c r="G185" s="35">
        <v>5400</v>
      </c>
      <c r="H185" s="35">
        <v>5470.24</v>
      </c>
      <c r="I185" s="35">
        <v>-2.7</v>
      </c>
      <c r="J185" s="35">
        <v>-150</v>
      </c>
      <c r="K185" s="71">
        <f>YEAR(Accion[[#This Row],[fecha]])</f>
        <v>2018</v>
      </c>
      <c r="L185" s="79" t="str">
        <f>IF(Accion[[#This Row],[Precio Cierre]]=MAX(Accion[Precio Cierre]),Accion[[#This Row],[Precio Cierre]],"NA")</f>
        <v>NA</v>
      </c>
      <c r="M185" s="79" t="str">
        <f>IF(Accion[[#This Row],[Precio Cierre]]=MIN(Accion[Precio Cierre]),Accion[[#This Row],[Precio Cierre]],"NA")</f>
        <v>NA</v>
      </c>
    </row>
    <row r="186" spans="1:13">
      <c r="A186" s="38" t="s">
        <v>90</v>
      </c>
      <c r="B186" s="34">
        <v>43370</v>
      </c>
      <c r="C186" s="35">
        <v>490365</v>
      </c>
      <c r="D186" s="35">
        <v>2605047870</v>
      </c>
      <c r="E186" s="35">
        <v>5550</v>
      </c>
      <c r="F186" s="35">
        <v>5300</v>
      </c>
      <c r="G186" s="35">
        <v>5550</v>
      </c>
      <c r="H186" s="35">
        <v>5312.47</v>
      </c>
      <c r="I186" s="35">
        <v>0.91</v>
      </c>
      <c r="J186" s="35">
        <v>50</v>
      </c>
      <c r="K186" s="71">
        <f>YEAR(Accion[[#This Row],[fecha]])</f>
        <v>2018</v>
      </c>
      <c r="L186" s="79" t="str">
        <f>IF(Accion[[#This Row],[Precio Cierre]]=MAX(Accion[Precio Cierre]),Accion[[#This Row],[Precio Cierre]],"NA")</f>
        <v>NA</v>
      </c>
      <c r="M186" s="79" t="str">
        <f>IF(Accion[[#This Row],[Precio Cierre]]=MIN(Accion[Precio Cierre]),Accion[[#This Row],[Precio Cierre]],"NA")</f>
        <v>NA</v>
      </c>
    </row>
    <row r="187" spans="1:13">
      <c r="A187" s="38" t="s">
        <v>90</v>
      </c>
      <c r="B187" s="34">
        <v>43369</v>
      </c>
      <c r="C187" s="35">
        <v>78155</v>
      </c>
      <c r="D187" s="35">
        <v>435101890</v>
      </c>
      <c r="E187" s="35">
        <v>5610</v>
      </c>
      <c r="F187" s="35">
        <v>5500</v>
      </c>
      <c r="G187" s="35">
        <v>5500</v>
      </c>
      <c r="H187" s="35">
        <v>5567.17</v>
      </c>
      <c r="I187" s="35">
        <v>-2.65</v>
      </c>
      <c r="J187" s="35">
        <v>-150</v>
      </c>
      <c r="K187" s="71">
        <f>YEAR(Accion[[#This Row],[fecha]])</f>
        <v>2018</v>
      </c>
      <c r="L187" s="79" t="str">
        <f>IF(Accion[[#This Row],[Precio Cierre]]=MAX(Accion[Precio Cierre]),Accion[[#This Row],[Precio Cierre]],"NA")</f>
        <v>NA</v>
      </c>
      <c r="M187" s="79" t="str">
        <f>IF(Accion[[#This Row],[Precio Cierre]]=MIN(Accion[Precio Cierre]),Accion[[#This Row],[Precio Cierre]],"NA")</f>
        <v>NA</v>
      </c>
    </row>
    <row r="188" spans="1:13">
      <c r="A188" s="38" t="s">
        <v>90</v>
      </c>
      <c r="B188" s="34">
        <v>43368</v>
      </c>
      <c r="C188" s="35">
        <v>126339</v>
      </c>
      <c r="D188" s="35">
        <v>714811310</v>
      </c>
      <c r="E188" s="35">
        <v>5790</v>
      </c>
      <c r="F188" s="35">
        <v>5620</v>
      </c>
      <c r="G188" s="35">
        <v>5650</v>
      </c>
      <c r="H188" s="35">
        <v>5657.88</v>
      </c>
      <c r="I188" s="35">
        <v>-1.74</v>
      </c>
      <c r="J188" s="35">
        <v>-100</v>
      </c>
      <c r="K188" s="71">
        <f>YEAR(Accion[[#This Row],[fecha]])</f>
        <v>2018</v>
      </c>
      <c r="L188" s="79" t="str">
        <f>IF(Accion[[#This Row],[Precio Cierre]]=MAX(Accion[Precio Cierre]),Accion[[#This Row],[Precio Cierre]],"NA")</f>
        <v>NA</v>
      </c>
      <c r="M188" s="79" t="str">
        <f>IF(Accion[[#This Row],[Precio Cierre]]=MIN(Accion[Precio Cierre]),Accion[[#This Row],[Precio Cierre]],"NA")</f>
        <v>NA</v>
      </c>
    </row>
    <row r="189" spans="1:13">
      <c r="A189" s="38" t="s">
        <v>90</v>
      </c>
      <c r="B189" s="34">
        <v>43367</v>
      </c>
      <c r="C189" s="35">
        <v>35367</v>
      </c>
      <c r="D189" s="35">
        <v>201989420</v>
      </c>
      <c r="E189" s="35">
        <v>5780</v>
      </c>
      <c r="F189" s="35">
        <v>5580</v>
      </c>
      <c r="G189" s="35">
        <v>5750</v>
      </c>
      <c r="H189" s="35">
        <v>5711.24</v>
      </c>
      <c r="I189" s="35">
        <v>3.05</v>
      </c>
      <c r="J189" s="35">
        <v>170</v>
      </c>
      <c r="K189" s="71">
        <f>YEAR(Accion[[#This Row],[fecha]])</f>
        <v>2018</v>
      </c>
      <c r="L189" s="79" t="str">
        <f>IF(Accion[[#This Row],[Precio Cierre]]=MAX(Accion[Precio Cierre]),Accion[[#This Row],[Precio Cierre]],"NA")</f>
        <v>NA</v>
      </c>
      <c r="M189" s="79" t="str">
        <f>IF(Accion[[#This Row],[Precio Cierre]]=MIN(Accion[Precio Cierre]),Accion[[#This Row],[Precio Cierre]],"NA")</f>
        <v>NA</v>
      </c>
    </row>
    <row r="190" spans="1:13">
      <c r="A190" s="38" t="s">
        <v>90</v>
      </c>
      <c r="B190" s="34">
        <v>43364</v>
      </c>
      <c r="C190" s="35">
        <v>1621048</v>
      </c>
      <c r="D190" s="35">
        <v>9089407900</v>
      </c>
      <c r="E190" s="35">
        <v>5720</v>
      </c>
      <c r="F190" s="35">
        <v>5500</v>
      </c>
      <c r="G190" s="35">
        <v>5580</v>
      </c>
      <c r="H190" s="35">
        <v>5607.12</v>
      </c>
      <c r="I190" s="35">
        <v>-2.96</v>
      </c>
      <c r="J190" s="35">
        <v>-170</v>
      </c>
      <c r="K190" s="71">
        <f>YEAR(Accion[[#This Row],[fecha]])</f>
        <v>2018</v>
      </c>
      <c r="L190" s="79" t="str">
        <f>IF(Accion[[#This Row],[Precio Cierre]]=MAX(Accion[Precio Cierre]),Accion[[#This Row],[Precio Cierre]],"NA")</f>
        <v>NA</v>
      </c>
      <c r="M190" s="79" t="str">
        <f>IF(Accion[[#This Row],[Precio Cierre]]=MIN(Accion[Precio Cierre]),Accion[[#This Row],[Precio Cierre]],"NA")</f>
        <v>NA</v>
      </c>
    </row>
    <row r="191" spans="1:13">
      <c r="A191" s="38" t="s">
        <v>90</v>
      </c>
      <c r="B191" s="34">
        <v>43363</v>
      </c>
      <c r="C191" s="35">
        <v>131135</v>
      </c>
      <c r="D191" s="35">
        <v>752243680</v>
      </c>
      <c r="E191" s="35">
        <v>5820</v>
      </c>
      <c r="F191" s="35">
        <v>5700</v>
      </c>
      <c r="G191" s="35">
        <v>5750</v>
      </c>
      <c r="H191" s="35">
        <v>5736.41</v>
      </c>
      <c r="I191" s="35">
        <v>0.7</v>
      </c>
      <c r="J191" s="35">
        <v>40</v>
      </c>
      <c r="K191" s="71">
        <f>YEAR(Accion[[#This Row],[fecha]])</f>
        <v>2018</v>
      </c>
      <c r="L191" s="79" t="str">
        <f>IF(Accion[[#This Row],[Precio Cierre]]=MAX(Accion[Precio Cierre]),Accion[[#This Row],[Precio Cierre]],"NA")</f>
        <v>NA</v>
      </c>
      <c r="M191" s="79" t="str">
        <f>IF(Accion[[#This Row],[Precio Cierre]]=MIN(Accion[Precio Cierre]),Accion[[#This Row],[Precio Cierre]],"NA")</f>
        <v>NA</v>
      </c>
    </row>
    <row r="192" spans="1:13">
      <c r="A192" s="38" t="s">
        <v>90</v>
      </c>
      <c r="B192" s="34">
        <v>43362</v>
      </c>
      <c r="C192" s="35">
        <v>334355</v>
      </c>
      <c r="D192" s="35">
        <v>1914498410</v>
      </c>
      <c r="E192" s="35">
        <v>5800</v>
      </c>
      <c r="F192" s="35">
        <v>5640</v>
      </c>
      <c r="G192" s="35">
        <v>5710</v>
      </c>
      <c r="H192" s="35">
        <v>5725.95</v>
      </c>
      <c r="I192" s="35">
        <v>1.42</v>
      </c>
      <c r="J192" s="35">
        <v>80</v>
      </c>
      <c r="K192" s="71">
        <f>YEAR(Accion[[#This Row],[fecha]])</f>
        <v>2018</v>
      </c>
      <c r="L192" s="79" t="str">
        <f>IF(Accion[[#This Row],[Precio Cierre]]=MAX(Accion[Precio Cierre]),Accion[[#This Row],[Precio Cierre]],"NA")</f>
        <v>NA</v>
      </c>
      <c r="M192" s="79" t="str">
        <f>IF(Accion[[#This Row],[Precio Cierre]]=MIN(Accion[Precio Cierre]),Accion[[#This Row],[Precio Cierre]],"NA")</f>
        <v>NA</v>
      </c>
    </row>
    <row r="193" spans="1:13">
      <c r="A193" s="38" t="s">
        <v>90</v>
      </c>
      <c r="B193" s="34">
        <v>43361</v>
      </c>
      <c r="C193" s="35">
        <v>209901</v>
      </c>
      <c r="D193" s="35">
        <v>1186498540</v>
      </c>
      <c r="E193" s="35">
        <v>5800</v>
      </c>
      <c r="F193" s="35">
        <v>5630</v>
      </c>
      <c r="G193" s="35">
        <v>5630</v>
      </c>
      <c r="H193" s="35">
        <v>5652.66</v>
      </c>
      <c r="I193" s="35">
        <v>1.81</v>
      </c>
      <c r="J193" s="35">
        <v>100</v>
      </c>
      <c r="K193" s="71">
        <f>YEAR(Accion[[#This Row],[fecha]])</f>
        <v>2018</v>
      </c>
      <c r="L193" s="79" t="str">
        <f>IF(Accion[[#This Row],[Precio Cierre]]=MAX(Accion[Precio Cierre]),Accion[[#This Row],[Precio Cierre]],"NA")</f>
        <v>NA</v>
      </c>
      <c r="M193" s="79" t="str">
        <f>IF(Accion[[#This Row],[Precio Cierre]]=MIN(Accion[Precio Cierre]),Accion[[#This Row],[Precio Cierre]],"NA")</f>
        <v>NA</v>
      </c>
    </row>
    <row r="194" spans="1:13">
      <c r="A194" s="38" t="s">
        <v>90</v>
      </c>
      <c r="B194" s="34">
        <v>43360</v>
      </c>
      <c r="C194" s="35">
        <v>1003227</v>
      </c>
      <c r="D194" s="35">
        <v>5548939290</v>
      </c>
      <c r="E194" s="35">
        <v>5700</v>
      </c>
      <c r="F194" s="35">
        <v>5430</v>
      </c>
      <c r="G194" s="35">
        <v>5530</v>
      </c>
      <c r="H194" s="35">
        <v>5531.09</v>
      </c>
      <c r="I194" s="35">
        <v>2.0299999999999998</v>
      </c>
      <c r="J194" s="35">
        <v>110</v>
      </c>
      <c r="K194" s="71">
        <f>YEAR(Accion[[#This Row],[fecha]])</f>
        <v>2018</v>
      </c>
      <c r="L194" s="79" t="str">
        <f>IF(Accion[[#This Row],[Precio Cierre]]=MAX(Accion[Precio Cierre]),Accion[[#This Row],[Precio Cierre]],"NA")</f>
        <v>NA</v>
      </c>
      <c r="M194" s="79" t="str">
        <f>IF(Accion[[#This Row],[Precio Cierre]]=MIN(Accion[Precio Cierre]),Accion[[#This Row],[Precio Cierre]],"NA")</f>
        <v>NA</v>
      </c>
    </row>
    <row r="195" spans="1:13">
      <c r="A195" s="38" t="s">
        <v>90</v>
      </c>
      <c r="B195" s="34">
        <v>43357</v>
      </c>
      <c r="C195" s="35">
        <v>1318846</v>
      </c>
      <c r="D195" s="35">
        <v>6709924680</v>
      </c>
      <c r="E195" s="35">
        <v>5420</v>
      </c>
      <c r="F195" s="35">
        <v>5000</v>
      </c>
      <c r="G195" s="35">
        <v>5420</v>
      </c>
      <c r="H195" s="35">
        <v>5087.72</v>
      </c>
      <c r="I195" s="35">
        <v>2.2599999999999998</v>
      </c>
      <c r="J195" s="35">
        <v>120</v>
      </c>
      <c r="K195" s="71">
        <f>YEAR(Accion[[#This Row],[fecha]])</f>
        <v>2018</v>
      </c>
      <c r="L195" s="79" t="str">
        <f>IF(Accion[[#This Row],[Precio Cierre]]=MAX(Accion[Precio Cierre]),Accion[[#This Row],[Precio Cierre]],"NA")</f>
        <v>NA</v>
      </c>
      <c r="M195" s="79" t="str">
        <f>IF(Accion[[#This Row],[Precio Cierre]]=MIN(Accion[Precio Cierre]),Accion[[#This Row],[Precio Cierre]],"NA")</f>
        <v>NA</v>
      </c>
    </row>
    <row r="196" spans="1:13">
      <c r="A196" s="38" t="s">
        <v>90</v>
      </c>
      <c r="B196" s="34">
        <v>43356</v>
      </c>
      <c r="C196" s="35">
        <v>193365</v>
      </c>
      <c r="D196" s="35">
        <v>1041133330</v>
      </c>
      <c r="E196" s="35">
        <v>5520</v>
      </c>
      <c r="F196" s="35">
        <v>5300</v>
      </c>
      <c r="G196" s="35">
        <v>5300</v>
      </c>
      <c r="H196" s="35">
        <v>5384.29</v>
      </c>
      <c r="I196" s="35">
        <v>-2.93</v>
      </c>
      <c r="J196" s="35">
        <v>-160</v>
      </c>
      <c r="K196" s="71">
        <f>YEAR(Accion[[#This Row],[fecha]])</f>
        <v>2018</v>
      </c>
      <c r="L196" s="79" t="str">
        <f>IF(Accion[[#This Row],[Precio Cierre]]=MAX(Accion[Precio Cierre]),Accion[[#This Row],[Precio Cierre]],"NA")</f>
        <v>NA</v>
      </c>
      <c r="M196" s="79" t="str">
        <f>IF(Accion[[#This Row],[Precio Cierre]]=MIN(Accion[Precio Cierre]),Accion[[#This Row],[Precio Cierre]],"NA")</f>
        <v>NA</v>
      </c>
    </row>
    <row r="197" spans="1:13">
      <c r="A197" s="38" t="s">
        <v>90</v>
      </c>
      <c r="B197" s="34">
        <v>43355</v>
      </c>
      <c r="C197" s="35">
        <v>479439</v>
      </c>
      <c r="D197" s="35">
        <v>2668826900</v>
      </c>
      <c r="E197" s="35">
        <v>5860</v>
      </c>
      <c r="F197" s="35">
        <v>5460</v>
      </c>
      <c r="G197" s="35">
        <v>5460</v>
      </c>
      <c r="H197" s="35">
        <v>5566.56</v>
      </c>
      <c r="I197" s="35">
        <v>-5.86</v>
      </c>
      <c r="J197" s="35">
        <v>-340</v>
      </c>
      <c r="K197" s="71">
        <f>YEAR(Accion[[#This Row],[fecha]])</f>
        <v>2018</v>
      </c>
      <c r="L197" s="79" t="str">
        <f>IF(Accion[[#This Row],[Precio Cierre]]=MAX(Accion[Precio Cierre]),Accion[[#This Row],[Precio Cierre]],"NA")</f>
        <v>NA</v>
      </c>
      <c r="M197" s="79" t="str">
        <f>IF(Accion[[#This Row],[Precio Cierre]]=MIN(Accion[Precio Cierre]),Accion[[#This Row],[Precio Cierre]],"NA")</f>
        <v>NA</v>
      </c>
    </row>
    <row r="198" spans="1:13">
      <c r="A198" s="38" t="s">
        <v>90</v>
      </c>
      <c r="B198" s="34">
        <v>43354</v>
      </c>
      <c r="C198" s="35">
        <v>264844</v>
      </c>
      <c r="D198" s="35">
        <v>1537328820</v>
      </c>
      <c r="E198" s="35">
        <v>5860</v>
      </c>
      <c r="F198" s="35">
        <v>5800</v>
      </c>
      <c r="G198" s="35">
        <v>5800</v>
      </c>
      <c r="H198" s="35">
        <v>5804.66</v>
      </c>
      <c r="I198" s="35">
        <v>-1.02</v>
      </c>
      <c r="J198" s="35">
        <v>-60</v>
      </c>
      <c r="K198" s="71">
        <f>YEAR(Accion[[#This Row],[fecha]])</f>
        <v>2018</v>
      </c>
      <c r="L198" s="79" t="str">
        <f>IF(Accion[[#This Row],[Precio Cierre]]=MAX(Accion[Precio Cierre]),Accion[[#This Row],[Precio Cierre]],"NA")</f>
        <v>NA</v>
      </c>
      <c r="M198" s="79" t="str">
        <f>IF(Accion[[#This Row],[Precio Cierre]]=MIN(Accion[Precio Cierre]),Accion[[#This Row],[Precio Cierre]],"NA")</f>
        <v>NA</v>
      </c>
    </row>
    <row r="199" spans="1:13">
      <c r="A199" s="38" t="s">
        <v>90</v>
      </c>
      <c r="B199" s="34">
        <v>43353</v>
      </c>
      <c r="C199" s="35">
        <v>123182</v>
      </c>
      <c r="D199" s="35">
        <v>730604490</v>
      </c>
      <c r="E199" s="35">
        <v>6000</v>
      </c>
      <c r="F199" s="35">
        <v>5860</v>
      </c>
      <c r="G199" s="35">
        <v>5860</v>
      </c>
      <c r="H199" s="35">
        <v>5931.1</v>
      </c>
      <c r="I199" s="35">
        <v>-1.01</v>
      </c>
      <c r="J199" s="35">
        <v>-60</v>
      </c>
      <c r="K199" s="71">
        <f>YEAR(Accion[[#This Row],[fecha]])</f>
        <v>2018</v>
      </c>
      <c r="L199" s="79" t="str">
        <f>IF(Accion[[#This Row],[Precio Cierre]]=MAX(Accion[Precio Cierre]),Accion[[#This Row],[Precio Cierre]],"NA")</f>
        <v>NA</v>
      </c>
      <c r="M199" s="79" t="str">
        <f>IF(Accion[[#This Row],[Precio Cierre]]=MIN(Accion[Precio Cierre]),Accion[[#This Row],[Precio Cierre]],"NA")</f>
        <v>NA</v>
      </c>
    </row>
    <row r="200" spans="1:13">
      <c r="A200" s="38" t="s">
        <v>90</v>
      </c>
      <c r="B200" s="34">
        <v>43350</v>
      </c>
      <c r="C200" s="35">
        <v>48432</v>
      </c>
      <c r="D200" s="35">
        <v>284262010</v>
      </c>
      <c r="E200" s="35">
        <v>6000</v>
      </c>
      <c r="F200" s="35">
        <v>5700</v>
      </c>
      <c r="G200" s="35">
        <v>5920</v>
      </c>
      <c r="H200" s="35">
        <v>5869.3</v>
      </c>
      <c r="I200" s="35">
        <v>-1.33</v>
      </c>
      <c r="J200" s="35">
        <v>-80</v>
      </c>
      <c r="K200" s="71">
        <f>YEAR(Accion[[#This Row],[fecha]])</f>
        <v>2018</v>
      </c>
      <c r="L200" s="79" t="str">
        <f>IF(Accion[[#This Row],[Precio Cierre]]=MAX(Accion[Precio Cierre]),Accion[[#This Row],[Precio Cierre]],"NA")</f>
        <v>NA</v>
      </c>
      <c r="M200" s="79" t="str">
        <f>IF(Accion[[#This Row],[Precio Cierre]]=MIN(Accion[Precio Cierre]),Accion[[#This Row],[Precio Cierre]],"NA")</f>
        <v>NA</v>
      </c>
    </row>
    <row r="201" spans="1:13">
      <c r="A201" s="38" t="s">
        <v>90</v>
      </c>
      <c r="B201" s="34">
        <v>43349</v>
      </c>
      <c r="C201" s="35">
        <v>128727</v>
      </c>
      <c r="D201" s="35">
        <v>792847300</v>
      </c>
      <c r="E201" s="35">
        <v>6300</v>
      </c>
      <c r="F201" s="35">
        <v>6000</v>
      </c>
      <c r="G201" s="35">
        <v>6000</v>
      </c>
      <c r="H201" s="35">
        <v>6159.14</v>
      </c>
      <c r="I201" s="35">
        <v>-4.6100000000000003</v>
      </c>
      <c r="J201" s="35">
        <v>-290</v>
      </c>
      <c r="K201" s="71">
        <f>YEAR(Accion[[#This Row],[fecha]])</f>
        <v>2018</v>
      </c>
      <c r="L201" s="79" t="str">
        <f>IF(Accion[[#This Row],[Precio Cierre]]=MAX(Accion[Precio Cierre]),Accion[[#This Row],[Precio Cierre]],"NA")</f>
        <v>NA</v>
      </c>
      <c r="M201" s="79" t="str">
        <f>IF(Accion[[#This Row],[Precio Cierre]]=MIN(Accion[Precio Cierre]),Accion[[#This Row],[Precio Cierre]],"NA")</f>
        <v>NA</v>
      </c>
    </row>
    <row r="202" spans="1:13">
      <c r="A202" s="38" t="s">
        <v>90</v>
      </c>
      <c r="B202" s="34">
        <v>43348</v>
      </c>
      <c r="C202" s="35">
        <v>154880</v>
      </c>
      <c r="D202" s="35">
        <v>972241370</v>
      </c>
      <c r="E202" s="35">
        <v>6300</v>
      </c>
      <c r="F202" s="35">
        <v>6210</v>
      </c>
      <c r="G202" s="35">
        <v>6290</v>
      </c>
      <c r="H202" s="35">
        <v>6277.38</v>
      </c>
      <c r="I202" s="35">
        <v>-0.16</v>
      </c>
      <c r="J202" s="35">
        <v>-10</v>
      </c>
      <c r="K202" s="71">
        <f>YEAR(Accion[[#This Row],[fecha]])</f>
        <v>2018</v>
      </c>
      <c r="L202" s="79" t="str">
        <f>IF(Accion[[#This Row],[Precio Cierre]]=MAX(Accion[Precio Cierre]),Accion[[#This Row],[Precio Cierre]],"NA")</f>
        <v>NA</v>
      </c>
      <c r="M202" s="79" t="str">
        <f>IF(Accion[[#This Row],[Precio Cierre]]=MIN(Accion[Precio Cierre]),Accion[[#This Row],[Precio Cierre]],"NA")</f>
        <v>NA</v>
      </c>
    </row>
    <row r="203" spans="1:13">
      <c r="A203" s="38" t="s">
        <v>90</v>
      </c>
      <c r="B203" s="34">
        <v>43347</v>
      </c>
      <c r="C203" s="35">
        <v>333397</v>
      </c>
      <c r="D203" s="35">
        <v>2100310420</v>
      </c>
      <c r="E203" s="35">
        <v>6300</v>
      </c>
      <c r="F203" s="35">
        <v>6300</v>
      </c>
      <c r="G203" s="35">
        <v>6300</v>
      </c>
      <c r="H203" s="35">
        <v>6299.73</v>
      </c>
      <c r="I203" s="35">
        <v>0</v>
      </c>
      <c r="J203" s="35">
        <v>0</v>
      </c>
      <c r="K203" s="71">
        <f>YEAR(Accion[[#This Row],[fecha]])</f>
        <v>2018</v>
      </c>
      <c r="L203" s="79" t="str">
        <f>IF(Accion[[#This Row],[Precio Cierre]]=MAX(Accion[Precio Cierre]),Accion[[#This Row],[Precio Cierre]],"NA")</f>
        <v>NA</v>
      </c>
      <c r="M203" s="79" t="str">
        <f>IF(Accion[[#This Row],[Precio Cierre]]=MIN(Accion[Precio Cierre]),Accion[[#This Row],[Precio Cierre]],"NA")</f>
        <v>NA</v>
      </c>
    </row>
    <row r="204" spans="1:13">
      <c r="A204" s="38" t="s">
        <v>90</v>
      </c>
      <c r="B204" s="34">
        <v>43346</v>
      </c>
      <c r="C204" s="35">
        <v>15250</v>
      </c>
      <c r="D204" s="35">
        <v>96030690</v>
      </c>
      <c r="E204" s="35">
        <v>6300</v>
      </c>
      <c r="F204" s="35">
        <v>6290</v>
      </c>
      <c r="G204" s="35">
        <v>6300</v>
      </c>
      <c r="H204" s="35">
        <v>6297.09</v>
      </c>
      <c r="I204" s="35">
        <v>0</v>
      </c>
      <c r="J204" s="35">
        <v>0</v>
      </c>
      <c r="K204" s="71">
        <f>YEAR(Accion[[#This Row],[fecha]])</f>
        <v>2018</v>
      </c>
      <c r="L204" s="79" t="str">
        <f>IF(Accion[[#This Row],[Precio Cierre]]=MAX(Accion[Precio Cierre]),Accion[[#This Row],[Precio Cierre]],"NA")</f>
        <v>NA</v>
      </c>
      <c r="M204" s="79" t="str">
        <f>IF(Accion[[#This Row],[Precio Cierre]]=MIN(Accion[Precio Cierre]),Accion[[#This Row],[Precio Cierre]],"NA")</f>
        <v>NA</v>
      </c>
    </row>
    <row r="205" spans="1:13">
      <c r="A205" s="38" t="s">
        <v>90</v>
      </c>
      <c r="B205" s="34">
        <v>43343</v>
      </c>
      <c r="C205" s="35">
        <v>322955</v>
      </c>
      <c r="D205" s="35">
        <v>2034154230</v>
      </c>
      <c r="E205" s="35">
        <v>6350</v>
      </c>
      <c r="F205" s="35">
        <v>6280</v>
      </c>
      <c r="G205" s="35">
        <v>6300</v>
      </c>
      <c r="H205" s="35">
        <v>6298.57</v>
      </c>
      <c r="I205" s="35">
        <v>0</v>
      </c>
      <c r="J205" s="35">
        <v>0</v>
      </c>
      <c r="K205" s="71">
        <f>YEAR(Accion[[#This Row],[fecha]])</f>
        <v>2018</v>
      </c>
      <c r="L205" s="79" t="str">
        <f>IF(Accion[[#This Row],[Precio Cierre]]=MAX(Accion[Precio Cierre]),Accion[[#This Row],[Precio Cierre]],"NA")</f>
        <v>NA</v>
      </c>
      <c r="M205" s="79" t="str">
        <f>IF(Accion[[#This Row],[Precio Cierre]]=MIN(Accion[Precio Cierre]),Accion[[#This Row],[Precio Cierre]],"NA")</f>
        <v>NA</v>
      </c>
    </row>
    <row r="206" spans="1:13">
      <c r="A206" s="38" t="s">
        <v>90</v>
      </c>
      <c r="B206" s="34">
        <v>43342</v>
      </c>
      <c r="C206" s="35">
        <v>111784</v>
      </c>
      <c r="D206" s="35">
        <v>706077930</v>
      </c>
      <c r="E206" s="35">
        <v>6350</v>
      </c>
      <c r="F206" s="35">
        <v>6290</v>
      </c>
      <c r="G206" s="35">
        <v>6300</v>
      </c>
      <c r="H206" s="35">
        <v>6316.45</v>
      </c>
      <c r="I206" s="35">
        <v>-0.47</v>
      </c>
      <c r="J206" s="35">
        <v>-30</v>
      </c>
      <c r="K206" s="71">
        <f>YEAR(Accion[[#This Row],[fecha]])</f>
        <v>2018</v>
      </c>
      <c r="L206" s="79" t="str">
        <f>IF(Accion[[#This Row],[Precio Cierre]]=MAX(Accion[Precio Cierre]),Accion[[#This Row],[Precio Cierre]],"NA")</f>
        <v>NA</v>
      </c>
      <c r="M206" s="79" t="str">
        <f>IF(Accion[[#This Row],[Precio Cierre]]=MIN(Accion[Precio Cierre]),Accion[[#This Row],[Precio Cierre]],"NA")</f>
        <v>NA</v>
      </c>
    </row>
    <row r="207" spans="1:13">
      <c r="A207" s="38" t="s">
        <v>90</v>
      </c>
      <c r="B207" s="34">
        <v>43341</v>
      </c>
      <c r="C207" s="35">
        <v>248231</v>
      </c>
      <c r="D207" s="35">
        <v>1542304130</v>
      </c>
      <c r="E207" s="35">
        <v>6390</v>
      </c>
      <c r="F207" s="35">
        <v>6090</v>
      </c>
      <c r="G207" s="35">
        <v>6330</v>
      </c>
      <c r="H207" s="35">
        <v>6213.18</v>
      </c>
      <c r="I207" s="35">
        <v>3.77</v>
      </c>
      <c r="J207" s="35">
        <v>230</v>
      </c>
      <c r="K207" s="71">
        <f>YEAR(Accion[[#This Row],[fecha]])</f>
        <v>2018</v>
      </c>
      <c r="L207" s="79" t="str">
        <f>IF(Accion[[#This Row],[Precio Cierre]]=MAX(Accion[Precio Cierre]),Accion[[#This Row],[Precio Cierre]],"NA")</f>
        <v>NA</v>
      </c>
      <c r="M207" s="79" t="str">
        <f>IF(Accion[[#This Row],[Precio Cierre]]=MIN(Accion[Precio Cierre]),Accion[[#This Row],[Precio Cierre]],"NA")</f>
        <v>NA</v>
      </c>
    </row>
    <row r="208" spans="1:13">
      <c r="A208" s="38" t="s">
        <v>90</v>
      </c>
      <c r="B208" s="34">
        <v>43340</v>
      </c>
      <c r="C208" s="35">
        <v>455228</v>
      </c>
      <c r="D208" s="35">
        <v>2782150550</v>
      </c>
      <c r="E208" s="35">
        <v>6210</v>
      </c>
      <c r="F208" s="35">
        <v>5990</v>
      </c>
      <c r="G208" s="35">
        <v>6100</v>
      </c>
      <c r="H208" s="35">
        <v>6111.55</v>
      </c>
      <c r="I208" s="35">
        <v>1.67</v>
      </c>
      <c r="J208" s="35">
        <v>100</v>
      </c>
      <c r="K208" s="71">
        <f>YEAR(Accion[[#This Row],[fecha]])</f>
        <v>2018</v>
      </c>
      <c r="L208" s="79" t="str">
        <f>IF(Accion[[#This Row],[Precio Cierre]]=MAX(Accion[Precio Cierre]),Accion[[#This Row],[Precio Cierre]],"NA")</f>
        <v>NA</v>
      </c>
      <c r="M208" s="79" t="str">
        <f>IF(Accion[[#This Row],[Precio Cierre]]=MIN(Accion[Precio Cierre]),Accion[[#This Row],[Precio Cierre]],"NA")</f>
        <v>NA</v>
      </c>
    </row>
    <row r="209" spans="1:13">
      <c r="A209" s="38" t="s">
        <v>90</v>
      </c>
      <c r="B209" s="34">
        <v>43339</v>
      </c>
      <c r="C209" s="35">
        <v>610204</v>
      </c>
      <c r="D209" s="35">
        <v>3708375240</v>
      </c>
      <c r="E209" s="35">
        <v>6220</v>
      </c>
      <c r="F209" s="35">
        <v>5900</v>
      </c>
      <c r="G209" s="35">
        <v>6000</v>
      </c>
      <c r="H209" s="35">
        <v>6077.27</v>
      </c>
      <c r="I209" s="35">
        <v>-5.81</v>
      </c>
      <c r="J209" s="35">
        <v>-370</v>
      </c>
      <c r="K209" s="71">
        <f>YEAR(Accion[[#This Row],[fecha]])</f>
        <v>2018</v>
      </c>
      <c r="L209" s="79" t="str">
        <f>IF(Accion[[#This Row],[Precio Cierre]]=MAX(Accion[Precio Cierre]),Accion[[#This Row],[Precio Cierre]],"NA")</f>
        <v>NA</v>
      </c>
      <c r="M209" s="79" t="str">
        <f>IF(Accion[[#This Row],[Precio Cierre]]=MIN(Accion[Precio Cierre]),Accion[[#This Row],[Precio Cierre]],"NA")</f>
        <v>NA</v>
      </c>
    </row>
    <row r="210" spans="1:13">
      <c r="A210" s="38" t="s">
        <v>90</v>
      </c>
      <c r="B210" s="34">
        <v>43336</v>
      </c>
      <c r="C210" s="35">
        <v>291630</v>
      </c>
      <c r="D210" s="35">
        <v>1859998180</v>
      </c>
      <c r="E210" s="35">
        <v>6390</v>
      </c>
      <c r="F210" s="35">
        <v>6260</v>
      </c>
      <c r="G210" s="35">
        <v>6370</v>
      </c>
      <c r="H210" s="35">
        <v>6377.94</v>
      </c>
      <c r="I210" s="35">
        <v>-0.31</v>
      </c>
      <c r="J210" s="35">
        <v>-20</v>
      </c>
      <c r="K210" s="71">
        <f>YEAR(Accion[[#This Row],[fecha]])</f>
        <v>2018</v>
      </c>
      <c r="L210" s="79" t="str">
        <f>IF(Accion[[#This Row],[Precio Cierre]]=MAX(Accion[Precio Cierre]),Accion[[#This Row],[Precio Cierre]],"NA")</f>
        <v>NA</v>
      </c>
      <c r="M210" s="79" t="str">
        <f>IF(Accion[[#This Row],[Precio Cierre]]=MIN(Accion[Precio Cierre]),Accion[[#This Row],[Precio Cierre]],"NA")</f>
        <v>NA</v>
      </c>
    </row>
    <row r="211" spans="1:13">
      <c r="A211" s="38" t="s">
        <v>90</v>
      </c>
      <c r="B211" s="34">
        <v>43335</v>
      </c>
      <c r="C211" s="35">
        <v>233275</v>
      </c>
      <c r="D211" s="35">
        <v>1494049790</v>
      </c>
      <c r="E211" s="35">
        <v>6680</v>
      </c>
      <c r="F211" s="35">
        <v>6200</v>
      </c>
      <c r="G211" s="35">
        <v>6390</v>
      </c>
      <c r="H211" s="35">
        <v>6404.67</v>
      </c>
      <c r="I211" s="35">
        <v>-4.34</v>
      </c>
      <c r="J211" s="35">
        <v>-290</v>
      </c>
      <c r="K211" s="71">
        <f>YEAR(Accion[[#This Row],[fecha]])</f>
        <v>2018</v>
      </c>
      <c r="L211" s="79" t="str">
        <f>IF(Accion[[#This Row],[Precio Cierre]]=MAX(Accion[Precio Cierre]),Accion[[#This Row],[Precio Cierre]],"NA")</f>
        <v>NA</v>
      </c>
      <c r="M211" s="79" t="str">
        <f>IF(Accion[[#This Row],[Precio Cierre]]=MIN(Accion[Precio Cierre]),Accion[[#This Row],[Precio Cierre]],"NA")</f>
        <v>NA</v>
      </c>
    </row>
    <row r="212" spans="1:13">
      <c r="A212" s="38" t="s">
        <v>90</v>
      </c>
      <c r="B212" s="34">
        <v>43334</v>
      </c>
      <c r="C212" s="35">
        <v>80808</v>
      </c>
      <c r="D212" s="35">
        <v>548850340</v>
      </c>
      <c r="E212" s="35">
        <v>6850</v>
      </c>
      <c r="F212" s="35">
        <v>6680</v>
      </c>
      <c r="G212" s="35">
        <v>6680</v>
      </c>
      <c r="H212" s="35">
        <v>6792.03</v>
      </c>
      <c r="I212" s="35">
        <v>-2.48</v>
      </c>
      <c r="J212" s="35">
        <v>-170</v>
      </c>
      <c r="K212" s="71">
        <f>YEAR(Accion[[#This Row],[fecha]])</f>
        <v>2018</v>
      </c>
      <c r="L212" s="79" t="str">
        <f>IF(Accion[[#This Row],[Precio Cierre]]=MAX(Accion[Precio Cierre]),Accion[[#This Row],[Precio Cierre]],"NA")</f>
        <v>NA</v>
      </c>
      <c r="M212" s="79" t="str">
        <f>IF(Accion[[#This Row],[Precio Cierre]]=MIN(Accion[Precio Cierre]),Accion[[#This Row],[Precio Cierre]],"NA")</f>
        <v>NA</v>
      </c>
    </row>
    <row r="213" spans="1:13">
      <c r="A213" s="38" t="s">
        <v>90</v>
      </c>
      <c r="B213" s="34">
        <v>43333</v>
      </c>
      <c r="C213" s="35">
        <v>26002</v>
      </c>
      <c r="D213" s="35">
        <v>177579510</v>
      </c>
      <c r="E213" s="35">
        <v>6850</v>
      </c>
      <c r="F213" s="35">
        <v>6800</v>
      </c>
      <c r="G213" s="35">
        <v>6850</v>
      </c>
      <c r="H213" s="35">
        <v>6829.46</v>
      </c>
      <c r="I213" s="35">
        <v>-0.72</v>
      </c>
      <c r="J213" s="35">
        <v>-50</v>
      </c>
      <c r="K213" s="71">
        <f>YEAR(Accion[[#This Row],[fecha]])</f>
        <v>2018</v>
      </c>
      <c r="L213" s="79" t="str">
        <f>IF(Accion[[#This Row],[Precio Cierre]]=MAX(Accion[Precio Cierre]),Accion[[#This Row],[Precio Cierre]],"NA")</f>
        <v>NA</v>
      </c>
      <c r="M213" s="79" t="str">
        <f>IF(Accion[[#This Row],[Precio Cierre]]=MIN(Accion[Precio Cierre]),Accion[[#This Row],[Precio Cierre]],"NA")</f>
        <v>NA</v>
      </c>
    </row>
    <row r="214" spans="1:13">
      <c r="A214" s="38" t="s">
        <v>90</v>
      </c>
      <c r="B214" s="34">
        <v>43329</v>
      </c>
      <c r="C214" s="35">
        <v>29823</v>
      </c>
      <c r="D214" s="35">
        <v>205672210</v>
      </c>
      <c r="E214" s="35">
        <v>6900</v>
      </c>
      <c r="F214" s="35">
        <v>6840</v>
      </c>
      <c r="G214" s="35">
        <v>6900</v>
      </c>
      <c r="H214" s="35">
        <v>6896.43</v>
      </c>
      <c r="I214" s="35">
        <v>0.88</v>
      </c>
      <c r="J214" s="35">
        <v>60</v>
      </c>
      <c r="K214" s="71">
        <f>YEAR(Accion[[#This Row],[fecha]])</f>
        <v>2018</v>
      </c>
      <c r="L214" s="79" t="str">
        <f>IF(Accion[[#This Row],[Precio Cierre]]=MAX(Accion[Precio Cierre]),Accion[[#This Row],[Precio Cierre]],"NA")</f>
        <v>NA</v>
      </c>
      <c r="M214" s="79" t="str">
        <f>IF(Accion[[#This Row],[Precio Cierre]]=MIN(Accion[Precio Cierre]),Accion[[#This Row],[Precio Cierre]],"NA")</f>
        <v>NA</v>
      </c>
    </row>
    <row r="215" spans="1:13">
      <c r="A215" s="38" t="s">
        <v>90</v>
      </c>
      <c r="B215" s="34">
        <v>43328</v>
      </c>
      <c r="C215" s="35">
        <v>159628</v>
      </c>
      <c r="D215" s="35">
        <v>1117125500</v>
      </c>
      <c r="E215" s="35">
        <v>7050</v>
      </c>
      <c r="F215" s="35">
        <v>6840</v>
      </c>
      <c r="G215" s="35">
        <v>6840</v>
      </c>
      <c r="H215" s="35">
        <v>6998.31</v>
      </c>
      <c r="I215" s="35">
        <v>-2.98</v>
      </c>
      <c r="J215" s="35">
        <v>-210</v>
      </c>
      <c r="K215" s="71">
        <f>YEAR(Accion[[#This Row],[fecha]])</f>
        <v>2018</v>
      </c>
      <c r="L215" s="79" t="str">
        <f>IF(Accion[[#This Row],[Precio Cierre]]=MAX(Accion[Precio Cierre]),Accion[[#This Row],[Precio Cierre]],"NA")</f>
        <v>NA</v>
      </c>
      <c r="M215" s="79" t="str">
        <f>IF(Accion[[#This Row],[Precio Cierre]]=MIN(Accion[Precio Cierre]),Accion[[#This Row],[Precio Cierre]],"NA")</f>
        <v>NA</v>
      </c>
    </row>
    <row r="216" spans="1:13">
      <c r="A216" s="38" t="s">
        <v>90</v>
      </c>
      <c r="B216" s="34">
        <v>43327</v>
      </c>
      <c r="C216" s="35">
        <v>44107</v>
      </c>
      <c r="D216" s="35">
        <v>310432910</v>
      </c>
      <c r="E216" s="35">
        <v>7050</v>
      </c>
      <c r="F216" s="35">
        <v>6970</v>
      </c>
      <c r="G216" s="35">
        <v>7050</v>
      </c>
      <c r="H216" s="35">
        <v>7038.18</v>
      </c>
      <c r="I216" s="35">
        <v>-1.54</v>
      </c>
      <c r="J216" s="35">
        <v>-110</v>
      </c>
      <c r="K216" s="71">
        <f>YEAR(Accion[[#This Row],[fecha]])</f>
        <v>2018</v>
      </c>
      <c r="L216" s="79" t="str">
        <f>IF(Accion[[#This Row],[Precio Cierre]]=MAX(Accion[Precio Cierre]),Accion[[#This Row],[Precio Cierre]],"NA")</f>
        <v>NA</v>
      </c>
      <c r="M216" s="79" t="str">
        <f>IF(Accion[[#This Row],[Precio Cierre]]=MIN(Accion[Precio Cierre]),Accion[[#This Row],[Precio Cierre]],"NA")</f>
        <v>NA</v>
      </c>
    </row>
    <row r="217" spans="1:13">
      <c r="A217" s="38" t="s">
        <v>90</v>
      </c>
      <c r="B217" s="34">
        <v>43326</v>
      </c>
      <c r="C217" s="35">
        <v>102638</v>
      </c>
      <c r="D217" s="35">
        <v>741129680</v>
      </c>
      <c r="E217" s="35">
        <v>7250</v>
      </c>
      <c r="F217" s="35">
        <v>7100</v>
      </c>
      <c r="G217" s="35">
        <v>7160</v>
      </c>
      <c r="H217" s="35">
        <v>7220.81</v>
      </c>
      <c r="I217" s="35">
        <v>-0.56000000000000005</v>
      </c>
      <c r="J217" s="35">
        <v>-40</v>
      </c>
      <c r="K217" s="71">
        <f>YEAR(Accion[[#This Row],[fecha]])</f>
        <v>2018</v>
      </c>
      <c r="L217" s="79" t="str">
        <f>IF(Accion[[#This Row],[Precio Cierre]]=MAX(Accion[Precio Cierre]),Accion[[#This Row],[Precio Cierre]],"NA")</f>
        <v>NA</v>
      </c>
      <c r="M217" s="79" t="str">
        <f>IF(Accion[[#This Row],[Precio Cierre]]=MIN(Accion[Precio Cierre]),Accion[[#This Row],[Precio Cierre]],"NA")</f>
        <v>NA</v>
      </c>
    </row>
    <row r="218" spans="1:13">
      <c r="A218" s="38" t="s">
        <v>90</v>
      </c>
      <c r="B218" s="34">
        <v>43325</v>
      </c>
      <c r="C218" s="35">
        <v>215686</v>
      </c>
      <c r="D218" s="35">
        <v>1551263300</v>
      </c>
      <c r="E218" s="35">
        <v>7200</v>
      </c>
      <c r="F218" s="35">
        <v>7150</v>
      </c>
      <c r="G218" s="35">
        <v>7200</v>
      </c>
      <c r="H218" s="35">
        <v>7192.23</v>
      </c>
      <c r="I218" s="35">
        <v>-0.69</v>
      </c>
      <c r="J218" s="35">
        <v>-50</v>
      </c>
      <c r="K218" s="71">
        <f>YEAR(Accion[[#This Row],[fecha]])</f>
        <v>2018</v>
      </c>
      <c r="L218" s="79" t="str">
        <f>IF(Accion[[#This Row],[Precio Cierre]]=MAX(Accion[Precio Cierre]),Accion[[#This Row],[Precio Cierre]],"NA")</f>
        <v>NA</v>
      </c>
      <c r="M218" s="79" t="str">
        <f>IF(Accion[[#This Row],[Precio Cierre]]=MIN(Accion[Precio Cierre]),Accion[[#This Row],[Precio Cierre]],"NA")</f>
        <v>NA</v>
      </c>
    </row>
    <row r="219" spans="1:13">
      <c r="A219" s="38" t="s">
        <v>90</v>
      </c>
      <c r="B219" s="34">
        <v>43322</v>
      </c>
      <c r="C219" s="35">
        <v>15395</v>
      </c>
      <c r="D219" s="35">
        <v>111582890</v>
      </c>
      <c r="E219" s="35">
        <v>7290</v>
      </c>
      <c r="F219" s="35">
        <v>7200</v>
      </c>
      <c r="G219" s="35">
        <v>7250</v>
      </c>
      <c r="H219" s="35">
        <v>7248</v>
      </c>
      <c r="I219" s="35">
        <v>-0.68</v>
      </c>
      <c r="J219" s="35">
        <v>-50</v>
      </c>
      <c r="K219" s="71">
        <f>YEAR(Accion[[#This Row],[fecha]])</f>
        <v>2018</v>
      </c>
      <c r="L219" s="79" t="str">
        <f>IF(Accion[[#This Row],[Precio Cierre]]=MAX(Accion[Precio Cierre]),Accion[[#This Row],[Precio Cierre]],"NA")</f>
        <v>NA</v>
      </c>
      <c r="M219" s="79" t="str">
        <f>IF(Accion[[#This Row],[Precio Cierre]]=MIN(Accion[Precio Cierre]),Accion[[#This Row],[Precio Cierre]],"NA")</f>
        <v>NA</v>
      </c>
    </row>
    <row r="220" spans="1:13">
      <c r="A220" s="38" t="s">
        <v>90</v>
      </c>
      <c r="B220" s="34">
        <v>43321</v>
      </c>
      <c r="C220" s="35">
        <v>161396</v>
      </c>
      <c r="D220" s="35">
        <v>1172563690</v>
      </c>
      <c r="E220" s="35">
        <v>7300</v>
      </c>
      <c r="F220" s="35">
        <v>7200</v>
      </c>
      <c r="G220" s="35">
        <v>7300</v>
      </c>
      <c r="H220" s="35">
        <v>7265.13</v>
      </c>
      <c r="I220" s="35">
        <v>0.55000000000000004</v>
      </c>
      <c r="J220" s="35">
        <v>40</v>
      </c>
      <c r="K220" s="71">
        <f>YEAR(Accion[[#This Row],[fecha]])</f>
        <v>2018</v>
      </c>
      <c r="L220" s="79" t="str">
        <f>IF(Accion[[#This Row],[Precio Cierre]]=MAX(Accion[Precio Cierre]),Accion[[#This Row],[Precio Cierre]],"NA")</f>
        <v>NA</v>
      </c>
      <c r="M220" s="79" t="str">
        <f>IF(Accion[[#This Row],[Precio Cierre]]=MIN(Accion[Precio Cierre]),Accion[[#This Row],[Precio Cierre]],"NA")</f>
        <v>NA</v>
      </c>
    </row>
    <row r="221" spans="1:13">
      <c r="A221" s="38" t="s">
        <v>90</v>
      </c>
      <c r="B221" s="34">
        <v>43320</v>
      </c>
      <c r="C221" s="35">
        <v>122084</v>
      </c>
      <c r="D221" s="35">
        <v>903329840</v>
      </c>
      <c r="E221" s="35">
        <v>7430</v>
      </c>
      <c r="F221" s="35">
        <v>7260</v>
      </c>
      <c r="G221" s="35">
        <v>7260</v>
      </c>
      <c r="H221" s="35">
        <v>7399.25</v>
      </c>
      <c r="I221" s="35">
        <v>-3.2</v>
      </c>
      <c r="J221" s="35">
        <v>-240</v>
      </c>
      <c r="K221" s="71">
        <f>YEAR(Accion[[#This Row],[fecha]])</f>
        <v>2018</v>
      </c>
      <c r="L221" s="79" t="str">
        <f>IF(Accion[[#This Row],[Precio Cierre]]=MAX(Accion[Precio Cierre]),Accion[[#This Row],[Precio Cierre]],"NA")</f>
        <v>NA</v>
      </c>
      <c r="M221" s="79" t="str">
        <f>IF(Accion[[#This Row],[Precio Cierre]]=MIN(Accion[Precio Cierre]),Accion[[#This Row],[Precio Cierre]],"NA")</f>
        <v>NA</v>
      </c>
    </row>
    <row r="222" spans="1:13">
      <c r="A222" s="38" t="s">
        <v>90</v>
      </c>
      <c r="B222" s="34">
        <v>43318</v>
      </c>
      <c r="C222" s="35">
        <v>32755</v>
      </c>
      <c r="D222" s="35">
        <v>245237650</v>
      </c>
      <c r="E222" s="35">
        <v>7600</v>
      </c>
      <c r="F222" s="35">
        <v>7400</v>
      </c>
      <c r="G222" s="35">
        <v>7500</v>
      </c>
      <c r="H222" s="35">
        <v>7487.03</v>
      </c>
      <c r="I222" s="35">
        <v>-2.6</v>
      </c>
      <c r="J222" s="35">
        <v>-200</v>
      </c>
      <c r="K222" s="71">
        <f>YEAR(Accion[[#This Row],[fecha]])</f>
        <v>2018</v>
      </c>
      <c r="L222" s="79" t="str">
        <f>IF(Accion[[#This Row],[Precio Cierre]]=MAX(Accion[Precio Cierre]),Accion[[#This Row],[Precio Cierre]],"NA")</f>
        <v>NA</v>
      </c>
      <c r="M222" s="79" t="str">
        <f>IF(Accion[[#This Row],[Precio Cierre]]=MIN(Accion[Precio Cierre]),Accion[[#This Row],[Precio Cierre]],"NA")</f>
        <v>NA</v>
      </c>
    </row>
    <row r="223" spans="1:13">
      <c r="A223" s="38" t="s">
        <v>90</v>
      </c>
      <c r="B223" s="34">
        <v>43315</v>
      </c>
      <c r="C223" s="35">
        <v>133235</v>
      </c>
      <c r="D223" s="35">
        <v>1025773010</v>
      </c>
      <c r="E223" s="35">
        <v>7700</v>
      </c>
      <c r="F223" s="35">
        <v>7690</v>
      </c>
      <c r="G223" s="35">
        <v>7700</v>
      </c>
      <c r="H223" s="35">
        <v>7698.98</v>
      </c>
      <c r="I223" s="35">
        <v>0.65</v>
      </c>
      <c r="J223" s="35">
        <v>50</v>
      </c>
      <c r="K223" s="71">
        <f>YEAR(Accion[[#This Row],[fecha]])</f>
        <v>2018</v>
      </c>
      <c r="L223" s="79" t="str">
        <f>IF(Accion[[#This Row],[Precio Cierre]]=MAX(Accion[Precio Cierre]),Accion[[#This Row],[Precio Cierre]],"NA")</f>
        <v>NA</v>
      </c>
      <c r="M223" s="79" t="str">
        <f>IF(Accion[[#This Row],[Precio Cierre]]=MIN(Accion[Precio Cierre]),Accion[[#This Row],[Precio Cierre]],"NA")</f>
        <v>NA</v>
      </c>
    </row>
    <row r="224" spans="1:13">
      <c r="A224" s="38" t="s">
        <v>90</v>
      </c>
      <c r="B224" s="34">
        <v>43314</v>
      </c>
      <c r="C224" s="35">
        <v>52298</v>
      </c>
      <c r="D224" s="35">
        <v>393932000</v>
      </c>
      <c r="E224" s="35">
        <v>7650</v>
      </c>
      <c r="F224" s="35">
        <v>7300</v>
      </c>
      <c r="G224" s="35">
        <v>7650</v>
      </c>
      <c r="H224" s="35">
        <v>7532.45</v>
      </c>
      <c r="I224" s="35">
        <v>3.38</v>
      </c>
      <c r="J224" s="35">
        <v>250</v>
      </c>
      <c r="K224" s="71">
        <f>YEAR(Accion[[#This Row],[fecha]])</f>
        <v>2018</v>
      </c>
      <c r="L224" s="79" t="str">
        <f>IF(Accion[[#This Row],[Precio Cierre]]=MAX(Accion[Precio Cierre]),Accion[[#This Row],[Precio Cierre]],"NA")</f>
        <v>NA</v>
      </c>
      <c r="M224" s="79" t="str">
        <f>IF(Accion[[#This Row],[Precio Cierre]]=MIN(Accion[Precio Cierre]),Accion[[#This Row],[Precio Cierre]],"NA")</f>
        <v>NA</v>
      </c>
    </row>
    <row r="225" spans="1:13">
      <c r="A225" s="38" t="s">
        <v>90</v>
      </c>
      <c r="B225" s="34">
        <v>43313</v>
      </c>
      <c r="C225" s="35">
        <v>99176</v>
      </c>
      <c r="D225" s="35">
        <v>730384800</v>
      </c>
      <c r="E225" s="35">
        <v>7400</v>
      </c>
      <c r="F225" s="35">
        <v>7350</v>
      </c>
      <c r="G225" s="35">
        <v>7400</v>
      </c>
      <c r="H225" s="35">
        <v>7364.53</v>
      </c>
      <c r="I225" s="35">
        <v>1.37</v>
      </c>
      <c r="J225" s="35">
        <v>100</v>
      </c>
      <c r="K225" s="71">
        <f>YEAR(Accion[[#This Row],[fecha]])</f>
        <v>2018</v>
      </c>
      <c r="L225" s="79" t="str">
        <f>IF(Accion[[#This Row],[Precio Cierre]]=MAX(Accion[Precio Cierre]),Accion[[#This Row],[Precio Cierre]],"NA")</f>
        <v>NA</v>
      </c>
      <c r="M225" s="79" t="str">
        <f>IF(Accion[[#This Row],[Precio Cierre]]=MIN(Accion[Precio Cierre]),Accion[[#This Row],[Precio Cierre]],"NA")</f>
        <v>NA</v>
      </c>
    </row>
    <row r="226" spans="1:13">
      <c r="A226" s="38" t="s">
        <v>90</v>
      </c>
      <c r="B226" s="34">
        <v>43312</v>
      </c>
      <c r="C226" s="35">
        <v>686322</v>
      </c>
      <c r="D226" s="35">
        <v>5034447830</v>
      </c>
      <c r="E226" s="35">
        <v>7380</v>
      </c>
      <c r="F226" s="35">
        <v>7200</v>
      </c>
      <c r="G226" s="35">
        <v>7300</v>
      </c>
      <c r="H226" s="35">
        <v>7335.4</v>
      </c>
      <c r="I226" s="35">
        <v>0.83</v>
      </c>
      <c r="J226" s="35">
        <v>60</v>
      </c>
      <c r="K226" s="71">
        <f>YEAR(Accion[[#This Row],[fecha]])</f>
        <v>2018</v>
      </c>
      <c r="L226" s="79" t="str">
        <f>IF(Accion[[#This Row],[Precio Cierre]]=MAX(Accion[Precio Cierre]),Accion[[#This Row],[Precio Cierre]],"NA")</f>
        <v>NA</v>
      </c>
      <c r="M226" s="79" t="str">
        <f>IF(Accion[[#This Row],[Precio Cierre]]=MIN(Accion[Precio Cierre]),Accion[[#This Row],[Precio Cierre]],"NA")</f>
        <v>NA</v>
      </c>
    </row>
    <row r="227" spans="1:13">
      <c r="A227" s="38" t="s">
        <v>90</v>
      </c>
      <c r="B227" s="34">
        <v>43311</v>
      </c>
      <c r="C227" s="35">
        <v>306486</v>
      </c>
      <c r="D227" s="35">
        <v>2186904670</v>
      </c>
      <c r="E227" s="35">
        <v>7250</v>
      </c>
      <c r="F227" s="35">
        <v>7100</v>
      </c>
      <c r="G227" s="35">
        <v>7240</v>
      </c>
      <c r="H227" s="35">
        <v>7135.41</v>
      </c>
      <c r="I227" s="35">
        <v>0.7</v>
      </c>
      <c r="J227" s="35">
        <v>50</v>
      </c>
      <c r="K227" s="71">
        <f>YEAR(Accion[[#This Row],[fecha]])</f>
        <v>2018</v>
      </c>
      <c r="L227" s="79" t="str">
        <f>IF(Accion[[#This Row],[Precio Cierre]]=MAX(Accion[Precio Cierre]),Accion[[#This Row],[Precio Cierre]],"NA")</f>
        <v>NA</v>
      </c>
      <c r="M227" s="79" t="str">
        <f>IF(Accion[[#This Row],[Precio Cierre]]=MIN(Accion[Precio Cierre]),Accion[[#This Row],[Precio Cierre]],"NA")</f>
        <v>NA</v>
      </c>
    </row>
    <row r="228" spans="1:13">
      <c r="A228" s="38" t="s">
        <v>90</v>
      </c>
      <c r="B228" s="34">
        <v>43308</v>
      </c>
      <c r="C228" s="35">
        <v>223001</v>
      </c>
      <c r="D228" s="35">
        <v>1613223630</v>
      </c>
      <c r="E228" s="35">
        <v>7400</v>
      </c>
      <c r="F228" s="35">
        <v>7110</v>
      </c>
      <c r="G228" s="35">
        <v>7190</v>
      </c>
      <c r="H228" s="35">
        <v>7234.15</v>
      </c>
      <c r="I228" s="35">
        <v>-3.88</v>
      </c>
      <c r="J228" s="35">
        <v>-290</v>
      </c>
      <c r="K228" s="71">
        <f>YEAR(Accion[[#This Row],[fecha]])</f>
        <v>2018</v>
      </c>
      <c r="L228" s="79" t="str">
        <f>IF(Accion[[#This Row],[Precio Cierre]]=MAX(Accion[Precio Cierre]),Accion[[#This Row],[Precio Cierre]],"NA")</f>
        <v>NA</v>
      </c>
      <c r="M228" s="79" t="str">
        <f>IF(Accion[[#This Row],[Precio Cierre]]=MIN(Accion[Precio Cierre]),Accion[[#This Row],[Precio Cierre]],"NA")</f>
        <v>NA</v>
      </c>
    </row>
    <row r="229" spans="1:13">
      <c r="A229" s="38" t="s">
        <v>90</v>
      </c>
      <c r="B229" s="34">
        <v>43307</v>
      </c>
      <c r="C229" s="35">
        <v>134571</v>
      </c>
      <c r="D229" s="35">
        <v>1014368140</v>
      </c>
      <c r="E229" s="35">
        <v>7860</v>
      </c>
      <c r="F229" s="35">
        <v>7450</v>
      </c>
      <c r="G229" s="35">
        <v>7480</v>
      </c>
      <c r="H229" s="35">
        <v>7537.79</v>
      </c>
      <c r="I229" s="35">
        <v>-1.58</v>
      </c>
      <c r="J229" s="35">
        <v>-120</v>
      </c>
      <c r="K229" s="71">
        <f>YEAR(Accion[[#This Row],[fecha]])</f>
        <v>2018</v>
      </c>
      <c r="L229" s="79" t="str">
        <f>IF(Accion[[#This Row],[Precio Cierre]]=MAX(Accion[Precio Cierre]),Accion[[#This Row],[Precio Cierre]],"NA")</f>
        <v>NA</v>
      </c>
      <c r="M229" s="79" t="str">
        <f>IF(Accion[[#This Row],[Precio Cierre]]=MIN(Accion[Precio Cierre]),Accion[[#This Row],[Precio Cierre]],"NA")</f>
        <v>NA</v>
      </c>
    </row>
    <row r="230" spans="1:13">
      <c r="A230" s="38" t="s">
        <v>90</v>
      </c>
      <c r="B230" s="34">
        <v>43306</v>
      </c>
      <c r="C230" s="35">
        <v>3057744</v>
      </c>
      <c r="D230" s="35">
        <v>23246581880</v>
      </c>
      <c r="E230" s="35">
        <v>7800</v>
      </c>
      <c r="F230" s="35">
        <v>7600</v>
      </c>
      <c r="G230" s="35">
        <v>7600</v>
      </c>
      <c r="H230" s="35">
        <v>7602.53</v>
      </c>
      <c r="I230" s="35">
        <v>-2.56</v>
      </c>
      <c r="J230" s="35">
        <v>-200</v>
      </c>
      <c r="K230" s="71">
        <f>YEAR(Accion[[#This Row],[fecha]])</f>
        <v>2018</v>
      </c>
      <c r="L230" s="79" t="str">
        <f>IF(Accion[[#This Row],[Precio Cierre]]=MAX(Accion[Precio Cierre]),Accion[[#This Row],[Precio Cierre]],"NA")</f>
        <v>NA</v>
      </c>
      <c r="M230" s="79" t="str">
        <f>IF(Accion[[#This Row],[Precio Cierre]]=MIN(Accion[Precio Cierre]),Accion[[#This Row],[Precio Cierre]],"NA")</f>
        <v>NA</v>
      </c>
    </row>
    <row r="231" spans="1:13">
      <c r="A231" s="38" t="s">
        <v>90</v>
      </c>
      <c r="B231" s="34">
        <v>43305</v>
      </c>
      <c r="C231" s="35">
        <v>231555</v>
      </c>
      <c r="D231" s="35">
        <v>1810515340</v>
      </c>
      <c r="E231" s="35">
        <v>7830</v>
      </c>
      <c r="F231" s="35">
        <v>7780</v>
      </c>
      <c r="G231" s="35">
        <v>7800</v>
      </c>
      <c r="H231" s="35">
        <v>7818.94</v>
      </c>
      <c r="I231" s="35">
        <v>0.52</v>
      </c>
      <c r="J231" s="35">
        <v>40</v>
      </c>
      <c r="K231" s="71">
        <f>YEAR(Accion[[#This Row],[fecha]])</f>
        <v>2018</v>
      </c>
      <c r="L231" s="79" t="str">
        <f>IF(Accion[[#This Row],[Precio Cierre]]=MAX(Accion[Precio Cierre]),Accion[[#This Row],[Precio Cierre]],"NA")</f>
        <v>NA</v>
      </c>
      <c r="M231" s="79" t="str">
        <f>IF(Accion[[#This Row],[Precio Cierre]]=MIN(Accion[Precio Cierre]),Accion[[#This Row],[Precio Cierre]],"NA")</f>
        <v>NA</v>
      </c>
    </row>
    <row r="232" spans="1:13">
      <c r="A232" s="38" t="s">
        <v>90</v>
      </c>
      <c r="B232" s="34">
        <v>43304</v>
      </c>
      <c r="C232" s="35">
        <v>21372</v>
      </c>
      <c r="D232" s="35">
        <v>167152930</v>
      </c>
      <c r="E232" s="35">
        <v>7860</v>
      </c>
      <c r="F232" s="35">
        <v>7760</v>
      </c>
      <c r="G232" s="35">
        <v>7760</v>
      </c>
      <c r="H232" s="35">
        <v>7821.12</v>
      </c>
      <c r="I232" s="35">
        <v>0.91</v>
      </c>
      <c r="J232" s="35">
        <v>70</v>
      </c>
      <c r="K232" s="71">
        <f>YEAR(Accion[[#This Row],[fecha]])</f>
        <v>2018</v>
      </c>
      <c r="L232" s="79" t="str">
        <f>IF(Accion[[#This Row],[Precio Cierre]]=MAX(Accion[Precio Cierre]),Accion[[#This Row],[Precio Cierre]],"NA")</f>
        <v>NA</v>
      </c>
      <c r="M232" s="79" t="str">
        <f>IF(Accion[[#This Row],[Precio Cierre]]=MIN(Accion[Precio Cierre]),Accion[[#This Row],[Precio Cierre]],"NA")</f>
        <v>NA</v>
      </c>
    </row>
    <row r="233" spans="1:13">
      <c r="A233" s="38" t="s">
        <v>90</v>
      </c>
      <c r="B233" s="34">
        <v>43300</v>
      </c>
      <c r="C233" s="35">
        <v>24333</v>
      </c>
      <c r="D233" s="35">
        <v>188078690</v>
      </c>
      <c r="E233" s="35">
        <v>7900</v>
      </c>
      <c r="F233" s="35">
        <v>7600</v>
      </c>
      <c r="G233" s="35">
        <v>7690</v>
      </c>
      <c r="H233" s="35">
        <v>7729.37</v>
      </c>
      <c r="I233" s="35">
        <v>-1.66</v>
      </c>
      <c r="J233" s="35">
        <v>-130</v>
      </c>
      <c r="K233" s="71">
        <f>YEAR(Accion[[#This Row],[fecha]])</f>
        <v>2018</v>
      </c>
      <c r="L233" s="79" t="str">
        <f>IF(Accion[[#This Row],[Precio Cierre]]=MAX(Accion[Precio Cierre]),Accion[[#This Row],[Precio Cierre]],"NA")</f>
        <v>NA</v>
      </c>
      <c r="M233" s="79" t="str">
        <f>IF(Accion[[#This Row],[Precio Cierre]]=MIN(Accion[Precio Cierre]),Accion[[#This Row],[Precio Cierre]],"NA")</f>
        <v>NA</v>
      </c>
    </row>
    <row r="234" spans="1:13">
      <c r="A234" s="38" t="s">
        <v>90</v>
      </c>
      <c r="B234" s="34">
        <v>43299</v>
      </c>
      <c r="C234" s="35">
        <v>42473</v>
      </c>
      <c r="D234" s="35">
        <v>335724890</v>
      </c>
      <c r="E234" s="35">
        <v>7960</v>
      </c>
      <c r="F234" s="35">
        <v>7820</v>
      </c>
      <c r="G234" s="35">
        <v>7820</v>
      </c>
      <c r="H234" s="35">
        <v>7904.43</v>
      </c>
      <c r="I234" s="35">
        <v>-2.13</v>
      </c>
      <c r="J234" s="35">
        <v>-170</v>
      </c>
      <c r="K234" s="71">
        <f>YEAR(Accion[[#This Row],[fecha]])</f>
        <v>2018</v>
      </c>
      <c r="L234" s="79" t="str">
        <f>IF(Accion[[#This Row],[Precio Cierre]]=MAX(Accion[Precio Cierre]),Accion[[#This Row],[Precio Cierre]],"NA")</f>
        <v>NA</v>
      </c>
      <c r="M234" s="79" t="str">
        <f>IF(Accion[[#This Row],[Precio Cierre]]=MIN(Accion[Precio Cierre]),Accion[[#This Row],[Precio Cierre]],"NA")</f>
        <v>NA</v>
      </c>
    </row>
    <row r="235" spans="1:13">
      <c r="A235" s="38" t="s">
        <v>90</v>
      </c>
      <c r="B235" s="34">
        <v>43298</v>
      </c>
      <c r="C235" s="35">
        <v>58043</v>
      </c>
      <c r="D235" s="35">
        <v>465352850</v>
      </c>
      <c r="E235" s="35">
        <v>8150</v>
      </c>
      <c r="F235" s="35">
        <v>7890</v>
      </c>
      <c r="G235" s="35">
        <v>7990</v>
      </c>
      <c r="H235" s="35">
        <v>8017.38</v>
      </c>
      <c r="I235" s="35">
        <v>0</v>
      </c>
      <c r="J235" s="35">
        <v>0</v>
      </c>
      <c r="K235" s="71">
        <f>YEAR(Accion[[#This Row],[fecha]])</f>
        <v>2018</v>
      </c>
      <c r="L235" s="79" t="str">
        <f>IF(Accion[[#This Row],[Precio Cierre]]=MAX(Accion[Precio Cierre]),Accion[[#This Row],[Precio Cierre]],"NA")</f>
        <v>NA</v>
      </c>
      <c r="M235" s="79" t="str">
        <f>IF(Accion[[#This Row],[Precio Cierre]]=MIN(Accion[Precio Cierre]),Accion[[#This Row],[Precio Cierre]],"NA")</f>
        <v>NA</v>
      </c>
    </row>
    <row r="236" spans="1:13">
      <c r="A236" s="38" t="s">
        <v>90</v>
      </c>
      <c r="B236" s="34">
        <v>43297</v>
      </c>
      <c r="C236" s="35">
        <v>236512</v>
      </c>
      <c r="D236" s="35">
        <v>1888975650</v>
      </c>
      <c r="E236" s="35">
        <v>8000</v>
      </c>
      <c r="F236" s="35">
        <v>7900</v>
      </c>
      <c r="G236" s="35">
        <v>7990</v>
      </c>
      <c r="H236" s="35">
        <v>7986.81</v>
      </c>
      <c r="I236" s="35">
        <v>-1.72</v>
      </c>
      <c r="J236" s="35">
        <v>-140</v>
      </c>
      <c r="K236" s="71">
        <f>YEAR(Accion[[#This Row],[fecha]])</f>
        <v>2018</v>
      </c>
      <c r="L236" s="79" t="str">
        <f>IF(Accion[[#This Row],[Precio Cierre]]=MAX(Accion[Precio Cierre]),Accion[[#This Row],[Precio Cierre]],"NA")</f>
        <v>NA</v>
      </c>
      <c r="M236" s="79" t="str">
        <f>IF(Accion[[#This Row],[Precio Cierre]]=MIN(Accion[Precio Cierre]),Accion[[#This Row],[Precio Cierre]],"NA")</f>
        <v>NA</v>
      </c>
    </row>
    <row r="237" spans="1:13">
      <c r="A237" s="38" t="s">
        <v>90</v>
      </c>
      <c r="B237" s="34">
        <v>43294</v>
      </c>
      <c r="C237" s="35">
        <v>760823</v>
      </c>
      <c r="D237" s="35">
        <v>6200244160</v>
      </c>
      <c r="E237" s="35">
        <v>8200</v>
      </c>
      <c r="F237" s="35">
        <v>8130</v>
      </c>
      <c r="G237" s="35">
        <v>8130</v>
      </c>
      <c r="H237" s="35">
        <v>8149.39</v>
      </c>
      <c r="I237" s="35">
        <v>0.62</v>
      </c>
      <c r="J237" s="35">
        <v>50</v>
      </c>
      <c r="K237" s="71">
        <f>YEAR(Accion[[#This Row],[fecha]])</f>
        <v>2018</v>
      </c>
      <c r="L237" s="79" t="str">
        <f>IF(Accion[[#This Row],[Precio Cierre]]=MAX(Accion[Precio Cierre]),Accion[[#This Row],[Precio Cierre]],"NA")</f>
        <v>NA</v>
      </c>
      <c r="M237" s="79" t="str">
        <f>IF(Accion[[#This Row],[Precio Cierre]]=MIN(Accion[Precio Cierre]),Accion[[#This Row],[Precio Cierre]],"NA")</f>
        <v>NA</v>
      </c>
    </row>
    <row r="238" spans="1:13">
      <c r="A238" s="38" t="s">
        <v>90</v>
      </c>
      <c r="B238" s="34">
        <v>43293</v>
      </c>
      <c r="C238" s="35">
        <v>1944</v>
      </c>
      <c r="D238" s="35">
        <v>15666040</v>
      </c>
      <c r="E238" s="35">
        <v>8080</v>
      </c>
      <c r="F238" s="35">
        <v>8080</v>
      </c>
      <c r="G238" s="35">
        <v>8080</v>
      </c>
      <c r="H238" s="35">
        <v>8058.66</v>
      </c>
      <c r="I238" s="35">
        <v>-1.22</v>
      </c>
      <c r="J238" s="35">
        <v>-100</v>
      </c>
      <c r="K238" s="71">
        <f>YEAR(Accion[[#This Row],[fecha]])</f>
        <v>2018</v>
      </c>
      <c r="L238" s="79" t="str">
        <f>IF(Accion[[#This Row],[Precio Cierre]]=MAX(Accion[Precio Cierre]),Accion[[#This Row],[Precio Cierre]],"NA")</f>
        <v>NA</v>
      </c>
      <c r="M238" s="79" t="str">
        <f>IF(Accion[[#This Row],[Precio Cierre]]=MIN(Accion[Precio Cierre]),Accion[[#This Row],[Precio Cierre]],"NA")</f>
        <v>NA</v>
      </c>
    </row>
    <row r="239" spans="1:13">
      <c r="A239" s="38" t="s">
        <v>90</v>
      </c>
      <c r="B239" s="34">
        <v>43292</v>
      </c>
      <c r="C239" s="35">
        <v>61727</v>
      </c>
      <c r="D239" s="35">
        <v>505408580</v>
      </c>
      <c r="E239" s="35">
        <v>8200</v>
      </c>
      <c r="F239" s="35">
        <v>8180</v>
      </c>
      <c r="G239" s="35">
        <v>8180</v>
      </c>
      <c r="H239" s="35">
        <v>8187.8</v>
      </c>
      <c r="I239" s="35">
        <v>-1.45</v>
      </c>
      <c r="J239" s="35">
        <v>-120</v>
      </c>
      <c r="K239" s="71">
        <f>YEAR(Accion[[#This Row],[fecha]])</f>
        <v>2018</v>
      </c>
      <c r="L239" s="79" t="str">
        <f>IF(Accion[[#This Row],[Precio Cierre]]=MAX(Accion[Precio Cierre]),Accion[[#This Row],[Precio Cierre]],"NA")</f>
        <v>NA</v>
      </c>
      <c r="M239" s="79" t="str">
        <f>IF(Accion[[#This Row],[Precio Cierre]]=MIN(Accion[Precio Cierre]),Accion[[#This Row],[Precio Cierre]],"NA")</f>
        <v>NA</v>
      </c>
    </row>
    <row r="240" spans="1:13">
      <c r="A240" s="38" t="s">
        <v>90</v>
      </c>
      <c r="B240" s="34">
        <v>43291</v>
      </c>
      <c r="C240" s="35">
        <v>132114</v>
      </c>
      <c r="D240" s="35">
        <v>1082624060</v>
      </c>
      <c r="E240" s="35">
        <v>8300</v>
      </c>
      <c r="F240" s="35">
        <v>8120</v>
      </c>
      <c r="G240" s="35">
        <v>8300</v>
      </c>
      <c r="H240" s="35">
        <v>8194.6200000000008</v>
      </c>
      <c r="I240" s="35">
        <v>1.72</v>
      </c>
      <c r="J240" s="35">
        <v>140</v>
      </c>
      <c r="K240" s="71">
        <f>YEAR(Accion[[#This Row],[fecha]])</f>
        <v>2018</v>
      </c>
      <c r="L240" s="79" t="str">
        <f>IF(Accion[[#This Row],[Precio Cierre]]=MAX(Accion[Precio Cierre]),Accion[[#This Row],[Precio Cierre]],"NA")</f>
        <v>NA</v>
      </c>
      <c r="M240" s="79" t="str">
        <f>IF(Accion[[#This Row],[Precio Cierre]]=MIN(Accion[Precio Cierre]),Accion[[#This Row],[Precio Cierre]],"NA")</f>
        <v>NA</v>
      </c>
    </row>
    <row r="241" spans="1:13">
      <c r="A241" s="38" t="s">
        <v>90</v>
      </c>
      <c r="B241" s="34">
        <v>43290</v>
      </c>
      <c r="C241" s="35">
        <v>19224</v>
      </c>
      <c r="D241" s="35">
        <v>157599990</v>
      </c>
      <c r="E241" s="35">
        <v>8300</v>
      </c>
      <c r="F241" s="35">
        <v>8000</v>
      </c>
      <c r="G241" s="35">
        <v>8160</v>
      </c>
      <c r="H241" s="35">
        <v>8198.09</v>
      </c>
      <c r="I241" s="35">
        <v>2</v>
      </c>
      <c r="J241" s="35">
        <v>160</v>
      </c>
      <c r="K241" s="71">
        <f>YEAR(Accion[[#This Row],[fecha]])</f>
        <v>2018</v>
      </c>
      <c r="L241" s="79" t="str">
        <f>IF(Accion[[#This Row],[Precio Cierre]]=MAX(Accion[Precio Cierre]),Accion[[#This Row],[Precio Cierre]],"NA")</f>
        <v>NA</v>
      </c>
      <c r="M241" s="79" t="str">
        <f>IF(Accion[[#This Row],[Precio Cierre]]=MIN(Accion[Precio Cierre]),Accion[[#This Row],[Precio Cierre]],"NA")</f>
        <v>NA</v>
      </c>
    </row>
    <row r="242" spans="1:13">
      <c r="A242" s="38" t="s">
        <v>90</v>
      </c>
      <c r="B242" s="34">
        <v>43287</v>
      </c>
      <c r="C242" s="35">
        <v>183815</v>
      </c>
      <c r="D242" s="35">
        <v>1471513570</v>
      </c>
      <c r="E242" s="35">
        <v>8100</v>
      </c>
      <c r="F242" s="35">
        <v>7910</v>
      </c>
      <c r="G242" s="35">
        <v>8000</v>
      </c>
      <c r="H242" s="35">
        <v>8005.41</v>
      </c>
      <c r="I242" s="35">
        <v>-2.3199999999999998</v>
      </c>
      <c r="J242" s="35">
        <v>-190</v>
      </c>
      <c r="K242" s="71">
        <f>YEAR(Accion[[#This Row],[fecha]])</f>
        <v>2018</v>
      </c>
      <c r="L242" s="79" t="str">
        <f>IF(Accion[[#This Row],[Precio Cierre]]=MAX(Accion[Precio Cierre]),Accion[[#This Row],[Precio Cierre]],"NA")</f>
        <v>NA</v>
      </c>
      <c r="M242" s="79" t="str">
        <f>IF(Accion[[#This Row],[Precio Cierre]]=MIN(Accion[Precio Cierre]),Accion[[#This Row],[Precio Cierre]],"NA")</f>
        <v>NA</v>
      </c>
    </row>
    <row r="243" spans="1:13">
      <c r="A243" s="38" t="s">
        <v>90</v>
      </c>
      <c r="B243" s="34">
        <v>43286</v>
      </c>
      <c r="C243" s="35">
        <v>173206</v>
      </c>
      <c r="D243" s="35">
        <v>1434645500</v>
      </c>
      <c r="E243" s="35">
        <v>8300</v>
      </c>
      <c r="F243" s="35">
        <v>8190</v>
      </c>
      <c r="G243" s="35">
        <v>8190</v>
      </c>
      <c r="H243" s="35">
        <v>8282.89</v>
      </c>
      <c r="I243" s="35">
        <v>0.37</v>
      </c>
      <c r="J243" s="35">
        <v>30</v>
      </c>
      <c r="K243" s="71">
        <f>YEAR(Accion[[#This Row],[fecha]])</f>
        <v>2018</v>
      </c>
      <c r="L243" s="79" t="str">
        <f>IF(Accion[[#This Row],[Precio Cierre]]=MAX(Accion[Precio Cierre]),Accion[[#This Row],[Precio Cierre]],"NA")</f>
        <v>NA</v>
      </c>
      <c r="M243" s="79" t="str">
        <f>IF(Accion[[#This Row],[Precio Cierre]]=MIN(Accion[Precio Cierre]),Accion[[#This Row],[Precio Cierre]],"NA")</f>
        <v>NA</v>
      </c>
    </row>
    <row r="244" spans="1:13">
      <c r="A244" s="38" t="s">
        <v>90</v>
      </c>
      <c r="B244" s="34">
        <v>43285</v>
      </c>
      <c r="C244" s="35">
        <v>4600</v>
      </c>
      <c r="D244" s="35">
        <v>37541630</v>
      </c>
      <c r="E244" s="35">
        <v>8160</v>
      </c>
      <c r="F244" s="35">
        <v>8160</v>
      </c>
      <c r="G244" s="35">
        <v>8160</v>
      </c>
      <c r="H244" s="35">
        <v>8161.22</v>
      </c>
      <c r="I244" s="35">
        <v>0.25</v>
      </c>
      <c r="J244" s="35">
        <v>20</v>
      </c>
      <c r="K244" s="71">
        <f>YEAR(Accion[[#This Row],[fecha]])</f>
        <v>2018</v>
      </c>
      <c r="L244" s="79" t="str">
        <f>IF(Accion[[#This Row],[Precio Cierre]]=MAX(Accion[Precio Cierre]),Accion[[#This Row],[Precio Cierre]],"NA")</f>
        <v>NA</v>
      </c>
      <c r="M244" s="79" t="str">
        <f>IF(Accion[[#This Row],[Precio Cierre]]=MIN(Accion[Precio Cierre]),Accion[[#This Row],[Precio Cierre]],"NA")</f>
        <v>NA</v>
      </c>
    </row>
    <row r="245" spans="1:13">
      <c r="A245" s="38" t="s">
        <v>90</v>
      </c>
      <c r="B245" s="34">
        <v>43284</v>
      </c>
      <c r="C245" s="35">
        <v>65109</v>
      </c>
      <c r="D245" s="35">
        <v>541211180</v>
      </c>
      <c r="E245" s="35">
        <v>8400</v>
      </c>
      <c r="F245" s="35">
        <v>8140</v>
      </c>
      <c r="G245" s="35">
        <v>8140</v>
      </c>
      <c r="H245" s="35">
        <v>8312.39</v>
      </c>
      <c r="I245" s="35">
        <v>-1.93</v>
      </c>
      <c r="J245" s="35">
        <v>-160</v>
      </c>
      <c r="K245" s="71">
        <f>YEAR(Accion[[#This Row],[fecha]])</f>
        <v>2018</v>
      </c>
      <c r="L245" s="79" t="str">
        <f>IF(Accion[[#This Row],[Precio Cierre]]=MAX(Accion[Precio Cierre]),Accion[[#This Row],[Precio Cierre]],"NA")</f>
        <v>NA</v>
      </c>
      <c r="M245" s="79" t="str">
        <f>IF(Accion[[#This Row],[Precio Cierre]]=MIN(Accion[Precio Cierre]),Accion[[#This Row],[Precio Cierre]],"NA")</f>
        <v>NA</v>
      </c>
    </row>
    <row r="246" spans="1:13">
      <c r="A246" s="38" t="s">
        <v>90</v>
      </c>
      <c r="B246" s="34">
        <v>43280</v>
      </c>
      <c r="C246" s="35">
        <v>228455</v>
      </c>
      <c r="D246" s="35">
        <v>1900927560</v>
      </c>
      <c r="E246" s="35">
        <v>8400</v>
      </c>
      <c r="F246" s="35">
        <v>8300</v>
      </c>
      <c r="G246" s="35">
        <v>8300</v>
      </c>
      <c r="H246" s="35">
        <v>8320.7999999999993</v>
      </c>
      <c r="I246" s="35">
        <v>1.22</v>
      </c>
      <c r="J246" s="35">
        <v>100</v>
      </c>
      <c r="K246" s="71">
        <f>YEAR(Accion[[#This Row],[fecha]])</f>
        <v>2018</v>
      </c>
      <c r="L246" s="79" t="str">
        <f>IF(Accion[[#This Row],[Precio Cierre]]=MAX(Accion[Precio Cierre]),Accion[[#This Row],[Precio Cierre]],"NA")</f>
        <v>NA</v>
      </c>
      <c r="M246" s="79" t="str">
        <f>IF(Accion[[#This Row],[Precio Cierre]]=MIN(Accion[Precio Cierre]),Accion[[#This Row],[Precio Cierre]],"NA")</f>
        <v>NA</v>
      </c>
    </row>
    <row r="247" spans="1:13">
      <c r="A247" s="38" t="s">
        <v>90</v>
      </c>
      <c r="B247" s="34">
        <v>43279</v>
      </c>
      <c r="C247" s="35">
        <v>88952</v>
      </c>
      <c r="D247" s="35">
        <v>739149150</v>
      </c>
      <c r="E247" s="35">
        <v>8380</v>
      </c>
      <c r="F247" s="35">
        <v>8200</v>
      </c>
      <c r="G247" s="35">
        <v>8200</v>
      </c>
      <c r="H247" s="35">
        <v>8309.5300000000007</v>
      </c>
      <c r="I247" s="35">
        <v>-2.15</v>
      </c>
      <c r="J247" s="35">
        <v>-180</v>
      </c>
      <c r="K247" s="71">
        <f>YEAR(Accion[[#This Row],[fecha]])</f>
        <v>2018</v>
      </c>
      <c r="L247" s="79" t="str">
        <f>IF(Accion[[#This Row],[Precio Cierre]]=MAX(Accion[Precio Cierre]),Accion[[#This Row],[Precio Cierre]],"NA")</f>
        <v>NA</v>
      </c>
      <c r="M247" s="79" t="str">
        <f>IF(Accion[[#This Row],[Precio Cierre]]=MIN(Accion[Precio Cierre]),Accion[[#This Row],[Precio Cierre]],"NA")</f>
        <v>NA</v>
      </c>
    </row>
    <row r="248" spans="1:13">
      <c r="A248" s="38" t="s">
        <v>90</v>
      </c>
      <c r="B248" s="34">
        <v>43278</v>
      </c>
      <c r="C248" s="35">
        <v>55891</v>
      </c>
      <c r="D248" s="35">
        <v>468673360</v>
      </c>
      <c r="E248" s="35">
        <v>8400</v>
      </c>
      <c r="F248" s="35">
        <v>8380</v>
      </c>
      <c r="G248" s="35">
        <v>8380</v>
      </c>
      <c r="H248" s="35">
        <v>8385.49</v>
      </c>
      <c r="I248" s="35">
        <v>-0.24</v>
      </c>
      <c r="J248" s="35">
        <v>-20</v>
      </c>
      <c r="K248" s="71">
        <f>YEAR(Accion[[#This Row],[fecha]])</f>
        <v>2018</v>
      </c>
      <c r="L248" s="79" t="str">
        <f>IF(Accion[[#This Row],[Precio Cierre]]=MAX(Accion[Precio Cierre]),Accion[[#This Row],[Precio Cierre]],"NA")</f>
        <v>NA</v>
      </c>
      <c r="M248" s="79" t="str">
        <f>IF(Accion[[#This Row],[Precio Cierre]]=MIN(Accion[Precio Cierre]),Accion[[#This Row],[Precio Cierre]],"NA")</f>
        <v>NA</v>
      </c>
    </row>
    <row r="249" spans="1:13">
      <c r="A249" s="38" t="s">
        <v>90</v>
      </c>
      <c r="B249" s="34">
        <v>43277</v>
      </c>
      <c r="C249" s="35">
        <v>137915</v>
      </c>
      <c r="D249" s="35">
        <v>1157112130</v>
      </c>
      <c r="E249" s="35">
        <v>8400</v>
      </c>
      <c r="F249" s="35">
        <v>8280</v>
      </c>
      <c r="G249" s="35">
        <v>8400</v>
      </c>
      <c r="H249" s="35">
        <v>8390.0400000000009</v>
      </c>
      <c r="I249" s="35">
        <v>0</v>
      </c>
      <c r="J249" s="35">
        <v>0</v>
      </c>
      <c r="K249" s="71">
        <f>YEAR(Accion[[#This Row],[fecha]])</f>
        <v>2018</v>
      </c>
      <c r="L249" s="79" t="str">
        <f>IF(Accion[[#This Row],[Precio Cierre]]=MAX(Accion[Precio Cierre]),Accion[[#This Row],[Precio Cierre]],"NA")</f>
        <v>NA</v>
      </c>
      <c r="M249" s="79" t="str">
        <f>IF(Accion[[#This Row],[Precio Cierre]]=MIN(Accion[Precio Cierre]),Accion[[#This Row],[Precio Cierre]],"NA")</f>
        <v>NA</v>
      </c>
    </row>
    <row r="250" spans="1:13">
      <c r="A250" s="38" t="s">
        <v>90</v>
      </c>
      <c r="B250" s="34">
        <v>43276</v>
      </c>
      <c r="C250" s="35">
        <v>150726</v>
      </c>
      <c r="D250" s="35">
        <v>1265392510</v>
      </c>
      <c r="E250" s="35">
        <v>8550</v>
      </c>
      <c r="F250" s="35">
        <v>8300</v>
      </c>
      <c r="G250" s="35">
        <v>8400</v>
      </c>
      <c r="H250" s="35">
        <v>8395.32</v>
      </c>
      <c r="I250" s="35">
        <v>-0.59</v>
      </c>
      <c r="J250" s="35">
        <v>-50</v>
      </c>
      <c r="K250" s="71">
        <f>YEAR(Accion[[#This Row],[fecha]])</f>
        <v>2018</v>
      </c>
      <c r="L250" s="79" t="str">
        <f>IF(Accion[[#This Row],[Precio Cierre]]=MAX(Accion[Precio Cierre]),Accion[[#This Row],[Precio Cierre]],"NA")</f>
        <v>NA</v>
      </c>
      <c r="M250" s="79" t="str">
        <f>IF(Accion[[#This Row],[Precio Cierre]]=MIN(Accion[Precio Cierre]),Accion[[#This Row],[Precio Cierre]],"NA")</f>
        <v>NA</v>
      </c>
    </row>
    <row r="251" spans="1:13">
      <c r="A251" s="38" t="s">
        <v>90</v>
      </c>
      <c r="B251" s="34">
        <v>43273</v>
      </c>
      <c r="C251" s="35">
        <v>38216</v>
      </c>
      <c r="D251" s="35">
        <v>324953100</v>
      </c>
      <c r="E251" s="35">
        <v>8570</v>
      </c>
      <c r="F251" s="35">
        <v>8450</v>
      </c>
      <c r="G251" s="35">
        <v>8450</v>
      </c>
      <c r="H251" s="35">
        <v>8503.06</v>
      </c>
      <c r="I251" s="35">
        <v>-1.4</v>
      </c>
      <c r="J251" s="35">
        <v>-120</v>
      </c>
      <c r="K251" s="71">
        <f>YEAR(Accion[[#This Row],[fecha]])</f>
        <v>2018</v>
      </c>
      <c r="L251" s="79" t="str">
        <f>IF(Accion[[#This Row],[Precio Cierre]]=MAX(Accion[Precio Cierre]),Accion[[#This Row],[Precio Cierre]],"NA")</f>
        <v>NA</v>
      </c>
      <c r="M251" s="79" t="str">
        <f>IF(Accion[[#This Row],[Precio Cierre]]=MIN(Accion[Precio Cierre]),Accion[[#This Row],[Precio Cierre]],"NA")</f>
        <v>NA</v>
      </c>
    </row>
    <row r="252" spans="1:13">
      <c r="A252" s="38" t="s">
        <v>90</v>
      </c>
      <c r="B252" s="34">
        <v>43272</v>
      </c>
      <c r="C252" s="35">
        <v>291609</v>
      </c>
      <c r="D252" s="35">
        <v>2511208790</v>
      </c>
      <c r="E252" s="35">
        <v>8620</v>
      </c>
      <c r="F252" s="35">
        <v>8570</v>
      </c>
      <c r="G252" s="35">
        <v>8570</v>
      </c>
      <c r="H252" s="35">
        <v>8611.56</v>
      </c>
      <c r="I252" s="35">
        <v>-0.81</v>
      </c>
      <c r="J252" s="35">
        <v>-70</v>
      </c>
      <c r="K252" s="71">
        <f>YEAR(Accion[[#This Row],[fecha]])</f>
        <v>2018</v>
      </c>
      <c r="L252" s="79" t="str">
        <f>IF(Accion[[#This Row],[Precio Cierre]]=MAX(Accion[Precio Cierre]),Accion[[#This Row],[Precio Cierre]],"NA")</f>
        <v>NA</v>
      </c>
      <c r="M252" s="79" t="str">
        <f>IF(Accion[[#This Row],[Precio Cierre]]=MIN(Accion[Precio Cierre]),Accion[[#This Row],[Precio Cierre]],"NA")</f>
        <v>NA</v>
      </c>
    </row>
    <row r="253" spans="1:13">
      <c r="A253" s="38" t="s">
        <v>90</v>
      </c>
      <c r="B253" s="34">
        <v>43271</v>
      </c>
      <c r="C253" s="35">
        <v>88704</v>
      </c>
      <c r="D253" s="35">
        <v>762483050</v>
      </c>
      <c r="E253" s="35">
        <v>8740</v>
      </c>
      <c r="F253" s="35">
        <v>8540</v>
      </c>
      <c r="G253" s="35">
        <v>8640</v>
      </c>
      <c r="H253" s="35">
        <v>8595.81</v>
      </c>
      <c r="I253" s="35">
        <v>0</v>
      </c>
      <c r="J253" s="35">
        <v>0</v>
      </c>
      <c r="K253" s="71">
        <f>YEAR(Accion[[#This Row],[fecha]])</f>
        <v>2018</v>
      </c>
      <c r="L253" s="79" t="str">
        <f>IF(Accion[[#This Row],[Precio Cierre]]=MAX(Accion[Precio Cierre]),Accion[[#This Row],[Precio Cierre]],"NA")</f>
        <v>NA</v>
      </c>
      <c r="M253" s="79" t="str">
        <f>IF(Accion[[#This Row],[Precio Cierre]]=MIN(Accion[Precio Cierre]),Accion[[#This Row],[Precio Cierre]],"NA")</f>
        <v>NA</v>
      </c>
    </row>
    <row r="254" spans="1:13">
      <c r="A254" s="38" t="s">
        <v>90</v>
      </c>
      <c r="B254" s="34">
        <v>43270</v>
      </c>
      <c r="C254" s="35">
        <v>234175</v>
      </c>
      <c r="D254" s="35">
        <v>2014907250</v>
      </c>
      <c r="E254" s="35">
        <v>8640</v>
      </c>
      <c r="F254" s="35">
        <v>8600</v>
      </c>
      <c r="G254" s="35">
        <v>8640</v>
      </c>
      <c r="H254" s="35">
        <v>8604.2800000000007</v>
      </c>
      <c r="I254" s="35">
        <v>0.47</v>
      </c>
      <c r="J254" s="35">
        <v>40</v>
      </c>
      <c r="K254" s="71">
        <f>YEAR(Accion[[#This Row],[fecha]])</f>
        <v>2018</v>
      </c>
      <c r="L254" s="79" t="str">
        <f>IF(Accion[[#This Row],[Precio Cierre]]=MAX(Accion[Precio Cierre]),Accion[[#This Row],[Precio Cierre]],"NA")</f>
        <v>NA</v>
      </c>
      <c r="M254" s="79" t="str">
        <f>IF(Accion[[#This Row],[Precio Cierre]]=MIN(Accion[Precio Cierre]),Accion[[#This Row],[Precio Cierre]],"NA")</f>
        <v>NA</v>
      </c>
    </row>
    <row r="255" spans="1:13">
      <c r="A255" s="38" t="s">
        <v>90</v>
      </c>
      <c r="B255" s="34">
        <v>43269</v>
      </c>
      <c r="C255" s="35">
        <v>104873</v>
      </c>
      <c r="D255" s="35">
        <v>908049710</v>
      </c>
      <c r="E255" s="35">
        <v>8800</v>
      </c>
      <c r="F255" s="35">
        <v>8600</v>
      </c>
      <c r="G255" s="35">
        <v>8600</v>
      </c>
      <c r="H255" s="35">
        <v>8658.57</v>
      </c>
      <c r="I255" s="35">
        <v>-2.27</v>
      </c>
      <c r="J255" s="35">
        <v>-200</v>
      </c>
      <c r="K255" s="71">
        <f>YEAR(Accion[[#This Row],[fecha]])</f>
        <v>2018</v>
      </c>
      <c r="L255" s="79" t="str">
        <f>IF(Accion[[#This Row],[Precio Cierre]]=MAX(Accion[Precio Cierre]),Accion[[#This Row],[Precio Cierre]],"NA")</f>
        <v>NA</v>
      </c>
      <c r="M255" s="79" t="str">
        <f>IF(Accion[[#This Row],[Precio Cierre]]=MIN(Accion[Precio Cierre]),Accion[[#This Row],[Precio Cierre]],"NA")</f>
        <v>NA</v>
      </c>
    </row>
    <row r="256" spans="1:13">
      <c r="A256" s="38" t="s">
        <v>90</v>
      </c>
      <c r="B256" s="34">
        <v>43266</v>
      </c>
      <c r="C256" s="35">
        <v>385043</v>
      </c>
      <c r="D256" s="35">
        <v>3383731230</v>
      </c>
      <c r="E256" s="35">
        <v>8800</v>
      </c>
      <c r="F256" s="35">
        <v>8690</v>
      </c>
      <c r="G256" s="35">
        <v>8800</v>
      </c>
      <c r="H256" s="35">
        <v>8787.93</v>
      </c>
      <c r="I256" s="35">
        <v>2.33</v>
      </c>
      <c r="J256" s="35">
        <v>200</v>
      </c>
      <c r="K256" s="71">
        <f>YEAR(Accion[[#This Row],[fecha]])</f>
        <v>2018</v>
      </c>
      <c r="L256" s="79" t="str">
        <f>IF(Accion[[#This Row],[Precio Cierre]]=MAX(Accion[Precio Cierre]),Accion[[#This Row],[Precio Cierre]],"NA")</f>
        <v>NA</v>
      </c>
      <c r="M256" s="79" t="str">
        <f>IF(Accion[[#This Row],[Precio Cierre]]=MIN(Accion[Precio Cierre]),Accion[[#This Row],[Precio Cierre]],"NA")</f>
        <v>NA</v>
      </c>
    </row>
    <row r="257" spans="1:13">
      <c r="A257" s="38" t="s">
        <v>90</v>
      </c>
      <c r="B257" s="34">
        <v>43265</v>
      </c>
      <c r="C257" s="35">
        <v>61831</v>
      </c>
      <c r="D257" s="35">
        <v>534877240</v>
      </c>
      <c r="E257" s="35">
        <v>8720</v>
      </c>
      <c r="F257" s="35">
        <v>8600</v>
      </c>
      <c r="G257" s="35">
        <v>8600</v>
      </c>
      <c r="H257" s="35">
        <v>8650.6299999999992</v>
      </c>
      <c r="I257" s="35">
        <v>-1.1499999999999999</v>
      </c>
      <c r="J257" s="35">
        <v>-100</v>
      </c>
      <c r="K257" s="71">
        <f>YEAR(Accion[[#This Row],[fecha]])</f>
        <v>2018</v>
      </c>
      <c r="L257" s="79" t="str">
        <f>IF(Accion[[#This Row],[Precio Cierre]]=MAX(Accion[Precio Cierre]),Accion[[#This Row],[Precio Cierre]],"NA")</f>
        <v>NA</v>
      </c>
      <c r="M257" s="79" t="str">
        <f>IF(Accion[[#This Row],[Precio Cierre]]=MIN(Accion[Precio Cierre]),Accion[[#This Row],[Precio Cierre]],"NA")</f>
        <v>NA</v>
      </c>
    </row>
    <row r="258" spans="1:13">
      <c r="A258" s="38" t="s">
        <v>90</v>
      </c>
      <c r="B258" s="34">
        <v>43264</v>
      </c>
      <c r="C258" s="35">
        <v>45365</v>
      </c>
      <c r="D258" s="35">
        <v>392925800</v>
      </c>
      <c r="E258" s="35">
        <v>8700</v>
      </c>
      <c r="F258" s="35">
        <v>8650</v>
      </c>
      <c r="G258" s="35">
        <v>8700</v>
      </c>
      <c r="H258" s="35">
        <v>8661.43</v>
      </c>
      <c r="I258" s="35">
        <v>0.57999999999999996</v>
      </c>
      <c r="J258" s="35">
        <v>50</v>
      </c>
      <c r="K258" s="71">
        <f>YEAR(Accion[[#This Row],[fecha]])</f>
        <v>2018</v>
      </c>
      <c r="L258" s="79" t="str">
        <f>IF(Accion[[#This Row],[Precio Cierre]]=MAX(Accion[Precio Cierre]),Accion[[#This Row],[Precio Cierre]],"NA")</f>
        <v>NA</v>
      </c>
      <c r="M258" s="79" t="str">
        <f>IF(Accion[[#This Row],[Precio Cierre]]=MIN(Accion[Precio Cierre]),Accion[[#This Row],[Precio Cierre]],"NA")</f>
        <v>NA</v>
      </c>
    </row>
    <row r="259" spans="1:13">
      <c r="A259" s="38" t="s">
        <v>90</v>
      </c>
      <c r="B259" s="34">
        <v>43263</v>
      </c>
      <c r="C259" s="35">
        <v>7624</v>
      </c>
      <c r="D259" s="35">
        <v>65259750</v>
      </c>
      <c r="E259" s="35">
        <v>8650</v>
      </c>
      <c r="F259" s="35">
        <v>8510</v>
      </c>
      <c r="G259" s="35">
        <v>8650</v>
      </c>
      <c r="H259" s="35">
        <v>8559.7800000000007</v>
      </c>
      <c r="I259" s="35">
        <v>0.57999999999999996</v>
      </c>
      <c r="J259" s="35">
        <v>50</v>
      </c>
      <c r="K259" s="71">
        <f>YEAR(Accion[[#This Row],[fecha]])</f>
        <v>2018</v>
      </c>
      <c r="L259" s="79" t="str">
        <f>IF(Accion[[#This Row],[Precio Cierre]]=MAX(Accion[Precio Cierre]),Accion[[#This Row],[Precio Cierre]],"NA")</f>
        <v>NA</v>
      </c>
      <c r="M259" s="79" t="str">
        <f>IF(Accion[[#This Row],[Precio Cierre]]=MIN(Accion[Precio Cierre]),Accion[[#This Row],[Precio Cierre]],"NA")</f>
        <v>NA</v>
      </c>
    </row>
    <row r="260" spans="1:13">
      <c r="A260" s="38" t="s">
        <v>90</v>
      </c>
      <c r="B260" s="34">
        <v>43259</v>
      </c>
      <c r="C260" s="35">
        <v>62770</v>
      </c>
      <c r="D260" s="35">
        <v>542586400</v>
      </c>
      <c r="E260" s="35">
        <v>8670</v>
      </c>
      <c r="F260" s="35">
        <v>8600</v>
      </c>
      <c r="G260" s="35">
        <v>8600</v>
      </c>
      <c r="H260" s="35">
        <v>8644.0400000000009</v>
      </c>
      <c r="I260" s="35">
        <v>-0.69</v>
      </c>
      <c r="J260" s="35">
        <v>-60</v>
      </c>
      <c r="K260" s="71">
        <f>YEAR(Accion[[#This Row],[fecha]])</f>
        <v>2018</v>
      </c>
      <c r="L260" s="79" t="str">
        <f>IF(Accion[[#This Row],[Precio Cierre]]=MAX(Accion[Precio Cierre]),Accion[[#This Row],[Precio Cierre]],"NA")</f>
        <v>NA</v>
      </c>
      <c r="M260" s="79" t="str">
        <f>IF(Accion[[#This Row],[Precio Cierre]]=MIN(Accion[Precio Cierre]),Accion[[#This Row],[Precio Cierre]],"NA")</f>
        <v>NA</v>
      </c>
    </row>
    <row r="261" spans="1:13">
      <c r="A261" s="38" t="s">
        <v>90</v>
      </c>
      <c r="B261" s="34">
        <v>43258</v>
      </c>
      <c r="C261" s="35">
        <v>233698</v>
      </c>
      <c r="D261" s="35">
        <v>2052838990</v>
      </c>
      <c r="E261" s="35">
        <v>8800</v>
      </c>
      <c r="F261" s="35">
        <v>8660</v>
      </c>
      <c r="G261" s="35">
        <v>8660</v>
      </c>
      <c r="H261" s="35">
        <v>8784.15</v>
      </c>
      <c r="I261" s="35">
        <v>-1.59</v>
      </c>
      <c r="J261" s="35">
        <v>-140</v>
      </c>
      <c r="K261" s="71">
        <f>YEAR(Accion[[#This Row],[fecha]])</f>
        <v>2018</v>
      </c>
      <c r="L261" s="79" t="str">
        <f>IF(Accion[[#This Row],[Precio Cierre]]=MAX(Accion[Precio Cierre]),Accion[[#This Row],[Precio Cierre]],"NA")</f>
        <v>NA</v>
      </c>
      <c r="M261" s="79" t="str">
        <f>IF(Accion[[#This Row],[Precio Cierre]]=MIN(Accion[Precio Cierre]),Accion[[#This Row],[Precio Cierre]],"NA")</f>
        <v>NA</v>
      </c>
    </row>
    <row r="262" spans="1:13">
      <c r="A262" s="38" t="s">
        <v>90</v>
      </c>
      <c r="B262" s="34">
        <v>43257</v>
      </c>
      <c r="C262" s="35">
        <v>202021</v>
      </c>
      <c r="D262" s="35">
        <v>1792064080</v>
      </c>
      <c r="E262" s="35">
        <v>8920</v>
      </c>
      <c r="F262" s="35">
        <v>8800</v>
      </c>
      <c r="G262" s="35">
        <v>8800</v>
      </c>
      <c r="H262" s="35">
        <v>8870.68</v>
      </c>
      <c r="I262" s="35">
        <v>-1.1200000000000001</v>
      </c>
      <c r="J262" s="35">
        <v>-100</v>
      </c>
      <c r="K262" s="71">
        <f>YEAR(Accion[[#This Row],[fecha]])</f>
        <v>2018</v>
      </c>
      <c r="L262" s="79" t="str">
        <f>IF(Accion[[#This Row],[Precio Cierre]]=MAX(Accion[Precio Cierre]),Accion[[#This Row],[Precio Cierre]],"NA")</f>
        <v>NA</v>
      </c>
      <c r="M262" s="79" t="str">
        <f>IF(Accion[[#This Row],[Precio Cierre]]=MIN(Accion[Precio Cierre]),Accion[[#This Row],[Precio Cierre]],"NA")</f>
        <v>NA</v>
      </c>
    </row>
    <row r="263" spans="1:13">
      <c r="A263" s="38" t="s">
        <v>90</v>
      </c>
      <c r="B263" s="34">
        <v>43256</v>
      </c>
      <c r="C263" s="35">
        <v>111278</v>
      </c>
      <c r="D263" s="35">
        <v>989641370</v>
      </c>
      <c r="E263" s="35">
        <v>8910</v>
      </c>
      <c r="F263" s="35">
        <v>8770</v>
      </c>
      <c r="G263" s="35">
        <v>8900</v>
      </c>
      <c r="H263" s="35">
        <v>8893.41</v>
      </c>
      <c r="I263" s="35">
        <v>-0.22</v>
      </c>
      <c r="J263" s="35">
        <v>-20</v>
      </c>
      <c r="K263" s="71">
        <f>YEAR(Accion[[#This Row],[fecha]])</f>
        <v>2018</v>
      </c>
      <c r="L263" s="79" t="str">
        <f>IF(Accion[[#This Row],[Precio Cierre]]=MAX(Accion[Precio Cierre]),Accion[[#This Row],[Precio Cierre]],"NA")</f>
        <v>NA</v>
      </c>
      <c r="M263" s="79" t="str">
        <f>IF(Accion[[#This Row],[Precio Cierre]]=MIN(Accion[Precio Cierre]),Accion[[#This Row],[Precio Cierre]],"NA")</f>
        <v>NA</v>
      </c>
    </row>
    <row r="264" spans="1:13">
      <c r="A264" s="38" t="s">
        <v>90</v>
      </c>
      <c r="B264" s="34">
        <v>43252</v>
      </c>
      <c r="C264" s="35">
        <v>73472</v>
      </c>
      <c r="D264" s="35">
        <v>640678030</v>
      </c>
      <c r="E264" s="35">
        <v>8920</v>
      </c>
      <c r="F264" s="35">
        <v>8470</v>
      </c>
      <c r="G264" s="35">
        <v>8920</v>
      </c>
      <c r="H264" s="35">
        <v>8720.0300000000007</v>
      </c>
      <c r="I264" s="35">
        <v>0.22</v>
      </c>
      <c r="J264" s="35">
        <v>20</v>
      </c>
      <c r="K264" s="71">
        <f>YEAR(Accion[[#This Row],[fecha]])</f>
        <v>2018</v>
      </c>
      <c r="L264" s="79" t="str">
        <f>IF(Accion[[#This Row],[Precio Cierre]]=MAX(Accion[Precio Cierre]),Accion[[#This Row],[Precio Cierre]],"NA")</f>
        <v>NA</v>
      </c>
      <c r="M264" s="79" t="str">
        <f>IF(Accion[[#This Row],[Precio Cierre]]=MIN(Accion[Precio Cierre]),Accion[[#This Row],[Precio Cierre]],"NA")</f>
        <v>NA</v>
      </c>
    </row>
    <row r="265" spans="1:13">
      <c r="A265" s="38" t="s">
        <v>90</v>
      </c>
      <c r="B265" s="34">
        <v>43251</v>
      </c>
      <c r="C265" s="35">
        <v>1125367</v>
      </c>
      <c r="D265" s="35">
        <v>9477727290</v>
      </c>
      <c r="E265" s="35">
        <v>8900</v>
      </c>
      <c r="F265" s="35">
        <v>8280</v>
      </c>
      <c r="G265" s="35">
        <v>8900</v>
      </c>
      <c r="H265" s="35">
        <v>8421.9</v>
      </c>
      <c r="I265" s="35">
        <v>6.97</v>
      </c>
      <c r="J265" s="35">
        <v>580</v>
      </c>
      <c r="K265" s="71">
        <f>YEAR(Accion[[#This Row],[fecha]])</f>
        <v>2018</v>
      </c>
      <c r="L265" s="79" t="str">
        <f>IF(Accion[[#This Row],[Precio Cierre]]=MAX(Accion[Precio Cierre]),Accion[[#This Row],[Precio Cierre]],"NA")</f>
        <v>NA</v>
      </c>
      <c r="M265" s="79" t="str">
        <f>IF(Accion[[#This Row],[Precio Cierre]]=MIN(Accion[Precio Cierre]),Accion[[#This Row],[Precio Cierre]],"NA")</f>
        <v>NA</v>
      </c>
    </row>
    <row r="266" spans="1:13">
      <c r="A266" s="38" t="s">
        <v>90</v>
      </c>
      <c r="B266" s="34">
        <v>43250</v>
      </c>
      <c r="C266" s="35">
        <v>272829</v>
      </c>
      <c r="D266" s="35">
        <v>2271874720</v>
      </c>
      <c r="E266" s="35">
        <v>8390</v>
      </c>
      <c r="F266" s="35">
        <v>8320</v>
      </c>
      <c r="G266" s="35">
        <v>8320</v>
      </c>
      <c r="H266" s="35">
        <v>8327.1</v>
      </c>
      <c r="I266" s="35">
        <v>0.24</v>
      </c>
      <c r="J266" s="35">
        <v>20</v>
      </c>
      <c r="K266" s="71">
        <f>YEAR(Accion[[#This Row],[fecha]])</f>
        <v>2018</v>
      </c>
      <c r="L266" s="79" t="str">
        <f>IF(Accion[[#This Row],[Precio Cierre]]=MAX(Accion[Precio Cierre]),Accion[[#This Row],[Precio Cierre]],"NA")</f>
        <v>NA</v>
      </c>
      <c r="M266" s="79" t="str">
        <f>IF(Accion[[#This Row],[Precio Cierre]]=MIN(Accion[Precio Cierre]),Accion[[#This Row],[Precio Cierre]],"NA")</f>
        <v>NA</v>
      </c>
    </row>
    <row r="267" spans="1:13">
      <c r="A267" s="38" t="s">
        <v>90</v>
      </c>
      <c r="B267" s="34">
        <v>43249</v>
      </c>
      <c r="C267" s="35">
        <v>91228</v>
      </c>
      <c r="D267" s="35">
        <v>757318450</v>
      </c>
      <c r="E267" s="35">
        <v>8480</v>
      </c>
      <c r="F267" s="35">
        <v>8290</v>
      </c>
      <c r="G267" s="35">
        <v>8300</v>
      </c>
      <c r="H267" s="35">
        <v>8301.3799999999992</v>
      </c>
      <c r="I267" s="35">
        <v>0</v>
      </c>
      <c r="J267" s="35">
        <v>0</v>
      </c>
      <c r="K267" s="71">
        <f>YEAR(Accion[[#This Row],[fecha]])</f>
        <v>2018</v>
      </c>
      <c r="L267" s="79" t="str">
        <f>IF(Accion[[#This Row],[Precio Cierre]]=MAX(Accion[Precio Cierre]),Accion[[#This Row],[Precio Cierre]],"NA")</f>
        <v>NA</v>
      </c>
      <c r="M267" s="79" t="str">
        <f>IF(Accion[[#This Row],[Precio Cierre]]=MIN(Accion[Precio Cierre]),Accion[[#This Row],[Precio Cierre]],"NA")</f>
        <v>NA</v>
      </c>
    </row>
    <row r="268" spans="1:13">
      <c r="A268" s="38" t="s">
        <v>90</v>
      </c>
      <c r="B268" s="34">
        <v>43248</v>
      </c>
      <c r="C268" s="35">
        <v>21466</v>
      </c>
      <c r="D268" s="35">
        <v>177815000</v>
      </c>
      <c r="E268" s="35">
        <v>8300</v>
      </c>
      <c r="F268" s="35">
        <v>8090</v>
      </c>
      <c r="G268" s="35">
        <v>8300</v>
      </c>
      <c r="H268" s="35">
        <v>8283.56</v>
      </c>
      <c r="I268" s="35">
        <v>0</v>
      </c>
      <c r="J268" s="35">
        <v>0</v>
      </c>
      <c r="K268" s="71">
        <f>YEAR(Accion[[#This Row],[fecha]])</f>
        <v>2018</v>
      </c>
      <c r="L268" s="79" t="str">
        <f>IF(Accion[[#This Row],[Precio Cierre]]=MAX(Accion[Precio Cierre]),Accion[[#This Row],[Precio Cierre]],"NA")</f>
        <v>NA</v>
      </c>
      <c r="M268" s="79" t="str">
        <f>IF(Accion[[#This Row],[Precio Cierre]]=MIN(Accion[Precio Cierre]),Accion[[#This Row],[Precio Cierre]],"NA")</f>
        <v>NA</v>
      </c>
    </row>
    <row r="269" spans="1:13">
      <c r="A269" s="38" t="s">
        <v>90</v>
      </c>
      <c r="B269" s="34">
        <v>43245</v>
      </c>
      <c r="C269" s="35">
        <v>146738</v>
      </c>
      <c r="D269" s="35">
        <v>1215347000</v>
      </c>
      <c r="E269" s="35">
        <v>8300</v>
      </c>
      <c r="F269" s="35">
        <v>8250</v>
      </c>
      <c r="G269" s="35">
        <v>8300</v>
      </c>
      <c r="H269" s="35">
        <v>8282.43</v>
      </c>
      <c r="I269" s="35">
        <v>0.24</v>
      </c>
      <c r="J269" s="35">
        <v>20</v>
      </c>
      <c r="K269" s="71">
        <f>YEAR(Accion[[#This Row],[fecha]])</f>
        <v>2018</v>
      </c>
      <c r="L269" s="79" t="str">
        <f>IF(Accion[[#This Row],[Precio Cierre]]=MAX(Accion[Precio Cierre]),Accion[[#This Row],[Precio Cierre]],"NA")</f>
        <v>NA</v>
      </c>
      <c r="M269" s="79" t="str">
        <f>IF(Accion[[#This Row],[Precio Cierre]]=MIN(Accion[Precio Cierre]),Accion[[#This Row],[Precio Cierre]],"NA")</f>
        <v>NA</v>
      </c>
    </row>
    <row r="270" spans="1:13">
      <c r="A270" s="38" t="s">
        <v>90</v>
      </c>
      <c r="B270" s="34">
        <v>43244</v>
      </c>
      <c r="C270" s="35">
        <v>22500</v>
      </c>
      <c r="D270" s="35">
        <v>185032890</v>
      </c>
      <c r="E270" s="35">
        <v>8350</v>
      </c>
      <c r="F270" s="35">
        <v>8150</v>
      </c>
      <c r="G270" s="35">
        <v>8280</v>
      </c>
      <c r="H270" s="35">
        <v>8223.68</v>
      </c>
      <c r="I270" s="35">
        <v>1.97</v>
      </c>
      <c r="J270" s="35">
        <v>160</v>
      </c>
      <c r="K270" s="71">
        <f>YEAR(Accion[[#This Row],[fecha]])</f>
        <v>2018</v>
      </c>
      <c r="L270" s="79" t="str">
        <f>IF(Accion[[#This Row],[Precio Cierre]]=MAX(Accion[Precio Cierre]),Accion[[#This Row],[Precio Cierre]],"NA")</f>
        <v>NA</v>
      </c>
      <c r="M270" s="79" t="str">
        <f>IF(Accion[[#This Row],[Precio Cierre]]=MIN(Accion[Precio Cierre]),Accion[[#This Row],[Precio Cierre]],"NA")</f>
        <v>NA</v>
      </c>
    </row>
    <row r="271" spans="1:13">
      <c r="A271" s="38" t="s">
        <v>90</v>
      </c>
      <c r="B271" s="34">
        <v>43243</v>
      </c>
      <c r="C271" s="35">
        <v>639834</v>
      </c>
      <c r="D271" s="35">
        <v>5189603960</v>
      </c>
      <c r="E271" s="35">
        <v>8340</v>
      </c>
      <c r="F271" s="35">
        <v>8100</v>
      </c>
      <c r="G271" s="35">
        <v>8120</v>
      </c>
      <c r="H271" s="35">
        <v>8110.86</v>
      </c>
      <c r="I271" s="35">
        <v>-0.98</v>
      </c>
      <c r="J271" s="35">
        <v>-80</v>
      </c>
      <c r="K271" s="71">
        <f>YEAR(Accion[[#This Row],[fecha]])</f>
        <v>2018</v>
      </c>
      <c r="L271" s="79" t="str">
        <f>IF(Accion[[#This Row],[Precio Cierre]]=MAX(Accion[Precio Cierre]),Accion[[#This Row],[Precio Cierre]],"NA")</f>
        <v>NA</v>
      </c>
      <c r="M271" s="79" t="str">
        <f>IF(Accion[[#This Row],[Precio Cierre]]=MIN(Accion[Precio Cierre]),Accion[[#This Row],[Precio Cierre]],"NA")</f>
        <v>NA</v>
      </c>
    </row>
    <row r="272" spans="1:13">
      <c r="A272" s="38" t="s">
        <v>90</v>
      </c>
      <c r="B272" s="34">
        <v>43242</v>
      </c>
      <c r="C272" s="35">
        <v>80285</v>
      </c>
      <c r="D272" s="35">
        <v>663258540</v>
      </c>
      <c r="E272" s="35">
        <v>8470</v>
      </c>
      <c r="F272" s="35">
        <v>8120</v>
      </c>
      <c r="G272" s="35">
        <v>8200</v>
      </c>
      <c r="H272" s="35">
        <v>8261.2999999999993</v>
      </c>
      <c r="I272" s="35">
        <v>-0.73</v>
      </c>
      <c r="J272" s="35">
        <v>-60</v>
      </c>
      <c r="K272" s="71">
        <f>YEAR(Accion[[#This Row],[fecha]])</f>
        <v>2018</v>
      </c>
      <c r="L272" s="79" t="str">
        <f>IF(Accion[[#This Row],[Precio Cierre]]=MAX(Accion[Precio Cierre]),Accion[[#This Row],[Precio Cierre]],"NA")</f>
        <v>NA</v>
      </c>
      <c r="M272" s="79" t="str">
        <f>IF(Accion[[#This Row],[Precio Cierre]]=MIN(Accion[Precio Cierre]),Accion[[#This Row],[Precio Cierre]],"NA")</f>
        <v>NA</v>
      </c>
    </row>
    <row r="273" spans="1:13">
      <c r="A273" s="38" t="s">
        <v>90</v>
      </c>
      <c r="B273" s="34">
        <v>43241</v>
      </c>
      <c r="C273" s="35">
        <v>56076</v>
      </c>
      <c r="D273" s="35">
        <v>468932800</v>
      </c>
      <c r="E273" s="35">
        <v>8540</v>
      </c>
      <c r="F273" s="35">
        <v>8260</v>
      </c>
      <c r="G273" s="35">
        <v>8260</v>
      </c>
      <c r="H273" s="35">
        <v>8362.4500000000007</v>
      </c>
      <c r="I273" s="35">
        <v>-3.5</v>
      </c>
      <c r="J273" s="35">
        <v>-300</v>
      </c>
      <c r="K273" s="71">
        <f>YEAR(Accion[[#This Row],[fecha]])</f>
        <v>2018</v>
      </c>
      <c r="L273" s="79" t="str">
        <f>IF(Accion[[#This Row],[Precio Cierre]]=MAX(Accion[Precio Cierre]),Accion[[#This Row],[Precio Cierre]],"NA")</f>
        <v>NA</v>
      </c>
      <c r="M273" s="79" t="str">
        <f>IF(Accion[[#This Row],[Precio Cierre]]=MIN(Accion[Precio Cierre]),Accion[[#This Row],[Precio Cierre]],"NA")</f>
        <v>NA</v>
      </c>
    </row>
    <row r="274" spans="1:13">
      <c r="A274" s="38" t="s">
        <v>90</v>
      </c>
      <c r="B274" s="34">
        <v>43238</v>
      </c>
      <c r="C274" s="35">
        <v>606283</v>
      </c>
      <c r="D274" s="35">
        <v>4913791770</v>
      </c>
      <c r="E274" s="35">
        <v>8560</v>
      </c>
      <c r="F274" s="35">
        <v>7980</v>
      </c>
      <c r="G274" s="35">
        <v>8560</v>
      </c>
      <c r="H274" s="35">
        <v>8104.78</v>
      </c>
      <c r="I274" s="35">
        <v>3.88</v>
      </c>
      <c r="J274" s="35">
        <v>320</v>
      </c>
      <c r="K274" s="71">
        <f>YEAR(Accion[[#This Row],[fecha]])</f>
        <v>2018</v>
      </c>
      <c r="L274" s="79" t="str">
        <f>IF(Accion[[#This Row],[Precio Cierre]]=MAX(Accion[Precio Cierre]),Accion[[#This Row],[Precio Cierre]],"NA")</f>
        <v>NA</v>
      </c>
      <c r="M274" s="79" t="str">
        <f>IF(Accion[[#This Row],[Precio Cierre]]=MIN(Accion[Precio Cierre]),Accion[[#This Row],[Precio Cierre]],"NA")</f>
        <v>NA</v>
      </c>
    </row>
    <row r="275" spans="1:13">
      <c r="A275" s="38" t="s">
        <v>90</v>
      </c>
      <c r="B275" s="34">
        <v>43237</v>
      </c>
      <c r="C275" s="35">
        <v>183353</v>
      </c>
      <c r="D275" s="35">
        <v>1528506090</v>
      </c>
      <c r="E275" s="35">
        <v>8480</v>
      </c>
      <c r="F275" s="35">
        <v>8200</v>
      </c>
      <c r="G275" s="35">
        <v>8240</v>
      </c>
      <c r="H275" s="35">
        <v>8336.41</v>
      </c>
      <c r="I275" s="35">
        <v>-2.83</v>
      </c>
      <c r="J275" s="35">
        <v>-240</v>
      </c>
      <c r="K275" s="71">
        <f>YEAR(Accion[[#This Row],[fecha]])</f>
        <v>2018</v>
      </c>
      <c r="L275" s="79" t="str">
        <f>IF(Accion[[#This Row],[Precio Cierre]]=MAX(Accion[Precio Cierre]),Accion[[#This Row],[Precio Cierre]],"NA")</f>
        <v>NA</v>
      </c>
      <c r="M275" s="79" t="str">
        <f>IF(Accion[[#This Row],[Precio Cierre]]=MIN(Accion[Precio Cierre]),Accion[[#This Row],[Precio Cierre]],"NA")</f>
        <v>NA</v>
      </c>
    </row>
    <row r="276" spans="1:13">
      <c r="A276" s="38" t="s">
        <v>90</v>
      </c>
      <c r="B276" s="34">
        <v>43236</v>
      </c>
      <c r="C276" s="35">
        <v>168471</v>
      </c>
      <c r="D276" s="35">
        <v>1421492230</v>
      </c>
      <c r="E276" s="35">
        <v>8720</v>
      </c>
      <c r="F276" s="35">
        <v>8300</v>
      </c>
      <c r="G276" s="35">
        <v>8480</v>
      </c>
      <c r="H276" s="35">
        <v>8437.61</v>
      </c>
      <c r="I276" s="35">
        <v>-2.86</v>
      </c>
      <c r="J276" s="35">
        <v>-250</v>
      </c>
      <c r="K276" s="71">
        <f>YEAR(Accion[[#This Row],[fecha]])</f>
        <v>2018</v>
      </c>
      <c r="L276" s="79" t="str">
        <f>IF(Accion[[#This Row],[Precio Cierre]]=MAX(Accion[Precio Cierre]),Accion[[#This Row],[Precio Cierre]],"NA")</f>
        <v>NA</v>
      </c>
      <c r="M276" s="79" t="str">
        <f>IF(Accion[[#This Row],[Precio Cierre]]=MIN(Accion[Precio Cierre]),Accion[[#This Row],[Precio Cierre]],"NA")</f>
        <v>NA</v>
      </c>
    </row>
    <row r="277" spans="1:13">
      <c r="A277" s="38" t="s">
        <v>90</v>
      </c>
      <c r="B277" s="34">
        <v>43235</v>
      </c>
      <c r="C277" s="35">
        <v>81915</v>
      </c>
      <c r="D277" s="35">
        <v>720104500</v>
      </c>
      <c r="E277" s="35">
        <v>8810</v>
      </c>
      <c r="F277" s="35">
        <v>8730</v>
      </c>
      <c r="G277" s="35">
        <v>8730</v>
      </c>
      <c r="H277" s="35">
        <v>8790.8700000000008</v>
      </c>
      <c r="I277" s="35">
        <v>-0.8</v>
      </c>
      <c r="J277" s="35">
        <v>-70</v>
      </c>
      <c r="K277" s="71">
        <f>YEAR(Accion[[#This Row],[fecha]])</f>
        <v>2018</v>
      </c>
      <c r="L277" s="79" t="str">
        <f>IF(Accion[[#This Row],[Precio Cierre]]=MAX(Accion[Precio Cierre]),Accion[[#This Row],[Precio Cierre]],"NA")</f>
        <v>NA</v>
      </c>
      <c r="M277" s="79" t="str">
        <f>IF(Accion[[#This Row],[Precio Cierre]]=MIN(Accion[Precio Cierre]),Accion[[#This Row],[Precio Cierre]],"NA")</f>
        <v>NA</v>
      </c>
    </row>
    <row r="278" spans="1:13">
      <c r="A278" s="38" t="s">
        <v>90</v>
      </c>
      <c r="B278" s="34">
        <v>43231</v>
      </c>
      <c r="C278" s="35">
        <v>332864</v>
      </c>
      <c r="D278" s="35">
        <v>2929736830</v>
      </c>
      <c r="E278" s="35">
        <v>8810</v>
      </c>
      <c r="F278" s="35">
        <v>8690</v>
      </c>
      <c r="G278" s="35">
        <v>8800</v>
      </c>
      <c r="H278" s="35">
        <v>8801.6</v>
      </c>
      <c r="I278" s="35">
        <v>0</v>
      </c>
      <c r="J278" s="35">
        <v>0</v>
      </c>
      <c r="K278" s="71">
        <f>YEAR(Accion[[#This Row],[fecha]])</f>
        <v>2018</v>
      </c>
      <c r="L278" s="79" t="str">
        <f>IF(Accion[[#This Row],[Precio Cierre]]=MAX(Accion[Precio Cierre]),Accion[[#This Row],[Precio Cierre]],"NA")</f>
        <v>NA</v>
      </c>
      <c r="M278" s="79" t="str">
        <f>IF(Accion[[#This Row],[Precio Cierre]]=MIN(Accion[Precio Cierre]),Accion[[#This Row],[Precio Cierre]],"NA")</f>
        <v>NA</v>
      </c>
    </row>
    <row r="279" spans="1:13">
      <c r="A279" s="38" t="s">
        <v>90</v>
      </c>
      <c r="B279" s="34">
        <v>43230</v>
      </c>
      <c r="C279" s="35">
        <v>104813</v>
      </c>
      <c r="D279" s="35">
        <v>931840470</v>
      </c>
      <c r="E279" s="35">
        <v>8990</v>
      </c>
      <c r="F279" s="35">
        <v>8770</v>
      </c>
      <c r="G279" s="35">
        <v>8800</v>
      </c>
      <c r="H279" s="35">
        <v>8890.5</v>
      </c>
      <c r="I279" s="35">
        <v>-0.11</v>
      </c>
      <c r="J279" s="35">
        <v>-10</v>
      </c>
      <c r="K279" s="71">
        <f>YEAR(Accion[[#This Row],[fecha]])</f>
        <v>2018</v>
      </c>
      <c r="L279" s="79" t="str">
        <f>IF(Accion[[#This Row],[Precio Cierre]]=MAX(Accion[Precio Cierre]),Accion[[#This Row],[Precio Cierre]],"NA")</f>
        <v>NA</v>
      </c>
      <c r="M279" s="79" t="str">
        <f>IF(Accion[[#This Row],[Precio Cierre]]=MIN(Accion[Precio Cierre]),Accion[[#This Row],[Precio Cierre]],"NA")</f>
        <v>NA</v>
      </c>
    </row>
    <row r="280" spans="1:13">
      <c r="A280" s="38" t="s">
        <v>90</v>
      </c>
      <c r="B280" s="34">
        <v>43229</v>
      </c>
      <c r="C280" s="35">
        <v>31944</v>
      </c>
      <c r="D280" s="35">
        <v>281592340</v>
      </c>
      <c r="E280" s="35">
        <v>8840</v>
      </c>
      <c r="F280" s="35">
        <v>8810</v>
      </c>
      <c r="G280" s="35">
        <v>8810</v>
      </c>
      <c r="H280" s="35">
        <v>8815.19</v>
      </c>
      <c r="I280" s="35">
        <v>-0.11</v>
      </c>
      <c r="J280" s="35">
        <v>-10</v>
      </c>
      <c r="K280" s="71">
        <f>YEAR(Accion[[#This Row],[fecha]])</f>
        <v>2018</v>
      </c>
      <c r="L280" s="79" t="str">
        <f>IF(Accion[[#This Row],[Precio Cierre]]=MAX(Accion[Precio Cierre]),Accion[[#This Row],[Precio Cierre]],"NA")</f>
        <v>NA</v>
      </c>
      <c r="M280" s="79" t="str">
        <f>IF(Accion[[#This Row],[Precio Cierre]]=MIN(Accion[Precio Cierre]),Accion[[#This Row],[Precio Cierre]],"NA")</f>
        <v>NA</v>
      </c>
    </row>
    <row r="281" spans="1:13">
      <c r="A281" s="38" t="s">
        <v>90</v>
      </c>
      <c r="B281" s="34">
        <v>43228</v>
      </c>
      <c r="C281" s="35">
        <v>55987</v>
      </c>
      <c r="D281" s="35">
        <v>489937190</v>
      </c>
      <c r="E281" s="35">
        <v>8820</v>
      </c>
      <c r="F281" s="35">
        <v>8660</v>
      </c>
      <c r="G281" s="35">
        <v>8820</v>
      </c>
      <c r="H281" s="35">
        <v>8750.91</v>
      </c>
      <c r="I281" s="35">
        <v>0.8</v>
      </c>
      <c r="J281" s="35">
        <v>70</v>
      </c>
      <c r="K281" s="71">
        <f>YEAR(Accion[[#This Row],[fecha]])</f>
        <v>2018</v>
      </c>
      <c r="L281" s="79" t="str">
        <f>IF(Accion[[#This Row],[Precio Cierre]]=MAX(Accion[Precio Cierre]),Accion[[#This Row],[Precio Cierre]],"NA")</f>
        <v>NA</v>
      </c>
      <c r="M281" s="79" t="str">
        <f>IF(Accion[[#This Row],[Precio Cierre]]=MIN(Accion[Precio Cierre]),Accion[[#This Row],[Precio Cierre]],"NA")</f>
        <v>NA</v>
      </c>
    </row>
    <row r="282" spans="1:13">
      <c r="A282" s="38" t="s">
        <v>90</v>
      </c>
      <c r="B282" s="34">
        <v>43227</v>
      </c>
      <c r="C282" s="35">
        <v>79303</v>
      </c>
      <c r="D282" s="35">
        <v>702894840</v>
      </c>
      <c r="E282" s="35">
        <v>8980</v>
      </c>
      <c r="F282" s="35">
        <v>8750</v>
      </c>
      <c r="G282" s="35">
        <v>8750</v>
      </c>
      <c r="H282" s="35">
        <v>8863.41</v>
      </c>
      <c r="I282" s="35">
        <v>-1.24</v>
      </c>
      <c r="J282" s="35">
        <v>-110</v>
      </c>
      <c r="K282" s="71">
        <f>YEAR(Accion[[#This Row],[fecha]])</f>
        <v>2018</v>
      </c>
      <c r="L282" s="79" t="str">
        <f>IF(Accion[[#This Row],[Precio Cierre]]=MAX(Accion[Precio Cierre]),Accion[[#This Row],[Precio Cierre]],"NA")</f>
        <v>NA</v>
      </c>
      <c r="M282" s="79" t="str">
        <f>IF(Accion[[#This Row],[Precio Cierre]]=MIN(Accion[Precio Cierre]),Accion[[#This Row],[Precio Cierre]],"NA")</f>
        <v>NA</v>
      </c>
    </row>
    <row r="283" spans="1:13">
      <c r="A283" s="38" t="s">
        <v>90</v>
      </c>
      <c r="B283" s="34">
        <v>43224</v>
      </c>
      <c r="C283" s="35">
        <v>63794</v>
      </c>
      <c r="D283" s="35">
        <v>558702520</v>
      </c>
      <c r="E283" s="35">
        <v>8860</v>
      </c>
      <c r="F283" s="35">
        <v>8620</v>
      </c>
      <c r="G283" s="35">
        <v>8860</v>
      </c>
      <c r="H283" s="35">
        <v>8757.92</v>
      </c>
      <c r="I283" s="35">
        <v>2.78</v>
      </c>
      <c r="J283" s="35">
        <v>240</v>
      </c>
      <c r="K283" s="71">
        <f>YEAR(Accion[[#This Row],[fecha]])</f>
        <v>2018</v>
      </c>
      <c r="L283" s="79" t="str">
        <f>IF(Accion[[#This Row],[Precio Cierre]]=MAX(Accion[Precio Cierre]),Accion[[#This Row],[Precio Cierre]],"NA")</f>
        <v>NA</v>
      </c>
      <c r="M283" s="79" t="str">
        <f>IF(Accion[[#This Row],[Precio Cierre]]=MIN(Accion[Precio Cierre]),Accion[[#This Row],[Precio Cierre]],"NA")</f>
        <v>NA</v>
      </c>
    </row>
    <row r="284" spans="1:13">
      <c r="A284" s="38" t="s">
        <v>90</v>
      </c>
      <c r="B284" s="34">
        <v>43223</v>
      </c>
      <c r="C284" s="35">
        <v>93511</v>
      </c>
      <c r="D284" s="35">
        <v>807665050</v>
      </c>
      <c r="E284" s="35">
        <v>8730</v>
      </c>
      <c r="F284" s="35">
        <v>8620</v>
      </c>
      <c r="G284" s="35">
        <v>8620</v>
      </c>
      <c r="H284" s="35">
        <v>8637.11</v>
      </c>
      <c r="I284" s="35">
        <v>-1.26</v>
      </c>
      <c r="J284" s="35">
        <v>-110</v>
      </c>
      <c r="K284" s="71">
        <f>YEAR(Accion[[#This Row],[fecha]])</f>
        <v>2018</v>
      </c>
      <c r="L284" s="79" t="str">
        <f>IF(Accion[[#This Row],[Precio Cierre]]=MAX(Accion[Precio Cierre]),Accion[[#This Row],[Precio Cierre]],"NA")</f>
        <v>NA</v>
      </c>
      <c r="M284" s="79" t="str">
        <f>IF(Accion[[#This Row],[Precio Cierre]]=MIN(Accion[Precio Cierre]),Accion[[#This Row],[Precio Cierre]],"NA")</f>
        <v>NA</v>
      </c>
    </row>
    <row r="285" spans="1:13">
      <c r="A285" s="38" t="s">
        <v>90</v>
      </c>
      <c r="B285" s="34">
        <v>43222</v>
      </c>
      <c r="C285" s="35">
        <v>212897</v>
      </c>
      <c r="D285" s="35">
        <v>1862257940</v>
      </c>
      <c r="E285" s="35">
        <v>8770</v>
      </c>
      <c r="F285" s="35">
        <v>8720</v>
      </c>
      <c r="G285" s="35">
        <v>8730</v>
      </c>
      <c r="H285" s="35">
        <v>8747.2199999999993</v>
      </c>
      <c r="I285" s="35">
        <v>0.81</v>
      </c>
      <c r="J285" s="35">
        <v>70</v>
      </c>
      <c r="K285" s="71">
        <f>YEAR(Accion[[#This Row],[fecha]])</f>
        <v>2018</v>
      </c>
      <c r="L285" s="79" t="str">
        <f>IF(Accion[[#This Row],[Precio Cierre]]=MAX(Accion[Precio Cierre]),Accion[[#This Row],[Precio Cierre]],"NA")</f>
        <v>NA</v>
      </c>
      <c r="M285" s="79" t="str">
        <f>IF(Accion[[#This Row],[Precio Cierre]]=MIN(Accion[Precio Cierre]),Accion[[#This Row],[Precio Cierre]],"NA")</f>
        <v>NA</v>
      </c>
    </row>
    <row r="286" spans="1:13">
      <c r="A286" s="38" t="s">
        <v>90</v>
      </c>
      <c r="B286" s="34">
        <v>43220</v>
      </c>
      <c r="C286" s="35">
        <v>153164</v>
      </c>
      <c r="D286" s="35">
        <v>1327185220</v>
      </c>
      <c r="E286" s="35">
        <v>8870</v>
      </c>
      <c r="F286" s="35">
        <v>8660</v>
      </c>
      <c r="G286" s="35">
        <v>8660</v>
      </c>
      <c r="H286" s="35">
        <v>8665.1299999999992</v>
      </c>
      <c r="I286" s="35">
        <v>-2.15</v>
      </c>
      <c r="J286" s="35">
        <v>-190</v>
      </c>
      <c r="K286" s="71">
        <f>YEAR(Accion[[#This Row],[fecha]])</f>
        <v>2018</v>
      </c>
      <c r="L286" s="79" t="str">
        <f>IF(Accion[[#This Row],[Precio Cierre]]=MAX(Accion[Precio Cierre]),Accion[[#This Row],[Precio Cierre]],"NA")</f>
        <v>NA</v>
      </c>
      <c r="M286" s="79" t="str">
        <f>IF(Accion[[#This Row],[Precio Cierre]]=MIN(Accion[Precio Cierre]),Accion[[#This Row],[Precio Cierre]],"NA")</f>
        <v>NA</v>
      </c>
    </row>
    <row r="287" spans="1:13">
      <c r="A287" s="38" t="s">
        <v>90</v>
      </c>
      <c r="B287" s="34">
        <v>43217</v>
      </c>
      <c r="C287" s="35">
        <v>138001</v>
      </c>
      <c r="D287" s="35">
        <v>1219718710</v>
      </c>
      <c r="E287" s="35">
        <v>8850</v>
      </c>
      <c r="F287" s="35">
        <v>8740</v>
      </c>
      <c r="G287" s="35">
        <v>8850</v>
      </c>
      <c r="H287" s="35">
        <v>8838.48</v>
      </c>
      <c r="I287" s="35">
        <v>2.4300000000000002</v>
      </c>
      <c r="J287" s="35">
        <v>210</v>
      </c>
      <c r="K287" s="71">
        <f>YEAR(Accion[[#This Row],[fecha]])</f>
        <v>2018</v>
      </c>
      <c r="L287" s="79" t="str">
        <f>IF(Accion[[#This Row],[Precio Cierre]]=MAX(Accion[Precio Cierre]),Accion[[#This Row],[Precio Cierre]],"NA")</f>
        <v>NA</v>
      </c>
      <c r="M287" s="79" t="str">
        <f>IF(Accion[[#This Row],[Precio Cierre]]=MIN(Accion[Precio Cierre]),Accion[[#This Row],[Precio Cierre]],"NA")</f>
        <v>NA</v>
      </c>
    </row>
    <row r="288" spans="1:13">
      <c r="A288" s="38" t="s">
        <v>90</v>
      </c>
      <c r="B288" s="34">
        <v>43216</v>
      </c>
      <c r="C288" s="35">
        <v>413195</v>
      </c>
      <c r="D288" s="35">
        <v>3571544710</v>
      </c>
      <c r="E288" s="35">
        <v>8870</v>
      </c>
      <c r="F288" s="35">
        <v>8610</v>
      </c>
      <c r="G288" s="35">
        <v>8640</v>
      </c>
      <c r="H288" s="35">
        <v>8643.73</v>
      </c>
      <c r="I288" s="35">
        <v>-0.46</v>
      </c>
      <c r="J288" s="35">
        <v>-40</v>
      </c>
      <c r="K288" s="71">
        <f>YEAR(Accion[[#This Row],[fecha]])</f>
        <v>2018</v>
      </c>
      <c r="L288" s="79" t="str">
        <f>IF(Accion[[#This Row],[Precio Cierre]]=MAX(Accion[Precio Cierre]),Accion[[#This Row],[Precio Cierre]],"NA")</f>
        <v>NA</v>
      </c>
      <c r="M288" s="79" t="str">
        <f>IF(Accion[[#This Row],[Precio Cierre]]=MIN(Accion[Precio Cierre]),Accion[[#This Row],[Precio Cierre]],"NA")</f>
        <v>NA</v>
      </c>
    </row>
    <row r="289" spans="1:13">
      <c r="A289" s="38" t="s">
        <v>90</v>
      </c>
      <c r="B289" s="34">
        <v>43215</v>
      </c>
      <c r="C289" s="35">
        <v>48242</v>
      </c>
      <c r="D289" s="35">
        <v>422883910</v>
      </c>
      <c r="E289" s="35">
        <v>8860</v>
      </c>
      <c r="F289" s="35">
        <v>8680</v>
      </c>
      <c r="G289" s="35">
        <v>8680</v>
      </c>
      <c r="H289" s="35">
        <v>8765.89</v>
      </c>
      <c r="I289" s="35">
        <v>-2.4700000000000002</v>
      </c>
      <c r="J289" s="35">
        <v>-220</v>
      </c>
      <c r="K289" s="71">
        <f>YEAR(Accion[[#This Row],[fecha]])</f>
        <v>2018</v>
      </c>
      <c r="L289" s="79" t="str">
        <f>IF(Accion[[#This Row],[Precio Cierre]]=MAX(Accion[Precio Cierre]),Accion[[#This Row],[Precio Cierre]],"NA")</f>
        <v>NA</v>
      </c>
      <c r="M289" s="79" t="str">
        <f>IF(Accion[[#This Row],[Precio Cierre]]=MIN(Accion[Precio Cierre]),Accion[[#This Row],[Precio Cierre]],"NA")</f>
        <v>NA</v>
      </c>
    </row>
    <row r="290" spans="1:13">
      <c r="A290" s="38" t="s">
        <v>90</v>
      </c>
      <c r="B290" s="34">
        <v>43214</v>
      </c>
      <c r="C290" s="35">
        <v>238872</v>
      </c>
      <c r="D290" s="35">
        <v>2139112260</v>
      </c>
      <c r="E290" s="35">
        <v>9070</v>
      </c>
      <c r="F290" s="35">
        <v>8900</v>
      </c>
      <c r="G290" s="35">
        <v>8900</v>
      </c>
      <c r="H290" s="35">
        <v>8955.06</v>
      </c>
      <c r="I290" s="35">
        <v>-2.52</v>
      </c>
      <c r="J290" s="35">
        <v>-230</v>
      </c>
      <c r="K290" s="71">
        <f>YEAR(Accion[[#This Row],[fecha]])</f>
        <v>2018</v>
      </c>
      <c r="L290" s="79" t="str">
        <f>IF(Accion[[#This Row],[Precio Cierre]]=MAX(Accion[Precio Cierre]),Accion[[#This Row],[Precio Cierre]],"NA")</f>
        <v>NA</v>
      </c>
      <c r="M290" s="79" t="str">
        <f>IF(Accion[[#This Row],[Precio Cierre]]=MIN(Accion[Precio Cierre]),Accion[[#This Row],[Precio Cierre]],"NA")</f>
        <v>NA</v>
      </c>
    </row>
    <row r="291" spans="1:13">
      <c r="A291" s="38" t="s">
        <v>90</v>
      </c>
      <c r="B291" s="34">
        <v>43213</v>
      </c>
      <c r="C291" s="35">
        <v>23744</v>
      </c>
      <c r="D291" s="35">
        <v>219154630</v>
      </c>
      <c r="E291" s="35">
        <v>9280</v>
      </c>
      <c r="F291" s="35">
        <v>9130</v>
      </c>
      <c r="G291" s="35">
        <v>9130</v>
      </c>
      <c r="H291" s="35">
        <v>9229.9</v>
      </c>
      <c r="I291" s="35">
        <v>-1.19</v>
      </c>
      <c r="J291" s="35">
        <v>-110</v>
      </c>
      <c r="K291" s="71">
        <f>YEAR(Accion[[#This Row],[fecha]])</f>
        <v>2018</v>
      </c>
      <c r="L291" s="79" t="str">
        <f>IF(Accion[[#This Row],[Precio Cierre]]=MAX(Accion[Precio Cierre]),Accion[[#This Row],[Precio Cierre]],"NA")</f>
        <v>NA</v>
      </c>
      <c r="M291" s="79" t="str">
        <f>IF(Accion[[#This Row],[Precio Cierre]]=MIN(Accion[Precio Cierre]),Accion[[#This Row],[Precio Cierre]],"NA")</f>
        <v>NA</v>
      </c>
    </row>
    <row r="292" spans="1:13">
      <c r="A292" s="38" t="s">
        <v>90</v>
      </c>
      <c r="B292" s="34">
        <v>43210</v>
      </c>
      <c r="C292" s="35">
        <v>292139</v>
      </c>
      <c r="D292" s="35">
        <v>2670893860</v>
      </c>
      <c r="E292" s="35">
        <v>9250</v>
      </c>
      <c r="F292" s="35">
        <v>8990</v>
      </c>
      <c r="G292" s="35">
        <v>9240</v>
      </c>
      <c r="H292" s="35">
        <v>9142.5400000000009</v>
      </c>
      <c r="I292" s="35">
        <v>0.98</v>
      </c>
      <c r="J292" s="35">
        <v>90</v>
      </c>
      <c r="K292" s="71">
        <f>YEAR(Accion[[#This Row],[fecha]])</f>
        <v>2018</v>
      </c>
      <c r="L292" s="79" t="str">
        <f>IF(Accion[[#This Row],[Precio Cierre]]=MAX(Accion[Precio Cierre]),Accion[[#This Row],[Precio Cierre]],"NA")</f>
        <v>NA</v>
      </c>
      <c r="M292" s="79" t="str">
        <f>IF(Accion[[#This Row],[Precio Cierre]]=MIN(Accion[Precio Cierre]),Accion[[#This Row],[Precio Cierre]],"NA")</f>
        <v>NA</v>
      </c>
    </row>
    <row r="293" spans="1:13">
      <c r="A293" s="38" t="s">
        <v>90</v>
      </c>
      <c r="B293" s="34">
        <v>43209</v>
      </c>
      <c r="C293" s="35">
        <v>186594</v>
      </c>
      <c r="D293" s="35">
        <v>1723301510</v>
      </c>
      <c r="E293" s="35">
        <v>9570</v>
      </c>
      <c r="F293" s="35">
        <v>9100</v>
      </c>
      <c r="G293" s="35">
        <v>9150</v>
      </c>
      <c r="H293" s="35">
        <v>9235.57</v>
      </c>
      <c r="I293" s="35">
        <v>-2.56</v>
      </c>
      <c r="J293" s="35">
        <v>-240</v>
      </c>
      <c r="K293" s="71">
        <f>YEAR(Accion[[#This Row],[fecha]])</f>
        <v>2018</v>
      </c>
      <c r="L293" s="79" t="str">
        <f>IF(Accion[[#This Row],[Precio Cierre]]=MAX(Accion[Precio Cierre]),Accion[[#This Row],[Precio Cierre]],"NA")</f>
        <v>NA</v>
      </c>
      <c r="M293" s="79" t="str">
        <f>IF(Accion[[#This Row],[Precio Cierre]]=MIN(Accion[Precio Cierre]),Accion[[#This Row],[Precio Cierre]],"NA")</f>
        <v>NA</v>
      </c>
    </row>
    <row r="294" spans="1:13">
      <c r="A294" s="38" t="s">
        <v>90</v>
      </c>
      <c r="B294" s="34">
        <v>43208</v>
      </c>
      <c r="C294" s="35">
        <v>110873</v>
      </c>
      <c r="D294" s="35">
        <v>1046691300</v>
      </c>
      <c r="E294" s="35">
        <v>9520</v>
      </c>
      <c r="F294" s="35">
        <v>9380</v>
      </c>
      <c r="G294" s="35">
        <v>9390</v>
      </c>
      <c r="H294" s="35">
        <v>9440.4500000000007</v>
      </c>
      <c r="I294" s="35">
        <v>-1.1599999999999999</v>
      </c>
      <c r="J294" s="35">
        <v>-110</v>
      </c>
      <c r="K294" s="71">
        <f>YEAR(Accion[[#This Row],[fecha]])</f>
        <v>2018</v>
      </c>
      <c r="L294" s="79" t="str">
        <f>IF(Accion[[#This Row],[Precio Cierre]]=MAX(Accion[Precio Cierre]),Accion[[#This Row],[Precio Cierre]],"NA")</f>
        <v>NA</v>
      </c>
      <c r="M294" s="79" t="str">
        <f>IF(Accion[[#This Row],[Precio Cierre]]=MIN(Accion[Precio Cierre]),Accion[[#This Row],[Precio Cierre]],"NA")</f>
        <v>NA</v>
      </c>
    </row>
    <row r="295" spans="1:13">
      <c r="A295" s="38" t="s">
        <v>90</v>
      </c>
      <c r="B295" s="34">
        <v>43207</v>
      </c>
      <c r="C295" s="35">
        <v>912519</v>
      </c>
      <c r="D295" s="35">
        <v>8729975860</v>
      </c>
      <c r="E295" s="35">
        <v>9620</v>
      </c>
      <c r="F295" s="35">
        <v>9500</v>
      </c>
      <c r="G295" s="35">
        <v>9500</v>
      </c>
      <c r="H295" s="35">
        <v>9566.9</v>
      </c>
      <c r="I295" s="35">
        <v>0</v>
      </c>
      <c r="J295" s="35">
        <v>0</v>
      </c>
      <c r="K295" s="71">
        <f>YEAR(Accion[[#This Row],[fecha]])</f>
        <v>2018</v>
      </c>
      <c r="L295" s="79" t="str">
        <f>IF(Accion[[#This Row],[Precio Cierre]]=MAX(Accion[Precio Cierre]),Accion[[#This Row],[Precio Cierre]],"NA")</f>
        <v>NA</v>
      </c>
      <c r="M295" s="79" t="str">
        <f>IF(Accion[[#This Row],[Precio Cierre]]=MIN(Accion[Precio Cierre]),Accion[[#This Row],[Precio Cierre]],"NA")</f>
        <v>NA</v>
      </c>
    </row>
    <row r="296" spans="1:13">
      <c r="A296" s="38" t="s">
        <v>90</v>
      </c>
      <c r="B296" s="34">
        <v>43206</v>
      </c>
      <c r="C296" s="35">
        <v>152578</v>
      </c>
      <c r="D296" s="35">
        <v>1449966180</v>
      </c>
      <c r="E296" s="35">
        <v>9550</v>
      </c>
      <c r="F296" s="35">
        <v>9500</v>
      </c>
      <c r="G296" s="35">
        <v>9500</v>
      </c>
      <c r="H296" s="35">
        <v>9503.11</v>
      </c>
      <c r="I296" s="35">
        <v>-0.31</v>
      </c>
      <c r="J296" s="35">
        <v>-30</v>
      </c>
      <c r="K296" s="71">
        <f>YEAR(Accion[[#This Row],[fecha]])</f>
        <v>2018</v>
      </c>
      <c r="L296" s="79" t="str">
        <f>IF(Accion[[#This Row],[Precio Cierre]]=MAX(Accion[Precio Cierre]),Accion[[#This Row],[Precio Cierre]],"NA")</f>
        <v>NA</v>
      </c>
      <c r="M296" s="79" t="str">
        <f>IF(Accion[[#This Row],[Precio Cierre]]=MIN(Accion[Precio Cierre]),Accion[[#This Row],[Precio Cierre]],"NA")</f>
        <v>NA</v>
      </c>
    </row>
    <row r="297" spans="1:13">
      <c r="A297" s="38" t="s">
        <v>90</v>
      </c>
      <c r="B297" s="34">
        <v>43203</v>
      </c>
      <c r="C297" s="35">
        <v>486415</v>
      </c>
      <c r="D297" s="35">
        <v>4686341370</v>
      </c>
      <c r="E297" s="35">
        <v>9650</v>
      </c>
      <c r="F297" s="35">
        <v>9530</v>
      </c>
      <c r="G297" s="35">
        <v>9530</v>
      </c>
      <c r="H297" s="35">
        <v>9634.4500000000007</v>
      </c>
      <c r="I297" s="35">
        <v>-1.04</v>
      </c>
      <c r="J297" s="35">
        <v>-100</v>
      </c>
      <c r="K297" s="71">
        <f>YEAR(Accion[[#This Row],[fecha]])</f>
        <v>2018</v>
      </c>
      <c r="L297" s="79" t="str">
        <f>IF(Accion[[#This Row],[Precio Cierre]]=MAX(Accion[Precio Cierre]),Accion[[#This Row],[Precio Cierre]],"NA")</f>
        <v>NA</v>
      </c>
      <c r="M297" s="79" t="str">
        <f>IF(Accion[[#This Row],[Precio Cierre]]=MIN(Accion[Precio Cierre]),Accion[[#This Row],[Precio Cierre]],"NA")</f>
        <v>NA</v>
      </c>
    </row>
    <row r="298" spans="1:13">
      <c r="A298" s="38" t="s">
        <v>90</v>
      </c>
      <c r="B298" s="34">
        <v>43202</v>
      </c>
      <c r="C298" s="35">
        <v>411946</v>
      </c>
      <c r="D298" s="35">
        <v>3920368270</v>
      </c>
      <c r="E298" s="35">
        <v>9630</v>
      </c>
      <c r="F298" s="35">
        <v>9300</v>
      </c>
      <c r="G298" s="35">
        <v>9630</v>
      </c>
      <c r="H298" s="35">
        <v>9516.7000000000007</v>
      </c>
      <c r="I298" s="35">
        <v>1.37</v>
      </c>
      <c r="J298" s="35">
        <v>130</v>
      </c>
      <c r="K298" s="71">
        <f>YEAR(Accion[[#This Row],[fecha]])</f>
        <v>2018</v>
      </c>
      <c r="L298" s="79" t="str">
        <f>IF(Accion[[#This Row],[Precio Cierre]]=MAX(Accion[Precio Cierre]),Accion[[#This Row],[Precio Cierre]],"NA")</f>
        <v>NA</v>
      </c>
      <c r="M298" s="79" t="str">
        <f>IF(Accion[[#This Row],[Precio Cierre]]=MIN(Accion[Precio Cierre]),Accion[[#This Row],[Precio Cierre]],"NA")</f>
        <v>NA</v>
      </c>
    </row>
    <row r="299" spans="1:13">
      <c r="A299" s="38" t="s">
        <v>90</v>
      </c>
      <c r="B299" s="34">
        <v>43201</v>
      </c>
      <c r="C299" s="35">
        <v>171771</v>
      </c>
      <c r="D299" s="35">
        <v>1647250250</v>
      </c>
      <c r="E299" s="35">
        <v>9700</v>
      </c>
      <c r="F299" s="35">
        <v>9500</v>
      </c>
      <c r="G299" s="35">
        <v>9500</v>
      </c>
      <c r="H299" s="35">
        <v>9589.7999999999993</v>
      </c>
      <c r="I299" s="35">
        <v>-2.06</v>
      </c>
      <c r="J299" s="35">
        <v>-200</v>
      </c>
      <c r="K299" s="71">
        <f>YEAR(Accion[[#This Row],[fecha]])</f>
        <v>2018</v>
      </c>
      <c r="L299" s="79" t="str">
        <f>IF(Accion[[#This Row],[Precio Cierre]]=MAX(Accion[Precio Cierre]),Accion[[#This Row],[Precio Cierre]],"NA")</f>
        <v>NA</v>
      </c>
      <c r="M299" s="79" t="str">
        <f>IF(Accion[[#This Row],[Precio Cierre]]=MIN(Accion[Precio Cierre]),Accion[[#This Row],[Precio Cierre]],"NA")</f>
        <v>NA</v>
      </c>
    </row>
    <row r="300" spans="1:13">
      <c r="A300" s="38" t="s">
        <v>90</v>
      </c>
      <c r="B300" s="34">
        <v>43200</v>
      </c>
      <c r="C300" s="35">
        <v>299432</v>
      </c>
      <c r="D300" s="35">
        <v>2872982320</v>
      </c>
      <c r="E300" s="35">
        <v>9700</v>
      </c>
      <c r="F300" s="35">
        <v>9450</v>
      </c>
      <c r="G300" s="35">
        <v>9700</v>
      </c>
      <c r="H300" s="35">
        <v>9594.77</v>
      </c>
      <c r="I300" s="35">
        <v>1.04</v>
      </c>
      <c r="J300" s="35">
        <v>100</v>
      </c>
      <c r="K300" s="71">
        <f>YEAR(Accion[[#This Row],[fecha]])</f>
        <v>2018</v>
      </c>
      <c r="L300" s="79" t="str">
        <f>IF(Accion[[#This Row],[Precio Cierre]]=MAX(Accion[Precio Cierre]),Accion[[#This Row],[Precio Cierre]],"NA")</f>
        <v>NA</v>
      </c>
      <c r="M300" s="79" t="str">
        <f>IF(Accion[[#This Row],[Precio Cierre]]=MIN(Accion[Precio Cierre]),Accion[[#This Row],[Precio Cierre]],"NA")</f>
        <v>NA</v>
      </c>
    </row>
    <row r="301" spans="1:13">
      <c r="A301" s="38" t="s">
        <v>90</v>
      </c>
      <c r="B301" s="34">
        <v>43199</v>
      </c>
      <c r="C301" s="35">
        <v>139851</v>
      </c>
      <c r="D301" s="35">
        <v>1313947180</v>
      </c>
      <c r="E301" s="35">
        <v>9600</v>
      </c>
      <c r="F301" s="35">
        <v>9250</v>
      </c>
      <c r="G301" s="35">
        <v>9600</v>
      </c>
      <c r="H301" s="35">
        <v>9395.34</v>
      </c>
      <c r="I301" s="35">
        <v>3.45</v>
      </c>
      <c r="J301" s="35">
        <v>320</v>
      </c>
      <c r="K301" s="71">
        <f>YEAR(Accion[[#This Row],[fecha]])</f>
        <v>2018</v>
      </c>
      <c r="L301" s="79" t="str">
        <f>IF(Accion[[#This Row],[Precio Cierre]]=MAX(Accion[Precio Cierre]),Accion[[#This Row],[Precio Cierre]],"NA")</f>
        <v>NA</v>
      </c>
      <c r="M301" s="79" t="str">
        <f>IF(Accion[[#This Row],[Precio Cierre]]=MIN(Accion[Precio Cierre]),Accion[[#This Row],[Precio Cierre]],"NA")</f>
        <v>NA</v>
      </c>
    </row>
    <row r="302" spans="1:13">
      <c r="A302" s="38" t="s">
        <v>90</v>
      </c>
      <c r="B302" s="34">
        <v>43196</v>
      </c>
      <c r="C302" s="35">
        <v>15585</v>
      </c>
      <c r="D302" s="35">
        <v>144531250</v>
      </c>
      <c r="E302" s="35">
        <v>9280</v>
      </c>
      <c r="F302" s="35">
        <v>9260</v>
      </c>
      <c r="G302" s="35">
        <v>9280</v>
      </c>
      <c r="H302" s="35">
        <v>9273.74</v>
      </c>
      <c r="I302" s="35">
        <v>0.32</v>
      </c>
      <c r="J302" s="35">
        <v>30</v>
      </c>
      <c r="K302" s="71">
        <f>YEAR(Accion[[#This Row],[fecha]])</f>
        <v>2018</v>
      </c>
      <c r="L302" s="79" t="str">
        <f>IF(Accion[[#This Row],[Precio Cierre]]=MAX(Accion[Precio Cierre]),Accion[[#This Row],[Precio Cierre]],"NA")</f>
        <v>NA</v>
      </c>
      <c r="M302" s="79" t="str">
        <f>IF(Accion[[#This Row],[Precio Cierre]]=MIN(Accion[Precio Cierre]),Accion[[#This Row],[Precio Cierre]],"NA")</f>
        <v>NA</v>
      </c>
    </row>
    <row r="303" spans="1:13">
      <c r="A303" s="38" t="s">
        <v>90</v>
      </c>
      <c r="B303" s="34">
        <v>43195</v>
      </c>
      <c r="C303" s="35">
        <v>937989</v>
      </c>
      <c r="D303" s="35">
        <v>8710870710</v>
      </c>
      <c r="E303" s="35">
        <v>9300</v>
      </c>
      <c r="F303" s="35">
        <v>9200</v>
      </c>
      <c r="G303" s="35">
        <v>9250</v>
      </c>
      <c r="H303" s="35">
        <v>9286.75</v>
      </c>
      <c r="I303" s="35">
        <v>1.76</v>
      </c>
      <c r="J303" s="35">
        <v>160</v>
      </c>
      <c r="K303" s="71">
        <f>YEAR(Accion[[#This Row],[fecha]])</f>
        <v>2018</v>
      </c>
      <c r="L303" s="79" t="str">
        <f>IF(Accion[[#This Row],[Precio Cierre]]=MAX(Accion[Precio Cierre]),Accion[[#This Row],[Precio Cierre]],"NA")</f>
        <v>NA</v>
      </c>
      <c r="M303" s="79" t="str">
        <f>IF(Accion[[#This Row],[Precio Cierre]]=MIN(Accion[Precio Cierre]),Accion[[#This Row],[Precio Cierre]],"NA")</f>
        <v>NA</v>
      </c>
    </row>
    <row r="304" spans="1:13">
      <c r="A304" s="38" t="s">
        <v>90</v>
      </c>
      <c r="B304" s="34">
        <v>43194</v>
      </c>
      <c r="C304" s="35">
        <v>340603</v>
      </c>
      <c r="D304" s="35">
        <v>3093937860</v>
      </c>
      <c r="E304" s="35">
        <v>9240</v>
      </c>
      <c r="F304" s="35">
        <v>9000</v>
      </c>
      <c r="G304" s="35">
        <v>9090</v>
      </c>
      <c r="H304" s="35">
        <v>9083.7099999999991</v>
      </c>
      <c r="I304" s="35">
        <v>0</v>
      </c>
      <c r="J304" s="35">
        <v>0</v>
      </c>
      <c r="K304" s="71">
        <f>YEAR(Accion[[#This Row],[fecha]])</f>
        <v>2018</v>
      </c>
      <c r="L304" s="79" t="str">
        <f>IF(Accion[[#This Row],[Precio Cierre]]=MAX(Accion[Precio Cierre]),Accion[[#This Row],[Precio Cierre]],"NA")</f>
        <v>NA</v>
      </c>
      <c r="M304" s="79" t="str">
        <f>IF(Accion[[#This Row],[Precio Cierre]]=MIN(Accion[Precio Cierre]),Accion[[#This Row],[Precio Cierre]],"NA")</f>
        <v>NA</v>
      </c>
    </row>
    <row r="305" spans="1:13">
      <c r="A305" s="38" t="s">
        <v>90</v>
      </c>
      <c r="B305" s="34">
        <v>43193</v>
      </c>
      <c r="C305" s="35">
        <v>1019783</v>
      </c>
      <c r="D305" s="35">
        <v>9280221530</v>
      </c>
      <c r="E305" s="35">
        <v>9190</v>
      </c>
      <c r="F305" s="35">
        <v>9060</v>
      </c>
      <c r="G305" s="35">
        <v>9090</v>
      </c>
      <c r="H305" s="35">
        <v>9100.19</v>
      </c>
      <c r="I305" s="35">
        <v>-0.11</v>
      </c>
      <c r="J305" s="35">
        <v>-10</v>
      </c>
      <c r="K305" s="71">
        <f>YEAR(Accion[[#This Row],[fecha]])</f>
        <v>2018</v>
      </c>
      <c r="L305" s="79" t="str">
        <f>IF(Accion[[#This Row],[Precio Cierre]]=MAX(Accion[Precio Cierre]),Accion[[#This Row],[Precio Cierre]],"NA")</f>
        <v>NA</v>
      </c>
      <c r="M305" s="79" t="str">
        <f>IF(Accion[[#This Row],[Precio Cierre]]=MIN(Accion[Precio Cierre]),Accion[[#This Row],[Precio Cierre]],"NA")</f>
        <v>NA</v>
      </c>
    </row>
    <row r="306" spans="1:13">
      <c r="A306" s="38" t="s">
        <v>90</v>
      </c>
      <c r="B306" s="34">
        <v>43192</v>
      </c>
      <c r="C306" s="35">
        <v>111753</v>
      </c>
      <c r="D306" s="35">
        <v>1000920500</v>
      </c>
      <c r="E306" s="35">
        <v>9100</v>
      </c>
      <c r="F306" s="35">
        <v>8830</v>
      </c>
      <c r="G306" s="35">
        <v>9100</v>
      </c>
      <c r="H306" s="35">
        <v>8956.5400000000009</v>
      </c>
      <c r="I306" s="35">
        <v>2.25</v>
      </c>
      <c r="J306" s="35">
        <v>200</v>
      </c>
      <c r="K306" s="71">
        <f>YEAR(Accion[[#This Row],[fecha]])</f>
        <v>2018</v>
      </c>
      <c r="L306" s="79" t="str">
        <f>IF(Accion[[#This Row],[Precio Cierre]]=MAX(Accion[Precio Cierre]),Accion[[#This Row],[Precio Cierre]],"NA")</f>
        <v>NA</v>
      </c>
      <c r="M306" s="79" t="str">
        <f>IF(Accion[[#This Row],[Precio Cierre]]=MIN(Accion[Precio Cierre]),Accion[[#This Row],[Precio Cierre]],"NA")</f>
        <v>NA</v>
      </c>
    </row>
    <row r="307" spans="1:13">
      <c r="A307" s="38" t="s">
        <v>90</v>
      </c>
      <c r="B307" s="34">
        <v>43187</v>
      </c>
      <c r="C307" s="35">
        <v>1282774</v>
      </c>
      <c r="D307" s="35">
        <v>11416305900</v>
      </c>
      <c r="E307" s="35">
        <v>9000</v>
      </c>
      <c r="F307" s="35">
        <v>8700</v>
      </c>
      <c r="G307" s="35">
        <v>8900</v>
      </c>
      <c r="H307" s="35">
        <v>8899.7000000000007</v>
      </c>
      <c r="I307" s="35">
        <v>2.2999999999999998</v>
      </c>
      <c r="J307" s="35">
        <v>200</v>
      </c>
      <c r="K307" s="71">
        <f>YEAR(Accion[[#This Row],[fecha]])</f>
        <v>2018</v>
      </c>
      <c r="L307" s="79" t="str">
        <f>IF(Accion[[#This Row],[Precio Cierre]]=MAX(Accion[Precio Cierre]),Accion[[#This Row],[Precio Cierre]],"NA")</f>
        <v>NA</v>
      </c>
      <c r="M307" s="79" t="str">
        <f>IF(Accion[[#This Row],[Precio Cierre]]=MIN(Accion[Precio Cierre]),Accion[[#This Row],[Precio Cierre]],"NA")</f>
        <v>NA</v>
      </c>
    </row>
    <row r="308" spans="1:13">
      <c r="A308" s="38" t="s">
        <v>90</v>
      </c>
      <c r="B308" s="34">
        <v>43186</v>
      </c>
      <c r="C308" s="35">
        <v>276766</v>
      </c>
      <c r="D308" s="35">
        <v>2409603090</v>
      </c>
      <c r="E308" s="35">
        <v>8840</v>
      </c>
      <c r="F308" s="35">
        <v>8400</v>
      </c>
      <c r="G308" s="35">
        <v>8700</v>
      </c>
      <c r="H308" s="35">
        <v>8706.2800000000007</v>
      </c>
      <c r="I308" s="35">
        <v>1.1599999999999999</v>
      </c>
      <c r="J308" s="35">
        <v>100</v>
      </c>
      <c r="K308" s="71">
        <f>YEAR(Accion[[#This Row],[fecha]])</f>
        <v>2018</v>
      </c>
      <c r="L308" s="79" t="str">
        <f>IF(Accion[[#This Row],[Precio Cierre]]=MAX(Accion[Precio Cierre]),Accion[[#This Row],[Precio Cierre]],"NA")</f>
        <v>NA</v>
      </c>
      <c r="M308" s="79" t="str">
        <f>IF(Accion[[#This Row],[Precio Cierre]]=MIN(Accion[Precio Cierre]),Accion[[#This Row],[Precio Cierre]],"NA")</f>
        <v>NA</v>
      </c>
    </row>
    <row r="309" spans="1:13">
      <c r="A309" s="38" t="s">
        <v>90</v>
      </c>
      <c r="B309" s="34">
        <v>43185</v>
      </c>
      <c r="C309" s="35">
        <v>386481</v>
      </c>
      <c r="D309" s="35">
        <v>3301841860</v>
      </c>
      <c r="E309" s="35">
        <v>8680</v>
      </c>
      <c r="F309" s="35">
        <v>8490</v>
      </c>
      <c r="G309" s="35">
        <v>8600</v>
      </c>
      <c r="H309" s="35">
        <v>8543.35</v>
      </c>
      <c r="I309" s="35">
        <v>0.94</v>
      </c>
      <c r="J309" s="35">
        <v>80</v>
      </c>
      <c r="K309" s="71">
        <f>YEAR(Accion[[#This Row],[fecha]])</f>
        <v>2018</v>
      </c>
      <c r="L309" s="79" t="str">
        <f>IF(Accion[[#This Row],[Precio Cierre]]=MAX(Accion[Precio Cierre]),Accion[[#This Row],[Precio Cierre]],"NA")</f>
        <v>NA</v>
      </c>
      <c r="M309" s="79" t="str">
        <f>IF(Accion[[#This Row],[Precio Cierre]]=MIN(Accion[Precio Cierre]),Accion[[#This Row],[Precio Cierre]],"NA")</f>
        <v>NA</v>
      </c>
    </row>
    <row r="310" spans="1:13">
      <c r="A310" s="38" t="s">
        <v>90</v>
      </c>
      <c r="B310" s="34">
        <v>43182</v>
      </c>
      <c r="C310" s="35">
        <v>382416</v>
      </c>
      <c r="D310" s="35">
        <v>3272719300</v>
      </c>
      <c r="E310" s="35">
        <v>8680</v>
      </c>
      <c r="F310" s="35">
        <v>8500</v>
      </c>
      <c r="G310" s="35">
        <v>8520</v>
      </c>
      <c r="H310" s="35">
        <v>8558.01</v>
      </c>
      <c r="I310" s="35">
        <v>1.91</v>
      </c>
      <c r="J310" s="35">
        <v>160</v>
      </c>
      <c r="K310" s="71">
        <f>YEAR(Accion[[#This Row],[fecha]])</f>
        <v>2018</v>
      </c>
      <c r="L310" s="79" t="str">
        <f>IF(Accion[[#This Row],[Precio Cierre]]=MAX(Accion[Precio Cierre]),Accion[[#This Row],[Precio Cierre]],"NA")</f>
        <v>NA</v>
      </c>
      <c r="M310" s="79" t="str">
        <f>IF(Accion[[#This Row],[Precio Cierre]]=MIN(Accion[Precio Cierre]),Accion[[#This Row],[Precio Cierre]],"NA")</f>
        <v>NA</v>
      </c>
    </row>
    <row r="311" spans="1:13">
      <c r="A311" s="38" t="s">
        <v>90</v>
      </c>
      <c r="B311" s="34">
        <v>43181</v>
      </c>
      <c r="C311" s="35">
        <v>362180</v>
      </c>
      <c r="D311" s="35">
        <v>3167840320</v>
      </c>
      <c r="E311" s="35">
        <v>9010</v>
      </c>
      <c r="F311" s="35">
        <v>8360</v>
      </c>
      <c r="G311" s="35">
        <v>8360</v>
      </c>
      <c r="H311" s="35">
        <v>8746.59</v>
      </c>
      <c r="I311" s="35">
        <v>-7.32</v>
      </c>
      <c r="J311" s="35">
        <v>-660</v>
      </c>
      <c r="K311" s="71">
        <f>YEAR(Accion[[#This Row],[fecha]])</f>
        <v>2018</v>
      </c>
      <c r="L311" s="79" t="str">
        <f>IF(Accion[[#This Row],[Precio Cierre]]=MAX(Accion[Precio Cierre]),Accion[[#This Row],[Precio Cierre]],"NA")</f>
        <v>NA</v>
      </c>
      <c r="M311" s="79" t="str">
        <f>IF(Accion[[#This Row],[Precio Cierre]]=MIN(Accion[Precio Cierre]),Accion[[#This Row],[Precio Cierre]],"NA")</f>
        <v>NA</v>
      </c>
    </row>
    <row r="312" spans="1:13">
      <c r="A312" s="38" t="s">
        <v>90</v>
      </c>
      <c r="B312" s="34">
        <v>43180</v>
      </c>
      <c r="C312" s="35">
        <v>215011</v>
      </c>
      <c r="D312" s="35">
        <v>1917694880</v>
      </c>
      <c r="E312" s="35">
        <v>9080</v>
      </c>
      <c r="F312" s="35">
        <v>8800</v>
      </c>
      <c r="G312" s="35">
        <v>9020</v>
      </c>
      <c r="H312" s="35">
        <v>8919.0499999999993</v>
      </c>
      <c r="I312" s="35">
        <v>0.22</v>
      </c>
      <c r="J312" s="35">
        <v>20</v>
      </c>
      <c r="K312" s="71">
        <f>YEAR(Accion[[#This Row],[fecha]])</f>
        <v>2018</v>
      </c>
      <c r="L312" s="79" t="str">
        <f>IF(Accion[[#This Row],[Precio Cierre]]=MAX(Accion[Precio Cierre]),Accion[[#This Row],[Precio Cierre]],"NA")</f>
        <v>NA</v>
      </c>
      <c r="M312" s="79" t="str">
        <f>IF(Accion[[#This Row],[Precio Cierre]]=MIN(Accion[Precio Cierre]),Accion[[#This Row],[Precio Cierre]],"NA")</f>
        <v>NA</v>
      </c>
    </row>
    <row r="313" spans="1:13">
      <c r="A313" s="38" t="s">
        <v>90</v>
      </c>
      <c r="B313" s="34">
        <v>43179</v>
      </c>
      <c r="C313" s="35">
        <v>159574</v>
      </c>
      <c r="D313" s="35">
        <v>1435785100</v>
      </c>
      <c r="E313" s="35">
        <v>9340</v>
      </c>
      <c r="F313" s="35">
        <v>8920</v>
      </c>
      <c r="G313" s="35">
        <v>9000</v>
      </c>
      <c r="H313" s="35">
        <v>8997.61</v>
      </c>
      <c r="I313" s="35">
        <v>-0.66</v>
      </c>
      <c r="J313" s="35">
        <v>-60</v>
      </c>
      <c r="K313" s="71">
        <f>YEAR(Accion[[#This Row],[fecha]])</f>
        <v>2018</v>
      </c>
      <c r="L313" s="79" t="str">
        <f>IF(Accion[[#This Row],[Precio Cierre]]=MAX(Accion[Precio Cierre]),Accion[[#This Row],[Precio Cierre]],"NA")</f>
        <v>NA</v>
      </c>
      <c r="M313" s="79" t="str">
        <f>IF(Accion[[#This Row],[Precio Cierre]]=MIN(Accion[Precio Cierre]),Accion[[#This Row],[Precio Cierre]],"NA")</f>
        <v>NA</v>
      </c>
    </row>
    <row r="314" spans="1:13">
      <c r="A314" s="38" t="s">
        <v>90</v>
      </c>
      <c r="B314" s="34">
        <v>43175</v>
      </c>
      <c r="C314" s="35">
        <v>1150879</v>
      </c>
      <c r="D314" s="35">
        <v>10438303050</v>
      </c>
      <c r="E314" s="35">
        <v>9250</v>
      </c>
      <c r="F314" s="35">
        <v>9060</v>
      </c>
      <c r="G314" s="35">
        <v>9060</v>
      </c>
      <c r="H314" s="35">
        <v>9069.85</v>
      </c>
      <c r="I314" s="35">
        <v>-3.62</v>
      </c>
      <c r="J314" s="35">
        <v>-340</v>
      </c>
      <c r="K314" s="71">
        <f>YEAR(Accion[[#This Row],[fecha]])</f>
        <v>2018</v>
      </c>
      <c r="L314" s="79" t="str">
        <f>IF(Accion[[#This Row],[Precio Cierre]]=MAX(Accion[Precio Cierre]),Accion[[#This Row],[Precio Cierre]],"NA")</f>
        <v>NA</v>
      </c>
      <c r="M314" s="79" t="str">
        <f>IF(Accion[[#This Row],[Precio Cierre]]=MIN(Accion[Precio Cierre]),Accion[[#This Row],[Precio Cierre]],"NA")</f>
        <v>NA</v>
      </c>
    </row>
    <row r="315" spans="1:13">
      <c r="A315" s="38" t="s">
        <v>90</v>
      </c>
      <c r="B315" s="34">
        <v>43174</v>
      </c>
      <c r="C315" s="35">
        <v>164868</v>
      </c>
      <c r="D315" s="35">
        <v>1557391930</v>
      </c>
      <c r="E315" s="35">
        <v>9450</v>
      </c>
      <c r="F315" s="35">
        <v>9400</v>
      </c>
      <c r="G315" s="35">
        <v>9400</v>
      </c>
      <c r="H315" s="35">
        <v>9446.2999999999993</v>
      </c>
      <c r="I315" s="35">
        <v>-0.32</v>
      </c>
      <c r="J315" s="35">
        <v>-30</v>
      </c>
      <c r="K315" s="71">
        <f>YEAR(Accion[[#This Row],[fecha]])</f>
        <v>2018</v>
      </c>
      <c r="L315" s="79" t="str">
        <f>IF(Accion[[#This Row],[Precio Cierre]]=MAX(Accion[Precio Cierre]),Accion[[#This Row],[Precio Cierre]],"NA")</f>
        <v>NA</v>
      </c>
      <c r="M315" s="79" t="str">
        <f>IF(Accion[[#This Row],[Precio Cierre]]=MIN(Accion[Precio Cierre]),Accion[[#This Row],[Precio Cierre]],"NA")</f>
        <v>NA</v>
      </c>
    </row>
    <row r="316" spans="1:13">
      <c r="A316" s="38" t="s">
        <v>90</v>
      </c>
      <c r="B316" s="34">
        <v>43173</v>
      </c>
      <c r="C316" s="35">
        <v>128131</v>
      </c>
      <c r="D316" s="35">
        <v>1195770830</v>
      </c>
      <c r="E316" s="35">
        <v>9510</v>
      </c>
      <c r="F316" s="35">
        <v>9000</v>
      </c>
      <c r="G316" s="35">
        <v>9430</v>
      </c>
      <c r="H316" s="35">
        <v>9332.41</v>
      </c>
      <c r="I316" s="35">
        <v>-1.77</v>
      </c>
      <c r="J316" s="35">
        <v>-170</v>
      </c>
      <c r="K316" s="71">
        <f>YEAR(Accion[[#This Row],[fecha]])</f>
        <v>2018</v>
      </c>
      <c r="L316" s="79" t="str">
        <f>IF(Accion[[#This Row],[Precio Cierre]]=MAX(Accion[Precio Cierre]),Accion[[#This Row],[Precio Cierre]],"NA")</f>
        <v>NA</v>
      </c>
      <c r="M316" s="79" t="str">
        <f>IF(Accion[[#This Row],[Precio Cierre]]=MIN(Accion[Precio Cierre]),Accion[[#This Row],[Precio Cierre]],"NA")</f>
        <v>NA</v>
      </c>
    </row>
    <row r="317" spans="1:13">
      <c r="A317" s="38" t="s">
        <v>90</v>
      </c>
      <c r="B317" s="34">
        <v>43172</v>
      </c>
      <c r="C317" s="35">
        <v>55809</v>
      </c>
      <c r="D317" s="35">
        <v>532509330</v>
      </c>
      <c r="E317" s="35">
        <v>9600</v>
      </c>
      <c r="F317" s="35">
        <v>9500</v>
      </c>
      <c r="G317" s="35">
        <v>9600</v>
      </c>
      <c r="H317" s="35">
        <v>9541.64</v>
      </c>
      <c r="I317" s="35">
        <v>-0.62</v>
      </c>
      <c r="J317" s="35">
        <v>-60</v>
      </c>
      <c r="K317" s="71">
        <f>YEAR(Accion[[#This Row],[fecha]])</f>
        <v>2018</v>
      </c>
      <c r="L317" s="79" t="str">
        <f>IF(Accion[[#This Row],[Precio Cierre]]=MAX(Accion[Precio Cierre]),Accion[[#This Row],[Precio Cierre]],"NA")</f>
        <v>NA</v>
      </c>
      <c r="M317" s="79" t="str">
        <f>IF(Accion[[#This Row],[Precio Cierre]]=MIN(Accion[Precio Cierre]),Accion[[#This Row],[Precio Cierre]],"NA")</f>
        <v>NA</v>
      </c>
    </row>
    <row r="318" spans="1:13">
      <c r="A318" s="38" t="s">
        <v>90</v>
      </c>
      <c r="B318" s="34">
        <v>43171</v>
      </c>
      <c r="C318" s="35">
        <v>18175</v>
      </c>
      <c r="D318" s="35">
        <v>174558890</v>
      </c>
      <c r="E318" s="35">
        <v>9660</v>
      </c>
      <c r="F318" s="35">
        <v>9500</v>
      </c>
      <c r="G318" s="35">
        <v>9660</v>
      </c>
      <c r="H318" s="35">
        <v>9604.34</v>
      </c>
      <c r="I318" s="35">
        <v>0.63</v>
      </c>
      <c r="J318" s="35">
        <v>60</v>
      </c>
      <c r="K318" s="71">
        <f>YEAR(Accion[[#This Row],[fecha]])</f>
        <v>2018</v>
      </c>
      <c r="L318" s="79" t="str">
        <f>IF(Accion[[#This Row],[Precio Cierre]]=MAX(Accion[Precio Cierre]),Accion[[#This Row],[Precio Cierre]],"NA")</f>
        <v>NA</v>
      </c>
      <c r="M318" s="79" t="str">
        <f>IF(Accion[[#This Row],[Precio Cierre]]=MIN(Accion[Precio Cierre]),Accion[[#This Row],[Precio Cierre]],"NA")</f>
        <v>NA</v>
      </c>
    </row>
    <row r="319" spans="1:13">
      <c r="A319" s="38" t="s">
        <v>90</v>
      </c>
      <c r="B319" s="34">
        <v>43168</v>
      </c>
      <c r="C319" s="35">
        <v>110501</v>
      </c>
      <c r="D319" s="35">
        <v>1054117760</v>
      </c>
      <c r="E319" s="35">
        <v>9600</v>
      </c>
      <c r="F319" s="35">
        <v>9500</v>
      </c>
      <c r="G319" s="35">
        <v>9600</v>
      </c>
      <c r="H319" s="35">
        <v>9539.44</v>
      </c>
      <c r="I319" s="35">
        <v>-0.83</v>
      </c>
      <c r="J319" s="35">
        <v>-80</v>
      </c>
      <c r="K319" s="71">
        <f>YEAR(Accion[[#This Row],[fecha]])</f>
        <v>2018</v>
      </c>
      <c r="L319" s="79" t="str">
        <f>IF(Accion[[#This Row],[Precio Cierre]]=MAX(Accion[Precio Cierre]),Accion[[#This Row],[Precio Cierre]],"NA")</f>
        <v>NA</v>
      </c>
      <c r="M319" s="79" t="str">
        <f>IF(Accion[[#This Row],[Precio Cierre]]=MIN(Accion[Precio Cierre]),Accion[[#This Row],[Precio Cierre]],"NA")</f>
        <v>NA</v>
      </c>
    </row>
    <row r="320" spans="1:13">
      <c r="A320" s="38" t="s">
        <v>90</v>
      </c>
      <c r="B320" s="34">
        <v>43167</v>
      </c>
      <c r="C320" s="35">
        <v>24033</v>
      </c>
      <c r="D320" s="35">
        <v>229355610</v>
      </c>
      <c r="E320" s="35">
        <v>9680</v>
      </c>
      <c r="F320" s="35">
        <v>9450</v>
      </c>
      <c r="G320" s="35">
        <v>9680</v>
      </c>
      <c r="H320" s="35">
        <v>9543.36</v>
      </c>
      <c r="I320" s="35">
        <v>2.2200000000000002</v>
      </c>
      <c r="J320" s="35">
        <v>210</v>
      </c>
      <c r="K320" s="71">
        <f>YEAR(Accion[[#This Row],[fecha]])</f>
        <v>2018</v>
      </c>
      <c r="L320" s="79" t="str">
        <f>IF(Accion[[#This Row],[Precio Cierre]]=MAX(Accion[Precio Cierre]),Accion[[#This Row],[Precio Cierre]],"NA")</f>
        <v>NA</v>
      </c>
      <c r="M320" s="79" t="str">
        <f>IF(Accion[[#This Row],[Precio Cierre]]=MIN(Accion[Precio Cierre]),Accion[[#This Row],[Precio Cierre]],"NA")</f>
        <v>NA</v>
      </c>
    </row>
    <row r="321" spans="1:13">
      <c r="A321" s="38" t="s">
        <v>90</v>
      </c>
      <c r="B321" s="34">
        <v>43166</v>
      </c>
      <c r="C321" s="35">
        <v>42144</v>
      </c>
      <c r="D321" s="35">
        <v>402656240</v>
      </c>
      <c r="E321" s="35">
        <v>9680</v>
      </c>
      <c r="F321" s="35">
        <v>9470</v>
      </c>
      <c r="G321" s="35">
        <v>9470</v>
      </c>
      <c r="H321" s="35">
        <v>9554.2999999999993</v>
      </c>
      <c r="I321" s="35">
        <v>-1.97</v>
      </c>
      <c r="J321" s="35">
        <v>-190</v>
      </c>
      <c r="K321" s="71">
        <f>YEAR(Accion[[#This Row],[fecha]])</f>
        <v>2018</v>
      </c>
      <c r="L321" s="79" t="str">
        <f>IF(Accion[[#This Row],[Precio Cierre]]=MAX(Accion[Precio Cierre]),Accion[[#This Row],[Precio Cierre]],"NA")</f>
        <v>NA</v>
      </c>
      <c r="M321" s="79" t="str">
        <f>IF(Accion[[#This Row],[Precio Cierre]]=MIN(Accion[Precio Cierre]),Accion[[#This Row],[Precio Cierre]],"NA")</f>
        <v>NA</v>
      </c>
    </row>
    <row r="322" spans="1:13">
      <c r="A322" s="38" t="s">
        <v>90</v>
      </c>
      <c r="B322" s="34">
        <v>43165</v>
      </c>
      <c r="C322" s="35">
        <v>830919</v>
      </c>
      <c r="D322" s="35">
        <v>8091896490</v>
      </c>
      <c r="E322" s="35">
        <v>9750</v>
      </c>
      <c r="F322" s="35">
        <v>9650</v>
      </c>
      <c r="G322" s="35">
        <v>9660</v>
      </c>
      <c r="H322" s="35">
        <v>9738.49</v>
      </c>
      <c r="I322" s="35">
        <v>-0.92</v>
      </c>
      <c r="J322" s="35">
        <v>-90</v>
      </c>
      <c r="K322" s="71">
        <f>YEAR(Accion[[#This Row],[fecha]])</f>
        <v>2018</v>
      </c>
      <c r="L322" s="79" t="str">
        <f>IF(Accion[[#This Row],[Precio Cierre]]=MAX(Accion[Precio Cierre]),Accion[[#This Row],[Precio Cierre]],"NA")</f>
        <v>NA</v>
      </c>
      <c r="M322" s="79" t="str">
        <f>IF(Accion[[#This Row],[Precio Cierre]]=MIN(Accion[Precio Cierre]),Accion[[#This Row],[Precio Cierre]],"NA")</f>
        <v>NA</v>
      </c>
    </row>
    <row r="323" spans="1:13">
      <c r="A323" s="38" t="s">
        <v>90</v>
      </c>
      <c r="B323" s="34">
        <v>43164</v>
      </c>
      <c r="C323" s="35">
        <v>1212658</v>
      </c>
      <c r="D323" s="35">
        <v>11557680670</v>
      </c>
      <c r="E323" s="35">
        <v>9750</v>
      </c>
      <c r="F323" s="35">
        <v>9450</v>
      </c>
      <c r="G323" s="35">
        <v>9750</v>
      </c>
      <c r="H323" s="35">
        <v>9530.8700000000008</v>
      </c>
      <c r="I323" s="35">
        <v>3.72</v>
      </c>
      <c r="J323" s="35">
        <v>350</v>
      </c>
      <c r="K323" s="71">
        <f>YEAR(Accion[[#This Row],[fecha]])</f>
        <v>2018</v>
      </c>
      <c r="L323" s="79" t="str">
        <f>IF(Accion[[#This Row],[Precio Cierre]]=MAX(Accion[Precio Cierre]),Accion[[#This Row],[Precio Cierre]],"NA")</f>
        <v>NA</v>
      </c>
      <c r="M323" s="79" t="str">
        <f>IF(Accion[[#This Row],[Precio Cierre]]=MIN(Accion[Precio Cierre]),Accion[[#This Row],[Precio Cierre]],"NA")</f>
        <v>NA</v>
      </c>
    </row>
    <row r="324" spans="1:13">
      <c r="A324" s="38" t="s">
        <v>90</v>
      </c>
      <c r="B324" s="34">
        <v>43161</v>
      </c>
      <c r="C324" s="35">
        <v>7381</v>
      </c>
      <c r="D324" s="35">
        <v>69015930</v>
      </c>
      <c r="E324" s="35">
        <v>9400</v>
      </c>
      <c r="F324" s="35">
        <v>9300</v>
      </c>
      <c r="G324" s="35">
        <v>9400</v>
      </c>
      <c r="H324" s="35">
        <v>9350.49</v>
      </c>
      <c r="I324" s="35">
        <v>1.18</v>
      </c>
      <c r="J324" s="35">
        <v>110</v>
      </c>
      <c r="K324" s="71">
        <f>YEAR(Accion[[#This Row],[fecha]])</f>
        <v>2018</v>
      </c>
      <c r="L324" s="79" t="str">
        <f>IF(Accion[[#This Row],[Precio Cierre]]=MAX(Accion[Precio Cierre]),Accion[[#This Row],[Precio Cierre]],"NA")</f>
        <v>NA</v>
      </c>
      <c r="M324" s="79" t="str">
        <f>IF(Accion[[#This Row],[Precio Cierre]]=MIN(Accion[Precio Cierre]),Accion[[#This Row],[Precio Cierre]],"NA")</f>
        <v>NA</v>
      </c>
    </row>
    <row r="325" spans="1:13">
      <c r="A325" s="38" t="s">
        <v>90</v>
      </c>
      <c r="B325" s="34">
        <v>43160</v>
      </c>
      <c r="C325" s="35">
        <v>84561</v>
      </c>
      <c r="D325" s="35">
        <v>792066200</v>
      </c>
      <c r="E325" s="35">
        <v>9430</v>
      </c>
      <c r="F325" s="35">
        <v>9270</v>
      </c>
      <c r="G325" s="35">
        <v>9290</v>
      </c>
      <c r="H325" s="35">
        <v>9366.7999999999993</v>
      </c>
      <c r="I325" s="35">
        <v>-1.48</v>
      </c>
      <c r="J325" s="35">
        <v>-140</v>
      </c>
      <c r="K325" s="71">
        <f>YEAR(Accion[[#This Row],[fecha]])</f>
        <v>2018</v>
      </c>
      <c r="L325" s="79" t="str">
        <f>IF(Accion[[#This Row],[Precio Cierre]]=MAX(Accion[Precio Cierre]),Accion[[#This Row],[Precio Cierre]],"NA")</f>
        <v>NA</v>
      </c>
      <c r="M325" s="79" t="str">
        <f>IF(Accion[[#This Row],[Precio Cierre]]=MIN(Accion[Precio Cierre]),Accion[[#This Row],[Precio Cierre]],"NA")</f>
        <v>NA</v>
      </c>
    </row>
    <row r="326" spans="1:13">
      <c r="A326" s="38" t="s">
        <v>90</v>
      </c>
      <c r="B326" s="34">
        <v>43159</v>
      </c>
      <c r="C326" s="35">
        <v>121383</v>
      </c>
      <c r="D326" s="35">
        <v>1137893150</v>
      </c>
      <c r="E326" s="35">
        <v>9500</v>
      </c>
      <c r="F326" s="35">
        <v>9200</v>
      </c>
      <c r="G326" s="35">
        <v>9430</v>
      </c>
      <c r="H326" s="35">
        <v>9374.4</v>
      </c>
      <c r="I326" s="35">
        <v>-0.74</v>
      </c>
      <c r="J326" s="35">
        <v>-70</v>
      </c>
      <c r="K326" s="71">
        <f>YEAR(Accion[[#This Row],[fecha]])</f>
        <v>2018</v>
      </c>
      <c r="L326" s="79" t="str">
        <f>IF(Accion[[#This Row],[Precio Cierre]]=MAX(Accion[Precio Cierre]),Accion[[#This Row],[Precio Cierre]],"NA")</f>
        <v>NA</v>
      </c>
      <c r="M326" s="79" t="str">
        <f>IF(Accion[[#This Row],[Precio Cierre]]=MIN(Accion[Precio Cierre]),Accion[[#This Row],[Precio Cierre]],"NA")</f>
        <v>NA</v>
      </c>
    </row>
    <row r="327" spans="1:13">
      <c r="A327" s="38" t="s">
        <v>90</v>
      </c>
      <c r="B327" s="34">
        <v>43158</v>
      </c>
      <c r="C327" s="35">
        <v>284112</v>
      </c>
      <c r="D327" s="35">
        <v>2735967950</v>
      </c>
      <c r="E327" s="35">
        <v>9810</v>
      </c>
      <c r="F327" s="35">
        <v>9470</v>
      </c>
      <c r="G327" s="35">
        <v>9500</v>
      </c>
      <c r="H327" s="35">
        <v>9629.89</v>
      </c>
      <c r="I327" s="35">
        <v>-3.26</v>
      </c>
      <c r="J327" s="35">
        <v>-320</v>
      </c>
      <c r="K327" s="71">
        <f>YEAR(Accion[[#This Row],[fecha]])</f>
        <v>2018</v>
      </c>
      <c r="L327" s="79" t="str">
        <f>IF(Accion[[#This Row],[Precio Cierre]]=MAX(Accion[Precio Cierre]),Accion[[#This Row],[Precio Cierre]],"NA")</f>
        <v>NA</v>
      </c>
      <c r="M327" s="79" t="str">
        <f>IF(Accion[[#This Row],[Precio Cierre]]=MIN(Accion[Precio Cierre]),Accion[[#This Row],[Precio Cierre]],"NA")</f>
        <v>NA</v>
      </c>
    </row>
    <row r="328" spans="1:13">
      <c r="A328" s="38" t="s">
        <v>90</v>
      </c>
      <c r="B328" s="34">
        <v>43157</v>
      </c>
      <c r="C328" s="35">
        <v>242281</v>
      </c>
      <c r="D328" s="35">
        <v>2406431800</v>
      </c>
      <c r="E328" s="35">
        <v>10020</v>
      </c>
      <c r="F328" s="35">
        <v>9820</v>
      </c>
      <c r="G328" s="35">
        <v>9820</v>
      </c>
      <c r="H328" s="35">
        <v>9932.4</v>
      </c>
      <c r="I328" s="35">
        <v>-2.19</v>
      </c>
      <c r="J328" s="35">
        <v>-220</v>
      </c>
      <c r="K328" s="71">
        <f>YEAR(Accion[[#This Row],[fecha]])</f>
        <v>2018</v>
      </c>
      <c r="L328" s="79" t="str">
        <f>IF(Accion[[#This Row],[Precio Cierre]]=MAX(Accion[Precio Cierre]),Accion[[#This Row],[Precio Cierre]],"NA")</f>
        <v>NA</v>
      </c>
      <c r="M328" s="79" t="str">
        <f>IF(Accion[[#This Row],[Precio Cierre]]=MIN(Accion[Precio Cierre]),Accion[[#This Row],[Precio Cierre]],"NA")</f>
        <v>NA</v>
      </c>
    </row>
    <row r="329" spans="1:13">
      <c r="A329" s="38" t="s">
        <v>90</v>
      </c>
      <c r="B329" s="34">
        <v>43154</v>
      </c>
      <c r="C329" s="35">
        <v>73323</v>
      </c>
      <c r="D329" s="35">
        <v>735770700</v>
      </c>
      <c r="E329" s="35">
        <v>10100</v>
      </c>
      <c r="F329" s="35">
        <v>10000</v>
      </c>
      <c r="G329" s="35">
        <v>10040</v>
      </c>
      <c r="H329" s="35">
        <v>10034.65</v>
      </c>
      <c r="I329" s="35">
        <v>-0.2</v>
      </c>
      <c r="J329" s="35">
        <v>-20</v>
      </c>
      <c r="K329" s="71">
        <f>YEAR(Accion[[#This Row],[fecha]])</f>
        <v>2018</v>
      </c>
      <c r="L329" s="79" t="str">
        <f>IF(Accion[[#This Row],[Precio Cierre]]=MAX(Accion[Precio Cierre]),Accion[[#This Row],[Precio Cierre]],"NA")</f>
        <v>NA</v>
      </c>
      <c r="M329" s="79" t="str">
        <f>IF(Accion[[#This Row],[Precio Cierre]]=MIN(Accion[Precio Cierre]),Accion[[#This Row],[Precio Cierre]],"NA")</f>
        <v>NA</v>
      </c>
    </row>
    <row r="330" spans="1:13">
      <c r="A330" s="38" t="s">
        <v>90</v>
      </c>
      <c r="B330" s="34">
        <v>43153</v>
      </c>
      <c r="C330" s="35">
        <v>297722</v>
      </c>
      <c r="D330" s="35">
        <v>3004581340</v>
      </c>
      <c r="E330" s="35">
        <v>10260</v>
      </c>
      <c r="F330" s="35">
        <v>10020</v>
      </c>
      <c r="G330" s="35">
        <v>10060</v>
      </c>
      <c r="H330" s="35">
        <v>10091.9</v>
      </c>
      <c r="I330" s="35">
        <v>-0.4</v>
      </c>
      <c r="J330" s="35">
        <v>-40</v>
      </c>
      <c r="K330" s="71">
        <f>YEAR(Accion[[#This Row],[fecha]])</f>
        <v>2018</v>
      </c>
      <c r="L330" s="79" t="str">
        <f>IF(Accion[[#This Row],[Precio Cierre]]=MAX(Accion[Precio Cierre]),Accion[[#This Row],[Precio Cierre]],"NA")</f>
        <v>NA</v>
      </c>
      <c r="M330" s="79" t="str">
        <f>IF(Accion[[#This Row],[Precio Cierre]]=MIN(Accion[Precio Cierre]),Accion[[#This Row],[Precio Cierre]],"NA")</f>
        <v>NA</v>
      </c>
    </row>
    <row r="331" spans="1:13">
      <c r="A331" s="38" t="s">
        <v>90</v>
      </c>
      <c r="B331" s="34">
        <v>43152</v>
      </c>
      <c r="C331" s="35">
        <v>54215</v>
      </c>
      <c r="D331" s="35">
        <v>547044900</v>
      </c>
      <c r="E331" s="35">
        <v>10120</v>
      </c>
      <c r="F331" s="35">
        <v>10000</v>
      </c>
      <c r="G331" s="35">
        <v>10100</v>
      </c>
      <c r="H331" s="35">
        <v>10090.290000000001</v>
      </c>
      <c r="I331" s="35">
        <v>0.6</v>
      </c>
      <c r="J331" s="35">
        <v>60</v>
      </c>
      <c r="K331" s="71">
        <f>YEAR(Accion[[#This Row],[fecha]])</f>
        <v>2018</v>
      </c>
      <c r="L331" s="79" t="str">
        <f>IF(Accion[[#This Row],[Precio Cierre]]=MAX(Accion[Precio Cierre]),Accion[[#This Row],[Precio Cierre]],"NA")</f>
        <v>NA</v>
      </c>
      <c r="M331" s="79" t="str">
        <f>IF(Accion[[#This Row],[Precio Cierre]]=MIN(Accion[Precio Cierre]),Accion[[#This Row],[Precio Cierre]],"NA")</f>
        <v>NA</v>
      </c>
    </row>
    <row r="332" spans="1:13">
      <c r="A332" s="38" t="s">
        <v>90</v>
      </c>
      <c r="B332" s="34">
        <v>43151</v>
      </c>
      <c r="C332" s="35">
        <v>172191</v>
      </c>
      <c r="D332" s="35">
        <v>1723845690</v>
      </c>
      <c r="E332" s="35">
        <v>10100</v>
      </c>
      <c r="F332" s="35">
        <v>9920</v>
      </c>
      <c r="G332" s="35">
        <v>10040</v>
      </c>
      <c r="H332" s="35">
        <v>10011.24</v>
      </c>
      <c r="I332" s="35">
        <v>-1.18</v>
      </c>
      <c r="J332" s="35">
        <v>-120</v>
      </c>
      <c r="K332" s="71">
        <f>YEAR(Accion[[#This Row],[fecha]])</f>
        <v>2018</v>
      </c>
      <c r="L332" s="79" t="str">
        <f>IF(Accion[[#This Row],[Precio Cierre]]=MAX(Accion[Precio Cierre]),Accion[[#This Row],[Precio Cierre]],"NA")</f>
        <v>NA</v>
      </c>
      <c r="M332" s="79" t="str">
        <f>IF(Accion[[#This Row],[Precio Cierre]]=MIN(Accion[Precio Cierre]),Accion[[#This Row],[Precio Cierre]],"NA")</f>
        <v>NA</v>
      </c>
    </row>
    <row r="333" spans="1:13">
      <c r="A333" s="38" t="s">
        <v>90</v>
      </c>
      <c r="B333" s="34">
        <v>43150</v>
      </c>
      <c r="C333" s="35">
        <v>13618</v>
      </c>
      <c r="D333" s="35">
        <v>137823160</v>
      </c>
      <c r="E333" s="35">
        <v>10200</v>
      </c>
      <c r="F333" s="35">
        <v>10020</v>
      </c>
      <c r="G333" s="35">
        <v>10160</v>
      </c>
      <c r="H333" s="35">
        <v>10120.66</v>
      </c>
      <c r="I333" s="35">
        <v>1.4</v>
      </c>
      <c r="J333" s="35">
        <v>140</v>
      </c>
      <c r="K333" s="71">
        <f>YEAR(Accion[[#This Row],[fecha]])</f>
        <v>2018</v>
      </c>
      <c r="L333" s="79" t="str">
        <f>IF(Accion[[#This Row],[Precio Cierre]]=MAX(Accion[Precio Cierre]),Accion[[#This Row],[Precio Cierre]],"NA")</f>
        <v>NA</v>
      </c>
      <c r="M333" s="79" t="str">
        <f>IF(Accion[[#This Row],[Precio Cierre]]=MIN(Accion[Precio Cierre]),Accion[[#This Row],[Precio Cierre]],"NA")</f>
        <v>NA</v>
      </c>
    </row>
    <row r="334" spans="1:13">
      <c r="A334" s="38" t="s">
        <v>90</v>
      </c>
      <c r="B334" s="34">
        <v>43147</v>
      </c>
      <c r="C334" s="35">
        <v>25016</v>
      </c>
      <c r="D334" s="35">
        <v>251935190</v>
      </c>
      <c r="E334" s="35">
        <v>10120</v>
      </c>
      <c r="F334" s="35">
        <v>10020</v>
      </c>
      <c r="G334" s="35">
        <v>10020</v>
      </c>
      <c r="H334" s="35">
        <v>10070.959999999999</v>
      </c>
      <c r="I334" s="35">
        <v>0.3</v>
      </c>
      <c r="J334" s="35">
        <v>30</v>
      </c>
      <c r="K334" s="71">
        <f>YEAR(Accion[[#This Row],[fecha]])</f>
        <v>2018</v>
      </c>
      <c r="L334" s="79" t="str">
        <f>IF(Accion[[#This Row],[Precio Cierre]]=MAX(Accion[Precio Cierre]),Accion[[#This Row],[Precio Cierre]],"NA")</f>
        <v>NA</v>
      </c>
      <c r="M334" s="79" t="str">
        <f>IF(Accion[[#This Row],[Precio Cierre]]=MIN(Accion[Precio Cierre]),Accion[[#This Row],[Precio Cierre]],"NA")</f>
        <v>NA</v>
      </c>
    </row>
    <row r="335" spans="1:13">
      <c r="A335" s="38" t="s">
        <v>90</v>
      </c>
      <c r="B335" s="34">
        <v>43146</v>
      </c>
      <c r="C335" s="35">
        <v>291156</v>
      </c>
      <c r="D335" s="35">
        <v>2926734360</v>
      </c>
      <c r="E335" s="35">
        <v>10140</v>
      </c>
      <c r="F335" s="35">
        <v>9950</v>
      </c>
      <c r="G335" s="35">
        <v>9990</v>
      </c>
      <c r="H335" s="35">
        <v>10052.120000000001</v>
      </c>
      <c r="I335" s="35">
        <v>0</v>
      </c>
      <c r="J335" s="35">
        <v>0</v>
      </c>
      <c r="K335" s="71">
        <f>YEAR(Accion[[#This Row],[fecha]])</f>
        <v>2018</v>
      </c>
      <c r="L335" s="79" t="str">
        <f>IF(Accion[[#This Row],[Precio Cierre]]=MAX(Accion[Precio Cierre]),Accion[[#This Row],[Precio Cierre]],"NA")</f>
        <v>NA</v>
      </c>
      <c r="M335" s="79" t="str">
        <f>IF(Accion[[#This Row],[Precio Cierre]]=MIN(Accion[Precio Cierre]),Accion[[#This Row],[Precio Cierre]],"NA")</f>
        <v>NA</v>
      </c>
    </row>
    <row r="336" spans="1:13">
      <c r="A336" s="38" t="s">
        <v>90</v>
      </c>
      <c r="B336" s="34">
        <v>43145</v>
      </c>
      <c r="C336" s="35">
        <v>2625038</v>
      </c>
      <c r="D336" s="35">
        <v>25777859460</v>
      </c>
      <c r="E336" s="35">
        <v>10100</v>
      </c>
      <c r="F336" s="35">
        <v>9800</v>
      </c>
      <c r="G336" s="35">
        <v>9990</v>
      </c>
      <c r="H336" s="35">
        <v>9819.99</v>
      </c>
      <c r="I336" s="35">
        <v>-1.0900000000000001</v>
      </c>
      <c r="J336" s="35">
        <v>-110</v>
      </c>
      <c r="K336" s="71">
        <f>YEAR(Accion[[#This Row],[fecha]])</f>
        <v>2018</v>
      </c>
      <c r="L336" s="79" t="str">
        <f>IF(Accion[[#This Row],[Precio Cierre]]=MAX(Accion[Precio Cierre]),Accion[[#This Row],[Precio Cierre]],"NA")</f>
        <v>NA</v>
      </c>
      <c r="M336" s="79" t="str">
        <f>IF(Accion[[#This Row],[Precio Cierre]]=MIN(Accion[Precio Cierre]),Accion[[#This Row],[Precio Cierre]],"NA")</f>
        <v>NA</v>
      </c>
    </row>
    <row r="337" spans="1:13">
      <c r="A337" s="38" t="s">
        <v>90</v>
      </c>
      <c r="B337" s="34">
        <v>43144</v>
      </c>
      <c r="C337" s="35">
        <v>200337</v>
      </c>
      <c r="D337" s="35">
        <v>2031935620</v>
      </c>
      <c r="E337" s="35">
        <v>10360</v>
      </c>
      <c r="F337" s="35">
        <v>10100</v>
      </c>
      <c r="G337" s="35">
        <v>10100</v>
      </c>
      <c r="H337" s="35">
        <v>10142.59</v>
      </c>
      <c r="I337" s="35">
        <v>-0.98</v>
      </c>
      <c r="J337" s="35">
        <v>-100</v>
      </c>
      <c r="K337" s="71">
        <f>YEAR(Accion[[#This Row],[fecha]])</f>
        <v>2018</v>
      </c>
      <c r="L337" s="79" t="str">
        <f>IF(Accion[[#This Row],[Precio Cierre]]=MAX(Accion[Precio Cierre]),Accion[[#This Row],[Precio Cierre]],"NA")</f>
        <v>NA</v>
      </c>
      <c r="M337" s="79" t="str">
        <f>IF(Accion[[#This Row],[Precio Cierre]]=MIN(Accion[Precio Cierre]),Accion[[#This Row],[Precio Cierre]],"NA")</f>
        <v>NA</v>
      </c>
    </row>
    <row r="338" spans="1:13">
      <c r="A338" s="38" t="s">
        <v>90</v>
      </c>
      <c r="B338" s="34">
        <v>43143</v>
      </c>
      <c r="C338" s="35">
        <v>170181</v>
      </c>
      <c r="D338" s="35">
        <v>1753760960</v>
      </c>
      <c r="E338" s="35">
        <v>10500</v>
      </c>
      <c r="F338" s="35">
        <v>10200</v>
      </c>
      <c r="G338" s="35">
        <v>10200</v>
      </c>
      <c r="H338" s="35">
        <v>10305.27</v>
      </c>
      <c r="I338" s="35">
        <v>-0.97</v>
      </c>
      <c r="J338" s="35">
        <v>-100</v>
      </c>
      <c r="K338" s="71">
        <f>YEAR(Accion[[#This Row],[fecha]])</f>
        <v>2018</v>
      </c>
      <c r="L338" s="79" t="str">
        <f>IF(Accion[[#This Row],[Precio Cierre]]=MAX(Accion[Precio Cierre]),Accion[[#This Row],[Precio Cierre]],"NA")</f>
        <v>NA</v>
      </c>
      <c r="M338" s="79" t="str">
        <f>IF(Accion[[#This Row],[Precio Cierre]]=MIN(Accion[Precio Cierre]),Accion[[#This Row],[Precio Cierre]],"NA")</f>
        <v>NA</v>
      </c>
    </row>
    <row r="339" spans="1:13">
      <c r="A339" s="38" t="s">
        <v>90</v>
      </c>
      <c r="B339" s="34">
        <v>43140</v>
      </c>
      <c r="C339" s="35">
        <v>238965</v>
      </c>
      <c r="D339" s="35">
        <v>2465829340</v>
      </c>
      <c r="E339" s="35">
        <v>10520</v>
      </c>
      <c r="F339" s="35">
        <v>10200</v>
      </c>
      <c r="G339" s="35">
        <v>10300</v>
      </c>
      <c r="H339" s="35">
        <v>10318.790000000001</v>
      </c>
      <c r="I339" s="35">
        <v>-2.09</v>
      </c>
      <c r="J339" s="35">
        <v>-220</v>
      </c>
      <c r="K339" s="71">
        <f>YEAR(Accion[[#This Row],[fecha]])</f>
        <v>2018</v>
      </c>
      <c r="L339" s="79" t="str">
        <f>IF(Accion[[#This Row],[Precio Cierre]]=MAX(Accion[Precio Cierre]),Accion[[#This Row],[Precio Cierre]],"NA")</f>
        <v>NA</v>
      </c>
      <c r="M339" s="79" t="str">
        <f>IF(Accion[[#This Row],[Precio Cierre]]=MIN(Accion[Precio Cierre]),Accion[[#This Row],[Precio Cierre]],"NA")</f>
        <v>NA</v>
      </c>
    </row>
    <row r="340" spans="1:13">
      <c r="A340" s="38" t="s">
        <v>90</v>
      </c>
      <c r="B340" s="34">
        <v>43139</v>
      </c>
      <c r="C340" s="35">
        <v>278503</v>
      </c>
      <c r="D340" s="35">
        <v>2955078040</v>
      </c>
      <c r="E340" s="35">
        <v>10760</v>
      </c>
      <c r="F340" s="35">
        <v>10460</v>
      </c>
      <c r="G340" s="35">
        <v>10520</v>
      </c>
      <c r="H340" s="35">
        <v>10610.58</v>
      </c>
      <c r="I340" s="35">
        <v>-2.0499999999999998</v>
      </c>
      <c r="J340" s="35">
        <v>-220</v>
      </c>
      <c r="K340" s="71">
        <f>YEAR(Accion[[#This Row],[fecha]])</f>
        <v>2018</v>
      </c>
      <c r="L340" s="79" t="str">
        <f>IF(Accion[[#This Row],[Precio Cierre]]=MAX(Accion[Precio Cierre]),Accion[[#This Row],[Precio Cierre]],"NA")</f>
        <v>NA</v>
      </c>
      <c r="M340" s="79" t="str">
        <f>IF(Accion[[#This Row],[Precio Cierre]]=MIN(Accion[Precio Cierre]),Accion[[#This Row],[Precio Cierre]],"NA")</f>
        <v>NA</v>
      </c>
    </row>
    <row r="341" spans="1:13">
      <c r="A341" s="38" t="s">
        <v>90</v>
      </c>
      <c r="B341" s="34">
        <v>43138</v>
      </c>
      <c r="C341" s="35">
        <v>305242</v>
      </c>
      <c r="D341" s="35">
        <v>3270875820</v>
      </c>
      <c r="E341" s="35">
        <v>10780</v>
      </c>
      <c r="F341" s="35">
        <v>10660</v>
      </c>
      <c r="G341" s="35">
        <v>10740</v>
      </c>
      <c r="H341" s="35">
        <v>10715.68</v>
      </c>
      <c r="I341" s="35">
        <v>-0.19</v>
      </c>
      <c r="J341" s="35">
        <v>-20</v>
      </c>
      <c r="K341" s="71">
        <f>YEAR(Accion[[#This Row],[fecha]])</f>
        <v>2018</v>
      </c>
      <c r="L341" s="79" t="str">
        <f>IF(Accion[[#This Row],[Precio Cierre]]=MAX(Accion[Precio Cierre]),Accion[[#This Row],[Precio Cierre]],"NA")</f>
        <v>NA</v>
      </c>
      <c r="M341" s="79" t="str">
        <f>IF(Accion[[#This Row],[Precio Cierre]]=MIN(Accion[Precio Cierre]),Accion[[#This Row],[Precio Cierre]],"NA")</f>
        <v>NA</v>
      </c>
    </row>
    <row r="342" spans="1:13">
      <c r="A342" s="38" t="s">
        <v>90</v>
      </c>
      <c r="B342" s="34">
        <v>43137</v>
      </c>
      <c r="C342" s="35">
        <v>59735</v>
      </c>
      <c r="D342" s="35">
        <v>643780140</v>
      </c>
      <c r="E342" s="35">
        <v>10800</v>
      </c>
      <c r="F342" s="35">
        <v>10720</v>
      </c>
      <c r="G342" s="35">
        <v>10760</v>
      </c>
      <c r="H342" s="35">
        <v>10777.27</v>
      </c>
      <c r="I342" s="35">
        <v>-0.37</v>
      </c>
      <c r="J342" s="35">
        <v>-40</v>
      </c>
      <c r="K342" s="71">
        <f>YEAR(Accion[[#This Row],[fecha]])</f>
        <v>2018</v>
      </c>
      <c r="L342" s="79" t="str">
        <f>IF(Accion[[#This Row],[Precio Cierre]]=MAX(Accion[Precio Cierre]),Accion[[#This Row],[Precio Cierre]],"NA")</f>
        <v>NA</v>
      </c>
      <c r="M342" s="79" t="str">
        <f>IF(Accion[[#This Row],[Precio Cierre]]=MIN(Accion[Precio Cierre]),Accion[[#This Row],[Precio Cierre]],"NA")</f>
        <v>NA</v>
      </c>
    </row>
    <row r="343" spans="1:13">
      <c r="A343" s="38" t="s">
        <v>90</v>
      </c>
      <c r="B343" s="34">
        <v>43136</v>
      </c>
      <c r="C343" s="35">
        <v>254948</v>
      </c>
      <c r="D343" s="35">
        <v>2734379740</v>
      </c>
      <c r="E343" s="35">
        <v>10900</v>
      </c>
      <c r="F343" s="35">
        <v>10640</v>
      </c>
      <c r="G343" s="35">
        <v>10800</v>
      </c>
      <c r="H343" s="35">
        <v>10725.24</v>
      </c>
      <c r="I343" s="35">
        <v>-1.64</v>
      </c>
      <c r="J343" s="35">
        <v>-180</v>
      </c>
      <c r="K343" s="71">
        <f>YEAR(Accion[[#This Row],[fecha]])</f>
        <v>2018</v>
      </c>
      <c r="L343" s="79" t="str">
        <f>IF(Accion[[#This Row],[Precio Cierre]]=MAX(Accion[Precio Cierre]),Accion[[#This Row],[Precio Cierre]],"NA")</f>
        <v>NA</v>
      </c>
      <c r="M343" s="79" t="str">
        <f>IF(Accion[[#This Row],[Precio Cierre]]=MIN(Accion[Precio Cierre]),Accion[[#This Row],[Precio Cierre]],"NA")</f>
        <v>NA</v>
      </c>
    </row>
    <row r="344" spans="1:13">
      <c r="A344" s="38" t="s">
        <v>90</v>
      </c>
      <c r="B344" s="34">
        <v>43133</v>
      </c>
      <c r="C344" s="35">
        <v>260695</v>
      </c>
      <c r="D344" s="35">
        <v>2851214000</v>
      </c>
      <c r="E344" s="35">
        <v>11000</v>
      </c>
      <c r="F344" s="35">
        <v>10900</v>
      </c>
      <c r="G344" s="35">
        <v>10980</v>
      </c>
      <c r="H344" s="35">
        <v>10936.97</v>
      </c>
      <c r="I344" s="35">
        <v>-0.18</v>
      </c>
      <c r="J344" s="35">
        <v>-20</v>
      </c>
      <c r="K344" s="71">
        <f>YEAR(Accion[[#This Row],[fecha]])</f>
        <v>2018</v>
      </c>
      <c r="L344" s="79" t="str">
        <f>IF(Accion[[#This Row],[Precio Cierre]]=MAX(Accion[Precio Cierre]),Accion[[#This Row],[Precio Cierre]],"NA")</f>
        <v>NA</v>
      </c>
      <c r="M344" s="79" t="str">
        <f>IF(Accion[[#This Row],[Precio Cierre]]=MIN(Accion[Precio Cierre]),Accion[[#This Row],[Precio Cierre]],"NA")</f>
        <v>NA</v>
      </c>
    </row>
    <row r="345" spans="1:13">
      <c r="A345" s="38" t="s">
        <v>90</v>
      </c>
      <c r="B345" s="34">
        <v>43132</v>
      </c>
      <c r="C345" s="35">
        <v>172027</v>
      </c>
      <c r="D345" s="35">
        <v>1886515680</v>
      </c>
      <c r="E345" s="35">
        <v>11040</v>
      </c>
      <c r="F345" s="35">
        <v>10920</v>
      </c>
      <c r="G345" s="35">
        <v>11000</v>
      </c>
      <c r="H345" s="35">
        <v>10966.39</v>
      </c>
      <c r="I345" s="35">
        <v>0.73</v>
      </c>
      <c r="J345" s="35">
        <v>80</v>
      </c>
      <c r="K345" s="71">
        <f>YEAR(Accion[[#This Row],[fecha]])</f>
        <v>2018</v>
      </c>
      <c r="L345" s="79" t="str">
        <f>IF(Accion[[#This Row],[Precio Cierre]]=MAX(Accion[Precio Cierre]),Accion[[#This Row],[Precio Cierre]],"NA")</f>
        <v>NA</v>
      </c>
      <c r="M345" s="79" t="str">
        <f>IF(Accion[[#This Row],[Precio Cierre]]=MIN(Accion[Precio Cierre]),Accion[[#This Row],[Precio Cierre]],"NA")</f>
        <v>NA</v>
      </c>
    </row>
    <row r="346" spans="1:13">
      <c r="A346" s="38" t="s">
        <v>90</v>
      </c>
      <c r="B346" s="34">
        <v>43131</v>
      </c>
      <c r="C346" s="35">
        <v>389671</v>
      </c>
      <c r="D346" s="35">
        <v>4260819540</v>
      </c>
      <c r="E346" s="35">
        <v>11080</v>
      </c>
      <c r="F346" s="35">
        <v>10800</v>
      </c>
      <c r="G346" s="35">
        <v>10920</v>
      </c>
      <c r="H346" s="35">
        <v>10934.4</v>
      </c>
      <c r="I346" s="35">
        <v>-1.0900000000000001</v>
      </c>
      <c r="J346" s="35">
        <v>-120</v>
      </c>
      <c r="K346" s="71">
        <f>YEAR(Accion[[#This Row],[fecha]])</f>
        <v>2018</v>
      </c>
      <c r="L346" s="79" t="str">
        <f>IF(Accion[[#This Row],[Precio Cierre]]=MAX(Accion[Precio Cierre]),Accion[[#This Row],[Precio Cierre]],"NA")</f>
        <v>NA</v>
      </c>
      <c r="M346" s="79" t="str">
        <f>IF(Accion[[#This Row],[Precio Cierre]]=MIN(Accion[Precio Cierre]),Accion[[#This Row],[Precio Cierre]],"NA")</f>
        <v>NA</v>
      </c>
    </row>
    <row r="347" spans="1:13">
      <c r="A347" s="38" t="s">
        <v>90</v>
      </c>
      <c r="B347" s="34">
        <v>43130</v>
      </c>
      <c r="C347" s="35">
        <v>169174</v>
      </c>
      <c r="D347" s="35">
        <v>1869841560</v>
      </c>
      <c r="E347" s="35">
        <v>11080</v>
      </c>
      <c r="F347" s="35">
        <v>11020</v>
      </c>
      <c r="G347" s="35">
        <v>11040</v>
      </c>
      <c r="H347" s="35">
        <v>11052.77</v>
      </c>
      <c r="I347" s="35">
        <v>-0.54</v>
      </c>
      <c r="J347" s="35">
        <v>-60</v>
      </c>
      <c r="K347" s="71">
        <f>YEAR(Accion[[#This Row],[fecha]])</f>
        <v>2018</v>
      </c>
      <c r="L347" s="79" t="str">
        <f>IF(Accion[[#This Row],[Precio Cierre]]=MAX(Accion[Precio Cierre]),Accion[[#This Row],[Precio Cierre]],"NA")</f>
        <v>NA</v>
      </c>
      <c r="M347" s="79" t="str">
        <f>IF(Accion[[#This Row],[Precio Cierre]]=MIN(Accion[Precio Cierre]),Accion[[#This Row],[Precio Cierre]],"NA")</f>
        <v>NA</v>
      </c>
    </row>
    <row r="348" spans="1:13">
      <c r="A348" s="38" t="s">
        <v>90</v>
      </c>
      <c r="B348" s="34">
        <v>43129</v>
      </c>
      <c r="C348" s="35">
        <v>147130</v>
      </c>
      <c r="D348" s="35">
        <v>1630468300</v>
      </c>
      <c r="E348" s="35">
        <v>11140</v>
      </c>
      <c r="F348" s="35">
        <v>11020</v>
      </c>
      <c r="G348" s="35">
        <v>11100</v>
      </c>
      <c r="H348" s="35">
        <v>11081.82</v>
      </c>
      <c r="I348" s="35">
        <v>0.36</v>
      </c>
      <c r="J348" s="35">
        <v>40</v>
      </c>
      <c r="K348" s="71">
        <f>YEAR(Accion[[#This Row],[fecha]])</f>
        <v>2018</v>
      </c>
      <c r="L348" s="79" t="str">
        <f>IF(Accion[[#This Row],[Precio Cierre]]=MAX(Accion[Precio Cierre]),Accion[[#This Row],[Precio Cierre]],"NA")</f>
        <v>NA</v>
      </c>
      <c r="M348" s="79" t="str">
        <f>IF(Accion[[#This Row],[Precio Cierre]]=MIN(Accion[Precio Cierre]),Accion[[#This Row],[Precio Cierre]],"NA")</f>
        <v>NA</v>
      </c>
    </row>
    <row r="349" spans="1:13">
      <c r="A349" s="38" t="s">
        <v>90</v>
      </c>
      <c r="B349" s="34">
        <v>43126</v>
      </c>
      <c r="C349" s="35">
        <v>361138</v>
      </c>
      <c r="D349" s="35">
        <v>4009922020</v>
      </c>
      <c r="E349" s="35">
        <v>11160</v>
      </c>
      <c r="F349" s="35">
        <v>11060</v>
      </c>
      <c r="G349" s="35">
        <v>11060</v>
      </c>
      <c r="H349" s="35">
        <v>11103.57</v>
      </c>
      <c r="I349" s="35">
        <v>-0.18</v>
      </c>
      <c r="J349" s="35">
        <v>-20</v>
      </c>
      <c r="K349" s="71">
        <f>YEAR(Accion[[#This Row],[fecha]])</f>
        <v>2018</v>
      </c>
      <c r="L349" s="79" t="str">
        <f>IF(Accion[[#This Row],[Precio Cierre]]=MAX(Accion[Precio Cierre]),Accion[[#This Row],[Precio Cierre]],"NA")</f>
        <v>NA</v>
      </c>
      <c r="M349" s="79" t="str">
        <f>IF(Accion[[#This Row],[Precio Cierre]]=MIN(Accion[Precio Cierre]),Accion[[#This Row],[Precio Cierre]],"NA")</f>
        <v>NA</v>
      </c>
    </row>
    <row r="350" spans="1:13">
      <c r="A350" s="38" t="s">
        <v>90</v>
      </c>
      <c r="B350" s="34">
        <v>43125</v>
      </c>
      <c r="C350" s="35">
        <v>656421</v>
      </c>
      <c r="D350" s="35">
        <v>7266614500</v>
      </c>
      <c r="E350" s="35">
        <v>11100</v>
      </c>
      <c r="F350" s="35">
        <v>11000</v>
      </c>
      <c r="G350" s="35">
        <v>11080</v>
      </c>
      <c r="H350" s="35">
        <v>11070.05</v>
      </c>
      <c r="I350" s="35">
        <v>0.36</v>
      </c>
      <c r="J350" s="35">
        <v>40</v>
      </c>
      <c r="K350" s="71">
        <f>YEAR(Accion[[#This Row],[fecha]])</f>
        <v>2018</v>
      </c>
      <c r="L350" s="79" t="str">
        <f>IF(Accion[[#This Row],[Precio Cierre]]=MAX(Accion[Precio Cierre]),Accion[[#This Row],[Precio Cierre]],"NA")</f>
        <v>NA</v>
      </c>
      <c r="M350" s="79" t="str">
        <f>IF(Accion[[#This Row],[Precio Cierre]]=MIN(Accion[Precio Cierre]),Accion[[#This Row],[Precio Cierre]],"NA")</f>
        <v>NA</v>
      </c>
    </row>
    <row r="351" spans="1:13">
      <c r="A351" s="38" t="s">
        <v>90</v>
      </c>
      <c r="B351" s="34">
        <v>43124</v>
      </c>
      <c r="C351" s="35">
        <v>416081</v>
      </c>
      <c r="D351" s="35">
        <v>4586931060</v>
      </c>
      <c r="E351" s="35">
        <v>11060</v>
      </c>
      <c r="F351" s="35">
        <v>10960</v>
      </c>
      <c r="G351" s="35">
        <v>11040</v>
      </c>
      <c r="H351" s="35">
        <v>11024.13</v>
      </c>
      <c r="I351" s="35">
        <v>0.91</v>
      </c>
      <c r="J351" s="35">
        <v>100</v>
      </c>
      <c r="K351" s="71">
        <f>YEAR(Accion[[#This Row],[fecha]])</f>
        <v>2018</v>
      </c>
      <c r="L351" s="79" t="str">
        <f>IF(Accion[[#This Row],[Precio Cierre]]=MAX(Accion[Precio Cierre]),Accion[[#This Row],[Precio Cierre]],"NA")</f>
        <v>NA</v>
      </c>
      <c r="M351" s="79" t="str">
        <f>IF(Accion[[#This Row],[Precio Cierre]]=MIN(Accion[Precio Cierre]),Accion[[#This Row],[Precio Cierre]],"NA")</f>
        <v>NA</v>
      </c>
    </row>
    <row r="352" spans="1:13">
      <c r="A352" s="38" t="s">
        <v>90</v>
      </c>
      <c r="B352" s="34">
        <v>43123</v>
      </c>
      <c r="C352" s="35">
        <v>85931</v>
      </c>
      <c r="D352" s="35">
        <v>939305580</v>
      </c>
      <c r="E352" s="35">
        <v>10960</v>
      </c>
      <c r="F352" s="35">
        <v>10840</v>
      </c>
      <c r="G352" s="35">
        <v>10940</v>
      </c>
      <c r="H352" s="35">
        <v>10930.93</v>
      </c>
      <c r="I352" s="35">
        <v>-0.18</v>
      </c>
      <c r="J352" s="35">
        <v>-20</v>
      </c>
      <c r="K352" s="71">
        <f>YEAR(Accion[[#This Row],[fecha]])</f>
        <v>2018</v>
      </c>
      <c r="L352" s="79" t="str">
        <f>IF(Accion[[#This Row],[Precio Cierre]]=MAX(Accion[Precio Cierre]),Accion[[#This Row],[Precio Cierre]],"NA")</f>
        <v>NA</v>
      </c>
      <c r="M352" s="79" t="str">
        <f>IF(Accion[[#This Row],[Precio Cierre]]=MIN(Accion[Precio Cierre]),Accion[[#This Row],[Precio Cierre]],"NA")</f>
        <v>NA</v>
      </c>
    </row>
    <row r="353" spans="1:13">
      <c r="A353" s="38" t="s">
        <v>90</v>
      </c>
      <c r="B353" s="34">
        <v>43122</v>
      </c>
      <c r="C353" s="35">
        <v>117663</v>
      </c>
      <c r="D353" s="35">
        <v>1286769260</v>
      </c>
      <c r="E353" s="35">
        <v>10960</v>
      </c>
      <c r="F353" s="35">
        <v>10900</v>
      </c>
      <c r="G353" s="35">
        <v>10960</v>
      </c>
      <c r="H353" s="35">
        <v>10936.06</v>
      </c>
      <c r="I353" s="35">
        <v>0.74</v>
      </c>
      <c r="J353" s="35">
        <v>80</v>
      </c>
      <c r="K353" s="71">
        <f>YEAR(Accion[[#This Row],[fecha]])</f>
        <v>2018</v>
      </c>
      <c r="L353" s="79" t="str">
        <f>IF(Accion[[#This Row],[Precio Cierre]]=MAX(Accion[Precio Cierre]),Accion[[#This Row],[Precio Cierre]],"NA")</f>
        <v>NA</v>
      </c>
      <c r="M353" s="79" t="str">
        <f>IF(Accion[[#This Row],[Precio Cierre]]=MIN(Accion[Precio Cierre]),Accion[[#This Row],[Precio Cierre]],"NA")</f>
        <v>NA</v>
      </c>
    </row>
    <row r="354" spans="1:13">
      <c r="A354" s="38" t="s">
        <v>90</v>
      </c>
      <c r="B354" s="34">
        <v>43119</v>
      </c>
      <c r="C354" s="35">
        <v>1816249</v>
      </c>
      <c r="D354" s="35">
        <v>19309912860</v>
      </c>
      <c r="E354" s="35">
        <v>10880</v>
      </c>
      <c r="F354" s="35">
        <v>10600</v>
      </c>
      <c r="G354" s="35">
        <v>10880</v>
      </c>
      <c r="H354" s="35">
        <v>10631.75</v>
      </c>
      <c r="I354" s="35">
        <v>0.74</v>
      </c>
      <c r="J354" s="35">
        <v>80</v>
      </c>
      <c r="K354" s="71">
        <f>YEAR(Accion[[#This Row],[fecha]])</f>
        <v>2018</v>
      </c>
      <c r="L354" s="79" t="str">
        <f>IF(Accion[[#This Row],[Precio Cierre]]=MAX(Accion[Precio Cierre]),Accion[[#This Row],[Precio Cierre]],"NA")</f>
        <v>NA</v>
      </c>
      <c r="M354" s="79" t="str">
        <f>IF(Accion[[#This Row],[Precio Cierre]]=MIN(Accion[Precio Cierre]),Accion[[#This Row],[Precio Cierre]],"NA")</f>
        <v>NA</v>
      </c>
    </row>
    <row r="355" spans="1:13">
      <c r="A355" s="38" t="s">
        <v>90</v>
      </c>
      <c r="B355" s="34">
        <v>43118</v>
      </c>
      <c r="C355" s="35">
        <v>362731</v>
      </c>
      <c r="D355" s="35">
        <v>3905964140</v>
      </c>
      <c r="E355" s="35">
        <v>10800</v>
      </c>
      <c r="F355" s="35">
        <v>10740</v>
      </c>
      <c r="G355" s="35">
        <v>10800</v>
      </c>
      <c r="H355" s="35">
        <v>10768.21</v>
      </c>
      <c r="I355" s="35">
        <v>0</v>
      </c>
      <c r="J355" s="35">
        <v>0</v>
      </c>
      <c r="K355" s="71">
        <f>YEAR(Accion[[#This Row],[fecha]])</f>
        <v>2018</v>
      </c>
      <c r="L355" s="79" t="str">
        <f>IF(Accion[[#This Row],[Precio Cierre]]=MAX(Accion[Precio Cierre]),Accion[[#This Row],[Precio Cierre]],"NA")</f>
        <v>NA</v>
      </c>
      <c r="M355" s="79" t="str">
        <f>IF(Accion[[#This Row],[Precio Cierre]]=MIN(Accion[Precio Cierre]),Accion[[#This Row],[Precio Cierre]],"NA")</f>
        <v>NA</v>
      </c>
    </row>
    <row r="356" spans="1:13">
      <c r="A356" s="38" t="s">
        <v>90</v>
      </c>
      <c r="B356" s="34">
        <v>43117</v>
      </c>
      <c r="C356" s="35">
        <v>157337</v>
      </c>
      <c r="D356" s="35">
        <v>1699573740</v>
      </c>
      <c r="E356" s="35">
        <v>10860</v>
      </c>
      <c r="F356" s="35">
        <v>10760</v>
      </c>
      <c r="G356" s="35">
        <v>10800</v>
      </c>
      <c r="H356" s="35">
        <v>10802.12</v>
      </c>
      <c r="I356" s="35">
        <v>-0.92</v>
      </c>
      <c r="J356" s="35">
        <v>-100</v>
      </c>
      <c r="K356" s="71">
        <f>YEAR(Accion[[#This Row],[fecha]])</f>
        <v>2018</v>
      </c>
      <c r="L356" s="79" t="str">
        <f>IF(Accion[[#This Row],[Precio Cierre]]=MAX(Accion[Precio Cierre]),Accion[[#This Row],[Precio Cierre]],"NA")</f>
        <v>NA</v>
      </c>
      <c r="M356" s="79" t="str">
        <f>IF(Accion[[#This Row],[Precio Cierre]]=MIN(Accion[Precio Cierre]),Accion[[#This Row],[Precio Cierre]],"NA")</f>
        <v>NA</v>
      </c>
    </row>
    <row r="357" spans="1:13">
      <c r="A357" s="38" t="s">
        <v>90</v>
      </c>
      <c r="B357" s="34">
        <v>43116</v>
      </c>
      <c r="C357" s="35">
        <v>55899</v>
      </c>
      <c r="D357" s="35">
        <v>608503920</v>
      </c>
      <c r="E357" s="35">
        <v>10940</v>
      </c>
      <c r="F357" s="35">
        <v>10800</v>
      </c>
      <c r="G357" s="35">
        <v>10900</v>
      </c>
      <c r="H357" s="35">
        <v>10885.77</v>
      </c>
      <c r="I357" s="35">
        <v>-0.18</v>
      </c>
      <c r="J357" s="35">
        <v>-20</v>
      </c>
      <c r="K357" s="71">
        <f>YEAR(Accion[[#This Row],[fecha]])</f>
        <v>2018</v>
      </c>
      <c r="L357" s="79" t="str">
        <f>IF(Accion[[#This Row],[Precio Cierre]]=MAX(Accion[Precio Cierre]),Accion[[#This Row],[Precio Cierre]],"NA")</f>
        <v>NA</v>
      </c>
      <c r="M357" s="79" t="str">
        <f>IF(Accion[[#This Row],[Precio Cierre]]=MIN(Accion[Precio Cierre]),Accion[[#This Row],[Precio Cierre]],"NA")</f>
        <v>NA</v>
      </c>
    </row>
    <row r="358" spans="1:13">
      <c r="A358" s="38" t="s">
        <v>90</v>
      </c>
      <c r="B358" s="34">
        <v>43115</v>
      </c>
      <c r="C358" s="35">
        <v>63917</v>
      </c>
      <c r="D358" s="35">
        <v>697686680</v>
      </c>
      <c r="E358" s="35">
        <v>10940</v>
      </c>
      <c r="F358" s="35">
        <v>10860</v>
      </c>
      <c r="G358" s="35">
        <v>10920</v>
      </c>
      <c r="H358" s="35">
        <v>10915.51</v>
      </c>
      <c r="I358" s="35">
        <v>0.37</v>
      </c>
      <c r="J358" s="35">
        <v>40</v>
      </c>
      <c r="K358" s="71">
        <f>YEAR(Accion[[#This Row],[fecha]])</f>
        <v>2018</v>
      </c>
      <c r="L358" s="79" t="str">
        <f>IF(Accion[[#This Row],[Precio Cierre]]=MAX(Accion[Precio Cierre]),Accion[[#This Row],[Precio Cierre]],"NA")</f>
        <v>NA</v>
      </c>
      <c r="M358" s="79" t="str">
        <f>IF(Accion[[#This Row],[Precio Cierre]]=MIN(Accion[Precio Cierre]),Accion[[#This Row],[Precio Cierre]],"NA")</f>
        <v>NA</v>
      </c>
    </row>
    <row r="359" spans="1:13">
      <c r="A359" s="38" t="s">
        <v>90</v>
      </c>
      <c r="B359" s="34">
        <v>43112</v>
      </c>
      <c r="C359" s="35">
        <v>186484</v>
      </c>
      <c r="D359" s="35">
        <v>2021411560</v>
      </c>
      <c r="E359" s="35">
        <v>11000</v>
      </c>
      <c r="F359" s="35">
        <v>10800</v>
      </c>
      <c r="G359" s="35">
        <v>10880</v>
      </c>
      <c r="H359" s="35">
        <v>10839.6</v>
      </c>
      <c r="I359" s="35">
        <v>0.74</v>
      </c>
      <c r="J359" s="35">
        <v>80</v>
      </c>
      <c r="K359" s="71">
        <f>YEAR(Accion[[#This Row],[fecha]])</f>
        <v>2018</v>
      </c>
      <c r="L359" s="79" t="str">
        <f>IF(Accion[[#This Row],[Precio Cierre]]=MAX(Accion[Precio Cierre]),Accion[[#This Row],[Precio Cierre]],"NA")</f>
        <v>NA</v>
      </c>
      <c r="M359" s="79" t="str">
        <f>IF(Accion[[#This Row],[Precio Cierre]]=MIN(Accion[Precio Cierre]),Accion[[#This Row],[Precio Cierre]],"NA")</f>
        <v>NA</v>
      </c>
    </row>
    <row r="360" spans="1:13">
      <c r="A360" s="38" t="s">
        <v>90</v>
      </c>
      <c r="B360" s="34">
        <v>43111</v>
      </c>
      <c r="C360" s="35">
        <v>131063</v>
      </c>
      <c r="D360" s="35">
        <v>1421531160</v>
      </c>
      <c r="E360" s="35">
        <v>11120</v>
      </c>
      <c r="F360" s="35">
        <v>10760</v>
      </c>
      <c r="G360" s="35">
        <v>10800</v>
      </c>
      <c r="H360" s="35">
        <v>10846.17</v>
      </c>
      <c r="I360" s="35">
        <v>-2.17</v>
      </c>
      <c r="J360" s="35">
        <v>-240</v>
      </c>
      <c r="K360" s="71">
        <f>YEAR(Accion[[#This Row],[fecha]])</f>
        <v>2018</v>
      </c>
      <c r="L360" s="79" t="str">
        <f>IF(Accion[[#This Row],[Precio Cierre]]=MAX(Accion[Precio Cierre]),Accion[[#This Row],[Precio Cierre]],"NA")</f>
        <v>NA</v>
      </c>
      <c r="M360" s="79" t="str">
        <f>IF(Accion[[#This Row],[Precio Cierre]]=MIN(Accion[Precio Cierre]),Accion[[#This Row],[Precio Cierre]],"NA")</f>
        <v>NA</v>
      </c>
    </row>
    <row r="361" spans="1:13">
      <c r="A361" s="38" t="s">
        <v>90</v>
      </c>
      <c r="B361" s="34">
        <v>43110</v>
      </c>
      <c r="C361" s="35">
        <v>133572</v>
      </c>
      <c r="D361" s="35">
        <v>1481918180</v>
      </c>
      <c r="E361" s="35">
        <v>11200</v>
      </c>
      <c r="F361" s="35">
        <v>11000</v>
      </c>
      <c r="G361" s="35">
        <v>11040</v>
      </c>
      <c r="H361" s="35">
        <v>11094.53</v>
      </c>
      <c r="I361" s="35">
        <v>-0.18</v>
      </c>
      <c r="J361" s="35">
        <v>-20</v>
      </c>
      <c r="K361" s="71">
        <f>YEAR(Accion[[#This Row],[fecha]])</f>
        <v>2018</v>
      </c>
      <c r="L361" s="79" t="str">
        <f>IF(Accion[[#This Row],[Precio Cierre]]=MAX(Accion[Precio Cierre]),Accion[[#This Row],[Precio Cierre]],"NA")</f>
        <v>NA</v>
      </c>
      <c r="M361" s="79" t="str">
        <f>IF(Accion[[#This Row],[Precio Cierre]]=MIN(Accion[Precio Cierre]),Accion[[#This Row],[Precio Cierre]],"NA")</f>
        <v>NA</v>
      </c>
    </row>
    <row r="362" spans="1:13">
      <c r="A362" s="38" t="s">
        <v>90</v>
      </c>
      <c r="B362" s="34">
        <v>43109</v>
      </c>
      <c r="C362" s="35">
        <v>172352</v>
      </c>
      <c r="D362" s="35">
        <v>1900887560</v>
      </c>
      <c r="E362" s="35">
        <v>11060</v>
      </c>
      <c r="F362" s="35">
        <v>10880</v>
      </c>
      <c r="G362" s="35">
        <v>11060</v>
      </c>
      <c r="H362" s="35">
        <v>11029.1</v>
      </c>
      <c r="I362" s="35">
        <v>1.65</v>
      </c>
      <c r="J362" s="35">
        <v>180</v>
      </c>
      <c r="K362" s="71">
        <f>YEAR(Accion[[#This Row],[fecha]])</f>
        <v>2018</v>
      </c>
      <c r="L362" s="79" t="str">
        <f>IF(Accion[[#This Row],[Precio Cierre]]=MAX(Accion[Precio Cierre]),Accion[[#This Row],[Precio Cierre]],"NA")</f>
        <v>NA</v>
      </c>
      <c r="M362" s="79" t="str">
        <f>IF(Accion[[#This Row],[Precio Cierre]]=MIN(Accion[Precio Cierre]),Accion[[#This Row],[Precio Cierre]],"NA")</f>
        <v>NA</v>
      </c>
    </row>
    <row r="363" spans="1:13">
      <c r="A363" s="38" t="s">
        <v>90</v>
      </c>
      <c r="B363" s="34">
        <v>43105</v>
      </c>
      <c r="C363" s="35">
        <v>609342</v>
      </c>
      <c r="D363" s="35">
        <v>6555832500</v>
      </c>
      <c r="E363" s="35">
        <v>10880</v>
      </c>
      <c r="F363" s="35">
        <v>10740</v>
      </c>
      <c r="G363" s="35">
        <v>10880</v>
      </c>
      <c r="H363" s="35">
        <v>10758.87</v>
      </c>
      <c r="I363" s="35">
        <v>0.74</v>
      </c>
      <c r="J363" s="35">
        <v>80</v>
      </c>
      <c r="K363" s="71">
        <f>YEAR(Accion[[#This Row],[fecha]])</f>
        <v>2018</v>
      </c>
      <c r="L363" s="79" t="str">
        <f>IF(Accion[[#This Row],[Precio Cierre]]=MAX(Accion[Precio Cierre]),Accion[[#This Row],[Precio Cierre]],"NA")</f>
        <v>NA</v>
      </c>
      <c r="M363" s="79" t="str">
        <f>IF(Accion[[#This Row],[Precio Cierre]]=MIN(Accion[Precio Cierre]),Accion[[#This Row],[Precio Cierre]],"NA")</f>
        <v>NA</v>
      </c>
    </row>
    <row r="364" spans="1:13">
      <c r="A364" s="38" t="s">
        <v>90</v>
      </c>
      <c r="B364" s="34">
        <v>43104</v>
      </c>
      <c r="C364" s="35">
        <v>172972</v>
      </c>
      <c r="D364" s="35">
        <v>1886058960</v>
      </c>
      <c r="E364" s="35">
        <v>11000</v>
      </c>
      <c r="F364" s="35">
        <v>10780</v>
      </c>
      <c r="G364" s="35">
        <v>10800</v>
      </c>
      <c r="H364" s="35">
        <v>10903.84</v>
      </c>
      <c r="I364" s="35">
        <v>-0.55000000000000004</v>
      </c>
      <c r="J364" s="35">
        <v>-60</v>
      </c>
      <c r="K364" s="71">
        <f>YEAR(Accion[[#This Row],[fecha]])</f>
        <v>2018</v>
      </c>
      <c r="L364" s="79" t="str">
        <f>IF(Accion[[#This Row],[Precio Cierre]]=MAX(Accion[Precio Cierre]),Accion[[#This Row],[Precio Cierre]],"NA")</f>
        <v>NA</v>
      </c>
      <c r="M364" s="79" t="str">
        <f>IF(Accion[[#This Row],[Precio Cierre]]=MIN(Accion[Precio Cierre]),Accion[[#This Row],[Precio Cierre]],"NA")</f>
        <v>NA</v>
      </c>
    </row>
    <row r="365" spans="1:13">
      <c r="A365" s="38" t="s">
        <v>90</v>
      </c>
      <c r="B365" s="34">
        <v>43103</v>
      </c>
      <c r="C365" s="35">
        <v>24590</v>
      </c>
      <c r="D365" s="35">
        <v>268427340</v>
      </c>
      <c r="E365" s="35">
        <v>11000</v>
      </c>
      <c r="F365" s="35">
        <v>10840</v>
      </c>
      <c r="G365" s="35">
        <v>10860</v>
      </c>
      <c r="H365" s="35">
        <v>10916.12</v>
      </c>
      <c r="I365" s="35">
        <v>-0.91</v>
      </c>
      <c r="J365" s="35">
        <v>-100</v>
      </c>
      <c r="K365" s="71">
        <f>YEAR(Accion[[#This Row],[fecha]])</f>
        <v>2018</v>
      </c>
      <c r="L365" s="79" t="str">
        <f>IF(Accion[[#This Row],[Precio Cierre]]=MAX(Accion[Precio Cierre]),Accion[[#This Row],[Precio Cierre]],"NA")</f>
        <v>NA</v>
      </c>
      <c r="M365" s="79" t="str">
        <f>IF(Accion[[#This Row],[Precio Cierre]]=MIN(Accion[Precio Cierre]),Accion[[#This Row],[Precio Cierre]],"NA")</f>
        <v>NA</v>
      </c>
    </row>
    <row r="366" spans="1:13">
      <c r="A366" s="38" t="s">
        <v>90</v>
      </c>
      <c r="B366" s="34">
        <v>43102</v>
      </c>
      <c r="C366" s="35">
        <v>562370</v>
      </c>
      <c r="D366" s="35">
        <v>6171480400</v>
      </c>
      <c r="E366" s="35">
        <v>11000</v>
      </c>
      <c r="F366" s="35">
        <v>10920</v>
      </c>
      <c r="G366" s="35">
        <v>10960</v>
      </c>
      <c r="H366" s="35">
        <v>10974.06</v>
      </c>
      <c r="I366" s="35">
        <v>-0.36</v>
      </c>
      <c r="J366" s="35">
        <v>-40</v>
      </c>
      <c r="K366" s="71">
        <f>YEAR(Accion[[#This Row],[fecha]])</f>
        <v>2018</v>
      </c>
      <c r="L366" s="79" t="str">
        <f>IF(Accion[[#This Row],[Precio Cierre]]=MAX(Accion[Precio Cierre]),Accion[[#This Row],[Precio Cierre]],"NA")</f>
        <v>NA</v>
      </c>
      <c r="M366" s="79" t="str">
        <f>IF(Accion[[#This Row],[Precio Cierre]]=MIN(Accion[Precio Cierre]),Accion[[#This Row],[Precio Cierre]],"NA")</f>
        <v>NA</v>
      </c>
    </row>
    <row r="367" spans="1:13" hidden="1">
      <c r="A367" s="38" t="s">
        <v>90</v>
      </c>
      <c r="B367" s="34">
        <v>43097</v>
      </c>
      <c r="C367" s="35">
        <v>171149</v>
      </c>
      <c r="D367" s="35">
        <v>1882869660</v>
      </c>
      <c r="E367" s="35">
        <v>11040</v>
      </c>
      <c r="F367" s="35">
        <v>10940</v>
      </c>
      <c r="G367" s="35">
        <v>11000</v>
      </c>
      <c r="H367" s="35">
        <v>11001.35</v>
      </c>
      <c r="I367" s="35">
        <v>0</v>
      </c>
      <c r="J367" s="35">
        <v>0</v>
      </c>
      <c r="K367" s="71">
        <f>YEAR(Accion[[#This Row],[fecha]])</f>
        <v>2017</v>
      </c>
      <c r="L367" s="79" t="str">
        <f>IF(Accion[[#This Row],[Precio Cierre]]=MAX(Accion[Precio Cierre]),Accion[[#This Row],[Precio Cierre]],"NA")</f>
        <v>NA</v>
      </c>
      <c r="M367" s="79" t="str">
        <f>IF(Accion[[#This Row],[Precio Cierre]]=MIN(Accion[Precio Cierre]),Accion[[#This Row],[Precio Cierre]],"NA")</f>
        <v>NA</v>
      </c>
    </row>
    <row r="368" spans="1:13" hidden="1">
      <c r="A368" s="38" t="s">
        <v>90</v>
      </c>
      <c r="B368" s="34">
        <v>43096</v>
      </c>
      <c r="C368" s="35">
        <v>180730</v>
      </c>
      <c r="D368" s="35">
        <v>1965292720</v>
      </c>
      <c r="E368" s="35">
        <v>11000</v>
      </c>
      <c r="F368" s="35">
        <v>10840</v>
      </c>
      <c r="G368" s="35">
        <v>11000</v>
      </c>
      <c r="H368" s="35">
        <v>10874.19</v>
      </c>
      <c r="I368" s="35">
        <v>1.48</v>
      </c>
      <c r="J368" s="35">
        <v>160</v>
      </c>
      <c r="K368" s="71">
        <f>YEAR(Accion[[#This Row],[fecha]])</f>
        <v>2017</v>
      </c>
      <c r="L368" s="79" t="str">
        <f>IF(Accion[[#This Row],[Precio Cierre]]=MAX(Accion[Precio Cierre]),Accion[[#This Row],[Precio Cierre]],"NA")</f>
        <v>NA</v>
      </c>
      <c r="M368" s="79" t="str">
        <f>IF(Accion[[#This Row],[Precio Cierre]]=MIN(Accion[Precio Cierre]),Accion[[#This Row],[Precio Cierre]],"NA")</f>
        <v>NA</v>
      </c>
    </row>
    <row r="369" spans="1:13" hidden="1">
      <c r="A369" s="38" t="s">
        <v>90</v>
      </c>
      <c r="B369" s="34">
        <v>43095</v>
      </c>
      <c r="C369" s="35">
        <v>41627</v>
      </c>
      <c r="D369" s="35">
        <v>449805080</v>
      </c>
      <c r="E369" s="35">
        <v>10840</v>
      </c>
      <c r="F369" s="35">
        <v>10680</v>
      </c>
      <c r="G369" s="35">
        <v>10840</v>
      </c>
      <c r="H369" s="35">
        <v>10805.61</v>
      </c>
      <c r="I369" s="35">
        <v>0.56000000000000005</v>
      </c>
      <c r="J369" s="35">
        <v>60</v>
      </c>
      <c r="K369" s="71">
        <f>YEAR(Accion[[#This Row],[fecha]])</f>
        <v>2017</v>
      </c>
      <c r="L369" s="79" t="str">
        <f>IF(Accion[[#This Row],[Precio Cierre]]=MAX(Accion[Precio Cierre]),Accion[[#This Row],[Precio Cierre]],"NA")</f>
        <v>NA</v>
      </c>
      <c r="M369" s="79" t="str">
        <f>IF(Accion[[#This Row],[Precio Cierre]]=MIN(Accion[Precio Cierre]),Accion[[#This Row],[Precio Cierre]],"NA")</f>
        <v>NA</v>
      </c>
    </row>
    <row r="370" spans="1:13" hidden="1">
      <c r="A370" s="38" t="s">
        <v>90</v>
      </c>
      <c r="B370" s="34">
        <v>43091</v>
      </c>
      <c r="C370" s="35">
        <v>219307</v>
      </c>
      <c r="D370" s="35">
        <v>2353885160</v>
      </c>
      <c r="E370" s="35">
        <v>10800</v>
      </c>
      <c r="F370" s="35">
        <v>10620</v>
      </c>
      <c r="G370" s="35">
        <v>10780</v>
      </c>
      <c r="H370" s="35">
        <v>10733.29</v>
      </c>
      <c r="I370" s="35">
        <v>-0.19</v>
      </c>
      <c r="J370" s="35">
        <v>-20</v>
      </c>
      <c r="K370" s="71">
        <f>YEAR(Accion[[#This Row],[fecha]])</f>
        <v>2017</v>
      </c>
      <c r="L370" s="79" t="str">
        <f>IF(Accion[[#This Row],[Precio Cierre]]=MAX(Accion[Precio Cierre]),Accion[[#This Row],[Precio Cierre]],"NA")</f>
        <v>NA</v>
      </c>
      <c r="M370" s="79" t="str">
        <f>IF(Accion[[#This Row],[Precio Cierre]]=MIN(Accion[Precio Cierre]),Accion[[#This Row],[Precio Cierre]],"NA")</f>
        <v>NA</v>
      </c>
    </row>
    <row r="371" spans="1:13" hidden="1">
      <c r="A371" s="38" t="s">
        <v>90</v>
      </c>
      <c r="B371" s="34">
        <v>43090</v>
      </c>
      <c r="C371" s="35">
        <v>235125</v>
      </c>
      <c r="D371" s="35">
        <v>2535699720</v>
      </c>
      <c r="E371" s="35">
        <v>10800</v>
      </c>
      <c r="F371" s="35">
        <v>10700</v>
      </c>
      <c r="G371" s="35">
        <v>10800</v>
      </c>
      <c r="H371" s="35">
        <v>10784.48</v>
      </c>
      <c r="I371" s="35">
        <v>0</v>
      </c>
      <c r="J371" s="35">
        <v>0</v>
      </c>
      <c r="K371" s="71">
        <f>YEAR(Accion[[#This Row],[fecha]])</f>
        <v>2017</v>
      </c>
      <c r="L371" s="79" t="str">
        <f>IF(Accion[[#This Row],[Precio Cierre]]=MAX(Accion[Precio Cierre]),Accion[[#This Row],[Precio Cierre]],"NA")</f>
        <v>NA</v>
      </c>
      <c r="M371" s="79" t="str">
        <f>IF(Accion[[#This Row],[Precio Cierre]]=MIN(Accion[Precio Cierre]),Accion[[#This Row],[Precio Cierre]],"NA")</f>
        <v>NA</v>
      </c>
    </row>
    <row r="372" spans="1:13" hidden="1">
      <c r="A372" s="38" t="s">
        <v>90</v>
      </c>
      <c r="B372" s="34">
        <v>43089</v>
      </c>
      <c r="C372" s="35">
        <v>29480</v>
      </c>
      <c r="D372" s="35">
        <v>318684240</v>
      </c>
      <c r="E372" s="35">
        <v>10880</v>
      </c>
      <c r="F372" s="35">
        <v>10740</v>
      </c>
      <c r="G372" s="35">
        <v>10800</v>
      </c>
      <c r="H372" s="35">
        <v>10810.18</v>
      </c>
      <c r="I372" s="35">
        <v>-0.37</v>
      </c>
      <c r="J372" s="35">
        <v>-40</v>
      </c>
      <c r="K372" s="71">
        <f>YEAR(Accion[[#This Row],[fecha]])</f>
        <v>2017</v>
      </c>
      <c r="L372" s="79" t="str">
        <f>IF(Accion[[#This Row],[Precio Cierre]]=MAX(Accion[Precio Cierre]),Accion[[#This Row],[Precio Cierre]],"NA")</f>
        <v>NA</v>
      </c>
      <c r="M372" s="79" t="str">
        <f>IF(Accion[[#This Row],[Precio Cierre]]=MIN(Accion[Precio Cierre]),Accion[[#This Row],[Precio Cierre]],"NA")</f>
        <v>NA</v>
      </c>
    </row>
    <row r="373" spans="1:13" hidden="1">
      <c r="A373" s="38" t="s">
        <v>90</v>
      </c>
      <c r="B373" s="34">
        <v>43088</v>
      </c>
      <c r="C373" s="35">
        <v>76296</v>
      </c>
      <c r="D373" s="35">
        <v>826860360</v>
      </c>
      <c r="E373" s="35">
        <v>10840</v>
      </c>
      <c r="F373" s="35">
        <v>10820</v>
      </c>
      <c r="G373" s="35">
        <v>10840</v>
      </c>
      <c r="H373" s="35">
        <v>10837.53</v>
      </c>
      <c r="I373" s="35">
        <v>0</v>
      </c>
      <c r="J373" s="35">
        <v>0</v>
      </c>
      <c r="K373" s="71">
        <f>YEAR(Accion[[#This Row],[fecha]])</f>
        <v>2017</v>
      </c>
      <c r="L373" s="79" t="str">
        <f>IF(Accion[[#This Row],[Precio Cierre]]=MAX(Accion[Precio Cierre]),Accion[[#This Row],[Precio Cierre]],"NA")</f>
        <v>NA</v>
      </c>
      <c r="M373" s="79" t="str">
        <f>IF(Accion[[#This Row],[Precio Cierre]]=MIN(Accion[Precio Cierre]),Accion[[#This Row],[Precio Cierre]],"NA")</f>
        <v>NA</v>
      </c>
    </row>
    <row r="374" spans="1:13" hidden="1">
      <c r="A374" s="38" t="s">
        <v>90</v>
      </c>
      <c r="B374" s="34">
        <v>43087</v>
      </c>
      <c r="C374" s="35">
        <v>88926</v>
      </c>
      <c r="D374" s="35">
        <v>963672420</v>
      </c>
      <c r="E374" s="35">
        <v>10900</v>
      </c>
      <c r="F374" s="35">
        <v>10740</v>
      </c>
      <c r="G374" s="35">
        <v>10840</v>
      </c>
      <c r="H374" s="35">
        <v>10836.79</v>
      </c>
      <c r="I374" s="35">
        <v>-0.18</v>
      </c>
      <c r="J374" s="35">
        <v>-20</v>
      </c>
      <c r="K374" s="71">
        <f>YEAR(Accion[[#This Row],[fecha]])</f>
        <v>2017</v>
      </c>
      <c r="L374" s="79" t="str">
        <f>IF(Accion[[#This Row],[Precio Cierre]]=MAX(Accion[Precio Cierre]),Accion[[#This Row],[Precio Cierre]],"NA")</f>
        <v>NA</v>
      </c>
      <c r="M374" s="79" t="str">
        <f>IF(Accion[[#This Row],[Precio Cierre]]=MIN(Accion[Precio Cierre]),Accion[[#This Row],[Precio Cierre]],"NA")</f>
        <v>NA</v>
      </c>
    </row>
    <row r="375" spans="1:13" hidden="1">
      <c r="A375" s="38" t="s">
        <v>90</v>
      </c>
      <c r="B375" s="34">
        <v>43084</v>
      </c>
      <c r="C375" s="35">
        <v>380487</v>
      </c>
      <c r="D375" s="35">
        <v>4118073140</v>
      </c>
      <c r="E375" s="35">
        <v>10860</v>
      </c>
      <c r="F375" s="35">
        <v>10680</v>
      </c>
      <c r="G375" s="35">
        <v>10860</v>
      </c>
      <c r="H375" s="35">
        <v>10823.16</v>
      </c>
      <c r="I375" s="35">
        <v>0.37</v>
      </c>
      <c r="J375" s="35">
        <v>40</v>
      </c>
      <c r="K375" s="71">
        <f>YEAR(Accion[[#This Row],[fecha]])</f>
        <v>2017</v>
      </c>
      <c r="L375" s="79" t="str">
        <f>IF(Accion[[#This Row],[Precio Cierre]]=MAX(Accion[Precio Cierre]),Accion[[#This Row],[Precio Cierre]],"NA")</f>
        <v>NA</v>
      </c>
      <c r="M375" s="79" t="str">
        <f>IF(Accion[[#This Row],[Precio Cierre]]=MIN(Accion[Precio Cierre]),Accion[[#This Row],[Precio Cierre]],"NA")</f>
        <v>NA</v>
      </c>
    </row>
    <row r="376" spans="1:13" hidden="1">
      <c r="A376" s="38" t="s">
        <v>90</v>
      </c>
      <c r="B376" s="34">
        <v>43083</v>
      </c>
      <c r="C376" s="35">
        <v>143355</v>
      </c>
      <c r="D376" s="35">
        <v>1553582400</v>
      </c>
      <c r="E376" s="35">
        <v>10920</v>
      </c>
      <c r="F376" s="35">
        <v>10780</v>
      </c>
      <c r="G376" s="35">
        <v>10820</v>
      </c>
      <c r="H376" s="35">
        <v>10837.31</v>
      </c>
      <c r="I376" s="35">
        <v>-0.37</v>
      </c>
      <c r="J376" s="35">
        <v>-40</v>
      </c>
      <c r="K376" s="71">
        <f>YEAR(Accion[[#This Row],[fecha]])</f>
        <v>2017</v>
      </c>
      <c r="L376" s="79" t="str">
        <f>IF(Accion[[#This Row],[Precio Cierre]]=MAX(Accion[Precio Cierre]),Accion[[#This Row],[Precio Cierre]],"NA")</f>
        <v>NA</v>
      </c>
      <c r="M376" s="79" t="str">
        <f>IF(Accion[[#This Row],[Precio Cierre]]=MIN(Accion[Precio Cierre]),Accion[[#This Row],[Precio Cierre]],"NA")</f>
        <v>NA</v>
      </c>
    </row>
    <row r="377" spans="1:13" hidden="1">
      <c r="A377" s="38" t="s">
        <v>90</v>
      </c>
      <c r="B377" s="34">
        <v>43082</v>
      </c>
      <c r="C377" s="35">
        <v>200376</v>
      </c>
      <c r="D377" s="35">
        <v>2166852920</v>
      </c>
      <c r="E377" s="35">
        <v>10860</v>
      </c>
      <c r="F377" s="35">
        <v>10700</v>
      </c>
      <c r="G377" s="35">
        <v>10860</v>
      </c>
      <c r="H377" s="35">
        <v>10813.93</v>
      </c>
      <c r="I377" s="35">
        <v>1.88</v>
      </c>
      <c r="J377" s="35">
        <v>200</v>
      </c>
      <c r="K377" s="71">
        <f>YEAR(Accion[[#This Row],[fecha]])</f>
        <v>2017</v>
      </c>
      <c r="L377" s="79" t="str">
        <f>IF(Accion[[#This Row],[Precio Cierre]]=MAX(Accion[Precio Cierre]),Accion[[#This Row],[Precio Cierre]],"NA")</f>
        <v>NA</v>
      </c>
      <c r="M377" s="79" t="str">
        <f>IF(Accion[[#This Row],[Precio Cierre]]=MIN(Accion[Precio Cierre]),Accion[[#This Row],[Precio Cierre]],"NA")</f>
        <v>NA</v>
      </c>
    </row>
    <row r="378" spans="1:13" hidden="1">
      <c r="A378" s="38" t="s">
        <v>90</v>
      </c>
      <c r="B378" s="34">
        <v>43081</v>
      </c>
      <c r="C378" s="35">
        <v>845654</v>
      </c>
      <c r="D378" s="35">
        <v>9021045440</v>
      </c>
      <c r="E378" s="35">
        <v>10760</v>
      </c>
      <c r="F378" s="35">
        <v>10660</v>
      </c>
      <c r="G378" s="35">
        <v>10660</v>
      </c>
      <c r="H378" s="35">
        <v>10667.54</v>
      </c>
      <c r="I378" s="35">
        <v>-0.93</v>
      </c>
      <c r="J378" s="35">
        <v>-100</v>
      </c>
      <c r="K378" s="71">
        <f>YEAR(Accion[[#This Row],[fecha]])</f>
        <v>2017</v>
      </c>
      <c r="L378" s="79" t="str">
        <f>IF(Accion[[#This Row],[Precio Cierre]]=MAX(Accion[Precio Cierre]),Accion[[#This Row],[Precio Cierre]],"NA")</f>
        <v>NA</v>
      </c>
      <c r="M378" s="79" t="str">
        <f>IF(Accion[[#This Row],[Precio Cierre]]=MIN(Accion[Precio Cierre]),Accion[[#This Row],[Precio Cierre]],"NA")</f>
        <v>NA</v>
      </c>
    </row>
    <row r="379" spans="1:13" hidden="1">
      <c r="A379" s="38" t="s">
        <v>90</v>
      </c>
      <c r="B379" s="34">
        <v>43080</v>
      </c>
      <c r="C379" s="35">
        <v>594793</v>
      </c>
      <c r="D379" s="35">
        <v>6382376160</v>
      </c>
      <c r="E379" s="35">
        <v>10820</v>
      </c>
      <c r="F379" s="35">
        <v>10700</v>
      </c>
      <c r="G379" s="35">
        <v>10760</v>
      </c>
      <c r="H379" s="35">
        <v>10730.42</v>
      </c>
      <c r="I379" s="35">
        <v>-0.37</v>
      </c>
      <c r="J379" s="35">
        <v>-40</v>
      </c>
      <c r="K379" s="71">
        <f>YEAR(Accion[[#This Row],[fecha]])</f>
        <v>2017</v>
      </c>
      <c r="L379" s="79" t="str">
        <f>IF(Accion[[#This Row],[Precio Cierre]]=MAX(Accion[Precio Cierre]),Accion[[#This Row],[Precio Cierre]],"NA")</f>
        <v>NA</v>
      </c>
      <c r="M379" s="79" t="str">
        <f>IF(Accion[[#This Row],[Precio Cierre]]=MIN(Accion[Precio Cierre]),Accion[[#This Row],[Precio Cierre]],"NA")</f>
        <v>NA</v>
      </c>
    </row>
    <row r="380" spans="1:13" hidden="1">
      <c r="A380" s="38" t="s">
        <v>90</v>
      </c>
      <c r="B380" s="34">
        <v>43076</v>
      </c>
      <c r="C380" s="35">
        <v>62154</v>
      </c>
      <c r="D380" s="35">
        <v>671016580</v>
      </c>
      <c r="E380" s="35">
        <v>10840</v>
      </c>
      <c r="F380" s="35">
        <v>10660</v>
      </c>
      <c r="G380" s="35">
        <v>10800</v>
      </c>
      <c r="H380" s="35">
        <v>10796.03</v>
      </c>
      <c r="I380" s="35">
        <v>-0.37</v>
      </c>
      <c r="J380" s="35">
        <v>-40</v>
      </c>
      <c r="K380" s="71">
        <f>YEAR(Accion[[#This Row],[fecha]])</f>
        <v>2017</v>
      </c>
      <c r="L380" s="79" t="str">
        <f>IF(Accion[[#This Row],[Precio Cierre]]=MAX(Accion[Precio Cierre]),Accion[[#This Row],[Precio Cierre]],"NA")</f>
        <v>NA</v>
      </c>
      <c r="M380" s="79" t="str">
        <f>IF(Accion[[#This Row],[Precio Cierre]]=MIN(Accion[Precio Cierre]),Accion[[#This Row],[Precio Cierre]],"NA")</f>
        <v>NA</v>
      </c>
    </row>
    <row r="381" spans="1:13" hidden="1">
      <c r="A381" s="38" t="s">
        <v>90</v>
      </c>
      <c r="B381" s="34">
        <v>43075</v>
      </c>
      <c r="C381" s="35">
        <v>150449</v>
      </c>
      <c r="D381" s="35">
        <v>1634265500</v>
      </c>
      <c r="E381" s="35">
        <v>10880</v>
      </c>
      <c r="F381" s="35">
        <v>10840</v>
      </c>
      <c r="G381" s="35">
        <v>10840</v>
      </c>
      <c r="H381" s="35">
        <v>10862.59</v>
      </c>
      <c r="I381" s="35">
        <v>-0.18</v>
      </c>
      <c r="J381" s="35">
        <v>-20</v>
      </c>
      <c r="K381" s="71">
        <f>YEAR(Accion[[#This Row],[fecha]])</f>
        <v>2017</v>
      </c>
      <c r="L381" s="79" t="str">
        <f>IF(Accion[[#This Row],[Precio Cierre]]=MAX(Accion[Precio Cierre]),Accion[[#This Row],[Precio Cierre]],"NA")</f>
        <v>NA</v>
      </c>
      <c r="M381" s="79" t="str">
        <f>IF(Accion[[#This Row],[Precio Cierre]]=MIN(Accion[Precio Cierre]),Accion[[#This Row],[Precio Cierre]],"NA")</f>
        <v>NA</v>
      </c>
    </row>
    <row r="382" spans="1:13" hidden="1">
      <c r="A382" s="38" t="s">
        <v>90</v>
      </c>
      <c r="B382" s="34">
        <v>43074</v>
      </c>
      <c r="C382" s="35">
        <v>652942</v>
      </c>
      <c r="D382" s="35">
        <v>7039714040</v>
      </c>
      <c r="E382" s="35">
        <v>11000</v>
      </c>
      <c r="F382" s="35">
        <v>10700</v>
      </c>
      <c r="G382" s="35">
        <v>10860</v>
      </c>
      <c r="H382" s="35">
        <v>10781.53</v>
      </c>
      <c r="I382" s="35">
        <v>-1.27</v>
      </c>
      <c r="J382" s="35">
        <v>-140</v>
      </c>
      <c r="K382" s="71">
        <f>YEAR(Accion[[#This Row],[fecha]])</f>
        <v>2017</v>
      </c>
      <c r="L382" s="79" t="str">
        <f>IF(Accion[[#This Row],[Precio Cierre]]=MAX(Accion[Precio Cierre]),Accion[[#This Row],[Precio Cierre]],"NA")</f>
        <v>NA</v>
      </c>
      <c r="M382" s="79" t="str">
        <f>IF(Accion[[#This Row],[Precio Cierre]]=MIN(Accion[Precio Cierre]),Accion[[#This Row],[Precio Cierre]],"NA")</f>
        <v>NA</v>
      </c>
    </row>
    <row r="383" spans="1:13" hidden="1">
      <c r="A383" s="38" t="s">
        <v>90</v>
      </c>
      <c r="B383" s="34">
        <v>43073</v>
      </c>
      <c r="C383" s="35">
        <v>35319</v>
      </c>
      <c r="D383" s="35">
        <v>385230980</v>
      </c>
      <c r="E383" s="35">
        <v>11000</v>
      </c>
      <c r="F383" s="35">
        <v>10840</v>
      </c>
      <c r="G383" s="35">
        <v>11000</v>
      </c>
      <c r="H383" s="35">
        <v>10907.19</v>
      </c>
      <c r="I383" s="35">
        <v>-0.36</v>
      </c>
      <c r="J383" s="35">
        <v>-40</v>
      </c>
      <c r="K383" s="71">
        <f>YEAR(Accion[[#This Row],[fecha]])</f>
        <v>2017</v>
      </c>
      <c r="L383" s="79" t="str">
        <f>IF(Accion[[#This Row],[Precio Cierre]]=MAX(Accion[Precio Cierre]),Accion[[#This Row],[Precio Cierre]],"NA")</f>
        <v>NA</v>
      </c>
      <c r="M383" s="79" t="str">
        <f>IF(Accion[[#This Row],[Precio Cierre]]=MIN(Accion[Precio Cierre]),Accion[[#This Row],[Precio Cierre]],"NA")</f>
        <v>NA</v>
      </c>
    </row>
    <row r="384" spans="1:13" hidden="1">
      <c r="A384" s="38" t="s">
        <v>90</v>
      </c>
      <c r="B384" s="34">
        <v>43070</v>
      </c>
      <c r="C384" s="35">
        <v>234630</v>
      </c>
      <c r="D384" s="35">
        <v>2603211840</v>
      </c>
      <c r="E384" s="35">
        <v>11120</v>
      </c>
      <c r="F384" s="35">
        <v>11000</v>
      </c>
      <c r="G384" s="35">
        <v>11040</v>
      </c>
      <c r="H384" s="35">
        <v>11094.97</v>
      </c>
      <c r="I384" s="35">
        <v>1.47</v>
      </c>
      <c r="J384" s="35">
        <v>160</v>
      </c>
      <c r="K384" s="71">
        <f>YEAR(Accion[[#This Row],[fecha]])</f>
        <v>2017</v>
      </c>
      <c r="L384" s="79" t="str">
        <f>IF(Accion[[#This Row],[Precio Cierre]]=MAX(Accion[Precio Cierre]),Accion[[#This Row],[Precio Cierre]],"NA")</f>
        <v>NA</v>
      </c>
      <c r="M384" s="79" t="str">
        <f>IF(Accion[[#This Row],[Precio Cierre]]=MIN(Accion[Precio Cierre]),Accion[[#This Row],[Precio Cierre]],"NA")</f>
        <v>NA</v>
      </c>
    </row>
    <row r="385" spans="1:13" hidden="1">
      <c r="A385" s="38" t="s">
        <v>90</v>
      </c>
      <c r="B385" s="34">
        <v>43069</v>
      </c>
      <c r="C385" s="35">
        <v>449125</v>
      </c>
      <c r="D385" s="35">
        <v>4902150820</v>
      </c>
      <c r="E385" s="35">
        <v>11180</v>
      </c>
      <c r="F385" s="35">
        <v>10880</v>
      </c>
      <c r="G385" s="35">
        <v>10880</v>
      </c>
      <c r="H385" s="35">
        <v>10914.89</v>
      </c>
      <c r="I385" s="35">
        <v>-1.0900000000000001</v>
      </c>
      <c r="J385" s="35">
        <v>-120</v>
      </c>
      <c r="K385" s="71">
        <f>YEAR(Accion[[#This Row],[fecha]])</f>
        <v>2017</v>
      </c>
      <c r="L385" s="79" t="str">
        <f>IF(Accion[[#This Row],[Precio Cierre]]=MAX(Accion[Precio Cierre]),Accion[[#This Row],[Precio Cierre]],"NA")</f>
        <v>NA</v>
      </c>
      <c r="M385" s="79" t="str">
        <f>IF(Accion[[#This Row],[Precio Cierre]]=MIN(Accion[Precio Cierre]),Accion[[#This Row],[Precio Cierre]],"NA")</f>
        <v>NA</v>
      </c>
    </row>
    <row r="386" spans="1:13" hidden="1">
      <c r="A386" s="38" t="s">
        <v>90</v>
      </c>
      <c r="B386" s="34">
        <v>43068</v>
      </c>
      <c r="C386" s="35">
        <v>100698</v>
      </c>
      <c r="D386" s="35">
        <v>1102945740</v>
      </c>
      <c r="E386" s="35">
        <v>11000</v>
      </c>
      <c r="F386" s="35">
        <v>10900</v>
      </c>
      <c r="G386" s="35">
        <v>11000</v>
      </c>
      <c r="H386" s="35">
        <v>10953.01</v>
      </c>
      <c r="I386" s="35">
        <v>0.18</v>
      </c>
      <c r="J386" s="35">
        <v>20</v>
      </c>
      <c r="K386" s="71">
        <f>YEAR(Accion[[#This Row],[fecha]])</f>
        <v>2017</v>
      </c>
      <c r="L386" s="79" t="str">
        <f>IF(Accion[[#This Row],[Precio Cierre]]=MAX(Accion[Precio Cierre]),Accion[[#This Row],[Precio Cierre]],"NA")</f>
        <v>NA</v>
      </c>
      <c r="M386" s="79" t="str">
        <f>IF(Accion[[#This Row],[Precio Cierre]]=MIN(Accion[Precio Cierre]),Accion[[#This Row],[Precio Cierre]],"NA")</f>
        <v>NA</v>
      </c>
    </row>
    <row r="387" spans="1:13" hidden="1">
      <c r="A387" s="38" t="s">
        <v>90</v>
      </c>
      <c r="B387" s="34">
        <v>43067</v>
      </c>
      <c r="C387" s="35">
        <v>865447</v>
      </c>
      <c r="D387" s="35">
        <v>9334404240</v>
      </c>
      <c r="E387" s="35">
        <v>11000</v>
      </c>
      <c r="F387" s="35">
        <v>10740</v>
      </c>
      <c r="G387" s="35">
        <v>10980</v>
      </c>
      <c r="H387" s="35">
        <v>10785.65</v>
      </c>
      <c r="I387" s="35">
        <v>0.18</v>
      </c>
      <c r="J387" s="35">
        <v>20</v>
      </c>
      <c r="K387" s="71">
        <f>YEAR(Accion[[#This Row],[fecha]])</f>
        <v>2017</v>
      </c>
      <c r="L387" s="79" t="str">
        <f>IF(Accion[[#This Row],[Precio Cierre]]=MAX(Accion[Precio Cierre]),Accion[[#This Row],[Precio Cierre]],"NA")</f>
        <v>NA</v>
      </c>
      <c r="M387" s="79" t="str">
        <f>IF(Accion[[#This Row],[Precio Cierre]]=MIN(Accion[Precio Cierre]),Accion[[#This Row],[Precio Cierre]],"NA")</f>
        <v>NA</v>
      </c>
    </row>
    <row r="388" spans="1:13" hidden="1">
      <c r="A388" s="38" t="s">
        <v>90</v>
      </c>
      <c r="B388" s="34">
        <v>43066</v>
      </c>
      <c r="C388" s="35">
        <v>51149</v>
      </c>
      <c r="D388" s="35">
        <v>564459760</v>
      </c>
      <c r="E388" s="35">
        <v>11160</v>
      </c>
      <c r="F388" s="35">
        <v>10960</v>
      </c>
      <c r="G388" s="35">
        <v>10960</v>
      </c>
      <c r="H388" s="35">
        <v>11035.6</v>
      </c>
      <c r="I388" s="35">
        <v>-1.79</v>
      </c>
      <c r="J388" s="35">
        <v>-200</v>
      </c>
      <c r="K388" s="71">
        <f>YEAR(Accion[[#This Row],[fecha]])</f>
        <v>2017</v>
      </c>
      <c r="L388" s="79" t="str">
        <f>IF(Accion[[#This Row],[Precio Cierre]]=MAX(Accion[Precio Cierre]),Accion[[#This Row],[Precio Cierre]],"NA")</f>
        <v>NA</v>
      </c>
      <c r="M388" s="79" t="str">
        <f>IF(Accion[[#This Row],[Precio Cierre]]=MIN(Accion[Precio Cierre]),Accion[[#This Row],[Precio Cierre]],"NA")</f>
        <v>NA</v>
      </c>
    </row>
    <row r="389" spans="1:13" hidden="1">
      <c r="A389" s="38" t="s">
        <v>90</v>
      </c>
      <c r="B389" s="34">
        <v>43063</v>
      </c>
      <c r="C389" s="35">
        <v>79931</v>
      </c>
      <c r="D389" s="35">
        <v>884910960</v>
      </c>
      <c r="E389" s="35">
        <v>11180</v>
      </c>
      <c r="F389" s="35">
        <v>11000</v>
      </c>
      <c r="G389" s="35">
        <v>11160</v>
      </c>
      <c r="H389" s="35">
        <v>11070.94</v>
      </c>
      <c r="I389" s="35">
        <v>-0.71</v>
      </c>
      <c r="J389" s="35">
        <v>-80</v>
      </c>
      <c r="K389" s="71">
        <f>YEAR(Accion[[#This Row],[fecha]])</f>
        <v>2017</v>
      </c>
      <c r="L389" s="79" t="str">
        <f>IF(Accion[[#This Row],[Precio Cierre]]=MAX(Accion[Precio Cierre]),Accion[[#This Row],[Precio Cierre]],"NA")</f>
        <v>NA</v>
      </c>
      <c r="M389" s="79" t="str">
        <f>IF(Accion[[#This Row],[Precio Cierre]]=MIN(Accion[Precio Cierre]),Accion[[#This Row],[Precio Cierre]],"NA")</f>
        <v>NA</v>
      </c>
    </row>
    <row r="390" spans="1:13" hidden="1">
      <c r="A390" s="38" t="s">
        <v>90</v>
      </c>
      <c r="B390" s="34">
        <v>43062</v>
      </c>
      <c r="C390" s="35">
        <v>15960</v>
      </c>
      <c r="D390" s="35">
        <v>179673000</v>
      </c>
      <c r="E390" s="35">
        <v>11280</v>
      </c>
      <c r="F390" s="35">
        <v>11240</v>
      </c>
      <c r="G390" s="35">
        <v>11240</v>
      </c>
      <c r="H390" s="35">
        <v>11257.71</v>
      </c>
      <c r="I390" s="35">
        <v>0.72</v>
      </c>
      <c r="J390" s="35">
        <v>80</v>
      </c>
      <c r="K390" s="71">
        <f>YEAR(Accion[[#This Row],[fecha]])</f>
        <v>2017</v>
      </c>
      <c r="L390" s="79" t="str">
        <f>IF(Accion[[#This Row],[Precio Cierre]]=MAX(Accion[Precio Cierre]),Accion[[#This Row],[Precio Cierre]],"NA")</f>
        <v>NA</v>
      </c>
      <c r="M390" s="79" t="str">
        <f>IF(Accion[[#This Row],[Precio Cierre]]=MIN(Accion[Precio Cierre]),Accion[[#This Row],[Precio Cierre]],"NA")</f>
        <v>NA</v>
      </c>
    </row>
    <row r="391" spans="1:13" hidden="1">
      <c r="A391" s="38" t="s">
        <v>90</v>
      </c>
      <c r="B391" s="34">
        <v>43061</v>
      </c>
      <c r="C391" s="35">
        <v>283712</v>
      </c>
      <c r="D391" s="35">
        <v>3179786280</v>
      </c>
      <c r="E391" s="35">
        <v>11300</v>
      </c>
      <c r="F391" s="35">
        <v>11160</v>
      </c>
      <c r="G391" s="35">
        <v>11160</v>
      </c>
      <c r="H391" s="35">
        <v>11207.8</v>
      </c>
      <c r="I391" s="35">
        <v>-1.24</v>
      </c>
      <c r="J391" s="35">
        <v>-140</v>
      </c>
      <c r="K391" s="71">
        <f>YEAR(Accion[[#This Row],[fecha]])</f>
        <v>2017</v>
      </c>
      <c r="L391" s="79" t="str">
        <f>IF(Accion[[#This Row],[Precio Cierre]]=MAX(Accion[Precio Cierre]),Accion[[#This Row],[Precio Cierre]],"NA")</f>
        <v>NA</v>
      </c>
      <c r="M391" s="79" t="str">
        <f>IF(Accion[[#This Row],[Precio Cierre]]=MIN(Accion[Precio Cierre]),Accion[[#This Row],[Precio Cierre]],"NA")</f>
        <v>NA</v>
      </c>
    </row>
    <row r="392" spans="1:13" hidden="1">
      <c r="A392" s="38" t="s">
        <v>90</v>
      </c>
      <c r="B392" s="34">
        <v>43060</v>
      </c>
      <c r="C392" s="35">
        <v>88405</v>
      </c>
      <c r="D392" s="35">
        <v>995881120</v>
      </c>
      <c r="E392" s="35">
        <v>11300</v>
      </c>
      <c r="F392" s="35">
        <v>11220</v>
      </c>
      <c r="G392" s="35">
        <v>11300</v>
      </c>
      <c r="H392" s="35">
        <v>11264.99</v>
      </c>
      <c r="I392" s="35">
        <v>-0.35</v>
      </c>
      <c r="J392" s="35">
        <v>-40</v>
      </c>
      <c r="K392" s="71">
        <f>YEAR(Accion[[#This Row],[fecha]])</f>
        <v>2017</v>
      </c>
      <c r="L392" s="79" t="str">
        <f>IF(Accion[[#This Row],[Precio Cierre]]=MAX(Accion[Precio Cierre]),Accion[[#This Row],[Precio Cierre]],"NA")</f>
        <v>NA</v>
      </c>
      <c r="M392" s="79" t="str">
        <f>IF(Accion[[#This Row],[Precio Cierre]]=MIN(Accion[Precio Cierre]),Accion[[#This Row],[Precio Cierre]],"NA")</f>
        <v>NA</v>
      </c>
    </row>
    <row r="393" spans="1:13" hidden="1">
      <c r="A393" s="38" t="s">
        <v>90</v>
      </c>
      <c r="B393" s="34">
        <v>43059</v>
      </c>
      <c r="C393" s="35">
        <v>26660</v>
      </c>
      <c r="D393" s="35">
        <v>301765180</v>
      </c>
      <c r="E393" s="35">
        <v>11340</v>
      </c>
      <c r="F393" s="35">
        <v>11200</v>
      </c>
      <c r="G393" s="35">
        <v>11340</v>
      </c>
      <c r="H393" s="35">
        <v>11319.02</v>
      </c>
      <c r="I393" s="35">
        <v>2.16</v>
      </c>
      <c r="J393" s="35">
        <v>240</v>
      </c>
      <c r="K393" s="71">
        <f>YEAR(Accion[[#This Row],[fecha]])</f>
        <v>2017</v>
      </c>
      <c r="L393" s="79" t="str">
        <f>IF(Accion[[#This Row],[Precio Cierre]]=MAX(Accion[Precio Cierre]),Accion[[#This Row],[Precio Cierre]],"NA")</f>
        <v>NA</v>
      </c>
      <c r="M393" s="79" t="str">
        <f>IF(Accion[[#This Row],[Precio Cierre]]=MIN(Accion[Precio Cierre]),Accion[[#This Row],[Precio Cierre]],"NA")</f>
        <v>NA</v>
      </c>
    </row>
    <row r="394" spans="1:13" hidden="1">
      <c r="A394" s="38" t="s">
        <v>90</v>
      </c>
      <c r="B394" s="34">
        <v>43056</v>
      </c>
      <c r="C394" s="35">
        <v>57519</v>
      </c>
      <c r="D394" s="35">
        <v>638655800</v>
      </c>
      <c r="E394" s="35">
        <v>11220</v>
      </c>
      <c r="F394" s="35">
        <v>11080</v>
      </c>
      <c r="G394" s="35">
        <v>11100</v>
      </c>
      <c r="H394" s="35">
        <v>11103.39</v>
      </c>
      <c r="I394" s="35">
        <v>-0.54</v>
      </c>
      <c r="J394" s="35">
        <v>-60</v>
      </c>
      <c r="K394" s="71">
        <f>YEAR(Accion[[#This Row],[fecha]])</f>
        <v>2017</v>
      </c>
      <c r="L394" s="79" t="str">
        <f>IF(Accion[[#This Row],[Precio Cierre]]=MAX(Accion[Precio Cierre]),Accion[[#This Row],[Precio Cierre]],"NA")</f>
        <v>NA</v>
      </c>
      <c r="M394" s="79" t="str">
        <f>IF(Accion[[#This Row],[Precio Cierre]]=MIN(Accion[Precio Cierre]),Accion[[#This Row],[Precio Cierre]],"NA")</f>
        <v>NA</v>
      </c>
    </row>
    <row r="395" spans="1:13" hidden="1">
      <c r="A395" s="38" t="s">
        <v>90</v>
      </c>
      <c r="B395" s="34">
        <v>43055</v>
      </c>
      <c r="C395" s="35">
        <v>146027</v>
      </c>
      <c r="D395" s="35">
        <v>1616146620</v>
      </c>
      <c r="E395" s="35">
        <v>11200</v>
      </c>
      <c r="F395" s="35">
        <v>10800</v>
      </c>
      <c r="G395" s="35">
        <v>11160</v>
      </c>
      <c r="H395" s="35">
        <v>11067.45</v>
      </c>
      <c r="I395" s="35">
        <v>1.27</v>
      </c>
      <c r="J395" s="35">
        <v>140</v>
      </c>
      <c r="K395" s="71">
        <f>YEAR(Accion[[#This Row],[fecha]])</f>
        <v>2017</v>
      </c>
      <c r="L395" s="79" t="str">
        <f>IF(Accion[[#This Row],[Precio Cierre]]=MAX(Accion[Precio Cierre]),Accion[[#This Row],[Precio Cierre]],"NA")</f>
        <v>NA</v>
      </c>
      <c r="M395" s="79" t="str">
        <f>IF(Accion[[#This Row],[Precio Cierre]]=MIN(Accion[Precio Cierre]),Accion[[#This Row],[Precio Cierre]],"NA")</f>
        <v>NA</v>
      </c>
    </row>
    <row r="396" spans="1:13" hidden="1">
      <c r="A396" s="38" t="s">
        <v>90</v>
      </c>
      <c r="B396" s="34">
        <v>43054</v>
      </c>
      <c r="C396" s="35">
        <v>119038</v>
      </c>
      <c r="D396" s="35">
        <v>1314053900</v>
      </c>
      <c r="E396" s="35">
        <v>11100</v>
      </c>
      <c r="F396" s="35">
        <v>10980</v>
      </c>
      <c r="G396" s="35">
        <v>11020</v>
      </c>
      <c r="H396" s="35">
        <v>11038.94</v>
      </c>
      <c r="I396" s="35">
        <v>0.55000000000000004</v>
      </c>
      <c r="J396" s="35">
        <v>60</v>
      </c>
      <c r="K396" s="71">
        <f>YEAR(Accion[[#This Row],[fecha]])</f>
        <v>2017</v>
      </c>
      <c r="L396" s="79" t="str">
        <f>IF(Accion[[#This Row],[Precio Cierre]]=MAX(Accion[Precio Cierre]),Accion[[#This Row],[Precio Cierre]],"NA")</f>
        <v>NA</v>
      </c>
      <c r="M396" s="79" t="str">
        <f>IF(Accion[[#This Row],[Precio Cierre]]=MIN(Accion[Precio Cierre]),Accion[[#This Row],[Precio Cierre]],"NA")</f>
        <v>NA</v>
      </c>
    </row>
    <row r="397" spans="1:13" hidden="1">
      <c r="A397" s="38" t="s">
        <v>90</v>
      </c>
      <c r="B397" s="34">
        <v>43053</v>
      </c>
      <c r="C397" s="35">
        <v>781550</v>
      </c>
      <c r="D397" s="35">
        <v>8476015860</v>
      </c>
      <c r="E397" s="35">
        <v>10960</v>
      </c>
      <c r="F397" s="35">
        <v>10780</v>
      </c>
      <c r="G397" s="35">
        <v>10960</v>
      </c>
      <c r="H397" s="35">
        <v>10845.14</v>
      </c>
      <c r="I397" s="35">
        <v>1.67</v>
      </c>
      <c r="J397" s="35">
        <v>180</v>
      </c>
      <c r="K397" s="71">
        <f>YEAR(Accion[[#This Row],[fecha]])</f>
        <v>2017</v>
      </c>
      <c r="L397" s="79" t="str">
        <f>IF(Accion[[#This Row],[Precio Cierre]]=MAX(Accion[Precio Cierre]),Accion[[#This Row],[Precio Cierre]],"NA")</f>
        <v>NA</v>
      </c>
      <c r="M397" s="79" t="str">
        <f>IF(Accion[[#This Row],[Precio Cierre]]=MIN(Accion[Precio Cierre]),Accion[[#This Row],[Precio Cierre]],"NA")</f>
        <v>NA</v>
      </c>
    </row>
    <row r="398" spans="1:13" hidden="1">
      <c r="A398" s="38" t="s">
        <v>90</v>
      </c>
      <c r="B398" s="34">
        <v>43049</v>
      </c>
      <c r="C398" s="35">
        <v>42921</v>
      </c>
      <c r="D398" s="35">
        <v>463100780</v>
      </c>
      <c r="E398" s="35">
        <v>10800</v>
      </c>
      <c r="F398" s="35">
        <v>10780</v>
      </c>
      <c r="G398" s="35">
        <v>10780</v>
      </c>
      <c r="H398" s="35">
        <v>10789.61</v>
      </c>
      <c r="I398" s="35">
        <v>-0.92</v>
      </c>
      <c r="J398" s="35">
        <v>-100</v>
      </c>
      <c r="K398" s="71">
        <f>YEAR(Accion[[#This Row],[fecha]])</f>
        <v>2017</v>
      </c>
      <c r="L398" s="79" t="str">
        <f>IF(Accion[[#This Row],[Precio Cierre]]=MAX(Accion[Precio Cierre]),Accion[[#This Row],[Precio Cierre]],"NA")</f>
        <v>NA</v>
      </c>
      <c r="M398" s="79" t="str">
        <f>IF(Accion[[#This Row],[Precio Cierre]]=MIN(Accion[Precio Cierre]),Accion[[#This Row],[Precio Cierre]],"NA")</f>
        <v>NA</v>
      </c>
    </row>
    <row r="399" spans="1:13" hidden="1">
      <c r="A399" s="38" t="s">
        <v>90</v>
      </c>
      <c r="B399" s="34">
        <v>43048</v>
      </c>
      <c r="C399" s="35">
        <v>49850</v>
      </c>
      <c r="D399" s="35">
        <v>543961300</v>
      </c>
      <c r="E399" s="35">
        <v>11000</v>
      </c>
      <c r="F399" s="35">
        <v>10800</v>
      </c>
      <c r="G399" s="35">
        <v>10880</v>
      </c>
      <c r="H399" s="35">
        <v>10911.96</v>
      </c>
      <c r="I399" s="35">
        <v>0.55000000000000004</v>
      </c>
      <c r="J399" s="35">
        <v>60</v>
      </c>
      <c r="K399" s="71">
        <f>YEAR(Accion[[#This Row],[fecha]])</f>
        <v>2017</v>
      </c>
      <c r="L399" s="79" t="str">
        <f>IF(Accion[[#This Row],[Precio Cierre]]=MAX(Accion[Precio Cierre]),Accion[[#This Row],[Precio Cierre]],"NA")</f>
        <v>NA</v>
      </c>
      <c r="M399" s="79" t="str">
        <f>IF(Accion[[#This Row],[Precio Cierre]]=MIN(Accion[Precio Cierre]),Accion[[#This Row],[Precio Cierre]],"NA")</f>
        <v>NA</v>
      </c>
    </row>
    <row r="400" spans="1:13" hidden="1">
      <c r="A400" s="38" t="s">
        <v>90</v>
      </c>
      <c r="B400" s="34">
        <v>43047</v>
      </c>
      <c r="C400" s="35">
        <v>4867</v>
      </c>
      <c r="D400" s="35">
        <v>52750180</v>
      </c>
      <c r="E400" s="35">
        <v>10900</v>
      </c>
      <c r="F400" s="35">
        <v>10820</v>
      </c>
      <c r="G400" s="35">
        <v>10820</v>
      </c>
      <c r="H400" s="35">
        <v>10838.34</v>
      </c>
      <c r="I400" s="35">
        <v>-0.55000000000000004</v>
      </c>
      <c r="J400" s="35">
        <v>-60</v>
      </c>
      <c r="K400" s="71">
        <f>YEAR(Accion[[#This Row],[fecha]])</f>
        <v>2017</v>
      </c>
      <c r="L400" s="79" t="str">
        <f>IF(Accion[[#This Row],[Precio Cierre]]=MAX(Accion[Precio Cierre]),Accion[[#This Row],[Precio Cierre]],"NA")</f>
        <v>NA</v>
      </c>
      <c r="M400" s="79" t="str">
        <f>IF(Accion[[#This Row],[Precio Cierre]]=MIN(Accion[Precio Cierre]),Accion[[#This Row],[Precio Cierre]],"NA")</f>
        <v>NA</v>
      </c>
    </row>
    <row r="401" spans="1:13" hidden="1">
      <c r="A401" s="38" t="s">
        <v>90</v>
      </c>
      <c r="B401" s="34">
        <v>43046</v>
      </c>
      <c r="C401" s="35">
        <v>81001</v>
      </c>
      <c r="D401" s="35">
        <v>881129020</v>
      </c>
      <c r="E401" s="35">
        <v>10980</v>
      </c>
      <c r="F401" s="35">
        <v>10820</v>
      </c>
      <c r="G401" s="35">
        <v>10880</v>
      </c>
      <c r="H401" s="35">
        <v>10878</v>
      </c>
      <c r="I401" s="35">
        <v>0</v>
      </c>
      <c r="J401" s="35">
        <v>0</v>
      </c>
      <c r="K401" s="71">
        <f>YEAR(Accion[[#This Row],[fecha]])</f>
        <v>2017</v>
      </c>
      <c r="L401" s="79" t="str">
        <f>IF(Accion[[#This Row],[Precio Cierre]]=MAX(Accion[Precio Cierre]),Accion[[#This Row],[Precio Cierre]],"NA")</f>
        <v>NA</v>
      </c>
      <c r="M401" s="79" t="str">
        <f>IF(Accion[[#This Row],[Precio Cierre]]=MIN(Accion[Precio Cierre]),Accion[[#This Row],[Precio Cierre]],"NA")</f>
        <v>NA</v>
      </c>
    </row>
    <row r="402" spans="1:13" hidden="1">
      <c r="A402" s="38" t="s">
        <v>90</v>
      </c>
      <c r="B402" s="34">
        <v>43042</v>
      </c>
      <c r="C402" s="35">
        <v>48752</v>
      </c>
      <c r="D402" s="35">
        <v>534518480</v>
      </c>
      <c r="E402" s="35">
        <v>11000</v>
      </c>
      <c r="F402" s="35">
        <v>10860</v>
      </c>
      <c r="G402" s="35">
        <v>10880</v>
      </c>
      <c r="H402" s="35">
        <v>10964.03</v>
      </c>
      <c r="I402" s="35">
        <v>-1.0900000000000001</v>
      </c>
      <c r="J402" s="35">
        <v>-120</v>
      </c>
      <c r="K402" s="71">
        <f>YEAR(Accion[[#This Row],[fecha]])</f>
        <v>2017</v>
      </c>
      <c r="L402" s="79" t="str">
        <f>IF(Accion[[#This Row],[Precio Cierre]]=MAX(Accion[Precio Cierre]),Accion[[#This Row],[Precio Cierre]],"NA")</f>
        <v>NA</v>
      </c>
      <c r="M402" s="79" t="str">
        <f>IF(Accion[[#This Row],[Precio Cierre]]=MIN(Accion[Precio Cierre]),Accion[[#This Row],[Precio Cierre]],"NA")</f>
        <v>NA</v>
      </c>
    </row>
    <row r="403" spans="1:13" hidden="1">
      <c r="A403" s="38" t="s">
        <v>90</v>
      </c>
      <c r="B403" s="34">
        <v>43041</v>
      </c>
      <c r="C403" s="35">
        <v>13496</v>
      </c>
      <c r="D403" s="35">
        <v>147801680</v>
      </c>
      <c r="E403" s="35">
        <v>11000</v>
      </c>
      <c r="F403" s="35">
        <v>10800</v>
      </c>
      <c r="G403" s="35">
        <v>11000</v>
      </c>
      <c r="H403" s="35">
        <v>10951.52</v>
      </c>
      <c r="I403" s="35">
        <v>0.36</v>
      </c>
      <c r="J403" s="35">
        <v>40</v>
      </c>
      <c r="K403" s="71">
        <f>YEAR(Accion[[#This Row],[fecha]])</f>
        <v>2017</v>
      </c>
      <c r="L403" s="79" t="str">
        <f>IF(Accion[[#This Row],[Precio Cierre]]=MAX(Accion[Precio Cierre]),Accion[[#This Row],[Precio Cierre]],"NA")</f>
        <v>NA</v>
      </c>
      <c r="M403" s="79" t="str">
        <f>IF(Accion[[#This Row],[Precio Cierre]]=MIN(Accion[Precio Cierre]),Accion[[#This Row],[Precio Cierre]],"NA")</f>
        <v>NA</v>
      </c>
    </row>
    <row r="404" spans="1:13" hidden="1">
      <c r="A404" s="38" t="s">
        <v>90</v>
      </c>
      <c r="B404" s="34">
        <v>43040</v>
      </c>
      <c r="C404" s="35">
        <v>473628</v>
      </c>
      <c r="D404" s="35">
        <v>5105075800</v>
      </c>
      <c r="E404" s="35">
        <v>10960</v>
      </c>
      <c r="F404" s="35">
        <v>10700</v>
      </c>
      <c r="G404" s="35">
        <v>10960</v>
      </c>
      <c r="H404" s="35">
        <v>10778.66</v>
      </c>
      <c r="I404" s="35">
        <v>1.67</v>
      </c>
      <c r="J404" s="35">
        <v>180</v>
      </c>
      <c r="K404" s="71">
        <f>YEAR(Accion[[#This Row],[fecha]])</f>
        <v>2017</v>
      </c>
      <c r="L404" s="79" t="str">
        <f>IF(Accion[[#This Row],[Precio Cierre]]=MAX(Accion[Precio Cierre]),Accion[[#This Row],[Precio Cierre]],"NA")</f>
        <v>NA</v>
      </c>
      <c r="M404" s="79" t="str">
        <f>IF(Accion[[#This Row],[Precio Cierre]]=MIN(Accion[Precio Cierre]),Accion[[#This Row],[Precio Cierre]],"NA")</f>
        <v>NA</v>
      </c>
    </row>
    <row r="405" spans="1:13" hidden="1">
      <c r="A405" s="38" t="s">
        <v>90</v>
      </c>
      <c r="B405" s="34">
        <v>43039</v>
      </c>
      <c r="C405" s="35">
        <v>460692</v>
      </c>
      <c r="D405" s="35">
        <v>4996180200</v>
      </c>
      <c r="E405" s="35">
        <v>11000</v>
      </c>
      <c r="F405" s="35">
        <v>10780</v>
      </c>
      <c r="G405" s="35">
        <v>10780</v>
      </c>
      <c r="H405" s="35">
        <v>10844.95</v>
      </c>
      <c r="I405" s="35">
        <v>-2</v>
      </c>
      <c r="J405" s="35">
        <v>-220</v>
      </c>
      <c r="K405" s="71">
        <f>YEAR(Accion[[#This Row],[fecha]])</f>
        <v>2017</v>
      </c>
      <c r="L405" s="79" t="str">
        <f>IF(Accion[[#This Row],[Precio Cierre]]=MAX(Accion[Precio Cierre]),Accion[[#This Row],[Precio Cierre]],"NA")</f>
        <v>NA</v>
      </c>
      <c r="M405" s="79" t="str">
        <f>IF(Accion[[#This Row],[Precio Cierre]]=MIN(Accion[Precio Cierre]),Accion[[#This Row],[Precio Cierre]],"NA")</f>
        <v>NA</v>
      </c>
    </row>
    <row r="406" spans="1:13" hidden="1">
      <c r="A406" s="38" t="s">
        <v>90</v>
      </c>
      <c r="B406" s="34">
        <v>43038</v>
      </c>
      <c r="C406" s="35">
        <v>282725</v>
      </c>
      <c r="D406" s="35">
        <v>3091049000</v>
      </c>
      <c r="E406" s="35">
        <v>11240</v>
      </c>
      <c r="F406" s="35">
        <v>10900</v>
      </c>
      <c r="G406" s="35">
        <v>11000</v>
      </c>
      <c r="H406" s="35">
        <v>10933.06</v>
      </c>
      <c r="I406" s="35">
        <v>-2.48</v>
      </c>
      <c r="J406" s="35">
        <v>-280</v>
      </c>
      <c r="K406" s="71">
        <f>YEAR(Accion[[#This Row],[fecha]])</f>
        <v>2017</v>
      </c>
      <c r="L406" s="79" t="str">
        <f>IF(Accion[[#This Row],[Precio Cierre]]=MAX(Accion[Precio Cierre]),Accion[[#This Row],[Precio Cierre]],"NA")</f>
        <v>NA</v>
      </c>
      <c r="M406" s="79" t="str">
        <f>IF(Accion[[#This Row],[Precio Cierre]]=MIN(Accion[Precio Cierre]),Accion[[#This Row],[Precio Cierre]],"NA")</f>
        <v>NA</v>
      </c>
    </row>
    <row r="407" spans="1:13" hidden="1">
      <c r="A407" s="38" t="s">
        <v>90</v>
      </c>
      <c r="B407" s="34">
        <v>43035</v>
      </c>
      <c r="C407" s="35">
        <v>27035</v>
      </c>
      <c r="D407" s="35">
        <v>305083700</v>
      </c>
      <c r="E407" s="35">
        <v>11360</v>
      </c>
      <c r="F407" s="35">
        <v>11140</v>
      </c>
      <c r="G407" s="35">
        <v>11280</v>
      </c>
      <c r="H407" s="35">
        <v>11284.77</v>
      </c>
      <c r="I407" s="35">
        <v>-2.08</v>
      </c>
      <c r="J407" s="35">
        <v>-240</v>
      </c>
      <c r="K407" s="71">
        <f>YEAR(Accion[[#This Row],[fecha]])</f>
        <v>2017</v>
      </c>
      <c r="L407" s="79" t="str">
        <f>IF(Accion[[#This Row],[Precio Cierre]]=MAX(Accion[Precio Cierre]),Accion[[#This Row],[Precio Cierre]],"NA")</f>
        <v>NA</v>
      </c>
      <c r="M407" s="79" t="str">
        <f>IF(Accion[[#This Row],[Precio Cierre]]=MIN(Accion[Precio Cierre]),Accion[[#This Row],[Precio Cierre]],"NA")</f>
        <v>NA</v>
      </c>
    </row>
    <row r="408" spans="1:13" hidden="1">
      <c r="A408" s="38" t="s">
        <v>90</v>
      </c>
      <c r="B408" s="34">
        <v>43034</v>
      </c>
      <c r="C408" s="35">
        <v>41911</v>
      </c>
      <c r="D408" s="35">
        <v>485050660</v>
      </c>
      <c r="E408" s="35">
        <v>11640</v>
      </c>
      <c r="F408" s="35">
        <v>11440</v>
      </c>
      <c r="G408" s="35">
        <v>11520</v>
      </c>
      <c r="H408" s="35">
        <v>11573.35</v>
      </c>
      <c r="I408" s="35">
        <v>0</v>
      </c>
      <c r="J408" s="35">
        <v>0</v>
      </c>
      <c r="K408" s="71">
        <f>YEAR(Accion[[#This Row],[fecha]])</f>
        <v>2017</v>
      </c>
      <c r="L408" s="79" t="str">
        <f>IF(Accion[[#This Row],[Precio Cierre]]=MAX(Accion[Precio Cierre]),Accion[[#This Row],[Precio Cierre]],"NA")</f>
        <v>NA</v>
      </c>
      <c r="M408" s="79" t="str">
        <f>IF(Accion[[#This Row],[Precio Cierre]]=MIN(Accion[Precio Cierre]),Accion[[#This Row],[Precio Cierre]],"NA")</f>
        <v>NA</v>
      </c>
    </row>
    <row r="409" spans="1:13" hidden="1">
      <c r="A409" s="38" t="s">
        <v>90</v>
      </c>
      <c r="B409" s="34">
        <v>43033</v>
      </c>
      <c r="C409" s="35">
        <v>290871</v>
      </c>
      <c r="D409" s="35">
        <v>3349152000</v>
      </c>
      <c r="E409" s="35">
        <v>11580</v>
      </c>
      <c r="F409" s="35">
        <v>11500</v>
      </c>
      <c r="G409" s="35">
        <v>11520</v>
      </c>
      <c r="H409" s="35">
        <v>11514.22</v>
      </c>
      <c r="I409" s="35">
        <v>0.17</v>
      </c>
      <c r="J409" s="35">
        <v>20</v>
      </c>
      <c r="K409" s="71">
        <f>YEAR(Accion[[#This Row],[fecha]])</f>
        <v>2017</v>
      </c>
      <c r="L409" s="79" t="str">
        <f>IF(Accion[[#This Row],[Precio Cierre]]=MAX(Accion[Precio Cierre]),Accion[[#This Row],[Precio Cierre]],"NA")</f>
        <v>NA</v>
      </c>
      <c r="M409" s="79" t="str">
        <f>IF(Accion[[#This Row],[Precio Cierre]]=MIN(Accion[Precio Cierre]),Accion[[#This Row],[Precio Cierre]],"NA")</f>
        <v>NA</v>
      </c>
    </row>
    <row r="410" spans="1:13" hidden="1">
      <c r="A410" s="38" t="s">
        <v>90</v>
      </c>
      <c r="B410" s="34">
        <v>43032</v>
      </c>
      <c r="C410" s="35">
        <v>263925</v>
      </c>
      <c r="D410" s="35">
        <v>3022056700</v>
      </c>
      <c r="E410" s="35">
        <v>11500</v>
      </c>
      <c r="F410" s="35">
        <v>11400</v>
      </c>
      <c r="G410" s="35">
        <v>11500</v>
      </c>
      <c r="H410" s="35">
        <v>11450.44</v>
      </c>
      <c r="I410" s="35">
        <v>0.88</v>
      </c>
      <c r="J410" s="35">
        <v>100</v>
      </c>
      <c r="K410" s="71">
        <f>YEAR(Accion[[#This Row],[fecha]])</f>
        <v>2017</v>
      </c>
      <c r="L410" s="79" t="str">
        <f>IF(Accion[[#This Row],[Precio Cierre]]=MAX(Accion[Precio Cierre]),Accion[[#This Row],[Precio Cierre]],"NA")</f>
        <v>NA</v>
      </c>
      <c r="M410" s="79" t="str">
        <f>IF(Accion[[#This Row],[Precio Cierre]]=MIN(Accion[Precio Cierre]),Accion[[#This Row],[Precio Cierre]],"NA")</f>
        <v>NA</v>
      </c>
    </row>
    <row r="411" spans="1:13" hidden="1">
      <c r="A411" s="38" t="s">
        <v>90</v>
      </c>
      <c r="B411" s="34">
        <v>43031</v>
      </c>
      <c r="C411" s="35">
        <v>61220</v>
      </c>
      <c r="D411" s="35">
        <v>698525340</v>
      </c>
      <c r="E411" s="35">
        <v>11520</v>
      </c>
      <c r="F411" s="35">
        <v>11380</v>
      </c>
      <c r="G411" s="35">
        <v>11400</v>
      </c>
      <c r="H411" s="35">
        <v>11410.08</v>
      </c>
      <c r="I411" s="35">
        <v>0</v>
      </c>
      <c r="J411" s="35">
        <v>0</v>
      </c>
      <c r="K411" s="71">
        <f>YEAR(Accion[[#This Row],[fecha]])</f>
        <v>2017</v>
      </c>
      <c r="L411" s="79" t="str">
        <f>IF(Accion[[#This Row],[Precio Cierre]]=MAX(Accion[Precio Cierre]),Accion[[#This Row],[Precio Cierre]],"NA")</f>
        <v>NA</v>
      </c>
      <c r="M411" s="79" t="str">
        <f>IF(Accion[[#This Row],[Precio Cierre]]=MIN(Accion[Precio Cierre]),Accion[[#This Row],[Precio Cierre]],"NA")</f>
        <v>NA</v>
      </c>
    </row>
    <row r="412" spans="1:13" hidden="1">
      <c r="A412" s="38" t="s">
        <v>90</v>
      </c>
      <c r="B412" s="34">
        <v>43028</v>
      </c>
      <c r="C412" s="35">
        <v>62378</v>
      </c>
      <c r="D412" s="35">
        <v>705225280</v>
      </c>
      <c r="E412" s="35">
        <v>11440</v>
      </c>
      <c r="F412" s="35">
        <v>11260</v>
      </c>
      <c r="G412" s="35">
        <v>11400</v>
      </c>
      <c r="H412" s="35">
        <v>11305.67</v>
      </c>
      <c r="I412" s="35">
        <v>1.24</v>
      </c>
      <c r="J412" s="35">
        <v>140</v>
      </c>
      <c r="K412" s="71">
        <f>YEAR(Accion[[#This Row],[fecha]])</f>
        <v>2017</v>
      </c>
      <c r="L412" s="79" t="str">
        <f>IF(Accion[[#This Row],[Precio Cierre]]=MAX(Accion[Precio Cierre]),Accion[[#This Row],[Precio Cierre]],"NA")</f>
        <v>NA</v>
      </c>
      <c r="M412" s="79" t="str">
        <f>IF(Accion[[#This Row],[Precio Cierre]]=MIN(Accion[Precio Cierre]),Accion[[#This Row],[Precio Cierre]],"NA")</f>
        <v>NA</v>
      </c>
    </row>
    <row r="413" spans="1:13" hidden="1">
      <c r="A413" s="38" t="s">
        <v>90</v>
      </c>
      <c r="B413" s="34">
        <v>43027</v>
      </c>
      <c r="C413" s="35">
        <v>81563</v>
      </c>
      <c r="D413" s="35">
        <v>920616540</v>
      </c>
      <c r="E413" s="35">
        <v>11380</v>
      </c>
      <c r="F413" s="35">
        <v>11260</v>
      </c>
      <c r="G413" s="35">
        <v>11260</v>
      </c>
      <c r="H413" s="35">
        <v>11287.18</v>
      </c>
      <c r="I413" s="35">
        <v>-1.4</v>
      </c>
      <c r="J413" s="35">
        <v>-160</v>
      </c>
      <c r="K413" s="71">
        <f>YEAR(Accion[[#This Row],[fecha]])</f>
        <v>2017</v>
      </c>
      <c r="L413" s="79" t="str">
        <f>IF(Accion[[#This Row],[Precio Cierre]]=MAX(Accion[Precio Cierre]),Accion[[#This Row],[Precio Cierre]],"NA")</f>
        <v>NA</v>
      </c>
      <c r="M413" s="79" t="str">
        <f>IF(Accion[[#This Row],[Precio Cierre]]=MIN(Accion[Precio Cierre]),Accion[[#This Row],[Precio Cierre]],"NA")</f>
        <v>NA</v>
      </c>
    </row>
    <row r="414" spans="1:13" hidden="1">
      <c r="A414" s="38" t="s">
        <v>90</v>
      </c>
      <c r="B414" s="34">
        <v>43026</v>
      </c>
      <c r="C414" s="35">
        <v>79732</v>
      </c>
      <c r="D414" s="35">
        <v>913463740</v>
      </c>
      <c r="E414" s="35">
        <v>11560</v>
      </c>
      <c r="F414" s="35">
        <v>11320</v>
      </c>
      <c r="G414" s="35">
        <v>11420</v>
      </c>
      <c r="H414" s="35">
        <v>11456.68</v>
      </c>
      <c r="I414" s="35">
        <v>-0.87</v>
      </c>
      <c r="J414" s="35">
        <v>-100</v>
      </c>
      <c r="K414" s="71">
        <f>YEAR(Accion[[#This Row],[fecha]])</f>
        <v>2017</v>
      </c>
      <c r="L414" s="79" t="str">
        <f>IF(Accion[[#This Row],[Precio Cierre]]=MAX(Accion[Precio Cierre]),Accion[[#This Row],[Precio Cierre]],"NA")</f>
        <v>NA</v>
      </c>
      <c r="M414" s="79" t="str">
        <f>IF(Accion[[#This Row],[Precio Cierre]]=MIN(Accion[Precio Cierre]),Accion[[#This Row],[Precio Cierre]],"NA")</f>
        <v>NA</v>
      </c>
    </row>
    <row r="415" spans="1:13" hidden="1">
      <c r="A415" s="38" t="s">
        <v>90</v>
      </c>
      <c r="B415" s="34">
        <v>43025</v>
      </c>
      <c r="C415" s="35">
        <v>230323</v>
      </c>
      <c r="D415" s="35">
        <v>2622478520</v>
      </c>
      <c r="E415" s="35">
        <v>11520</v>
      </c>
      <c r="F415" s="35">
        <v>11000</v>
      </c>
      <c r="G415" s="35">
        <v>11520</v>
      </c>
      <c r="H415" s="35">
        <v>11386.09</v>
      </c>
      <c r="I415" s="35">
        <v>0</v>
      </c>
      <c r="J415" s="35">
        <v>0</v>
      </c>
      <c r="K415" s="71">
        <f>YEAR(Accion[[#This Row],[fecha]])</f>
        <v>2017</v>
      </c>
      <c r="L415" s="79" t="str">
        <f>IF(Accion[[#This Row],[Precio Cierre]]=MAX(Accion[Precio Cierre]),Accion[[#This Row],[Precio Cierre]],"NA")</f>
        <v>NA</v>
      </c>
      <c r="M415" s="79" t="str">
        <f>IF(Accion[[#This Row],[Precio Cierre]]=MIN(Accion[Precio Cierre]),Accion[[#This Row],[Precio Cierre]],"NA")</f>
        <v>NA</v>
      </c>
    </row>
    <row r="416" spans="1:13" hidden="1">
      <c r="A416" s="38" t="s">
        <v>90</v>
      </c>
      <c r="B416" s="34">
        <v>43021</v>
      </c>
      <c r="C416" s="35">
        <v>177326</v>
      </c>
      <c r="D416" s="35">
        <v>2068155440</v>
      </c>
      <c r="E416" s="35">
        <v>11760</v>
      </c>
      <c r="F416" s="35">
        <v>11520</v>
      </c>
      <c r="G416" s="35">
        <v>11520</v>
      </c>
      <c r="H416" s="35">
        <v>11663.01</v>
      </c>
      <c r="I416" s="35">
        <v>-2.37</v>
      </c>
      <c r="J416" s="35">
        <v>-280</v>
      </c>
      <c r="K416" s="71">
        <f>YEAR(Accion[[#This Row],[fecha]])</f>
        <v>2017</v>
      </c>
      <c r="L416" s="79" t="str">
        <f>IF(Accion[[#This Row],[Precio Cierre]]=MAX(Accion[Precio Cierre]),Accion[[#This Row],[Precio Cierre]],"NA")</f>
        <v>NA</v>
      </c>
      <c r="M416" s="79" t="str">
        <f>IF(Accion[[#This Row],[Precio Cierre]]=MIN(Accion[Precio Cierre]),Accion[[#This Row],[Precio Cierre]],"NA")</f>
        <v>NA</v>
      </c>
    </row>
    <row r="417" spans="1:13" hidden="1">
      <c r="A417" s="38" t="s">
        <v>90</v>
      </c>
      <c r="B417" s="34">
        <v>43020</v>
      </c>
      <c r="C417" s="35">
        <v>111020</v>
      </c>
      <c r="D417" s="35">
        <v>1301824000</v>
      </c>
      <c r="E417" s="35">
        <v>11800</v>
      </c>
      <c r="F417" s="35">
        <v>11680</v>
      </c>
      <c r="G417" s="35">
        <v>11800</v>
      </c>
      <c r="H417" s="35">
        <v>11726.03</v>
      </c>
      <c r="I417" s="35">
        <v>1.03</v>
      </c>
      <c r="J417" s="35">
        <v>120</v>
      </c>
      <c r="K417" s="71">
        <f>YEAR(Accion[[#This Row],[fecha]])</f>
        <v>2017</v>
      </c>
      <c r="L417" s="79" t="str">
        <f>IF(Accion[[#This Row],[Precio Cierre]]=MAX(Accion[Precio Cierre]),Accion[[#This Row],[Precio Cierre]],"NA")</f>
        <v>NA</v>
      </c>
      <c r="M417" s="79" t="str">
        <f>IF(Accion[[#This Row],[Precio Cierre]]=MIN(Accion[Precio Cierre]),Accion[[#This Row],[Precio Cierre]],"NA")</f>
        <v>NA</v>
      </c>
    </row>
    <row r="418" spans="1:13" hidden="1">
      <c r="A418" s="38" t="s">
        <v>90</v>
      </c>
      <c r="B418" s="34">
        <v>43019</v>
      </c>
      <c r="C418" s="35">
        <v>29914</v>
      </c>
      <c r="D418" s="35">
        <v>349847520</v>
      </c>
      <c r="E418" s="35">
        <v>11700</v>
      </c>
      <c r="F418" s="35">
        <v>11620</v>
      </c>
      <c r="G418" s="35">
        <v>11680</v>
      </c>
      <c r="H418" s="35">
        <v>11695.11</v>
      </c>
      <c r="I418" s="35">
        <v>-1.02</v>
      </c>
      <c r="J418" s="35">
        <v>-120</v>
      </c>
      <c r="K418" s="71">
        <f>YEAR(Accion[[#This Row],[fecha]])</f>
        <v>2017</v>
      </c>
      <c r="L418" s="79" t="str">
        <f>IF(Accion[[#This Row],[Precio Cierre]]=MAX(Accion[Precio Cierre]),Accion[[#This Row],[Precio Cierre]],"NA")</f>
        <v>NA</v>
      </c>
      <c r="M418" s="79" t="str">
        <f>IF(Accion[[#This Row],[Precio Cierre]]=MIN(Accion[Precio Cierre]),Accion[[#This Row],[Precio Cierre]],"NA")</f>
        <v>NA</v>
      </c>
    </row>
    <row r="419" spans="1:13" hidden="1">
      <c r="A419" s="38" t="s">
        <v>90</v>
      </c>
      <c r="B419" s="34">
        <v>43018</v>
      </c>
      <c r="C419" s="35">
        <v>290079</v>
      </c>
      <c r="D419" s="35">
        <v>3414113100</v>
      </c>
      <c r="E419" s="35">
        <v>11800</v>
      </c>
      <c r="F419" s="35">
        <v>11740</v>
      </c>
      <c r="G419" s="35">
        <v>11800</v>
      </c>
      <c r="H419" s="35">
        <v>11769.6</v>
      </c>
      <c r="I419" s="35">
        <v>0</v>
      </c>
      <c r="J419" s="35">
        <v>0</v>
      </c>
      <c r="K419" s="71">
        <f>YEAR(Accion[[#This Row],[fecha]])</f>
        <v>2017</v>
      </c>
      <c r="L419" s="79" t="str">
        <f>IF(Accion[[#This Row],[Precio Cierre]]=MAX(Accion[Precio Cierre]),Accion[[#This Row],[Precio Cierre]],"NA")</f>
        <v>NA</v>
      </c>
      <c r="M419" s="79" t="str">
        <f>IF(Accion[[#This Row],[Precio Cierre]]=MIN(Accion[Precio Cierre]),Accion[[#This Row],[Precio Cierre]],"NA")</f>
        <v>NA</v>
      </c>
    </row>
    <row r="420" spans="1:13" hidden="1">
      <c r="A420" s="38" t="s">
        <v>90</v>
      </c>
      <c r="B420" s="34">
        <v>43017</v>
      </c>
      <c r="C420" s="35">
        <v>50916</v>
      </c>
      <c r="D420" s="35">
        <v>601437520</v>
      </c>
      <c r="E420" s="35">
        <v>11860</v>
      </c>
      <c r="F420" s="35">
        <v>11700</v>
      </c>
      <c r="G420" s="35">
        <v>11800</v>
      </c>
      <c r="H420" s="35">
        <v>11812.35</v>
      </c>
      <c r="I420" s="35">
        <v>1.55</v>
      </c>
      <c r="J420" s="35">
        <v>180</v>
      </c>
      <c r="K420" s="71">
        <f>YEAR(Accion[[#This Row],[fecha]])</f>
        <v>2017</v>
      </c>
      <c r="L420" s="79" t="str">
        <f>IF(Accion[[#This Row],[Precio Cierre]]=MAX(Accion[Precio Cierre]),Accion[[#This Row],[Precio Cierre]],"NA")</f>
        <v>NA</v>
      </c>
      <c r="M420" s="79" t="str">
        <f>IF(Accion[[#This Row],[Precio Cierre]]=MIN(Accion[Precio Cierre]),Accion[[#This Row],[Precio Cierre]],"NA")</f>
        <v>NA</v>
      </c>
    </row>
    <row r="421" spans="1:13" hidden="1">
      <c r="A421" s="38" t="s">
        <v>90</v>
      </c>
      <c r="B421" s="34">
        <v>43014</v>
      </c>
      <c r="C421" s="35">
        <v>53643</v>
      </c>
      <c r="D421" s="35">
        <v>630309060</v>
      </c>
      <c r="E421" s="35">
        <v>11800</v>
      </c>
      <c r="F421" s="35">
        <v>11620</v>
      </c>
      <c r="G421" s="35">
        <v>11620</v>
      </c>
      <c r="H421" s="35">
        <v>11750.07</v>
      </c>
      <c r="I421" s="35">
        <v>-1.69</v>
      </c>
      <c r="J421" s="35">
        <v>-200</v>
      </c>
      <c r="K421" s="71">
        <f>YEAR(Accion[[#This Row],[fecha]])</f>
        <v>2017</v>
      </c>
      <c r="L421" s="79" t="str">
        <f>IF(Accion[[#This Row],[Precio Cierre]]=MAX(Accion[Precio Cierre]),Accion[[#This Row],[Precio Cierre]],"NA")</f>
        <v>NA</v>
      </c>
      <c r="M421" s="79" t="str">
        <f>IF(Accion[[#This Row],[Precio Cierre]]=MIN(Accion[Precio Cierre]),Accion[[#This Row],[Precio Cierre]],"NA")</f>
        <v>NA</v>
      </c>
    </row>
    <row r="422" spans="1:13" hidden="1">
      <c r="A422" s="38" t="s">
        <v>90</v>
      </c>
      <c r="B422" s="34">
        <v>43013</v>
      </c>
      <c r="C422" s="35">
        <v>33836</v>
      </c>
      <c r="D422" s="35">
        <v>399749780</v>
      </c>
      <c r="E422" s="35">
        <v>11820</v>
      </c>
      <c r="F422" s="35">
        <v>11800</v>
      </c>
      <c r="G422" s="35">
        <v>11820</v>
      </c>
      <c r="H422" s="35">
        <v>11814.33</v>
      </c>
      <c r="I422" s="35">
        <v>-0.17</v>
      </c>
      <c r="J422" s="35">
        <v>-20</v>
      </c>
      <c r="K422" s="71">
        <f>YEAR(Accion[[#This Row],[fecha]])</f>
        <v>2017</v>
      </c>
      <c r="L422" s="79" t="str">
        <f>IF(Accion[[#This Row],[Precio Cierre]]=MAX(Accion[Precio Cierre]),Accion[[#This Row],[Precio Cierre]],"NA")</f>
        <v>NA</v>
      </c>
      <c r="M422" s="79" t="str">
        <f>IF(Accion[[#This Row],[Precio Cierre]]=MIN(Accion[Precio Cierre]),Accion[[#This Row],[Precio Cierre]],"NA")</f>
        <v>NA</v>
      </c>
    </row>
    <row r="423" spans="1:13" hidden="1">
      <c r="A423" s="38" t="s">
        <v>90</v>
      </c>
      <c r="B423" s="34">
        <v>43012</v>
      </c>
      <c r="C423" s="35">
        <v>64766</v>
      </c>
      <c r="D423" s="35">
        <v>764500920</v>
      </c>
      <c r="E423" s="35">
        <v>11840</v>
      </c>
      <c r="F423" s="35">
        <v>11800</v>
      </c>
      <c r="G423" s="35">
        <v>11840</v>
      </c>
      <c r="H423" s="35">
        <v>11804.05</v>
      </c>
      <c r="I423" s="35">
        <v>0.34</v>
      </c>
      <c r="J423" s="35">
        <v>40</v>
      </c>
      <c r="K423" s="71">
        <f>YEAR(Accion[[#This Row],[fecha]])</f>
        <v>2017</v>
      </c>
      <c r="L423" s="79" t="str">
        <f>IF(Accion[[#This Row],[Precio Cierre]]=MAX(Accion[Precio Cierre]),Accion[[#This Row],[Precio Cierre]],"NA")</f>
        <v>NA</v>
      </c>
      <c r="M423" s="79" t="str">
        <f>IF(Accion[[#This Row],[Precio Cierre]]=MIN(Accion[Precio Cierre]),Accion[[#This Row],[Precio Cierre]],"NA")</f>
        <v>NA</v>
      </c>
    </row>
    <row r="424" spans="1:13" hidden="1">
      <c r="A424" s="38" t="s">
        <v>90</v>
      </c>
      <c r="B424" s="34">
        <v>43011</v>
      </c>
      <c r="C424" s="35">
        <v>45020</v>
      </c>
      <c r="D424" s="35">
        <v>529695340</v>
      </c>
      <c r="E424" s="35">
        <v>11800</v>
      </c>
      <c r="F424" s="35">
        <v>11760</v>
      </c>
      <c r="G424" s="35">
        <v>11800</v>
      </c>
      <c r="H424" s="35">
        <v>11765.78</v>
      </c>
      <c r="I424" s="35">
        <v>0.34</v>
      </c>
      <c r="J424" s="35">
        <v>40</v>
      </c>
      <c r="K424" s="71">
        <f>YEAR(Accion[[#This Row],[fecha]])</f>
        <v>2017</v>
      </c>
      <c r="L424" s="79" t="str">
        <f>IF(Accion[[#This Row],[Precio Cierre]]=MAX(Accion[Precio Cierre]),Accion[[#This Row],[Precio Cierre]],"NA")</f>
        <v>NA</v>
      </c>
      <c r="M424" s="79" t="str">
        <f>IF(Accion[[#This Row],[Precio Cierre]]=MIN(Accion[Precio Cierre]),Accion[[#This Row],[Precio Cierre]],"NA")</f>
        <v>NA</v>
      </c>
    </row>
    <row r="425" spans="1:13" hidden="1">
      <c r="A425" s="38" t="s">
        <v>90</v>
      </c>
      <c r="B425" s="34">
        <v>43010</v>
      </c>
      <c r="C425" s="35">
        <v>135475</v>
      </c>
      <c r="D425" s="35">
        <v>1579279580</v>
      </c>
      <c r="E425" s="35">
        <v>11760</v>
      </c>
      <c r="F425" s="35">
        <v>11600</v>
      </c>
      <c r="G425" s="35">
        <v>11760</v>
      </c>
      <c r="H425" s="35">
        <v>11657.35</v>
      </c>
      <c r="I425" s="35">
        <v>1.91</v>
      </c>
      <c r="J425" s="35">
        <v>220</v>
      </c>
      <c r="K425" s="71">
        <f>YEAR(Accion[[#This Row],[fecha]])</f>
        <v>2017</v>
      </c>
      <c r="L425" s="79" t="str">
        <f>IF(Accion[[#This Row],[Precio Cierre]]=MAX(Accion[Precio Cierre]),Accion[[#This Row],[Precio Cierre]],"NA")</f>
        <v>NA</v>
      </c>
      <c r="M425" s="79" t="str">
        <f>IF(Accion[[#This Row],[Precio Cierre]]=MIN(Accion[Precio Cierre]),Accion[[#This Row],[Precio Cierre]],"NA")</f>
        <v>NA</v>
      </c>
    </row>
    <row r="426" spans="1:13" hidden="1">
      <c r="A426" s="38" t="s">
        <v>90</v>
      </c>
      <c r="B426" s="34">
        <v>43007</v>
      </c>
      <c r="C426" s="35">
        <v>211105</v>
      </c>
      <c r="D426" s="35">
        <v>2439271700</v>
      </c>
      <c r="E426" s="35">
        <v>11580</v>
      </c>
      <c r="F426" s="35">
        <v>11520</v>
      </c>
      <c r="G426" s="35">
        <v>11540</v>
      </c>
      <c r="H426" s="35">
        <v>11554.78</v>
      </c>
      <c r="I426" s="35">
        <v>0.35</v>
      </c>
      <c r="J426" s="35">
        <v>40</v>
      </c>
      <c r="K426" s="71">
        <f>YEAR(Accion[[#This Row],[fecha]])</f>
        <v>2017</v>
      </c>
      <c r="L426" s="79" t="str">
        <f>IF(Accion[[#This Row],[Precio Cierre]]=MAX(Accion[Precio Cierre]),Accion[[#This Row],[Precio Cierre]],"NA")</f>
        <v>NA</v>
      </c>
      <c r="M426" s="79" t="str">
        <f>IF(Accion[[#This Row],[Precio Cierre]]=MIN(Accion[Precio Cierre]),Accion[[#This Row],[Precio Cierre]],"NA")</f>
        <v>NA</v>
      </c>
    </row>
    <row r="427" spans="1:13" hidden="1">
      <c r="A427" s="38" t="s">
        <v>90</v>
      </c>
      <c r="B427" s="34">
        <v>43006</v>
      </c>
      <c r="C427" s="35">
        <v>381544</v>
      </c>
      <c r="D427" s="35">
        <v>4391519600</v>
      </c>
      <c r="E427" s="35">
        <v>11600</v>
      </c>
      <c r="F427" s="35">
        <v>11440</v>
      </c>
      <c r="G427" s="35">
        <v>11500</v>
      </c>
      <c r="H427" s="35">
        <v>11509.86</v>
      </c>
      <c r="I427" s="35">
        <v>0.88</v>
      </c>
      <c r="J427" s="35">
        <v>100</v>
      </c>
      <c r="K427" s="71">
        <f>YEAR(Accion[[#This Row],[fecha]])</f>
        <v>2017</v>
      </c>
      <c r="L427" s="79" t="str">
        <f>IF(Accion[[#This Row],[Precio Cierre]]=MAX(Accion[Precio Cierre]),Accion[[#This Row],[Precio Cierre]],"NA")</f>
        <v>NA</v>
      </c>
      <c r="M427" s="79" t="str">
        <f>IF(Accion[[#This Row],[Precio Cierre]]=MIN(Accion[Precio Cierre]),Accion[[#This Row],[Precio Cierre]],"NA")</f>
        <v>NA</v>
      </c>
    </row>
    <row r="428" spans="1:13" hidden="1">
      <c r="A428" s="38" t="s">
        <v>90</v>
      </c>
      <c r="B428" s="34">
        <v>43005</v>
      </c>
      <c r="C428" s="35">
        <v>45199</v>
      </c>
      <c r="D428" s="35">
        <v>515629140</v>
      </c>
      <c r="E428" s="35">
        <v>11480</v>
      </c>
      <c r="F428" s="35">
        <v>11400</v>
      </c>
      <c r="G428" s="35">
        <v>11400</v>
      </c>
      <c r="H428" s="35">
        <v>11407.98</v>
      </c>
      <c r="I428" s="35">
        <v>0</v>
      </c>
      <c r="J428" s="35">
        <v>0</v>
      </c>
      <c r="K428" s="71">
        <f>YEAR(Accion[[#This Row],[fecha]])</f>
        <v>2017</v>
      </c>
      <c r="L428" s="79" t="str">
        <f>IF(Accion[[#This Row],[Precio Cierre]]=MAX(Accion[Precio Cierre]),Accion[[#This Row],[Precio Cierre]],"NA")</f>
        <v>NA</v>
      </c>
      <c r="M428" s="79" t="str">
        <f>IF(Accion[[#This Row],[Precio Cierre]]=MIN(Accion[Precio Cierre]),Accion[[#This Row],[Precio Cierre]],"NA")</f>
        <v>NA</v>
      </c>
    </row>
    <row r="429" spans="1:13" hidden="1">
      <c r="A429" s="38" t="s">
        <v>90</v>
      </c>
      <c r="B429" s="34">
        <v>43004</v>
      </c>
      <c r="C429" s="35">
        <v>38473</v>
      </c>
      <c r="D429" s="35">
        <v>439499360</v>
      </c>
      <c r="E429" s="35">
        <v>11500</v>
      </c>
      <c r="F429" s="35">
        <v>11300</v>
      </c>
      <c r="G429" s="35">
        <v>11400</v>
      </c>
      <c r="H429" s="35">
        <v>11423.58</v>
      </c>
      <c r="I429" s="35">
        <v>-0.7</v>
      </c>
      <c r="J429" s="35">
        <v>-80</v>
      </c>
      <c r="K429" s="71">
        <f>YEAR(Accion[[#This Row],[fecha]])</f>
        <v>2017</v>
      </c>
      <c r="L429" s="79" t="str">
        <f>IF(Accion[[#This Row],[Precio Cierre]]=MAX(Accion[Precio Cierre]),Accion[[#This Row],[Precio Cierre]],"NA")</f>
        <v>NA</v>
      </c>
      <c r="M429" s="79" t="str">
        <f>IF(Accion[[#This Row],[Precio Cierre]]=MIN(Accion[Precio Cierre]),Accion[[#This Row],[Precio Cierre]],"NA")</f>
        <v>NA</v>
      </c>
    </row>
    <row r="430" spans="1:13" hidden="1">
      <c r="A430" s="38" t="s">
        <v>90</v>
      </c>
      <c r="B430" s="34">
        <v>43003</v>
      </c>
      <c r="C430" s="35">
        <v>100634</v>
      </c>
      <c r="D430" s="35">
        <v>1157557920</v>
      </c>
      <c r="E430" s="35">
        <v>11580</v>
      </c>
      <c r="F430" s="35">
        <v>11400</v>
      </c>
      <c r="G430" s="35">
        <v>11480</v>
      </c>
      <c r="H430" s="35">
        <v>11502.65</v>
      </c>
      <c r="I430" s="35">
        <v>-0.86</v>
      </c>
      <c r="J430" s="35">
        <v>-100</v>
      </c>
      <c r="K430" s="71">
        <f>YEAR(Accion[[#This Row],[fecha]])</f>
        <v>2017</v>
      </c>
      <c r="L430" s="79" t="str">
        <f>IF(Accion[[#This Row],[Precio Cierre]]=MAX(Accion[Precio Cierre]),Accion[[#This Row],[Precio Cierre]],"NA")</f>
        <v>NA</v>
      </c>
      <c r="M430" s="79" t="str">
        <f>IF(Accion[[#This Row],[Precio Cierre]]=MIN(Accion[Precio Cierre]),Accion[[#This Row],[Precio Cierre]],"NA")</f>
        <v>NA</v>
      </c>
    </row>
    <row r="431" spans="1:13" hidden="1">
      <c r="A431" s="38" t="s">
        <v>90</v>
      </c>
      <c r="B431" s="34">
        <v>43000</v>
      </c>
      <c r="C431" s="35">
        <v>154618</v>
      </c>
      <c r="D431" s="35">
        <v>1790116000</v>
      </c>
      <c r="E431" s="35">
        <v>11640</v>
      </c>
      <c r="F431" s="35">
        <v>11520</v>
      </c>
      <c r="G431" s="35">
        <v>11580</v>
      </c>
      <c r="H431" s="35">
        <v>11577.67</v>
      </c>
      <c r="I431" s="35">
        <v>-0.17</v>
      </c>
      <c r="J431" s="35">
        <v>-20</v>
      </c>
      <c r="K431" s="71">
        <f>YEAR(Accion[[#This Row],[fecha]])</f>
        <v>2017</v>
      </c>
      <c r="L431" s="79" t="str">
        <f>IF(Accion[[#This Row],[Precio Cierre]]=MAX(Accion[Precio Cierre]),Accion[[#This Row],[Precio Cierre]],"NA")</f>
        <v>NA</v>
      </c>
      <c r="M431" s="79" t="str">
        <f>IF(Accion[[#This Row],[Precio Cierre]]=MIN(Accion[Precio Cierre]),Accion[[#This Row],[Precio Cierre]],"NA")</f>
        <v>NA</v>
      </c>
    </row>
    <row r="432" spans="1:13" hidden="1">
      <c r="A432" s="38" t="s">
        <v>90</v>
      </c>
      <c r="B432" s="34">
        <v>42999</v>
      </c>
      <c r="C432" s="35">
        <v>199022</v>
      </c>
      <c r="D432" s="35">
        <v>2309237300</v>
      </c>
      <c r="E432" s="35">
        <v>11720</v>
      </c>
      <c r="F432" s="35">
        <v>11420</v>
      </c>
      <c r="G432" s="35">
        <v>11600</v>
      </c>
      <c r="H432" s="35">
        <v>11602.92</v>
      </c>
      <c r="I432" s="35">
        <v>-1.02</v>
      </c>
      <c r="J432" s="35">
        <v>-120</v>
      </c>
      <c r="K432" s="71">
        <f>YEAR(Accion[[#This Row],[fecha]])</f>
        <v>2017</v>
      </c>
      <c r="L432" s="79" t="str">
        <f>IF(Accion[[#This Row],[Precio Cierre]]=MAX(Accion[Precio Cierre]),Accion[[#This Row],[Precio Cierre]],"NA")</f>
        <v>NA</v>
      </c>
      <c r="M432" s="79" t="str">
        <f>IF(Accion[[#This Row],[Precio Cierre]]=MIN(Accion[Precio Cierre]),Accion[[#This Row],[Precio Cierre]],"NA")</f>
        <v>NA</v>
      </c>
    </row>
    <row r="433" spans="1:13" hidden="1">
      <c r="A433" s="38" t="s">
        <v>90</v>
      </c>
      <c r="B433" s="34">
        <v>42998</v>
      </c>
      <c r="C433" s="35">
        <v>248335</v>
      </c>
      <c r="D433" s="35">
        <v>2930669520</v>
      </c>
      <c r="E433" s="35">
        <v>11880</v>
      </c>
      <c r="F433" s="35">
        <v>11720</v>
      </c>
      <c r="G433" s="35">
        <v>11720</v>
      </c>
      <c r="H433" s="35">
        <v>11801.27</v>
      </c>
      <c r="I433" s="35">
        <v>-1.18</v>
      </c>
      <c r="J433" s="35">
        <v>-140</v>
      </c>
      <c r="K433" s="71">
        <f>YEAR(Accion[[#This Row],[fecha]])</f>
        <v>2017</v>
      </c>
      <c r="L433" s="79" t="str">
        <f>IF(Accion[[#This Row],[Precio Cierre]]=MAX(Accion[Precio Cierre]),Accion[[#This Row],[Precio Cierre]],"NA")</f>
        <v>NA</v>
      </c>
      <c r="M433" s="79" t="str">
        <f>IF(Accion[[#This Row],[Precio Cierre]]=MIN(Accion[Precio Cierre]),Accion[[#This Row],[Precio Cierre]],"NA")</f>
        <v>NA</v>
      </c>
    </row>
    <row r="434" spans="1:13" hidden="1">
      <c r="A434" s="38" t="s">
        <v>90</v>
      </c>
      <c r="B434" s="34">
        <v>42997</v>
      </c>
      <c r="C434" s="35">
        <v>446730</v>
      </c>
      <c r="D434" s="35">
        <v>5297297060</v>
      </c>
      <c r="E434" s="35">
        <v>11860</v>
      </c>
      <c r="F434" s="35">
        <v>11840</v>
      </c>
      <c r="G434" s="35">
        <v>11860</v>
      </c>
      <c r="H434" s="35">
        <v>11857.94</v>
      </c>
      <c r="I434" s="35">
        <v>0.17</v>
      </c>
      <c r="J434" s="35">
        <v>20</v>
      </c>
      <c r="K434" s="71">
        <f>YEAR(Accion[[#This Row],[fecha]])</f>
        <v>2017</v>
      </c>
      <c r="L434" s="79" t="str">
        <f>IF(Accion[[#This Row],[Precio Cierre]]=MAX(Accion[Precio Cierre]),Accion[[#This Row],[Precio Cierre]],"NA")</f>
        <v>NA</v>
      </c>
      <c r="M434" s="79" t="str">
        <f>IF(Accion[[#This Row],[Precio Cierre]]=MIN(Accion[Precio Cierre]),Accion[[#This Row],[Precio Cierre]],"NA")</f>
        <v>NA</v>
      </c>
    </row>
    <row r="435" spans="1:13" hidden="1">
      <c r="A435" s="38" t="s">
        <v>90</v>
      </c>
      <c r="B435" s="34">
        <v>42996</v>
      </c>
      <c r="C435" s="35">
        <v>9815</v>
      </c>
      <c r="D435" s="35">
        <v>115881280</v>
      </c>
      <c r="E435" s="35">
        <v>11840</v>
      </c>
      <c r="F435" s="35">
        <v>11800</v>
      </c>
      <c r="G435" s="35">
        <v>11840</v>
      </c>
      <c r="H435" s="35">
        <v>11806.55</v>
      </c>
      <c r="I435" s="35">
        <v>0.34</v>
      </c>
      <c r="J435" s="35">
        <v>40</v>
      </c>
      <c r="K435" s="71">
        <f>YEAR(Accion[[#This Row],[fecha]])</f>
        <v>2017</v>
      </c>
      <c r="L435" s="79" t="str">
        <f>IF(Accion[[#This Row],[Precio Cierre]]=MAX(Accion[Precio Cierre]),Accion[[#This Row],[Precio Cierre]],"NA")</f>
        <v>NA</v>
      </c>
      <c r="M435" s="79" t="str">
        <f>IF(Accion[[#This Row],[Precio Cierre]]=MIN(Accion[Precio Cierre]),Accion[[#This Row],[Precio Cierre]],"NA")</f>
        <v>NA</v>
      </c>
    </row>
    <row r="436" spans="1:13" hidden="1">
      <c r="A436" s="38" t="s">
        <v>90</v>
      </c>
      <c r="B436" s="34">
        <v>42993</v>
      </c>
      <c r="C436" s="35">
        <v>413432</v>
      </c>
      <c r="D436" s="35">
        <v>4872268860</v>
      </c>
      <c r="E436" s="35">
        <v>11800</v>
      </c>
      <c r="F436" s="35">
        <v>11720</v>
      </c>
      <c r="G436" s="35">
        <v>11800</v>
      </c>
      <c r="H436" s="35">
        <v>11784.93</v>
      </c>
      <c r="I436" s="35">
        <v>0.68</v>
      </c>
      <c r="J436" s="35">
        <v>80</v>
      </c>
      <c r="K436" s="71">
        <f>YEAR(Accion[[#This Row],[fecha]])</f>
        <v>2017</v>
      </c>
      <c r="L436" s="79" t="str">
        <f>IF(Accion[[#This Row],[Precio Cierre]]=MAX(Accion[Precio Cierre]),Accion[[#This Row],[Precio Cierre]],"NA")</f>
        <v>NA</v>
      </c>
      <c r="M436" s="79" t="str">
        <f>IF(Accion[[#This Row],[Precio Cierre]]=MIN(Accion[Precio Cierre]),Accion[[#This Row],[Precio Cierre]],"NA")</f>
        <v>NA</v>
      </c>
    </row>
    <row r="437" spans="1:13" hidden="1">
      <c r="A437" s="38" t="s">
        <v>90</v>
      </c>
      <c r="B437" s="34">
        <v>42992</v>
      </c>
      <c r="C437" s="35">
        <v>1244395</v>
      </c>
      <c r="D437" s="35">
        <v>14676900600</v>
      </c>
      <c r="E437" s="35">
        <v>11840</v>
      </c>
      <c r="F437" s="35">
        <v>11700</v>
      </c>
      <c r="G437" s="35">
        <v>11720</v>
      </c>
      <c r="H437" s="35">
        <v>11794.41</v>
      </c>
      <c r="I437" s="35">
        <v>0.17</v>
      </c>
      <c r="J437" s="35">
        <v>20</v>
      </c>
      <c r="K437" s="71">
        <f>YEAR(Accion[[#This Row],[fecha]])</f>
        <v>2017</v>
      </c>
      <c r="L437" s="79" t="str">
        <f>IF(Accion[[#This Row],[Precio Cierre]]=MAX(Accion[Precio Cierre]),Accion[[#This Row],[Precio Cierre]],"NA")</f>
        <v>NA</v>
      </c>
      <c r="M437" s="79" t="str">
        <f>IF(Accion[[#This Row],[Precio Cierre]]=MIN(Accion[Precio Cierre]),Accion[[#This Row],[Precio Cierre]],"NA")</f>
        <v>NA</v>
      </c>
    </row>
    <row r="438" spans="1:13" hidden="1">
      <c r="A438" s="38" t="s">
        <v>90</v>
      </c>
      <c r="B438" s="34">
        <v>42991</v>
      </c>
      <c r="C438" s="35">
        <v>87151</v>
      </c>
      <c r="D438" s="35">
        <v>1010300660</v>
      </c>
      <c r="E438" s="35">
        <v>11700</v>
      </c>
      <c r="F438" s="35">
        <v>11540</v>
      </c>
      <c r="G438" s="35">
        <v>11700</v>
      </c>
      <c r="H438" s="35">
        <v>11592.53</v>
      </c>
      <c r="I438" s="35">
        <v>1.21</v>
      </c>
      <c r="J438" s="35">
        <v>140</v>
      </c>
      <c r="K438" s="71">
        <f>YEAR(Accion[[#This Row],[fecha]])</f>
        <v>2017</v>
      </c>
      <c r="L438" s="79" t="str">
        <f>IF(Accion[[#This Row],[Precio Cierre]]=MAX(Accion[Precio Cierre]),Accion[[#This Row],[Precio Cierre]],"NA")</f>
        <v>NA</v>
      </c>
      <c r="M438" s="79" t="str">
        <f>IF(Accion[[#This Row],[Precio Cierre]]=MIN(Accion[Precio Cierre]),Accion[[#This Row],[Precio Cierre]],"NA")</f>
        <v>NA</v>
      </c>
    </row>
    <row r="439" spans="1:13" hidden="1">
      <c r="A439" s="38" t="s">
        <v>90</v>
      </c>
      <c r="B439" s="34">
        <v>42990</v>
      </c>
      <c r="C439" s="35">
        <v>105348</v>
      </c>
      <c r="D439" s="35">
        <v>1221980700</v>
      </c>
      <c r="E439" s="35">
        <v>11760</v>
      </c>
      <c r="F439" s="35">
        <v>11540</v>
      </c>
      <c r="G439" s="35">
        <v>11560</v>
      </c>
      <c r="H439" s="35">
        <v>11599.47</v>
      </c>
      <c r="I439" s="35">
        <v>-1.53</v>
      </c>
      <c r="J439" s="35">
        <v>-180</v>
      </c>
      <c r="K439" s="71">
        <f>YEAR(Accion[[#This Row],[fecha]])</f>
        <v>2017</v>
      </c>
      <c r="L439" s="79" t="str">
        <f>IF(Accion[[#This Row],[Precio Cierre]]=MAX(Accion[Precio Cierre]),Accion[[#This Row],[Precio Cierre]],"NA")</f>
        <v>NA</v>
      </c>
      <c r="M439" s="79" t="str">
        <f>IF(Accion[[#This Row],[Precio Cierre]]=MIN(Accion[Precio Cierre]),Accion[[#This Row],[Precio Cierre]],"NA")</f>
        <v>NA</v>
      </c>
    </row>
    <row r="440" spans="1:13" hidden="1">
      <c r="A440" s="38" t="s">
        <v>90</v>
      </c>
      <c r="B440" s="34">
        <v>42989</v>
      </c>
      <c r="C440" s="35">
        <v>101766</v>
      </c>
      <c r="D440" s="35">
        <v>1192731800</v>
      </c>
      <c r="E440" s="35">
        <v>11740</v>
      </c>
      <c r="F440" s="35">
        <v>11720</v>
      </c>
      <c r="G440" s="35">
        <v>11740</v>
      </c>
      <c r="H440" s="35">
        <v>11720.34</v>
      </c>
      <c r="I440" s="35">
        <v>0.34</v>
      </c>
      <c r="J440" s="35">
        <v>40</v>
      </c>
      <c r="K440" s="71">
        <f>YEAR(Accion[[#This Row],[fecha]])</f>
        <v>2017</v>
      </c>
      <c r="L440" s="79" t="str">
        <f>IF(Accion[[#This Row],[Precio Cierre]]=MAX(Accion[Precio Cierre]),Accion[[#This Row],[Precio Cierre]],"NA")</f>
        <v>NA</v>
      </c>
      <c r="M440" s="79" t="str">
        <f>IF(Accion[[#This Row],[Precio Cierre]]=MIN(Accion[Precio Cierre]),Accion[[#This Row],[Precio Cierre]],"NA")</f>
        <v>NA</v>
      </c>
    </row>
    <row r="441" spans="1:13" hidden="1">
      <c r="A441" s="38" t="s">
        <v>90</v>
      </c>
      <c r="B441" s="34">
        <v>42986</v>
      </c>
      <c r="C441" s="35">
        <v>219063</v>
      </c>
      <c r="D441" s="35">
        <v>2564239220</v>
      </c>
      <c r="E441" s="35">
        <v>11760</v>
      </c>
      <c r="F441" s="35">
        <v>11620</v>
      </c>
      <c r="G441" s="35">
        <v>11700</v>
      </c>
      <c r="H441" s="35">
        <v>11705.49</v>
      </c>
      <c r="I441" s="35">
        <v>-0.51</v>
      </c>
      <c r="J441" s="35">
        <v>-60</v>
      </c>
      <c r="K441" s="71">
        <f>YEAR(Accion[[#This Row],[fecha]])</f>
        <v>2017</v>
      </c>
      <c r="L441" s="79" t="str">
        <f>IF(Accion[[#This Row],[Precio Cierre]]=MAX(Accion[Precio Cierre]),Accion[[#This Row],[Precio Cierre]],"NA")</f>
        <v>NA</v>
      </c>
      <c r="M441" s="79" t="str">
        <f>IF(Accion[[#This Row],[Precio Cierre]]=MIN(Accion[Precio Cierre]),Accion[[#This Row],[Precio Cierre]],"NA")</f>
        <v>NA</v>
      </c>
    </row>
    <row r="442" spans="1:13" hidden="1">
      <c r="A442" s="38" t="s">
        <v>90</v>
      </c>
      <c r="B442" s="34">
        <v>42985</v>
      </c>
      <c r="C442" s="35">
        <v>78265</v>
      </c>
      <c r="D442" s="35">
        <v>916496300</v>
      </c>
      <c r="E442" s="35">
        <v>11760</v>
      </c>
      <c r="F442" s="35">
        <v>11660</v>
      </c>
      <c r="G442" s="35">
        <v>11760</v>
      </c>
      <c r="H442" s="35">
        <v>11710.17</v>
      </c>
      <c r="I442" s="35">
        <v>1.03</v>
      </c>
      <c r="J442" s="35">
        <v>120</v>
      </c>
      <c r="K442" s="71">
        <f>YEAR(Accion[[#This Row],[fecha]])</f>
        <v>2017</v>
      </c>
      <c r="L442" s="79" t="str">
        <f>IF(Accion[[#This Row],[Precio Cierre]]=MAX(Accion[Precio Cierre]),Accion[[#This Row],[Precio Cierre]],"NA")</f>
        <v>NA</v>
      </c>
      <c r="M442" s="79" t="str">
        <f>IF(Accion[[#This Row],[Precio Cierre]]=MIN(Accion[Precio Cierre]),Accion[[#This Row],[Precio Cierre]],"NA")</f>
        <v>NA</v>
      </c>
    </row>
    <row r="443" spans="1:13" hidden="1">
      <c r="A443" s="38" t="s">
        <v>90</v>
      </c>
      <c r="B443" s="34">
        <v>42984</v>
      </c>
      <c r="C443" s="35">
        <v>527806</v>
      </c>
      <c r="D443" s="35">
        <v>6102737680</v>
      </c>
      <c r="E443" s="35">
        <v>11640</v>
      </c>
      <c r="F443" s="35">
        <v>11500</v>
      </c>
      <c r="G443" s="35">
        <v>11640</v>
      </c>
      <c r="H443" s="35">
        <v>11562.46</v>
      </c>
      <c r="I443" s="35">
        <v>1.22</v>
      </c>
      <c r="J443" s="35">
        <v>140</v>
      </c>
      <c r="K443" s="71">
        <f>YEAR(Accion[[#This Row],[fecha]])</f>
        <v>2017</v>
      </c>
      <c r="L443" s="79" t="str">
        <f>IF(Accion[[#This Row],[Precio Cierre]]=MAX(Accion[Precio Cierre]),Accion[[#This Row],[Precio Cierre]],"NA")</f>
        <v>NA</v>
      </c>
      <c r="M443" s="79" t="str">
        <f>IF(Accion[[#This Row],[Precio Cierre]]=MIN(Accion[Precio Cierre]),Accion[[#This Row],[Precio Cierre]],"NA")</f>
        <v>NA</v>
      </c>
    </row>
    <row r="444" spans="1:13" hidden="1">
      <c r="A444" s="38" t="s">
        <v>90</v>
      </c>
      <c r="B444" s="34">
        <v>42983</v>
      </c>
      <c r="C444" s="35">
        <v>608255</v>
      </c>
      <c r="D444" s="35">
        <v>6980711660</v>
      </c>
      <c r="E444" s="35">
        <v>11520</v>
      </c>
      <c r="F444" s="35">
        <v>11420</v>
      </c>
      <c r="G444" s="35">
        <v>11500</v>
      </c>
      <c r="H444" s="35">
        <v>11476.62</v>
      </c>
      <c r="I444" s="35">
        <v>0.52</v>
      </c>
      <c r="J444" s="35">
        <v>60</v>
      </c>
      <c r="K444" s="71">
        <f>YEAR(Accion[[#This Row],[fecha]])</f>
        <v>2017</v>
      </c>
      <c r="L444" s="79" t="str">
        <f>IF(Accion[[#This Row],[Precio Cierre]]=MAX(Accion[Precio Cierre]),Accion[[#This Row],[Precio Cierre]],"NA")</f>
        <v>NA</v>
      </c>
      <c r="M444" s="79" t="str">
        <f>IF(Accion[[#This Row],[Precio Cierre]]=MIN(Accion[Precio Cierre]),Accion[[#This Row],[Precio Cierre]],"NA")</f>
        <v>NA</v>
      </c>
    </row>
    <row r="445" spans="1:13" hidden="1">
      <c r="A445" s="38" t="s">
        <v>90</v>
      </c>
      <c r="B445" s="34">
        <v>42982</v>
      </c>
      <c r="C445" s="35">
        <v>324219</v>
      </c>
      <c r="D445" s="35">
        <v>3711682600</v>
      </c>
      <c r="E445" s="35">
        <v>11460</v>
      </c>
      <c r="F445" s="35">
        <v>11380</v>
      </c>
      <c r="G445" s="35">
        <v>11440</v>
      </c>
      <c r="H445" s="35">
        <v>11448.07</v>
      </c>
      <c r="I445" s="35">
        <v>0.35</v>
      </c>
      <c r="J445" s="35">
        <v>40</v>
      </c>
      <c r="K445" s="71">
        <f>YEAR(Accion[[#This Row],[fecha]])</f>
        <v>2017</v>
      </c>
      <c r="L445" s="79" t="str">
        <f>IF(Accion[[#This Row],[Precio Cierre]]=MAX(Accion[Precio Cierre]),Accion[[#This Row],[Precio Cierre]],"NA")</f>
        <v>NA</v>
      </c>
      <c r="M445" s="79" t="str">
        <f>IF(Accion[[#This Row],[Precio Cierre]]=MIN(Accion[Precio Cierre]),Accion[[#This Row],[Precio Cierre]],"NA")</f>
        <v>NA</v>
      </c>
    </row>
    <row r="446" spans="1:13" hidden="1">
      <c r="A446" s="38" t="s">
        <v>90</v>
      </c>
      <c r="B446" s="34">
        <v>42979</v>
      </c>
      <c r="C446" s="35">
        <v>598346</v>
      </c>
      <c r="D446" s="35">
        <v>6789305000</v>
      </c>
      <c r="E446" s="35">
        <v>11400</v>
      </c>
      <c r="F446" s="35">
        <v>11240</v>
      </c>
      <c r="G446" s="35">
        <v>11400</v>
      </c>
      <c r="H446" s="35">
        <v>11346.79</v>
      </c>
      <c r="I446" s="35">
        <v>1.79</v>
      </c>
      <c r="J446" s="35">
        <v>200</v>
      </c>
      <c r="K446" s="71">
        <f>YEAR(Accion[[#This Row],[fecha]])</f>
        <v>2017</v>
      </c>
      <c r="L446" s="79" t="str">
        <f>IF(Accion[[#This Row],[Precio Cierre]]=MAX(Accion[Precio Cierre]),Accion[[#This Row],[Precio Cierre]],"NA")</f>
        <v>NA</v>
      </c>
      <c r="M446" s="79" t="str">
        <f>IF(Accion[[#This Row],[Precio Cierre]]=MIN(Accion[Precio Cierre]),Accion[[#This Row],[Precio Cierre]],"NA")</f>
        <v>NA</v>
      </c>
    </row>
    <row r="447" spans="1:13" hidden="1">
      <c r="A447" s="38" t="s">
        <v>90</v>
      </c>
      <c r="B447" s="34">
        <v>42978</v>
      </c>
      <c r="C447" s="35">
        <v>1045422</v>
      </c>
      <c r="D447" s="35">
        <v>11778194180</v>
      </c>
      <c r="E447" s="35">
        <v>11340</v>
      </c>
      <c r="F447" s="35">
        <v>11180</v>
      </c>
      <c r="G447" s="35">
        <v>11200</v>
      </c>
      <c r="H447" s="35">
        <v>11266.45</v>
      </c>
      <c r="I447" s="35">
        <v>0.72</v>
      </c>
      <c r="J447" s="35">
        <v>80</v>
      </c>
      <c r="K447" s="71">
        <f>YEAR(Accion[[#This Row],[fecha]])</f>
        <v>2017</v>
      </c>
      <c r="L447" s="79" t="str">
        <f>IF(Accion[[#This Row],[Precio Cierre]]=MAX(Accion[Precio Cierre]),Accion[[#This Row],[Precio Cierre]],"NA")</f>
        <v>NA</v>
      </c>
      <c r="M447" s="79" t="str">
        <f>IF(Accion[[#This Row],[Precio Cierre]]=MIN(Accion[Precio Cierre]),Accion[[#This Row],[Precio Cierre]],"NA")</f>
        <v>NA</v>
      </c>
    </row>
    <row r="448" spans="1:13" hidden="1">
      <c r="A448" s="38" t="s">
        <v>90</v>
      </c>
      <c r="B448" s="34">
        <v>42977</v>
      </c>
      <c r="C448" s="35">
        <v>384128</v>
      </c>
      <c r="D448" s="35">
        <v>4252903160</v>
      </c>
      <c r="E448" s="35">
        <v>11200</v>
      </c>
      <c r="F448" s="35">
        <v>10920</v>
      </c>
      <c r="G448" s="35">
        <v>11120</v>
      </c>
      <c r="H448" s="35">
        <v>11071.58</v>
      </c>
      <c r="I448" s="35">
        <v>1.65</v>
      </c>
      <c r="J448" s="35">
        <v>180</v>
      </c>
      <c r="K448" s="71">
        <f>YEAR(Accion[[#This Row],[fecha]])</f>
        <v>2017</v>
      </c>
      <c r="L448" s="79" t="str">
        <f>IF(Accion[[#This Row],[Precio Cierre]]=MAX(Accion[Precio Cierre]),Accion[[#This Row],[Precio Cierre]],"NA")</f>
        <v>NA</v>
      </c>
      <c r="M448" s="79" t="str">
        <f>IF(Accion[[#This Row],[Precio Cierre]]=MIN(Accion[Precio Cierre]),Accion[[#This Row],[Precio Cierre]],"NA")</f>
        <v>NA</v>
      </c>
    </row>
    <row r="449" spans="1:13" hidden="1">
      <c r="A449" s="38" t="s">
        <v>90</v>
      </c>
      <c r="B449" s="34">
        <v>42976</v>
      </c>
      <c r="C449" s="35">
        <v>560393</v>
      </c>
      <c r="D449" s="35">
        <v>6109504220</v>
      </c>
      <c r="E449" s="35">
        <v>10940</v>
      </c>
      <c r="F449" s="35">
        <v>10900</v>
      </c>
      <c r="G449" s="35">
        <v>10940</v>
      </c>
      <c r="H449" s="35">
        <v>10902.18</v>
      </c>
      <c r="I449" s="35">
        <v>0.37</v>
      </c>
      <c r="J449" s="35">
        <v>40</v>
      </c>
      <c r="K449" s="71">
        <f>YEAR(Accion[[#This Row],[fecha]])</f>
        <v>2017</v>
      </c>
      <c r="L449" s="79" t="str">
        <f>IF(Accion[[#This Row],[Precio Cierre]]=MAX(Accion[Precio Cierre]),Accion[[#This Row],[Precio Cierre]],"NA")</f>
        <v>NA</v>
      </c>
      <c r="M449" s="79" t="str">
        <f>IF(Accion[[#This Row],[Precio Cierre]]=MIN(Accion[Precio Cierre]),Accion[[#This Row],[Precio Cierre]],"NA")</f>
        <v>NA</v>
      </c>
    </row>
    <row r="450" spans="1:13" hidden="1">
      <c r="A450" s="38" t="s">
        <v>90</v>
      </c>
      <c r="B450" s="34">
        <v>42975</v>
      </c>
      <c r="C450" s="35">
        <v>154720</v>
      </c>
      <c r="D450" s="35">
        <v>1678478860</v>
      </c>
      <c r="E450" s="35">
        <v>10940</v>
      </c>
      <c r="F450" s="35">
        <v>10820</v>
      </c>
      <c r="G450" s="35">
        <v>10900</v>
      </c>
      <c r="H450" s="35">
        <v>10848.49</v>
      </c>
      <c r="I450" s="35">
        <v>0</v>
      </c>
      <c r="J450" s="35">
        <v>0</v>
      </c>
      <c r="K450" s="71">
        <f>YEAR(Accion[[#This Row],[fecha]])</f>
        <v>2017</v>
      </c>
      <c r="L450" s="79" t="str">
        <f>IF(Accion[[#This Row],[Precio Cierre]]=MAX(Accion[Precio Cierre]),Accion[[#This Row],[Precio Cierre]],"NA")</f>
        <v>NA</v>
      </c>
      <c r="M450" s="79" t="str">
        <f>IF(Accion[[#This Row],[Precio Cierre]]=MIN(Accion[Precio Cierre]),Accion[[#This Row],[Precio Cierre]],"NA")</f>
        <v>NA</v>
      </c>
    </row>
    <row r="451" spans="1:13" hidden="1">
      <c r="A451" s="38" t="s">
        <v>90</v>
      </c>
      <c r="B451" s="34">
        <v>42972</v>
      </c>
      <c r="C451" s="35">
        <v>328653</v>
      </c>
      <c r="D451" s="35">
        <v>3586505400</v>
      </c>
      <c r="E451" s="35">
        <v>10960</v>
      </c>
      <c r="F451" s="35">
        <v>10900</v>
      </c>
      <c r="G451" s="35">
        <v>10900</v>
      </c>
      <c r="H451" s="35">
        <v>10912.74</v>
      </c>
      <c r="I451" s="35">
        <v>-0.37</v>
      </c>
      <c r="J451" s="35">
        <v>-40</v>
      </c>
      <c r="K451" s="71">
        <f>YEAR(Accion[[#This Row],[fecha]])</f>
        <v>2017</v>
      </c>
      <c r="L451" s="79" t="str">
        <f>IF(Accion[[#This Row],[Precio Cierre]]=MAX(Accion[Precio Cierre]),Accion[[#This Row],[Precio Cierre]],"NA")</f>
        <v>NA</v>
      </c>
      <c r="M451" s="79" t="str">
        <f>IF(Accion[[#This Row],[Precio Cierre]]=MIN(Accion[Precio Cierre]),Accion[[#This Row],[Precio Cierre]],"NA")</f>
        <v>NA</v>
      </c>
    </row>
    <row r="452" spans="1:13" hidden="1">
      <c r="A452" s="38" t="s">
        <v>90</v>
      </c>
      <c r="B452" s="34">
        <v>42971</v>
      </c>
      <c r="C452" s="35">
        <v>18492</v>
      </c>
      <c r="D452" s="35">
        <v>202220340</v>
      </c>
      <c r="E452" s="35">
        <v>10940</v>
      </c>
      <c r="F452" s="35">
        <v>10900</v>
      </c>
      <c r="G452" s="35">
        <v>10940</v>
      </c>
      <c r="H452" s="35">
        <v>10935.56</v>
      </c>
      <c r="I452" s="35">
        <v>0.37</v>
      </c>
      <c r="J452" s="35">
        <v>40</v>
      </c>
      <c r="K452" s="71">
        <f>YEAR(Accion[[#This Row],[fecha]])</f>
        <v>2017</v>
      </c>
      <c r="L452" s="79" t="str">
        <f>IF(Accion[[#This Row],[Precio Cierre]]=MAX(Accion[Precio Cierre]),Accion[[#This Row],[Precio Cierre]],"NA")</f>
        <v>NA</v>
      </c>
      <c r="M452" s="79" t="str">
        <f>IF(Accion[[#This Row],[Precio Cierre]]=MIN(Accion[Precio Cierre]),Accion[[#This Row],[Precio Cierre]],"NA")</f>
        <v>NA</v>
      </c>
    </row>
    <row r="453" spans="1:13" hidden="1">
      <c r="A453" s="38" t="s">
        <v>90</v>
      </c>
      <c r="B453" s="34">
        <v>42970</v>
      </c>
      <c r="C453" s="35">
        <v>150429</v>
      </c>
      <c r="D453" s="35">
        <v>1639656200</v>
      </c>
      <c r="E453" s="35">
        <v>10920</v>
      </c>
      <c r="F453" s="35">
        <v>10860</v>
      </c>
      <c r="G453" s="35">
        <v>10900</v>
      </c>
      <c r="H453" s="35">
        <v>10899.87</v>
      </c>
      <c r="I453" s="35">
        <v>0</v>
      </c>
      <c r="J453" s="35">
        <v>0</v>
      </c>
      <c r="K453" s="71">
        <f>YEAR(Accion[[#This Row],[fecha]])</f>
        <v>2017</v>
      </c>
      <c r="L453" s="79" t="str">
        <f>IF(Accion[[#This Row],[Precio Cierre]]=MAX(Accion[Precio Cierre]),Accion[[#This Row],[Precio Cierre]],"NA")</f>
        <v>NA</v>
      </c>
      <c r="M453" s="79" t="str">
        <f>IF(Accion[[#This Row],[Precio Cierre]]=MIN(Accion[Precio Cierre]),Accion[[#This Row],[Precio Cierre]],"NA")</f>
        <v>NA</v>
      </c>
    </row>
    <row r="454" spans="1:13" hidden="1">
      <c r="A454" s="38" t="s">
        <v>90</v>
      </c>
      <c r="B454" s="34">
        <v>42969</v>
      </c>
      <c r="C454" s="35">
        <v>308885</v>
      </c>
      <c r="D454" s="35">
        <v>3365810160</v>
      </c>
      <c r="E454" s="35">
        <v>10900</v>
      </c>
      <c r="F454" s="35">
        <v>10820</v>
      </c>
      <c r="G454" s="35">
        <v>10900</v>
      </c>
      <c r="H454" s="35">
        <v>10896.64</v>
      </c>
      <c r="I454" s="35">
        <v>0.18</v>
      </c>
      <c r="J454" s="35">
        <v>20</v>
      </c>
      <c r="K454" s="71">
        <f>YEAR(Accion[[#This Row],[fecha]])</f>
        <v>2017</v>
      </c>
      <c r="L454" s="79" t="str">
        <f>IF(Accion[[#This Row],[Precio Cierre]]=MAX(Accion[Precio Cierre]),Accion[[#This Row],[Precio Cierre]],"NA")</f>
        <v>NA</v>
      </c>
      <c r="M454" s="79" t="str">
        <f>IF(Accion[[#This Row],[Precio Cierre]]=MIN(Accion[Precio Cierre]),Accion[[#This Row],[Precio Cierre]],"NA")</f>
        <v>NA</v>
      </c>
    </row>
    <row r="455" spans="1:13" hidden="1">
      <c r="A455" s="38" t="s">
        <v>90</v>
      </c>
      <c r="B455" s="34">
        <v>42965</v>
      </c>
      <c r="C455" s="35">
        <v>72561</v>
      </c>
      <c r="D455" s="35">
        <v>790287780</v>
      </c>
      <c r="E455" s="35">
        <v>10940</v>
      </c>
      <c r="F455" s="35">
        <v>10880</v>
      </c>
      <c r="G455" s="35">
        <v>10880</v>
      </c>
      <c r="H455" s="35">
        <v>10891.36</v>
      </c>
      <c r="I455" s="35">
        <v>0</v>
      </c>
      <c r="J455" s="35">
        <v>0</v>
      </c>
      <c r="K455" s="71">
        <f>YEAR(Accion[[#This Row],[fecha]])</f>
        <v>2017</v>
      </c>
      <c r="L455" s="79" t="str">
        <f>IF(Accion[[#This Row],[Precio Cierre]]=MAX(Accion[Precio Cierre]),Accion[[#This Row],[Precio Cierre]],"NA")</f>
        <v>NA</v>
      </c>
      <c r="M455" s="79" t="str">
        <f>IF(Accion[[#This Row],[Precio Cierre]]=MIN(Accion[Precio Cierre]),Accion[[#This Row],[Precio Cierre]],"NA")</f>
        <v>NA</v>
      </c>
    </row>
    <row r="456" spans="1:13" hidden="1">
      <c r="A456" s="38" t="s">
        <v>90</v>
      </c>
      <c r="B456" s="34">
        <v>42964</v>
      </c>
      <c r="C456" s="35">
        <v>1500715</v>
      </c>
      <c r="D456" s="35">
        <v>16352640500</v>
      </c>
      <c r="E456" s="35">
        <v>10900</v>
      </c>
      <c r="F456" s="35">
        <v>10780</v>
      </c>
      <c r="G456" s="35">
        <v>10880</v>
      </c>
      <c r="H456" s="35">
        <v>10896.57</v>
      </c>
      <c r="I456" s="35">
        <v>0.74</v>
      </c>
      <c r="J456" s="35">
        <v>80</v>
      </c>
      <c r="K456" s="71">
        <f>YEAR(Accion[[#This Row],[fecha]])</f>
        <v>2017</v>
      </c>
      <c r="L456" s="79" t="str">
        <f>IF(Accion[[#This Row],[Precio Cierre]]=MAX(Accion[Precio Cierre]),Accion[[#This Row],[Precio Cierre]],"NA")</f>
        <v>NA</v>
      </c>
      <c r="M456" s="79" t="str">
        <f>IF(Accion[[#This Row],[Precio Cierre]]=MIN(Accion[Precio Cierre]),Accion[[#This Row],[Precio Cierre]],"NA")</f>
        <v>NA</v>
      </c>
    </row>
    <row r="457" spans="1:13" hidden="1">
      <c r="A457" s="38" t="s">
        <v>90</v>
      </c>
      <c r="B457" s="34">
        <v>42963</v>
      </c>
      <c r="C457" s="35">
        <v>1180838</v>
      </c>
      <c r="D457" s="35">
        <v>12683496900</v>
      </c>
      <c r="E457" s="35">
        <v>10840</v>
      </c>
      <c r="F457" s="35">
        <v>10720</v>
      </c>
      <c r="G457" s="35">
        <v>10800</v>
      </c>
      <c r="H457" s="35">
        <v>10741.1</v>
      </c>
      <c r="I457" s="35">
        <v>1.1200000000000001</v>
      </c>
      <c r="J457" s="35">
        <v>120</v>
      </c>
      <c r="K457" s="71">
        <f>YEAR(Accion[[#This Row],[fecha]])</f>
        <v>2017</v>
      </c>
      <c r="L457" s="79" t="str">
        <f>IF(Accion[[#This Row],[Precio Cierre]]=MAX(Accion[Precio Cierre]),Accion[[#This Row],[Precio Cierre]],"NA")</f>
        <v>NA</v>
      </c>
      <c r="M457" s="79" t="str">
        <f>IF(Accion[[#This Row],[Precio Cierre]]=MIN(Accion[Precio Cierre]),Accion[[#This Row],[Precio Cierre]],"NA")</f>
        <v>NA</v>
      </c>
    </row>
    <row r="458" spans="1:13" hidden="1">
      <c r="A458" s="38" t="s">
        <v>90</v>
      </c>
      <c r="B458" s="34">
        <v>42962</v>
      </c>
      <c r="C458" s="35">
        <v>350769</v>
      </c>
      <c r="D458" s="35">
        <v>3752395300</v>
      </c>
      <c r="E458" s="35">
        <v>10800</v>
      </c>
      <c r="F458" s="35">
        <v>10660</v>
      </c>
      <c r="G458" s="35">
        <v>10680</v>
      </c>
      <c r="H458" s="35">
        <v>10697.63</v>
      </c>
      <c r="I458" s="35">
        <v>0.19</v>
      </c>
      <c r="J458" s="35">
        <v>20</v>
      </c>
      <c r="K458" s="71">
        <f>YEAR(Accion[[#This Row],[fecha]])</f>
        <v>2017</v>
      </c>
      <c r="L458" s="79" t="str">
        <f>IF(Accion[[#This Row],[Precio Cierre]]=MAX(Accion[Precio Cierre]),Accion[[#This Row],[Precio Cierre]],"NA")</f>
        <v>NA</v>
      </c>
      <c r="M458" s="79" t="str">
        <f>IF(Accion[[#This Row],[Precio Cierre]]=MIN(Accion[Precio Cierre]),Accion[[#This Row],[Precio Cierre]],"NA")</f>
        <v>NA</v>
      </c>
    </row>
    <row r="459" spans="1:13" hidden="1">
      <c r="A459" s="38" t="s">
        <v>90</v>
      </c>
      <c r="B459" s="34">
        <v>42961</v>
      </c>
      <c r="C459" s="35">
        <v>321116</v>
      </c>
      <c r="D459" s="35">
        <v>3423786340</v>
      </c>
      <c r="E459" s="35">
        <v>10700</v>
      </c>
      <c r="F459" s="35">
        <v>10600</v>
      </c>
      <c r="G459" s="35">
        <v>10660</v>
      </c>
      <c r="H459" s="35">
        <v>10662.15</v>
      </c>
      <c r="I459" s="35">
        <v>0.56999999999999995</v>
      </c>
      <c r="J459" s="35">
        <v>60</v>
      </c>
      <c r="K459" s="71">
        <f>YEAR(Accion[[#This Row],[fecha]])</f>
        <v>2017</v>
      </c>
      <c r="L459" s="79" t="str">
        <f>IF(Accion[[#This Row],[Precio Cierre]]=MAX(Accion[Precio Cierre]),Accion[[#This Row],[Precio Cierre]],"NA")</f>
        <v>NA</v>
      </c>
      <c r="M459" s="79" t="str">
        <f>IF(Accion[[#This Row],[Precio Cierre]]=MIN(Accion[Precio Cierre]),Accion[[#This Row],[Precio Cierre]],"NA")</f>
        <v>NA</v>
      </c>
    </row>
    <row r="460" spans="1:13" hidden="1">
      <c r="A460" s="38" t="s">
        <v>90</v>
      </c>
      <c r="B460" s="34">
        <v>42958</v>
      </c>
      <c r="C460" s="35">
        <v>252074</v>
      </c>
      <c r="D460" s="35">
        <v>2671445780</v>
      </c>
      <c r="E460" s="35">
        <v>10680</v>
      </c>
      <c r="F460" s="35">
        <v>10580</v>
      </c>
      <c r="G460" s="35">
        <v>10600</v>
      </c>
      <c r="H460" s="35">
        <v>10597.86</v>
      </c>
      <c r="I460" s="35">
        <v>0</v>
      </c>
      <c r="J460" s="35">
        <v>0</v>
      </c>
      <c r="K460" s="71">
        <f>YEAR(Accion[[#This Row],[fecha]])</f>
        <v>2017</v>
      </c>
      <c r="L460" s="79" t="str">
        <f>IF(Accion[[#This Row],[Precio Cierre]]=MAX(Accion[Precio Cierre]),Accion[[#This Row],[Precio Cierre]],"NA")</f>
        <v>NA</v>
      </c>
      <c r="M460" s="79" t="str">
        <f>IF(Accion[[#This Row],[Precio Cierre]]=MIN(Accion[Precio Cierre]),Accion[[#This Row],[Precio Cierre]],"NA")</f>
        <v>NA</v>
      </c>
    </row>
    <row r="461" spans="1:13" hidden="1">
      <c r="A461" s="38" t="s">
        <v>90</v>
      </c>
      <c r="B461" s="34">
        <v>42957</v>
      </c>
      <c r="C461" s="35">
        <v>407243</v>
      </c>
      <c r="D461" s="35">
        <v>4321707420</v>
      </c>
      <c r="E461" s="35">
        <v>10700</v>
      </c>
      <c r="F461" s="35">
        <v>10520</v>
      </c>
      <c r="G461" s="35">
        <v>10600</v>
      </c>
      <c r="H461" s="35">
        <v>10612.11</v>
      </c>
      <c r="I461" s="35">
        <v>-0.93</v>
      </c>
      <c r="J461" s="35">
        <v>-100</v>
      </c>
      <c r="K461" s="71">
        <f>YEAR(Accion[[#This Row],[fecha]])</f>
        <v>2017</v>
      </c>
      <c r="L461" s="79" t="str">
        <f>IF(Accion[[#This Row],[Precio Cierre]]=MAX(Accion[Precio Cierre]),Accion[[#This Row],[Precio Cierre]],"NA")</f>
        <v>NA</v>
      </c>
      <c r="M461" s="79" t="str">
        <f>IF(Accion[[#This Row],[Precio Cierre]]=MIN(Accion[Precio Cierre]),Accion[[#This Row],[Precio Cierre]],"NA")</f>
        <v>NA</v>
      </c>
    </row>
    <row r="462" spans="1:13" hidden="1">
      <c r="A462" s="38" t="s">
        <v>90</v>
      </c>
      <c r="B462" s="34">
        <v>42956</v>
      </c>
      <c r="C462" s="35">
        <v>220111</v>
      </c>
      <c r="D462" s="35">
        <v>2353585280</v>
      </c>
      <c r="E462" s="35">
        <v>10700</v>
      </c>
      <c r="F462" s="35">
        <v>10620</v>
      </c>
      <c r="G462" s="35">
        <v>10700</v>
      </c>
      <c r="H462" s="35">
        <v>10692.72</v>
      </c>
      <c r="I462" s="35">
        <v>0</v>
      </c>
      <c r="J462" s="35">
        <v>0</v>
      </c>
      <c r="K462" s="71">
        <f>YEAR(Accion[[#This Row],[fecha]])</f>
        <v>2017</v>
      </c>
      <c r="L462" s="79" t="str">
        <f>IF(Accion[[#This Row],[Precio Cierre]]=MAX(Accion[Precio Cierre]),Accion[[#This Row],[Precio Cierre]],"NA")</f>
        <v>NA</v>
      </c>
      <c r="M462" s="79" t="str">
        <f>IF(Accion[[#This Row],[Precio Cierre]]=MIN(Accion[Precio Cierre]),Accion[[#This Row],[Precio Cierre]],"NA")</f>
        <v>NA</v>
      </c>
    </row>
    <row r="463" spans="1:13" hidden="1">
      <c r="A463" s="38" t="s">
        <v>90</v>
      </c>
      <c r="B463" s="34">
        <v>42955</v>
      </c>
      <c r="C463" s="35">
        <v>237124</v>
      </c>
      <c r="D463" s="35">
        <v>2534823080</v>
      </c>
      <c r="E463" s="35">
        <v>10700</v>
      </c>
      <c r="F463" s="35">
        <v>10620</v>
      </c>
      <c r="G463" s="35">
        <v>10700</v>
      </c>
      <c r="H463" s="35">
        <v>10689.86</v>
      </c>
      <c r="I463" s="35">
        <v>0</v>
      </c>
      <c r="J463" s="35">
        <v>0</v>
      </c>
      <c r="K463" s="71">
        <f>YEAR(Accion[[#This Row],[fecha]])</f>
        <v>2017</v>
      </c>
      <c r="L463" s="79" t="str">
        <f>IF(Accion[[#This Row],[Precio Cierre]]=MAX(Accion[Precio Cierre]),Accion[[#This Row],[Precio Cierre]],"NA")</f>
        <v>NA</v>
      </c>
      <c r="M463" s="79" t="str">
        <f>IF(Accion[[#This Row],[Precio Cierre]]=MIN(Accion[Precio Cierre]),Accion[[#This Row],[Precio Cierre]],"NA")</f>
        <v>NA</v>
      </c>
    </row>
    <row r="464" spans="1:13" hidden="1">
      <c r="A464" s="38" t="s">
        <v>90</v>
      </c>
      <c r="B464" s="34">
        <v>42951</v>
      </c>
      <c r="C464" s="35">
        <v>163560</v>
      </c>
      <c r="D464" s="35">
        <v>1760626820</v>
      </c>
      <c r="E464" s="35">
        <v>10800</v>
      </c>
      <c r="F464" s="35">
        <v>10700</v>
      </c>
      <c r="G464" s="35">
        <v>10700</v>
      </c>
      <c r="H464" s="35">
        <v>10764.41</v>
      </c>
      <c r="I464" s="35">
        <v>-0.37</v>
      </c>
      <c r="J464" s="35">
        <v>-40</v>
      </c>
      <c r="K464" s="71">
        <f>YEAR(Accion[[#This Row],[fecha]])</f>
        <v>2017</v>
      </c>
      <c r="L464" s="79" t="str">
        <f>IF(Accion[[#This Row],[Precio Cierre]]=MAX(Accion[Precio Cierre]),Accion[[#This Row],[Precio Cierre]],"NA")</f>
        <v>NA</v>
      </c>
      <c r="M464" s="79" t="str">
        <f>IF(Accion[[#This Row],[Precio Cierre]]=MIN(Accion[Precio Cierre]),Accion[[#This Row],[Precio Cierre]],"NA")</f>
        <v>NA</v>
      </c>
    </row>
    <row r="465" spans="1:13" hidden="1">
      <c r="A465" s="38" t="s">
        <v>90</v>
      </c>
      <c r="B465" s="34">
        <v>42950</v>
      </c>
      <c r="C465" s="35">
        <v>45220</v>
      </c>
      <c r="D465" s="35">
        <v>486197600</v>
      </c>
      <c r="E465" s="35">
        <v>10760</v>
      </c>
      <c r="F465" s="35">
        <v>10740</v>
      </c>
      <c r="G465" s="35">
        <v>10740</v>
      </c>
      <c r="H465" s="35">
        <v>10751.83</v>
      </c>
      <c r="I465" s="35">
        <v>-0.56000000000000005</v>
      </c>
      <c r="J465" s="35">
        <v>-60</v>
      </c>
      <c r="K465" s="71">
        <f>YEAR(Accion[[#This Row],[fecha]])</f>
        <v>2017</v>
      </c>
      <c r="L465" s="79" t="str">
        <f>IF(Accion[[#This Row],[Precio Cierre]]=MAX(Accion[Precio Cierre]),Accion[[#This Row],[Precio Cierre]],"NA")</f>
        <v>NA</v>
      </c>
      <c r="M465" s="79" t="str">
        <f>IF(Accion[[#This Row],[Precio Cierre]]=MIN(Accion[Precio Cierre]),Accion[[#This Row],[Precio Cierre]],"NA")</f>
        <v>NA</v>
      </c>
    </row>
    <row r="466" spans="1:13" hidden="1">
      <c r="A466" s="38" t="s">
        <v>90</v>
      </c>
      <c r="B466" s="34">
        <v>42949</v>
      </c>
      <c r="C466" s="35">
        <v>352215</v>
      </c>
      <c r="D466" s="35">
        <v>3803101000</v>
      </c>
      <c r="E466" s="35">
        <v>10800</v>
      </c>
      <c r="F466" s="35">
        <v>10780</v>
      </c>
      <c r="G466" s="35">
        <v>10800</v>
      </c>
      <c r="H466" s="35">
        <v>10797.67</v>
      </c>
      <c r="I466" s="35">
        <v>0</v>
      </c>
      <c r="J466" s="35">
        <v>0</v>
      </c>
      <c r="K466" s="71">
        <f>YEAR(Accion[[#This Row],[fecha]])</f>
        <v>2017</v>
      </c>
      <c r="L466" s="79" t="str">
        <f>IF(Accion[[#This Row],[Precio Cierre]]=MAX(Accion[Precio Cierre]),Accion[[#This Row],[Precio Cierre]],"NA")</f>
        <v>NA</v>
      </c>
      <c r="M466" s="79" t="str">
        <f>IF(Accion[[#This Row],[Precio Cierre]]=MIN(Accion[Precio Cierre]),Accion[[#This Row],[Precio Cierre]],"NA")</f>
        <v>NA</v>
      </c>
    </row>
    <row r="467" spans="1:13" hidden="1">
      <c r="A467" s="38" t="s">
        <v>90</v>
      </c>
      <c r="B467" s="34">
        <v>42948</v>
      </c>
      <c r="C467" s="35">
        <v>71258</v>
      </c>
      <c r="D467" s="35">
        <v>771226460</v>
      </c>
      <c r="E467" s="35">
        <v>10840</v>
      </c>
      <c r="F467" s="35">
        <v>10800</v>
      </c>
      <c r="G467" s="35">
        <v>10800</v>
      </c>
      <c r="H467" s="35">
        <v>10823.02</v>
      </c>
      <c r="I467" s="35">
        <v>-0.92</v>
      </c>
      <c r="J467" s="35">
        <v>-100</v>
      </c>
      <c r="K467" s="71">
        <f>YEAR(Accion[[#This Row],[fecha]])</f>
        <v>2017</v>
      </c>
      <c r="L467" s="79" t="str">
        <f>IF(Accion[[#This Row],[Precio Cierre]]=MAX(Accion[Precio Cierre]),Accion[[#This Row],[Precio Cierre]],"NA")</f>
        <v>NA</v>
      </c>
      <c r="M467" s="79" t="str">
        <f>IF(Accion[[#This Row],[Precio Cierre]]=MIN(Accion[Precio Cierre]),Accion[[#This Row],[Precio Cierre]],"NA")</f>
        <v>NA</v>
      </c>
    </row>
    <row r="468" spans="1:13" hidden="1">
      <c r="A468" s="38" t="s">
        <v>90</v>
      </c>
      <c r="B468" s="34">
        <v>42947</v>
      </c>
      <c r="C468" s="35">
        <v>261302</v>
      </c>
      <c r="D468" s="35">
        <v>2844531940</v>
      </c>
      <c r="E468" s="35">
        <v>10900</v>
      </c>
      <c r="F468" s="35">
        <v>10820</v>
      </c>
      <c r="G468" s="35">
        <v>10900</v>
      </c>
      <c r="H468" s="35">
        <v>10885.99</v>
      </c>
      <c r="I468" s="35">
        <v>0.18</v>
      </c>
      <c r="J468" s="35">
        <v>20</v>
      </c>
      <c r="K468" s="71">
        <f>YEAR(Accion[[#This Row],[fecha]])</f>
        <v>2017</v>
      </c>
      <c r="L468" s="79" t="str">
        <f>IF(Accion[[#This Row],[Precio Cierre]]=MAX(Accion[Precio Cierre]),Accion[[#This Row],[Precio Cierre]],"NA")</f>
        <v>NA</v>
      </c>
      <c r="M468" s="79" t="str">
        <f>IF(Accion[[#This Row],[Precio Cierre]]=MIN(Accion[Precio Cierre]),Accion[[#This Row],[Precio Cierre]],"NA")</f>
        <v>NA</v>
      </c>
    </row>
    <row r="469" spans="1:13" hidden="1">
      <c r="A469" s="38" t="s">
        <v>90</v>
      </c>
      <c r="B469" s="34">
        <v>42944</v>
      </c>
      <c r="C469" s="35">
        <v>325732</v>
      </c>
      <c r="D469" s="35">
        <v>3547731480</v>
      </c>
      <c r="E469" s="35">
        <v>10900</v>
      </c>
      <c r="F469" s="35">
        <v>10860</v>
      </c>
      <c r="G469" s="35">
        <v>10880</v>
      </c>
      <c r="H469" s="35">
        <v>10891.57</v>
      </c>
      <c r="I469" s="35">
        <v>-0.18</v>
      </c>
      <c r="J469" s="35">
        <v>-20</v>
      </c>
      <c r="K469" s="71">
        <f>YEAR(Accion[[#This Row],[fecha]])</f>
        <v>2017</v>
      </c>
      <c r="L469" s="79" t="str">
        <f>IF(Accion[[#This Row],[Precio Cierre]]=MAX(Accion[Precio Cierre]),Accion[[#This Row],[Precio Cierre]],"NA")</f>
        <v>NA</v>
      </c>
      <c r="M469" s="79" t="str">
        <f>IF(Accion[[#This Row],[Precio Cierre]]=MIN(Accion[Precio Cierre]),Accion[[#This Row],[Precio Cierre]],"NA")</f>
        <v>NA</v>
      </c>
    </row>
    <row r="470" spans="1:13" hidden="1">
      <c r="A470" s="38" t="s">
        <v>90</v>
      </c>
      <c r="B470" s="34">
        <v>42943</v>
      </c>
      <c r="C470" s="35">
        <v>2509710</v>
      </c>
      <c r="D470" s="35">
        <v>27197968540</v>
      </c>
      <c r="E470" s="35">
        <v>10960</v>
      </c>
      <c r="F470" s="35">
        <v>10680</v>
      </c>
      <c r="G470" s="35">
        <v>10900</v>
      </c>
      <c r="H470" s="35">
        <v>10837.1</v>
      </c>
      <c r="I470" s="35">
        <v>2.06</v>
      </c>
      <c r="J470" s="35">
        <v>220</v>
      </c>
      <c r="K470" s="71">
        <f>YEAR(Accion[[#This Row],[fecha]])</f>
        <v>2017</v>
      </c>
      <c r="L470" s="79" t="str">
        <f>IF(Accion[[#This Row],[Precio Cierre]]=MAX(Accion[Precio Cierre]),Accion[[#This Row],[Precio Cierre]],"NA")</f>
        <v>NA</v>
      </c>
      <c r="M470" s="79" t="str">
        <f>IF(Accion[[#This Row],[Precio Cierre]]=MIN(Accion[Precio Cierre]),Accion[[#This Row],[Precio Cierre]],"NA")</f>
        <v>NA</v>
      </c>
    </row>
    <row r="471" spans="1:13" hidden="1">
      <c r="A471" s="38" t="s">
        <v>90</v>
      </c>
      <c r="B471" s="34">
        <v>42942</v>
      </c>
      <c r="C471" s="35">
        <v>2615437</v>
      </c>
      <c r="D471" s="35">
        <v>27723573980</v>
      </c>
      <c r="E471" s="35">
        <v>10760</v>
      </c>
      <c r="F471" s="35">
        <v>10380</v>
      </c>
      <c r="G471" s="35">
        <v>10680</v>
      </c>
      <c r="H471" s="35">
        <v>10599.98</v>
      </c>
      <c r="I471" s="35">
        <v>0.56000000000000005</v>
      </c>
      <c r="J471" s="35">
        <v>60</v>
      </c>
      <c r="K471" s="71">
        <f>YEAR(Accion[[#This Row],[fecha]])</f>
        <v>2017</v>
      </c>
      <c r="L471" s="79" t="str">
        <f>IF(Accion[[#This Row],[Precio Cierre]]=MAX(Accion[Precio Cierre]),Accion[[#This Row],[Precio Cierre]],"NA")</f>
        <v>NA</v>
      </c>
      <c r="M471" s="79" t="str">
        <f>IF(Accion[[#This Row],[Precio Cierre]]=MIN(Accion[Precio Cierre]),Accion[[#This Row],[Precio Cierre]],"NA")</f>
        <v>NA</v>
      </c>
    </row>
    <row r="472" spans="1:13" hidden="1">
      <c r="A472" s="38" t="s">
        <v>90</v>
      </c>
      <c r="B472" s="34">
        <v>42941</v>
      </c>
      <c r="C472" s="35">
        <v>1261057</v>
      </c>
      <c r="D472" s="35">
        <v>13444877800</v>
      </c>
      <c r="E472" s="35">
        <v>10820</v>
      </c>
      <c r="F472" s="35">
        <v>10600</v>
      </c>
      <c r="G472" s="35">
        <v>10620</v>
      </c>
      <c r="H472" s="35">
        <v>10661.59</v>
      </c>
      <c r="I472" s="35">
        <v>-2.39</v>
      </c>
      <c r="J472" s="35">
        <v>-260</v>
      </c>
      <c r="K472" s="71">
        <f>YEAR(Accion[[#This Row],[fecha]])</f>
        <v>2017</v>
      </c>
      <c r="L472" s="79" t="str">
        <f>IF(Accion[[#This Row],[Precio Cierre]]=MAX(Accion[Precio Cierre]),Accion[[#This Row],[Precio Cierre]],"NA")</f>
        <v>NA</v>
      </c>
      <c r="M472" s="79" t="str">
        <f>IF(Accion[[#This Row],[Precio Cierre]]=MIN(Accion[Precio Cierre]),Accion[[#This Row],[Precio Cierre]],"NA")</f>
        <v>NA</v>
      </c>
    </row>
    <row r="473" spans="1:13" hidden="1">
      <c r="A473" s="38" t="s">
        <v>90</v>
      </c>
      <c r="B473" s="34">
        <v>42940</v>
      </c>
      <c r="C473" s="35">
        <v>831923</v>
      </c>
      <c r="D473" s="35">
        <v>9110115840</v>
      </c>
      <c r="E473" s="35">
        <v>11080</v>
      </c>
      <c r="F473" s="35">
        <v>10760</v>
      </c>
      <c r="G473" s="35">
        <v>10880</v>
      </c>
      <c r="H473" s="35">
        <v>10950.67</v>
      </c>
      <c r="I473" s="35">
        <v>-1.81</v>
      </c>
      <c r="J473" s="35">
        <v>-200</v>
      </c>
      <c r="K473" s="71">
        <f>YEAR(Accion[[#This Row],[fecha]])</f>
        <v>2017</v>
      </c>
      <c r="L473" s="79" t="str">
        <f>IF(Accion[[#This Row],[Precio Cierre]]=MAX(Accion[Precio Cierre]),Accion[[#This Row],[Precio Cierre]],"NA")</f>
        <v>NA</v>
      </c>
      <c r="M473" s="79" t="str">
        <f>IF(Accion[[#This Row],[Precio Cierre]]=MIN(Accion[Precio Cierre]),Accion[[#This Row],[Precio Cierre]],"NA")</f>
        <v>NA</v>
      </c>
    </row>
    <row r="474" spans="1:13" hidden="1">
      <c r="A474" s="38" t="s">
        <v>90</v>
      </c>
      <c r="B474" s="34">
        <v>42937</v>
      </c>
      <c r="C474" s="35">
        <v>325756</v>
      </c>
      <c r="D474" s="35">
        <v>3613733840</v>
      </c>
      <c r="E474" s="35">
        <v>11220</v>
      </c>
      <c r="F474" s="35">
        <v>11020</v>
      </c>
      <c r="G474" s="35">
        <v>11080</v>
      </c>
      <c r="H474" s="35">
        <v>11093.38</v>
      </c>
      <c r="I474" s="35">
        <v>-0.54</v>
      </c>
      <c r="J474" s="35">
        <v>-60</v>
      </c>
      <c r="K474" s="71">
        <f>YEAR(Accion[[#This Row],[fecha]])</f>
        <v>2017</v>
      </c>
      <c r="L474" s="79" t="str">
        <f>IF(Accion[[#This Row],[Precio Cierre]]=MAX(Accion[Precio Cierre]),Accion[[#This Row],[Precio Cierre]],"NA")</f>
        <v>NA</v>
      </c>
      <c r="M474" s="79" t="str">
        <f>IF(Accion[[#This Row],[Precio Cierre]]=MIN(Accion[Precio Cierre]),Accion[[#This Row],[Precio Cierre]],"NA")</f>
        <v>NA</v>
      </c>
    </row>
    <row r="475" spans="1:13" hidden="1">
      <c r="A475" s="38" t="s">
        <v>90</v>
      </c>
      <c r="B475" s="34">
        <v>42935</v>
      </c>
      <c r="C475" s="35">
        <v>623785</v>
      </c>
      <c r="D475" s="35">
        <v>6973111260</v>
      </c>
      <c r="E475" s="35">
        <v>11440</v>
      </c>
      <c r="F475" s="35">
        <v>11120</v>
      </c>
      <c r="G475" s="35">
        <v>11140</v>
      </c>
      <c r="H475" s="35">
        <v>11178.71</v>
      </c>
      <c r="I475" s="35">
        <v>-1.59</v>
      </c>
      <c r="J475" s="35">
        <v>-180</v>
      </c>
      <c r="K475" s="71">
        <f>YEAR(Accion[[#This Row],[fecha]])</f>
        <v>2017</v>
      </c>
      <c r="L475" s="79" t="str">
        <f>IF(Accion[[#This Row],[Precio Cierre]]=MAX(Accion[Precio Cierre]),Accion[[#This Row],[Precio Cierre]],"NA")</f>
        <v>NA</v>
      </c>
      <c r="M475" s="79" t="str">
        <f>IF(Accion[[#This Row],[Precio Cierre]]=MIN(Accion[Precio Cierre]),Accion[[#This Row],[Precio Cierre]],"NA")</f>
        <v>NA</v>
      </c>
    </row>
    <row r="476" spans="1:13" hidden="1">
      <c r="A476" s="38" t="s">
        <v>90</v>
      </c>
      <c r="B476" s="34">
        <v>42934</v>
      </c>
      <c r="C476" s="35">
        <v>477051</v>
      </c>
      <c r="D476" s="35">
        <v>5425347680</v>
      </c>
      <c r="E476" s="35">
        <v>11480</v>
      </c>
      <c r="F476" s="35">
        <v>11220</v>
      </c>
      <c r="G476" s="35">
        <v>11320</v>
      </c>
      <c r="H476" s="35">
        <v>11372.68</v>
      </c>
      <c r="I476" s="35">
        <v>-2.08</v>
      </c>
      <c r="J476" s="35">
        <v>-240</v>
      </c>
      <c r="K476" s="71">
        <f>YEAR(Accion[[#This Row],[fecha]])</f>
        <v>2017</v>
      </c>
      <c r="L476" s="79" t="str">
        <f>IF(Accion[[#This Row],[Precio Cierre]]=MAX(Accion[Precio Cierre]),Accion[[#This Row],[Precio Cierre]],"NA")</f>
        <v>NA</v>
      </c>
      <c r="M476" s="79" t="str">
        <f>IF(Accion[[#This Row],[Precio Cierre]]=MIN(Accion[Precio Cierre]),Accion[[#This Row],[Precio Cierre]],"NA")</f>
        <v>NA</v>
      </c>
    </row>
    <row r="477" spans="1:13" hidden="1">
      <c r="A477" s="38" t="s">
        <v>90</v>
      </c>
      <c r="B477" s="34">
        <v>42933</v>
      </c>
      <c r="C477" s="35">
        <v>4015</v>
      </c>
      <c r="D477" s="35">
        <v>46541620</v>
      </c>
      <c r="E477" s="35">
        <v>11620</v>
      </c>
      <c r="F477" s="35">
        <v>11560</v>
      </c>
      <c r="G477" s="35">
        <v>11560</v>
      </c>
      <c r="H477" s="35">
        <v>11591.94</v>
      </c>
      <c r="I477" s="35">
        <v>-0.17</v>
      </c>
      <c r="J477" s="35">
        <v>-20</v>
      </c>
      <c r="K477" s="71">
        <f>YEAR(Accion[[#This Row],[fecha]])</f>
        <v>2017</v>
      </c>
      <c r="L477" s="79" t="str">
        <f>IF(Accion[[#This Row],[Precio Cierre]]=MAX(Accion[Precio Cierre]),Accion[[#This Row],[Precio Cierre]],"NA")</f>
        <v>NA</v>
      </c>
      <c r="M477" s="79" t="str">
        <f>IF(Accion[[#This Row],[Precio Cierre]]=MIN(Accion[Precio Cierre]),Accion[[#This Row],[Precio Cierre]],"NA")</f>
        <v>NA</v>
      </c>
    </row>
    <row r="478" spans="1:13" hidden="1">
      <c r="A478" s="38" t="s">
        <v>90</v>
      </c>
      <c r="B478" s="34">
        <v>42930</v>
      </c>
      <c r="C478" s="35">
        <v>118277</v>
      </c>
      <c r="D478" s="35">
        <v>1363732480</v>
      </c>
      <c r="E478" s="35">
        <v>11600</v>
      </c>
      <c r="F478" s="35">
        <v>11440</v>
      </c>
      <c r="G478" s="35">
        <v>11580</v>
      </c>
      <c r="H478" s="35">
        <v>11529.99</v>
      </c>
      <c r="I478" s="35">
        <v>-0.52</v>
      </c>
      <c r="J478" s="35">
        <v>-60</v>
      </c>
      <c r="K478" s="71">
        <f>YEAR(Accion[[#This Row],[fecha]])</f>
        <v>2017</v>
      </c>
      <c r="L478" s="79" t="str">
        <f>IF(Accion[[#This Row],[Precio Cierre]]=MAX(Accion[Precio Cierre]),Accion[[#This Row],[Precio Cierre]],"NA")</f>
        <v>NA</v>
      </c>
      <c r="M478" s="79" t="str">
        <f>IF(Accion[[#This Row],[Precio Cierre]]=MIN(Accion[Precio Cierre]),Accion[[#This Row],[Precio Cierre]],"NA")</f>
        <v>NA</v>
      </c>
    </row>
    <row r="479" spans="1:13" hidden="1">
      <c r="A479" s="38" t="s">
        <v>90</v>
      </c>
      <c r="B479" s="34">
        <v>42929</v>
      </c>
      <c r="C479" s="35">
        <v>103055</v>
      </c>
      <c r="D479" s="35">
        <v>1200221720</v>
      </c>
      <c r="E479" s="35">
        <v>11760</v>
      </c>
      <c r="F479" s="35">
        <v>11600</v>
      </c>
      <c r="G479" s="35">
        <v>11640</v>
      </c>
      <c r="H479" s="35">
        <v>11646.42</v>
      </c>
      <c r="I479" s="35">
        <v>-0.51</v>
      </c>
      <c r="J479" s="35">
        <v>-60</v>
      </c>
      <c r="K479" s="71">
        <f>YEAR(Accion[[#This Row],[fecha]])</f>
        <v>2017</v>
      </c>
      <c r="L479" s="79" t="str">
        <f>IF(Accion[[#This Row],[Precio Cierre]]=MAX(Accion[Precio Cierre]),Accion[[#This Row],[Precio Cierre]],"NA")</f>
        <v>NA</v>
      </c>
      <c r="M479" s="79" t="str">
        <f>IF(Accion[[#This Row],[Precio Cierre]]=MIN(Accion[Precio Cierre]),Accion[[#This Row],[Precio Cierre]],"NA")</f>
        <v>NA</v>
      </c>
    </row>
    <row r="480" spans="1:13" hidden="1">
      <c r="A480" s="38" t="s">
        <v>90</v>
      </c>
      <c r="B480" s="34">
        <v>42928</v>
      </c>
      <c r="C480" s="35">
        <v>493778</v>
      </c>
      <c r="D480" s="35">
        <v>5738619380</v>
      </c>
      <c r="E480" s="35">
        <v>11820</v>
      </c>
      <c r="F480" s="35">
        <v>11560</v>
      </c>
      <c r="G480" s="35">
        <v>11700</v>
      </c>
      <c r="H480" s="35">
        <v>11621.86</v>
      </c>
      <c r="I480" s="35">
        <v>0.52</v>
      </c>
      <c r="J480" s="35">
        <v>60</v>
      </c>
      <c r="K480" s="71">
        <f>YEAR(Accion[[#This Row],[fecha]])</f>
        <v>2017</v>
      </c>
      <c r="L480" s="79" t="str">
        <f>IF(Accion[[#This Row],[Precio Cierre]]=MAX(Accion[Precio Cierre]),Accion[[#This Row],[Precio Cierre]],"NA")</f>
        <v>NA</v>
      </c>
      <c r="M480" s="79" t="str">
        <f>IF(Accion[[#This Row],[Precio Cierre]]=MIN(Accion[Precio Cierre]),Accion[[#This Row],[Precio Cierre]],"NA")</f>
        <v>NA</v>
      </c>
    </row>
    <row r="481" spans="1:13" hidden="1">
      <c r="A481" s="38" t="s">
        <v>90</v>
      </c>
      <c r="B481" s="34">
        <v>42927</v>
      </c>
      <c r="C481" s="35">
        <v>70399</v>
      </c>
      <c r="D481" s="35">
        <v>822395380</v>
      </c>
      <c r="E481" s="35">
        <v>11820</v>
      </c>
      <c r="F481" s="35">
        <v>11640</v>
      </c>
      <c r="G481" s="35">
        <v>11640</v>
      </c>
      <c r="H481" s="35">
        <v>11681.92</v>
      </c>
      <c r="I481" s="35">
        <v>-1.36</v>
      </c>
      <c r="J481" s="35">
        <v>-160</v>
      </c>
      <c r="K481" s="71">
        <f>YEAR(Accion[[#This Row],[fecha]])</f>
        <v>2017</v>
      </c>
      <c r="L481" s="79" t="str">
        <f>IF(Accion[[#This Row],[Precio Cierre]]=MAX(Accion[Precio Cierre]),Accion[[#This Row],[Precio Cierre]],"NA")</f>
        <v>NA</v>
      </c>
      <c r="M481" s="79" t="str">
        <f>IF(Accion[[#This Row],[Precio Cierre]]=MIN(Accion[Precio Cierre]),Accion[[#This Row],[Precio Cierre]],"NA")</f>
        <v>NA</v>
      </c>
    </row>
    <row r="482" spans="1:13" hidden="1">
      <c r="A482" s="38" t="s">
        <v>90</v>
      </c>
      <c r="B482" s="34">
        <v>42926</v>
      </c>
      <c r="C482" s="35">
        <v>49856</v>
      </c>
      <c r="D482" s="35">
        <v>586736720</v>
      </c>
      <c r="E482" s="35">
        <v>11800</v>
      </c>
      <c r="F482" s="35">
        <v>11700</v>
      </c>
      <c r="G482" s="35">
        <v>11800</v>
      </c>
      <c r="H482" s="35">
        <v>11768.63</v>
      </c>
      <c r="I482" s="35">
        <v>0</v>
      </c>
      <c r="J482" s="35">
        <v>0</v>
      </c>
      <c r="K482" s="71">
        <f>YEAR(Accion[[#This Row],[fecha]])</f>
        <v>2017</v>
      </c>
      <c r="L482" s="79" t="str">
        <f>IF(Accion[[#This Row],[Precio Cierre]]=MAX(Accion[Precio Cierre]),Accion[[#This Row],[Precio Cierre]],"NA")</f>
        <v>NA</v>
      </c>
      <c r="M482" s="79" t="str">
        <f>IF(Accion[[#This Row],[Precio Cierre]]=MIN(Accion[Precio Cierre]),Accion[[#This Row],[Precio Cierre]],"NA")</f>
        <v>NA</v>
      </c>
    </row>
    <row r="483" spans="1:13" hidden="1">
      <c r="A483" s="38" t="s">
        <v>90</v>
      </c>
      <c r="B483" s="34">
        <v>42923</v>
      </c>
      <c r="C483" s="35">
        <v>17328</v>
      </c>
      <c r="D483" s="35">
        <v>204243940</v>
      </c>
      <c r="E483" s="35">
        <v>11880</v>
      </c>
      <c r="F483" s="35">
        <v>11700</v>
      </c>
      <c r="G483" s="35">
        <v>11800</v>
      </c>
      <c r="H483" s="35">
        <v>11786.93</v>
      </c>
      <c r="I483" s="35">
        <v>-0.84</v>
      </c>
      <c r="J483" s="35">
        <v>-100</v>
      </c>
      <c r="K483" s="71">
        <f>YEAR(Accion[[#This Row],[fecha]])</f>
        <v>2017</v>
      </c>
      <c r="L483" s="79" t="str">
        <f>IF(Accion[[#This Row],[Precio Cierre]]=MAX(Accion[Precio Cierre]),Accion[[#This Row],[Precio Cierre]],"NA")</f>
        <v>NA</v>
      </c>
      <c r="M483" s="79" t="str">
        <f>IF(Accion[[#This Row],[Precio Cierre]]=MIN(Accion[Precio Cierre]),Accion[[#This Row],[Precio Cierre]],"NA")</f>
        <v>NA</v>
      </c>
    </row>
    <row r="484" spans="1:13" hidden="1">
      <c r="A484" s="38" t="s">
        <v>90</v>
      </c>
      <c r="B484" s="34">
        <v>42922</v>
      </c>
      <c r="C484" s="35">
        <v>245126</v>
      </c>
      <c r="D484" s="35">
        <v>2919137940</v>
      </c>
      <c r="E484" s="35">
        <v>11940</v>
      </c>
      <c r="F484" s="35">
        <v>11900</v>
      </c>
      <c r="G484" s="35">
        <v>11900</v>
      </c>
      <c r="H484" s="35">
        <v>11908.72</v>
      </c>
      <c r="I484" s="35">
        <v>-0.17</v>
      </c>
      <c r="J484" s="35">
        <v>-20</v>
      </c>
      <c r="K484" s="71">
        <f>YEAR(Accion[[#This Row],[fecha]])</f>
        <v>2017</v>
      </c>
      <c r="L484" s="79" t="str">
        <f>IF(Accion[[#This Row],[Precio Cierre]]=MAX(Accion[Precio Cierre]),Accion[[#This Row],[Precio Cierre]],"NA")</f>
        <v>NA</v>
      </c>
      <c r="M484" s="79" t="str">
        <f>IF(Accion[[#This Row],[Precio Cierre]]=MIN(Accion[Precio Cierre]),Accion[[#This Row],[Precio Cierre]],"NA")</f>
        <v>NA</v>
      </c>
    </row>
    <row r="485" spans="1:13" hidden="1">
      <c r="A485" s="38" t="s">
        <v>90</v>
      </c>
      <c r="B485" s="34">
        <v>42921</v>
      </c>
      <c r="C485" s="35">
        <v>540093</v>
      </c>
      <c r="D485" s="35">
        <v>6405897040</v>
      </c>
      <c r="E485" s="35">
        <v>11920</v>
      </c>
      <c r="F485" s="35">
        <v>11800</v>
      </c>
      <c r="G485" s="35">
        <v>11920</v>
      </c>
      <c r="H485" s="35">
        <v>11860.73</v>
      </c>
      <c r="I485" s="35">
        <v>0.85</v>
      </c>
      <c r="J485" s="35">
        <v>100</v>
      </c>
      <c r="K485" s="71">
        <f>YEAR(Accion[[#This Row],[fecha]])</f>
        <v>2017</v>
      </c>
      <c r="L485" s="79" t="str">
        <f>IF(Accion[[#This Row],[Precio Cierre]]=MAX(Accion[Precio Cierre]),Accion[[#This Row],[Precio Cierre]],"NA")</f>
        <v>NA</v>
      </c>
      <c r="M485" s="79" t="str">
        <f>IF(Accion[[#This Row],[Precio Cierre]]=MIN(Accion[Precio Cierre]),Accion[[#This Row],[Precio Cierre]],"NA")</f>
        <v>NA</v>
      </c>
    </row>
    <row r="486" spans="1:13" hidden="1">
      <c r="A486" s="38" t="s">
        <v>90</v>
      </c>
      <c r="B486" s="34">
        <v>42920</v>
      </c>
      <c r="C486" s="35">
        <v>229009</v>
      </c>
      <c r="D486" s="35">
        <v>2688066880</v>
      </c>
      <c r="E486" s="35">
        <v>11820</v>
      </c>
      <c r="F486" s="35">
        <v>11680</v>
      </c>
      <c r="G486" s="35">
        <v>11820</v>
      </c>
      <c r="H486" s="35">
        <v>11737.82</v>
      </c>
      <c r="I486" s="35">
        <v>1.03</v>
      </c>
      <c r="J486" s="35">
        <v>120</v>
      </c>
      <c r="K486" s="71">
        <f>YEAR(Accion[[#This Row],[fecha]])</f>
        <v>2017</v>
      </c>
      <c r="L486" s="79" t="str">
        <f>IF(Accion[[#This Row],[Precio Cierre]]=MAX(Accion[Precio Cierre]),Accion[[#This Row],[Precio Cierre]],"NA")</f>
        <v>NA</v>
      </c>
      <c r="M486" s="79" t="str">
        <f>IF(Accion[[#This Row],[Precio Cierre]]=MIN(Accion[Precio Cierre]),Accion[[#This Row],[Precio Cierre]],"NA")</f>
        <v>NA</v>
      </c>
    </row>
    <row r="487" spans="1:13" hidden="1">
      <c r="A487" s="38" t="s">
        <v>90</v>
      </c>
      <c r="B487" s="34">
        <v>42916</v>
      </c>
      <c r="C487" s="35">
        <v>245163</v>
      </c>
      <c r="D487" s="35">
        <v>2864935880</v>
      </c>
      <c r="E487" s="35">
        <v>11720</v>
      </c>
      <c r="F487" s="35">
        <v>11600</v>
      </c>
      <c r="G487" s="35">
        <v>11700</v>
      </c>
      <c r="H487" s="35">
        <v>11685.84</v>
      </c>
      <c r="I487" s="35">
        <v>1.39</v>
      </c>
      <c r="J487" s="35">
        <v>160</v>
      </c>
      <c r="K487" s="71">
        <f>YEAR(Accion[[#This Row],[fecha]])</f>
        <v>2017</v>
      </c>
      <c r="L487" s="79" t="str">
        <f>IF(Accion[[#This Row],[Precio Cierre]]=MAX(Accion[Precio Cierre]),Accion[[#This Row],[Precio Cierre]],"NA")</f>
        <v>NA</v>
      </c>
      <c r="M487" s="79" t="str">
        <f>IF(Accion[[#This Row],[Precio Cierre]]=MIN(Accion[Precio Cierre]),Accion[[#This Row],[Precio Cierre]],"NA")</f>
        <v>NA</v>
      </c>
    </row>
    <row r="488" spans="1:13" hidden="1">
      <c r="A488" s="38" t="s">
        <v>90</v>
      </c>
      <c r="B488" s="34">
        <v>42915</v>
      </c>
      <c r="C488" s="35">
        <v>1231153</v>
      </c>
      <c r="D488" s="35">
        <v>14207895780</v>
      </c>
      <c r="E488" s="35">
        <v>11620</v>
      </c>
      <c r="F488" s="35">
        <v>11500</v>
      </c>
      <c r="G488" s="35">
        <v>11540</v>
      </c>
      <c r="H488" s="35">
        <v>11540.32</v>
      </c>
      <c r="I488" s="35">
        <v>-0.52</v>
      </c>
      <c r="J488" s="35">
        <v>-60</v>
      </c>
      <c r="K488" s="71">
        <f>YEAR(Accion[[#This Row],[fecha]])</f>
        <v>2017</v>
      </c>
      <c r="L488" s="79" t="str">
        <f>IF(Accion[[#This Row],[Precio Cierre]]=MAX(Accion[Precio Cierre]),Accion[[#This Row],[Precio Cierre]],"NA")</f>
        <v>NA</v>
      </c>
      <c r="M488" s="79" t="str">
        <f>IF(Accion[[#This Row],[Precio Cierre]]=MIN(Accion[Precio Cierre]),Accion[[#This Row],[Precio Cierre]],"NA")</f>
        <v>NA</v>
      </c>
    </row>
    <row r="489" spans="1:13" hidden="1">
      <c r="A489" s="38" t="s">
        <v>90</v>
      </c>
      <c r="B489" s="34">
        <v>42914</v>
      </c>
      <c r="C489" s="35">
        <v>385391</v>
      </c>
      <c r="D489" s="35">
        <v>4450935880</v>
      </c>
      <c r="E489" s="35">
        <v>11700</v>
      </c>
      <c r="F489" s="35">
        <v>11500</v>
      </c>
      <c r="G489" s="35">
        <v>11600</v>
      </c>
      <c r="H489" s="35">
        <v>11549.14</v>
      </c>
      <c r="I489" s="35">
        <v>0.87</v>
      </c>
      <c r="J489" s="35">
        <v>100</v>
      </c>
      <c r="K489" s="71">
        <f>YEAR(Accion[[#This Row],[fecha]])</f>
        <v>2017</v>
      </c>
      <c r="L489" s="79" t="str">
        <f>IF(Accion[[#This Row],[Precio Cierre]]=MAX(Accion[Precio Cierre]),Accion[[#This Row],[Precio Cierre]],"NA")</f>
        <v>NA</v>
      </c>
      <c r="M489" s="79" t="str">
        <f>IF(Accion[[#This Row],[Precio Cierre]]=MIN(Accion[Precio Cierre]),Accion[[#This Row],[Precio Cierre]],"NA")</f>
        <v>NA</v>
      </c>
    </row>
    <row r="490" spans="1:13" hidden="1">
      <c r="A490" s="38" t="s">
        <v>90</v>
      </c>
      <c r="B490" s="34">
        <v>42913</v>
      </c>
      <c r="C490" s="35">
        <v>594688</v>
      </c>
      <c r="D490" s="35">
        <v>6839280380</v>
      </c>
      <c r="E490" s="35">
        <v>11540</v>
      </c>
      <c r="F490" s="35">
        <v>11480</v>
      </c>
      <c r="G490" s="35">
        <v>11500</v>
      </c>
      <c r="H490" s="35">
        <v>11500.62</v>
      </c>
      <c r="I490" s="35">
        <v>-0.35</v>
      </c>
      <c r="J490" s="35">
        <v>-40</v>
      </c>
      <c r="K490" s="71">
        <f>YEAR(Accion[[#This Row],[fecha]])</f>
        <v>2017</v>
      </c>
      <c r="L490" s="79" t="str">
        <f>IF(Accion[[#This Row],[Precio Cierre]]=MAX(Accion[Precio Cierre]),Accion[[#This Row],[Precio Cierre]],"NA")</f>
        <v>NA</v>
      </c>
      <c r="M490" s="79" t="str">
        <f>IF(Accion[[#This Row],[Precio Cierre]]=MIN(Accion[Precio Cierre]),Accion[[#This Row],[Precio Cierre]],"NA")</f>
        <v>NA</v>
      </c>
    </row>
    <row r="491" spans="1:13" hidden="1">
      <c r="A491" s="38" t="s">
        <v>90</v>
      </c>
      <c r="B491" s="34">
        <v>42909</v>
      </c>
      <c r="C491" s="35">
        <v>21794</v>
      </c>
      <c r="D491" s="35">
        <v>251853200</v>
      </c>
      <c r="E491" s="35">
        <v>11740</v>
      </c>
      <c r="F491" s="35">
        <v>11500</v>
      </c>
      <c r="G491" s="35">
        <v>11540</v>
      </c>
      <c r="H491" s="35">
        <v>11556.08</v>
      </c>
      <c r="I491" s="35">
        <v>-0.52</v>
      </c>
      <c r="J491" s="35">
        <v>-60</v>
      </c>
      <c r="K491" s="71">
        <f>YEAR(Accion[[#This Row],[fecha]])</f>
        <v>2017</v>
      </c>
      <c r="L491" s="79" t="str">
        <f>IF(Accion[[#This Row],[Precio Cierre]]=MAX(Accion[Precio Cierre]),Accion[[#This Row],[Precio Cierre]],"NA")</f>
        <v>NA</v>
      </c>
      <c r="M491" s="79" t="str">
        <f>IF(Accion[[#This Row],[Precio Cierre]]=MIN(Accion[Precio Cierre]),Accion[[#This Row],[Precio Cierre]],"NA")</f>
        <v>NA</v>
      </c>
    </row>
    <row r="492" spans="1:13" hidden="1">
      <c r="A492" s="38" t="s">
        <v>90</v>
      </c>
      <c r="B492" s="34">
        <v>42908</v>
      </c>
      <c r="C492" s="35">
        <v>156764</v>
      </c>
      <c r="D492" s="35">
        <v>1827053940</v>
      </c>
      <c r="E492" s="35">
        <v>11800</v>
      </c>
      <c r="F492" s="35">
        <v>11600</v>
      </c>
      <c r="G492" s="35">
        <v>11600</v>
      </c>
      <c r="H492" s="35">
        <v>11654.81</v>
      </c>
      <c r="I492" s="35">
        <v>0</v>
      </c>
      <c r="J492" s="35">
        <v>0</v>
      </c>
      <c r="K492" s="71">
        <f>YEAR(Accion[[#This Row],[fecha]])</f>
        <v>2017</v>
      </c>
      <c r="L492" s="79" t="str">
        <f>IF(Accion[[#This Row],[Precio Cierre]]=MAX(Accion[Precio Cierre]),Accion[[#This Row],[Precio Cierre]],"NA")</f>
        <v>NA</v>
      </c>
      <c r="M492" s="79" t="str">
        <f>IF(Accion[[#This Row],[Precio Cierre]]=MIN(Accion[Precio Cierre]),Accion[[#This Row],[Precio Cierre]],"NA")</f>
        <v>NA</v>
      </c>
    </row>
    <row r="493" spans="1:13" hidden="1">
      <c r="A493" s="38" t="s">
        <v>90</v>
      </c>
      <c r="B493" s="34">
        <v>42907</v>
      </c>
      <c r="C493" s="35">
        <v>52303</v>
      </c>
      <c r="D493" s="35">
        <v>609726620</v>
      </c>
      <c r="E493" s="35">
        <v>11760</v>
      </c>
      <c r="F493" s="35">
        <v>11580</v>
      </c>
      <c r="G493" s="35">
        <v>11600</v>
      </c>
      <c r="H493" s="35">
        <v>11657.58</v>
      </c>
      <c r="I493" s="35">
        <v>0</v>
      </c>
      <c r="J493" s="35">
        <v>0</v>
      </c>
      <c r="K493" s="71">
        <f>YEAR(Accion[[#This Row],[fecha]])</f>
        <v>2017</v>
      </c>
      <c r="L493" s="79" t="str">
        <f>IF(Accion[[#This Row],[Precio Cierre]]=MAX(Accion[Precio Cierre]),Accion[[#This Row],[Precio Cierre]],"NA")</f>
        <v>NA</v>
      </c>
      <c r="M493" s="79" t="str">
        <f>IF(Accion[[#This Row],[Precio Cierre]]=MIN(Accion[Precio Cierre]),Accion[[#This Row],[Precio Cierre]],"NA")</f>
        <v>NA</v>
      </c>
    </row>
    <row r="494" spans="1:13" hidden="1">
      <c r="A494" s="38" t="s">
        <v>90</v>
      </c>
      <c r="B494" s="34">
        <v>42906</v>
      </c>
      <c r="C494" s="35">
        <v>41419</v>
      </c>
      <c r="D494" s="35">
        <v>482540260</v>
      </c>
      <c r="E494" s="35">
        <v>11760</v>
      </c>
      <c r="F494" s="35">
        <v>11600</v>
      </c>
      <c r="G494" s="35">
        <v>11600</v>
      </c>
      <c r="H494" s="35">
        <v>11650.22</v>
      </c>
      <c r="I494" s="35">
        <v>-0.34</v>
      </c>
      <c r="J494" s="35">
        <v>-40</v>
      </c>
      <c r="K494" s="71">
        <f>YEAR(Accion[[#This Row],[fecha]])</f>
        <v>2017</v>
      </c>
      <c r="L494" s="79" t="str">
        <f>IF(Accion[[#This Row],[Precio Cierre]]=MAX(Accion[Precio Cierre]),Accion[[#This Row],[Precio Cierre]],"NA")</f>
        <v>NA</v>
      </c>
      <c r="M494" s="79" t="str">
        <f>IF(Accion[[#This Row],[Precio Cierre]]=MIN(Accion[Precio Cierre]),Accion[[#This Row],[Precio Cierre]],"NA")</f>
        <v>NA</v>
      </c>
    </row>
    <row r="495" spans="1:13" hidden="1">
      <c r="A495" s="38" t="s">
        <v>90</v>
      </c>
      <c r="B495" s="34">
        <v>42902</v>
      </c>
      <c r="C495" s="35">
        <v>117287</v>
      </c>
      <c r="D495" s="35">
        <v>1363469640</v>
      </c>
      <c r="E495" s="35">
        <v>11640</v>
      </c>
      <c r="F495" s="35">
        <v>11560</v>
      </c>
      <c r="G495" s="35">
        <v>11640</v>
      </c>
      <c r="H495" s="35">
        <v>11625.07</v>
      </c>
      <c r="I495" s="35">
        <v>0.34</v>
      </c>
      <c r="J495" s="35">
        <v>40</v>
      </c>
      <c r="K495" s="71">
        <f>YEAR(Accion[[#This Row],[fecha]])</f>
        <v>2017</v>
      </c>
      <c r="L495" s="79" t="str">
        <f>IF(Accion[[#This Row],[Precio Cierre]]=MAX(Accion[Precio Cierre]),Accion[[#This Row],[Precio Cierre]],"NA")</f>
        <v>NA</v>
      </c>
      <c r="M495" s="79" t="str">
        <f>IF(Accion[[#This Row],[Precio Cierre]]=MIN(Accion[Precio Cierre]),Accion[[#This Row],[Precio Cierre]],"NA")</f>
        <v>NA</v>
      </c>
    </row>
    <row r="496" spans="1:13" hidden="1">
      <c r="A496" s="38" t="s">
        <v>90</v>
      </c>
      <c r="B496" s="34">
        <v>42901</v>
      </c>
      <c r="C496" s="35">
        <v>12648</v>
      </c>
      <c r="D496" s="35">
        <v>146375660</v>
      </c>
      <c r="E496" s="35">
        <v>11680</v>
      </c>
      <c r="F496" s="35">
        <v>11540</v>
      </c>
      <c r="G496" s="35">
        <v>11600</v>
      </c>
      <c r="H496" s="35">
        <v>11573.03</v>
      </c>
      <c r="I496" s="35">
        <v>-0.51</v>
      </c>
      <c r="J496" s="35">
        <v>-60</v>
      </c>
      <c r="K496" s="71">
        <f>YEAR(Accion[[#This Row],[fecha]])</f>
        <v>2017</v>
      </c>
      <c r="L496" s="79" t="str">
        <f>IF(Accion[[#This Row],[Precio Cierre]]=MAX(Accion[Precio Cierre]),Accion[[#This Row],[Precio Cierre]],"NA")</f>
        <v>NA</v>
      </c>
      <c r="M496" s="79" t="str">
        <f>IF(Accion[[#This Row],[Precio Cierre]]=MIN(Accion[Precio Cierre]),Accion[[#This Row],[Precio Cierre]],"NA")</f>
        <v>NA</v>
      </c>
    </row>
    <row r="497" spans="1:13" hidden="1">
      <c r="A497" s="38" t="s">
        <v>90</v>
      </c>
      <c r="B497" s="34">
        <v>42900</v>
      </c>
      <c r="C497" s="35">
        <v>18458</v>
      </c>
      <c r="D497" s="35">
        <v>215374740</v>
      </c>
      <c r="E497" s="35">
        <v>11700</v>
      </c>
      <c r="F497" s="35">
        <v>11600</v>
      </c>
      <c r="G497" s="35">
        <v>11660</v>
      </c>
      <c r="H497" s="35">
        <v>11668.37</v>
      </c>
      <c r="I497" s="35">
        <v>-0.34</v>
      </c>
      <c r="J497" s="35">
        <v>-40</v>
      </c>
      <c r="K497" s="71">
        <f>YEAR(Accion[[#This Row],[fecha]])</f>
        <v>2017</v>
      </c>
      <c r="L497" s="79" t="str">
        <f>IF(Accion[[#This Row],[Precio Cierre]]=MAX(Accion[Precio Cierre]),Accion[[#This Row],[Precio Cierre]],"NA")</f>
        <v>NA</v>
      </c>
      <c r="M497" s="79" t="str">
        <f>IF(Accion[[#This Row],[Precio Cierre]]=MIN(Accion[Precio Cierre]),Accion[[#This Row],[Precio Cierre]],"NA")</f>
        <v>NA</v>
      </c>
    </row>
    <row r="498" spans="1:13" hidden="1">
      <c r="A498" s="38" t="s">
        <v>90</v>
      </c>
      <c r="B498" s="34">
        <v>42899</v>
      </c>
      <c r="C498" s="35">
        <v>127837</v>
      </c>
      <c r="D498" s="35">
        <v>1489736000</v>
      </c>
      <c r="E498" s="35">
        <v>11800</v>
      </c>
      <c r="F498" s="35">
        <v>11600</v>
      </c>
      <c r="G498" s="35">
        <v>11700</v>
      </c>
      <c r="H498" s="35">
        <v>11653.4</v>
      </c>
      <c r="I498" s="35">
        <v>-1.18</v>
      </c>
      <c r="J498" s="35">
        <v>-140</v>
      </c>
      <c r="K498" s="71">
        <f>YEAR(Accion[[#This Row],[fecha]])</f>
        <v>2017</v>
      </c>
      <c r="L498" s="79" t="str">
        <f>IF(Accion[[#This Row],[Precio Cierre]]=MAX(Accion[Precio Cierre]),Accion[[#This Row],[Precio Cierre]],"NA")</f>
        <v>NA</v>
      </c>
      <c r="M498" s="79" t="str">
        <f>IF(Accion[[#This Row],[Precio Cierre]]=MIN(Accion[Precio Cierre]),Accion[[#This Row],[Precio Cierre]],"NA")</f>
        <v>NA</v>
      </c>
    </row>
    <row r="499" spans="1:13" hidden="1">
      <c r="A499" s="38" t="s">
        <v>90</v>
      </c>
      <c r="B499" s="34">
        <v>42898</v>
      </c>
      <c r="C499" s="35">
        <v>211528</v>
      </c>
      <c r="D499" s="35">
        <v>2510367260</v>
      </c>
      <c r="E499" s="35">
        <v>11940</v>
      </c>
      <c r="F499" s="35">
        <v>11700</v>
      </c>
      <c r="G499" s="35">
        <v>11840</v>
      </c>
      <c r="H499" s="35">
        <v>11867.78</v>
      </c>
      <c r="I499" s="35">
        <v>-0.34</v>
      </c>
      <c r="J499" s="35">
        <v>-40</v>
      </c>
      <c r="K499" s="71">
        <f>YEAR(Accion[[#This Row],[fecha]])</f>
        <v>2017</v>
      </c>
      <c r="L499" s="79" t="str">
        <f>IF(Accion[[#This Row],[Precio Cierre]]=MAX(Accion[Precio Cierre]),Accion[[#This Row],[Precio Cierre]],"NA")</f>
        <v>NA</v>
      </c>
      <c r="M499" s="79" t="str">
        <f>IF(Accion[[#This Row],[Precio Cierre]]=MIN(Accion[Precio Cierre]),Accion[[#This Row],[Precio Cierre]],"NA")</f>
        <v>NA</v>
      </c>
    </row>
    <row r="500" spans="1:13" hidden="1">
      <c r="A500" s="38" t="s">
        <v>90</v>
      </c>
      <c r="B500" s="34">
        <v>42895</v>
      </c>
      <c r="C500" s="35">
        <v>177064</v>
      </c>
      <c r="D500" s="35">
        <v>2090387540</v>
      </c>
      <c r="E500" s="35">
        <v>11900</v>
      </c>
      <c r="F500" s="35">
        <v>11740</v>
      </c>
      <c r="G500" s="35">
        <v>11880</v>
      </c>
      <c r="H500" s="35">
        <v>11805.83</v>
      </c>
      <c r="I500" s="35">
        <v>1.37</v>
      </c>
      <c r="J500" s="35">
        <v>160</v>
      </c>
      <c r="K500" s="71">
        <f>YEAR(Accion[[#This Row],[fecha]])</f>
        <v>2017</v>
      </c>
      <c r="L500" s="79" t="str">
        <f>IF(Accion[[#This Row],[Precio Cierre]]=MAX(Accion[Precio Cierre]),Accion[[#This Row],[Precio Cierre]],"NA")</f>
        <v>NA</v>
      </c>
      <c r="M500" s="79" t="str">
        <f>IF(Accion[[#This Row],[Precio Cierre]]=MIN(Accion[Precio Cierre]),Accion[[#This Row],[Precio Cierre]],"NA")</f>
        <v>NA</v>
      </c>
    </row>
    <row r="501" spans="1:13" hidden="1">
      <c r="A501" s="38" t="s">
        <v>90</v>
      </c>
      <c r="B501" s="34">
        <v>42894</v>
      </c>
      <c r="C501" s="35">
        <v>429140</v>
      </c>
      <c r="D501" s="35">
        <v>5011522760</v>
      </c>
      <c r="E501" s="35">
        <v>11720</v>
      </c>
      <c r="F501" s="35">
        <v>11600</v>
      </c>
      <c r="G501" s="35">
        <v>11720</v>
      </c>
      <c r="H501" s="35">
        <v>11678.06</v>
      </c>
      <c r="I501" s="35">
        <v>1.21</v>
      </c>
      <c r="J501" s="35">
        <v>140</v>
      </c>
      <c r="K501" s="71">
        <f>YEAR(Accion[[#This Row],[fecha]])</f>
        <v>2017</v>
      </c>
      <c r="L501" s="79" t="str">
        <f>IF(Accion[[#This Row],[Precio Cierre]]=MAX(Accion[Precio Cierre]),Accion[[#This Row],[Precio Cierre]],"NA")</f>
        <v>NA</v>
      </c>
      <c r="M501" s="79" t="str">
        <f>IF(Accion[[#This Row],[Precio Cierre]]=MIN(Accion[Precio Cierre]),Accion[[#This Row],[Precio Cierre]],"NA")</f>
        <v>NA</v>
      </c>
    </row>
    <row r="502" spans="1:13" hidden="1">
      <c r="A502" s="38" t="s">
        <v>90</v>
      </c>
      <c r="B502" s="34">
        <v>42893</v>
      </c>
      <c r="C502" s="35">
        <v>86897</v>
      </c>
      <c r="D502" s="35">
        <v>994679520</v>
      </c>
      <c r="E502" s="35">
        <v>11580</v>
      </c>
      <c r="F502" s="35">
        <v>11400</v>
      </c>
      <c r="G502" s="35">
        <v>11580</v>
      </c>
      <c r="H502" s="35">
        <v>11446.65</v>
      </c>
      <c r="I502" s="35">
        <v>1.58</v>
      </c>
      <c r="J502" s="35">
        <v>180</v>
      </c>
      <c r="K502" s="71">
        <f>YEAR(Accion[[#This Row],[fecha]])</f>
        <v>2017</v>
      </c>
      <c r="L502" s="79" t="str">
        <f>IF(Accion[[#This Row],[Precio Cierre]]=MAX(Accion[Precio Cierre]),Accion[[#This Row],[Precio Cierre]],"NA")</f>
        <v>NA</v>
      </c>
      <c r="M502" s="79" t="str">
        <f>IF(Accion[[#This Row],[Precio Cierre]]=MIN(Accion[Precio Cierre]),Accion[[#This Row],[Precio Cierre]],"NA")</f>
        <v>NA</v>
      </c>
    </row>
    <row r="503" spans="1:13" hidden="1">
      <c r="A503" s="38" t="s">
        <v>90</v>
      </c>
      <c r="B503" s="34">
        <v>42892</v>
      </c>
      <c r="C503" s="35">
        <v>115356</v>
      </c>
      <c r="D503" s="35">
        <v>1319662400</v>
      </c>
      <c r="E503" s="35">
        <v>11500</v>
      </c>
      <c r="F503" s="35">
        <v>11400</v>
      </c>
      <c r="G503" s="35">
        <v>11400</v>
      </c>
      <c r="H503" s="35">
        <v>11439.91</v>
      </c>
      <c r="I503" s="35">
        <v>0</v>
      </c>
      <c r="J503" s="35">
        <v>0</v>
      </c>
      <c r="K503" s="71">
        <f>YEAR(Accion[[#This Row],[fecha]])</f>
        <v>2017</v>
      </c>
      <c r="L503" s="79" t="str">
        <f>IF(Accion[[#This Row],[Precio Cierre]]=MAX(Accion[Precio Cierre]),Accion[[#This Row],[Precio Cierre]],"NA")</f>
        <v>NA</v>
      </c>
      <c r="M503" s="79" t="str">
        <f>IF(Accion[[#This Row],[Precio Cierre]]=MIN(Accion[Precio Cierre]),Accion[[#This Row],[Precio Cierre]],"NA")</f>
        <v>NA</v>
      </c>
    </row>
    <row r="504" spans="1:13" hidden="1">
      <c r="A504" s="38" t="s">
        <v>90</v>
      </c>
      <c r="B504" s="34">
        <v>42891</v>
      </c>
      <c r="C504" s="35">
        <v>3214285</v>
      </c>
      <c r="D504" s="35">
        <v>36692753400</v>
      </c>
      <c r="E504" s="35">
        <v>11640</v>
      </c>
      <c r="F504" s="35">
        <v>11400</v>
      </c>
      <c r="G504" s="35">
        <v>11400</v>
      </c>
      <c r="H504" s="35">
        <v>11415.53</v>
      </c>
      <c r="I504" s="35">
        <v>-0.87</v>
      </c>
      <c r="J504" s="35">
        <v>-100</v>
      </c>
      <c r="K504" s="71">
        <f>YEAR(Accion[[#This Row],[fecha]])</f>
        <v>2017</v>
      </c>
      <c r="L504" s="79" t="str">
        <f>IF(Accion[[#This Row],[Precio Cierre]]=MAX(Accion[Precio Cierre]),Accion[[#This Row],[Precio Cierre]],"NA")</f>
        <v>NA</v>
      </c>
      <c r="M504" s="79" t="str">
        <f>IF(Accion[[#This Row],[Precio Cierre]]=MIN(Accion[Precio Cierre]),Accion[[#This Row],[Precio Cierre]],"NA")</f>
        <v>NA</v>
      </c>
    </row>
    <row r="505" spans="1:13" hidden="1">
      <c r="A505" s="38" t="s">
        <v>90</v>
      </c>
      <c r="B505" s="34">
        <v>42888</v>
      </c>
      <c r="C505" s="35">
        <v>102508</v>
      </c>
      <c r="D505" s="35">
        <v>1180299740</v>
      </c>
      <c r="E505" s="35">
        <v>11540</v>
      </c>
      <c r="F505" s="35">
        <v>11480</v>
      </c>
      <c r="G505" s="35">
        <v>11500</v>
      </c>
      <c r="H505" s="35">
        <v>11514.22</v>
      </c>
      <c r="I505" s="35">
        <v>0</v>
      </c>
      <c r="J505" s="35">
        <v>0</v>
      </c>
      <c r="K505" s="71">
        <f>YEAR(Accion[[#This Row],[fecha]])</f>
        <v>2017</v>
      </c>
      <c r="L505" s="79" t="str">
        <f>IF(Accion[[#This Row],[Precio Cierre]]=MAX(Accion[Precio Cierre]),Accion[[#This Row],[Precio Cierre]],"NA")</f>
        <v>NA</v>
      </c>
      <c r="M505" s="79" t="str">
        <f>IF(Accion[[#This Row],[Precio Cierre]]=MIN(Accion[Precio Cierre]),Accion[[#This Row],[Precio Cierre]],"NA")</f>
        <v>NA</v>
      </c>
    </row>
    <row r="506" spans="1:13" hidden="1">
      <c r="A506" s="38" t="s">
        <v>90</v>
      </c>
      <c r="B506" s="34">
        <v>42887</v>
      </c>
      <c r="C506" s="35">
        <v>517597</v>
      </c>
      <c r="D506" s="35">
        <v>5992557500</v>
      </c>
      <c r="E506" s="35">
        <v>11640</v>
      </c>
      <c r="F506" s="35">
        <v>11400</v>
      </c>
      <c r="G506" s="35">
        <v>11500</v>
      </c>
      <c r="H506" s="35">
        <v>11577.65</v>
      </c>
      <c r="I506" s="35">
        <v>-1.2</v>
      </c>
      <c r="J506" s="35">
        <v>-140</v>
      </c>
      <c r="K506" s="71">
        <f>YEAR(Accion[[#This Row],[fecha]])</f>
        <v>2017</v>
      </c>
      <c r="L506" s="79" t="str">
        <f>IF(Accion[[#This Row],[Precio Cierre]]=MAX(Accion[Precio Cierre]),Accion[[#This Row],[Precio Cierre]],"NA")</f>
        <v>NA</v>
      </c>
      <c r="M506" s="79" t="str">
        <f>IF(Accion[[#This Row],[Precio Cierre]]=MIN(Accion[Precio Cierre]),Accion[[#This Row],[Precio Cierre]],"NA")</f>
        <v>NA</v>
      </c>
    </row>
    <row r="507" spans="1:13" hidden="1">
      <c r="A507" s="38" t="s">
        <v>90</v>
      </c>
      <c r="B507" s="34">
        <v>42886</v>
      </c>
      <c r="C507" s="35">
        <v>160557</v>
      </c>
      <c r="D507" s="35">
        <v>1862101320</v>
      </c>
      <c r="E507" s="35">
        <v>11800</v>
      </c>
      <c r="F507" s="35">
        <v>11400</v>
      </c>
      <c r="G507" s="35">
        <v>11640</v>
      </c>
      <c r="H507" s="35">
        <v>11597.76</v>
      </c>
      <c r="I507" s="35">
        <v>-0.85</v>
      </c>
      <c r="J507" s="35">
        <v>-100</v>
      </c>
      <c r="K507" s="71">
        <f>YEAR(Accion[[#This Row],[fecha]])</f>
        <v>2017</v>
      </c>
      <c r="L507" s="79" t="str">
        <f>IF(Accion[[#This Row],[Precio Cierre]]=MAX(Accion[Precio Cierre]),Accion[[#This Row],[Precio Cierre]],"NA")</f>
        <v>NA</v>
      </c>
      <c r="M507" s="79" t="str">
        <f>IF(Accion[[#This Row],[Precio Cierre]]=MIN(Accion[Precio Cierre]),Accion[[#This Row],[Precio Cierre]],"NA")</f>
        <v>NA</v>
      </c>
    </row>
    <row r="508" spans="1:13" hidden="1">
      <c r="A508" s="38" t="s">
        <v>90</v>
      </c>
      <c r="B508" s="34">
        <v>42885</v>
      </c>
      <c r="C508" s="35">
        <v>1237248</v>
      </c>
      <c r="D508" s="35">
        <v>14478428240</v>
      </c>
      <c r="E508" s="35">
        <v>11780</v>
      </c>
      <c r="F508" s="35">
        <v>11680</v>
      </c>
      <c r="G508" s="35">
        <v>11740</v>
      </c>
      <c r="H508" s="35">
        <v>11702.12</v>
      </c>
      <c r="I508" s="35">
        <v>0.51</v>
      </c>
      <c r="J508" s="35">
        <v>60</v>
      </c>
      <c r="K508" s="71">
        <f>YEAR(Accion[[#This Row],[fecha]])</f>
        <v>2017</v>
      </c>
      <c r="L508" s="79" t="str">
        <f>IF(Accion[[#This Row],[Precio Cierre]]=MAX(Accion[Precio Cierre]),Accion[[#This Row],[Precio Cierre]],"NA")</f>
        <v>NA</v>
      </c>
      <c r="M508" s="79" t="str">
        <f>IF(Accion[[#This Row],[Precio Cierre]]=MIN(Accion[Precio Cierre]),Accion[[#This Row],[Precio Cierre]],"NA")</f>
        <v>NA</v>
      </c>
    </row>
    <row r="509" spans="1:13" hidden="1">
      <c r="A509" s="38" t="s">
        <v>90</v>
      </c>
      <c r="B509" s="34">
        <v>42881</v>
      </c>
      <c r="C509" s="35">
        <v>180377</v>
      </c>
      <c r="D509" s="35">
        <v>2098829020</v>
      </c>
      <c r="E509" s="35">
        <v>11700</v>
      </c>
      <c r="F509" s="35">
        <v>11540</v>
      </c>
      <c r="G509" s="35">
        <v>11680</v>
      </c>
      <c r="H509" s="35">
        <v>11635.79</v>
      </c>
      <c r="I509" s="35">
        <v>1.04</v>
      </c>
      <c r="J509" s="35">
        <v>120</v>
      </c>
      <c r="K509" s="71">
        <f>YEAR(Accion[[#This Row],[fecha]])</f>
        <v>2017</v>
      </c>
      <c r="L509" s="79" t="str">
        <f>IF(Accion[[#This Row],[Precio Cierre]]=MAX(Accion[Precio Cierre]),Accion[[#This Row],[Precio Cierre]],"NA")</f>
        <v>NA</v>
      </c>
      <c r="M509" s="79" t="str">
        <f>IF(Accion[[#This Row],[Precio Cierre]]=MIN(Accion[Precio Cierre]),Accion[[#This Row],[Precio Cierre]],"NA")</f>
        <v>NA</v>
      </c>
    </row>
    <row r="510" spans="1:13" hidden="1">
      <c r="A510" s="38" t="s">
        <v>90</v>
      </c>
      <c r="B510" s="34">
        <v>42880</v>
      </c>
      <c r="C510" s="35">
        <v>648437</v>
      </c>
      <c r="D510" s="35">
        <v>7540335960</v>
      </c>
      <c r="E510" s="35">
        <v>11880</v>
      </c>
      <c r="F510" s="35">
        <v>11560</v>
      </c>
      <c r="G510" s="35">
        <v>11560</v>
      </c>
      <c r="H510" s="35">
        <v>11628.48</v>
      </c>
      <c r="I510" s="35">
        <v>-2.69</v>
      </c>
      <c r="J510" s="35">
        <v>-320</v>
      </c>
      <c r="K510" s="71">
        <f>YEAR(Accion[[#This Row],[fecha]])</f>
        <v>2017</v>
      </c>
      <c r="L510" s="79" t="str">
        <f>IF(Accion[[#This Row],[Precio Cierre]]=MAX(Accion[Precio Cierre]),Accion[[#This Row],[Precio Cierre]],"NA")</f>
        <v>NA</v>
      </c>
      <c r="M510" s="79" t="str">
        <f>IF(Accion[[#This Row],[Precio Cierre]]=MIN(Accion[Precio Cierre]),Accion[[#This Row],[Precio Cierre]],"NA")</f>
        <v>NA</v>
      </c>
    </row>
    <row r="511" spans="1:13" hidden="1">
      <c r="A511" s="38" t="s">
        <v>90</v>
      </c>
      <c r="B511" s="34">
        <v>42879</v>
      </c>
      <c r="C511" s="35">
        <v>919764</v>
      </c>
      <c r="D511" s="35">
        <v>10930533760</v>
      </c>
      <c r="E511" s="35">
        <v>11980</v>
      </c>
      <c r="F511" s="35">
        <v>11660</v>
      </c>
      <c r="G511" s="35">
        <v>11880</v>
      </c>
      <c r="H511" s="35">
        <v>11884.06</v>
      </c>
      <c r="I511" s="35">
        <v>0</v>
      </c>
      <c r="J511" s="35">
        <v>0</v>
      </c>
      <c r="K511" s="71">
        <f>YEAR(Accion[[#This Row],[fecha]])</f>
        <v>2017</v>
      </c>
      <c r="L511" s="79" t="str">
        <f>IF(Accion[[#This Row],[Precio Cierre]]=MAX(Accion[Precio Cierre]),Accion[[#This Row],[Precio Cierre]],"NA")</f>
        <v>NA</v>
      </c>
      <c r="M511" s="79" t="str">
        <f>IF(Accion[[#This Row],[Precio Cierre]]=MIN(Accion[Precio Cierre]),Accion[[#This Row],[Precio Cierre]],"NA")</f>
        <v>NA</v>
      </c>
    </row>
    <row r="512" spans="1:13" hidden="1">
      <c r="A512" s="38" t="s">
        <v>90</v>
      </c>
      <c r="B512" s="34">
        <v>42878</v>
      </c>
      <c r="C512" s="35">
        <v>410744</v>
      </c>
      <c r="D512" s="35">
        <v>4901698360</v>
      </c>
      <c r="E512" s="35">
        <v>12000</v>
      </c>
      <c r="F512" s="35">
        <v>11840</v>
      </c>
      <c r="G512" s="35">
        <v>11880</v>
      </c>
      <c r="H512" s="35">
        <v>11933.71</v>
      </c>
      <c r="I512" s="35">
        <v>-0.17</v>
      </c>
      <c r="J512" s="35">
        <v>-20</v>
      </c>
      <c r="K512" s="71">
        <f>YEAR(Accion[[#This Row],[fecha]])</f>
        <v>2017</v>
      </c>
      <c r="L512" s="79" t="str">
        <f>IF(Accion[[#This Row],[Precio Cierre]]=MAX(Accion[Precio Cierre]),Accion[[#This Row],[Precio Cierre]],"NA")</f>
        <v>NA</v>
      </c>
      <c r="M512" s="79" t="str">
        <f>IF(Accion[[#This Row],[Precio Cierre]]=MIN(Accion[Precio Cierre]),Accion[[#This Row],[Precio Cierre]],"NA")</f>
        <v>NA</v>
      </c>
    </row>
    <row r="513" spans="1:13" hidden="1">
      <c r="A513" s="38" t="s">
        <v>90</v>
      </c>
      <c r="B513" s="34">
        <v>42877</v>
      </c>
      <c r="C513" s="35">
        <v>1397729</v>
      </c>
      <c r="D513" s="35">
        <v>16641218120</v>
      </c>
      <c r="E513" s="35">
        <v>12020</v>
      </c>
      <c r="F513" s="35">
        <v>11840</v>
      </c>
      <c r="G513" s="35">
        <v>11900</v>
      </c>
      <c r="H513" s="35">
        <v>11905.9</v>
      </c>
      <c r="I513" s="35">
        <v>-0.83</v>
      </c>
      <c r="J513" s="35">
        <v>-100</v>
      </c>
      <c r="K513" s="71">
        <f>YEAR(Accion[[#This Row],[fecha]])</f>
        <v>2017</v>
      </c>
      <c r="L513" s="79" t="str">
        <f>IF(Accion[[#This Row],[Precio Cierre]]=MAX(Accion[Precio Cierre]),Accion[[#This Row],[Precio Cierre]],"NA")</f>
        <v>NA</v>
      </c>
      <c r="M513" s="79" t="str">
        <f>IF(Accion[[#This Row],[Precio Cierre]]=MIN(Accion[Precio Cierre]),Accion[[#This Row],[Precio Cierre]],"NA")</f>
        <v>NA</v>
      </c>
    </row>
    <row r="514" spans="1:13" hidden="1">
      <c r="A514" s="38" t="s">
        <v>90</v>
      </c>
      <c r="B514" s="34">
        <v>42874</v>
      </c>
      <c r="C514" s="35">
        <v>2674754</v>
      </c>
      <c r="D514" s="35">
        <v>32098879140</v>
      </c>
      <c r="E514" s="35">
        <v>12100</v>
      </c>
      <c r="F514" s="35">
        <v>11920</v>
      </c>
      <c r="G514" s="35">
        <v>12000</v>
      </c>
      <c r="H514" s="35">
        <v>12000.68</v>
      </c>
      <c r="I514" s="35">
        <v>1.69</v>
      </c>
      <c r="J514" s="35">
        <v>200</v>
      </c>
      <c r="K514" s="71">
        <f>YEAR(Accion[[#This Row],[fecha]])</f>
        <v>2017</v>
      </c>
      <c r="L514" s="79" t="str">
        <f>IF(Accion[[#This Row],[Precio Cierre]]=MAX(Accion[Precio Cierre]),Accion[[#This Row],[Precio Cierre]],"NA")</f>
        <v>NA</v>
      </c>
      <c r="M514" s="79" t="str">
        <f>IF(Accion[[#This Row],[Precio Cierre]]=MIN(Accion[Precio Cierre]),Accion[[#This Row],[Precio Cierre]],"NA")</f>
        <v>NA</v>
      </c>
    </row>
    <row r="515" spans="1:13" hidden="1">
      <c r="A515" s="38" t="s">
        <v>90</v>
      </c>
      <c r="B515" s="34">
        <v>42873</v>
      </c>
      <c r="C515" s="35">
        <v>1260278</v>
      </c>
      <c r="D515" s="35">
        <v>14887078960</v>
      </c>
      <c r="E515" s="35">
        <v>11980</v>
      </c>
      <c r="F515" s="35">
        <v>11660</v>
      </c>
      <c r="G515" s="35">
        <v>11800</v>
      </c>
      <c r="H515" s="35">
        <v>11812.54</v>
      </c>
      <c r="I515" s="35">
        <v>0.34</v>
      </c>
      <c r="J515" s="35">
        <v>40</v>
      </c>
      <c r="K515" s="71">
        <f>YEAR(Accion[[#This Row],[fecha]])</f>
        <v>2017</v>
      </c>
      <c r="L515" s="79" t="str">
        <f>IF(Accion[[#This Row],[Precio Cierre]]=MAX(Accion[Precio Cierre]),Accion[[#This Row],[Precio Cierre]],"NA")</f>
        <v>NA</v>
      </c>
      <c r="M515" s="79" t="str">
        <f>IF(Accion[[#This Row],[Precio Cierre]]=MIN(Accion[Precio Cierre]),Accion[[#This Row],[Precio Cierre]],"NA")</f>
        <v>NA</v>
      </c>
    </row>
    <row r="516" spans="1:13" hidden="1">
      <c r="A516" s="38" t="s">
        <v>90</v>
      </c>
      <c r="B516" s="34">
        <v>42872</v>
      </c>
      <c r="C516" s="35">
        <v>210164</v>
      </c>
      <c r="D516" s="35">
        <v>2460733600</v>
      </c>
      <c r="E516" s="35">
        <v>11780</v>
      </c>
      <c r="F516" s="35">
        <v>11520</v>
      </c>
      <c r="G516" s="35">
        <v>11760</v>
      </c>
      <c r="H516" s="35">
        <v>11708.64</v>
      </c>
      <c r="I516" s="35">
        <v>1.38</v>
      </c>
      <c r="J516" s="35">
        <v>160</v>
      </c>
      <c r="K516" s="71">
        <f>YEAR(Accion[[#This Row],[fecha]])</f>
        <v>2017</v>
      </c>
      <c r="L516" s="79" t="str">
        <f>IF(Accion[[#This Row],[Precio Cierre]]=MAX(Accion[Precio Cierre]),Accion[[#This Row],[Precio Cierre]],"NA")</f>
        <v>NA</v>
      </c>
      <c r="M516" s="79" t="str">
        <f>IF(Accion[[#This Row],[Precio Cierre]]=MIN(Accion[Precio Cierre]),Accion[[#This Row],[Precio Cierre]],"NA")</f>
        <v>NA</v>
      </c>
    </row>
    <row r="517" spans="1:13" hidden="1">
      <c r="A517" s="38" t="s">
        <v>90</v>
      </c>
      <c r="B517" s="34">
        <v>42871</v>
      </c>
      <c r="C517" s="35">
        <v>293407</v>
      </c>
      <c r="D517" s="35">
        <v>3390870620</v>
      </c>
      <c r="E517" s="35">
        <v>11660</v>
      </c>
      <c r="F517" s="35">
        <v>11320</v>
      </c>
      <c r="G517" s="35">
        <v>11600</v>
      </c>
      <c r="H517" s="35">
        <v>11556.88</v>
      </c>
      <c r="I517" s="35">
        <v>-0.17</v>
      </c>
      <c r="J517" s="35">
        <v>-20</v>
      </c>
      <c r="K517" s="71">
        <f>YEAR(Accion[[#This Row],[fecha]])</f>
        <v>2017</v>
      </c>
      <c r="L517" s="79" t="str">
        <f>IF(Accion[[#This Row],[Precio Cierre]]=MAX(Accion[Precio Cierre]),Accion[[#This Row],[Precio Cierre]],"NA")</f>
        <v>NA</v>
      </c>
      <c r="M517" s="79" t="str">
        <f>IF(Accion[[#This Row],[Precio Cierre]]=MIN(Accion[Precio Cierre]),Accion[[#This Row],[Precio Cierre]],"NA")</f>
        <v>NA</v>
      </c>
    </row>
    <row r="518" spans="1:13" hidden="1">
      <c r="A518" s="38" t="s">
        <v>90</v>
      </c>
      <c r="B518" s="34">
        <v>42870</v>
      </c>
      <c r="C518" s="35">
        <v>1052636</v>
      </c>
      <c r="D518" s="35">
        <v>12258125500</v>
      </c>
      <c r="E518" s="35">
        <v>11760</v>
      </c>
      <c r="F518" s="35">
        <v>11500</v>
      </c>
      <c r="G518" s="35">
        <v>11620</v>
      </c>
      <c r="H518" s="35">
        <v>11645.17</v>
      </c>
      <c r="I518" s="35">
        <v>1.04</v>
      </c>
      <c r="J518" s="35">
        <v>120</v>
      </c>
      <c r="K518" s="71">
        <f>YEAR(Accion[[#This Row],[fecha]])</f>
        <v>2017</v>
      </c>
      <c r="L518" s="79" t="str">
        <f>IF(Accion[[#This Row],[Precio Cierre]]=MAX(Accion[Precio Cierre]),Accion[[#This Row],[Precio Cierre]],"NA")</f>
        <v>NA</v>
      </c>
      <c r="M518" s="79" t="str">
        <f>IF(Accion[[#This Row],[Precio Cierre]]=MIN(Accion[Precio Cierre]),Accion[[#This Row],[Precio Cierre]],"NA")</f>
        <v>NA</v>
      </c>
    </row>
    <row r="519" spans="1:13" hidden="1">
      <c r="A519" s="38" t="s">
        <v>90</v>
      </c>
      <c r="B519" s="34">
        <v>42867</v>
      </c>
      <c r="C519" s="35">
        <v>601634</v>
      </c>
      <c r="D519" s="35">
        <v>6867137320</v>
      </c>
      <c r="E519" s="35">
        <v>11520</v>
      </c>
      <c r="F519" s="35">
        <v>11220</v>
      </c>
      <c r="G519" s="35">
        <v>11500</v>
      </c>
      <c r="H519" s="35">
        <v>11414.14</v>
      </c>
      <c r="I519" s="35">
        <v>2.13</v>
      </c>
      <c r="J519" s="35">
        <v>240</v>
      </c>
      <c r="K519" s="71">
        <f>YEAR(Accion[[#This Row],[fecha]])</f>
        <v>2017</v>
      </c>
      <c r="L519" s="79" t="str">
        <f>IF(Accion[[#This Row],[Precio Cierre]]=MAX(Accion[Precio Cierre]),Accion[[#This Row],[Precio Cierre]],"NA")</f>
        <v>NA</v>
      </c>
      <c r="M519" s="79" t="str">
        <f>IF(Accion[[#This Row],[Precio Cierre]]=MIN(Accion[Precio Cierre]),Accion[[#This Row],[Precio Cierre]],"NA")</f>
        <v>NA</v>
      </c>
    </row>
    <row r="520" spans="1:13" hidden="1">
      <c r="A520" s="38" t="s">
        <v>90</v>
      </c>
      <c r="B520" s="34">
        <v>42866</v>
      </c>
      <c r="C520" s="35">
        <v>417696</v>
      </c>
      <c r="D520" s="35">
        <v>4693792840</v>
      </c>
      <c r="E520" s="35">
        <v>11360</v>
      </c>
      <c r="F520" s="35">
        <v>11200</v>
      </c>
      <c r="G520" s="35">
        <v>11260</v>
      </c>
      <c r="H520" s="35">
        <v>11237.34</v>
      </c>
      <c r="I520" s="35">
        <v>-0.18</v>
      </c>
      <c r="J520" s="35">
        <v>-20</v>
      </c>
      <c r="K520" s="71">
        <f>YEAR(Accion[[#This Row],[fecha]])</f>
        <v>2017</v>
      </c>
      <c r="L520" s="79" t="str">
        <f>IF(Accion[[#This Row],[Precio Cierre]]=MAX(Accion[Precio Cierre]),Accion[[#This Row],[Precio Cierre]],"NA")</f>
        <v>NA</v>
      </c>
      <c r="M520" s="79" t="str">
        <f>IF(Accion[[#This Row],[Precio Cierre]]=MIN(Accion[Precio Cierre]),Accion[[#This Row],[Precio Cierre]],"NA")</f>
        <v>NA</v>
      </c>
    </row>
    <row r="521" spans="1:13" hidden="1">
      <c r="A521" s="38" t="s">
        <v>90</v>
      </c>
      <c r="B521" s="34">
        <v>42865</v>
      </c>
      <c r="C521" s="35">
        <v>247209</v>
      </c>
      <c r="D521" s="35">
        <v>2791435060</v>
      </c>
      <c r="E521" s="35">
        <v>11400</v>
      </c>
      <c r="F521" s="35">
        <v>11180</v>
      </c>
      <c r="G521" s="35">
        <v>11280</v>
      </c>
      <c r="H521" s="35">
        <v>11291.8</v>
      </c>
      <c r="I521" s="35">
        <v>-0.18</v>
      </c>
      <c r="J521" s="35">
        <v>-20</v>
      </c>
      <c r="K521" s="71">
        <f>YEAR(Accion[[#This Row],[fecha]])</f>
        <v>2017</v>
      </c>
      <c r="L521" s="79" t="str">
        <f>IF(Accion[[#This Row],[Precio Cierre]]=MAX(Accion[Precio Cierre]),Accion[[#This Row],[Precio Cierre]],"NA")</f>
        <v>NA</v>
      </c>
      <c r="M521" s="79" t="str">
        <f>IF(Accion[[#This Row],[Precio Cierre]]=MIN(Accion[Precio Cierre]),Accion[[#This Row],[Precio Cierre]],"NA")</f>
        <v>NA</v>
      </c>
    </row>
    <row r="522" spans="1:13" hidden="1">
      <c r="A522" s="38" t="s">
        <v>90</v>
      </c>
      <c r="B522" s="34">
        <v>42864</v>
      </c>
      <c r="C522" s="35">
        <v>386358</v>
      </c>
      <c r="D522" s="35">
        <v>4340699060</v>
      </c>
      <c r="E522" s="35">
        <v>11340</v>
      </c>
      <c r="F522" s="35">
        <v>11120</v>
      </c>
      <c r="G522" s="35">
        <v>11300</v>
      </c>
      <c r="H522" s="35">
        <v>11234.91</v>
      </c>
      <c r="I522" s="35">
        <v>1.99</v>
      </c>
      <c r="J522" s="35">
        <v>220</v>
      </c>
      <c r="K522" s="71">
        <f>YEAR(Accion[[#This Row],[fecha]])</f>
        <v>2017</v>
      </c>
      <c r="L522" s="79" t="str">
        <f>IF(Accion[[#This Row],[Precio Cierre]]=MAX(Accion[Precio Cierre]),Accion[[#This Row],[Precio Cierre]],"NA")</f>
        <v>NA</v>
      </c>
      <c r="M522" s="79" t="str">
        <f>IF(Accion[[#This Row],[Precio Cierre]]=MIN(Accion[Precio Cierre]),Accion[[#This Row],[Precio Cierre]],"NA")</f>
        <v>NA</v>
      </c>
    </row>
    <row r="523" spans="1:13" hidden="1">
      <c r="A523" s="38" t="s">
        <v>90</v>
      </c>
      <c r="B523" s="34">
        <v>42863</v>
      </c>
      <c r="C523" s="35">
        <v>528408</v>
      </c>
      <c r="D523" s="35">
        <v>5795054300</v>
      </c>
      <c r="E523" s="35">
        <v>11100</v>
      </c>
      <c r="F523" s="35">
        <v>10880</v>
      </c>
      <c r="G523" s="35">
        <v>11080</v>
      </c>
      <c r="H523" s="35">
        <v>10967.01</v>
      </c>
      <c r="I523" s="35">
        <v>2.0299999999999998</v>
      </c>
      <c r="J523" s="35">
        <v>220</v>
      </c>
      <c r="K523" s="71">
        <f>YEAR(Accion[[#This Row],[fecha]])</f>
        <v>2017</v>
      </c>
      <c r="L523" s="79" t="str">
        <f>IF(Accion[[#This Row],[Precio Cierre]]=MAX(Accion[Precio Cierre]),Accion[[#This Row],[Precio Cierre]],"NA")</f>
        <v>NA</v>
      </c>
      <c r="M523" s="79" t="str">
        <f>IF(Accion[[#This Row],[Precio Cierre]]=MIN(Accion[Precio Cierre]),Accion[[#This Row],[Precio Cierre]],"NA")</f>
        <v>NA</v>
      </c>
    </row>
    <row r="524" spans="1:13" hidden="1">
      <c r="A524" s="38" t="s">
        <v>90</v>
      </c>
      <c r="B524" s="34">
        <v>42860</v>
      </c>
      <c r="C524" s="35">
        <v>69408</v>
      </c>
      <c r="D524" s="35">
        <v>754015280</v>
      </c>
      <c r="E524" s="35">
        <v>10880</v>
      </c>
      <c r="F524" s="35">
        <v>10820</v>
      </c>
      <c r="G524" s="35">
        <v>10860</v>
      </c>
      <c r="H524" s="35">
        <v>10863.52</v>
      </c>
      <c r="I524" s="35">
        <v>0.18</v>
      </c>
      <c r="J524" s="35">
        <v>20</v>
      </c>
      <c r="K524" s="71">
        <f>YEAR(Accion[[#This Row],[fecha]])</f>
        <v>2017</v>
      </c>
      <c r="L524" s="79" t="str">
        <f>IF(Accion[[#This Row],[Precio Cierre]]=MAX(Accion[Precio Cierre]),Accion[[#This Row],[Precio Cierre]],"NA")</f>
        <v>NA</v>
      </c>
      <c r="M524" s="79" t="str">
        <f>IF(Accion[[#This Row],[Precio Cierre]]=MIN(Accion[Precio Cierre]),Accion[[#This Row],[Precio Cierre]],"NA")</f>
        <v>NA</v>
      </c>
    </row>
    <row r="525" spans="1:13" hidden="1">
      <c r="A525" s="38" t="s">
        <v>90</v>
      </c>
      <c r="B525" s="34">
        <v>42859</v>
      </c>
      <c r="C525" s="35">
        <v>47435</v>
      </c>
      <c r="D525" s="35">
        <v>511835340</v>
      </c>
      <c r="E525" s="35">
        <v>10840</v>
      </c>
      <c r="F525" s="35">
        <v>10740</v>
      </c>
      <c r="G525" s="35">
        <v>10840</v>
      </c>
      <c r="H525" s="35">
        <v>10790.25</v>
      </c>
      <c r="I525" s="35">
        <v>1.1200000000000001</v>
      </c>
      <c r="J525" s="35">
        <v>120</v>
      </c>
      <c r="K525" s="71">
        <f>YEAR(Accion[[#This Row],[fecha]])</f>
        <v>2017</v>
      </c>
      <c r="L525" s="79" t="str">
        <f>IF(Accion[[#This Row],[Precio Cierre]]=MAX(Accion[Precio Cierre]),Accion[[#This Row],[Precio Cierre]],"NA")</f>
        <v>NA</v>
      </c>
      <c r="M525" s="79" t="str">
        <f>IF(Accion[[#This Row],[Precio Cierre]]=MIN(Accion[Precio Cierre]),Accion[[#This Row],[Precio Cierre]],"NA")</f>
        <v>NA</v>
      </c>
    </row>
    <row r="526" spans="1:13" hidden="1">
      <c r="A526" s="38" t="s">
        <v>90</v>
      </c>
      <c r="B526" s="34">
        <v>42858</v>
      </c>
      <c r="C526" s="35">
        <v>26165</v>
      </c>
      <c r="D526" s="35">
        <v>279478060</v>
      </c>
      <c r="E526" s="35">
        <v>10740</v>
      </c>
      <c r="F526" s="35">
        <v>10660</v>
      </c>
      <c r="G526" s="35">
        <v>10720</v>
      </c>
      <c r="H526" s="35">
        <v>10681.37</v>
      </c>
      <c r="I526" s="35">
        <v>-0.19</v>
      </c>
      <c r="J526" s="35">
        <v>-20</v>
      </c>
      <c r="K526" s="71">
        <f>YEAR(Accion[[#This Row],[fecha]])</f>
        <v>2017</v>
      </c>
      <c r="L526" s="79" t="str">
        <f>IF(Accion[[#This Row],[Precio Cierre]]=MAX(Accion[Precio Cierre]),Accion[[#This Row],[Precio Cierre]],"NA")</f>
        <v>NA</v>
      </c>
      <c r="M526" s="79" t="str">
        <f>IF(Accion[[#This Row],[Precio Cierre]]=MIN(Accion[Precio Cierre]),Accion[[#This Row],[Precio Cierre]],"NA")</f>
        <v>NA</v>
      </c>
    </row>
    <row r="527" spans="1:13" hidden="1">
      <c r="A527" s="38" t="s">
        <v>90</v>
      </c>
      <c r="B527" s="34">
        <v>42857</v>
      </c>
      <c r="C527" s="35">
        <v>283369</v>
      </c>
      <c r="D527" s="35">
        <v>3057953860</v>
      </c>
      <c r="E527" s="35">
        <v>10820</v>
      </c>
      <c r="F527" s="35">
        <v>10700</v>
      </c>
      <c r="G527" s="35">
        <v>10740</v>
      </c>
      <c r="H527" s="35">
        <v>10791.42</v>
      </c>
      <c r="I527" s="35">
        <v>0</v>
      </c>
      <c r="J527" s="35">
        <v>0</v>
      </c>
      <c r="K527" s="71">
        <f>YEAR(Accion[[#This Row],[fecha]])</f>
        <v>2017</v>
      </c>
      <c r="L527" s="79" t="str">
        <f>IF(Accion[[#This Row],[Precio Cierre]]=MAX(Accion[Precio Cierre]),Accion[[#This Row],[Precio Cierre]],"NA")</f>
        <v>NA</v>
      </c>
      <c r="M527" s="79" t="str">
        <f>IF(Accion[[#This Row],[Precio Cierre]]=MIN(Accion[Precio Cierre]),Accion[[#This Row],[Precio Cierre]],"NA")</f>
        <v>NA</v>
      </c>
    </row>
    <row r="528" spans="1:13" hidden="1">
      <c r="A528" s="38" t="s">
        <v>90</v>
      </c>
      <c r="B528" s="34">
        <v>42853</v>
      </c>
      <c r="C528" s="35">
        <v>202966</v>
      </c>
      <c r="D528" s="35">
        <v>2176624180</v>
      </c>
      <c r="E528" s="35">
        <v>10780</v>
      </c>
      <c r="F528" s="35">
        <v>10640</v>
      </c>
      <c r="G528" s="35">
        <v>10740</v>
      </c>
      <c r="H528" s="35">
        <v>10724.08</v>
      </c>
      <c r="I528" s="35">
        <v>0.37</v>
      </c>
      <c r="J528" s="35">
        <v>40</v>
      </c>
      <c r="K528" s="71">
        <f>YEAR(Accion[[#This Row],[fecha]])</f>
        <v>2017</v>
      </c>
      <c r="L528" s="79" t="str">
        <f>IF(Accion[[#This Row],[Precio Cierre]]=MAX(Accion[Precio Cierre]),Accion[[#This Row],[Precio Cierre]],"NA")</f>
        <v>NA</v>
      </c>
      <c r="M528" s="79" t="str">
        <f>IF(Accion[[#This Row],[Precio Cierre]]=MIN(Accion[Precio Cierre]),Accion[[#This Row],[Precio Cierre]],"NA")</f>
        <v>NA</v>
      </c>
    </row>
    <row r="529" spans="1:13" hidden="1">
      <c r="A529" s="38" t="s">
        <v>90</v>
      </c>
      <c r="B529" s="34">
        <v>42852</v>
      </c>
      <c r="C529" s="35">
        <v>148639</v>
      </c>
      <c r="D529" s="35">
        <v>1587982780</v>
      </c>
      <c r="E529" s="35">
        <v>10800</v>
      </c>
      <c r="F529" s="35">
        <v>10600</v>
      </c>
      <c r="G529" s="35">
        <v>10700</v>
      </c>
      <c r="H529" s="35">
        <v>10683.49</v>
      </c>
      <c r="I529" s="35">
        <v>0.38</v>
      </c>
      <c r="J529" s="35">
        <v>40</v>
      </c>
      <c r="K529" s="71">
        <f>YEAR(Accion[[#This Row],[fecha]])</f>
        <v>2017</v>
      </c>
      <c r="L529" s="79" t="str">
        <f>IF(Accion[[#This Row],[Precio Cierre]]=MAX(Accion[Precio Cierre]),Accion[[#This Row],[Precio Cierre]],"NA")</f>
        <v>NA</v>
      </c>
      <c r="M529" s="79" t="str">
        <f>IF(Accion[[#This Row],[Precio Cierre]]=MIN(Accion[Precio Cierre]),Accion[[#This Row],[Precio Cierre]],"NA")</f>
        <v>NA</v>
      </c>
    </row>
    <row r="530" spans="1:13" hidden="1">
      <c r="A530" s="38" t="s">
        <v>90</v>
      </c>
      <c r="B530" s="34">
        <v>42851</v>
      </c>
      <c r="C530" s="35">
        <v>78248</v>
      </c>
      <c r="D530" s="35">
        <v>832210400</v>
      </c>
      <c r="E530" s="35">
        <v>10660</v>
      </c>
      <c r="F530" s="35">
        <v>10580</v>
      </c>
      <c r="G530" s="35">
        <v>10660</v>
      </c>
      <c r="H530" s="35">
        <v>10635.55</v>
      </c>
      <c r="I530" s="35">
        <v>-0.19</v>
      </c>
      <c r="J530" s="35">
        <v>-20</v>
      </c>
      <c r="K530" s="71">
        <f>YEAR(Accion[[#This Row],[fecha]])</f>
        <v>2017</v>
      </c>
      <c r="L530" s="79" t="str">
        <f>IF(Accion[[#This Row],[Precio Cierre]]=MAX(Accion[Precio Cierre]),Accion[[#This Row],[Precio Cierre]],"NA")</f>
        <v>NA</v>
      </c>
      <c r="M530" s="79" t="str">
        <f>IF(Accion[[#This Row],[Precio Cierre]]=MIN(Accion[Precio Cierre]),Accion[[#This Row],[Precio Cierre]],"NA")</f>
        <v>NA</v>
      </c>
    </row>
    <row r="531" spans="1:13" hidden="1">
      <c r="A531" s="38" t="s">
        <v>90</v>
      </c>
      <c r="B531" s="34">
        <v>42850</v>
      </c>
      <c r="C531" s="35">
        <v>233687</v>
      </c>
      <c r="D531" s="35">
        <v>2497856000</v>
      </c>
      <c r="E531" s="35">
        <v>10720</v>
      </c>
      <c r="F531" s="35">
        <v>10600</v>
      </c>
      <c r="G531" s="35">
        <v>10680</v>
      </c>
      <c r="H531" s="35">
        <v>10688.9</v>
      </c>
      <c r="I531" s="35">
        <v>0.38</v>
      </c>
      <c r="J531" s="35">
        <v>40</v>
      </c>
      <c r="K531" s="71">
        <f>YEAR(Accion[[#This Row],[fecha]])</f>
        <v>2017</v>
      </c>
      <c r="L531" s="79" t="str">
        <f>IF(Accion[[#This Row],[Precio Cierre]]=MAX(Accion[Precio Cierre]),Accion[[#This Row],[Precio Cierre]],"NA")</f>
        <v>NA</v>
      </c>
      <c r="M531" s="79" t="str">
        <f>IF(Accion[[#This Row],[Precio Cierre]]=MIN(Accion[Precio Cierre]),Accion[[#This Row],[Precio Cierre]],"NA")</f>
        <v>NA</v>
      </c>
    </row>
    <row r="532" spans="1:13" hidden="1">
      <c r="A532" s="38" t="s">
        <v>90</v>
      </c>
      <c r="B532" s="34">
        <v>42849</v>
      </c>
      <c r="C532" s="35">
        <v>59583</v>
      </c>
      <c r="D532" s="35">
        <v>631256480</v>
      </c>
      <c r="E532" s="35">
        <v>10640</v>
      </c>
      <c r="F532" s="35">
        <v>10500</v>
      </c>
      <c r="G532" s="35">
        <v>10640</v>
      </c>
      <c r="H532" s="35">
        <v>10594.57</v>
      </c>
      <c r="I532" s="35">
        <v>0</v>
      </c>
      <c r="J532" s="35">
        <v>0</v>
      </c>
      <c r="K532" s="71">
        <f>YEAR(Accion[[#This Row],[fecha]])</f>
        <v>2017</v>
      </c>
      <c r="L532" s="79" t="str">
        <f>IF(Accion[[#This Row],[Precio Cierre]]=MAX(Accion[Precio Cierre]),Accion[[#This Row],[Precio Cierre]],"NA")</f>
        <v>NA</v>
      </c>
      <c r="M532" s="79" t="str">
        <f>IF(Accion[[#This Row],[Precio Cierre]]=MIN(Accion[Precio Cierre]),Accion[[#This Row],[Precio Cierre]],"NA")</f>
        <v>NA</v>
      </c>
    </row>
    <row r="533" spans="1:13" hidden="1">
      <c r="A533" s="38" t="s">
        <v>90</v>
      </c>
      <c r="B533" s="34">
        <v>42846</v>
      </c>
      <c r="C533" s="35">
        <v>22664</v>
      </c>
      <c r="D533" s="35">
        <v>241468320</v>
      </c>
      <c r="E533" s="35">
        <v>10720</v>
      </c>
      <c r="F533" s="35">
        <v>10640</v>
      </c>
      <c r="G533" s="35">
        <v>10640</v>
      </c>
      <c r="H533" s="35">
        <v>10654.27</v>
      </c>
      <c r="I533" s="35">
        <v>-0.93</v>
      </c>
      <c r="J533" s="35">
        <v>-100</v>
      </c>
      <c r="K533" s="71">
        <f>YEAR(Accion[[#This Row],[fecha]])</f>
        <v>2017</v>
      </c>
      <c r="L533" s="79" t="str">
        <f>IF(Accion[[#This Row],[Precio Cierre]]=MAX(Accion[Precio Cierre]),Accion[[#This Row],[Precio Cierre]],"NA")</f>
        <v>NA</v>
      </c>
      <c r="M533" s="79" t="str">
        <f>IF(Accion[[#This Row],[Precio Cierre]]=MIN(Accion[Precio Cierre]),Accion[[#This Row],[Precio Cierre]],"NA")</f>
        <v>NA</v>
      </c>
    </row>
    <row r="534" spans="1:13" hidden="1">
      <c r="A534" s="38" t="s">
        <v>90</v>
      </c>
      <c r="B534" s="34">
        <v>42845</v>
      </c>
      <c r="C534" s="35">
        <v>169559</v>
      </c>
      <c r="D534" s="35">
        <v>1823453360</v>
      </c>
      <c r="E534" s="35">
        <v>10800</v>
      </c>
      <c r="F534" s="35">
        <v>10700</v>
      </c>
      <c r="G534" s="35">
        <v>10740</v>
      </c>
      <c r="H534" s="35">
        <v>10754.09</v>
      </c>
      <c r="I534" s="35">
        <v>-0.37</v>
      </c>
      <c r="J534" s="35">
        <v>-40</v>
      </c>
      <c r="K534" s="71">
        <f>YEAR(Accion[[#This Row],[fecha]])</f>
        <v>2017</v>
      </c>
      <c r="L534" s="79" t="str">
        <f>IF(Accion[[#This Row],[Precio Cierre]]=MAX(Accion[Precio Cierre]),Accion[[#This Row],[Precio Cierre]],"NA")</f>
        <v>NA</v>
      </c>
      <c r="M534" s="79" t="str">
        <f>IF(Accion[[#This Row],[Precio Cierre]]=MIN(Accion[Precio Cierre]),Accion[[#This Row],[Precio Cierre]],"NA")</f>
        <v>NA</v>
      </c>
    </row>
    <row r="535" spans="1:13" hidden="1">
      <c r="A535" s="38" t="s">
        <v>90</v>
      </c>
      <c r="B535" s="34">
        <v>42844</v>
      </c>
      <c r="C535" s="35">
        <v>41588</v>
      </c>
      <c r="D535" s="35">
        <v>445304660</v>
      </c>
      <c r="E535" s="35">
        <v>10780</v>
      </c>
      <c r="F535" s="35">
        <v>10680</v>
      </c>
      <c r="G535" s="35">
        <v>10780</v>
      </c>
      <c r="H535" s="35">
        <v>10707.53</v>
      </c>
      <c r="I535" s="35">
        <v>0.75</v>
      </c>
      <c r="J535" s="35">
        <v>80</v>
      </c>
      <c r="K535" s="71">
        <f>YEAR(Accion[[#This Row],[fecha]])</f>
        <v>2017</v>
      </c>
      <c r="L535" s="79" t="str">
        <f>IF(Accion[[#This Row],[Precio Cierre]]=MAX(Accion[Precio Cierre]),Accion[[#This Row],[Precio Cierre]],"NA")</f>
        <v>NA</v>
      </c>
      <c r="M535" s="79" t="str">
        <f>IF(Accion[[#This Row],[Precio Cierre]]=MIN(Accion[Precio Cierre]),Accion[[#This Row],[Precio Cierre]],"NA")</f>
        <v>NA</v>
      </c>
    </row>
    <row r="536" spans="1:13" hidden="1">
      <c r="A536" s="38" t="s">
        <v>90</v>
      </c>
      <c r="B536" s="34">
        <v>42843</v>
      </c>
      <c r="C536" s="35">
        <v>20372</v>
      </c>
      <c r="D536" s="35">
        <v>218015500</v>
      </c>
      <c r="E536" s="35">
        <v>10720</v>
      </c>
      <c r="F536" s="35">
        <v>10660</v>
      </c>
      <c r="G536" s="35">
        <v>10700</v>
      </c>
      <c r="H536" s="35">
        <v>10701.72</v>
      </c>
      <c r="I536" s="35">
        <v>0.56000000000000005</v>
      </c>
      <c r="J536" s="35">
        <v>60</v>
      </c>
      <c r="K536" s="71">
        <f>YEAR(Accion[[#This Row],[fecha]])</f>
        <v>2017</v>
      </c>
      <c r="L536" s="79" t="str">
        <f>IF(Accion[[#This Row],[Precio Cierre]]=MAX(Accion[Precio Cierre]),Accion[[#This Row],[Precio Cierre]],"NA")</f>
        <v>NA</v>
      </c>
      <c r="M536" s="79" t="str">
        <f>IF(Accion[[#This Row],[Precio Cierre]]=MIN(Accion[Precio Cierre]),Accion[[#This Row],[Precio Cierre]],"NA")</f>
        <v>NA</v>
      </c>
    </row>
    <row r="537" spans="1:13" hidden="1">
      <c r="A537" s="38" t="s">
        <v>90</v>
      </c>
      <c r="B537" s="34">
        <v>42842</v>
      </c>
      <c r="C537" s="35">
        <v>65081</v>
      </c>
      <c r="D537" s="35">
        <v>693149880</v>
      </c>
      <c r="E537" s="35">
        <v>10800</v>
      </c>
      <c r="F537" s="35">
        <v>10640</v>
      </c>
      <c r="G537" s="35">
        <v>10640</v>
      </c>
      <c r="H537" s="35">
        <v>10650.57</v>
      </c>
      <c r="I537" s="35">
        <v>-0.56000000000000005</v>
      </c>
      <c r="J537" s="35">
        <v>-60</v>
      </c>
      <c r="K537" s="71">
        <f>YEAR(Accion[[#This Row],[fecha]])</f>
        <v>2017</v>
      </c>
      <c r="L537" s="79" t="str">
        <f>IF(Accion[[#This Row],[Precio Cierre]]=MAX(Accion[Precio Cierre]),Accion[[#This Row],[Precio Cierre]],"NA")</f>
        <v>NA</v>
      </c>
      <c r="M537" s="79" t="str">
        <f>IF(Accion[[#This Row],[Precio Cierre]]=MIN(Accion[Precio Cierre]),Accion[[#This Row],[Precio Cierre]],"NA")</f>
        <v>NA</v>
      </c>
    </row>
    <row r="538" spans="1:13" hidden="1">
      <c r="A538" s="38" t="s">
        <v>90</v>
      </c>
      <c r="B538" s="34">
        <v>42837</v>
      </c>
      <c r="C538" s="35">
        <v>25411</v>
      </c>
      <c r="D538" s="35">
        <v>271031600</v>
      </c>
      <c r="E538" s="35">
        <v>10700</v>
      </c>
      <c r="F538" s="35">
        <v>10620</v>
      </c>
      <c r="G538" s="35">
        <v>10700</v>
      </c>
      <c r="H538" s="35">
        <v>10665.92</v>
      </c>
      <c r="I538" s="35">
        <v>0.38</v>
      </c>
      <c r="J538" s="35">
        <v>40</v>
      </c>
      <c r="K538" s="71">
        <f>YEAR(Accion[[#This Row],[fecha]])</f>
        <v>2017</v>
      </c>
      <c r="L538" s="79" t="str">
        <f>IF(Accion[[#This Row],[Precio Cierre]]=MAX(Accion[Precio Cierre]),Accion[[#This Row],[Precio Cierre]],"NA")</f>
        <v>NA</v>
      </c>
      <c r="M538" s="79" t="str">
        <f>IF(Accion[[#This Row],[Precio Cierre]]=MIN(Accion[Precio Cierre]),Accion[[#This Row],[Precio Cierre]],"NA")</f>
        <v>NA</v>
      </c>
    </row>
    <row r="539" spans="1:13" hidden="1">
      <c r="A539" s="38" t="s">
        <v>90</v>
      </c>
      <c r="B539" s="34">
        <v>42836</v>
      </c>
      <c r="C539" s="35">
        <v>630251</v>
      </c>
      <c r="D539" s="35">
        <v>6634567420</v>
      </c>
      <c r="E539" s="35">
        <v>10680</v>
      </c>
      <c r="F539" s="35">
        <v>10500</v>
      </c>
      <c r="G539" s="35">
        <v>10660</v>
      </c>
      <c r="H539" s="35">
        <v>10526.87</v>
      </c>
      <c r="I539" s="35">
        <v>-0.19</v>
      </c>
      <c r="J539" s="35">
        <v>-20</v>
      </c>
      <c r="K539" s="71">
        <f>YEAR(Accion[[#This Row],[fecha]])</f>
        <v>2017</v>
      </c>
      <c r="L539" s="79" t="str">
        <f>IF(Accion[[#This Row],[Precio Cierre]]=MAX(Accion[Precio Cierre]),Accion[[#This Row],[Precio Cierre]],"NA")</f>
        <v>NA</v>
      </c>
      <c r="M539" s="79" t="str">
        <f>IF(Accion[[#This Row],[Precio Cierre]]=MIN(Accion[Precio Cierre]),Accion[[#This Row],[Precio Cierre]],"NA")</f>
        <v>NA</v>
      </c>
    </row>
    <row r="540" spans="1:13" hidden="1">
      <c r="A540" s="38" t="s">
        <v>90</v>
      </c>
      <c r="B540" s="34">
        <v>42835</v>
      </c>
      <c r="C540" s="35">
        <v>330957</v>
      </c>
      <c r="D540" s="35">
        <v>3538023840</v>
      </c>
      <c r="E540" s="35">
        <v>10720</v>
      </c>
      <c r="F540" s="35">
        <v>10640</v>
      </c>
      <c r="G540" s="35">
        <v>10680</v>
      </c>
      <c r="H540" s="35">
        <v>10690.28</v>
      </c>
      <c r="I540" s="35">
        <v>-0.93</v>
      </c>
      <c r="J540" s="35">
        <v>-100</v>
      </c>
      <c r="K540" s="71">
        <f>YEAR(Accion[[#This Row],[fecha]])</f>
        <v>2017</v>
      </c>
      <c r="L540" s="79" t="str">
        <f>IF(Accion[[#This Row],[Precio Cierre]]=MAX(Accion[Precio Cierre]),Accion[[#This Row],[Precio Cierre]],"NA")</f>
        <v>NA</v>
      </c>
      <c r="M540" s="79" t="str">
        <f>IF(Accion[[#This Row],[Precio Cierre]]=MIN(Accion[Precio Cierre]),Accion[[#This Row],[Precio Cierre]],"NA")</f>
        <v>NA</v>
      </c>
    </row>
    <row r="541" spans="1:13" hidden="1">
      <c r="A541" s="38" t="s">
        <v>90</v>
      </c>
      <c r="B541" s="34">
        <v>42832</v>
      </c>
      <c r="C541" s="35">
        <v>79964</v>
      </c>
      <c r="D541" s="35">
        <v>868066040</v>
      </c>
      <c r="E541" s="35">
        <v>11000</v>
      </c>
      <c r="F541" s="35">
        <v>10780</v>
      </c>
      <c r="G541" s="35">
        <v>10780</v>
      </c>
      <c r="H541" s="35">
        <v>10855.71</v>
      </c>
      <c r="I541" s="35">
        <v>-1.28</v>
      </c>
      <c r="J541" s="35">
        <v>-140</v>
      </c>
      <c r="K541" s="71">
        <f>YEAR(Accion[[#This Row],[fecha]])</f>
        <v>2017</v>
      </c>
      <c r="L541" s="79" t="str">
        <f>IF(Accion[[#This Row],[Precio Cierre]]=MAX(Accion[Precio Cierre]),Accion[[#This Row],[Precio Cierre]],"NA")</f>
        <v>NA</v>
      </c>
      <c r="M541" s="79" t="str">
        <f>IF(Accion[[#This Row],[Precio Cierre]]=MIN(Accion[Precio Cierre]),Accion[[#This Row],[Precio Cierre]],"NA")</f>
        <v>NA</v>
      </c>
    </row>
    <row r="542" spans="1:13" hidden="1">
      <c r="A542" s="38" t="s">
        <v>90</v>
      </c>
      <c r="B542" s="34">
        <v>42831</v>
      </c>
      <c r="C542" s="35">
        <v>98821</v>
      </c>
      <c r="D542" s="35">
        <v>1078273000</v>
      </c>
      <c r="E542" s="35">
        <v>10960</v>
      </c>
      <c r="F542" s="35">
        <v>10880</v>
      </c>
      <c r="G542" s="35">
        <v>10920</v>
      </c>
      <c r="H542" s="35">
        <v>10911.38</v>
      </c>
      <c r="I542" s="35">
        <v>0.74</v>
      </c>
      <c r="J542" s="35">
        <v>80</v>
      </c>
      <c r="K542" s="71">
        <f>YEAR(Accion[[#This Row],[fecha]])</f>
        <v>2017</v>
      </c>
      <c r="L542" s="79" t="str">
        <f>IF(Accion[[#This Row],[Precio Cierre]]=MAX(Accion[Precio Cierre]),Accion[[#This Row],[Precio Cierre]],"NA")</f>
        <v>NA</v>
      </c>
      <c r="M542" s="79" t="str">
        <f>IF(Accion[[#This Row],[Precio Cierre]]=MIN(Accion[Precio Cierre]),Accion[[#This Row],[Precio Cierre]],"NA")</f>
        <v>NA</v>
      </c>
    </row>
    <row r="543" spans="1:13" hidden="1">
      <c r="A543" s="38" t="s">
        <v>90</v>
      </c>
      <c r="B543" s="34">
        <v>42830</v>
      </c>
      <c r="C543" s="35">
        <v>138659</v>
      </c>
      <c r="D543" s="35">
        <v>1500970580</v>
      </c>
      <c r="E543" s="35">
        <v>10860</v>
      </c>
      <c r="F543" s="35">
        <v>10760</v>
      </c>
      <c r="G543" s="35">
        <v>10840</v>
      </c>
      <c r="H543" s="35">
        <v>10824.91</v>
      </c>
      <c r="I543" s="35">
        <v>0.74</v>
      </c>
      <c r="J543" s="35">
        <v>80</v>
      </c>
      <c r="K543" s="71">
        <f>YEAR(Accion[[#This Row],[fecha]])</f>
        <v>2017</v>
      </c>
      <c r="L543" s="79" t="str">
        <f>IF(Accion[[#This Row],[Precio Cierre]]=MAX(Accion[Precio Cierre]),Accion[[#This Row],[Precio Cierre]],"NA")</f>
        <v>NA</v>
      </c>
      <c r="M543" s="79" t="str">
        <f>IF(Accion[[#This Row],[Precio Cierre]]=MIN(Accion[Precio Cierre]),Accion[[#This Row],[Precio Cierre]],"NA")</f>
        <v>NA</v>
      </c>
    </row>
    <row r="544" spans="1:13" hidden="1">
      <c r="A544" s="38" t="s">
        <v>90</v>
      </c>
      <c r="B544" s="34">
        <v>42829</v>
      </c>
      <c r="C544" s="35">
        <v>108968</v>
      </c>
      <c r="D544" s="35">
        <v>1172249280</v>
      </c>
      <c r="E544" s="35">
        <v>10780</v>
      </c>
      <c r="F544" s="35">
        <v>10720</v>
      </c>
      <c r="G544" s="35">
        <v>10760</v>
      </c>
      <c r="H544" s="35">
        <v>10757.74</v>
      </c>
      <c r="I544" s="35">
        <v>0.37</v>
      </c>
      <c r="J544" s="35">
        <v>40</v>
      </c>
      <c r="K544" s="71">
        <f>YEAR(Accion[[#This Row],[fecha]])</f>
        <v>2017</v>
      </c>
      <c r="L544" s="79" t="str">
        <f>IF(Accion[[#This Row],[Precio Cierre]]=MAX(Accion[Precio Cierre]),Accion[[#This Row],[Precio Cierre]],"NA")</f>
        <v>NA</v>
      </c>
      <c r="M544" s="79" t="str">
        <f>IF(Accion[[#This Row],[Precio Cierre]]=MIN(Accion[Precio Cierre]),Accion[[#This Row],[Precio Cierre]],"NA")</f>
        <v>NA</v>
      </c>
    </row>
    <row r="545" spans="1:13" hidden="1">
      <c r="A545" s="38" t="s">
        <v>90</v>
      </c>
      <c r="B545" s="34">
        <v>42828</v>
      </c>
      <c r="C545" s="35">
        <v>28688</v>
      </c>
      <c r="D545" s="35">
        <v>305842880</v>
      </c>
      <c r="E545" s="35">
        <v>10720</v>
      </c>
      <c r="F545" s="35">
        <v>10600</v>
      </c>
      <c r="G545" s="35">
        <v>10720</v>
      </c>
      <c r="H545" s="35">
        <v>10661</v>
      </c>
      <c r="I545" s="35">
        <v>1.1299999999999999</v>
      </c>
      <c r="J545" s="35">
        <v>120</v>
      </c>
      <c r="K545" s="71">
        <f>YEAR(Accion[[#This Row],[fecha]])</f>
        <v>2017</v>
      </c>
      <c r="L545" s="79" t="str">
        <f>IF(Accion[[#This Row],[Precio Cierre]]=MAX(Accion[Precio Cierre]),Accion[[#This Row],[Precio Cierre]],"NA")</f>
        <v>NA</v>
      </c>
      <c r="M545" s="79" t="str">
        <f>IF(Accion[[#This Row],[Precio Cierre]]=MIN(Accion[Precio Cierre]),Accion[[#This Row],[Precio Cierre]],"NA")</f>
        <v>NA</v>
      </c>
    </row>
    <row r="546" spans="1:13" hidden="1">
      <c r="A546" s="38" t="s">
        <v>90</v>
      </c>
      <c r="B546" s="34">
        <v>42825</v>
      </c>
      <c r="C546" s="35">
        <v>59226</v>
      </c>
      <c r="D546" s="35">
        <v>625151600</v>
      </c>
      <c r="E546" s="35">
        <v>10640</v>
      </c>
      <c r="F546" s="35">
        <v>10500</v>
      </c>
      <c r="G546" s="35">
        <v>10600</v>
      </c>
      <c r="H546" s="35">
        <v>10555.36</v>
      </c>
      <c r="I546" s="35">
        <v>0</v>
      </c>
      <c r="J546" s="35">
        <v>0</v>
      </c>
      <c r="K546" s="71">
        <f>YEAR(Accion[[#This Row],[fecha]])</f>
        <v>2017</v>
      </c>
      <c r="L546" s="79" t="str">
        <f>IF(Accion[[#This Row],[Precio Cierre]]=MAX(Accion[Precio Cierre]),Accion[[#This Row],[Precio Cierre]],"NA")</f>
        <v>NA</v>
      </c>
      <c r="M546" s="79" t="str">
        <f>IF(Accion[[#This Row],[Precio Cierre]]=MIN(Accion[Precio Cierre]),Accion[[#This Row],[Precio Cierre]],"NA")</f>
        <v>NA</v>
      </c>
    </row>
    <row r="547" spans="1:13" hidden="1">
      <c r="A547" s="38" t="s">
        <v>90</v>
      </c>
      <c r="B547" s="34">
        <v>42824</v>
      </c>
      <c r="C547" s="35">
        <v>663583</v>
      </c>
      <c r="D547" s="35">
        <v>7103479420</v>
      </c>
      <c r="E547" s="35">
        <v>10780</v>
      </c>
      <c r="F547" s="35">
        <v>10580</v>
      </c>
      <c r="G547" s="35">
        <v>10600</v>
      </c>
      <c r="H547" s="35">
        <v>10704.73</v>
      </c>
      <c r="I547" s="35">
        <v>-1.1200000000000001</v>
      </c>
      <c r="J547" s="35">
        <v>-120</v>
      </c>
      <c r="K547" s="71">
        <f>YEAR(Accion[[#This Row],[fecha]])</f>
        <v>2017</v>
      </c>
      <c r="L547" s="79" t="str">
        <f>IF(Accion[[#This Row],[Precio Cierre]]=MAX(Accion[Precio Cierre]),Accion[[#This Row],[Precio Cierre]],"NA")</f>
        <v>NA</v>
      </c>
      <c r="M547" s="79" t="str">
        <f>IF(Accion[[#This Row],[Precio Cierre]]=MIN(Accion[Precio Cierre]),Accion[[#This Row],[Precio Cierre]],"NA")</f>
        <v>NA</v>
      </c>
    </row>
    <row r="548" spans="1:13" hidden="1">
      <c r="A548" s="38" t="s">
        <v>90</v>
      </c>
      <c r="B548" s="34">
        <v>42823</v>
      </c>
      <c r="C548" s="35">
        <v>105668</v>
      </c>
      <c r="D548" s="35">
        <v>1138008780</v>
      </c>
      <c r="E548" s="35">
        <v>10800</v>
      </c>
      <c r="F548" s="35">
        <v>10680</v>
      </c>
      <c r="G548" s="35">
        <v>10720</v>
      </c>
      <c r="H548" s="35">
        <v>10769.66</v>
      </c>
      <c r="I548" s="35">
        <v>-0.37</v>
      </c>
      <c r="J548" s="35">
        <v>-40</v>
      </c>
      <c r="K548" s="71">
        <f>YEAR(Accion[[#This Row],[fecha]])</f>
        <v>2017</v>
      </c>
      <c r="L548" s="79" t="str">
        <f>IF(Accion[[#This Row],[Precio Cierre]]=MAX(Accion[Precio Cierre]),Accion[[#This Row],[Precio Cierre]],"NA")</f>
        <v>NA</v>
      </c>
      <c r="M548" s="79" t="str">
        <f>IF(Accion[[#This Row],[Precio Cierre]]=MIN(Accion[Precio Cierre]),Accion[[#This Row],[Precio Cierre]],"NA")</f>
        <v>NA</v>
      </c>
    </row>
    <row r="549" spans="1:13" hidden="1">
      <c r="A549" s="38" t="s">
        <v>90</v>
      </c>
      <c r="B549" s="34">
        <v>42822</v>
      </c>
      <c r="C549" s="35">
        <v>474875</v>
      </c>
      <c r="D549" s="35">
        <v>5083007540</v>
      </c>
      <c r="E549" s="35">
        <v>10800</v>
      </c>
      <c r="F549" s="35">
        <v>10620</v>
      </c>
      <c r="G549" s="35">
        <v>10760</v>
      </c>
      <c r="H549" s="35">
        <v>10703.89</v>
      </c>
      <c r="I549" s="35">
        <v>2.2799999999999998</v>
      </c>
      <c r="J549" s="35">
        <v>240</v>
      </c>
      <c r="K549" s="71">
        <f>YEAR(Accion[[#This Row],[fecha]])</f>
        <v>2017</v>
      </c>
      <c r="L549" s="79" t="str">
        <f>IF(Accion[[#This Row],[Precio Cierre]]=MAX(Accion[Precio Cierre]),Accion[[#This Row],[Precio Cierre]],"NA")</f>
        <v>NA</v>
      </c>
      <c r="M549" s="79" t="str">
        <f>IF(Accion[[#This Row],[Precio Cierre]]=MIN(Accion[Precio Cierre]),Accion[[#This Row],[Precio Cierre]],"NA")</f>
        <v>NA</v>
      </c>
    </row>
    <row r="550" spans="1:13" hidden="1">
      <c r="A550" s="38" t="s">
        <v>90</v>
      </c>
      <c r="B550" s="34">
        <v>42821</v>
      </c>
      <c r="C550" s="35">
        <v>35413</v>
      </c>
      <c r="D550" s="35">
        <v>375653420</v>
      </c>
      <c r="E550" s="35">
        <v>10660</v>
      </c>
      <c r="F550" s="35">
        <v>10520</v>
      </c>
      <c r="G550" s="35">
        <v>10520</v>
      </c>
      <c r="H550" s="35">
        <v>10607.78</v>
      </c>
      <c r="I550" s="35">
        <v>-0.94</v>
      </c>
      <c r="J550" s="35">
        <v>-100</v>
      </c>
      <c r="K550" s="71">
        <f>YEAR(Accion[[#This Row],[fecha]])</f>
        <v>2017</v>
      </c>
      <c r="L550" s="79" t="str">
        <f>IF(Accion[[#This Row],[Precio Cierre]]=MAX(Accion[Precio Cierre]),Accion[[#This Row],[Precio Cierre]],"NA")</f>
        <v>NA</v>
      </c>
      <c r="M550" s="79" t="str">
        <f>IF(Accion[[#This Row],[Precio Cierre]]=MIN(Accion[Precio Cierre]),Accion[[#This Row],[Precio Cierre]],"NA")</f>
        <v>NA</v>
      </c>
    </row>
    <row r="551" spans="1:13" hidden="1">
      <c r="A551" s="38" t="s">
        <v>90</v>
      </c>
      <c r="B551" s="34">
        <v>42818</v>
      </c>
      <c r="C551" s="35">
        <v>131914</v>
      </c>
      <c r="D551" s="35">
        <v>1400871580</v>
      </c>
      <c r="E551" s="35">
        <v>10700</v>
      </c>
      <c r="F551" s="35">
        <v>10580</v>
      </c>
      <c r="G551" s="35">
        <v>10620</v>
      </c>
      <c r="H551" s="35">
        <v>10619.58</v>
      </c>
      <c r="I551" s="35">
        <v>0.38</v>
      </c>
      <c r="J551" s="35">
        <v>40</v>
      </c>
      <c r="K551" s="71">
        <f>YEAR(Accion[[#This Row],[fecha]])</f>
        <v>2017</v>
      </c>
      <c r="L551" s="79" t="str">
        <f>IF(Accion[[#This Row],[Precio Cierre]]=MAX(Accion[Precio Cierre]),Accion[[#This Row],[Precio Cierre]],"NA")</f>
        <v>NA</v>
      </c>
      <c r="M551" s="79" t="str">
        <f>IF(Accion[[#This Row],[Precio Cierre]]=MIN(Accion[Precio Cierre]),Accion[[#This Row],[Precio Cierre]],"NA")</f>
        <v>NA</v>
      </c>
    </row>
    <row r="552" spans="1:13" hidden="1">
      <c r="A552" s="38" t="s">
        <v>90</v>
      </c>
      <c r="B552" s="34">
        <v>42817</v>
      </c>
      <c r="C552" s="35">
        <v>430004</v>
      </c>
      <c r="D552" s="35">
        <v>4526663560</v>
      </c>
      <c r="E552" s="35">
        <v>10600</v>
      </c>
      <c r="F552" s="35">
        <v>10400</v>
      </c>
      <c r="G552" s="35">
        <v>10580</v>
      </c>
      <c r="H552" s="35">
        <v>10527.03</v>
      </c>
      <c r="I552" s="35">
        <v>1.34</v>
      </c>
      <c r="J552" s="35">
        <v>140</v>
      </c>
      <c r="K552" s="71">
        <f>YEAR(Accion[[#This Row],[fecha]])</f>
        <v>2017</v>
      </c>
      <c r="L552" s="79" t="str">
        <f>IF(Accion[[#This Row],[Precio Cierre]]=MAX(Accion[Precio Cierre]),Accion[[#This Row],[Precio Cierre]],"NA")</f>
        <v>NA</v>
      </c>
      <c r="M552" s="79" t="str">
        <f>IF(Accion[[#This Row],[Precio Cierre]]=MIN(Accion[Precio Cierre]),Accion[[#This Row],[Precio Cierre]],"NA")</f>
        <v>NA</v>
      </c>
    </row>
    <row r="553" spans="1:13" hidden="1">
      <c r="A553" s="38" t="s">
        <v>90</v>
      </c>
      <c r="B553" s="34">
        <v>42816</v>
      </c>
      <c r="C553" s="35">
        <v>487180</v>
      </c>
      <c r="D553" s="35">
        <v>5070245920</v>
      </c>
      <c r="E553" s="35">
        <v>10480</v>
      </c>
      <c r="F553" s="35">
        <v>10300</v>
      </c>
      <c r="G553" s="35">
        <v>10440</v>
      </c>
      <c r="H553" s="35">
        <v>10407.34</v>
      </c>
      <c r="I553" s="35">
        <v>1.1599999999999999</v>
      </c>
      <c r="J553" s="35">
        <v>120</v>
      </c>
      <c r="K553" s="71">
        <f>YEAR(Accion[[#This Row],[fecha]])</f>
        <v>2017</v>
      </c>
      <c r="L553" s="79" t="str">
        <f>IF(Accion[[#This Row],[Precio Cierre]]=MAX(Accion[Precio Cierre]),Accion[[#This Row],[Precio Cierre]],"NA")</f>
        <v>NA</v>
      </c>
      <c r="M553" s="79" t="str">
        <f>IF(Accion[[#This Row],[Precio Cierre]]=MIN(Accion[Precio Cierre]),Accion[[#This Row],[Precio Cierre]],"NA")</f>
        <v>NA</v>
      </c>
    </row>
    <row r="554" spans="1:13" hidden="1">
      <c r="A554" s="38" t="s">
        <v>90</v>
      </c>
      <c r="B554" s="34">
        <v>42815</v>
      </c>
      <c r="C554" s="35">
        <v>210254</v>
      </c>
      <c r="D554" s="35">
        <v>2155999560</v>
      </c>
      <c r="E554" s="35">
        <v>10320</v>
      </c>
      <c r="F554" s="35">
        <v>10180</v>
      </c>
      <c r="G554" s="35">
        <v>10320</v>
      </c>
      <c r="H554" s="35">
        <v>10254.26</v>
      </c>
      <c r="I554" s="35">
        <v>2.58</v>
      </c>
      <c r="J554" s="35">
        <v>260</v>
      </c>
      <c r="K554" s="71">
        <f>YEAR(Accion[[#This Row],[fecha]])</f>
        <v>2017</v>
      </c>
      <c r="L554" s="79" t="str">
        <f>IF(Accion[[#This Row],[Precio Cierre]]=MAX(Accion[Precio Cierre]),Accion[[#This Row],[Precio Cierre]],"NA")</f>
        <v>NA</v>
      </c>
      <c r="M554" s="79" t="str">
        <f>IF(Accion[[#This Row],[Precio Cierre]]=MIN(Accion[Precio Cierre]),Accion[[#This Row],[Precio Cierre]],"NA")</f>
        <v>NA</v>
      </c>
    </row>
    <row r="555" spans="1:13" hidden="1">
      <c r="A555" s="38" t="s">
        <v>90</v>
      </c>
      <c r="B555" s="34">
        <v>42811</v>
      </c>
      <c r="C555" s="35">
        <v>496403</v>
      </c>
      <c r="D555" s="35">
        <v>4997046120</v>
      </c>
      <c r="E555" s="35">
        <v>10320</v>
      </c>
      <c r="F555" s="35">
        <v>10000</v>
      </c>
      <c r="G555" s="35">
        <v>10060</v>
      </c>
      <c r="H555" s="35">
        <v>10066.51</v>
      </c>
      <c r="I555" s="35">
        <v>-2.52</v>
      </c>
      <c r="J555" s="35">
        <v>-260</v>
      </c>
      <c r="K555" s="71">
        <f>YEAR(Accion[[#This Row],[fecha]])</f>
        <v>2017</v>
      </c>
      <c r="L555" s="79" t="str">
        <f>IF(Accion[[#This Row],[Precio Cierre]]=MAX(Accion[Precio Cierre]),Accion[[#This Row],[Precio Cierre]],"NA")</f>
        <v>NA</v>
      </c>
      <c r="M555" s="79" t="str">
        <f>IF(Accion[[#This Row],[Precio Cierre]]=MIN(Accion[Precio Cierre]),Accion[[#This Row],[Precio Cierre]],"NA")</f>
        <v>NA</v>
      </c>
    </row>
    <row r="556" spans="1:13" hidden="1">
      <c r="A556" s="38" t="s">
        <v>90</v>
      </c>
      <c r="B556" s="34">
        <v>42810</v>
      </c>
      <c r="C556" s="35">
        <v>310374</v>
      </c>
      <c r="D556" s="35">
        <v>3161376460</v>
      </c>
      <c r="E556" s="35">
        <v>10320</v>
      </c>
      <c r="F556" s="35">
        <v>10180</v>
      </c>
      <c r="G556" s="35">
        <v>10320</v>
      </c>
      <c r="H556" s="35">
        <v>10185.700000000001</v>
      </c>
      <c r="I556" s="35">
        <v>1.38</v>
      </c>
      <c r="J556" s="35">
        <v>140</v>
      </c>
      <c r="K556" s="71">
        <f>YEAR(Accion[[#This Row],[fecha]])</f>
        <v>2017</v>
      </c>
      <c r="L556" s="79" t="str">
        <f>IF(Accion[[#This Row],[Precio Cierre]]=MAX(Accion[Precio Cierre]),Accion[[#This Row],[Precio Cierre]],"NA")</f>
        <v>NA</v>
      </c>
      <c r="M556" s="79" t="str">
        <f>IF(Accion[[#This Row],[Precio Cierre]]=MIN(Accion[Precio Cierre]),Accion[[#This Row],[Precio Cierre]],"NA")</f>
        <v>NA</v>
      </c>
    </row>
    <row r="557" spans="1:13" hidden="1">
      <c r="A557" s="38" t="s">
        <v>90</v>
      </c>
      <c r="B557" s="34">
        <v>42809</v>
      </c>
      <c r="C557" s="35">
        <v>40902</v>
      </c>
      <c r="D557" s="35">
        <v>418219560</v>
      </c>
      <c r="E557" s="35">
        <v>10300</v>
      </c>
      <c r="F557" s="35">
        <v>10160</v>
      </c>
      <c r="G557" s="35">
        <v>10180</v>
      </c>
      <c r="H557" s="35">
        <v>10224.92</v>
      </c>
      <c r="I557" s="35">
        <v>0</v>
      </c>
      <c r="J557" s="35">
        <v>0</v>
      </c>
      <c r="K557" s="71">
        <f>YEAR(Accion[[#This Row],[fecha]])</f>
        <v>2017</v>
      </c>
      <c r="L557" s="79" t="str">
        <f>IF(Accion[[#This Row],[Precio Cierre]]=MAX(Accion[Precio Cierre]),Accion[[#This Row],[Precio Cierre]],"NA")</f>
        <v>NA</v>
      </c>
      <c r="M557" s="79" t="str">
        <f>IF(Accion[[#This Row],[Precio Cierre]]=MIN(Accion[Precio Cierre]),Accion[[#This Row],[Precio Cierre]],"NA")</f>
        <v>NA</v>
      </c>
    </row>
    <row r="558" spans="1:13" hidden="1">
      <c r="A558" s="38" t="s">
        <v>90</v>
      </c>
      <c r="B558" s="34">
        <v>42808</v>
      </c>
      <c r="C558" s="35">
        <v>653498</v>
      </c>
      <c r="D558" s="35">
        <v>6679402940</v>
      </c>
      <c r="E558" s="35">
        <v>10440</v>
      </c>
      <c r="F558" s="35">
        <v>10180</v>
      </c>
      <c r="G558" s="35">
        <v>10180</v>
      </c>
      <c r="H558" s="35">
        <v>10221</v>
      </c>
      <c r="I558" s="35">
        <v>-3.05</v>
      </c>
      <c r="J558" s="35">
        <v>-320</v>
      </c>
      <c r="K558" s="71">
        <f>YEAR(Accion[[#This Row],[fecha]])</f>
        <v>2017</v>
      </c>
      <c r="L558" s="79" t="str">
        <f>IF(Accion[[#This Row],[Precio Cierre]]=MAX(Accion[Precio Cierre]),Accion[[#This Row],[Precio Cierre]],"NA")</f>
        <v>NA</v>
      </c>
      <c r="M558" s="79" t="str">
        <f>IF(Accion[[#This Row],[Precio Cierre]]=MIN(Accion[Precio Cierre]),Accion[[#This Row],[Precio Cierre]],"NA")</f>
        <v>NA</v>
      </c>
    </row>
    <row r="559" spans="1:13" hidden="1">
      <c r="A559" s="38" t="s">
        <v>90</v>
      </c>
      <c r="B559" s="34">
        <v>42807</v>
      </c>
      <c r="C559" s="35">
        <v>99092</v>
      </c>
      <c r="D559" s="35">
        <v>1044781100</v>
      </c>
      <c r="E559" s="35">
        <v>10600</v>
      </c>
      <c r="F559" s="35">
        <v>10420</v>
      </c>
      <c r="G559" s="35">
        <v>10500</v>
      </c>
      <c r="H559" s="35">
        <v>10543.55</v>
      </c>
      <c r="I559" s="35">
        <v>-0.38</v>
      </c>
      <c r="J559" s="35">
        <v>-40</v>
      </c>
      <c r="K559" s="71">
        <f>YEAR(Accion[[#This Row],[fecha]])</f>
        <v>2017</v>
      </c>
      <c r="L559" s="79" t="str">
        <f>IF(Accion[[#This Row],[Precio Cierre]]=MAX(Accion[Precio Cierre]),Accion[[#This Row],[Precio Cierre]],"NA")</f>
        <v>NA</v>
      </c>
      <c r="M559" s="79" t="str">
        <f>IF(Accion[[#This Row],[Precio Cierre]]=MIN(Accion[Precio Cierre]),Accion[[#This Row],[Precio Cierre]],"NA")</f>
        <v>NA</v>
      </c>
    </row>
    <row r="560" spans="1:13" hidden="1">
      <c r="A560" s="38" t="s">
        <v>90</v>
      </c>
      <c r="B560" s="34">
        <v>42804</v>
      </c>
      <c r="C560" s="35">
        <v>161303</v>
      </c>
      <c r="D560" s="35">
        <v>1708024920</v>
      </c>
      <c r="E560" s="35">
        <v>10680</v>
      </c>
      <c r="F560" s="35">
        <v>10520</v>
      </c>
      <c r="G560" s="35">
        <v>10540</v>
      </c>
      <c r="H560" s="35">
        <v>10588.92</v>
      </c>
      <c r="I560" s="35">
        <v>-0.94</v>
      </c>
      <c r="J560" s="35">
        <v>-100</v>
      </c>
      <c r="K560" s="71">
        <f>YEAR(Accion[[#This Row],[fecha]])</f>
        <v>2017</v>
      </c>
      <c r="L560" s="79" t="str">
        <f>IF(Accion[[#This Row],[Precio Cierre]]=MAX(Accion[Precio Cierre]),Accion[[#This Row],[Precio Cierre]],"NA")</f>
        <v>NA</v>
      </c>
      <c r="M560" s="79" t="str">
        <f>IF(Accion[[#This Row],[Precio Cierre]]=MIN(Accion[Precio Cierre]),Accion[[#This Row],[Precio Cierre]],"NA")</f>
        <v>NA</v>
      </c>
    </row>
    <row r="561" spans="1:13" hidden="1">
      <c r="A561" s="38" t="s">
        <v>90</v>
      </c>
      <c r="B561" s="34">
        <v>42803</v>
      </c>
      <c r="C561" s="35">
        <v>721574</v>
      </c>
      <c r="D561" s="35">
        <v>7492767080</v>
      </c>
      <c r="E561" s="35">
        <v>10640</v>
      </c>
      <c r="F561" s="35">
        <v>10360</v>
      </c>
      <c r="G561" s="35">
        <v>10640</v>
      </c>
      <c r="H561" s="35">
        <v>10383.92</v>
      </c>
      <c r="I561" s="35">
        <v>1.53</v>
      </c>
      <c r="J561" s="35">
        <v>160</v>
      </c>
      <c r="K561" s="71">
        <f>YEAR(Accion[[#This Row],[fecha]])</f>
        <v>2017</v>
      </c>
      <c r="L561" s="79" t="str">
        <f>IF(Accion[[#This Row],[Precio Cierre]]=MAX(Accion[Precio Cierre]),Accion[[#This Row],[Precio Cierre]],"NA")</f>
        <v>NA</v>
      </c>
      <c r="M561" s="79" t="str">
        <f>IF(Accion[[#This Row],[Precio Cierre]]=MIN(Accion[Precio Cierre]),Accion[[#This Row],[Precio Cierre]],"NA")</f>
        <v>NA</v>
      </c>
    </row>
    <row r="562" spans="1:13" hidden="1">
      <c r="A562" s="38" t="s">
        <v>90</v>
      </c>
      <c r="B562" s="34">
        <v>42802</v>
      </c>
      <c r="C562" s="35">
        <v>17329</v>
      </c>
      <c r="D562" s="35">
        <v>182829900</v>
      </c>
      <c r="E562" s="35">
        <v>10800</v>
      </c>
      <c r="F562" s="35">
        <v>10480</v>
      </c>
      <c r="G562" s="35">
        <v>10480</v>
      </c>
      <c r="H562" s="35">
        <v>10550.52</v>
      </c>
      <c r="I562" s="35">
        <v>-1.69</v>
      </c>
      <c r="J562" s="35">
        <v>-180</v>
      </c>
      <c r="K562" s="71">
        <f>YEAR(Accion[[#This Row],[fecha]])</f>
        <v>2017</v>
      </c>
      <c r="L562" s="79" t="str">
        <f>IF(Accion[[#This Row],[Precio Cierre]]=MAX(Accion[Precio Cierre]),Accion[[#This Row],[Precio Cierre]],"NA")</f>
        <v>NA</v>
      </c>
      <c r="M562" s="79" t="str">
        <f>IF(Accion[[#This Row],[Precio Cierre]]=MIN(Accion[Precio Cierre]),Accion[[#This Row],[Precio Cierre]],"NA")</f>
        <v>NA</v>
      </c>
    </row>
    <row r="563" spans="1:13" hidden="1">
      <c r="A563" s="38" t="s">
        <v>90</v>
      </c>
      <c r="B563" s="34">
        <v>42801</v>
      </c>
      <c r="C563" s="35">
        <v>50480</v>
      </c>
      <c r="D563" s="35">
        <v>538162400</v>
      </c>
      <c r="E563" s="35">
        <v>10680</v>
      </c>
      <c r="F563" s="35">
        <v>10660</v>
      </c>
      <c r="G563" s="35">
        <v>10660</v>
      </c>
      <c r="H563" s="35">
        <v>10660.9</v>
      </c>
      <c r="I563" s="35">
        <v>-0.19</v>
      </c>
      <c r="J563" s="35">
        <v>-20</v>
      </c>
      <c r="K563" s="71">
        <f>YEAR(Accion[[#This Row],[fecha]])</f>
        <v>2017</v>
      </c>
      <c r="L563" s="79" t="str">
        <f>IF(Accion[[#This Row],[Precio Cierre]]=MAX(Accion[Precio Cierre]),Accion[[#This Row],[Precio Cierre]],"NA")</f>
        <v>NA</v>
      </c>
      <c r="M563" s="79" t="str">
        <f>IF(Accion[[#This Row],[Precio Cierre]]=MIN(Accion[Precio Cierre]),Accion[[#This Row],[Precio Cierre]],"NA")</f>
        <v>NA</v>
      </c>
    </row>
    <row r="564" spans="1:13" hidden="1">
      <c r="A564" s="38" t="s">
        <v>90</v>
      </c>
      <c r="B564" s="34">
        <v>42800</v>
      </c>
      <c r="C564" s="35">
        <v>140686</v>
      </c>
      <c r="D564" s="35">
        <v>1467274080</v>
      </c>
      <c r="E564" s="35">
        <v>10680</v>
      </c>
      <c r="F564" s="35">
        <v>10420</v>
      </c>
      <c r="G564" s="35">
        <v>10680</v>
      </c>
      <c r="H564" s="35">
        <v>10429.42</v>
      </c>
      <c r="I564" s="35">
        <v>1.1399999999999999</v>
      </c>
      <c r="J564" s="35">
        <v>120</v>
      </c>
      <c r="K564" s="71">
        <f>YEAR(Accion[[#This Row],[fecha]])</f>
        <v>2017</v>
      </c>
      <c r="L564" s="79" t="str">
        <f>IF(Accion[[#This Row],[Precio Cierre]]=MAX(Accion[Precio Cierre]),Accion[[#This Row],[Precio Cierre]],"NA")</f>
        <v>NA</v>
      </c>
      <c r="M564" s="79" t="str">
        <f>IF(Accion[[#This Row],[Precio Cierre]]=MIN(Accion[Precio Cierre]),Accion[[#This Row],[Precio Cierre]],"NA")</f>
        <v>NA</v>
      </c>
    </row>
    <row r="565" spans="1:13" hidden="1">
      <c r="A565" s="38" t="s">
        <v>90</v>
      </c>
      <c r="B565" s="34">
        <v>42797</v>
      </c>
      <c r="C565" s="35">
        <v>19839</v>
      </c>
      <c r="D565" s="35">
        <v>210060300</v>
      </c>
      <c r="E565" s="35">
        <v>10680</v>
      </c>
      <c r="F565" s="35">
        <v>10560</v>
      </c>
      <c r="G565" s="35">
        <v>10560</v>
      </c>
      <c r="H565" s="35">
        <v>10588.25</v>
      </c>
      <c r="I565" s="35">
        <v>-0.38</v>
      </c>
      <c r="J565" s="35">
        <v>-40</v>
      </c>
      <c r="K565" s="71">
        <f>YEAR(Accion[[#This Row],[fecha]])</f>
        <v>2017</v>
      </c>
      <c r="L565" s="79" t="str">
        <f>IF(Accion[[#This Row],[Precio Cierre]]=MAX(Accion[Precio Cierre]),Accion[[#This Row],[Precio Cierre]],"NA")</f>
        <v>NA</v>
      </c>
      <c r="M565" s="79" t="str">
        <f>IF(Accion[[#This Row],[Precio Cierre]]=MIN(Accion[Precio Cierre]),Accion[[#This Row],[Precio Cierre]],"NA")</f>
        <v>NA</v>
      </c>
    </row>
    <row r="566" spans="1:13" hidden="1">
      <c r="A566" s="38" t="s">
        <v>90</v>
      </c>
      <c r="B566" s="34">
        <v>42796</v>
      </c>
      <c r="C566" s="35">
        <v>250338</v>
      </c>
      <c r="D566" s="35">
        <v>2667215440</v>
      </c>
      <c r="E566" s="35">
        <v>10680</v>
      </c>
      <c r="F566" s="35">
        <v>10580</v>
      </c>
      <c r="G566" s="35">
        <v>10600</v>
      </c>
      <c r="H566" s="35">
        <v>10654.46</v>
      </c>
      <c r="I566" s="35">
        <v>-0.19</v>
      </c>
      <c r="J566" s="35">
        <v>-20</v>
      </c>
      <c r="K566" s="71">
        <f>YEAR(Accion[[#This Row],[fecha]])</f>
        <v>2017</v>
      </c>
      <c r="L566" s="79" t="str">
        <f>IF(Accion[[#This Row],[Precio Cierre]]=MAX(Accion[Precio Cierre]),Accion[[#This Row],[Precio Cierre]],"NA")</f>
        <v>NA</v>
      </c>
      <c r="M566" s="79" t="str">
        <f>IF(Accion[[#This Row],[Precio Cierre]]=MIN(Accion[Precio Cierre]),Accion[[#This Row],[Precio Cierre]],"NA")</f>
        <v>NA</v>
      </c>
    </row>
    <row r="567" spans="1:13" hidden="1">
      <c r="A567" s="38" t="s">
        <v>90</v>
      </c>
      <c r="B567" s="34">
        <v>42795</v>
      </c>
      <c r="C567" s="35">
        <v>183768</v>
      </c>
      <c r="D567" s="35">
        <v>1969157820</v>
      </c>
      <c r="E567" s="35">
        <v>10780</v>
      </c>
      <c r="F567" s="35">
        <v>10620</v>
      </c>
      <c r="G567" s="35">
        <v>10620</v>
      </c>
      <c r="H567" s="35">
        <v>10715.46</v>
      </c>
      <c r="I567" s="35">
        <v>-1.3</v>
      </c>
      <c r="J567" s="35">
        <v>-140</v>
      </c>
      <c r="K567" s="71">
        <f>YEAR(Accion[[#This Row],[fecha]])</f>
        <v>2017</v>
      </c>
      <c r="L567" s="79" t="str">
        <f>IF(Accion[[#This Row],[Precio Cierre]]=MAX(Accion[Precio Cierre]),Accion[[#This Row],[Precio Cierre]],"NA")</f>
        <v>NA</v>
      </c>
      <c r="M567" s="79" t="str">
        <f>IF(Accion[[#This Row],[Precio Cierre]]=MIN(Accion[Precio Cierre]),Accion[[#This Row],[Precio Cierre]],"NA")</f>
        <v>NA</v>
      </c>
    </row>
    <row r="568" spans="1:13" hidden="1">
      <c r="A568" s="38" t="s">
        <v>90</v>
      </c>
      <c r="B568" s="34">
        <v>42794</v>
      </c>
      <c r="C568" s="35">
        <v>245455</v>
      </c>
      <c r="D568" s="35">
        <v>2637969040</v>
      </c>
      <c r="E568" s="35">
        <v>10760</v>
      </c>
      <c r="F568" s="35">
        <v>10700</v>
      </c>
      <c r="G568" s="35">
        <v>10760</v>
      </c>
      <c r="H568" s="35">
        <v>10747.26</v>
      </c>
      <c r="I568" s="35">
        <v>0.94</v>
      </c>
      <c r="J568" s="35">
        <v>100</v>
      </c>
      <c r="K568" s="71">
        <f>YEAR(Accion[[#This Row],[fecha]])</f>
        <v>2017</v>
      </c>
      <c r="L568" s="79" t="str">
        <f>IF(Accion[[#This Row],[Precio Cierre]]=MAX(Accion[Precio Cierre]),Accion[[#This Row],[Precio Cierre]],"NA")</f>
        <v>NA</v>
      </c>
      <c r="M568" s="79" t="str">
        <f>IF(Accion[[#This Row],[Precio Cierre]]=MIN(Accion[Precio Cierre]),Accion[[#This Row],[Precio Cierre]],"NA")</f>
        <v>NA</v>
      </c>
    </row>
    <row r="569" spans="1:13" hidden="1">
      <c r="A569" s="38" t="s">
        <v>90</v>
      </c>
      <c r="B569" s="34">
        <v>42793</v>
      </c>
      <c r="C569" s="35">
        <v>32758</v>
      </c>
      <c r="D569" s="35">
        <v>351627820</v>
      </c>
      <c r="E569" s="35">
        <v>10760</v>
      </c>
      <c r="F569" s="35">
        <v>10660</v>
      </c>
      <c r="G569" s="35">
        <v>10660</v>
      </c>
      <c r="H569" s="35">
        <v>10734.11</v>
      </c>
      <c r="I569" s="35">
        <v>-1.1100000000000001</v>
      </c>
      <c r="J569" s="35">
        <v>-120</v>
      </c>
      <c r="K569" s="71">
        <f>YEAR(Accion[[#This Row],[fecha]])</f>
        <v>2017</v>
      </c>
      <c r="L569" s="79" t="str">
        <f>IF(Accion[[#This Row],[Precio Cierre]]=MAX(Accion[Precio Cierre]),Accion[[#This Row],[Precio Cierre]],"NA")</f>
        <v>NA</v>
      </c>
      <c r="M569" s="79" t="str">
        <f>IF(Accion[[#This Row],[Precio Cierre]]=MIN(Accion[Precio Cierre]),Accion[[#This Row],[Precio Cierre]],"NA")</f>
        <v>NA</v>
      </c>
    </row>
    <row r="570" spans="1:13" hidden="1">
      <c r="A570" s="38" t="s">
        <v>90</v>
      </c>
      <c r="B570" s="34">
        <v>42790</v>
      </c>
      <c r="C570" s="35">
        <v>40165</v>
      </c>
      <c r="D570" s="35">
        <v>433048700</v>
      </c>
      <c r="E570" s="35">
        <v>10800</v>
      </c>
      <c r="F570" s="35">
        <v>10760</v>
      </c>
      <c r="G570" s="35">
        <v>10780</v>
      </c>
      <c r="H570" s="35">
        <v>10781.74</v>
      </c>
      <c r="I570" s="35">
        <v>-0.19</v>
      </c>
      <c r="J570" s="35">
        <v>-20</v>
      </c>
      <c r="K570" s="71">
        <f>YEAR(Accion[[#This Row],[fecha]])</f>
        <v>2017</v>
      </c>
      <c r="L570" s="79" t="str">
        <f>IF(Accion[[#This Row],[Precio Cierre]]=MAX(Accion[Precio Cierre]),Accion[[#This Row],[Precio Cierre]],"NA")</f>
        <v>NA</v>
      </c>
      <c r="M570" s="79" t="str">
        <f>IF(Accion[[#This Row],[Precio Cierre]]=MIN(Accion[Precio Cierre]),Accion[[#This Row],[Precio Cierre]],"NA")</f>
        <v>NA</v>
      </c>
    </row>
    <row r="571" spans="1:13" hidden="1">
      <c r="A571" s="38" t="s">
        <v>90</v>
      </c>
      <c r="B571" s="34">
        <v>42789</v>
      </c>
      <c r="C571" s="35">
        <v>299839</v>
      </c>
      <c r="D571" s="35">
        <v>3219797180</v>
      </c>
      <c r="E571" s="35">
        <v>10800</v>
      </c>
      <c r="F571" s="35">
        <v>10600</v>
      </c>
      <c r="G571" s="35">
        <v>10800</v>
      </c>
      <c r="H571" s="35">
        <v>10738.42</v>
      </c>
      <c r="I571" s="35">
        <v>0.19</v>
      </c>
      <c r="J571" s="35">
        <v>20</v>
      </c>
      <c r="K571" s="71">
        <f>YEAR(Accion[[#This Row],[fecha]])</f>
        <v>2017</v>
      </c>
      <c r="L571" s="79" t="str">
        <f>IF(Accion[[#This Row],[Precio Cierre]]=MAX(Accion[Precio Cierre]),Accion[[#This Row],[Precio Cierre]],"NA")</f>
        <v>NA</v>
      </c>
      <c r="M571" s="79" t="str">
        <f>IF(Accion[[#This Row],[Precio Cierre]]=MIN(Accion[Precio Cierre]),Accion[[#This Row],[Precio Cierre]],"NA")</f>
        <v>NA</v>
      </c>
    </row>
    <row r="572" spans="1:13" hidden="1">
      <c r="A572" s="38" t="s">
        <v>90</v>
      </c>
      <c r="B572" s="34">
        <v>42788</v>
      </c>
      <c r="C572" s="35">
        <v>26678</v>
      </c>
      <c r="D572" s="35">
        <v>287218220</v>
      </c>
      <c r="E572" s="35">
        <v>10840</v>
      </c>
      <c r="F572" s="35">
        <v>10660</v>
      </c>
      <c r="G572" s="35">
        <v>10780</v>
      </c>
      <c r="H572" s="35">
        <v>10766.11</v>
      </c>
      <c r="I572" s="35">
        <v>0</v>
      </c>
      <c r="J572" s="35">
        <v>0</v>
      </c>
      <c r="K572" s="71">
        <f>YEAR(Accion[[#This Row],[fecha]])</f>
        <v>2017</v>
      </c>
      <c r="L572" s="79" t="str">
        <f>IF(Accion[[#This Row],[Precio Cierre]]=MAX(Accion[Precio Cierre]),Accion[[#This Row],[Precio Cierre]],"NA")</f>
        <v>NA</v>
      </c>
      <c r="M572" s="79" t="str">
        <f>IF(Accion[[#This Row],[Precio Cierre]]=MIN(Accion[Precio Cierre]),Accion[[#This Row],[Precio Cierre]],"NA")</f>
        <v>NA</v>
      </c>
    </row>
    <row r="573" spans="1:13" hidden="1">
      <c r="A573" s="38" t="s">
        <v>90</v>
      </c>
      <c r="B573" s="34">
        <v>42787</v>
      </c>
      <c r="C573" s="35">
        <v>35861</v>
      </c>
      <c r="D573" s="35">
        <v>386580180</v>
      </c>
      <c r="E573" s="35">
        <v>10780</v>
      </c>
      <c r="F573" s="35">
        <v>10780</v>
      </c>
      <c r="G573" s="35">
        <v>10780</v>
      </c>
      <c r="H573" s="35">
        <v>10779.96</v>
      </c>
      <c r="I573" s="35">
        <v>-0.19</v>
      </c>
      <c r="J573" s="35">
        <v>-20</v>
      </c>
      <c r="K573" s="71">
        <f>YEAR(Accion[[#This Row],[fecha]])</f>
        <v>2017</v>
      </c>
      <c r="L573" s="79" t="str">
        <f>IF(Accion[[#This Row],[Precio Cierre]]=MAX(Accion[Precio Cierre]),Accion[[#This Row],[Precio Cierre]],"NA")</f>
        <v>NA</v>
      </c>
      <c r="M573" s="79" t="str">
        <f>IF(Accion[[#This Row],[Precio Cierre]]=MIN(Accion[Precio Cierre]),Accion[[#This Row],[Precio Cierre]],"NA")</f>
        <v>NA</v>
      </c>
    </row>
    <row r="574" spans="1:13" hidden="1">
      <c r="A574" s="38" t="s">
        <v>90</v>
      </c>
      <c r="B574" s="34">
        <v>42786</v>
      </c>
      <c r="C574" s="35">
        <v>5992</v>
      </c>
      <c r="D574" s="35">
        <v>64644360</v>
      </c>
      <c r="E574" s="35">
        <v>10800</v>
      </c>
      <c r="F574" s="35">
        <v>10740</v>
      </c>
      <c r="G574" s="35">
        <v>10800</v>
      </c>
      <c r="H574" s="35">
        <v>10788.44</v>
      </c>
      <c r="I574" s="35">
        <v>0.19</v>
      </c>
      <c r="J574" s="35">
        <v>20</v>
      </c>
      <c r="K574" s="71">
        <f>YEAR(Accion[[#This Row],[fecha]])</f>
        <v>2017</v>
      </c>
      <c r="L574" s="79" t="str">
        <f>IF(Accion[[#This Row],[Precio Cierre]]=MAX(Accion[Precio Cierre]),Accion[[#This Row],[Precio Cierre]],"NA")</f>
        <v>NA</v>
      </c>
      <c r="M574" s="79" t="str">
        <f>IF(Accion[[#This Row],[Precio Cierre]]=MIN(Accion[Precio Cierre]),Accion[[#This Row],[Precio Cierre]],"NA")</f>
        <v>NA</v>
      </c>
    </row>
    <row r="575" spans="1:13" hidden="1">
      <c r="A575" s="38" t="s">
        <v>90</v>
      </c>
      <c r="B575" s="34">
        <v>42783</v>
      </c>
      <c r="C575" s="35">
        <v>139254</v>
      </c>
      <c r="D575" s="35">
        <v>1495778940</v>
      </c>
      <c r="E575" s="35">
        <v>10820</v>
      </c>
      <c r="F575" s="35">
        <v>10620</v>
      </c>
      <c r="G575" s="35">
        <v>10780</v>
      </c>
      <c r="H575" s="35">
        <v>10741.37</v>
      </c>
      <c r="I575" s="35">
        <v>-0.37</v>
      </c>
      <c r="J575" s="35">
        <v>-40</v>
      </c>
      <c r="K575" s="71">
        <f>YEAR(Accion[[#This Row],[fecha]])</f>
        <v>2017</v>
      </c>
      <c r="L575" s="79" t="str">
        <f>IF(Accion[[#This Row],[Precio Cierre]]=MAX(Accion[Precio Cierre]),Accion[[#This Row],[Precio Cierre]],"NA")</f>
        <v>NA</v>
      </c>
      <c r="M575" s="79" t="str">
        <f>IF(Accion[[#This Row],[Precio Cierre]]=MIN(Accion[Precio Cierre]),Accion[[#This Row],[Precio Cierre]],"NA")</f>
        <v>NA</v>
      </c>
    </row>
    <row r="576" spans="1:13" hidden="1">
      <c r="A576" s="38" t="s">
        <v>90</v>
      </c>
      <c r="B576" s="34">
        <v>42782</v>
      </c>
      <c r="C576" s="35">
        <v>586939</v>
      </c>
      <c r="D576" s="35">
        <v>6348124160</v>
      </c>
      <c r="E576" s="35">
        <v>11000</v>
      </c>
      <c r="F576" s="35">
        <v>10720</v>
      </c>
      <c r="G576" s="35">
        <v>10820</v>
      </c>
      <c r="H576" s="35">
        <v>10815.65</v>
      </c>
      <c r="I576" s="35">
        <v>0</v>
      </c>
      <c r="J576" s="35">
        <v>0</v>
      </c>
      <c r="K576" s="71">
        <f>YEAR(Accion[[#This Row],[fecha]])</f>
        <v>2017</v>
      </c>
      <c r="L576" s="79" t="str">
        <f>IF(Accion[[#This Row],[Precio Cierre]]=MAX(Accion[Precio Cierre]),Accion[[#This Row],[Precio Cierre]],"NA")</f>
        <v>NA</v>
      </c>
      <c r="M576" s="79" t="str">
        <f>IF(Accion[[#This Row],[Precio Cierre]]=MIN(Accion[Precio Cierre]),Accion[[#This Row],[Precio Cierre]],"NA")</f>
        <v>NA</v>
      </c>
    </row>
    <row r="577" spans="1:13" hidden="1">
      <c r="A577" s="38" t="s">
        <v>90</v>
      </c>
      <c r="B577" s="34">
        <v>42781</v>
      </c>
      <c r="C577" s="35">
        <v>70576</v>
      </c>
      <c r="D577" s="35">
        <v>761815080</v>
      </c>
      <c r="E577" s="35">
        <v>10820</v>
      </c>
      <c r="F577" s="35">
        <v>10700</v>
      </c>
      <c r="G577" s="35">
        <v>10820</v>
      </c>
      <c r="H577" s="35">
        <v>10794.25</v>
      </c>
      <c r="I577" s="35">
        <v>2.08</v>
      </c>
      <c r="J577" s="35">
        <v>220</v>
      </c>
      <c r="K577" s="71">
        <f>YEAR(Accion[[#This Row],[fecha]])</f>
        <v>2017</v>
      </c>
      <c r="L577" s="79" t="str">
        <f>IF(Accion[[#This Row],[Precio Cierre]]=MAX(Accion[Precio Cierre]),Accion[[#This Row],[Precio Cierre]],"NA")</f>
        <v>NA</v>
      </c>
      <c r="M577" s="79" t="str">
        <f>IF(Accion[[#This Row],[Precio Cierre]]=MIN(Accion[Precio Cierre]),Accion[[#This Row],[Precio Cierre]],"NA")</f>
        <v>NA</v>
      </c>
    </row>
    <row r="578" spans="1:13" hidden="1">
      <c r="A578" s="38" t="s">
        <v>90</v>
      </c>
      <c r="B578" s="34">
        <v>42780</v>
      </c>
      <c r="C578" s="35">
        <v>141431</v>
      </c>
      <c r="D578" s="35">
        <v>1507210800</v>
      </c>
      <c r="E578" s="35">
        <v>10900</v>
      </c>
      <c r="F578" s="35">
        <v>10540</v>
      </c>
      <c r="G578" s="35">
        <v>10600</v>
      </c>
      <c r="H578" s="35">
        <v>10656.86</v>
      </c>
      <c r="I578" s="35">
        <v>-1.85</v>
      </c>
      <c r="J578" s="35">
        <v>-200</v>
      </c>
      <c r="K578" s="71">
        <f>YEAR(Accion[[#This Row],[fecha]])</f>
        <v>2017</v>
      </c>
      <c r="L578" s="79" t="str">
        <f>IF(Accion[[#This Row],[Precio Cierre]]=MAX(Accion[Precio Cierre]),Accion[[#This Row],[Precio Cierre]],"NA")</f>
        <v>NA</v>
      </c>
      <c r="M578" s="79" t="str">
        <f>IF(Accion[[#This Row],[Precio Cierre]]=MIN(Accion[Precio Cierre]),Accion[[#This Row],[Precio Cierre]],"NA")</f>
        <v>NA</v>
      </c>
    </row>
    <row r="579" spans="1:13" hidden="1">
      <c r="A579" s="38" t="s">
        <v>90</v>
      </c>
      <c r="B579" s="34">
        <v>42779</v>
      </c>
      <c r="C579" s="35">
        <v>113234</v>
      </c>
      <c r="D579" s="35">
        <v>1221433680</v>
      </c>
      <c r="E579" s="35">
        <v>10920</v>
      </c>
      <c r="F579" s="35">
        <v>10640</v>
      </c>
      <c r="G579" s="35">
        <v>10800</v>
      </c>
      <c r="H579" s="35">
        <v>10786.81</v>
      </c>
      <c r="I579" s="35">
        <v>-1.28</v>
      </c>
      <c r="J579" s="35">
        <v>-140</v>
      </c>
      <c r="K579" s="71">
        <f>YEAR(Accion[[#This Row],[fecha]])</f>
        <v>2017</v>
      </c>
      <c r="L579" s="79" t="str">
        <f>IF(Accion[[#This Row],[Precio Cierre]]=MAX(Accion[Precio Cierre]),Accion[[#This Row],[Precio Cierre]],"NA")</f>
        <v>NA</v>
      </c>
      <c r="M579" s="79" t="str">
        <f>IF(Accion[[#This Row],[Precio Cierre]]=MIN(Accion[Precio Cierre]),Accion[[#This Row],[Precio Cierre]],"NA")</f>
        <v>NA</v>
      </c>
    </row>
    <row r="580" spans="1:13" hidden="1">
      <c r="A580" s="38" t="s">
        <v>90</v>
      </c>
      <c r="B580" s="34">
        <v>42776</v>
      </c>
      <c r="C580" s="35">
        <v>28486</v>
      </c>
      <c r="D580" s="35">
        <v>312561520</v>
      </c>
      <c r="E580" s="35">
        <v>11060</v>
      </c>
      <c r="F580" s="35">
        <v>10940</v>
      </c>
      <c r="G580" s="35">
        <v>10940</v>
      </c>
      <c r="H580" s="35">
        <v>10972.46</v>
      </c>
      <c r="I580" s="35">
        <v>-0.18</v>
      </c>
      <c r="J580" s="35">
        <v>-20</v>
      </c>
      <c r="K580" s="71">
        <f>YEAR(Accion[[#This Row],[fecha]])</f>
        <v>2017</v>
      </c>
      <c r="L580" s="79" t="str">
        <f>IF(Accion[[#This Row],[Precio Cierre]]=MAX(Accion[Precio Cierre]),Accion[[#This Row],[Precio Cierre]],"NA")</f>
        <v>NA</v>
      </c>
      <c r="M580" s="79" t="str">
        <f>IF(Accion[[#This Row],[Precio Cierre]]=MIN(Accion[Precio Cierre]),Accion[[#This Row],[Precio Cierre]],"NA")</f>
        <v>NA</v>
      </c>
    </row>
    <row r="581" spans="1:13" hidden="1">
      <c r="A581" s="38" t="s">
        <v>90</v>
      </c>
      <c r="B581" s="34">
        <v>42775</v>
      </c>
      <c r="C581" s="35">
        <v>937819</v>
      </c>
      <c r="D581" s="35">
        <v>10321002940</v>
      </c>
      <c r="E581" s="35">
        <v>11140</v>
      </c>
      <c r="F581" s="35">
        <v>10940</v>
      </c>
      <c r="G581" s="35">
        <v>10960</v>
      </c>
      <c r="H581" s="35">
        <v>11005.33</v>
      </c>
      <c r="I581" s="35">
        <v>-3.01</v>
      </c>
      <c r="J581" s="35">
        <v>-340</v>
      </c>
      <c r="K581" s="71">
        <f>YEAR(Accion[[#This Row],[fecha]])</f>
        <v>2017</v>
      </c>
      <c r="L581" s="79" t="str">
        <f>IF(Accion[[#This Row],[Precio Cierre]]=MAX(Accion[Precio Cierre]),Accion[[#This Row],[Precio Cierre]],"NA")</f>
        <v>NA</v>
      </c>
      <c r="M581" s="79" t="str">
        <f>IF(Accion[[#This Row],[Precio Cierre]]=MIN(Accion[Precio Cierre]),Accion[[#This Row],[Precio Cierre]],"NA")</f>
        <v>NA</v>
      </c>
    </row>
    <row r="582" spans="1:13" hidden="1">
      <c r="A582" s="38" t="s">
        <v>90</v>
      </c>
      <c r="B582" s="34">
        <v>42774</v>
      </c>
      <c r="C582" s="35">
        <v>361889</v>
      </c>
      <c r="D582" s="35">
        <v>4083761360</v>
      </c>
      <c r="E582" s="35">
        <v>11380</v>
      </c>
      <c r="F582" s="35">
        <v>11200</v>
      </c>
      <c r="G582" s="35">
        <v>11300</v>
      </c>
      <c r="H582" s="35">
        <v>11284.57</v>
      </c>
      <c r="I582" s="35">
        <v>-0.18</v>
      </c>
      <c r="J582" s="35">
        <v>-20</v>
      </c>
      <c r="K582" s="71">
        <f>YEAR(Accion[[#This Row],[fecha]])</f>
        <v>2017</v>
      </c>
      <c r="L582" s="79" t="str">
        <f>IF(Accion[[#This Row],[Precio Cierre]]=MAX(Accion[Precio Cierre]),Accion[[#This Row],[Precio Cierre]],"NA")</f>
        <v>NA</v>
      </c>
      <c r="M582" s="79" t="str">
        <f>IF(Accion[[#This Row],[Precio Cierre]]=MIN(Accion[Precio Cierre]),Accion[[#This Row],[Precio Cierre]],"NA")</f>
        <v>NA</v>
      </c>
    </row>
    <row r="583" spans="1:13" hidden="1">
      <c r="A583" s="38" t="s">
        <v>90</v>
      </c>
      <c r="B583" s="34">
        <v>42773</v>
      </c>
      <c r="C583" s="35">
        <v>75458</v>
      </c>
      <c r="D583" s="35">
        <v>859372820</v>
      </c>
      <c r="E583" s="35">
        <v>11540</v>
      </c>
      <c r="F583" s="35">
        <v>11220</v>
      </c>
      <c r="G583" s="35">
        <v>11320</v>
      </c>
      <c r="H583" s="35">
        <v>11388.76</v>
      </c>
      <c r="I583" s="35">
        <v>-1.74</v>
      </c>
      <c r="J583" s="35">
        <v>-200</v>
      </c>
      <c r="K583" s="71">
        <f>YEAR(Accion[[#This Row],[fecha]])</f>
        <v>2017</v>
      </c>
      <c r="L583" s="79" t="str">
        <f>IF(Accion[[#This Row],[Precio Cierre]]=MAX(Accion[Precio Cierre]),Accion[[#This Row],[Precio Cierre]],"NA")</f>
        <v>NA</v>
      </c>
      <c r="M583" s="79" t="str">
        <f>IF(Accion[[#This Row],[Precio Cierre]]=MIN(Accion[Precio Cierre]),Accion[[#This Row],[Precio Cierre]],"NA")</f>
        <v>NA</v>
      </c>
    </row>
    <row r="584" spans="1:13" hidden="1">
      <c r="A584" s="38" t="s">
        <v>90</v>
      </c>
      <c r="B584" s="34">
        <v>42772</v>
      </c>
      <c r="C584" s="35">
        <v>109848</v>
      </c>
      <c r="D584" s="35">
        <v>1265448960</v>
      </c>
      <c r="E584" s="35">
        <v>11520</v>
      </c>
      <c r="F584" s="35">
        <v>11520</v>
      </c>
      <c r="G584" s="35">
        <v>11520</v>
      </c>
      <c r="H584" s="35">
        <v>11520</v>
      </c>
      <c r="I584" s="35">
        <v>-1.54</v>
      </c>
      <c r="J584" s="35">
        <v>-180</v>
      </c>
      <c r="K584" s="71">
        <f>YEAR(Accion[[#This Row],[fecha]])</f>
        <v>2017</v>
      </c>
      <c r="L584" s="79" t="str">
        <f>IF(Accion[[#This Row],[Precio Cierre]]=MAX(Accion[Precio Cierre]),Accion[[#This Row],[Precio Cierre]],"NA")</f>
        <v>NA</v>
      </c>
      <c r="M584" s="79" t="str">
        <f>IF(Accion[[#This Row],[Precio Cierre]]=MIN(Accion[Precio Cierre]),Accion[[#This Row],[Precio Cierre]],"NA")</f>
        <v>NA</v>
      </c>
    </row>
    <row r="585" spans="1:13" hidden="1">
      <c r="A585" s="38" t="s">
        <v>90</v>
      </c>
      <c r="B585" s="34">
        <v>42769</v>
      </c>
      <c r="C585" s="35">
        <v>13438</v>
      </c>
      <c r="D585" s="35">
        <v>156828140</v>
      </c>
      <c r="E585" s="35">
        <v>11760</v>
      </c>
      <c r="F585" s="35">
        <v>11560</v>
      </c>
      <c r="G585" s="35">
        <v>11700</v>
      </c>
      <c r="H585" s="35">
        <v>11670.5</v>
      </c>
      <c r="I585" s="35">
        <v>1.74</v>
      </c>
      <c r="J585" s="35">
        <v>200</v>
      </c>
      <c r="K585" s="71">
        <f>YEAR(Accion[[#This Row],[fecha]])</f>
        <v>2017</v>
      </c>
      <c r="L585" s="79" t="str">
        <f>IF(Accion[[#This Row],[Precio Cierre]]=MAX(Accion[Precio Cierre]),Accion[[#This Row],[Precio Cierre]],"NA")</f>
        <v>NA</v>
      </c>
      <c r="M585" s="79" t="str">
        <f>IF(Accion[[#This Row],[Precio Cierre]]=MIN(Accion[Precio Cierre]),Accion[[#This Row],[Precio Cierre]],"NA")</f>
        <v>NA</v>
      </c>
    </row>
    <row r="586" spans="1:13" hidden="1">
      <c r="A586" s="38" t="s">
        <v>90</v>
      </c>
      <c r="B586" s="34">
        <v>42768</v>
      </c>
      <c r="C586" s="35">
        <v>68059</v>
      </c>
      <c r="D586" s="35">
        <v>787427160</v>
      </c>
      <c r="E586" s="35">
        <v>11760</v>
      </c>
      <c r="F586" s="35">
        <v>11460</v>
      </c>
      <c r="G586" s="35">
        <v>11500</v>
      </c>
      <c r="H586" s="35">
        <v>11569.77</v>
      </c>
      <c r="I586" s="35">
        <v>0.88</v>
      </c>
      <c r="J586" s="35">
        <v>100</v>
      </c>
      <c r="K586" s="71">
        <f>YEAR(Accion[[#This Row],[fecha]])</f>
        <v>2017</v>
      </c>
      <c r="L586" s="79" t="str">
        <f>IF(Accion[[#This Row],[Precio Cierre]]=MAX(Accion[Precio Cierre]),Accion[[#This Row],[Precio Cierre]],"NA")</f>
        <v>NA</v>
      </c>
      <c r="M586" s="79" t="str">
        <f>IF(Accion[[#This Row],[Precio Cierre]]=MIN(Accion[Precio Cierre]),Accion[[#This Row],[Precio Cierre]],"NA")</f>
        <v>NA</v>
      </c>
    </row>
    <row r="587" spans="1:13" hidden="1">
      <c r="A587" s="38" t="s">
        <v>90</v>
      </c>
      <c r="B587" s="34">
        <v>42767</v>
      </c>
      <c r="C587" s="35">
        <v>175682</v>
      </c>
      <c r="D587" s="35">
        <v>2003003180</v>
      </c>
      <c r="E587" s="35">
        <v>11500</v>
      </c>
      <c r="F587" s="35">
        <v>11220</v>
      </c>
      <c r="G587" s="35">
        <v>11400</v>
      </c>
      <c r="H587" s="35">
        <v>11401.3</v>
      </c>
      <c r="I587" s="35">
        <v>-0.52</v>
      </c>
      <c r="J587" s="35">
        <v>-60</v>
      </c>
      <c r="K587" s="71">
        <f>YEAR(Accion[[#This Row],[fecha]])</f>
        <v>2017</v>
      </c>
      <c r="L587" s="79" t="str">
        <f>IF(Accion[[#This Row],[Precio Cierre]]=MAX(Accion[Precio Cierre]),Accion[[#This Row],[Precio Cierre]],"NA")</f>
        <v>NA</v>
      </c>
      <c r="M587" s="79" t="str">
        <f>IF(Accion[[#This Row],[Precio Cierre]]=MIN(Accion[Precio Cierre]),Accion[[#This Row],[Precio Cierre]],"NA")</f>
        <v>NA</v>
      </c>
    </row>
    <row r="588" spans="1:13" hidden="1">
      <c r="A588" s="38" t="s">
        <v>90</v>
      </c>
      <c r="B588" s="34">
        <v>42766</v>
      </c>
      <c r="C588" s="35">
        <v>332855</v>
      </c>
      <c r="D588" s="35">
        <v>3826557100</v>
      </c>
      <c r="E588" s="35">
        <v>11580</v>
      </c>
      <c r="F588" s="35">
        <v>11420</v>
      </c>
      <c r="G588" s="35">
        <v>11460</v>
      </c>
      <c r="H588" s="35">
        <v>11496.17</v>
      </c>
      <c r="I588" s="35">
        <v>-1.72</v>
      </c>
      <c r="J588" s="35">
        <v>-200</v>
      </c>
      <c r="K588" s="71">
        <f>YEAR(Accion[[#This Row],[fecha]])</f>
        <v>2017</v>
      </c>
      <c r="L588" s="79" t="str">
        <f>IF(Accion[[#This Row],[Precio Cierre]]=MAX(Accion[Precio Cierre]),Accion[[#This Row],[Precio Cierre]],"NA")</f>
        <v>NA</v>
      </c>
      <c r="M588" s="79" t="str">
        <f>IF(Accion[[#This Row],[Precio Cierre]]=MIN(Accion[Precio Cierre]),Accion[[#This Row],[Precio Cierre]],"NA")</f>
        <v>NA</v>
      </c>
    </row>
    <row r="589" spans="1:13" hidden="1">
      <c r="A589" s="38" t="s">
        <v>90</v>
      </c>
      <c r="B589" s="34">
        <v>42765</v>
      </c>
      <c r="C589" s="35">
        <v>3171</v>
      </c>
      <c r="D589" s="35">
        <v>37007960</v>
      </c>
      <c r="E589" s="35">
        <v>11660</v>
      </c>
      <c r="F589" s="35">
        <v>11660</v>
      </c>
      <c r="G589" s="35">
        <v>11660</v>
      </c>
      <c r="H589" s="35">
        <v>11670.75</v>
      </c>
      <c r="I589" s="35">
        <v>-1.19</v>
      </c>
      <c r="J589" s="35">
        <v>-140</v>
      </c>
      <c r="K589" s="71">
        <f>YEAR(Accion[[#This Row],[fecha]])</f>
        <v>2017</v>
      </c>
      <c r="L589" s="79" t="str">
        <f>IF(Accion[[#This Row],[Precio Cierre]]=MAX(Accion[Precio Cierre]),Accion[[#This Row],[Precio Cierre]],"NA")</f>
        <v>NA</v>
      </c>
      <c r="M589" s="79" t="str">
        <f>IF(Accion[[#This Row],[Precio Cierre]]=MIN(Accion[Precio Cierre]),Accion[[#This Row],[Precio Cierre]],"NA")</f>
        <v>NA</v>
      </c>
    </row>
    <row r="590" spans="1:13" hidden="1">
      <c r="A590" s="38" t="s">
        <v>90</v>
      </c>
      <c r="B590" s="34">
        <v>42762</v>
      </c>
      <c r="C590" s="35">
        <v>334445</v>
      </c>
      <c r="D590" s="35">
        <v>3898194180</v>
      </c>
      <c r="E590" s="35">
        <v>11800</v>
      </c>
      <c r="F590" s="35">
        <v>11520</v>
      </c>
      <c r="G590" s="35">
        <v>11800</v>
      </c>
      <c r="H590" s="35">
        <v>11655.71</v>
      </c>
      <c r="I590" s="35">
        <v>2.4300000000000002</v>
      </c>
      <c r="J590" s="35">
        <v>280</v>
      </c>
      <c r="K590" s="71">
        <f>YEAR(Accion[[#This Row],[fecha]])</f>
        <v>2017</v>
      </c>
      <c r="L590" s="79" t="str">
        <f>IF(Accion[[#This Row],[Precio Cierre]]=MAX(Accion[Precio Cierre]),Accion[[#This Row],[Precio Cierre]],"NA")</f>
        <v>NA</v>
      </c>
      <c r="M590" s="79" t="str">
        <f>IF(Accion[[#This Row],[Precio Cierre]]=MIN(Accion[Precio Cierre]),Accion[[#This Row],[Precio Cierre]],"NA")</f>
        <v>NA</v>
      </c>
    </row>
    <row r="591" spans="1:13" hidden="1">
      <c r="A591" s="38" t="s">
        <v>90</v>
      </c>
      <c r="B591" s="34">
        <v>42761</v>
      </c>
      <c r="C591" s="35">
        <v>71051</v>
      </c>
      <c r="D591" s="35">
        <v>816663200</v>
      </c>
      <c r="E591" s="35">
        <v>11540</v>
      </c>
      <c r="F591" s="35">
        <v>11440</v>
      </c>
      <c r="G591" s="35">
        <v>11520</v>
      </c>
      <c r="H591" s="35">
        <v>11494.04</v>
      </c>
      <c r="I591" s="35">
        <v>-0.17</v>
      </c>
      <c r="J591" s="35">
        <v>-20</v>
      </c>
      <c r="K591" s="71">
        <f>YEAR(Accion[[#This Row],[fecha]])</f>
        <v>2017</v>
      </c>
      <c r="L591" s="79" t="str">
        <f>IF(Accion[[#This Row],[Precio Cierre]]=MAX(Accion[Precio Cierre]),Accion[[#This Row],[Precio Cierre]],"NA")</f>
        <v>NA</v>
      </c>
      <c r="M591" s="79" t="str">
        <f>IF(Accion[[#This Row],[Precio Cierre]]=MIN(Accion[Precio Cierre]),Accion[[#This Row],[Precio Cierre]],"NA")</f>
        <v>NA</v>
      </c>
    </row>
    <row r="592" spans="1:13" hidden="1">
      <c r="A592" s="38" t="s">
        <v>90</v>
      </c>
      <c r="B592" s="34">
        <v>42760</v>
      </c>
      <c r="C592" s="35">
        <v>246840</v>
      </c>
      <c r="D592" s="35">
        <v>2819225620</v>
      </c>
      <c r="E592" s="35">
        <v>11540</v>
      </c>
      <c r="F592" s="35">
        <v>11400</v>
      </c>
      <c r="G592" s="35">
        <v>11540</v>
      </c>
      <c r="H592" s="35">
        <v>11421.27</v>
      </c>
      <c r="I592" s="35">
        <v>0.17</v>
      </c>
      <c r="J592" s="35">
        <v>20</v>
      </c>
      <c r="K592" s="71">
        <f>YEAR(Accion[[#This Row],[fecha]])</f>
        <v>2017</v>
      </c>
      <c r="L592" s="79" t="str">
        <f>IF(Accion[[#This Row],[Precio Cierre]]=MAX(Accion[Precio Cierre]),Accion[[#This Row],[Precio Cierre]],"NA")</f>
        <v>NA</v>
      </c>
      <c r="M592" s="79" t="str">
        <f>IF(Accion[[#This Row],[Precio Cierre]]=MIN(Accion[Precio Cierre]),Accion[[#This Row],[Precio Cierre]],"NA")</f>
        <v>NA</v>
      </c>
    </row>
    <row r="593" spans="1:13" hidden="1">
      <c r="A593" s="38" t="s">
        <v>90</v>
      </c>
      <c r="B593" s="34">
        <v>42759</v>
      </c>
      <c r="C593" s="35">
        <v>13325</v>
      </c>
      <c r="D593" s="35">
        <v>152954140</v>
      </c>
      <c r="E593" s="35">
        <v>11520</v>
      </c>
      <c r="F593" s="35">
        <v>11440</v>
      </c>
      <c r="G593" s="35">
        <v>11520</v>
      </c>
      <c r="H593" s="35">
        <v>11478.73</v>
      </c>
      <c r="I593" s="35">
        <v>0.7</v>
      </c>
      <c r="J593" s="35">
        <v>80</v>
      </c>
      <c r="K593" s="71">
        <f>YEAR(Accion[[#This Row],[fecha]])</f>
        <v>2017</v>
      </c>
      <c r="L593" s="79" t="str">
        <f>IF(Accion[[#This Row],[Precio Cierre]]=MAX(Accion[Precio Cierre]),Accion[[#This Row],[Precio Cierre]],"NA")</f>
        <v>NA</v>
      </c>
      <c r="M593" s="79" t="str">
        <f>IF(Accion[[#This Row],[Precio Cierre]]=MIN(Accion[Precio Cierre]),Accion[[#This Row],[Precio Cierre]],"NA")</f>
        <v>NA</v>
      </c>
    </row>
    <row r="594" spans="1:13" hidden="1">
      <c r="A594" s="38" t="s">
        <v>90</v>
      </c>
      <c r="B594" s="34">
        <v>42758</v>
      </c>
      <c r="C594" s="35">
        <v>19282</v>
      </c>
      <c r="D594" s="35">
        <v>221328520</v>
      </c>
      <c r="E594" s="35">
        <v>11560</v>
      </c>
      <c r="F594" s="35">
        <v>11440</v>
      </c>
      <c r="G594" s="35">
        <v>11440</v>
      </c>
      <c r="H594" s="35">
        <v>11478.5</v>
      </c>
      <c r="I594" s="35">
        <v>0</v>
      </c>
      <c r="J594" s="35">
        <v>0</v>
      </c>
      <c r="K594" s="71">
        <f>YEAR(Accion[[#This Row],[fecha]])</f>
        <v>2017</v>
      </c>
      <c r="L594" s="79" t="str">
        <f>IF(Accion[[#This Row],[Precio Cierre]]=MAX(Accion[Precio Cierre]),Accion[[#This Row],[Precio Cierre]],"NA")</f>
        <v>NA</v>
      </c>
      <c r="M594" s="79" t="str">
        <f>IF(Accion[[#This Row],[Precio Cierre]]=MIN(Accion[Precio Cierre]),Accion[[#This Row],[Precio Cierre]],"NA")</f>
        <v>NA</v>
      </c>
    </row>
    <row r="595" spans="1:13" hidden="1">
      <c r="A595" s="38" t="s">
        <v>90</v>
      </c>
      <c r="B595" s="34">
        <v>42755</v>
      </c>
      <c r="C595" s="35">
        <v>17295</v>
      </c>
      <c r="D595" s="35">
        <v>199995060</v>
      </c>
      <c r="E595" s="35">
        <v>11640</v>
      </c>
      <c r="F595" s="35">
        <v>11440</v>
      </c>
      <c r="G595" s="35">
        <v>11440</v>
      </c>
      <c r="H595" s="35">
        <v>11563.75</v>
      </c>
      <c r="I595" s="35">
        <v>-1.72</v>
      </c>
      <c r="J595" s="35">
        <v>-200</v>
      </c>
      <c r="K595" s="71">
        <f>YEAR(Accion[[#This Row],[fecha]])</f>
        <v>2017</v>
      </c>
      <c r="L595" s="79" t="str">
        <f>IF(Accion[[#This Row],[Precio Cierre]]=MAX(Accion[Precio Cierre]),Accion[[#This Row],[Precio Cierre]],"NA")</f>
        <v>NA</v>
      </c>
      <c r="M595" s="79" t="str">
        <f>IF(Accion[[#This Row],[Precio Cierre]]=MIN(Accion[Precio Cierre]),Accion[[#This Row],[Precio Cierre]],"NA")</f>
        <v>NA</v>
      </c>
    </row>
    <row r="596" spans="1:13" hidden="1">
      <c r="A596" s="38" t="s">
        <v>90</v>
      </c>
      <c r="B596" s="34">
        <v>42754</v>
      </c>
      <c r="C596" s="35">
        <v>55577</v>
      </c>
      <c r="D596" s="35">
        <v>642873060</v>
      </c>
      <c r="E596" s="35">
        <v>11640</v>
      </c>
      <c r="F596" s="35">
        <v>11560</v>
      </c>
      <c r="G596" s="35">
        <v>11640</v>
      </c>
      <c r="H596" s="35">
        <v>11567.25</v>
      </c>
      <c r="I596" s="35">
        <v>0.69</v>
      </c>
      <c r="J596" s="35">
        <v>80</v>
      </c>
      <c r="K596" s="71">
        <f>YEAR(Accion[[#This Row],[fecha]])</f>
        <v>2017</v>
      </c>
      <c r="L596" s="79" t="str">
        <f>IF(Accion[[#This Row],[Precio Cierre]]=MAX(Accion[Precio Cierre]),Accion[[#This Row],[Precio Cierre]],"NA")</f>
        <v>NA</v>
      </c>
      <c r="M596" s="79" t="str">
        <f>IF(Accion[[#This Row],[Precio Cierre]]=MIN(Accion[Precio Cierre]),Accion[[#This Row],[Precio Cierre]],"NA")</f>
        <v>NA</v>
      </c>
    </row>
    <row r="597" spans="1:13" hidden="1">
      <c r="A597" s="38" t="s">
        <v>90</v>
      </c>
      <c r="B597" s="34">
        <v>42753</v>
      </c>
      <c r="C597" s="35">
        <v>41996</v>
      </c>
      <c r="D597" s="35">
        <v>486163240</v>
      </c>
      <c r="E597" s="35">
        <v>11600</v>
      </c>
      <c r="F597" s="35">
        <v>11560</v>
      </c>
      <c r="G597" s="35">
        <v>11560</v>
      </c>
      <c r="H597" s="35">
        <v>11576.42</v>
      </c>
      <c r="I597" s="35">
        <v>-0.34</v>
      </c>
      <c r="J597" s="35">
        <v>-40</v>
      </c>
      <c r="K597" s="71">
        <f>YEAR(Accion[[#This Row],[fecha]])</f>
        <v>2017</v>
      </c>
      <c r="L597" s="79" t="str">
        <f>IF(Accion[[#This Row],[Precio Cierre]]=MAX(Accion[Precio Cierre]),Accion[[#This Row],[Precio Cierre]],"NA")</f>
        <v>NA</v>
      </c>
      <c r="M597" s="79" t="str">
        <f>IF(Accion[[#This Row],[Precio Cierre]]=MIN(Accion[Precio Cierre]),Accion[[#This Row],[Precio Cierre]],"NA")</f>
        <v>NA</v>
      </c>
    </row>
    <row r="598" spans="1:13" hidden="1">
      <c r="A598" s="38" t="s">
        <v>90</v>
      </c>
      <c r="B598" s="34">
        <v>42752</v>
      </c>
      <c r="C598" s="35">
        <v>29791</v>
      </c>
      <c r="D598" s="35">
        <v>344719440</v>
      </c>
      <c r="E598" s="35">
        <v>11640</v>
      </c>
      <c r="F598" s="35">
        <v>11480</v>
      </c>
      <c r="G598" s="35">
        <v>11600</v>
      </c>
      <c r="H598" s="35">
        <v>11571.26</v>
      </c>
      <c r="I598" s="35">
        <v>-0.34</v>
      </c>
      <c r="J598" s="35">
        <v>-40</v>
      </c>
      <c r="K598" s="71">
        <f>YEAR(Accion[[#This Row],[fecha]])</f>
        <v>2017</v>
      </c>
      <c r="L598" s="79" t="str">
        <f>IF(Accion[[#This Row],[Precio Cierre]]=MAX(Accion[Precio Cierre]),Accion[[#This Row],[Precio Cierre]],"NA")</f>
        <v>NA</v>
      </c>
      <c r="M598" s="79" t="str">
        <f>IF(Accion[[#This Row],[Precio Cierre]]=MIN(Accion[Precio Cierre]),Accion[[#This Row],[Precio Cierre]],"NA")</f>
        <v>NA</v>
      </c>
    </row>
    <row r="599" spans="1:13" hidden="1">
      <c r="A599" s="38" t="s">
        <v>90</v>
      </c>
      <c r="B599" s="34">
        <v>42751</v>
      </c>
      <c r="C599" s="35">
        <v>416</v>
      </c>
      <c r="D599" s="35">
        <v>4759040</v>
      </c>
      <c r="E599" s="35">
        <v>0</v>
      </c>
      <c r="F599" s="35">
        <v>0</v>
      </c>
      <c r="G599" s="35">
        <v>11640</v>
      </c>
      <c r="H599" s="35">
        <v>11440</v>
      </c>
      <c r="I599" s="35">
        <v>0</v>
      </c>
      <c r="J599" s="35">
        <v>0</v>
      </c>
      <c r="K599" s="71">
        <f>YEAR(Accion[[#This Row],[fecha]])</f>
        <v>2017</v>
      </c>
      <c r="L599" s="79" t="str">
        <f>IF(Accion[[#This Row],[Precio Cierre]]=MAX(Accion[Precio Cierre]),Accion[[#This Row],[Precio Cierre]],"NA")</f>
        <v>NA</v>
      </c>
      <c r="M599" s="79" t="str">
        <f>IF(Accion[[#This Row],[Precio Cierre]]=MIN(Accion[Precio Cierre]),Accion[[#This Row],[Precio Cierre]],"NA")</f>
        <v>NA</v>
      </c>
    </row>
    <row r="600" spans="1:13" hidden="1">
      <c r="A600" s="38" t="s">
        <v>90</v>
      </c>
      <c r="B600" s="34">
        <v>42748</v>
      </c>
      <c r="C600" s="35">
        <v>50492</v>
      </c>
      <c r="D600" s="35">
        <v>586083660</v>
      </c>
      <c r="E600" s="35">
        <v>11640</v>
      </c>
      <c r="F600" s="35">
        <v>11460</v>
      </c>
      <c r="G600" s="35">
        <v>11640</v>
      </c>
      <c r="H600" s="35">
        <v>11607.46</v>
      </c>
      <c r="I600" s="35">
        <v>0.52</v>
      </c>
      <c r="J600" s="35">
        <v>60</v>
      </c>
      <c r="K600" s="71">
        <f>YEAR(Accion[[#This Row],[fecha]])</f>
        <v>2017</v>
      </c>
      <c r="L600" s="79" t="str">
        <f>IF(Accion[[#This Row],[Precio Cierre]]=MAX(Accion[Precio Cierre]),Accion[[#This Row],[Precio Cierre]],"NA")</f>
        <v>NA</v>
      </c>
      <c r="M600" s="79" t="str">
        <f>IF(Accion[[#This Row],[Precio Cierre]]=MIN(Accion[Precio Cierre]),Accion[[#This Row],[Precio Cierre]],"NA")</f>
        <v>NA</v>
      </c>
    </row>
    <row r="601" spans="1:13" hidden="1">
      <c r="A601" s="38" t="s">
        <v>90</v>
      </c>
      <c r="B601" s="34">
        <v>42747</v>
      </c>
      <c r="C601" s="35">
        <v>78491</v>
      </c>
      <c r="D601" s="35">
        <v>903785700</v>
      </c>
      <c r="E601" s="35">
        <v>11580</v>
      </c>
      <c r="F601" s="35">
        <v>11440</v>
      </c>
      <c r="G601" s="35">
        <v>11580</v>
      </c>
      <c r="H601" s="35">
        <v>11514.51</v>
      </c>
      <c r="I601" s="35">
        <v>-0.52</v>
      </c>
      <c r="J601" s="35">
        <v>-60</v>
      </c>
      <c r="K601" s="71">
        <f>YEAR(Accion[[#This Row],[fecha]])</f>
        <v>2017</v>
      </c>
      <c r="L601" s="79" t="str">
        <f>IF(Accion[[#This Row],[Precio Cierre]]=MAX(Accion[Precio Cierre]),Accion[[#This Row],[Precio Cierre]],"NA")</f>
        <v>NA</v>
      </c>
      <c r="M601" s="79" t="str">
        <f>IF(Accion[[#This Row],[Precio Cierre]]=MIN(Accion[Precio Cierre]),Accion[[#This Row],[Precio Cierre]],"NA")</f>
        <v>NA</v>
      </c>
    </row>
    <row r="602" spans="1:13" hidden="1">
      <c r="A602" s="38" t="s">
        <v>90</v>
      </c>
      <c r="B602" s="34">
        <v>42746</v>
      </c>
      <c r="C602" s="35">
        <v>38285</v>
      </c>
      <c r="D602" s="35">
        <v>443623360</v>
      </c>
      <c r="E602" s="35">
        <v>11660</v>
      </c>
      <c r="F602" s="35">
        <v>11500</v>
      </c>
      <c r="G602" s="35">
        <v>11640</v>
      </c>
      <c r="H602" s="35">
        <v>11587.39</v>
      </c>
      <c r="I602" s="35">
        <v>-0.17</v>
      </c>
      <c r="J602" s="35">
        <v>-20</v>
      </c>
      <c r="K602" s="71">
        <f>YEAR(Accion[[#This Row],[fecha]])</f>
        <v>2017</v>
      </c>
      <c r="L602" s="79" t="str">
        <f>IF(Accion[[#This Row],[Precio Cierre]]=MAX(Accion[Precio Cierre]),Accion[[#This Row],[Precio Cierre]],"NA")</f>
        <v>NA</v>
      </c>
      <c r="M602" s="79" t="str">
        <f>IF(Accion[[#This Row],[Precio Cierre]]=MIN(Accion[Precio Cierre]),Accion[[#This Row],[Precio Cierre]],"NA")</f>
        <v>NA</v>
      </c>
    </row>
    <row r="603" spans="1:13" hidden="1">
      <c r="A603" s="38" t="s">
        <v>90</v>
      </c>
      <c r="B603" s="34">
        <v>42745</v>
      </c>
      <c r="C603" s="35">
        <v>68108</v>
      </c>
      <c r="D603" s="35">
        <v>795144640</v>
      </c>
      <c r="E603" s="35">
        <v>11700</v>
      </c>
      <c r="F603" s="35">
        <v>11640</v>
      </c>
      <c r="G603" s="35">
        <v>11660</v>
      </c>
      <c r="H603" s="35">
        <v>11674.76</v>
      </c>
      <c r="I603" s="35">
        <v>0.52</v>
      </c>
      <c r="J603" s="35">
        <v>60</v>
      </c>
      <c r="K603" s="71">
        <f>YEAR(Accion[[#This Row],[fecha]])</f>
        <v>2017</v>
      </c>
      <c r="L603" s="79" t="str">
        <f>IF(Accion[[#This Row],[Precio Cierre]]=MAX(Accion[Precio Cierre]),Accion[[#This Row],[Precio Cierre]],"NA")</f>
        <v>NA</v>
      </c>
      <c r="M603" s="79" t="str">
        <f>IF(Accion[[#This Row],[Precio Cierre]]=MIN(Accion[Precio Cierre]),Accion[[#This Row],[Precio Cierre]],"NA")</f>
        <v>NA</v>
      </c>
    </row>
    <row r="604" spans="1:13" hidden="1">
      <c r="A604" s="38" t="s">
        <v>90</v>
      </c>
      <c r="B604" s="34">
        <v>42741</v>
      </c>
      <c r="C604" s="35">
        <v>57815</v>
      </c>
      <c r="D604" s="35">
        <v>674128240</v>
      </c>
      <c r="E604" s="35">
        <v>11700</v>
      </c>
      <c r="F604" s="35">
        <v>11600</v>
      </c>
      <c r="G604" s="35">
        <v>11600</v>
      </c>
      <c r="H604" s="35">
        <v>11660.09</v>
      </c>
      <c r="I604" s="35">
        <v>-1.69</v>
      </c>
      <c r="J604" s="35">
        <v>-200</v>
      </c>
      <c r="K604" s="71">
        <f>YEAR(Accion[[#This Row],[fecha]])</f>
        <v>2017</v>
      </c>
      <c r="L604" s="79" t="str">
        <f>IF(Accion[[#This Row],[Precio Cierre]]=MAX(Accion[Precio Cierre]),Accion[[#This Row],[Precio Cierre]],"NA")</f>
        <v>NA</v>
      </c>
      <c r="M604" s="79" t="str">
        <f>IF(Accion[[#This Row],[Precio Cierre]]=MIN(Accion[Precio Cierre]),Accion[[#This Row],[Precio Cierre]],"NA")</f>
        <v>NA</v>
      </c>
    </row>
    <row r="605" spans="1:13" hidden="1">
      <c r="A605" s="38" t="s">
        <v>90</v>
      </c>
      <c r="B605" s="34">
        <v>42740</v>
      </c>
      <c r="C605" s="35">
        <v>69726</v>
      </c>
      <c r="D605" s="35">
        <v>816024440</v>
      </c>
      <c r="E605" s="35">
        <v>11800</v>
      </c>
      <c r="F605" s="35">
        <v>11500</v>
      </c>
      <c r="G605" s="35">
        <v>11800</v>
      </c>
      <c r="H605" s="35">
        <v>11703.3</v>
      </c>
      <c r="I605" s="35">
        <v>0.17</v>
      </c>
      <c r="J605" s="35">
        <v>20</v>
      </c>
      <c r="K605" s="71">
        <f>YEAR(Accion[[#This Row],[fecha]])</f>
        <v>2017</v>
      </c>
      <c r="L605" s="79" t="str">
        <f>IF(Accion[[#This Row],[Precio Cierre]]=MAX(Accion[Precio Cierre]),Accion[[#This Row],[Precio Cierre]],"NA")</f>
        <v>NA</v>
      </c>
      <c r="M605" s="79" t="str">
        <f>IF(Accion[[#This Row],[Precio Cierre]]=MIN(Accion[Precio Cierre]),Accion[[#This Row],[Precio Cierre]],"NA")</f>
        <v>NA</v>
      </c>
    </row>
    <row r="606" spans="1:13" hidden="1">
      <c r="A606" s="38" t="s">
        <v>90</v>
      </c>
      <c r="B606" s="34">
        <v>42739</v>
      </c>
      <c r="C606" s="35">
        <v>250525</v>
      </c>
      <c r="D606" s="35">
        <v>2923645820</v>
      </c>
      <c r="E606" s="35">
        <v>11780</v>
      </c>
      <c r="F606" s="35">
        <v>11460</v>
      </c>
      <c r="G606" s="35">
        <v>11780</v>
      </c>
      <c r="H606" s="35">
        <v>11670.08</v>
      </c>
      <c r="I606" s="35">
        <v>2.79</v>
      </c>
      <c r="J606" s="35">
        <v>320</v>
      </c>
      <c r="K606" s="71">
        <f>YEAR(Accion[[#This Row],[fecha]])</f>
        <v>2017</v>
      </c>
      <c r="L606" s="79" t="str">
        <f>IF(Accion[[#This Row],[Precio Cierre]]=MAX(Accion[Precio Cierre]),Accion[[#This Row],[Precio Cierre]],"NA")</f>
        <v>NA</v>
      </c>
      <c r="M606" s="79" t="str">
        <f>IF(Accion[[#This Row],[Precio Cierre]]=MIN(Accion[Precio Cierre]),Accion[[#This Row],[Precio Cierre]],"NA")</f>
        <v>NA</v>
      </c>
    </row>
    <row r="607" spans="1:13" hidden="1">
      <c r="A607" s="38" t="s">
        <v>90</v>
      </c>
      <c r="B607" s="34">
        <v>42738</v>
      </c>
      <c r="C607" s="35">
        <v>53167</v>
      </c>
      <c r="D607" s="35">
        <v>604842320</v>
      </c>
      <c r="E607" s="35">
        <v>11480</v>
      </c>
      <c r="F607" s="35">
        <v>11240</v>
      </c>
      <c r="G607" s="35">
        <v>11460</v>
      </c>
      <c r="H607" s="35">
        <v>11376.27</v>
      </c>
      <c r="I607" s="35">
        <v>1.96</v>
      </c>
      <c r="J607" s="35">
        <v>220</v>
      </c>
      <c r="K607" s="71">
        <f>YEAR(Accion[[#This Row],[fecha]])</f>
        <v>2017</v>
      </c>
      <c r="L607" s="79" t="str">
        <f>IF(Accion[[#This Row],[Precio Cierre]]=MAX(Accion[Precio Cierre]),Accion[[#This Row],[Precio Cierre]],"NA")</f>
        <v>NA</v>
      </c>
      <c r="M607" s="79" t="str">
        <f>IF(Accion[[#This Row],[Precio Cierre]]=MIN(Accion[Precio Cierre]),Accion[[#This Row],[Precio Cierre]],"NA")</f>
        <v>NA</v>
      </c>
    </row>
    <row r="608" spans="1:13" hidden="1">
      <c r="A608" s="38" t="s">
        <v>90</v>
      </c>
      <c r="B608" s="34">
        <v>42737</v>
      </c>
      <c r="C608" s="35">
        <v>2655</v>
      </c>
      <c r="D608" s="35">
        <v>29842200</v>
      </c>
      <c r="E608" s="35">
        <v>11240</v>
      </c>
      <c r="F608" s="35">
        <v>11240</v>
      </c>
      <c r="G608" s="35">
        <v>11240</v>
      </c>
      <c r="H608" s="35">
        <v>11240</v>
      </c>
      <c r="I608" s="35">
        <v>-0.53</v>
      </c>
      <c r="J608" s="35">
        <v>-60</v>
      </c>
      <c r="K608" s="71">
        <f>YEAR(Accion[[#This Row],[fecha]])</f>
        <v>2017</v>
      </c>
      <c r="L608" s="79" t="str">
        <f>IF(Accion[[#This Row],[Precio Cierre]]=MAX(Accion[Precio Cierre]),Accion[[#This Row],[Precio Cierre]],"NA")</f>
        <v>NA</v>
      </c>
      <c r="M608" s="79" t="str">
        <f>IF(Accion[[#This Row],[Precio Cierre]]=MIN(Accion[Precio Cierre]),Accion[[#This Row],[Precio Cierre]],"NA")</f>
        <v>NA</v>
      </c>
    </row>
    <row r="609" spans="1:13" hidden="1">
      <c r="A609" s="38" t="s">
        <v>90</v>
      </c>
      <c r="B609" s="34">
        <v>42733</v>
      </c>
      <c r="C609" s="35">
        <v>41014</v>
      </c>
      <c r="D609" s="35">
        <v>464273160</v>
      </c>
      <c r="E609" s="35">
        <v>11400</v>
      </c>
      <c r="F609" s="35">
        <v>11300</v>
      </c>
      <c r="G609" s="35">
        <v>11300</v>
      </c>
      <c r="H609" s="35">
        <v>11319.87</v>
      </c>
      <c r="I609" s="35">
        <v>0</v>
      </c>
      <c r="J609" s="35">
        <v>0</v>
      </c>
      <c r="K609" s="71">
        <f>YEAR(Accion[[#This Row],[fecha]])</f>
        <v>2016</v>
      </c>
      <c r="L609" s="79" t="str">
        <f>IF(Accion[[#This Row],[Precio Cierre]]=MAX(Accion[Precio Cierre]),Accion[[#This Row],[Precio Cierre]],"NA")</f>
        <v>NA</v>
      </c>
      <c r="M609" s="79" t="str">
        <f>IF(Accion[[#This Row],[Precio Cierre]]=MIN(Accion[Precio Cierre]),Accion[[#This Row],[Precio Cierre]],"NA")</f>
        <v>NA</v>
      </c>
    </row>
    <row r="610" spans="1:13" hidden="1">
      <c r="A610" s="38" t="s">
        <v>90</v>
      </c>
      <c r="B610" s="34">
        <v>42732</v>
      </c>
      <c r="C610" s="35">
        <v>22929</v>
      </c>
      <c r="D610" s="35">
        <v>258536200</v>
      </c>
      <c r="E610" s="35">
        <v>11300</v>
      </c>
      <c r="F610" s="35">
        <v>11220</v>
      </c>
      <c r="G610" s="35">
        <v>11300</v>
      </c>
      <c r="H610" s="35">
        <v>11275.51</v>
      </c>
      <c r="I610" s="35">
        <v>0.18</v>
      </c>
      <c r="J610" s="35">
        <v>20</v>
      </c>
      <c r="K610" s="71">
        <f>YEAR(Accion[[#This Row],[fecha]])</f>
        <v>2016</v>
      </c>
      <c r="L610" s="79" t="str">
        <f>IF(Accion[[#This Row],[Precio Cierre]]=MAX(Accion[Precio Cierre]),Accion[[#This Row],[Precio Cierre]],"NA")</f>
        <v>NA</v>
      </c>
      <c r="M610" s="79" t="str">
        <f>IF(Accion[[#This Row],[Precio Cierre]]=MIN(Accion[Precio Cierre]),Accion[[#This Row],[Precio Cierre]],"NA")</f>
        <v>NA</v>
      </c>
    </row>
    <row r="611" spans="1:13" hidden="1">
      <c r="A611" s="38" t="s">
        <v>90</v>
      </c>
      <c r="B611" s="34">
        <v>42731</v>
      </c>
      <c r="C611" s="35">
        <v>33506</v>
      </c>
      <c r="D611" s="35">
        <v>375728740</v>
      </c>
      <c r="E611" s="35">
        <v>11280</v>
      </c>
      <c r="F611" s="35">
        <v>11200</v>
      </c>
      <c r="G611" s="35">
        <v>11280</v>
      </c>
      <c r="H611" s="35">
        <v>11213.77</v>
      </c>
      <c r="I611" s="35">
        <v>0.71</v>
      </c>
      <c r="J611" s="35">
        <v>80</v>
      </c>
      <c r="K611" s="71">
        <f>YEAR(Accion[[#This Row],[fecha]])</f>
        <v>2016</v>
      </c>
      <c r="L611" s="79" t="str">
        <f>IF(Accion[[#This Row],[Precio Cierre]]=MAX(Accion[Precio Cierre]),Accion[[#This Row],[Precio Cierre]],"NA")</f>
        <v>NA</v>
      </c>
      <c r="M611" s="79" t="str">
        <f>IF(Accion[[#This Row],[Precio Cierre]]=MIN(Accion[Precio Cierre]),Accion[[#This Row],[Precio Cierre]],"NA")</f>
        <v>NA</v>
      </c>
    </row>
    <row r="612" spans="1:13" hidden="1">
      <c r="A612" s="38" t="s">
        <v>90</v>
      </c>
      <c r="B612" s="34">
        <v>42730</v>
      </c>
      <c r="C612" s="35">
        <v>29983</v>
      </c>
      <c r="D612" s="35">
        <v>335423300</v>
      </c>
      <c r="E612" s="35">
        <v>11200</v>
      </c>
      <c r="F612" s="35">
        <v>11100</v>
      </c>
      <c r="G612" s="35">
        <v>11200</v>
      </c>
      <c r="H612" s="35">
        <v>11187.12</v>
      </c>
      <c r="I612" s="35">
        <v>0.36</v>
      </c>
      <c r="J612" s="35">
        <v>40</v>
      </c>
      <c r="K612" s="71">
        <f>YEAR(Accion[[#This Row],[fecha]])</f>
        <v>2016</v>
      </c>
      <c r="L612" s="79" t="str">
        <f>IF(Accion[[#This Row],[Precio Cierre]]=MAX(Accion[Precio Cierre]),Accion[[#This Row],[Precio Cierre]],"NA")</f>
        <v>NA</v>
      </c>
      <c r="M612" s="79" t="str">
        <f>IF(Accion[[#This Row],[Precio Cierre]]=MIN(Accion[Precio Cierre]),Accion[[#This Row],[Precio Cierre]],"NA")</f>
        <v>NA</v>
      </c>
    </row>
    <row r="613" spans="1:13" hidden="1">
      <c r="A613" s="38" t="s">
        <v>90</v>
      </c>
      <c r="B613" s="34">
        <v>42727</v>
      </c>
      <c r="C613" s="35">
        <v>17699</v>
      </c>
      <c r="D613" s="35">
        <v>193593480</v>
      </c>
      <c r="E613" s="35">
        <v>11160</v>
      </c>
      <c r="F613" s="35">
        <v>10900</v>
      </c>
      <c r="G613" s="35">
        <v>11160</v>
      </c>
      <c r="H613" s="35">
        <v>10938.1</v>
      </c>
      <c r="I613" s="35">
        <v>-0.36</v>
      </c>
      <c r="J613" s="35">
        <v>-40</v>
      </c>
      <c r="K613" s="71">
        <f>YEAR(Accion[[#This Row],[fecha]])</f>
        <v>2016</v>
      </c>
      <c r="L613" s="79" t="str">
        <f>IF(Accion[[#This Row],[Precio Cierre]]=MAX(Accion[Precio Cierre]),Accion[[#This Row],[Precio Cierre]],"NA")</f>
        <v>NA</v>
      </c>
      <c r="M613" s="79" t="str">
        <f>IF(Accion[[#This Row],[Precio Cierre]]=MIN(Accion[Precio Cierre]),Accion[[#This Row],[Precio Cierre]],"NA")</f>
        <v>NA</v>
      </c>
    </row>
    <row r="614" spans="1:13" hidden="1">
      <c r="A614" s="38" t="s">
        <v>90</v>
      </c>
      <c r="B614" s="34">
        <v>42726</v>
      </c>
      <c r="C614" s="35">
        <v>201480</v>
      </c>
      <c r="D614" s="35">
        <v>2179124760</v>
      </c>
      <c r="E614" s="35">
        <v>11200</v>
      </c>
      <c r="F614" s="35">
        <v>10600</v>
      </c>
      <c r="G614" s="35">
        <v>11200</v>
      </c>
      <c r="H614" s="35">
        <v>10815.59</v>
      </c>
      <c r="I614" s="35">
        <v>1.82</v>
      </c>
      <c r="J614" s="35">
        <v>200</v>
      </c>
      <c r="K614" s="71">
        <f>YEAR(Accion[[#This Row],[fecha]])</f>
        <v>2016</v>
      </c>
      <c r="L614" s="79" t="str">
        <f>IF(Accion[[#This Row],[Precio Cierre]]=MAX(Accion[Precio Cierre]),Accion[[#This Row],[Precio Cierre]],"NA")</f>
        <v>NA</v>
      </c>
      <c r="M614" s="79" t="str">
        <f>IF(Accion[[#This Row],[Precio Cierre]]=MIN(Accion[Precio Cierre]),Accion[[#This Row],[Precio Cierre]],"NA")</f>
        <v>NA</v>
      </c>
    </row>
    <row r="615" spans="1:13" hidden="1">
      <c r="A615" s="38" t="s">
        <v>90</v>
      </c>
      <c r="B615" s="34">
        <v>42725</v>
      </c>
      <c r="C615" s="35">
        <v>194802</v>
      </c>
      <c r="D615" s="35">
        <v>2141498760</v>
      </c>
      <c r="E615" s="35">
        <v>11000</v>
      </c>
      <c r="F615" s="35">
        <v>10880</v>
      </c>
      <c r="G615" s="35">
        <v>11000</v>
      </c>
      <c r="H615" s="35">
        <v>10993.21</v>
      </c>
      <c r="I615" s="35">
        <v>-0.9</v>
      </c>
      <c r="J615" s="35">
        <v>-100</v>
      </c>
      <c r="K615" s="71">
        <f>YEAR(Accion[[#This Row],[fecha]])</f>
        <v>2016</v>
      </c>
      <c r="L615" s="79" t="str">
        <f>IF(Accion[[#This Row],[Precio Cierre]]=MAX(Accion[Precio Cierre]),Accion[[#This Row],[Precio Cierre]],"NA")</f>
        <v>NA</v>
      </c>
      <c r="M615" s="79" t="str">
        <f>IF(Accion[[#This Row],[Precio Cierre]]=MIN(Accion[Precio Cierre]),Accion[[#This Row],[Precio Cierre]],"NA")</f>
        <v>NA</v>
      </c>
    </row>
    <row r="616" spans="1:13" hidden="1">
      <c r="A616" s="38" t="s">
        <v>90</v>
      </c>
      <c r="B616" s="34">
        <v>42724</v>
      </c>
      <c r="C616" s="35">
        <v>81474</v>
      </c>
      <c r="D616" s="35">
        <v>902513700</v>
      </c>
      <c r="E616" s="35">
        <v>11200</v>
      </c>
      <c r="F616" s="35">
        <v>11000</v>
      </c>
      <c r="G616" s="35">
        <v>11100</v>
      </c>
      <c r="H616" s="35">
        <v>11077.32</v>
      </c>
      <c r="I616" s="35">
        <v>-0.89</v>
      </c>
      <c r="J616" s="35">
        <v>-100</v>
      </c>
      <c r="K616" s="71">
        <f>YEAR(Accion[[#This Row],[fecha]])</f>
        <v>2016</v>
      </c>
      <c r="L616" s="79" t="str">
        <f>IF(Accion[[#This Row],[Precio Cierre]]=MAX(Accion[Precio Cierre]),Accion[[#This Row],[Precio Cierre]],"NA")</f>
        <v>NA</v>
      </c>
      <c r="M616" s="79" t="str">
        <f>IF(Accion[[#This Row],[Precio Cierre]]=MIN(Accion[Precio Cierre]),Accion[[#This Row],[Precio Cierre]],"NA")</f>
        <v>NA</v>
      </c>
    </row>
    <row r="617" spans="1:13" hidden="1">
      <c r="A617" s="38" t="s">
        <v>90</v>
      </c>
      <c r="B617" s="34">
        <v>42723</v>
      </c>
      <c r="C617" s="35">
        <v>54291</v>
      </c>
      <c r="D617" s="35">
        <v>608263300</v>
      </c>
      <c r="E617" s="35">
        <v>11300</v>
      </c>
      <c r="F617" s="35">
        <v>11200</v>
      </c>
      <c r="G617" s="35">
        <v>11200</v>
      </c>
      <c r="H617" s="35">
        <v>11203.76</v>
      </c>
      <c r="I617" s="35">
        <v>-1.23</v>
      </c>
      <c r="J617" s="35">
        <v>-140</v>
      </c>
      <c r="K617" s="71">
        <f>YEAR(Accion[[#This Row],[fecha]])</f>
        <v>2016</v>
      </c>
      <c r="L617" s="79" t="str">
        <f>IF(Accion[[#This Row],[Precio Cierre]]=MAX(Accion[Precio Cierre]),Accion[[#This Row],[Precio Cierre]],"NA")</f>
        <v>NA</v>
      </c>
      <c r="M617" s="79" t="str">
        <f>IF(Accion[[#This Row],[Precio Cierre]]=MIN(Accion[Precio Cierre]),Accion[[#This Row],[Precio Cierre]],"NA")</f>
        <v>NA</v>
      </c>
    </row>
    <row r="618" spans="1:13" hidden="1">
      <c r="A618" s="38" t="s">
        <v>90</v>
      </c>
      <c r="B618" s="34">
        <v>42720</v>
      </c>
      <c r="C618" s="35">
        <v>203558</v>
      </c>
      <c r="D618" s="35">
        <v>2264280000</v>
      </c>
      <c r="E618" s="35">
        <v>11340</v>
      </c>
      <c r="F618" s="35">
        <v>11020</v>
      </c>
      <c r="G618" s="35">
        <v>11340</v>
      </c>
      <c r="H618" s="35">
        <v>11123.51</v>
      </c>
      <c r="I618" s="35">
        <v>1.98</v>
      </c>
      <c r="J618" s="35">
        <v>220</v>
      </c>
      <c r="K618" s="71">
        <f>YEAR(Accion[[#This Row],[fecha]])</f>
        <v>2016</v>
      </c>
      <c r="L618" s="79" t="str">
        <f>IF(Accion[[#This Row],[Precio Cierre]]=MAX(Accion[Precio Cierre]),Accion[[#This Row],[Precio Cierre]],"NA")</f>
        <v>NA</v>
      </c>
      <c r="M618" s="79" t="str">
        <f>IF(Accion[[#This Row],[Precio Cierre]]=MIN(Accion[Precio Cierre]),Accion[[#This Row],[Precio Cierre]],"NA")</f>
        <v>NA</v>
      </c>
    </row>
    <row r="619" spans="1:13" hidden="1">
      <c r="A619" s="38" t="s">
        <v>90</v>
      </c>
      <c r="B619" s="34">
        <v>42719</v>
      </c>
      <c r="C619" s="35">
        <v>149138</v>
      </c>
      <c r="D619" s="35">
        <v>1621882740</v>
      </c>
      <c r="E619" s="35">
        <v>11120</v>
      </c>
      <c r="F619" s="35">
        <v>10800</v>
      </c>
      <c r="G619" s="35">
        <v>11120</v>
      </c>
      <c r="H619" s="35">
        <v>10875.05</v>
      </c>
      <c r="I619" s="35">
        <v>2.02</v>
      </c>
      <c r="J619" s="35">
        <v>220</v>
      </c>
      <c r="K619" s="71">
        <f>YEAR(Accion[[#This Row],[fecha]])</f>
        <v>2016</v>
      </c>
      <c r="L619" s="79" t="str">
        <f>IF(Accion[[#This Row],[Precio Cierre]]=MAX(Accion[Precio Cierre]),Accion[[#This Row],[Precio Cierre]],"NA")</f>
        <v>NA</v>
      </c>
      <c r="M619" s="79" t="str">
        <f>IF(Accion[[#This Row],[Precio Cierre]]=MIN(Accion[Precio Cierre]),Accion[[#This Row],[Precio Cierre]],"NA")</f>
        <v>NA</v>
      </c>
    </row>
    <row r="620" spans="1:13" hidden="1">
      <c r="A620" s="38" t="s">
        <v>90</v>
      </c>
      <c r="B620" s="34">
        <v>42718</v>
      </c>
      <c r="C620" s="35">
        <v>242193</v>
      </c>
      <c r="D620" s="35">
        <v>2651077460</v>
      </c>
      <c r="E620" s="35">
        <v>11080</v>
      </c>
      <c r="F620" s="35">
        <v>10820</v>
      </c>
      <c r="G620" s="35">
        <v>10900</v>
      </c>
      <c r="H620" s="35">
        <v>10946.14</v>
      </c>
      <c r="I620" s="35">
        <v>-1.8</v>
      </c>
      <c r="J620" s="35">
        <v>-200</v>
      </c>
      <c r="K620" s="71">
        <f>YEAR(Accion[[#This Row],[fecha]])</f>
        <v>2016</v>
      </c>
      <c r="L620" s="79" t="str">
        <f>IF(Accion[[#This Row],[Precio Cierre]]=MAX(Accion[Precio Cierre]),Accion[[#This Row],[Precio Cierre]],"NA")</f>
        <v>NA</v>
      </c>
      <c r="M620" s="79" t="str">
        <f>IF(Accion[[#This Row],[Precio Cierre]]=MIN(Accion[Precio Cierre]),Accion[[#This Row],[Precio Cierre]],"NA")</f>
        <v>NA</v>
      </c>
    </row>
    <row r="621" spans="1:13" hidden="1">
      <c r="A621" s="38" t="s">
        <v>90</v>
      </c>
      <c r="B621" s="34">
        <v>42717</v>
      </c>
      <c r="C621" s="35">
        <v>763739</v>
      </c>
      <c r="D621" s="35">
        <v>8473018380</v>
      </c>
      <c r="E621" s="35">
        <v>11100</v>
      </c>
      <c r="F621" s="35">
        <v>10940</v>
      </c>
      <c r="G621" s="35">
        <v>11100</v>
      </c>
      <c r="H621" s="35">
        <v>11094.13</v>
      </c>
      <c r="I621" s="35">
        <v>-1.25</v>
      </c>
      <c r="J621" s="35">
        <v>-140</v>
      </c>
      <c r="K621" s="71">
        <f>YEAR(Accion[[#This Row],[fecha]])</f>
        <v>2016</v>
      </c>
      <c r="L621" s="79" t="str">
        <f>IF(Accion[[#This Row],[Precio Cierre]]=MAX(Accion[Precio Cierre]),Accion[[#This Row],[Precio Cierre]],"NA")</f>
        <v>NA</v>
      </c>
      <c r="M621" s="79" t="str">
        <f>IF(Accion[[#This Row],[Precio Cierre]]=MIN(Accion[Precio Cierre]),Accion[[#This Row],[Precio Cierre]],"NA")</f>
        <v>NA</v>
      </c>
    </row>
    <row r="622" spans="1:13" hidden="1">
      <c r="A622" s="38" t="s">
        <v>90</v>
      </c>
      <c r="B622" s="34">
        <v>42716</v>
      </c>
      <c r="C622" s="35">
        <v>57241</v>
      </c>
      <c r="D622" s="35">
        <v>633484280</v>
      </c>
      <c r="E622" s="35">
        <v>11240</v>
      </c>
      <c r="F622" s="35">
        <v>10800</v>
      </c>
      <c r="G622" s="35">
        <v>11240</v>
      </c>
      <c r="H622" s="35">
        <v>11066.97</v>
      </c>
      <c r="I622" s="35">
        <v>0</v>
      </c>
      <c r="J622" s="35">
        <v>0</v>
      </c>
      <c r="K622" s="71">
        <f>YEAR(Accion[[#This Row],[fecha]])</f>
        <v>2016</v>
      </c>
      <c r="L622" s="79" t="str">
        <f>IF(Accion[[#This Row],[Precio Cierre]]=MAX(Accion[Precio Cierre]),Accion[[#This Row],[Precio Cierre]],"NA")</f>
        <v>NA</v>
      </c>
      <c r="M622" s="79" t="str">
        <f>IF(Accion[[#This Row],[Precio Cierre]]=MIN(Accion[Precio Cierre]),Accion[[#This Row],[Precio Cierre]],"NA")</f>
        <v>NA</v>
      </c>
    </row>
    <row r="623" spans="1:13" hidden="1">
      <c r="A623" s="38" t="s">
        <v>90</v>
      </c>
      <c r="B623" s="34">
        <v>42713</v>
      </c>
      <c r="C623" s="35">
        <v>342496</v>
      </c>
      <c r="D623" s="35">
        <v>3815742560</v>
      </c>
      <c r="E623" s="35">
        <v>11260</v>
      </c>
      <c r="F623" s="35">
        <v>10920</v>
      </c>
      <c r="G623" s="35">
        <v>11240</v>
      </c>
      <c r="H623" s="35">
        <v>11140.98</v>
      </c>
      <c r="I623" s="35">
        <v>2</v>
      </c>
      <c r="J623" s="35">
        <v>220</v>
      </c>
      <c r="K623" s="71">
        <f>YEAR(Accion[[#This Row],[fecha]])</f>
        <v>2016</v>
      </c>
      <c r="L623" s="79" t="str">
        <f>IF(Accion[[#This Row],[Precio Cierre]]=MAX(Accion[Precio Cierre]),Accion[[#This Row],[Precio Cierre]],"NA")</f>
        <v>NA</v>
      </c>
      <c r="M623" s="79" t="str">
        <f>IF(Accion[[#This Row],[Precio Cierre]]=MIN(Accion[Precio Cierre]),Accion[[#This Row],[Precio Cierre]],"NA")</f>
        <v>NA</v>
      </c>
    </row>
    <row r="624" spans="1:13" hidden="1">
      <c r="A624" s="38" t="s">
        <v>90</v>
      </c>
      <c r="B624" s="34">
        <v>42711</v>
      </c>
      <c r="C624" s="35">
        <v>569672</v>
      </c>
      <c r="D624" s="35">
        <v>6263762100</v>
      </c>
      <c r="E624" s="35">
        <v>11080</v>
      </c>
      <c r="F624" s="35">
        <v>10900</v>
      </c>
      <c r="G624" s="35">
        <v>11020</v>
      </c>
      <c r="H624" s="35">
        <v>10995.38</v>
      </c>
      <c r="I624" s="35">
        <v>-1.43</v>
      </c>
      <c r="J624" s="35">
        <v>-160</v>
      </c>
      <c r="K624" s="71">
        <f>YEAR(Accion[[#This Row],[fecha]])</f>
        <v>2016</v>
      </c>
      <c r="L624" s="79" t="str">
        <f>IF(Accion[[#This Row],[Precio Cierre]]=MAX(Accion[Precio Cierre]),Accion[[#This Row],[Precio Cierre]],"NA")</f>
        <v>NA</v>
      </c>
      <c r="M624" s="79" t="str">
        <f>IF(Accion[[#This Row],[Precio Cierre]]=MIN(Accion[Precio Cierre]),Accion[[#This Row],[Precio Cierre]],"NA")</f>
        <v>NA</v>
      </c>
    </row>
    <row r="625" spans="1:13" hidden="1">
      <c r="A625" s="38" t="s">
        <v>90</v>
      </c>
      <c r="B625" s="34">
        <v>42710</v>
      </c>
      <c r="C625" s="35">
        <v>100303</v>
      </c>
      <c r="D625" s="35">
        <v>1121032220</v>
      </c>
      <c r="E625" s="35">
        <v>11200</v>
      </c>
      <c r="F625" s="35">
        <v>11100</v>
      </c>
      <c r="G625" s="35">
        <v>11180</v>
      </c>
      <c r="H625" s="35">
        <v>11176.46</v>
      </c>
      <c r="I625" s="35">
        <v>-0.53</v>
      </c>
      <c r="J625" s="35">
        <v>-60</v>
      </c>
      <c r="K625" s="71">
        <f>YEAR(Accion[[#This Row],[fecha]])</f>
        <v>2016</v>
      </c>
      <c r="L625" s="79" t="str">
        <f>IF(Accion[[#This Row],[Precio Cierre]]=MAX(Accion[Precio Cierre]),Accion[[#This Row],[Precio Cierre]],"NA")</f>
        <v>NA</v>
      </c>
      <c r="M625" s="79" t="str">
        <f>IF(Accion[[#This Row],[Precio Cierre]]=MIN(Accion[Precio Cierre]),Accion[[#This Row],[Precio Cierre]],"NA")</f>
        <v>NA</v>
      </c>
    </row>
    <row r="626" spans="1:13" hidden="1">
      <c r="A626" s="38" t="s">
        <v>90</v>
      </c>
      <c r="B626" s="34">
        <v>42709</v>
      </c>
      <c r="C626" s="35">
        <v>480948</v>
      </c>
      <c r="D626" s="35">
        <v>5469649840</v>
      </c>
      <c r="E626" s="35">
        <v>11540</v>
      </c>
      <c r="F626" s="35">
        <v>11240</v>
      </c>
      <c r="G626" s="35">
        <v>11240</v>
      </c>
      <c r="H626" s="35">
        <v>11372.64</v>
      </c>
      <c r="I626" s="35">
        <v>-0.53</v>
      </c>
      <c r="J626" s="35">
        <v>-60</v>
      </c>
      <c r="K626" s="71">
        <f>YEAR(Accion[[#This Row],[fecha]])</f>
        <v>2016</v>
      </c>
      <c r="L626" s="79" t="str">
        <f>IF(Accion[[#This Row],[Precio Cierre]]=MAX(Accion[Precio Cierre]),Accion[[#This Row],[Precio Cierre]],"NA")</f>
        <v>NA</v>
      </c>
      <c r="M626" s="79" t="str">
        <f>IF(Accion[[#This Row],[Precio Cierre]]=MIN(Accion[Precio Cierre]),Accion[[#This Row],[Precio Cierre]],"NA")</f>
        <v>NA</v>
      </c>
    </row>
    <row r="627" spans="1:13" hidden="1">
      <c r="A627" s="38" t="s">
        <v>90</v>
      </c>
      <c r="B627" s="34">
        <v>42706</v>
      </c>
      <c r="C627" s="35">
        <v>47036</v>
      </c>
      <c r="D627" s="35">
        <v>532332100</v>
      </c>
      <c r="E627" s="35">
        <v>11360</v>
      </c>
      <c r="F627" s="35">
        <v>11260</v>
      </c>
      <c r="G627" s="35">
        <v>11300</v>
      </c>
      <c r="H627" s="35">
        <v>11317.55</v>
      </c>
      <c r="I627" s="35">
        <v>-0.18</v>
      </c>
      <c r="J627" s="35">
        <v>-20</v>
      </c>
      <c r="K627" s="71">
        <f>YEAR(Accion[[#This Row],[fecha]])</f>
        <v>2016</v>
      </c>
      <c r="L627" s="79" t="str">
        <f>IF(Accion[[#This Row],[Precio Cierre]]=MAX(Accion[Precio Cierre]),Accion[[#This Row],[Precio Cierre]],"NA")</f>
        <v>NA</v>
      </c>
      <c r="M627" s="79" t="str">
        <f>IF(Accion[[#This Row],[Precio Cierre]]=MIN(Accion[Precio Cierre]),Accion[[#This Row],[Precio Cierre]],"NA")</f>
        <v>NA</v>
      </c>
    </row>
    <row r="628" spans="1:13" hidden="1">
      <c r="A628" s="38" t="s">
        <v>90</v>
      </c>
      <c r="B628" s="34">
        <v>42705</v>
      </c>
      <c r="C628" s="35">
        <v>378581</v>
      </c>
      <c r="D628" s="35">
        <v>4288602700</v>
      </c>
      <c r="E628" s="35">
        <v>11500</v>
      </c>
      <c r="F628" s="35">
        <v>11080</v>
      </c>
      <c r="G628" s="35">
        <v>11320</v>
      </c>
      <c r="H628" s="35">
        <v>11328.1</v>
      </c>
      <c r="I628" s="35">
        <v>1.98</v>
      </c>
      <c r="J628" s="35">
        <v>220</v>
      </c>
      <c r="K628" s="71">
        <f>YEAR(Accion[[#This Row],[fecha]])</f>
        <v>2016</v>
      </c>
      <c r="L628" s="79" t="str">
        <f>IF(Accion[[#This Row],[Precio Cierre]]=MAX(Accion[Precio Cierre]),Accion[[#This Row],[Precio Cierre]],"NA")</f>
        <v>NA</v>
      </c>
      <c r="M628" s="79" t="str">
        <f>IF(Accion[[#This Row],[Precio Cierre]]=MIN(Accion[Precio Cierre]),Accion[[#This Row],[Precio Cierre]],"NA")</f>
        <v>NA</v>
      </c>
    </row>
    <row r="629" spans="1:13" hidden="1">
      <c r="A629" s="38" t="s">
        <v>90</v>
      </c>
      <c r="B629" s="34">
        <v>42704</v>
      </c>
      <c r="C629" s="35">
        <v>163128</v>
      </c>
      <c r="D629" s="35">
        <v>1802108580</v>
      </c>
      <c r="E629" s="35">
        <v>11100</v>
      </c>
      <c r="F629" s="35">
        <v>10940</v>
      </c>
      <c r="G629" s="35">
        <v>11100</v>
      </c>
      <c r="H629" s="35">
        <v>11047.21</v>
      </c>
      <c r="I629" s="35">
        <v>0.73</v>
      </c>
      <c r="J629" s="35">
        <v>80</v>
      </c>
      <c r="K629" s="71">
        <f>YEAR(Accion[[#This Row],[fecha]])</f>
        <v>2016</v>
      </c>
      <c r="L629" s="79" t="str">
        <f>IF(Accion[[#This Row],[Precio Cierre]]=MAX(Accion[Precio Cierre]),Accion[[#This Row],[Precio Cierre]],"NA")</f>
        <v>NA</v>
      </c>
      <c r="M629" s="79" t="str">
        <f>IF(Accion[[#This Row],[Precio Cierre]]=MIN(Accion[Precio Cierre]),Accion[[#This Row],[Precio Cierre]],"NA")</f>
        <v>NA</v>
      </c>
    </row>
    <row r="630" spans="1:13" hidden="1">
      <c r="A630" s="38" t="s">
        <v>90</v>
      </c>
      <c r="B630" s="34">
        <v>42703</v>
      </c>
      <c r="C630" s="35">
        <v>158327</v>
      </c>
      <c r="D630" s="35">
        <v>1766693300</v>
      </c>
      <c r="E630" s="35">
        <v>11300</v>
      </c>
      <c r="F630" s="35">
        <v>11020</v>
      </c>
      <c r="G630" s="35">
        <v>11020</v>
      </c>
      <c r="H630" s="35">
        <v>11158.51</v>
      </c>
      <c r="I630" s="35">
        <v>-2.82</v>
      </c>
      <c r="J630" s="35">
        <v>-320</v>
      </c>
      <c r="K630" s="71">
        <f>YEAR(Accion[[#This Row],[fecha]])</f>
        <v>2016</v>
      </c>
      <c r="L630" s="79" t="str">
        <f>IF(Accion[[#This Row],[Precio Cierre]]=MAX(Accion[Precio Cierre]),Accion[[#This Row],[Precio Cierre]],"NA")</f>
        <v>NA</v>
      </c>
      <c r="M630" s="79" t="str">
        <f>IF(Accion[[#This Row],[Precio Cierre]]=MIN(Accion[Precio Cierre]),Accion[[#This Row],[Precio Cierre]],"NA")</f>
        <v>NA</v>
      </c>
    </row>
    <row r="631" spans="1:13" hidden="1">
      <c r="A631" s="38" t="s">
        <v>90</v>
      </c>
      <c r="B631" s="34">
        <v>42702</v>
      </c>
      <c r="C631" s="35">
        <v>407300</v>
      </c>
      <c r="D631" s="35">
        <v>4552015500</v>
      </c>
      <c r="E631" s="35">
        <v>11440</v>
      </c>
      <c r="F631" s="35">
        <v>11000</v>
      </c>
      <c r="G631" s="35">
        <v>11340</v>
      </c>
      <c r="H631" s="35">
        <v>11176.08</v>
      </c>
      <c r="I631" s="35">
        <v>-1.22</v>
      </c>
      <c r="J631" s="35">
        <v>-140</v>
      </c>
      <c r="K631" s="71">
        <f>YEAR(Accion[[#This Row],[fecha]])</f>
        <v>2016</v>
      </c>
      <c r="L631" s="79" t="str">
        <f>IF(Accion[[#This Row],[Precio Cierre]]=MAX(Accion[Precio Cierre]),Accion[[#This Row],[Precio Cierre]],"NA")</f>
        <v>NA</v>
      </c>
      <c r="M631" s="79" t="str">
        <f>IF(Accion[[#This Row],[Precio Cierre]]=MIN(Accion[Precio Cierre]),Accion[[#This Row],[Precio Cierre]],"NA")</f>
        <v>NA</v>
      </c>
    </row>
    <row r="632" spans="1:13" hidden="1">
      <c r="A632" s="38" t="s">
        <v>90</v>
      </c>
      <c r="B632" s="34">
        <v>42699</v>
      </c>
      <c r="C632" s="35">
        <v>80534</v>
      </c>
      <c r="D632" s="35">
        <v>920889240</v>
      </c>
      <c r="E632" s="35">
        <v>11520</v>
      </c>
      <c r="F632" s="35">
        <v>11320</v>
      </c>
      <c r="G632" s="35">
        <v>11480</v>
      </c>
      <c r="H632" s="35">
        <v>11434.79</v>
      </c>
      <c r="I632" s="35">
        <v>-1.88</v>
      </c>
      <c r="J632" s="35">
        <v>-220</v>
      </c>
      <c r="K632" s="71">
        <f>YEAR(Accion[[#This Row],[fecha]])</f>
        <v>2016</v>
      </c>
      <c r="L632" s="79" t="str">
        <f>IF(Accion[[#This Row],[Precio Cierre]]=MAX(Accion[Precio Cierre]),Accion[[#This Row],[Precio Cierre]],"NA")</f>
        <v>NA</v>
      </c>
      <c r="M632" s="79" t="str">
        <f>IF(Accion[[#This Row],[Precio Cierre]]=MIN(Accion[Precio Cierre]),Accion[[#This Row],[Precio Cierre]],"NA")</f>
        <v>NA</v>
      </c>
    </row>
    <row r="633" spans="1:13" hidden="1">
      <c r="A633" s="38" t="s">
        <v>90</v>
      </c>
      <c r="B633" s="34">
        <v>42698</v>
      </c>
      <c r="C633" s="35">
        <v>23142</v>
      </c>
      <c r="D633" s="35">
        <v>269321160</v>
      </c>
      <c r="E633" s="35">
        <v>11700</v>
      </c>
      <c r="F633" s="35">
        <v>11540</v>
      </c>
      <c r="G633" s="35">
        <v>11700</v>
      </c>
      <c r="H633" s="35">
        <v>11637.77</v>
      </c>
      <c r="I633" s="35">
        <v>0</v>
      </c>
      <c r="J633" s="35">
        <v>0</v>
      </c>
      <c r="K633" s="71">
        <f>YEAR(Accion[[#This Row],[fecha]])</f>
        <v>2016</v>
      </c>
      <c r="L633" s="79" t="str">
        <f>IF(Accion[[#This Row],[Precio Cierre]]=MAX(Accion[Precio Cierre]),Accion[[#This Row],[Precio Cierre]],"NA")</f>
        <v>NA</v>
      </c>
      <c r="M633" s="79" t="str">
        <f>IF(Accion[[#This Row],[Precio Cierre]]=MIN(Accion[Precio Cierre]),Accion[[#This Row],[Precio Cierre]],"NA")</f>
        <v>NA</v>
      </c>
    </row>
    <row r="634" spans="1:13" hidden="1">
      <c r="A634" s="38" t="s">
        <v>90</v>
      </c>
      <c r="B634" s="34">
        <v>42697</v>
      </c>
      <c r="C634" s="35">
        <v>43365</v>
      </c>
      <c r="D634" s="35">
        <v>506329340</v>
      </c>
      <c r="E634" s="35">
        <v>11740</v>
      </c>
      <c r="F634" s="35">
        <v>11520</v>
      </c>
      <c r="G634" s="35">
        <v>11700</v>
      </c>
      <c r="H634" s="35">
        <v>11675.99</v>
      </c>
      <c r="I634" s="35">
        <v>-0.34</v>
      </c>
      <c r="J634" s="35">
        <v>-40</v>
      </c>
      <c r="K634" s="71">
        <f>YEAR(Accion[[#This Row],[fecha]])</f>
        <v>2016</v>
      </c>
      <c r="L634" s="79" t="str">
        <f>IF(Accion[[#This Row],[Precio Cierre]]=MAX(Accion[Precio Cierre]),Accion[[#This Row],[Precio Cierre]],"NA")</f>
        <v>NA</v>
      </c>
      <c r="M634" s="79" t="str">
        <f>IF(Accion[[#This Row],[Precio Cierre]]=MIN(Accion[Precio Cierre]),Accion[[#This Row],[Precio Cierre]],"NA")</f>
        <v>NA</v>
      </c>
    </row>
    <row r="635" spans="1:13" hidden="1">
      <c r="A635" s="38" t="s">
        <v>90</v>
      </c>
      <c r="B635" s="34">
        <v>42696</v>
      </c>
      <c r="C635" s="35">
        <v>175579</v>
      </c>
      <c r="D635" s="35">
        <v>2045666500</v>
      </c>
      <c r="E635" s="35">
        <v>11800</v>
      </c>
      <c r="F635" s="35">
        <v>11500</v>
      </c>
      <c r="G635" s="35">
        <v>11740</v>
      </c>
      <c r="H635" s="35">
        <v>11650.97</v>
      </c>
      <c r="I635" s="35">
        <v>-1.01</v>
      </c>
      <c r="J635" s="35">
        <v>-120</v>
      </c>
      <c r="K635" s="71">
        <f>YEAR(Accion[[#This Row],[fecha]])</f>
        <v>2016</v>
      </c>
      <c r="L635" s="79" t="str">
        <f>IF(Accion[[#This Row],[Precio Cierre]]=MAX(Accion[Precio Cierre]),Accion[[#This Row],[Precio Cierre]],"NA")</f>
        <v>NA</v>
      </c>
      <c r="M635" s="79" t="str">
        <f>IF(Accion[[#This Row],[Precio Cierre]]=MIN(Accion[Precio Cierre]),Accion[[#This Row],[Precio Cierre]],"NA")</f>
        <v>NA</v>
      </c>
    </row>
    <row r="636" spans="1:13" hidden="1">
      <c r="A636" s="38" t="s">
        <v>90</v>
      </c>
      <c r="B636" s="34">
        <v>42695</v>
      </c>
      <c r="C636" s="35">
        <v>320927</v>
      </c>
      <c r="D636" s="35">
        <v>3763392780</v>
      </c>
      <c r="E636" s="35">
        <v>11880</v>
      </c>
      <c r="F636" s="35">
        <v>11580</v>
      </c>
      <c r="G636" s="35">
        <v>11860</v>
      </c>
      <c r="H636" s="35">
        <v>11726.63</v>
      </c>
      <c r="I636" s="35">
        <v>2.6</v>
      </c>
      <c r="J636" s="35">
        <v>300</v>
      </c>
      <c r="K636" s="71">
        <f>YEAR(Accion[[#This Row],[fecha]])</f>
        <v>2016</v>
      </c>
      <c r="L636" s="79" t="str">
        <f>IF(Accion[[#This Row],[Precio Cierre]]=MAX(Accion[Precio Cierre]),Accion[[#This Row],[Precio Cierre]],"NA")</f>
        <v>NA</v>
      </c>
      <c r="M636" s="79" t="str">
        <f>IF(Accion[[#This Row],[Precio Cierre]]=MIN(Accion[Precio Cierre]),Accion[[#This Row],[Precio Cierre]],"NA")</f>
        <v>NA</v>
      </c>
    </row>
    <row r="637" spans="1:13" hidden="1">
      <c r="A637" s="38" t="s">
        <v>90</v>
      </c>
      <c r="B637" s="34">
        <v>42692</v>
      </c>
      <c r="C637" s="35">
        <v>134762</v>
      </c>
      <c r="D637" s="35">
        <v>1545332580</v>
      </c>
      <c r="E637" s="35">
        <v>11560</v>
      </c>
      <c r="F637" s="35">
        <v>11380</v>
      </c>
      <c r="G637" s="35">
        <v>11560</v>
      </c>
      <c r="H637" s="35">
        <v>11467.12</v>
      </c>
      <c r="I637" s="35">
        <v>1.58</v>
      </c>
      <c r="J637" s="35">
        <v>180</v>
      </c>
      <c r="K637" s="71">
        <f>YEAR(Accion[[#This Row],[fecha]])</f>
        <v>2016</v>
      </c>
      <c r="L637" s="79" t="str">
        <f>IF(Accion[[#This Row],[Precio Cierre]]=MAX(Accion[Precio Cierre]),Accion[[#This Row],[Precio Cierre]],"NA")</f>
        <v>NA</v>
      </c>
      <c r="M637" s="79" t="str">
        <f>IF(Accion[[#This Row],[Precio Cierre]]=MIN(Accion[Precio Cierre]),Accion[[#This Row],[Precio Cierre]],"NA")</f>
        <v>NA</v>
      </c>
    </row>
    <row r="638" spans="1:13" hidden="1">
      <c r="A638" s="38" t="s">
        <v>90</v>
      </c>
      <c r="B638" s="34">
        <v>42691</v>
      </c>
      <c r="C638" s="35">
        <v>501214</v>
      </c>
      <c r="D638" s="35">
        <v>5669322900</v>
      </c>
      <c r="E638" s="35">
        <v>11420</v>
      </c>
      <c r="F638" s="35">
        <v>11200</v>
      </c>
      <c r="G638" s="35">
        <v>11380</v>
      </c>
      <c r="H638" s="35">
        <v>11311.18</v>
      </c>
      <c r="I638" s="35">
        <v>1.61</v>
      </c>
      <c r="J638" s="35">
        <v>180</v>
      </c>
      <c r="K638" s="71">
        <f>YEAR(Accion[[#This Row],[fecha]])</f>
        <v>2016</v>
      </c>
      <c r="L638" s="79" t="str">
        <f>IF(Accion[[#This Row],[Precio Cierre]]=MAX(Accion[Precio Cierre]),Accion[[#This Row],[Precio Cierre]],"NA")</f>
        <v>NA</v>
      </c>
      <c r="M638" s="79" t="str">
        <f>IF(Accion[[#This Row],[Precio Cierre]]=MIN(Accion[Precio Cierre]),Accion[[#This Row],[Precio Cierre]],"NA")</f>
        <v>NA</v>
      </c>
    </row>
    <row r="639" spans="1:13" hidden="1">
      <c r="A639" s="38" t="s">
        <v>90</v>
      </c>
      <c r="B639" s="34">
        <v>42690</v>
      </c>
      <c r="C639" s="35">
        <v>499338</v>
      </c>
      <c r="D639" s="35">
        <v>5560260100</v>
      </c>
      <c r="E639" s="35">
        <v>11260</v>
      </c>
      <c r="F639" s="35">
        <v>11020</v>
      </c>
      <c r="G639" s="35">
        <v>11200</v>
      </c>
      <c r="H639" s="35">
        <v>11135.26</v>
      </c>
      <c r="I639" s="35">
        <v>1.63</v>
      </c>
      <c r="J639" s="35">
        <v>180</v>
      </c>
      <c r="K639" s="71">
        <f>YEAR(Accion[[#This Row],[fecha]])</f>
        <v>2016</v>
      </c>
      <c r="L639" s="79" t="str">
        <f>IF(Accion[[#This Row],[Precio Cierre]]=MAX(Accion[Precio Cierre]),Accion[[#This Row],[Precio Cierre]],"NA")</f>
        <v>NA</v>
      </c>
      <c r="M639" s="79" t="str">
        <f>IF(Accion[[#This Row],[Precio Cierre]]=MIN(Accion[Precio Cierre]),Accion[[#This Row],[Precio Cierre]],"NA")</f>
        <v>NA</v>
      </c>
    </row>
    <row r="640" spans="1:13" hidden="1">
      <c r="A640" s="38" t="s">
        <v>90</v>
      </c>
      <c r="B640" s="34">
        <v>42689</v>
      </c>
      <c r="C640" s="35">
        <v>205383</v>
      </c>
      <c r="D640" s="35">
        <v>2226156320</v>
      </c>
      <c r="E640" s="35">
        <v>11020</v>
      </c>
      <c r="F640" s="35">
        <v>10700</v>
      </c>
      <c r="G640" s="35">
        <v>11020</v>
      </c>
      <c r="H640" s="35">
        <v>10839.05</v>
      </c>
      <c r="I640" s="35">
        <v>3.77</v>
      </c>
      <c r="J640" s="35">
        <v>400</v>
      </c>
      <c r="K640" s="71">
        <f>YEAR(Accion[[#This Row],[fecha]])</f>
        <v>2016</v>
      </c>
      <c r="L640" s="79" t="str">
        <f>IF(Accion[[#This Row],[Precio Cierre]]=MAX(Accion[Precio Cierre]),Accion[[#This Row],[Precio Cierre]],"NA")</f>
        <v>NA</v>
      </c>
      <c r="M640" s="79" t="str">
        <f>IF(Accion[[#This Row],[Precio Cierre]]=MIN(Accion[Precio Cierre]),Accion[[#This Row],[Precio Cierre]],"NA")</f>
        <v>NA</v>
      </c>
    </row>
    <row r="641" spans="1:13" hidden="1">
      <c r="A641" s="38" t="s">
        <v>90</v>
      </c>
      <c r="B641" s="34">
        <v>42685</v>
      </c>
      <c r="C641" s="35">
        <v>299419</v>
      </c>
      <c r="D641" s="35">
        <v>3196694100</v>
      </c>
      <c r="E641" s="35">
        <v>10960</v>
      </c>
      <c r="F641" s="35">
        <v>10520</v>
      </c>
      <c r="G641" s="35">
        <v>10620</v>
      </c>
      <c r="H641" s="35">
        <v>10676.32</v>
      </c>
      <c r="I641" s="35">
        <v>-3.1</v>
      </c>
      <c r="J641" s="35">
        <v>-340</v>
      </c>
      <c r="K641" s="71">
        <f>YEAR(Accion[[#This Row],[fecha]])</f>
        <v>2016</v>
      </c>
      <c r="L641" s="79" t="str">
        <f>IF(Accion[[#This Row],[Precio Cierre]]=MAX(Accion[Precio Cierre]),Accion[[#This Row],[Precio Cierre]],"NA")</f>
        <v>NA</v>
      </c>
      <c r="M641" s="79" t="str">
        <f>IF(Accion[[#This Row],[Precio Cierre]]=MIN(Accion[Precio Cierre]),Accion[[#This Row],[Precio Cierre]],"NA")</f>
        <v>NA</v>
      </c>
    </row>
    <row r="642" spans="1:13" hidden="1">
      <c r="A642" s="38" t="s">
        <v>90</v>
      </c>
      <c r="B642" s="34">
        <v>42684</v>
      </c>
      <c r="C642" s="35">
        <v>328184</v>
      </c>
      <c r="D642" s="35">
        <v>3667025500</v>
      </c>
      <c r="E642" s="35">
        <v>11300</v>
      </c>
      <c r="F642" s="35">
        <v>10840</v>
      </c>
      <c r="G642" s="35">
        <v>10960</v>
      </c>
      <c r="H642" s="35">
        <v>11173.69</v>
      </c>
      <c r="I642" s="35">
        <v>-2.14</v>
      </c>
      <c r="J642" s="35">
        <v>-240</v>
      </c>
      <c r="K642" s="71">
        <f>YEAR(Accion[[#This Row],[fecha]])</f>
        <v>2016</v>
      </c>
      <c r="L642" s="79" t="str">
        <f>IF(Accion[[#This Row],[Precio Cierre]]=MAX(Accion[Precio Cierre]),Accion[[#This Row],[Precio Cierre]],"NA")</f>
        <v>NA</v>
      </c>
      <c r="M642" s="79" t="str">
        <f>IF(Accion[[#This Row],[Precio Cierre]]=MIN(Accion[Precio Cierre]),Accion[[#This Row],[Precio Cierre]],"NA")</f>
        <v>NA</v>
      </c>
    </row>
    <row r="643" spans="1:13" hidden="1">
      <c r="A643" s="38" t="s">
        <v>90</v>
      </c>
      <c r="B643" s="34">
        <v>42683</v>
      </c>
      <c r="C643" s="35">
        <v>173878</v>
      </c>
      <c r="D643" s="35">
        <v>1940032120</v>
      </c>
      <c r="E643" s="35">
        <v>11280</v>
      </c>
      <c r="F643" s="35">
        <v>10980</v>
      </c>
      <c r="G643" s="35">
        <v>11200</v>
      </c>
      <c r="H643" s="35">
        <v>11157.43</v>
      </c>
      <c r="I643" s="35">
        <v>2</v>
      </c>
      <c r="J643" s="35">
        <v>220</v>
      </c>
      <c r="K643" s="71">
        <f>YEAR(Accion[[#This Row],[fecha]])</f>
        <v>2016</v>
      </c>
      <c r="L643" s="79" t="str">
        <f>IF(Accion[[#This Row],[Precio Cierre]]=MAX(Accion[Precio Cierre]),Accion[[#This Row],[Precio Cierre]],"NA")</f>
        <v>NA</v>
      </c>
      <c r="M643" s="79" t="str">
        <f>IF(Accion[[#This Row],[Precio Cierre]]=MIN(Accion[Precio Cierre]),Accion[[#This Row],[Precio Cierre]],"NA")</f>
        <v>NA</v>
      </c>
    </row>
    <row r="644" spans="1:13" hidden="1">
      <c r="A644" s="38" t="s">
        <v>90</v>
      </c>
      <c r="B644" s="34">
        <v>42682</v>
      </c>
      <c r="C644" s="35">
        <v>138734</v>
      </c>
      <c r="D644" s="35">
        <v>1509418300</v>
      </c>
      <c r="E644" s="35">
        <v>10980</v>
      </c>
      <c r="F644" s="35">
        <v>10800</v>
      </c>
      <c r="G644" s="35">
        <v>10980</v>
      </c>
      <c r="H644" s="35">
        <v>10879.95</v>
      </c>
      <c r="I644" s="35">
        <v>1.67</v>
      </c>
      <c r="J644" s="35">
        <v>180</v>
      </c>
      <c r="K644" s="71">
        <f>YEAR(Accion[[#This Row],[fecha]])</f>
        <v>2016</v>
      </c>
      <c r="L644" s="79" t="str">
        <f>IF(Accion[[#This Row],[Precio Cierre]]=MAX(Accion[Precio Cierre]),Accion[[#This Row],[Precio Cierre]],"NA")</f>
        <v>NA</v>
      </c>
      <c r="M644" s="79" t="str">
        <f>IF(Accion[[#This Row],[Precio Cierre]]=MIN(Accion[Precio Cierre]),Accion[[#This Row],[Precio Cierre]],"NA")</f>
        <v>NA</v>
      </c>
    </row>
    <row r="645" spans="1:13" hidden="1">
      <c r="A645" s="38" t="s">
        <v>90</v>
      </c>
      <c r="B645" s="34">
        <v>42678</v>
      </c>
      <c r="C645" s="35">
        <v>199030</v>
      </c>
      <c r="D645" s="35">
        <v>2148419880</v>
      </c>
      <c r="E645" s="35">
        <v>10820</v>
      </c>
      <c r="F645" s="35">
        <v>10760</v>
      </c>
      <c r="G645" s="35">
        <v>10800</v>
      </c>
      <c r="H645" s="35">
        <v>10794.45</v>
      </c>
      <c r="I645" s="35">
        <v>-0.55000000000000004</v>
      </c>
      <c r="J645" s="35">
        <v>-60</v>
      </c>
      <c r="K645" s="71">
        <f>YEAR(Accion[[#This Row],[fecha]])</f>
        <v>2016</v>
      </c>
      <c r="L645" s="79" t="str">
        <f>IF(Accion[[#This Row],[Precio Cierre]]=MAX(Accion[Precio Cierre]),Accion[[#This Row],[Precio Cierre]],"NA")</f>
        <v>NA</v>
      </c>
      <c r="M645" s="79" t="str">
        <f>IF(Accion[[#This Row],[Precio Cierre]]=MIN(Accion[Precio Cierre]),Accion[[#This Row],[Precio Cierre]],"NA")</f>
        <v>NA</v>
      </c>
    </row>
    <row r="646" spans="1:13" hidden="1">
      <c r="A646" s="38" t="s">
        <v>90</v>
      </c>
      <c r="B646" s="34">
        <v>42677</v>
      </c>
      <c r="C646" s="35">
        <v>317544</v>
      </c>
      <c r="D646" s="35">
        <v>3471966480</v>
      </c>
      <c r="E646" s="35">
        <v>11100</v>
      </c>
      <c r="F646" s="35">
        <v>10700</v>
      </c>
      <c r="G646" s="35">
        <v>10860</v>
      </c>
      <c r="H646" s="35">
        <v>10933.81</v>
      </c>
      <c r="I646" s="35">
        <v>-0.37</v>
      </c>
      <c r="J646" s="35">
        <v>-40</v>
      </c>
      <c r="K646" s="71">
        <f>YEAR(Accion[[#This Row],[fecha]])</f>
        <v>2016</v>
      </c>
      <c r="L646" s="79" t="str">
        <f>IF(Accion[[#This Row],[Precio Cierre]]=MAX(Accion[Precio Cierre]),Accion[[#This Row],[Precio Cierre]],"NA")</f>
        <v>NA</v>
      </c>
      <c r="M646" s="79" t="str">
        <f>IF(Accion[[#This Row],[Precio Cierre]]=MIN(Accion[Precio Cierre]),Accion[[#This Row],[Precio Cierre]],"NA")</f>
        <v>NA</v>
      </c>
    </row>
    <row r="647" spans="1:13" hidden="1">
      <c r="A647" s="38" t="s">
        <v>90</v>
      </c>
      <c r="B647" s="34">
        <v>42676</v>
      </c>
      <c r="C647" s="35">
        <v>300534</v>
      </c>
      <c r="D647" s="35">
        <v>3302722960</v>
      </c>
      <c r="E647" s="35">
        <v>11000</v>
      </c>
      <c r="F647" s="35">
        <v>10900</v>
      </c>
      <c r="G647" s="35">
        <v>10900</v>
      </c>
      <c r="H647" s="35">
        <v>10989.52</v>
      </c>
      <c r="I647" s="35">
        <v>-0.91</v>
      </c>
      <c r="J647" s="35">
        <v>-100</v>
      </c>
      <c r="K647" s="71">
        <f>YEAR(Accion[[#This Row],[fecha]])</f>
        <v>2016</v>
      </c>
      <c r="L647" s="79" t="str">
        <f>IF(Accion[[#This Row],[Precio Cierre]]=MAX(Accion[Precio Cierre]),Accion[[#This Row],[Precio Cierre]],"NA")</f>
        <v>NA</v>
      </c>
      <c r="M647" s="79" t="str">
        <f>IF(Accion[[#This Row],[Precio Cierre]]=MIN(Accion[Precio Cierre]),Accion[[#This Row],[Precio Cierre]],"NA")</f>
        <v>NA</v>
      </c>
    </row>
    <row r="648" spans="1:13" hidden="1">
      <c r="A648" s="38" t="s">
        <v>90</v>
      </c>
      <c r="B648" s="34">
        <v>42675</v>
      </c>
      <c r="C648" s="35">
        <v>481300</v>
      </c>
      <c r="D648" s="35">
        <v>5339901780</v>
      </c>
      <c r="E648" s="35">
        <v>11280</v>
      </c>
      <c r="F648" s="35">
        <v>10800</v>
      </c>
      <c r="G648" s="35">
        <v>11000</v>
      </c>
      <c r="H648" s="35">
        <v>11094.75</v>
      </c>
      <c r="I648" s="35">
        <v>-1.61</v>
      </c>
      <c r="J648" s="35">
        <v>-180</v>
      </c>
      <c r="K648" s="71">
        <f>YEAR(Accion[[#This Row],[fecha]])</f>
        <v>2016</v>
      </c>
      <c r="L648" s="79" t="str">
        <f>IF(Accion[[#This Row],[Precio Cierre]]=MAX(Accion[Precio Cierre]),Accion[[#This Row],[Precio Cierre]],"NA")</f>
        <v>NA</v>
      </c>
      <c r="M648" s="79" t="str">
        <f>IF(Accion[[#This Row],[Precio Cierre]]=MIN(Accion[Precio Cierre]),Accion[[#This Row],[Precio Cierre]],"NA")</f>
        <v>NA</v>
      </c>
    </row>
    <row r="649" spans="1:13" hidden="1">
      <c r="A649" s="38" t="s">
        <v>90</v>
      </c>
      <c r="B649" s="34">
        <v>42674</v>
      </c>
      <c r="C649" s="35">
        <v>235512</v>
      </c>
      <c r="D649" s="35">
        <v>2630877160</v>
      </c>
      <c r="E649" s="35">
        <v>11380</v>
      </c>
      <c r="F649" s="35">
        <v>11000</v>
      </c>
      <c r="G649" s="35">
        <v>11180</v>
      </c>
      <c r="H649" s="35">
        <v>11170.88</v>
      </c>
      <c r="I649" s="35">
        <v>-0.18</v>
      </c>
      <c r="J649" s="35">
        <v>-20</v>
      </c>
      <c r="K649" s="71">
        <f>YEAR(Accion[[#This Row],[fecha]])</f>
        <v>2016</v>
      </c>
      <c r="L649" s="79" t="str">
        <f>IF(Accion[[#This Row],[Precio Cierre]]=MAX(Accion[Precio Cierre]),Accion[[#This Row],[Precio Cierre]],"NA")</f>
        <v>NA</v>
      </c>
      <c r="M649" s="79" t="str">
        <f>IF(Accion[[#This Row],[Precio Cierre]]=MIN(Accion[Precio Cierre]),Accion[[#This Row],[Precio Cierre]],"NA")</f>
        <v>NA</v>
      </c>
    </row>
    <row r="650" spans="1:13" hidden="1">
      <c r="A650" s="38" t="s">
        <v>90</v>
      </c>
      <c r="B650" s="34">
        <v>42671</v>
      </c>
      <c r="C650" s="35">
        <v>964355</v>
      </c>
      <c r="D650" s="35">
        <v>11062565460</v>
      </c>
      <c r="E650" s="35">
        <v>11680</v>
      </c>
      <c r="F650" s="35">
        <v>10900</v>
      </c>
      <c r="G650" s="35">
        <v>11200</v>
      </c>
      <c r="H650" s="35">
        <v>11471.47</v>
      </c>
      <c r="I650" s="35">
        <v>-3.11</v>
      </c>
      <c r="J650" s="35">
        <v>-360</v>
      </c>
      <c r="K650" s="71">
        <f>YEAR(Accion[[#This Row],[fecha]])</f>
        <v>2016</v>
      </c>
      <c r="L650" s="79" t="str">
        <f>IF(Accion[[#This Row],[Precio Cierre]]=MAX(Accion[Precio Cierre]),Accion[[#This Row],[Precio Cierre]],"NA")</f>
        <v>NA</v>
      </c>
      <c r="M650" s="79" t="str">
        <f>IF(Accion[[#This Row],[Precio Cierre]]=MIN(Accion[Precio Cierre]),Accion[[#This Row],[Precio Cierre]],"NA")</f>
        <v>NA</v>
      </c>
    </row>
    <row r="651" spans="1:13" hidden="1">
      <c r="A651" s="38" t="s">
        <v>90</v>
      </c>
      <c r="B651" s="34">
        <v>42670</v>
      </c>
      <c r="C651" s="35">
        <v>447193</v>
      </c>
      <c r="D651" s="35">
        <v>5235796460</v>
      </c>
      <c r="E651" s="35">
        <v>11940</v>
      </c>
      <c r="F651" s="35">
        <v>11560</v>
      </c>
      <c r="G651" s="35">
        <v>11560</v>
      </c>
      <c r="H651" s="35">
        <v>11708.14</v>
      </c>
      <c r="I651" s="35">
        <v>-3.34</v>
      </c>
      <c r="J651" s="35">
        <v>-400</v>
      </c>
      <c r="K651" s="71">
        <f>YEAR(Accion[[#This Row],[fecha]])</f>
        <v>2016</v>
      </c>
      <c r="L651" s="79" t="str">
        <f>IF(Accion[[#This Row],[Precio Cierre]]=MAX(Accion[Precio Cierre]),Accion[[#This Row],[Precio Cierre]],"NA")</f>
        <v>NA</v>
      </c>
      <c r="M651" s="79" t="str">
        <f>IF(Accion[[#This Row],[Precio Cierre]]=MIN(Accion[Precio Cierre]),Accion[[#This Row],[Precio Cierre]],"NA")</f>
        <v>NA</v>
      </c>
    </row>
    <row r="652" spans="1:13" hidden="1">
      <c r="A652" s="38" t="s">
        <v>90</v>
      </c>
      <c r="B652" s="34">
        <v>42669</v>
      </c>
      <c r="C652" s="35">
        <v>80617</v>
      </c>
      <c r="D652" s="35">
        <v>955146720</v>
      </c>
      <c r="E652" s="35">
        <v>11980</v>
      </c>
      <c r="F652" s="35">
        <v>11700</v>
      </c>
      <c r="G652" s="35">
        <v>11960</v>
      </c>
      <c r="H652" s="35">
        <v>11847.96</v>
      </c>
      <c r="I652" s="35">
        <v>1.36</v>
      </c>
      <c r="J652" s="35">
        <v>160</v>
      </c>
      <c r="K652" s="71">
        <f>YEAR(Accion[[#This Row],[fecha]])</f>
        <v>2016</v>
      </c>
      <c r="L652" s="79" t="str">
        <f>IF(Accion[[#This Row],[Precio Cierre]]=MAX(Accion[Precio Cierre]),Accion[[#This Row],[Precio Cierre]],"NA")</f>
        <v>NA</v>
      </c>
      <c r="M652" s="79" t="str">
        <f>IF(Accion[[#This Row],[Precio Cierre]]=MIN(Accion[Precio Cierre]),Accion[[#This Row],[Precio Cierre]],"NA")</f>
        <v>NA</v>
      </c>
    </row>
    <row r="653" spans="1:13" hidden="1">
      <c r="A653" s="38" t="s">
        <v>90</v>
      </c>
      <c r="B653" s="34">
        <v>42668</v>
      </c>
      <c r="C653" s="35">
        <v>285070</v>
      </c>
      <c r="D653" s="35">
        <v>3363913360</v>
      </c>
      <c r="E653" s="35">
        <v>11820</v>
      </c>
      <c r="F653" s="35">
        <v>11720</v>
      </c>
      <c r="G653" s="35">
        <v>11800</v>
      </c>
      <c r="H653" s="35">
        <v>11800.31</v>
      </c>
      <c r="I653" s="35">
        <v>0</v>
      </c>
      <c r="J653" s="35">
        <v>0</v>
      </c>
      <c r="K653" s="71">
        <f>YEAR(Accion[[#This Row],[fecha]])</f>
        <v>2016</v>
      </c>
      <c r="L653" s="79" t="str">
        <f>IF(Accion[[#This Row],[Precio Cierre]]=MAX(Accion[Precio Cierre]),Accion[[#This Row],[Precio Cierre]],"NA")</f>
        <v>NA</v>
      </c>
      <c r="M653" s="79" t="str">
        <f>IF(Accion[[#This Row],[Precio Cierre]]=MIN(Accion[Precio Cierre]),Accion[[#This Row],[Precio Cierre]],"NA")</f>
        <v>NA</v>
      </c>
    </row>
    <row r="654" spans="1:13" hidden="1">
      <c r="A654" s="38" t="s">
        <v>90</v>
      </c>
      <c r="B654" s="34">
        <v>42667</v>
      </c>
      <c r="C654" s="35">
        <v>14730</v>
      </c>
      <c r="D654" s="35">
        <v>173813060</v>
      </c>
      <c r="E654" s="35">
        <v>11840</v>
      </c>
      <c r="F654" s="35">
        <v>11780</v>
      </c>
      <c r="G654" s="35">
        <v>11800</v>
      </c>
      <c r="H654" s="35">
        <v>11799.94</v>
      </c>
      <c r="I654" s="35">
        <v>-0.67</v>
      </c>
      <c r="J654" s="35">
        <v>-80</v>
      </c>
      <c r="K654" s="71">
        <f>YEAR(Accion[[#This Row],[fecha]])</f>
        <v>2016</v>
      </c>
      <c r="L654" s="79" t="str">
        <f>IF(Accion[[#This Row],[Precio Cierre]]=MAX(Accion[Precio Cierre]),Accion[[#This Row],[Precio Cierre]],"NA")</f>
        <v>NA</v>
      </c>
      <c r="M654" s="79" t="str">
        <f>IF(Accion[[#This Row],[Precio Cierre]]=MIN(Accion[Precio Cierre]),Accion[[#This Row],[Precio Cierre]],"NA")</f>
        <v>NA</v>
      </c>
    </row>
    <row r="655" spans="1:13" hidden="1">
      <c r="A655" s="38" t="s">
        <v>90</v>
      </c>
      <c r="B655" s="34">
        <v>42664</v>
      </c>
      <c r="C655" s="35">
        <v>91320</v>
      </c>
      <c r="D655" s="35">
        <v>1079564040</v>
      </c>
      <c r="E655" s="35">
        <v>11880</v>
      </c>
      <c r="F655" s="35">
        <v>11780</v>
      </c>
      <c r="G655" s="35">
        <v>11880</v>
      </c>
      <c r="H655" s="35">
        <v>11821.77</v>
      </c>
      <c r="I655" s="35">
        <v>0.68</v>
      </c>
      <c r="J655" s="35">
        <v>80</v>
      </c>
      <c r="K655" s="71">
        <f>YEAR(Accion[[#This Row],[fecha]])</f>
        <v>2016</v>
      </c>
      <c r="L655" s="79" t="str">
        <f>IF(Accion[[#This Row],[Precio Cierre]]=MAX(Accion[Precio Cierre]),Accion[[#This Row],[Precio Cierre]],"NA")</f>
        <v>NA</v>
      </c>
      <c r="M655" s="79" t="str">
        <f>IF(Accion[[#This Row],[Precio Cierre]]=MIN(Accion[Precio Cierre]),Accion[[#This Row],[Precio Cierre]],"NA")</f>
        <v>NA</v>
      </c>
    </row>
    <row r="656" spans="1:13" hidden="1">
      <c r="A656" s="38" t="s">
        <v>90</v>
      </c>
      <c r="B656" s="34">
        <v>42663</v>
      </c>
      <c r="C656" s="35">
        <v>68297</v>
      </c>
      <c r="D656" s="35">
        <v>805437740</v>
      </c>
      <c r="E656" s="35">
        <v>11800</v>
      </c>
      <c r="F656" s="35">
        <v>11760</v>
      </c>
      <c r="G656" s="35">
        <v>11800</v>
      </c>
      <c r="H656" s="35">
        <v>11793.16</v>
      </c>
      <c r="I656" s="35">
        <v>0</v>
      </c>
      <c r="J656" s="35">
        <v>0</v>
      </c>
      <c r="K656" s="71">
        <f>YEAR(Accion[[#This Row],[fecha]])</f>
        <v>2016</v>
      </c>
      <c r="L656" s="79" t="str">
        <f>IF(Accion[[#This Row],[Precio Cierre]]=MAX(Accion[Precio Cierre]),Accion[[#This Row],[Precio Cierre]],"NA")</f>
        <v>NA</v>
      </c>
      <c r="M656" s="79" t="str">
        <f>IF(Accion[[#This Row],[Precio Cierre]]=MIN(Accion[Precio Cierre]),Accion[[#This Row],[Precio Cierre]],"NA")</f>
        <v>NA</v>
      </c>
    </row>
    <row r="657" spans="1:13" hidden="1">
      <c r="A657" s="38" t="s">
        <v>90</v>
      </c>
      <c r="B657" s="34">
        <v>42662</v>
      </c>
      <c r="C657" s="35">
        <v>371335</v>
      </c>
      <c r="D657" s="35">
        <v>4351236500</v>
      </c>
      <c r="E657" s="35">
        <v>11820</v>
      </c>
      <c r="F657" s="35">
        <v>11540</v>
      </c>
      <c r="G657" s="35">
        <v>11800</v>
      </c>
      <c r="H657" s="35">
        <v>11717.82</v>
      </c>
      <c r="I657" s="35">
        <v>2.25</v>
      </c>
      <c r="J657" s="35">
        <v>260</v>
      </c>
      <c r="K657" s="71">
        <f>YEAR(Accion[[#This Row],[fecha]])</f>
        <v>2016</v>
      </c>
      <c r="L657" s="79" t="str">
        <f>IF(Accion[[#This Row],[Precio Cierre]]=MAX(Accion[Precio Cierre]),Accion[[#This Row],[Precio Cierre]],"NA")</f>
        <v>NA</v>
      </c>
      <c r="M657" s="79" t="str">
        <f>IF(Accion[[#This Row],[Precio Cierre]]=MIN(Accion[Precio Cierre]),Accion[[#This Row],[Precio Cierre]],"NA")</f>
        <v>NA</v>
      </c>
    </row>
    <row r="658" spans="1:13" hidden="1">
      <c r="A658" s="38" t="s">
        <v>90</v>
      </c>
      <c r="B658" s="34">
        <v>42661</v>
      </c>
      <c r="C658" s="35">
        <v>480902</v>
      </c>
      <c r="D658" s="35">
        <v>5495034680</v>
      </c>
      <c r="E658" s="35">
        <v>11600</v>
      </c>
      <c r="F658" s="35">
        <v>11400</v>
      </c>
      <c r="G658" s="35">
        <v>11540</v>
      </c>
      <c r="H658" s="35">
        <v>11426.52</v>
      </c>
      <c r="I658" s="35">
        <v>1.23</v>
      </c>
      <c r="J658" s="35">
        <v>140</v>
      </c>
      <c r="K658" s="71">
        <f>YEAR(Accion[[#This Row],[fecha]])</f>
        <v>2016</v>
      </c>
      <c r="L658" s="79" t="str">
        <f>IF(Accion[[#This Row],[Precio Cierre]]=MAX(Accion[Precio Cierre]),Accion[[#This Row],[Precio Cierre]],"NA")</f>
        <v>NA</v>
      </c>
      <c r="M658" s="79" t="str">
        <f>IF(Accion[[#This Row],[Precio Cierre]]=MIN(Accion[Precio Cierre]),Accion[[#This Row],[Precio Cierre]],"NA")</f>
        <v>NA</v>
      </c>
    </row>
    <row r="659" spans="1:13" hidden="1">
      <c r="A659" s="38" t="s">
        <v>90</v>
      </c>
      <c r="B659" s="34">
        <v>42657</v>
      </c>
      <c r="C659" s="35">
        <v>42559</v>
      </c>
      <c r="D659" s="35">
        <v>484988960</v>
      </c>
      <c r="E659" s="35">
        <v>11460</v>
      </c>
      <c r="F659" s="35">
        <v>11280</v>
      </c>
      <c r="G659" s="35">
        <v>11400</v>
      </c>
      <c r="H659" s="35">
        <v>11395.69</v>
      </c>
      <c r="I659" s="35">
        <v>0</v>
      </c>
      <c r="J659" s="35">
        <v>0</v>
      </c>
      <c r="K659" s="71">
        <f>YEAR(Accion[[#This Row],[fecha]])</f>
        <v>2016</v>
      </c>
      <c r="L659" s="79" t="str">
        <f>IF(Accion[[#This Row],[Precio Cierre]]=MAX(Accion[Precio Cierre]),Accion[[#This Row],[Precio Cierre]],"NA")</f>
        <v>NA</v>
      </c>
      <c r="M659" s="79" t="str">
        <f>IF(Accion[[#This Row],[Precio Cierre]]=MIN(Accion[Precio Cierre]),Accion[[#This Row],[Precio Cierre]],"NA")</f>
        <v>NA</v>
      </c>
    </row>
    <row r="660" spans="1:13" hidden="1">
      <c r="A660" s="38" t="s">
        <v>90</v>
      </c>
      <c r="B660" s="34">
        <v>42656</v>
      </c>
      <c r="C660" s="35">
        <v>148220</v>
      </c>
      <c r="D660" s="35">
        <v>1687722860</v>
      </c>
      <c r="E660" s="35">
        <v>11480</v>
      </c>
      <c r="F660" s="35">
        <v>11300</v>
      </c>
      <c r="G660" s="35">
        <v>11400</v>
      </c>
      <c r="H660" s="35">
        <v>11386.61</v>
      </c>
      <c r="I660" s="35">
        <v>-0.7</v>
      </c>
      <c r="J660" s="35">
        <v>-80</v>
      </c>
      <c r="K660" s="71">
        <f>YEAR(Accion[[#This Row],[fecha]])</f>
        <v>2016</v>
      </c>
      <c r="L660" s="79" t="str">
        <f>IF(Accion[[#This Row],[Precio Cierre]]=MAX(Accion[Precio Cierre]),Accion[[#This Row],[Precio Cierre]],"NA")</f>
        <v>NA</v>
      </c>
      <c r="M660" s="79" t="str">
        <f>IF(Accion[[#This Row],[Precio Cierre]]=MIN(Accion[Precio Cierre]),Accion[[#This Row],[Precio Cierre]],"NA")</f>
        <v>NA</v>
      </c>
    </row>
    <row r="661" spans="1:13" hidden="1">
      <c r="A661" s="38" t="s">
        <v>90</v>
      </c>
      <c r="B661" s="34">
        <v>42655</v>
      </c>
      <c r="C661" s="35">
        <v>147791</v>
      </c>
      <c r="D661" s="35">
        <v>1690877580</v>
      </c>
      <c r="E661" s="35">
        <v>11480</v>
      </c>
      <c r="F661" s="35">
        <v>11440</v>
      </c>
      <c r="G661" s="35">
        <v>11480</v>
      </c>
      <c r="H661" s="35">
        <v>11441.01</v>
      </c>
      <c r="I661" s="35">
        <v>-0.35</v>
      </c>
      <c r="J661" s="35">
        <v>-40</v>
      </c>
      <c r="K661" s="71">
        <f>YEAR(Accion[[#This Row],[fecha]])</f>
        <v>2016</v>
      </c>
      <c r="L661" s="79" t="str">
        <f>IF(Accion[[#This Row],[Precio Cierre]]=MAX(Accion[Precio Cierre]),Accion[[#This Row],[Precio Cierre]],"NA")</f>
        <v>NA</v>
      </c>
      <c r="M661" s="79" t="str">
        <f>IF(Accion[[#This Row],[Precio Cierre]]=MIN(Accion[Precio Cierre]),Accion[[#This Row],[Precio Cierre]],"NA")</f>
        <v>NA</v>
      </c>
    </row>
    <row r="662" spans="1:13" hidden="1">
      <c r="A662" s="38" t="s">
        <v>90</v>
      </c>
      <c r="B662" s="34">
        <v>42654</v>
      </c>
      <c r="C662" s="35">
        <v>91805</v>
      </c>
      <c r="D662" s="35">
        <v>1058311340</v>
      </c>
      <c r="E662" s="35">
        <v>11700</v>
      </c>
      <c r="F662" s="35">
        <v>11440</v>
      </c>
      <c r="G662" s="35">
        <v>11520</v>
      </c>
      <c r="H662" s="35">
        <v>11527.82</v>
      </c>
      <c r="I662" s="35">
        <v>-0.69</v>
      </c>
      <c r="J662" s="35">
        <v>-80</v>
      </c>
      <c r="K662" s="71">
        <f>YEAR(Accion[[#This Row],[fecha]])</f>
        <v>2016</v>
      </c>
      <c r="L662" s="79" t="str">
        <f>IF(Accion[[#This Row],[Precio Cierre]]=MAX(Accion[Precio Cierre]),Accion[[#This Row],[Precio Cierre]],"NA")</f>
        <v>NA</v>
      </c>
      <c r="M662" s="79" t="str">
        <f>IF(Accion[[#This Row],[Precio Cierre]]=MIN(Accion[Precio Cierre]),Accion[[#This Row],[Precio Cierre]],"NA")</f>
        <v>NA</v>
      </c>
    </row>
    <row r="663" spans="1:13" hidden="1">
      <c r="A663" s="38" t="s">
        <v>90</v>
      </c>
      <c r="B663" s="34">
        <v>42653</v>
      </c>
      <c r="C663" s="35">
        <v>49214</v>
      </c>
      <c r="D663" s="35">
        <v>568607900</v>
      </c>
      <c r="E663" s="35">
        <v>11680</v>
      </c>
      <c r="F663" s="35">
        <v>11440</v>
      </c>
      <c r="G663" s="35">
        <v>11600</v>
      </c>
      <c r="H663" s="35">
        <v>11553.78</v>
      </c>
      <c r="I663" s="35">
        <v>-0.34</v>
      </c>
      <c r="J663" s="35">
        <v>-40</v>
      </c>
      <c r="K663" s="71">
        <f>YEAR(Accion[[#This Row],[fecha]])</f>
        <v>2016</v>
      </c>
      <c r="L663" s="79" t="str">
        <f>IF(Accion[[#This Row],[Precio Cierre]]=MAX(Accion[Precio Cierre]),Accion[[#This Row],[Precio Cierre]],"NA")</f>
        <v>NA</v>
      </c>
      <c r="M663" s="79" t="str">
        <f>IF(Accion[[#This Row],[Precio Cierre]]=MIN(Accion[Precio Cierre]),Accion[[#This Row],[Precio Cierre]],"NA")</f>
        <v>NA</v>
      </c>
    </row>
    <row r="664" spans="1:13" hidden="1">
      <c r="A664" s="38" t="s">
        <v>90</v>
      </c>
      <c r="B664" s="34">
        <v>42650</v>
      </c>
      <c r="C664" s="35">
        <v>271250</v>
      </c>
      <c r="D664" s="35">
        <v>3109769260</v>
      </c>
      <c r="E664" s="35">
        <v>11640</v>
      </c>
      <c r="F664" s="35">
        <v>11320</v>
      </c>
      <c r="G664" s="35">
        <v>11640</v>
      </c>
      <c r="H664" s="35">
        <v>11464.59</v>
      </c>
      <c r="I664" s="35">
        <v>3.01</v>
      </c>
      <c r="J664" s="35">
        <v>340</v>
      </c>
      <c r="K664" s="71">
        <f>YEAR(Accion[[#This Row],[fecha]])</f>
        <v>2016</v>
      </c>
      <c r="L664" s="79" t="str">
        <f>IF(Accion[[#This Row],[Precio Cierre]]=MAX(Accion[Precio Cierre]),Accion[[#This Row],[Precio Cierre]],"NA")</f>
        <v>NA</v>
      </c>
      <c r="M664" s="79" t="str">
        <f>IF(Accion[[#This Row],[Precio Cierre]]=MIN(Accion[Precio Cierre]),Accion[[#This Row],[Precio Cierre]],"NA")</f>
        <v>NA</v>
      </c>
    </row>
    <row r="665" spans="1:13" hidden="1">
      <c r="A665" s="38" t="s">
        <v>90</v>
      </c>
      <c r="B665" s="34">
        <v>42649</v>
      </c>
      <c r="C665" s="35">
        <v>1084621</v>
      </c>
      <c r="D665" s="35">
        <v>12201984180</v>
      </c>
      <c r="E665" s="35">
        <v>11500</v>
      </c>
      <c r="F665" s="35">
        <v>11200</v>
      </c>
      <c r="G665" s="35">
        <v>11300</v>
      </c>
      <c r="H665" s="35">
        <v>11250</v>
      </c>
      <c r="I665" s="35">
        <v>1.44</v>
      </c>
      <c r="J665" s="35">
        <v>160</v>
      </c>
      <c r="K665" s="71">
        <f>YEAR(Accion[[#This Row],[fecha]])</f>
        <v>2016</v>
      </c>
      <c r="L665" s="79" t="str">
        <f>IF(Accion[[#This Row],[Precio Cierre]]=MAX(Accion[Precio Cierre]),Accion[[#This Row],[Precio Cierre]],"NA")</f>
        <v>NA</v>
      </c>
      <c r="M665" s="79" t="str">
        <f>IF(Accion[[#This Row],[Precio Cierre]]=MIN(Accion[Precio Cierre]),Accion[[#This Row],[Precio Cierre]],"NA")</f>
        <v>NA</v>
      </c>
    </row>
    <row r="666" spans="1:13" hidden="1">
      <c r="A666" s="38" t="s">
        <v>90</v>
      </c>
      <c r="B666" s="34">
        <v>42648</v>
      </c>
      <c r="C666" s="35">
        <v>378448</v>
      </c>
      <c r="D666" s="35">
        <v>4234947720</v>
      </c>
      <c r="E666" s="35">
        <v>11360</v>
      </c>
      <c r="F666" s="35">
        <v>11100</v>
      </c>
      <c r="G666" s="35">
        <v>11140</v>
      </c>
      <c r="H666" s="35">
        <v>11190.3</v>
      </c>
      <c r="I666" s="35">
        <v>0.72</v>
      </c>
      <c r="J666" s="35">
        <v>80</v>
      </c>
      <c r="K666" s="71">
        <f>YEAR(Accion[[#This Row],[fecha]])</f>
        <v>2016</v>
      </c>
      <c r="L666" s="79" t="str">
        <f>IF(Accion[[#This Row],[Precio Cierre]]=MAX(Accion[Precio Cierre]),Accion[[#This Row],[Precio Cierre]],"NA")</f>
        <v>NA</v>
      </c>
      <c r="M666" s="79" t="str">
        <f>IF(Accion[[#This Row],[Precio Cierre]]=MIN(Accion[Precio Cierre]),Accion[[#This Row],[Precio Cierre]],"NA")</f>
        <v>NA</v>
      </c>
    </row>
    <row r="667" spans="1:13" hidden="1">
      <c r="A667" s="38" t="s">
        <v>90</v>
      </c>
      <c r="B667" s="34">
        <v>42647</v>
      </c>
      <c r="C667" s="35">
        <v>215402</v>
      </c>
      <c r="D667" s="35">
        <v>2375619680</v>
      </c>
      <c r="E667" s="35">
        <v>11100</v>
      </c>
      <c r="F667" s="35">
        <v>11000</v>
      </c>
      <c r="G667" s="35">
        <v>11060</v>
      </c>
      <c r="H667" s="35">
        <v>11028.77</v>
      </c>
      <c r="I667" s="35">
        <v>-0.36</v>
      </c>
      <c r="J667" s="35">
        <v>-40</v>
      </c>
      <c r="K667" s="71">
        <f>YEAR(Accion[[#This Row],[fecha]])</f>
        <v>2016</v>
      </c>
      <c r="L667" s="79" t="str">
        <f>IF(Accion[[#This Row],[Precio Cierre]]=MAX(Accion[Precio Cierre]),Accion[[#This Row],[Precio Cierre]],"NA")</f>
        <v>NA</v>
      </c>
      <c r="M667" s="79" t="str">
        <f>IF(Accion[[#This Row],[Precio Cierre]]=MIN(Accion[Precio Cierre]),Accion[[#This Row],[Precio Cierre]],"NA")</f>
        <v>NA</v>
      </c>
    </row>
    <row r="668" spans="1:13" hidden="1">
      <c r="A668" s="38" t="s">
        <v>90</v>
      </c>
      <c r="B668" s="34">
        <v>42646</v>
      </c>
      <c r="C668" s="35">
        <v>1307604</v>
      </c>
      <c r="D668" s="35">
        <v>14483348700</v>
      </c>
      <c r="E668" s="35">
        <v>11180</v>
      </c>
      <c r="F668" s="35">
        <v>10520</v>
      </c>
      <c r="G668" s="35">
        <v>11100</v>
      </c>
      <c r="H668" s="35">
        <v>11076.25</v>
      </c>
      <c r="I668" s="35">
        <v>1.28</v>
      </c>
      <c r="J668" s="35">
        <v>140</v>
      </c>
      <c r="K668" s="71">
        <f>YEAR(Accion[[#This Row],[fecha]])</f>
        <v>2016</v>
      </c>
      <c r="L668" s="79" t="str">
        <f>IF(Accion[[#This Row],[Precio Cierre]]=MAX(Accion[Precio Cierre]),Accion[[#This Row],[Precio Cierre]],"NA")</f>
        <v>NA</v>
      </c>
      <c r="M668" s="79" t="str">
        <f>IF(Accion[[#This Row],[Precio Cierre]]=MIN(Accion[Precio Cierre]),Accion[[#This Row],[Precio Cierre]],"NA")</f>
        <v>NA</v>
      </c>
    </row>
    <row r="669" spans="1:13" hidden="1">
      <c r="A669" s="38" t="s">
        <v>90</v>
      </c>
      <c r="B669" s="34">
        <v>42643</v>
      </c>
      <c r="C669" s="35">
        <v>1877563</v>
      </c>
      <c r="D669" s="35">
        <v>20916019560</v>
      </c>
      <c r="E669" s="35">
        <v>11660</v>
      </c>
      <c r="F669" s="35">
        <v>10680</v>
      </c>
      <c r="G669" s="35">
        <v>10960</v>
      </c>
      <c r="H669" s="35">
        <v>11139.98</v>
      </c>
      <c r="I669" s="35">
        <v>-6.32</v>
      </c>
      <c r="J669" s="35">
        <v>-740</v>
      </c>
      <c r="K669" s="71">
        <f>YEAR(Accion[[#This Row],[fecha]])</f>
        <v>2016</v>
      </c>
      <c r="L669" s="79" t="str">
        <f>IF(Accion[[#This Row],[Precio Cierre]]=MAX(Accion[Precio Cierre]),Accion[[#This Row],[Precio Cierre]],"NA")</f>
        <v>NA</v>
      </c>
      <c r="M669" s="79" t="str">
        <f>IF(Accion[[#This Row],[Precio Cierre]]=MIN(Accion[Precio Cierre]),Accion[[#This Row],[Precio Cierre]],"NA")</f>
        <v>NA</v>
      </c>
    </row>
    <row r="670" spans="1:13" hidden="1">
      <c r="A670" s="38" t="s">
        <v>90</v>
      </c>
      <c r="B670" s="34">
        <v>42642</v>
      </c>
      <c r="C670" s="35">
        <v>1026523</v>
      </c>
      <c r="D670" s="35">
        <v>12204302540</v>
      </c>
      <c r="E670" s="35">
        <v>12280</v>
      </c>
      <c r="F670" s="35">
        <v>11500</v>
      </c>
      <c r="G670" s="35">
        <v>11700</v>
      </c>
      <c r="H670" s="35">
        <v>11888.97</v>
      </c>
      <c r="I670" s="35">
        <v>-4.57</v>
      </c>
      <c r="J670" s="35">
        <v>-560</v>
      </c>
      <c r="K670" s="71">
        <f>YEAR(Accion[[#This Row],[fecha]])</f>
        <v>2016</v>
      </c>
      <c r="L670" s="79" t="str">
        <f>IF(Accion[[#This Row],[Precio Cierre]]=MAX(Accion[Precio Cierre]),Accion[[#This Row],[Precio Cierre]],"NA")</f>
        <v>NA</v>
      </c>
      <c r="M670" s="79" t="str">
        <f>IF(Accion[[#This Row],[Precio Cierre]]=MIN(Accion[Precio Cierre]),Accion[[#This Row],[Precio Cierre]],"NA")</f>
        <v>NA</v>
      </c>
    </row>
    <row r="671" spans="1:13" hidden="1">
      <c r="A671" s="38" t="s">
        <v>90</v>
      </c>
      <c r="B671" s="34">
        <v>42641</v>
      </c>
      <c r="C671" s="35">
        <v>944513</v>
      </c>
      <c r="D671" s="35">
        <v>11541644420</v>
      </c>
      <c r="E671" s="35">
        <v>12360</v>
      </c>
      <c r="F671" s="35">
        <v>12060</v>
      </c>
      <c r="G671" s="35">
        <v>12260</v>
      </c>
      <c r="H671" s="35">
        <v>12219.68</v>
      </c>
      <c r="I671" s="35">
        <v>1.66</v>
      </c>
      <c r="J671" s="35">
        <v>200</v>
      </c>
      <c r="K671" s="71">
        <f>YEAR(Accion[[#This Row],[fecha]])</f>
        <v>2016</v>
      </c>
      <c r="L671" s="79" t="str">
        <f>IF(Accion[[#This Row],[Precio Cierre]]=MAX(Accion[Precio Cierre]),Accion[[#This Row],[Precio Cierre]],"NA")</f>
        <v>NA</v>
      </c>
      <c r="M671" s="79" t="str">
        <f>IF(Accion[[#This Row],[Precio Cierre]]=MIN(Accion[Precio Cierre]),Accion[[#This Row],[Precio Cierre]],"NA")</f>
        <v>NA</v>
      </c>
    </row>
    <row r="672" spans="1:13" hidden="1">
      <c r="A672" s="38" t="s">
        <v>90</v>
      </c>
      <c r="B672" s="34">
        <v>42640</v>
      </c>
      <c r="C672" s="35">
        <v>3212507</v>
      </c>
      <c r="D672" s="35">
        <v>37749532680</v>
      </c>
      <c r="E672" s="35">
        <v>12060</v>
      </c>
      <c r="F672" s="35">
        <v>11560</v>
      </c>
      <c r="G672" s="35">
        <v>12060</v>
      </c>
      <c r="H672" s="35">
        <v>11750.8</v>
      </c>
      <c r="I672" s="35">
        <v>1.34</v>
      </c>
      <c r="J672" s="35">
        <v>160</v>
      </c>
      <c r="K672" s="71">
        <f>YEAR(Accion[[#This Row],[fecha]])</f>
        <v>2016</v>
      </c>
      <c r="L672" s="79" t="str">
        <f>IF(Accion[[#This Row],[Precio Cierre]]=MAX(Accion[Precio Cierre]),Accion[[#This Row],[Precio Cierre]],"NA")</f>
        <v>NA</v>
      </c>
      <c r="M672" s="79" t="str">
        <f>IF(Accion[[#This Row],[Precio Cierre]]=MIN(Accion[Precio Cierre]),Accion[[#This Row],[Precio Cierre]],"NA")</f>
        <v>NA</v>
      </c>
    </row>
    <row r="673" spans="1:13" hidden="1">
      <c r="A673" s="38" t="s">
        <v>90</v>
      </c>
      <c r="B673" s="34">
        <v>42639</v>
      </c>
      <c r="C673" s="35">
        <v>2106948</v>
      </c>
      <c r="D673" s="35">
        <v>25460455260</v>
      </c>
      <c r="E673" s="35">
        <v>12860</v>
      </c>
      <c r="F673" s="35">
        <v>11860</v>
      </c>
      <c r="G673" s="35">
        <v>11900</v>
      </c>
      <c r="H673" s="35">
        <v>12084.05</v>
      </c>
      <c r="I673" s="35">
        <v>-9.3000000000000007</v>
      </c>
      <c r="J673" s="35">
        <v>-1220</v>
      </c>
      <c r="K673" s="71">
        <f>YEAR(Accion[[#This Row],[fecha]])</f>
        <v>2016</v>
      </c>
      <c r="L673" s="79" t="str">
        <f>IF(Accion[[#This Row],[Precio Cierre]]=MAX(Accion[Precio Cierre]),Accion[[#This Row],[Precio Cierre]],"NA")</f>
        <v>NA</v>
      </c>
      <c r="M673" s="79" t="str">
        <f>IF(Accion[[#This Row],[Precio Cierre]]=MIN(Accion[Precio Cierre]),Accion[[#This Row],[Precio Cierre]],"NA")</f>
        <v>NA</v>
      </c>
    </row>
    <row r="674" spans="1:13" hidden="1">
      <c r="A674" s="38" t="s">
        <v>90</v>
      </c>
      <c r="B674" s="34">
        <v>42636</v>
      </c>
      <c r="C674" s="35">
        <v>127370</v>
      </c>
      <c r="D674" s="35">
        <v>1674539400</v>
      </c>
      <c r="E674" s="35">
        <v>13300</v>
      </c>
      <c r="F674" s="35">
        <v>12900</v>
      </c>
      <c r="G674" s="35">
        <v>13120</v>
      </c>
      <c r="H674" s="35">
        <v>13147.05</v>
      </c>
      <c r="I674" s="35">
        <v>-1.35</v>
      </c>
      <c r="J674" s="35">
        <v>-180</v>
      </c>
      <c r="K674" s="71">
        <f>YEAR(Accion[[#This Row],[fecha]])</f>
        <v>2016</v>
      </c>
      <c r="L674" s="79" t="str">
        <f>IF(Accion[[#This Row],[Precio Cierre]]=MAX(Accion[Precio Cierre]),Accion[[#This Row],[Precio Cierre]],"NA")</f>
        <v>NA</v>
      </c>
      <c r="M674" s="79" t="str">
        <f>IF(Accion[[#This Row],[Precio Cierre]]=MIN(Accion[Precio Cierre]),Accion[[#This Row],[Precio Cierre]],"NA")</f>
        <v>NA</v>
      </c>
    </row>
    <row r="675" spans="1:13" hidden="1">
      <c r="A675" s="38" t="s">
        <v>90</v>
      </c>
      <c r="B675" s="34">
        <v>42635</v>
      </c>
      <c r="C675" s="35">
        <v>242353</v>
      </c>
      <c r="D675" s="35">
        <v>3225377560</v>
      </c>
      <c r="E675" s="35">
        <v>13400</v>
      </c>
      <c r="F675" s="35">
        <v>13260</v>
      </c>
      <c r="G675" s="35">
        <v>13300</v>
      </c>
      <c r="H675" s="35">
        <v>13308.59</v>
      </c>
      <c r="I675" s="35">
        <v>0.91</v>
      </c>
      <c r="J675" s="35">
        <v>120</v>
      </c>
      <c r="K675" s="71">
        <f>YEAR(Accion[[#This Row],[fecha]])</f>
        <v>2016</v>
      </c>
      <c r="L675" s="79" t="str">
        <f>IF(Accion[[#This Row],[Precio Cierre]]=MAX(Accion[Precio Cierre]),Accion[[#This Row],[Precio Cierre]],"NA")</f>
        <v>NA</v>
      </c>
      <c r="M675" s="79" t="str">
        <f>IF(Accion[[#This Row],[Precio Cierre]]=MIN(Accion[Precio Cierre]),Accion[[#This Row],[Precio Cierre]],"NA")</f>
        <v>NA</v>
      </c>
    </row>
    <row r="676" spans="1:13" hidden="1">
      <c r="A676" s="38" t="s">
        <v>90</v>
      </c>
      <c r="B676" s="34">
        <v>42634</v>
      </c>
      <c r="C676" s="35">
        <v>649268</v>
      </c>
      <c r="D676" s="35">
        <v>8577308360</v>
      </c>
      <c r="E676" s="35">
        <v>13340</v>
      </c>
      <c r="F676" s="35">
        <v>13160</v>
      </c>
      <c r="G676" s="35">
        <v>13180</v>
      </c>
      <c r="H676" s="35">
        <v>13210.74</v>
      </c>
      <c r="I676" s="35">
        <v>-0.9</v>
      </c>
      <c r="J676" s="35">
        <v>-120</v>
      </c>
      <c r="K676" s="71">
        <f>YEAR(Accion[[#This Row],[fecha]])</f>
        <v>2016</v>
      </c>
      <c r="L676" s="79" t="str">
        <f>IF(Accion[[#This Row],[Precio Cierre]]=MAX(Accion[Precio Cierre]),Accion[[#This Row],[Precio Cierre]],"NA")</f>
        <v>NA</v>
      </c>
      <c r="M676" s="79" t="str">
        <f>IF(Accion[[#This Row],[Precio Cierre]]=MIN(Accion[Precio Cierre]),Accion[[#This Row],[Precio Cierre]],"NA")</f>
        <v>NA</v>
      </c>
    </row>
    <row r="677" spans="1:13" hidden="1">
      <c r="A677" s="38" t="s">
        <v>90</v>
      </c>
      <c r="B677" s="34">
        <v>42633</v>
      </c>
      <c r="C677" s="35">
        <v>753650</v>
      </c>
      <c r="D677" s="35">
        <v>10145625320</v>
      </c>
      <c r="E677" s="35">
        <v>13600</v>
      </c>
      <c r="F677" s="35">
        <v>13280</v>
      </c>
      <c r="G677" s="35">
        <v>13300</v>
      </c>
      <c r="H677" s="35">
        <v>13461.99</v>
      </c>
      <c r="I677" s="35">
        <v>-1.48</v>
      </c>
      <c r="J677" s="35">
        <v>-200</v>
      </c>
      <c r="K677" s="71">
        <f>YEAR(Accion[[#This Row],[fecha]])</f>
        <v>2016</v>
      </c>
      <c r="L677" s="79" t="str">
        <f>IF(Accion[[#This Row],[Precio Cierre]]=MAX(Accion[Precio Cierre]),Accion[[#This Row],[Precio Cierre]],"NA")</f>
        <v>NA</v>
      </c>
      <c r="M677" s="79" t="str">
        <f>IF(Accion[[#This Row],[Precio Cierre]]=MIN(Accion[Precio Cierre]),Accion[[#This Row],[Precio Cierre]],"NA")</f>
        <v>NA</v>
      </c>
    </row>
    <row r="678" spans="1:13" hidden="1">
      <c r="A678" s="38" t="s">
        <v>90</v>
      </c>
      <c r="B678" s="34">
        <v>42632</v>
      </c>
      <c r="C678" s="35">
        <v>965520</v>
      </c>
      <c r="D678" s="35">
        <v>12880161560</v>
      </c>
      <c r="E678" s="35">
        <v>13560</v>
      </c>
      <c r="F678" s="35">
        <v>13000</v>
      </c>
      <c r="G678" s="35">
        <v>13500</v>
      </c>
      <c r="H678" s="35">
        <v>13340.13</v>
      </c>
      <c r="I678" s="35">
        <v>4.9800000000000004</v>
      </c>
      <c r="J678" s="35">
        <v>640</v>
      </c>
      <c r="K678" s="71">
        <f>YEAR(Accion[[#This Row],[fecha]])</f>
        <v>2016</v>
      </c>
      <c r="L678" s="79" t="str">
        <f>IF(Accion[[#This Row],[Precio Cierre]]=MAX(Accion[Precio Cierre]),Accion[[#This Row],[Precio Cierre]],"NA")</f>
        <v>NA</v>
      </c>
      <c r="M678" s="79" t="str">
        <f>IF(Accion[[#This Row],[Precio Cierre]]=MIN(Accion[Precio Cierre]),Accion[[#This Row],[Precio Cierre]],"NA")</f>
        <v>NA</v>
      </c>
    </row>
    <row r="679" spans="1:13" hidden="1">
      <c r="A679" s="38" t="s">
        <v>90</v>
      </c>
      <c r="B679" s="34">
        <v>42629</v>
      </c>
      <c r="C679" s="35">
        <v>583011</v>
      </c>
      <c r="D679" s="35">
        <v>7787180900</v>
      </c>
      <c r="E679" s="35">
        <v>13900</v>
      </c>
      <c r="F679" s="35">
        <v>12860</v>
      </c>
      <c r="G679" s="35">
        <v>12860</v>
      </c>
      <c r="H679" s="35">
        <v>13356.83</v>
      </c>
      <c r="I679" s="35">
        <v>-7.48</v>
      </c>
      <c r="J679" s="35">
        <v>-1040</v>
      </c>
      <c r="K679" s="71">
        <f>YEAR(Accion[[#This Row],[fecha]])</f>
        <v>2016</v>
      </c>
      <c r="L679" s="79" t="str">
        <f>IF(Accion[[#This Row],[Precio Cierre]]=MAX(Accion[Precio Cierre]),Accion[[#This Row],[Precio Cierre]],"NA")</f>
        <v>NA</v>
      </c>
      <c r="M679" s="79" t="str">
        <f>IF(Accion[[#This Row],[Precio Cierre]]=MIN(Accion[Precio Cierre]),Accion[[#This Row],[Precio Cierre]],"NA")</f>
        <v>NA</v>
      </c>
    </row>
    <row r="680" spans="1:13" hidden="1">
      <c r="A680" s="38" t="s">
        <v>90</v>
      </c>
      <c r="B680" s="34">
        <v>42628</v>
      </c>
      <c r="C680" s="35">
        <v>239094</v>
      </c>
      <c r="D680" s="35">
        <v>3288563900</v>
      </c>
      <c r="E680" s="35">
        <v>13940</v>
      </c>
      <c r="F680" s="35">
        <v>13600</v>
      </c>
      <c r="G680" s="35">
        <v>13900</v>
      </c>
      <c r="H680" s="35">
        <v>13754.27</v>
      </c>
      <c r="I680" s="35">
        <v>1.1599999999999999</v>
      </c>
      <c r="J680" s="35">
        <v>160</v>
      </c>
      <c r="K680" s="71">
        <f>YEAR(Accion[[#This Row],[fecha]])</f>
        <v>2016</v>
      </c>
      <c r="L680" s="79" t="str">
        <f>IF(Accion[[#This Row],[Precio Cierre]]=MAX(Accion[Precio Cierre]),Accion[[#This Row],[Precio Cierre]],"NA")</f>
        <v>NA</v>
      </c>
      <c r="M680" s="79" t="str">
        <f>IF(Accion[[#This Row],[Precio Cierre]]=MIN(Accion[Precio Cierre]),Accion[[#This Row],[Precio Cierre]],"NA")</f>
        <v>NA</v>
      </c>
    </row>
    <row r="681" spans="1:13" hidden="1">
      <c r="A681" s="38" t="s">
        <v>90</v>
      </c>
      <c r="B681" s="34">
        <v>42627</v>
      </c>
      <c r="C681" s="35">
        <v>417041</v>
      </c>
      <c r="D681" s="35">
        <v>5696065620</v>
      </c>
      <c r="E681" s="35">
        <v>13800</v>
      </c>
      <c r="F681" s="35">
        <v>13580</v>
      </c>
      <c r="G681" s="35">
        <v>13740</v>
      </c>
      <c r="H681" s="35">
        <v>13658.29</v>
      </c>
      <c r="I681" s="35">
        <v>0.88</v>
      </c>
      <c r="J681" s="35">
        <v>120</v>
      </c>
      <c r="K681" s="71">
        <f>YEAR(Accion[[#This Row],[fecha]])</f>
        <v>2016</v>
      </c>
      <c r="L681" s="79" t="str">
        <f>IF(Accion[[#This Row],[Precio Cierre]]=MAX(Accion[Precio Cierre]),Accion[[#This Row],[Precio Cierre]],"NA")</f>
        <v>NA</v>
      </c>
      <c r="M681" s="79" t="str">
        <f>IF(Accion[[#This Row],[Precio Cierre]]=MIN(Accion[Precio Cierre]),Accion[[#This Row],[Precio Cierre]],"NA")</f>
        <v>NA</v>
      </c>
    </row>
    <row r="682" spans="1:13" hidden="1">
      <c r="A682" s="38" t="s">
        <v>90</v>
      </c>
      <c r="B682" s="34">
        <v>42626</v>
      </c>
      <c r="C682" s="35">
        <v>150563</v>
      </c>
      <c r="D682" s="35">
        <v>2054454220</v>
      </c>
      <c r="E682" s="35">
        <v>13940</v>
      </c>
      <c r="F682" s="35">
        <v>13600</v>
      </c>
      <c r="G682" s="35">
        <v>13620</v>
      </c>
      <c r="H682" s="35">
        <v>13645.15</v>
      </c>
      <c r="I682" s="35">
        <v>-2.44</v>
      </c>
      <c r="J682" s="35">
        <v>-340</v>
      </c>
      <c r="K682" s="71">
        <f>YEAR(Accion[[#This Row],[fecha]])</f>
        <v>2016</v>
      </c>
      <c r="L682" s="79" t="str">
        <f>IF(Accion[[#This Row],[Precio Cierre]]=MAX(Accion[Precio Cierre]),Accion[[#This Row],[Precio Cierre]],"NA")</f>
        <v>NA</v>
      </c>
      <c r="M682" s="79" t="str">
        <f>IF(Accion[[#This Row],[Precio Cierre]]=MIN(Accion[Precio Cierre]),Accion[[#This Row],[Precio Cierre]],"NA")</f>
        <v>NA</v>
      </c>
    </row>
    <row r="683" spans="1:13" hidden="1">
      <c r="A683" s="38" t="s">
        <v>90</v>
      </c>
      <c r="B683" s="34">
        <v>42625</v>
      </c>
      <c r="C683" s="35">
        <v>1380</v>
      </c>
      <c r="D683" s="35">
        <v>19264400</v>
      </c>
      <c r="E683" s="35">
        <v>13960</v>
      </c>
      <c r="F683" s="35">
        <v>13960</v>
      </c>
      <c r="G683" s="35">
        <v>13960</v>
      </c>
      <c r="H683" s="35">
        <v>13959.71</v>
      </c>
      <c r="I683" s="35">
        <v>-0.99</v>
      </c>
      <c r="J683" s="35">
        <v>-140</v>
      </c>
      <c r="K683" s="71">
        <f>YEAR(Accion[[#This Row],[fecha]])</f>
        <v>2016</v>
      </c>
      <c r="L683" s="79" t="str">
        <f>IF(Accion[[#This Row],[Precio Cierre]]=MAX(Accion[Precio Cierre]),Accion[[#This Row],[Precio Cierre]],"NA")</f>
        <v>NA</v>
      </c>
      <c r="M683" s="79" t="str">
        <f>IF(Accion[[#This Row],[Precio Cierre]]=MIN(Accion[Precio Cierre]),Accion[[#This Row],[Precio Cierre]],"NA")</f>
        <v>NA</v>
      </c>
    </row>
    <row r="684" spans="1:13" hidden="1">
      <c r="A684" s="38" t="s">
        <v>90</v>
      </c>
      <c r="B684" s="34">
        <v>42622</v>
      </c>
      <c r="C684" s="35">
        <v>147318</v>
      </c>
      <c r="D684" s="35">
        <v>2058235140</v>
      </c>
      <c r="E684" s="35">
        <v>14200</v>
      </c>
      <c r="F684" s="35">
        <v>13900</v>
      </c>
      <c r="G684" s="35">
        <v>14100</v>
      </c>
      <c r="H684" s="35">
        <v>13971.38</v>
      </c>
      <c r="I684" s="35">
        <v>-0.7</v>
      </c>
      <c r="J684" s="35">
        <v>-100</v>
      </c>
      <c r="K684" s="71">
        <f>YEAR(Accion[[#This Row],[fecha]])</f>
        <v>2016</v>
      </c>
      <c r="L684" s="79" t="str">
        <f>IF(Accion[[#This Row],[Precio Cierre]]=MAX(Accion[Precio Cierre]),Accion[[#This Row],[Precio Cierre]],"NA")</f>
        <v>NA</v>
      </c>
      <c r="M684" s="79" t="str">
        <f>IF(Accion[[#This Row],[Precio Cierre]]=MIN(Accion[Precio Cierre]),Accion[[#This Row],[Precio Cierre]],"NA")</f>
        <v>NA</v>
      </c>
    </row>
    <row r="685" spans="1:13" hidden="1">
      <c r="A685" s="38" t="s">
        <v>90</v>
      </c>
      <c r="B685" s="34">
        <v>42621</v>
      </c>
      <c r="C685" s="35">
        <v>204273</v>
      </c>
      <c r="D685" s="35">
        <v>2875165640</v>
      </c>
      <c r="E685" s="35">
        <v>14200</v>
      </c>
      <c r="F685" s="35">
        <v>14040</v>
      </c>
      <c r="G685" s="35">
        <v>14200</v>
      </c>
      <c r="H685" s="35">
        <v>14075.11</v>
      </c>
      <c r="I685" s="35">
        <v>0.56999999999999995</v>
      </c>
      <c r="J685" s="35">
        <v>80</v>
      </c>
      <c r="K685" s="71">
        <f>YEAR(Accion[[#This Row],[fecha]])</f>
        <v>2016</v>
      </c>
      <c r="L685" s="79" t="str">
        <f>IF(Accion[[#This Row],[Precio Cierre]]=MAX(Accion[Precio Cierre]),Accion[[#This Row],[Precio Cierre]],"NA")</f>
        <v>NA</v>
      </c>
      <c r="M685" s="79" t="str">
        <f>IF(Accion[[#This Row],[Precio Cierre]]=MIN(Accion[Precio Cierre]),Accion[[#This Row],[Precio Cierre]],"NA")</f>
        <v>NA</v>
      </c>
    </row>
    <row r="686" spans="1:13" hidden="1">
      <c r="A686" s="38" t="s">
        <v>90</v>
      </c>
      <c r="B686" s="34">
        <v>42620</v>
      </c>
      <c r="C686" s="35">
        <v>301115</v>
      </c>
      <c r="D686" s="35">
        <v>4267044360</v>
      </c>
      <c r="E686" s="35">
        <v>14300</v>
      </c>
      <c r="F686" s="35">
        <v>14080</v>
      </c>
      <c r="G686" s="35">
        <v>14120</v>
      </c>
      <c r="H686" s="35">
        <v>14170.81</v>
      </c>
      <c r="I686" s="35">
        <v>-0.42</v>
      </c>
      <c r="J686" s="35">
        <v>-60</v>
      </c>
      <c r="K686" s="71">
        <f>YEAR(Accion[[#This Row],[fecha]])</f>
        <v>2016</v>
      </c>
      <c r="L686" s="79" t="str">
        <f>IF(Accion[[#This Row],[Precio Cierre]]=MAX(Accion[Precio Cierre]),Accion[[#This Row],[Precio Cierre]],"NA")</f>
        <v>NA</v>
      </c>
      <c r="M686" s="79" t="str">
        <f>IF(Accion[[#This Row],[Precio Cierre]]=MIN(Accion[Precio Cierre]),Accion[[#This Row],[Precio Cierre]],"NA")</f>
        <v>NA</v>
      </c>
    </row>
    <row r="687" spans="1:13" hidden="1">
      <c r="A687" s="38" t="s">
        <v>90</v>
      </c>
      <c r="B687" s="34">
        <v>42619</v>
      </c>
      <c r="C687" s="35">
        <v>181071</v>
      </c>
      <c r="D687" s="35">
        <v>2541385860</v>
      </c>
      <c r="E687" s="35">
        <v>14180</v>
      </c>
      <c r="F687" s="35">
        <v>13840</v>
      </c>
      <c r="G687" s="35">
        <v>14180</v>
      </c>
      <c r="H687" s="35">
        <v>14035.3</v>
      </c>
      <c r="I687" s="35">
        <v>3.05</v>
      </c>
      <c r="J687" s="35">
        <v>420</v>
      </c>
      <c r="K687" s="71">
        <f>YEAR(Accion[[#This Row],[fecha]])</f>
        <v>2016</v>
      </c>
      <c r="L687" s="79" t="str">
        <f>IF(Accion[[#This Row],[Precio Cierre]]=MAX(Accion[Precio Cierre]),Accion[[#This Row],[Precio Cierre]],"NA")</f>
        <v>NA</v>
      </c>
      <c r="M687" s="79" t="str">
        <f>IF(Accion[[#This Row],[Precio Cierre]]=MIN(Accion[Precio Cierre]),Accion[[#This Row],[Precio Cierre]],"NA")</f>
        <v>NA</v>
      </c>
    </row>
    <row r="688" spans="1:13" hidden="1">
      <c r="A688" s="38" t="s">
        <v>90</v>
      </c>
      <c r="B688" s="34">
        <v>42618</v>
      </c>
      <c r="C688" s="35">
        <v>113777</v>
      </c>
      <c r="D688" s="35">
        <v>1571862780</v>
      </c>
      <c r="E688" s="35">
        <v>13900</v>
      </c>
      <c r="F688" s="35">
        <v>13760</v>
      </c>
      <c r="G688" s="35">
        <v>13760</v>
      </c>
      <c r="H688" s="35">
        <v>13815.29</v>
      </c>
      <c r="I688" s="35">
        <v>-0.43</v>
      </c>
      <c r="J688" s="35">
        <v>-60</v>
      </c>
      <c r="K688" s="71">
        <f>YEAR(Accion[[#This Row],[fecha]])</f>
        <v>2016</v>
      </c>
      <c r="L688" s="79" t="str">
        <f>IF(Accion[[#This Row],[Precio Cierre]]=MAX(Accion[Precio Cierre]),Accion[[#This Row],[Precio Cierre]],"NA")</f>
        <v>NA</v>
      </c>
      <c r="M688" s="79" t="str">
        <f>IF(Accion[[#This Row],[Precio Cierre]]=MIN(Accion[Precio Cierre]),Accion[[#This Row],[Precio Cierre]],"NA")</f>
        <v>NA</v>
      </c>
    </row>
    <row r="689" spans="1:13" hidden="1">
      <c r="A689" s="38" t="s">
        <v>90</v>
      </c>
      <c r="B689" s="34">
        <v>42615</v>
      </c>
      <c r="C689" s="35">
        <v>375299</v>
      </c>
      <c r="D689" s="35">
        <v>5116386440</v>
      </c>
      <c r="E689" s="35">
        <v>13820</v>
      </c>
      <c r="F689" s="35">
        <v>13540</v>
      </c>
      <c r="G689" s="35">
        <v>13820</v>
      </c>
      <c r="H689" s="35">
        <v>13632.83</v>
      </c>
      <c r="I689" s="35">
        <v>2.2200000000000002</v>
      </c>
      <c r="J689" s="35">
        <v>300</v>
      </c>
      <c r="K689" s="71">
        <f>YEAR(Accion[[#This Row],[fecha]])</f>
        <v>2016</v>
      </c>
      <c r="L689" s="79" t="str">
        <f>IF(Accion[[#This Row],[Precio Cierre]]=MAX(Accion[Precio Cierre]),Accion[[#This Row],[Precio Cierre]],"NA")</f>
        <v>NA</v>
      </c>
      <c r="M689" s="79" t="str">
        <f>IF(Accion[[#This Row],[Precio Cierre]]=MIN(Accion[Precio Cierre]),Accion[[#This Row],[Precio Cierre]],"NA")</f>
        <v>NA</v>
      </c>
    </row>
    <row r="690" spans="1:13" hidden="1">
      <c r="A690" s="38" t="s">
        <v>90</v>
      </c>
      <c r="B690" s="34">
        <v>42614</v>
      </c>
      <c r="C690" s="35">
        <v>161235</v>
      </c>
      <c r="D690" s="35">
        <v>2177445300</v>
      </c>
      <c r="E690" s="35">
        <v>13560</v>
      </c>
      <c r="F690" s="35">
        <v>13400</v>
      </c>
      <c r="G690" s="35">
        <v>13520</v>
      </c>
      <c r="H690" s="35">
        <v>13504.79</v>
      </c>
      <c r="I690" s="35">
        <v>1.5</v>
      </c>
      <c r="J690" s="35">
        <v>200</v>
      </c>
      <c r="K690" s="71">
        <f>YEAR(Accion[[#This Row],[fecha]])</f>
        <v>2016</v>
      </c>
      <c r="L690" s="79" t="str">
        <f>IF(Accion[[#This Row],[Precio Cierre]]=MAX(Accion[Precio Cierre]),Accion[[#This Row],[Precio Cierre]],"NA")</f>
        <v>NA</v>
      </c>
      <c r="M690" s="79" t="str">
        <f>IF(Accion[[#This Row],[Precio Cierre]]=MIN(Accion[Precio Cierre]),Accion[[#This Row],[Precio Cierre]],"NA")</f>
        <v>NA</v>
      </c>
    </row>
    <row r="691" spans="1:13" hidden="1">
      <c r="A691" s="38" t="s">
        <v>90</v>
      </c>
      <c r="B691" s="34">
        <v>42613</v>
      </c>
      <c r="C691" s="35">
        <v>163205</v>
      </c>
      <c r="D691" s="35">
        <v>2188233600</v>
      </c>
      <c r="E691" s="35">
        <v>13560</v>
      </c>
      <c r="F691" s="35">
        <v>13320</v>
      </c>
      <c r="G691" s="35">
        <v>13320</v>
      </c>
      <c r="H691" s="35">
        <v>13407.88</v>
      </c>
      <c r="I691" s="35">
        <v>-0.6</v>
      </c>
      <c r="J691" s="35">
        <v>-80</v>
      </c>
      <c r="K691" s="71">
        <f>YEAR(Accion[[#This Row],[fecha]])</f>
        <v>2016</v>
      </c>
      <c r="L691" s="79" t="str">
        <f>IF(Accion[[#This Row],[Precio Cierre]]=MAX(Accion[Precio Cierre]),Accion[[#This Row],[Precio Cierre]],"NA")</f>
        <v>NA</v>
      </c>
      <c r="M691" s="79" t="str">
        <f>IF(Accion[[#This Row],[Precio Cierre]]=MIN(Accion[Precio Cierre]),Accion[[#This Row],[Precio Cierre]],"NA")</f>
        <v>NA</v>
      </c>
    </row>
    <row r="692" spans="1:13" hidden="1">
      <c r="A692" s="38" t="s">
        <v>90</v>
      </c>
      <c r="B692" s="34">
        <v>42612</v>
      </c>
      <c r="C692" s="35">
        <v>2161242</v>
      </c>
      <c r="D692" s="35">
        <v>28884226700</v>
      </c>
      <c r="E692" s="35">
        <v>13480</v>
      </c>
      <c r="F692" s="35">
        <v>13260</v>
      </c>
      <c r="G692" s="35">
        <v>13400</v>
      </c>
      <c r="H692" s="35">
        <v>13364.64</v>
      </c>
      <c r="I692" s="35">
        <v>1.36</v>
      </c>
      <c r="J692" s="35">
        <v>180</v>
      </c>
      <c r="K692" s="71">
        <f>YEAR(Accion[[#This Row],[fecha]])</f>
        <v>2016</v>
      </c>
      <c r="L692" s="79" t="str">
        <f>IF(Accion[[#This Row],[Precio Cierre]]=MAX(Accion[Precio Cierre]),Accion[[#This Row],[Precio Cierre]],"NA")</f>
        <v>NA</v>
      </c>
      <c r="M692" s="79" t="str">
        <f>IF(Accion[[#This Row],[Precio Cierre]]=MIN(Accion[Precio Cierre]),Accion[[#This Row],[Precio Cierre]],"NA")</f>
        <v>NA</v>
      </c>
    </row>
    <row r="693" spans="1:13" hidden="1">
      <c r="A693" s="38" t="s">
        <v>90</v>
      </c>
      <c r="B693" s="34">
        <v>42611</v>
      </c>
      <c r="C693" s="35">
        <v>80834</v>
      </c>
      <c r="D693" s="35">
        <v>1081149680</v>
      </c>
      <c r="E693" s="35">
        <v>13460</v>
      </c>
      <c r="F693" s="35">
        <v>13220</v>
      </c>
      <c r="G693" s="35">
        <v>13220</v>
      </c>
      <c r="H693" s="35">
        <v>13374.94</v>
      </c>
      <c r="I693" s="35">
        <v>-0.9</v>
      </c>
      <c r="J693" s="35">
        <v>-120</v>
      </c>
      <c r="K693" s="71">
        <f>YEAR(Accion[[#This Row],[fecha]])</f>
        <v>2016</v>
      </c>
      <c r="L693" s="79" t="str">
        <f>IF(Accion[[#This Row],[Precio Cierre]]=MAX(Accion[Precio Cierre]),Accion[[#This Row],[Precio Cierre]],"NA")</f>
        <v>NA</v>
      </c>
      <c r="M693" s="79" t="str">
        <f>IF(Accion[[#This Row],[Precio Cierre]]=MIN(Accion[Precio Cierre]),Accion[[#This Row],[Precio Cierre]],"NA")</f>
        <v>NA</v>
      </c>
    </row>
    <row r="694" spans="1:13" hidden="1">
      <c r="A694" s="38" t="s">
        <v>90</v>
      </c>
      <c r="B694" s="34">
        <v>42608</v>
      </c>
      <c r="C694" s="35">
        <v>105028</v>
      </c>
      <c r="D694" s="35">
        <v>1404059660</v>
      </c>
      <c r="E694" s="35">
        <v>13460</v>
      </c>
      <c r="F694" s="35">
        <v>13240</v>
      </c>
      <c r="G694" s="35">
        <v>13340</v>
      </c>
      <c r="H694" s="35">
        <v>13368.43</v>
      </c>
      <c r="I694" s="35">
        <v>-0.45</v>
      </c>
      <c r="J694" s="35">
        <v>-60</v>
      </c>
      <c r="K694" s="71">
        <f>YEAR(Accion[[#This Row],[fecha]])</f>
        <v>2016</v>
      </c>
      <c r="L694" s="79" t="str">
        <f>IF(Accion[[#This Row],[Precio Cierre]]=MAX(Accion[Precio Cierre]),Accion[[#This Row],[Precio Cierre]],"NA")</f>
        <v>NA</v>
      </c>
      <c r="M694" s="79" t="str">
        <f>IF(Accion[[#This Row],[Precio Cierre]]=MIN(Accion[Precio Cierre]),Accion[[#This Row],[Precio Cierre]],"NA")</f>
        <v>NA</v>
      </c>
    </row>
    <row r="695" spans="1:13" hidden="1">
      <c r="A695" s="38" t="s">
        <v>90</v>
      </c>
      <c r="B695" s="34">
        <v>42607</v>
      </c>
      <c r="C695" s="35">
        <v>465674</v>
      </c>
      <c r="D695" s="35">
        <v>6213213960</v>
      </c>
      <c r="E695" s="35">
        <v>13400</v>
      </c>
      <c r="F695" s="35">
        <v>13200</v>
      </c>
      <c r="G695" s="35">
        <v>13400</v>
      </c>
      <c r="H695" s="35">
        <v>13342.41</v>
      </c>
      <c r="I695" s="35">
        <v>1.52</v>
      </c>
      <c r="J695" s="35">
        <v>200</v>
      </c>
      <c r="K695" s="71">
        <f>YEAR(Accion[[#This Row],[fecha]])</f>
        <v>2016</v>
      </c>
      <c r="L695" s="79" t="str">
        <f>IF(Accion[[#This Row],[Precio Cierre]]=MAX(Accion[Precio Cierre]),Accion[[#This Row],[Precio Cierre]],"NA")</f>
        <v>NA</v>
      </c>
      <c r="M695" s="79" t="str">
        <f>IF(Accion[[#This Row],[Precio Cierre]]=MIN(Accion[Precio Cierre]),Accion[[#This Row],[Precio Cierre]],"NA")</f>
        <v>NA</v>
      </c>
    </row>
    <row r="696" spans="1:13" hidden="1">
      <c r="A696" s="38" t="s">
        <v>90</v>
      </c>
      <c r="B696" s="34">
        <v>42606</v>
      </c>
      <c r="C696" s="35">
        <v>266331</v>
      </c>
      <c r="D696" s="35">
        <v>3490618500</v>
      </c>
      <c r="E696" s="35">
        <v>13200</v>
      </c>
      <c r="F696" s="35">
        <v>13000</v>
      </c>
      <c r="G696" s="35">
        <v>13200</v>
      </c>
      <c r="H696" s="35">
        <v>13106.32</v>
      </c>
      <c r="I696" s="35">
        <v>2.33</v>
      </c>
      <c r="J696" s="35">
        <v>300</v>
      </c>
      <c r="K696" s="71">
        <f>YEAR(Accion[[#This Row],[fecha]])</f>
        <v>2016</v>
      </c>
      <c r="L696" s="79" t="str">
        <f>IF(Accion[[#This Row],[Precio Cierre]]=MAX(Accion[Precio Cierre]),Accion[[#This Row],[Precio Cierre]],"NA")</f>
        <v>NA</v>
      </c>
      <c r="M696" s="79" t="str">
        <f>IF(Accion[[#This Row],[Precio Cierre]]=MIN(Accion[Precio Cierre]),Accion[[#This Row],[Precio Cierre]],"NA")</f>
        <v>NA</v>
      </c>
    </row>
    <row r="697" spans="1:13" hidden="1">
      <c r="A697" s="38" t="s">
        <v>90</v>
      </c>
      <c r="B697" s="34">
        <v>42605</v>
      </c>
      <c r="C697" s="35">
        <v>405265</v>
      </c>
      <c r="D697" s="35">
        <v>5236656900</v>
      </c>
      <c r="E697" s="35">
        <v>13000</v>
      </c>
      <c r="F697" s="35">
        <v>12900</v>
      </c>
      <c r="G697" s="35">
        <v>12900</v>
      </c>
      <c r="H697" s="35">
        <v>12921.56</v>
      </c>
      <c r="I697" s="35">
        <v>0</v>
      </c>
      <c r="J697" s="35">
        <v>0</v>
      </c>
      <c r="K697" s="71">
        <f>YEAR(Accion[[#This Row],[fecha]])</f>
        <v>2016</v>
      </c>
      <c r="L697" s="79" t="str">
        <f>IF(Accion[[#This Row],[Precio Cierre]]=MAX(Accion[Precio Cierre]),Accion[[#This Row],[Precio Cierre]],"NA")</f>
        <v>NA</v>
      </c>
      <c r="M697" s="79" t="str">
        <f>IF(Accion[[#This Row],[Precio Cierre]]=MIN(Accion[Precio Cierre]),Accion[[#This Row],[Precio Cierre]],"NA")</f>
        <v>NA</v>
      </c>
    </row>
    <row r="698" spans="1:13" hidden="1">
      <c r="A698" s="38" t="s">
        <v>90</v>
      </c>
      <c r="B698" s="34">
        <v>42604</v>
      </c>
      <c r="C698" s="35">
        <v>114831</v>
      </c>
      <c r="D698" s="35">
        <v>1479276640</v>
      </c>
      <c r="E698" s="35">
        <v>12940</v>
      </c>
      <c r="F698" s="35">
        <v>12740</v>
      </c>
      <c r="G698" s="35">
        <v>12900</v>
      </c>
      <c r="H698" s="35">
        <v>12882.21</v>
      </c>
      <c r="I698" s="35">
        <v>0.16</v>
      </c>
      <c r="J698" s="35">
        <v>20</v>
      </c>
      <c r="K698" s="71">
        <f>YEAR(Accion[[#This Row],[fecha]])</f>
        <v>2016</v>
      </c>
      <c r="L698" s="79" t="str">
        <f>IF(Accion[[#This Row],[Precio Cierre]]=MAX(Accion[Precio Cierre]),Accion[[#This Row],[Precio Cierre]],"NA")</f>
        <v>NA</v>
      </c>
      <c r="M698" s="79" t="str">
        <f>IF(Accion[[#This Row],[Precio Cierre]]=MIN(Accion[Precio Cierre]),Accion[[#This Row],[Precio Cierre]],"NA")</f>
        <v>NA</v>
      </c>
    </row>
    <row r="699" spans="1:13" hidden="1">
      <c r="A699" s="38" t="s">
        <v>90</v>
      </c>
      <c r="B699" s="34">
        <v>42601</v>
      </c>
      <c r="C699" s="35">
        <v>192146</v>
      </c>
      <c r="D699" s="35">
        <v>2490438940</v>
      </c>
      <c r="E699" s="35">
        <v>13200</v>
      </c>
      <c r="F699" s="35">
        <v>12840</v>
      </c>
      <c r="G699" s="35">
        <v>12880</v>
      </c>
      <c r="H699" s="35">
        <v>12961.18</v>
      </c>
      <c r="I699" s="35">
        <v>0.78</v>
      </c>
      <c r="J699" s="35">
        <v>100</v>
      </c>
      <c r="K699" s="71">
        <f>YEAR(Accion[[#This Row],[fecha]])</f>
        <v>2016</v>
      </c>
      <c r="L699" s="79" t="str">
        <f>IF(Accion[[#This Row],[Precio Cierre]]=MAX(Accion[Precio Cierre]),Accion[[#This Row],[Precio Cierre]],"NA")</f>
        <v>NA</v>
      </c>
      <c r="M699" s="79" t="str">
        <f>IF(Accion[[#This Row],[Precio Cierre]]=MIN(Accion[Precio Cierre]),Accion[[#This Row],[Precio Cierre]],"NA")</f>
        <v>NA</v>
      </c>
    </row>
    <row r="700" spans="1:13" hidden="1">
      <c r="A700" s="38" t="s">
        <v>90</v>
      </c>
      <c r="B700" s="34">
        <v>42600</v>
      </c>
      <c r="C700" s="35">
        <v>130298</v>
      </c>
      <c r="D700" s="35">
        <v>1665770880</v>
      </c>
      <c r="E700" s="35">
        <v>12820</v>
      </c>
      <c r="F700" s="35">
        <v>12520</v>
      </c>
      <c r="G700" s="35">
        <v>12780</v>
      </c>
      <c r="H700" s="35">
        <v>12784.32</v>
      </c>
      <c r="I700" s="35">
        <v>1.1100000000000001</v>
      </c>
      <c r="J700" s="35">
        <v>140</v>
      </c>
      <c r="K700" s="71">
        <f>YEAR(Accion[[#This Row],[fecha]])</f>
        <v>2016</v>
      </c>
      <c r="L700" s="79" t="str">
        <f>IF(Accion[[#This Row],[Precio Cierre]]=MAX(Accion[Precio Cierre]),Accion[[#This Row],[Precio Cierre]],"NA")</f>
        <v>NA</v>
      </c>
      <c r="M700" s="79" t="str">
        <f>IF(Accion[[#This Row],[Precio Cierre]]=MIN(Accion[Precio Cierre]),Accion[[#This Row],[Precio Cierre]],"NA")</f>
        <v>NA</v>
      </c>
    </row>
    <row r="701" spans="1:13" hidden="1">
      <c r="A701" s="38" t="s">
        <v>90</v>
      </c>
      <c r="B701" s="34">
        <v>42599</v>
      </c>
      <c r="C701" s="35">
        <v>114948</v>
      </c>
      <c r="D701" s="35">
        <v>1456584000</v>
      </c>
      <c r="E701" s="35">
        <v>12720</v>
      </c>
      <c r="F701" s="35">
        <v>12420</v>
      </c>
      <c r="G701" s="35">
        <v>12640</v>
      </c>
      <c r="H701" s="35">
        <v>12671.68</v>
      </c>
      <c r="I701" s="35">
        <v>-0.47</v>
      </c>
      <c r="J701" s="35">
        <v>-60</v>
      </c>
      <c r="K701" s="71">
        <f>YEAR(Accion[[#This Row],[fecha]])</f>
        <v>2016</v>
      </c>
      <c r="L701" s="79" t="str">
        <f>IF(Accion[[#This Row],[Precio Cierre]]=MAX(Accion[Precio Cierre]),Accion[[#This Row],[Precio Cierre]],"NA")</f>
        <v>NA</v>
      </c>
      <c r="M701" s="79" t="str">
        <f>IF(Accion[[#This Row],[Precio Cierre]]=MIN(Accion[Precio Cierre]),Accion[[#This Row],[Precio Cierre]],"NA")</f>
        <v>NA</v>
      </c>
    </row>
    <row r="702" spans="1:13" hidden="1">
      <c r="A702" s="38" t="s">
        <v>90</v>
      </c>
      <c r="B702" s="34">
        <v>42598</v>
      </c>
      <c r="C702" s="35">
        <v>553246</v>
      </c>
      <c r="D702" s="35">
        <v>6995815180</v>
      </c>
      <c r="E702" s="35">
        <v>12760</v>
      </c>
      <c r="F702" s="35">
        <v>12380</v>
      </c>
      <c r="G702" s="35">
        <v>12700</v>
      </c>
      <c r="H702" s="35">
        <v>12645.04</v>
      </c>
      <c r="I702" s="35">
        <v>1.6</v>
      </c>
      <c r="J702" s="35">
        <v>200</v>
      </c>
      <c r="K702" s="71">
        <f>YEAR(Accion[[#This Row],[fecha]])</f>
        <v>2016</v>
      </c>
      <c r="L702" s="79" t="str">
        <f>IF(Accion[[#This Row],[Precio Cierre]]=MAX(Accion[Precio Cierre]),Accion[[#This Row],[Precio Cierre]],"NA")</f>
        <v>NA</v>
      </c>
      <c r="M702" s="79" t="str">
        <f>IF(Accion[[#This Row],[Precio Cierre]]=MIN(Accion[Precio Cierre]),Accion[[#This Row],[Precio Cierre]],"NA")</f>
        <v>NA</v>
      </c>
    </row>
    <row r="703" spans="1:13" hidden="1">
      <c r="A703" s="38" t="s">
        <v>90</v>
      </c>
      <c r="B703" s="34">
        <v>42594</v>
      </c>
      <c r="C703" s="35">
        <v>175138</v>
      </c>
      <c r="D703" s="35">
        <v>2167134080</v>
      </c>
      <c r="E703" s="35">
        <v>12500</v>
      </c>
      <c r="F703" s="35">
        <v>12320</v>
      </c>
      <c r="G703" s="35">
        <v>12500</v>
      </c>
      <c r="H703" s="35">
        <v>12373.87</v>
      </c>
      <c r="I703" s="35">
        <v>0.64</v>
      </c>
      <c r="J703" s="35">
        <v>80</v>
      </c>
      <c r="K703" s="71">
        <f>YEAR(Accion[[#This Row],[fecha]])</f>
        <v>2016</v>
      </c>
      <c r="L703" s="79" t="str">
        <f>IF(Accion[[#This Row],[Precio Cierre]]=MAX(Accion[Precio Cierre]),Accion[[#This Row],[Precio Cierre]],"NA")</f>
        <v>NA</v>
      </c>
      <c r="M703" s="79" t="str">
        <f>IF(Accion[[#This Row],[Precio Cierre]]=MIN(Accion[Precio Cierre]),Accion[[#This Row],[Precio Cierre]],"NA")</f>
        <v>NA</v>
      </c>
    </row>
    <row r="704" spans="1:13" hidden="1">
      <c r="A704" s="38" t="s">
        <v>90</v>
      </c>
      <c r="B704" s="34">
        <v>42593</v>
      </c>
      <c r="C704" s="35">
        <v>101975</v>
      </c>
      <c r="D704" s="35">
        <v>1262073420</v>
      </c>
      <c r="E704" s="35">
        <v>12500</v>
      </c>
      <c r="F704" s="35">
        <v>12360</v>
      </c>
      <c r="G704" s="35">
        <v>12420</v>
      </c>
      <c r="H704" s="35">
        <v>12376.3</v>
      </c>
      <c r="I704" s="35">
        <v>0.49</v>
      </c>
      <c r="J704" s="35">
        <v>60</v>
      </c>
      <c r="K704" s="71">
        <f>YEAR(Accion[[#This Row],[fecha]])</f>
        <v>2016</v>
      </c>
      <c r="L704" s="79" t="str">
        <f>IF(Accion[[#This Row],[Precio Cierre]]=MAX(Accion[Precio Cierre]),Accion[[#This Row],[Precio Cierre]],"NA")</f>
        <v>NA</v>
      </c>
      <c r="M704" s="79" t="str">
        <f>IF(Accion[[#This Row],[Precio Cierre]]=MIN(Accion[Precio Cierre]),Accion[[#This Row],[Precio Cierre]],"NA")</f>
        <v>NA</v>
      </c>
    </row>
    <row r="705" spans="1:13" hidden="1">
      <c r="A705" s="38" t="s">
        <v>90</v>
      </c>
      <c r="B705" s="34">
        <v>42592</v>
      </c>
      <c r="C705" s="35">
        <v>196851</v>
      </c>
      <c r="D705" s="35">
        <v>2429428480</v>
      </c>
      <c r="E705" s="35">
        <v>12600</v>
      </c>
      <c r="F705" s="35">
        <v>12280</v>
      </c>
      <c r="G705" s="35">
        <v>12360</v>
      </c>
      <c r="H705" s="35">
        <v>12341.46</v>
      </c>
      <c r="I705" s="35">
        <v>-0.48</v>
      </c>
      <c r="J705" s="35">
        <v>-60</v>
      </c>
      <c r="K705" s="71">
        <f>YEAR(Accion[[#This Row],[fecha]])</f>
        <v>2016</v>
      </c>
      <c r="L705" s="79" t="str">
        <f>IF(Accion[[#This Row],[Precio Cierre]]=MAX(Accion[Precio Cierre]),Accion[[#This Row],[Precio Cierre]],"NA")</f>
        <v>NA</v>
      </c>
      <c r="M705" s="79" t="str">
        <f>IF(Accion[[#This Row],[Precio Cierre]]=MIN(Accion[Precio Cierre]),Accion[[#This Row],[Precio Cierre]],"NA")</f>
        <v>NA</v>
      </c>
    </row>
    <row r="706" spans="1:13" hidden="1">
      <c r="A706" s="38" t="s">
        <v>90</v>
      </c>
      <c r="B706" s="34">
        <v>42591</v>
      </c>
      <c r="C706" s="35">
        <v>110344</v>
      </c>
      <c r="D706" s="35">
        <v>1364613140</v>
      </c>
      <c r="E706" s="35">
        <v>12420</v>
      </c>
      <c r="F706" s="35">
        <v>12300</v>
      </c>
      <c r="G706" s="35">
        <v>12420</v>
      </c>
      <c r="H706" s="35">
        <v>12366.9</v>
      </c>
      <c r="I706" s="35">
        <v>1.47</v>
      </c>
      <c r="J706" s="35">
        <v>180</v>
      </c>
      <c r="K706" s="71">
        <f>YEAR(Accion[[#This Row],[fecha]])</f>
        <v>2016</v>
      </c>
      <c r="L706" s="79" t="str">
        <f>IF(Accion[[#This Row],[Precio Cierre]]=MAX(Accion[Precio Cierre]),Accion[[#This Row],[Precio Cierre]],"NA")</f>
        <v>NA</v>
      </c>
      <c r="M706" s="79" t="str">
        <f>IF(Accion[[#This Row],[Precio Cierre]]=MIN(Accion[Precio Cierre]),Accion[[#This Row],[Precio Cierre]],"NA")</f>
        <v>NA</v>
      </c>
    </row>
    <row r="707" spans="1:13" hidden="1">
      <c r="A707" s="38" t="s">
        <v>90</v>
      </c>
      <c r="B707" s="34">
        <v>42590</v>
      </c>
      <c r="C707" s="35">
        <v>33199</v>
      </c>
      <c r="D707" s="35">
        <v>405682640</v>
      </c>
      <c r="E707" s="35">
        <v>12340</v>
      </c>
      <c r="F707" s="35">
        <v>12200</v>
      </c>
      <c r="G707" s="35">
        <v>12240</v>
      </c>
      <c r="H707" s="35">
        <v>12219.72</v>
      </c>
      <c r="I707" s="35">
        <v>0.33</v>
      </c>
      <c r="J707" s="35">
        <v>40</v>
      </c>
      <c r="K707" s="71">
        <f>YEAR(Accion[[#This Row],[fecha]])</f>
        <v>2016</v>
      </c>
      <c r="L707" s="79" t="str">
        <f>IF(Accion[[#This Row],[Precio Cierre]]=MAX(Accion[Precio Cierre]),Accion[[#This Row],[Precio Cierre]],"NA")</f>
        <v>NA</v>
      </c>
      <c r="M707" s="79" t="str">
        <f>IF(Accion[[#This Row],[Precio Cierre]]=MIN(Accion[Precio Cierre]),Accion[[#This Row],[Precio Cierre]],"NA")</f>
        <v>NA</v>
      </c>
    </row>
    <row r="708" spans="1:13" hidden="1">
      <c r="A708" s="38" t="s">
        <v>90</v>
      </c>
      <c r="B708" s="34">
        <v>42587</v>
      </c>
      <c r="C708" s="35">
        <v>332675</v>
      </c>
      <c r="D708" s="35">
        <v>4016252040</v>
      </c>
      <c r="E708" s="35">
        <v>12240</v>
      </c>
      <c r="F708" s="35">
        <v>12000</v>
      </c>
      <c r="G708" s="35">
        <v>12200</v>
      </c>
      <c r="H708" s="35">
        <v>12072.6</v>
      </c>
      <c r="I708" s="35">
        <v>1.67</v>
      </c>
      <c r="J708" s="35">
        <v>200</v>
      </c>
      <c r="K708" s="71">
        <f>YEAR(Accion[[#This Row],[fecha]])</f>
        <v>2016</v>
      </c>
      <c r="L708" s="79" t="str">
        <f>IF(Accion[[#This Row],[Precio Cierre]]=MAX(Accion[Precio Cierre]),Accion[[#This Row],[Precio Cierre]],"NA")</f>
        <v>NA</v>
      </c>
      <c r="M708" s="79" t="str">
        <f>IF(Accion[[#This Row],[Precio Cierre]]=MIN(Accion[Precio Cierre]),Accion[[#This Row],[Precio Cierre]],"NA")</f>
        <v>NA</v>
      </c>
    </row>
    <row r="709" spans="1:13" hidden="1">
      <c r="A709" s="38" t="s">
        <v>90</v>
      </c>
      <c r="B709" s="34">
        <v>42586</v>
      </c>
      <c r="C709" s="35">
        <v>221686</v>
      </c>
      <c r="D709" s="35">
        <v>2680247280</v>
      </c>
      <c r="E709" s="35">
        <v>12200</v>
      </c>
      <c r="F709" s="35">
        <v>12000</v>
      </c>
      <c r="G709" s="35">
        <v>12000</v>
      </c>
      <c r="H709" s="35">
        <v>12090.29</v>
      </c>
      <c r="I709" s="35">
        <v>-1.1499999999999999</v>
      </c>
      <c r="J709" s="35">
        <v>-140</v>
      </c>
      <c r="K709" s="71">
        <f>YEAR(Accion[[#This Row],[fecha]])</f>
        <v>2016</v>
      </c>
      <c r="L709" s="79" t="str">
        <f>IF(Accion[[#This Row],[Precio Cierre]]=MAX(Accion[Precio Cierre]),Accion[[#This Row],[Precio Cierre]],"NA")</f>
        <v>NA</v>
      </c>
      <c r="M709" s="79" t="str">
        <f>IF(Accion[[#This Row],[Precio Cierre]]=MIN(Accion[Precio Cierre]),Accion[[#This Row],[Precio Cierre]],"NA")</f>
        <v>NA</v>
      </c>
    </row>
    <row r="710" spans="1:13" hidden="1">
      <c r="A710" s="38" t="s">
        <v>90</v>
      </c>
      <c r="B710" s="34">
        <v>42585</v>
      </c>
      <c r="C710" s="35">
        <v>347917</v>
      </c>
      <c r="D710" s="35">
        <v>4220425560</v>
      </c>
      <c r="E710" s="35">
        <v>12200</v>
      </c>
      <c r="F710" s="35">
        <v>12080</v>
      </c>
      <c r="G710" s="35">
        <v>12140</v>
      </c>
      <c r="H710" s="35">
        <v>12130.55</v>
      </c>
      <c r="I710" s="35">
        <v>0.33</v>
      </c>
      <c r="J710" s="35">
        <v>40</v>
      </c>
      <c r="K710" s="71">
        <f>YEAR(Accion[[#This Row],[fecha]])</f>
        <v>2016</v>
      </c>
      <c r="L710" s="79" t="str">
        <f>IF(Accion[[#This Row],[Precio Cierre]]=MAX(Accion[Precio Cierre]),Accion[[#This Row],[Precio Cierre]],"NA")</f>
        <v>NA</v>
      </c>
      <c r="M710" s="79" t="str">
        <f>IF(Accion[[#This Row],[Precio Cierre]]=MIN(Accion[Precio Cierre]),Accion[[#This Row],[Precio Cierre]],"NA")</f>
        <v>NA</v>
      </c>
    </row>
    <row r="711" spans="1:13" hidden="1">
      <c r="A711" s="38" t="s">
        <v>90</v>
      </c>
      <c r="B711" s="34">
        <v>42584</v>
      </c>
      <c r="C711" s="35">
        <v>38222</v>
      </c>
      <c r="D711" s="35">
        <v>463894200</v>
      </c>
      <c r="E711" s="35">
        <v>12260</v>
      </c>
      <c r="F711" s="35">
        <v>12100</v>
      </c>
      <c r="G711" s="35">
        <v>12100</v>
      </c>
      <c r="H711" s="35">
        <v>12136.84</v>
      </c>
      <c r="I711" s="35">
        <v>-1.31</v>
      </c>
      <c r="J711" s="35">
        <v>-160</v>
      </c>
      <c r="K711" s="71">
        <f>YEAR(Accion[[#This Row],[fecha]])</f>
        <v>2016</v>
      </c>
      <c r="L711" s="79" t="str">
        <f>IF(Accion[[#This Row],[Precio Cierre]]=MAX(Accion[Precio Cierre]),Accion[[#This Row],[Precio Cierre]],"NA")</f>
        <v>NA</v>
      </c>
      <c r="M711" s="79" t="str">
        <f>IF(Accion[[#This Row],[Precio Cierre]]=MIN(Accion[Precio Cierre]),Accion[[#This Row],[Precio Cierre]],"NA")</f>
        <v>NA</v>
      </c>
    </row>
    <row r="712" spans="1:13" hidden="1">
      <c r="A712" s="38" t="s">
        <v>90</v>
      </c>
      <c r="B712" s="34">
        <v>42583</v>
      </c>
      <c r="C712" s="35">
        <v>177644</v>
      </c>
      <c r="D712" s="35">
        <v>2174942580</v>
      </c>
      <c r="E712" s="35">
        <v>12400</v>
      </c>
      <c r="F712" s="35">
        <v>12080</v>
      </c>
      <c r="G712" s="35">
        <v>12260</v>
      </c>
      <c r="H712" s="35">
        <v>12243.27</v>
      </c>
      <c r="I712" s="35">
        <v>-1.1299999999999999</v>
      </c>
      <c r="J712" s="35">
        <v>-140</v>
      </c>
      <c r="K712" s="71">
        <f>YEAR(Accion[[#This Row],[fecha]])</f>
        <v>2016</v>
      </c>
      <c r="L712" s="79" t="str">
        <f>IF(Accion[[#This Row],[Precio Cierre]]=MAX(Accion[Precio Cierre]),Accion[[#This Row],[Precio Cierre]],"NA")</f>
        <v>NA</v>
      </c>
      <c r="M712" s="79" t="str">
        <f>IF(Accion[[#This Row],[Precio Cierre]]=MIN(Accion[Precio Cierre]),Accion[[#This Row],[Precio Cierre]],"NA")</f>
        <v>NA</v>
      </c>
    </row>
    <row r="713" spans="1:13" hidden="1">
      <c r="A713" s="38" t="s">
        <v>90</v>
      </c>
      <c r="B713" s="34">
        <v>42580</v>
      </c>
      <c r="C713" s="35">
        <v>379790</v>
      </c>
      <c r="D713" s="35">
        <v>4728565220</v>
      </c>
      <c r="E713" s="35">
        <v>12500</v>
      </c>
      <c r="F713" s="35">
        <v>12380</v>
      </c>
      <c r="G713" s="35">
        <v>12400</v>
      </c>
      <c r="H713" s="35">
        <v>12450.47</v>
      </c>
      <c r="I713" s="35">
        <v>-0.8</v>
      </c>
      <c r="J713" s="35">
        <v>-100</v>
      </c>
      <c r="K713" s="71">
        <f>YEAR(Accion[[#This Row],[fecha]])</f>
        <v>2016</v>
      </c>
      <c r="L713" s="79" t="str">
        <f>IF(Accion[[#This Row],[Precio Cierre]]=MAX(Accion[Precio Cierre]),Accion[[#This Row],[Precio Cierre]],"NA")</f>
        <v>NA</v>
      </c>
      <c r="M713" s="79" t="str">
        <f>IF(Accion[[#This Row],[Precio Cierre]]=MIN(Accion[Precio Cierre]),Accion[[#This Row],[Precio Cierre]],"NA")</f>
        <v>NA</v>
      </c>
    </row>
    <row r="714" spans="1:13" hidden="1">
      <c r="A714" s="38" t="s">
        <v>90</v>
      </c>
      <c r="B714" s="34">
        <v>42579</v>
      </c>
      <c r="C714" s="35">
        <v>85232</v>
      </c>
      <c r="D714" s="35">
        <v>1065950240</v>
      </c>
      <c r="E714" s="35">
        <v>12660</v>
      </c>
      <c r="F714" s="35">
        <v>12480</v>
      </c>
      <c r="G714" s="35">
        <v>12500</v>
      </c>
      <c r="H714" s="35">
        <v>12506.46</v>
      </c>
      <c r="I714" s="35">
        <v>-0.32</v>
      </c>
      <c r="J714" s="35">
        <v>-40</v>
      </c>
      <c r="K714" s="71">
        <f>YEAR(Accion[[#This Row],[fecha]])</f>
        <v>2016</v>
      </c>
      <c r="L714" s="79" t="str">
        <f>IF(Accion[[#This Row],[Precio Cierre]]=MAX(Accion[Precio Cierre]),Accion[[#This Row],[Precio Cierre]],"NA")</f>
        <v>NA</v>
      </c>
      <c r="M714" s="79" t="str">
        <f>IF(Accion[[#This Row],[Precio Cierre]]=MIN(Accion[Precio Cierre]),Accion[[#This Row],[Precio Cierre]],"NA")</f>
        <v>NA</v>
      </c>
    </row>
    <row r="715" spans="1:13" hidden="1">
      <c r="A715" s="38" t="s">
        <v>90</v>
      </c>
      <c r="B715" s="34">
        <v>42578</v>
      </c>
      <c r="C715" s="35">
        <v>312862</v>
      </c>
      <c r="D715" s="35">
        <v>3921980080</v>
      </c>
      <c r="E715" s="35">
        <v>12700</v>
      </c>
      <c r="F715" s="35">
        <v>12360</v>
      </c>
      <c r="G715" s="35">
        <v>12540</v>
      </c>
      <c r="H715" s="35">
        <v>12535.81</v>
      </c>
      <c r="I715" s="35">
        <v>3.13</v>
      </c>
      <c r="J715" s="35">
        <v>380</v>
      </c>
      <c r="K715" s="71">
        <f>YEAR(Accion[[#This Row],[fecha]])</f>
        <v>2016</v>
      </c>
      <c r="L715" s="79" t="str">
        <f>IF(Accion[[#This Row],[Precio Cierre]]=MAX(Accion[Precio Cierre]),Accion[[#This Row],[Precio Cierre]],"NA")</f>
        <v>NA</v>
      </c>
      <c r="M715" s="79" t="str">
        <f>IF(Accion[[#This Row],[Precio Cierre]]=MIN(Accion[Precio Cierre]),Accion[[#This Row],[Precio Cierre]],"NA")</f>
        <v>NA</v>
      </c>
    </row>
    <row r="716" spans="1:13" hidden="1">
      <c r="A716" s="38" t="s">
        <v>90</v>
      </c>
      <c r="B716" s="34">
        <v>42577</v>
      </c>
      <c r="C716" s="35">
        <v>295182</v>
      </c>
      <c r="D716" s="35">
        <v>3617448540</v>
      </c>
      <c r="E716" s="35">
        <v>12300</v>
      </c>
      <c r="F716" s="35">
        <v>12140</v>
      </c>
      <c r="G716" s="35">
        <v>12160</v>
      </c>
      <c r="H716" s="35">
        <v>12254.98</v>
      </c>
      <c r="I716" s="35">
        <v>-1.1399999999999999</v>
      </c>
      <c r="J716" s="35">
        <v>-140</v>
      </c>
      <c r="K716" s="71">
        <f>YEAR(Accion[[#This Row],[fecha]])</f>
        <v>2016</v>
      </c>
      <c r="L716" s="79" t="str">
        <f>IF(Accion[[#This Row],[Precio Cierre]]=MAX(Accion[Precio Cierre]),Accion[[#This Row],[Precio Cierre]],"NA")</f>
        <v>NA</v>
      </c>
      <c r="M716" s="79" t="str">
        <f>IF(Accion[[#This Row],[Precio Cierre]]=MIN(Accion[Precio Cierre]),Accion[[#This Row],[Precio Cierre]],"NA")</f>
        <v>NA</v>
      </c>
    </row>
    <row r="717" spans="1:13" hidden="1">
      <c r="A717" s="38" t="s">
        <v>90</v>
      </c>
      <c r="B717" s="34">
        <v>42576</v>
      </c>
      <c r="C717" s="35">
        <v>264537</v>
      </c>
      <c r="D717" s="35">
        <v>3248084000</v>
      </c>
      <c r="E717" s="35">
        <v>12320</v>
      </c>
      <c r="F717" s="35">
        <v>12120</v>
      </c>
      <c r="G717" s="35">
        <v>12300</v>
      </c>
      <c r="H717" s="35">
        <v>12278.37</v>
      </c>
      <c r="I717" s="35">
        <v>-0.81</v>
      </c>
      <c r="J717" s="35">
        <v>-100</v>
      </c>
      <c r="K717" s="71">
        <f>YEAR(Accion[[#This Row],[fecha]])</f>
        <v>2016</v>
      </c>
      <c r="L717" s="79" t="str">
        <f>IF(Accion[[#This Row],[Precio Cierre]]=MAX(Accion[Precio Cierre]),Accion[[#This Row],[Precio Cierre]],"NA")</f>
        <v>NA</v>
      </c>
      <c r="M717" s="79" t="str">
        <f>IF(Accion[[#This Row],[Precio Cierre]]=MIN(Accion[Precio Cierre]),Accion[[#This Row],[Precio Cierre]],"NA")</f>
        <v>NA</v>
      </c>
    </row>
    <row r="718" spans="1:13" hidden="1">
      <c r="A718" s="38" t="s">
        <v>90</v>
      </c>
      <c r="B718" s="34">
        <v>42573</v>
      </c>
      <c r="C718" s="35">
        <v>121433</v>
      </c>
      <c r="D718" s="35">
        <v>1501757960</v>
      </c>
      <c r="E718" s="35">
        <v>12440</v>
      </c>
      <c r="F718" s="35">
        <v>12300</v>
      </c>
      <c r="G718" s="35">
        <v>12400</v>
      </c>
      <c r="H718" s="35">
        <v>12366.97</v>
      </c>
      <c r="I718" s="35">
        <v>0</v>
      </c>
      <c r="J718" s="35">
        <v>0</v>
      </c>
      <c r="K718" s="71">
        <f>YEAR(Accion[[#This Row],[fecha]])</f>
        <v>2016</v>
      </c>
      <c r="L718" s="79" t="str">
        <f>IF(Accion[[#This Row],[Precio Cierre]]=MAX(Accion[Precio Cierre]),Accion[[#This Row],[Precio Cierre]],"NA")</f>
        <v>NA</v>
      </c>
      <c r="M718" s="79" t="str">
        <f>IF(Accion[[#This Row],[Precio Cierre]]=MIN(Accion[Precio Cierre]),Accion[[#This Row],[Precio Cierre]],"NA")</f>
        <v>NA</v>
      </c>
    </row>
    <row r="719" spans="1:13" hidden="1">
      <c r="A719" s="38" t="s">
        <v>90</v>
      </c>
      <c r="B719" s="34">
        <v>42572</v>
      </c>
      <c r="C719" s="35">
        <v>145022</v>
      </c>
      <c r="D719" s="35">
        <v>1825769300</v>
      </c>
      <c r="E719" s="35">
        <v>12600</v>
      </c>
      <c r="F719" s="35">
        <v>12400</v>
      </c>
      <c r="G719" s="35">
        <v>12400</v>
      </c>
      <c r="H719" s="35">
        <v>12589.6</v>
      </c>
      <c r="I719" s="35">
        <v>-2.36</v>
      </c>
      <c r="J719" s="35">
        <v>-300</v>
      </c>
      <c r="K719" s="71">
        <f>YEAR(Accion[[#This Row],[fecha]])</f>
        <v>2016</v>
      </c>
      <c r="L719" s="79" t="str">
        <f>IF(Accion[[#This Row],[Precio Cierre]]=MAX(Accion[Precio Cierre]),Accion[[#This Row],[Precio Cierre]],"NA")</f>
        <v>NA</v>
      </c>
      <c r="M719" s="79" t="str">
        <f>IF(Accion[[#This Row],[Precio Cierre]]=MIN(Accion[Precio Cierre]),Accion[[#This Row],[Precio Cierre]],"NA")</f>
        <v>NA</v>
      </c>
    </row>
    <row r="720" spans="1:13" hidden="1">
      <c r="A720" s="38" t="s">
        <v>90</v>
      </c>
      <c r="B720" s="34">
        <v>42570</v>
      </c>
      <c r="C720" s="35">
        <v>136235</v>
      </c>
      <c r="D720" s="35">
        <v>1712872060</v>
      </c>
      <c r="E720" s="35">
        <v>12700</v>
      </c>
      <c r="F720" s="35">
        <v>12480</v>
      </c>
      <c r="G720" s="35">
        <v>12700</v>
      </c>
      <c r="H720" s="35">
        <v>12572.92</v>
      </c>
      <c r="I720" s="35">
        <v>0.79</v>
      </c>
      <c r="J720" s="35">
        <v>100</v>
      </c>
      <c r="K720" s="71">
        <f>YEAR(Accion[[#This Row],[fecha]])</f>
        <v>2016</v>
      </c>
      <c r="L720" s="79" t="str">
        <f>IF(Accion[[#This Row],[Precio Cierre]]=MAX(Accion[Precio Cierre]),Accion[[#This Row],[Precio Cierre]],"NA")</f>
        <v>NA</v>
      </c>
      <c r="M720" s="79" t="str">
        <f>IF(Accion[[#This Row],[Precio Cierre]]=MIN(Accion[Precio Cierre]),Accion[[#This Row],[Precio Cierre]],"NA")</f>
        <v>NA</v>
      </c>
    </row>
    <row r="721" spans="1:13" hidden="1">
      <c r="A721" s="38" t="s">
        <v>90</v>
      </c>
      <c r="B721" s="34">
        <v>42569</v>
      </c>
      <c r="C721" s="35">
        <v>239217</v>
      </c>
      <c r="D721" s="35">
        <v>3040440440</v>
      </c>
      <c r="E721" s="35">
        <v>12800</v>
      </c>
      <c r="F721" s="35">
        <v>12600</v>
      </c>
      <c r="G721" s="35">
        <v>12600</v>
      </c>
      <c r="H721" s="35">
        <v>12709.97</v>
      </c>
      <c r="I721" s="35">
        <v>-0.63</v>
      </c>
      <c r="J721" s="35">
        <v>-80</v>
      </c>
      <c r="K721" s="71">
        <f>YEAR(Accion[[#This Row],[fecha]])</f>
        <v>2016</v>
      </c>
      <c r="L721" s="79" t="str">
        <f>IF(Accion[[#This Row],[Precio Cierre]]=MAX(Accion[Precio Cierre]),Accion[[#This Row],[Precio Cierre]],"NA")</f>
        <v>NA</v>
      </c>
      <c r="M721" s="79" t="str">
        <f>IF(Accion[[#This Row],[Precio Cierre]]=MIN(Accion[Precio Cierre]),Accion[[#This Row],[Precio Cierre]],"NA")</f>
        <v>NA</v>
      </c>
    </row>
    <row r="722" spans="1:13" hidden="1">
      <c r="A722" s="38" t="s">
        <v>90</v>
      </c>
      <c r="B722" s="34">
        <v>42566</v>
      </c>
      <c r="C722" s="35">
        <v>279642</v>
      </c>
      <c r="D722" s="35">
        <v>3537565620</v>
      </c>
      <c r="E722" s="35">
        <v>12720</v>
      </c>
      <c r="F722" s="35">
        <v>12520</v>
      </c>
      <c r="G722" s="35">
        <v>12680</v>
      </c>
      <c r="H722" s="35">
        <v>12650.34</v>
      </c>
      <c r="I722" s="35">
        <v>1.44</v>
      </c>
      <c r="J722" s="35">
        <v>180</v>
      </c>
      <c r="K722" s="71">
        <f>YEAR(Accion[[#This Row],[fecha]])</f>
        <v>2016</v>
      </c>
      <c r="L722" s="79" t="str">
        <f>IF(Accion[[#This Row],[Precio Cierre]]=MAX(Accion[Precio Cierre]),Accion[[#This Row],[Precio Cierre]],"NA")</f>
        <v>NA</v>
      </c>
      <c r="M722" s="79" t="str">
        <f>IF(Accion[[#This Row],[Precio Cierre]]=MIN(Accion[Precio Cierre]),Accion[[#This Row],[Precio Cierre]],"NA")</f>
        <v>NA</v>
      </c>
    </row>
    <row r="723" spans="1:13" hidden="1">
      <c r="A723" s="38" t="s">
        <v>90</v>
      </c>
      <c r="B723" s="34">
        <v>42565</v>
      </c>
      <c r="C723" s="35">
        <v>56957</v>
      </c>
      <c r="D723" s="35">
        <v>709377840</v>
      </c>
      <c r="E723" s="35">
        <v>12500</v>
      </c>
      <c r="F723" s="35">
        <v>12340</v>
      </c>
      <c r="G723" s="35">
        <v>12500</v>
      </c>
      <c r="H723" s="35">
        <v>12454.62</v>
      </c>
      <c r="I723" s="35">
        <v>1.63</v>
      </c>
      <c r="J723" s="35">
        <v>200</v>
      </c>
      <c r="K723" s="71">
        <f>YEAR(Accion[[#This Row],[fecha]])</f>
        <v>2016</v>
      </c>
      <c r="L723" s="79" t="str">
        <f>IF(Accion[[#This Row],[Precio Cierre]]=MAX(Accion[Precio Cierre]),Accion[[#This Row],[Precio Cierre]],"NA")</f>
        <v>NA</v>
      </c>
      <c r="M723" s="79" t="str">
        <f>IF(Accion[[#This Row],[Precio Cierre]]=MIN(Accion[Precio Cierre]),Accion[[#This Row],[Precio Cierre]],"NA")</f>
        <v>NA</v>
      </c>
    </row>
    <row r="724" spans="1:13" hidden="1">
      <c r="A724" s="38" t="s">
        <v>90</v>
      </c>
      <c r="B724" s="34">
        <v>42564</v>
      </c>
      <c r="C724" s="35">
        <v>402868</v>
      </c>
      <c r="D724" s="35">
        <v>4948097700</v>
      </c>
      <c r="E724" s="35">
        <v>12320</v>
      </c>
      <c r="F724" s="35">
        <v>12260</v>
      </c>
      <c r="G724" s="35">
        <v>12300</v>
      </c>
      <c r="H724" s="35">
        <v>12282.18</v>
      </c>
      <c r="I724" s="35">
        <v>0.82</v>
      </c>
      <c r="J724" s="35">
        <v>100</v>
      </c>
      <c r="K724" s="71">
        <f>YEAR(Accion[[#This Row],[fecha]])</f>
        <v>2016</v>
      </c>
      <c r="L724" s="79" t="str">
        <f>IF(Accion[[#This Row],[Precio Cierre]]=MAX(Accion[Precio Cierre]),Accion[[#This Row],[Precio Cierre]],"NA")</f>
        <v>NA</v>
      </c>
      <c r="M724" s="79" t="str">
        <f>IF(Accion[[#This Row],[Precio Cierre]]=MIN(Accion[Precio Cierre]),Accion[[#This Row],[Precio Cierre]],"NA")</f>
        <v>NA</v>
      </c>
    </row>
    <row r="725" spans="1:13" hidden="1">
      <c r="A725" s="38" t="s">
        <v>90</v>
      </c>
      <c r="B725" s="34">
        <v>42563</v>
      </c>
      <c r="C725" s="35">
        <v>1354285</v>
      </c>
      <c r="D725" s="35">
        <v>16339698460</v>
      </c>
      <c r="E725" s="35">
        <v>12300</v>
      </c>
      <c r="F725" s="35">
        <v>12020</v>
      </c>
      <c r="G725" s="35">
        <v>12200</v>
      </c>
      <c r="H725" s="35">
        <v>12065.18</v>
      </c>
      <c r="I725" s="35">
        <v>2.69</v>
      </c>
      <c r="J725" s="35">
        <v>320</v>
      </c>
      <c r="K725" s="71">
        <f>YEAR(Accion[[#This Row],[fecha]])</f>
        <v>2016</v>
      </c>
      <c r="L725" s="79" t="str">
        <f>IF(Accion[[#This Row],[Precio Cierre]]=MAX(Accion[Precio Cierre]),Accion[[#This Row],[Precio Cierre]],"NA")</f>
        <v>NA</v>
      </c>
      <c r="M725" s="79" t="str">
        <f>IF(Accion[[#This Row],[Precio Cierre]]=MIN(Accion[Precio Cierre]),Accion[[#This Row],[Precio Cierre]],"NA")</f>
        <v>NA</v>
      </c>
    </row>
    <row r="726" spans="1:13" hidden="1">
      <c r="A726" s="38" t="s">
        <v>90</v>
      </c>
      <c r="B726" s="34">
        <v>42562</v>
      </c>
      <c r="C726" s="35">
        <v>1665605</v>
      </c>
      <c r="D726" s="35">
        <v>19680523460</v>
      </c>
      <c r="E726" s="35">
        <v>12040</v>
      </c>
      <c r="F726" s="35">
        <v>11740</v>
      </c>
      <c r="G726" s="35">
        <v>11880</v>
      </c>
      <c r="H726" s="35">
        <v>11815.84</v>
      </c>
      <c r="I726" s="35">
        <v>-1.33</v>
      </c>
      <c r="J726" s="35">
        <v>-160</v>
      </c>
      <c r="K726" s="71">
        <f>YEAR(Accion[[#This Row],[fecha]])</f>
        <v>2016</v>
      </c>
      <c r="L726" s="79" t="str">
        <f>IF(Accion[[#This Row],[Precio Cierre]]=MAX(Accion[Precio Cierre]),Accion[[#This Row],[Precio Cierre]],"NA")</f>
        <v>NA</v>
      </c>
      <c r="M726" s="79" t="str">
        <f>IF(Accion[[#This Row],[Precio Cierre]]=MIN(Accion[Precio Cierre]),Accion[[#This Row],[Precio Cierre]],"NA")</f>
        <v>NA</v>
      </c>
    </row>
    <row r="727" spans="1:13" hidden="1">
      <c r="A727" s="38" t="s">
        <v>90</v>
      </c>
      <c r="B727" s="34">
        <v>42559</v>
      </c>
      <c r="C727" s="35">
        <v>266759</v>
      </c>
      <c r="D727" s="35">
        <v>3227736620</v>
      </c>
      <c r="E727" s="35">
        <v>12600</v>
      </c>
      <c r="F727" s="35">
        <v>12000</v>
      </c>
      <c r="G727" s="35">
        <v>12040</v>
      </c>
      <c r="H727" s="35">
        <v>12099.82</v>
      </c>
      <c r="I727" s="35">
        <v>-2.9</v>
      </c>
      <c r="J727" s="35">
        <v>-360</v>
      </c>
      <c r="K727" s="71">
        <f>YEAR(Accion[[#This Row],[fecha]])</f>
        <v>2016</v>
      </c>
      <c r="L727" s="79" t="str">
        <f>IF(Accion[[#This Row],[Precio Cierre]]=MAX(Accion[Precio Cierre]),Accion[[#This Row],[Precio Cierre]],"NA")</f>
        <v>NA</v>
      </c>
      <c r="M727" s="79" t="str">
        <f>IF(Accion[[#This Row],[Precio Cierre]]=MIN(Accion[Precio Cierre]),Accion[[#This Row],[Precio Cierre]],"NA")</f>
        <v>NA</v>
      </c>
    </row>
    <row r="728" spans="1:13" hidden="1">
      <c r="A728" s="38" t="s">
        <v>90</v>
      </c>
      <c r="B728" s="34">
        <v>42558</v>
      </c>
      <c r="C728" s="35">
        <v>122273</v>
      </c>
      <c r="D728" s="35">
        <v>1532196500</v>
      </c>
      <c r="E728" s="35">
        <v>12700</v>
      </c>
      <c r="F728" s="35">
        <v>12400</v>
      </c>
      <c r="G728" s="35">
        <v>12400</v>
      </c>
      <c r="H728" s="35">
        <v>12530.95</v>
      </c>
      <c r="I728" s="35">
        <v>-0.64</v>
      </c>
      <c r="J728" s="35">
        <v>-80</v>
      </c>
      <c r="K728" s="71">
        <f>YEAR(Accion[[#This Row],[fecha]])</f>
        <v>2016</v>
      </c>
      <c r="L728" s="79" t="str">
        <f>IF(Accion[[#This Row],[Precio Cierre]]=MAX(Accion[Precio Cierre]),Accion[[#This Row],[Precio Cierre]],"NA")</f>
        <v>NA</v>
      </c>
      <c r="M728" s="79" t="str">
        <f>IF(Accion[[#This Row],[Precio Cierre]]=MIN(Accion[Precio Cierre]),Accion[[#This Row],[Precio Cierre]],"NA")</f>
        <v>NA</v>
      </c>
    </row>
    <row r="729" spans="1:13" hidden="1">
      <c r="A729" s="38" t="s">
        <v>90</v>
      </c>
      <c r="B729" s="34">
        <v>42557</v>
      </c>
      <c r="C729" s="35">
        <v>696254</v>
      </c>
      <c r="D729" s="35">
        <v>8701019800</v>
      </c>
      <c r="E729" s="35">
        <v>12580</v>
      </c>
      <c r="F729" s="35">
        <v>12400</v>
      </c>
      <c r="G729" s="35">
        <v>12480</v>
      </c>
      <c r="H729" s="35">
        <v>12496.9</v>
      </c>
      <c r="I729" s="35">
        <v>-0.16</v>
      </c>
      <c r="J729" s="35">
        <v>-20</v>
      </c>
      <c r="K729" s="71">
        <f>YEAR(Accion[[#This Row],[fecha]])</f>
        <v>2016</v>
      </c>
      <c r="L729" s="79" t="str">
        <f>IF(Accion[[#This Row],[Precio Cierre]]=MAX(Accion[Precio Cierre]),Accion[[#This Row],[Precio Cierre]],"NA")</f>
        <v>NA</v>
      </c>
      <c r="M729" s="79" t="str">
        <f>IF(Accion[[#This Row],[Precio Cierre]]=MIN(Accion[Precio Cierre]),Accion[[#This Row],[Precio Cierre]],"NA")</f>
        <v>NA</v>
      </c>
    </row>
    <row r="730" spans="1:13" hidden="1">
      <c r="A730" s="38" t="s">
        <v>90</v>
      </c>
      <c r="B730" s="34">
        <v>42556</v>
      </c>
      <c r="C730" s="35">
        <v>51557</v>
      </c>
      <c r="D730" s="35">
        <v>648368040</v>
      </c>
      <c r="E730" s="35">
        <v>12640</v>
      </c>
      <c r="F730" s="35">
        <v>12500</v>
      </c>
      <c r="G730" s="35">
        <v>12500</v>
      </c>
      <c r="H730" s="35">
        <v>12575.75</v>
      </c>
      <c r="I730" s="35">
        <v>-0.64</v>
      </c>
      <c r="J730" s="35">
        <v>-80</v>
      </c>
      <c r="K730" s="71">
        <f>YEAR(Accion[[#This Row],[fecha]])</f>
        <v>2016</v>
      </c>
      <c r="L730" s="79" t="str">
        <f>IF(Accion[[#This Row],[Precio Cierre]]=MAX(Accion[Precio Cierre]),Accion[[#This Row],[Precio Cierre]],"NA")</f>
        <v>NA</v>
      </c>
      <c r="M730" s="79" t="str">
        <f>IF(Accion[[#This Row],[Precio Cierre]]=MIN(Accion[Precio Cierre]),Accion[[#This Row],[Precio Cierre]],"NA")</f>
        <v>NA</v>
      </c>
    </row>
    <row r="731" spans="1:13" hidden="1">
      <c r="A731" s="38" t="s">
        <v>90</v>
      </c>
      <c r="B731" s="34">
        <v>42552</v>
      </c>
      <c r="C731" s="35">
        <v>207916</v>
      </c>
      <c r="D731" s="35">
        <v>2628280720</v>
      </c>
      <c r="E731" s="35">
        <v>12740</v>
      </c>
      <c r="F731" s="35">
        <v>12580</v>
      </c>
      <c r="G731" s="35">
        <v>12580</v>
      </c>
      <c r="H731" s="35">
        <v>12641.07</v>
      </c>
      <c r="I731" s="35">
        <v>-0.16</v>
      </c>
      <c r="J731" s="35">
        <v>-20</v>
      </c>
      <c r="K731" s="71">
        <f>YEAR(Accion[[#This Row],[fecha]])</f>
        <v>2016</v>
      </c>
      <c r="L731" s="79" t="str">
        <f>IF(Accion[[#This Row],[Precio Cierre]]=MAX(Accion[Precio Cierre]),Accion[[#This Row],[Precio Cierre]],"NA")</f>
        <v>NA</v>
      </c>
      <c r="M731" s="79" t="str">
        <f>IF(Accion[[#This Row],[Precio Cierre]]=MIN(Accion[Precio Cierre]),Accion[[#This Row],[Precio Cierre]],"NA")</f>
        <v>NA</v>
      </c>
    </row>
    <row r="732" spans="1:13" hidden="1">
      <c r="A732" s="38" t="s">
        <v>90</v>
      </c>
      <c r="B732" s="34">
        <v>42551</v>
      </c>
      <c r="C732" s="35">
        <v>832097</v>
      </c>
      <c r="D732" s="35">
        <v>10536186940</v>
      </c>
      <c r="E732" s="35">
        <v>12820</v>
      </c>
      <c r="F732" s="35">
        <v>12600</v>
      </c>
      <c r="G732" s="35">
        <v>12600</v>
      </c>
      <c r="H732" s="35">
        <v>12662.21</v>
      </c>
      <c r="I732" s="35">
        <v>0</v>
      </c>
      <c r="J732" s="35">
        <v>0</v>
      </c>
      <c r="K732" s="71">
        <f>YEAR(Accion[[#This Row],[fecha]])</f>
        <v>2016</v>
      </c>
      <c r="L732" s="79" t="str">
        <f>IF(Accion[[#This Row],[Precio Cierre]]=MAX(Accion[Precio Cierre]),Accion[[#This Row],[Precio Cierre]],"NA")</f>
        <v>NA</v>
      </c>
      <c r="M732" s="79" t="str">
        <f>IF(Accion[[#This Row],[Precio Cierre]]=MIN(Accion[Precio Cierre]),Accion[[#This Row],[Precio Cierre]],"NA")</f>
        <v>NA</v>
      </c>
    </row>
    <row r="733" spans="1:13" hidden="1">
      <c r="A733" s="38" t="s">
        <v>90</v>
      </c>
      <c r="B733" s="34">
        <v>42550</v>
      </c>
      <c r="C733" s="35">
        <v>644566</v>
      </c>
      <c r="D733" s="35">
        <v>8144227260</v>
      </c>
      <c r="E733" s="35">
        <v>12720</v>
      </c>
      <c r="F733" s="35">
        <v>12580</v>
      </c>
      <c r="G733" s="35">
        <v>12600</v>
      </c>
      <c r="H733" s="35">
        <v>12635.21</v>
      </c>
      <c r="I733" s="35">
        <v>-1.25</v>
      </c>
      <c r="J733" s="35">
        <v>-160</v>
      </c>
      <c r="K733" s="71">
        <f>YEAR(Accion[[#This Row],[fecha]])</f>
        <v>2016</v>
      </c>
      <c r="L733" s="79" t="str">
        <f>IF(Accion[[#This Row],[Precio Cierre]]=MAX(Accion[Precio Cierre]),Accion[[#This Row],[Precio Cierre]],"NA")</f>
        <v>NA</v>
      </c>
      <c r="M733" s="79" t="str">
        <f>IF(Accion[[#This Row],[Precio Cierre]]=MIN(Accion[Precio Cierre]),Accion[[#This Row],[Precio Cierre]],"NA")</f>
        <v>NA</v>
      </c>
    </row>
    <row r="734" spans="1:13" hidden="1">
      <c r="A734" s="38" t="s">
        <v>90</v>
      </c>
      <c r="B734" s="34">
        <v>42549</v>
      </c>
      <c r="C734" s="35">
        <v>190700</v>
      </c>
      <c r="D734" s="35">
        <v>2430667100</v>
      </c>
      <c r="E734" s="35">
        <v>12820</v>
      </c>
      <c r="F734" s="35">
        <v>12680</v>
      </c>
      <c r="G734" s="35">
        <v>12760</v>
      </c>
      <c r="H734" s="35">
        <v>12746.03</v>
      </c>
      <c r="I734" s="35">
        <v>-0.47</v>
      </c>
      <c r="J734" s="35">
        <v>-60</v>
      </c>
      <c r="K734" s="71">
        <f>YEAR(Accion[[#This Row],[fecha]])</f>
        <v>2016</v>
      </c>
      <c r="L734" s="79" t="str">
        <f>IF(Accion[[#This Row],[Precio Cierre]]=MAX(Accion[Precio Cierre]),Accion[[#This Row],[Precio Cierre]],"NA")</f>
        <v>NA</v>
      </c>
      <c r="M734" s="79" t="str">
        <f>IF(Accion[[#This Row],[Precio Cierre]]=MIN(Accion[Precio Cierre]),Accion[[#This Row],[Precio Cierre]],"NA")</f>
        <v>NA</v>
      </c>
    </row>
    <row r="735" spans="1:13" hidden="1">
      <c r="A735" s="38" t="s">
        <v>90</v>
      </c>
      <c r="B735" s="34">
        <v>42548</v>
      </c>
      <c r="C735" s="35">
        <v>112462</v>
      </c>
      <c r="D735" s="35">
        <v>1432172040</v>
      </c>
      <c r="E735" s="35">
        <v>12820</v>
      </c>
      <c r="F735" s="35">
        <v>12640</v>
      </c>
      <c r="G735" s="35">
        <v>12820</v>
      </c>
      <c r="H735" s="35">
        <v>12734.72</v>
      </c>
      <c r="I735" s="35">
        <v>0.94</v>
      </c>
      <c r="J735" s="35">
        <v>120</v>
      </c>
      <c r="K735" s="71">
        <f>YEAR(Accion[[#This Row],[fecha]])</f>
        <v>2016</v>
      </c>
      <c r="L735" s="79" t="str">
        <f>IF(Accion[[#This Row],[Precio Cierre]]=MAX(Accion[Precio Cierre]),Accion[[#This Row],[Precio Cierre]],"NA")</f>
        <v>NA</v>
      </c>
      <c r="M735" s="79" t="str">
        <f>IF(Accion[[#This Row],[Precio Cierre]]=MIN(Accion[Precio Cierre]),Accion[[#This Row],[Precio Cierre]],"NA")</f>
        <v>NA</v>
      </c>
    </row>
    <row r="736" spans="1:13" hidden="1">
      <c r="A736" s="38" t="s">
        <v>90</v>
      </c>
      <c r="B736" s="34">
        <v>42545</v>
      </c>
      <c r="C736" s="35">
        <v>110274</v>
      </c>
      <c r="D736" s="35">
        <v>1401251460</v>
      </c>
      <c r="E736" s="35">
        <v>12800</v>
      </c>
      <c r="F736" s="35">
        <v>12580</v>
      </c>
      <c r="G736" s="35">
        <v>12700</v>
      </c>
      <c r="H736" s="35">
        <v>12707</v>
      </c>
      <c r="I736" s="35">
        <v>-1.4</v>
      </c>
      <c r="J736" s="35">
        <v>-180</v>
      </c>
      <c r="K736" s="71">
        <f>YEAR(Accion[[#This Row],[fecha]])</f>
        <v>2016</v>
      </c>
      <c r="L736" s="79" t="str">
        <f>IF(Accion[[#This Row],[Precio Cierre]]=MAX(Accion[Precio Cierre]),Accion[[#This Row],[Precio Cierre]],"NA")</f>
        <v>NA</v>
      </c>
      <c r="M736" s="79" t="str">
        <f>IF(Accion[[#This Row],[Precio Cierre]]=MIN(Accion[Precio Cierre]),Accion[[#This Row],[Precio Cierre]],"NA")</f>
        <v>NA</v>
      </c>
    </row>
    <row r="737" spans="1:13" hidden="1">
      <c r="A737" s="38" t="s">
        <v>90</v>
      </c>
      <c r="B737" s="34">
        <v>42544</v>
      </c>
      <c r="C737" s="35">
        <v>47905</v>
      </c>
      <c r="D737" s="35">
        <v>617611320</v>
      </c>
      <c r="E737" s="35">
        <v>12940</v>
      </c>
      <c r="F737" s="35">
        <v>12880</v>
      </c>
      <c r="G737" s="35">
        <v>12880</v>
      </c>
      <c r="H737" s="35">
        <v>12892.42</v>
      </c>
      <c r="I737" s="35">
        <v>-0.46</v>
      </c>
      <c r="J737" s="35">
        <v>-60</v>
      </c>
      <c r="K737" s="71">
        <f>YEAR(Accion[[#This Row],[fecha]])</f>
        <v>2016</v>
      </c>
      <c r="L737" s="79" t="str">
        <f>IF(Accion[[#This Row],[Precio Cierre]]=MAX(Accion[Precio Cierre]),Accion[[#This Row],[Precio Cierre]],"NA")</f>
        <v>NA</v>
      </c>
      <c r="M737" s="79" t="str">
        <f>IF(Accion[[#This Row],[Precio Cierre]]=MIN(Accion[Precio Cierre]),Accion[[#This Row],[Precio Cierre]],"NA")</f>
        <v>NA</v>
      </c>
    </row>
    <row r="738" spans="1:13" hidden="1">
      <c r="A738" s="38" t="s">
        <v>90</v>
      </c>
      <c r="B738" s="34">
        <v>42543</v>
      </c>
      <c r="C738" s="35">
        <v>146854</v>
      </c>
      <c r="D738" s="35">
        <v>1890730960</v>
      </c>
      <c r="E738" s="35">
        <v>12940</v>
      </c>
      <c r="F738" s="35">
        <v>12800</v>
      </c>
      <c r="G738" s="35">
        <v>12940</v>
      </c>
      <c r="H738" s="35">
        <v>12874.9</v>
      </c>
      <c r="I738" s="35">
        <v>0.78</v>
      </c>
      <c r="J738" s="35">
        <v>100</v>
      </c>
      <c r="K738" s="71">
        <f>YEAR(Accion[[#This Row],[fecha]])</f>
        <v>2016</v>
      </c>
      <c r="L738" s="79" t="str">
        <f>IF(Accion[[#This Row],[Precio Cierre]]=MAX(Accion[Precio Cierre]),Accion[[#This Row],[Precio Cierre]],"NA")</f>
        <v>NA</v>
      </c>
      <c r="M738" s="79" t="str">
        <f>IF(Accion[[#This Row],[Precio Cierre]]=MIN(Accion[Precio Cierre]),Accion[[#This Row],[Precio Cierre]],"NA")</f>
        <v>NA</v>
      </c>
    </row>
    <row r="739" spans="1:13" hidden="1">
      <c r="A739" s="38" t="s">
        <v>90</v>
      </c>
      <c r="B739" s="34">
        <v>42542</v>
      </c>
      <c r="C739" s="35">
        <v>97343</v>
      </c>
      <c r="D739" s="35">
        <v>1252998300</v>
      </c>
      <c r="E739" s="35">
        <v>12940</v>
      </c>
      <c r="F739" s="35">
        <v>12800</v>
      </c>
      <c r="G739" s="35">
        <v>12840</v>
      </c>
      <c r="H739" s="35">
        <v>12871.99</v>
      </c>
      <c r="I739" s="35">
        <v>-0.47</v>
      </c>
      <c r="J739" s="35">
        <v>-60</v>
      </c>
      <c r="K739" s="71">
        <f>YEAR(Accion[[#This Row],[fecha]])</f>
        <v>2016</v>
      </c>
      <c r="L739" s="79" t="str">
        <f>IF(Accion[[#This Row],[Precio Cierre]]=MAX(Accion[Precio Cierre]),Accion[[#This Row],[Precio Cierre]],"NA")</f>
        <v>NA</v>
      </c>
      <c r="M739" s="79" t="str">
        <f>IF(Accion[[#This Row],[Precio Cierre]]=MIN(Accion[Precio Cierre]),Accion[[#This Row],[Precio Cierre]],"NA")</f>
        <v>NA</v>
      </c>
    </row>
    <row r="740" spans="1:13" hidden="1">
      <c r="A740" s="38" t="s">
        <v>90</v>
      </c>
      <c r="B740" s="34">
        <v>42541</v>
      </c>
      <c r="C740" s="35">
        <v>155024</v>
      </c>
      <c r="D740" s="35">
        <v>1987611000</v>
      </c>
      <c r="E740" s="35">
        <v>12900</v>
      </c>
      <c r="F740" s="35">
        <v>12680</v>
      </c>
      <c r="G740" s="35">
        <v>12900</v>
      </c>
      <c r="H740" s="35">
        <v>12821.31</v>
      </c>
      <c r="I740" s="35">
        <v>1.42</v>
      </c>
      <c r="J740" s="35">
        <v>180</v>
      </c>
      <c r="K740" s="71">
        <f>YEAR(Accion[[#This Row],[fecha]])</f>
        <v>2016</v>
      </c>
      <c r="L740" s="79" t="str">
        <f>IF(Accion[[#This Row],[Precio Cierre]]=MAX(Accion[Precio Cierre]),Accion[[#This Row],[Precio Cierre]],"NA")</f>
        <v>NA</v>
      </c>
      <c r="M740" s="79" t="str">
        <f>IF(Accion[[#This Row],[Precio Cierre]]=MIN(Accion[Precio Cierre]),Accion[[#This Row],[Precio Cierre]],"NA")</f>
        <v>NA</v>
      </c>
    </row>
    <row r="741" spans="1:13" hidden="1">
      <c r="A741" s="38" t="s">
        <v>90</v>
      </c>
      <c r="B741" s="34">
        <v>42538</v>
      </c>
      <c r="C741" s="35">
        <v>121376</v>
      </c>
      <c r="D741" s="35">
        <v>1544081840</v>
      </c>
      <c r="E741" s="35">
        <v>12780</v>
      </c>
      <c r="F741" s="35">
        <v>12700</v>
      </c>
      <c r="G741" s="35">
        <v>12720</v>
      </c>
      <c r="H741" s="35">
        <v>12721.48</v>
      </c>
      <c r="I741" s="35">
        <v>0.63</v>
      </c>
      <c r="J741" s="35">
        <v>80</v>
      </c>
      <c r="K741" s="71">
        <f>YEAR(Accion[[#This Row],[fecha]])</f>
        <v>2016</v>
      </c>
      <c r="L741" s="79" t="str">
        <f>IF(Accion[[#This Row],[Precio Cierre]]=MAX(Accion[Precio Cierre]),Accion[[#This Row],[Precio Cierre]],"NA")</f>
        <v>NA</v>
      </c>
      <c r="M741" s="79" t="str">
        <f>IF(Accion[[#This Row],[Precio Cierre]]=MIN(Accion[Precio Cierre]),Accion[[#This Row],[Precio Cierre]],"NA")</f>
        <v>NA</v>
      </c>
    </row>
    <row r="742" spans="1:13" hidden="1">
      <c r="A742" s="38" t="s">
        <v>90</v>
      </c>
      <c r="B742" s="34">
        <v>42537</v>
      </c>
      <c r="C742" s="35">
        <v>34586</v>
      </c>
      <c r="D742" s="35">
        <v>435939840</v>
      </c>
      <c r="E742" s="35">
        <v>12640</v>
      </c>
      <c r="F742" s="35">
        <v>12560</v>
      </c>
      <c r="G742" s="35">
        <v>12640</v>
      </c>
      <c r="H742" s="35">
        <v>12604.52</v>
      </c>
      <c r="I742" s="35">
        <v>0.32</v>
      </c>
      <c r="J742" s="35">
        <v>40</v>
      </c>
      <c r="K742" s="71">
        <f>YEAR(Accion[[#This Row],[fecha]])</f>
        <v>2016</v>
      </c>
      <c r="L742" s="79" t="str">
        <f>IF(Accion[[#This Row],[Precio Cierre]]=MAX(Accion[Precio Cierre]),Accion[[#This Row],[Precio Cierre]],"NA")</f>
        <v>NA</v>
      </c>
      <c r="M742" s="79" t="str">
        <f>IF(Accion[[#This Row],[Precio Cierre]]=MIN(Accion[Precio Cierre]),Accion[[#This Row],[Precio Cierre]],"NA")</f>
        <v>NA</v>
      </c>
    </row>
    <row r="743" spans="1:13" hidden="1">
      <c r="A743" s="38" t="s">
        <v>90</v>
      </c>
      <c r="B743" s="34">
        <v>42536</v>
      </c>
      <c r="C743" s="35">
        <v>100032</v>
      </c>
      <c r="D743" s="35">
        <v>1263739720</v>
      </c>
      <c r="E743" s="35">
        <v>12780</v>
      </c>
      <c r="F743" s="35">
        <v>12600</v>
      </c>
      <c r="G743" s="35">
        <v>12600</v>
      </c>
      <c r="H743" s="35">
        <v>12633.35</v>
      </c>
      <c r="I743" s="35">
        <v>-0.32</v>
      </c>
      <c r="J743" s="35">
        <v>-40</v>
      </c>
      <c r="K743" s="71">
        <f>YEAR(Accion[[#This Row],[fecha]])</f>
        <v>2016</v>
      </c>
      <c r="L743" s="79" t="str">
        <f>IF(Accion[[#This Row],[Precio Cierre]]=MAX(Accion[Precio Cierre]),Accion[[#This Row],[Precio Cierre]],"NA")</f>
        <v>NA</v>
      </c>
      <c r="M743" s="79" t="str">
        <f>IF(Accion[[#This Row],[Precio Cierre]]=MIN(Accion[Precio Cierre]),Accion[[#This Row],[Precio Cierre]],"NA")</f>
        <v>NA</v>
      </c>
    </row>
    <row r="744" spans="1:13" hidden="1">
      <c r="A744" s="38" t="s">
        <v>90</v>
      </c>
      <c r="B744" s="34">
        <v>42535</v>
      </c>
      <c r="C744" s="35">
        <v>452508</v>
      </c>
      <c r="D744" s="35">
        <v>5760892760</v>
      </c>
      <c r="E744" s="35">
        <v>12800</v>
      </c>
      <c r="F744" s="35">
        <v>12620</v>
      </c>
      <c r="G744" s="35">
        <v>12640</v>
      </c>
      <c r="H744" s="35">
        <v>12731.03</v>
      </c>
      <c r="I744" s="35">
        <v>-1.25</v>
      </c>
      <c r="J744" s="35">
        <v>-160</v>
      </c>
      <c r="K744" s="71">
        <f>YEAR(Accion[[#This Row],[fecha]])</f>
        <v>2016</v>
      </c>
      <c r="L744" s="79" t="str">
        <f>IF(Accion[[#This Row],[Precio Cierre]]=MAX(Accion[Precio Cierre]),Accion[[#This Row],[Precio Cierre]],"NA")</f>
        <v>NA</v>
      </c>
      <c r="M744" s="79" t="str">
        <f>IF(Accion[[#This Row],[Precio Cierre]]=MIN(Accion[Precio Cierre]),Accion[[#This Row],[Precio Cierre]],"NA")</f>
        <v>NA</v>
      </c>
    </row>
    <row r="745" spans="1:13" hidden="1">
      <c r="A745" s="38" t="s">
        <v>90</v>
      </c>
      <c r="B745" s="34">
        <v>42534</v>
      </c>
      <c r="C745" s="35">
        <v>30243</v>
      </c>
      <c r="D745" s="35">
        <v>387134700</v>
      </c>
      <c r="E745" s="35">
        <v>12800</v>
      </c>
      <c r="F745" s="35">
        <v>12800</v>
      </c>
      <c r="G745" s="35">
        <v>12800</v>
      </c>
      <c r="H745" s="35">
        <v>12800.8</v>
      </c>
      <c r="I745" s="35">
        <v>-0.78</v>
      </c>
      <c r="J745" s="35">
        <v>-100</v>
      </c>
      <c r="K745" s="71">
        <f>YEAR(Accion[[#This Row],[fecha]])</f>
        <v>2016</v>
      </c>
      <c r="L745" s="79" t="str">
        <f>IF(Accion[[#This Row],[Precio Cierre]]=MAX(Accion[Precio Cierre]),Accion[[#This Row],[Precio Cierre]],"NA")</f>
        <v>NA</v>
      </c>
      <c r="M745" s="79" t="str">
        <f>IF(Accion[[#This Row],[Precio Cierre]]=MIN(Accion[Precio Cierre]),Accion[[#This Row],[Precio Cierre]],"NA")</f>
        <v>NA</v>
      </c>
    </row>
    <row r="746" spans="1:13" hidden="1">
      <c r="A746" s="38" t="s">
        <v>90</v>
      </c>
      <c r="B746" s="34">
        <v>42531</v>
      </c>
      <c r="C746" s="35">
        <v>1371652</v>
      </c>
      <c r="D746" s="35">
        <v>17573394540</v>
      </c>
      <c r="E746" s="35">
        <v>12940</v>
      </c>
      <c r="F746" s="35">
        <v>12780</v>
      </c>
      <c r="G746" s="35">
        <v>12900</v>
      </c>
      <c r="H746" s="35">
        <v>12811.85</v>
      </c>
      <c r="I746" s="35">
        <v>0.47</v>
      </c>
      <c r="J746" s="35">
        <v>60</v>
      </c>
      <c r="K746" s="71">
        <f>YEAR(Accion[[#This Row],[fecha]])</f>
        <v>2016</v>
      </c>
      <c r="L746" s="79" t="str">
        <f>IF(Accion[[#This Row],[Precio Cierre]]=MAX(Accion[Precio Cierre]),Accion[[#This Row],[Precio Cierre]],"NA")</f>
        <v>NA</v>
      </c>
      <c r="M746" s="79" t="str">
        <f>IF(Accion[[#This Row],[Precio Cierre]]=MIN(Accion[Precio Cierre]),Accion[[#This Row],[Precio Cierre]],"NA")</f>
        <v>NA</v>
      </c>
    </row>
    <row r="747" spans="1:13" hidden="1">
      <c r="A747" s="38" t="s">
        <v>90</v>
      </c>
      <c r="B747" s="34">
        <v>42530</v>
      </c>
      <c r="C747" s="35">
        <v>562520</v>
      </c>
      <c r="D747" s="35">
        <v>7210224120</v>
      </c>
      <c r="E747" s="35">
        <v>12920</v>
      </c>
      <c r="F747" s="35">
        <v>12740</v>
      </c>
      <c r="G747" s="35">
        <v>12840</v>
      </c>
      <c r="H747" s="35">
        <v>12817.72</v>
      </c>
      <c r="I747" s="35">
        <v>0.78</v>
      </c>
      <c r="J747" s="35">
        <v>100</v>
      </c>
      <c r="K747" s="71">
        <f>YEAR(Accion[[#This Row],[fecha]])</f>
        <v>2016</v>
      </c>
      <c r="L747" s="79" t="str">
        <f>IF(Accion[[#This Row],[Precio Cierre]]=MAX(Accion[Precio Cierre]),Accion[[#This Row],[Precio Cierre]],"NA")</f>
        <v>NA</v>
      </c>
      <c r="M747" s="79" t="str">
        <f>IF(Accion[[#This Row],[Precio Cierre]]=MIN(Accion[Precio Cierre]),Accion[[#This Row],[Precio Cierre]],"NA")</f>
        <v>NA</v>
      </c>
    </row>
    <row r="748" spans="1:13" hidden="1">
      <c r="A748" s="38" t="s">
        <v>90</v>
      </c>
      <c r="B748" s="34">
        <v>42529</v>
      </c>
      <c r="C748" s="35">
        <v>1130761</v>
      </c>
      <c r="D748" s="35">
        <v>14311178400</v>
      </c>
      <c r="E748" s="35">
        <v>12980</v>
      </c>
      <c r="F748" s="35">
        <v>12600</v>
      </c>
      <c r="G748" s="35">
        <v>12740</v>
      </c>
      <c r="H748" s="35">
        <v>12656.24</v>
      </c>
      <c r="I748" s="35">
        <v>0.31</v>
      </c>
      <c r="J748" s="35">
        <v>40</v>
      </c>
      <c r="K748" s="71">
        <f>YEAR(Accion[[#This Row],[fecha]])</f>
        <v>2016</v>
      </c>
      <c r="L748" s="79" t="str">
        <f>IF(Accion[[#This Row],[Precio Cierre]]=MAX(Accion[Precio Cierre]),Accion[[#This Row],[Precio Cierre]],"NA")</f>
        <v>NA</v>
      </c>
      <c r="M748" s="79" t="str">
        <f>IF(Accion[[#This Row],[Precio Cierre]]=MIN(Accion[Precio Cierre]),Accion[[#This Row],[Precio Cierre]],"NA")</f>
        <v>NA</v>
      </c>
    </row>
    <row r="749" spans="1:13" hidden="1">
      <c r="A749" s="38" t="s">
        <v>90</v>
      </c>
      <c r="B749" s="34">
        <v>42528</v>
      </c>
      <c r="C749" s="35">
        <v>462051</v>
      </c>
      <c r="D749" s="35">
        <v>5892709320</v>
      </c>
      <c r="E749" s="35">
        <v>12860</v>
      </c>
      <c r="F749" s="35">
        <v>12700</v>
      </c>
      <c r="G749" s="35">
        <v>12700</v>
      </c>
      <c r="H749" s="35">
        <v>12753.37</v>
      </c>
      <c r="I749" s="35">
        <v>-1.24</v>
      </c>
      <c r="J749" s="35">
        <v>-160</v>
      </c>
      <c r="K749" s="71">
        <f>YEAR(Accion[[#This Row],[fecha]])</f>
        <v>2016</v>
      </c>
      <c r="L749" s="79" t="str">
        <f>IF(Accion[[#This Row],[Precio Cierre]]=MAX(Accion[Precio Cierre]),Accion[[#This Row],[Precio Cierre]],"NA")</f>
        <v>NA</v>
      </c>
      <c r="M749" s="79" t="str">
        <f>IF(Accion[[#This Row],[Precio Cierre]]=MIN(Accion[Precio Cierre]),Accion[[#This Row],[Precio Cierre]],"NA")</f>
        <v>NA</v>
      </c>
    </row>
    <row r="750" spans="1:13" hidden="1">
      <c r="A750" s="38" t="s">
        <v>90</v>
      </c>
      <c r="B750" s="34">
        <v>42524</v>
      </c>
      <c r="C750" s="35">
        <v>80513</v>
      </c>
      <c r="D750" s="35">
        <v>1036745060</v>
      </c>
      <c r="E750" s="35">
        <v>13000</v>
      </c>
      <c r="F750" s="35">
        <v>12820</v>
      </c>
      <c r="G750" s="35">
        <v>12860</v>
      </c>
      <c r="H750" s="35">
        <v>12876.74</v>
      </c>
      <c r="I750" s="35">
        <v>-0.92</v>
      </c>
      <c r="J750" s="35">
        <v>-120</v>
      </c>
      <c r="K750" s="71">
        <f>YEAR(Accion[[#This Row],[fecha]])</f>
        <v>2016</v>
      </c>
      <c r="L750" s="79" t="str">
        <f>IF(Accion[[#This Row],[Precio Cierre]]=MAX(Accion[Precio Cierre]),Accion[[#This Row],[Precio Cierre]],"NA")</f>
        <v>NA</v>
      </c>
      <c r="M750" s="79" t="str">
        <f>IF(Accion[[#This Row],[Precio Cierre]]=MIN(Accion[Precio Cierre]),Accion[[#This Row],[Precio Cierre]],"NA")</f>
        <v>NA</v>
      </c>
    </row>
    <row r="751" spans="1:13" hidden="1">
      <c r="A751" s="38" t="s">
        <v>90</v>
      </c>
      <c r="B751" s="34">
        <v>42523</v>
      </c>
      <c r="C751" s="35">
        <v>211149</v>
      </c>
      <c r="D751" s="35">
        <v>2750261800</v>
      </c>
      <c r="E751" s="35">
        <v>13200</v>
      </c>
      <c r="F751" s="35">
        <v>12900</v>
      </c>
      <c r="G751" s="35">
        <v>12980</v>
      </c>
      <c r="H751" s="35">
        <v>13025.22</v>
      </c>
      <c r="I751" s="35">
        <v>-1.52</v>
      </c>
      <c r="J751" s="35">
        <v>-200</v>
      </c>
      <c r="K751" s="71">
        <f>YEAR(Accion[[#This Row],[fecha]])</f>
        <v>2016</v>
      </c>
      <c r="L751" s="79" t="str">
        <f>IF(Accion[[#This Row],[Precio Cierre]]=MAX(Accion[Precio Cierre]),Accion[[#This Row],[Precio Cierre]],"NA")</f>
        <v>NA</v>
      </c>
      <c r="M751" s="79" t="str">
        <f>IF(Accion[[#This Row],[Precio Cierre]]=MIN(Accion[Precio Cierre]),Accion[[#This Row],[Precio Cierre]],"NA")</f>
        <v>NA</v>
      </c>
    </row>
    <row r="752" spans="1:13" hidden="1">
      <c r="A752" s="38" t="s">
        <v>90</v>
      </c>
      <c r="B752" s="34">
        <v>42522</v>
      </c>
      <c r="C752" s="35">
        <v>131705</v>
      </c>
      <c r="D752" s="35">
        <v>1737754140</v>
      </c>
      <c r="E752" s="35">
        <v>13480</v>
      </c>
      <c r="F752" s="35">
        <v>13100</v>
      </c>
      <c r="G752" s="35">
        <v>13180</v>
      </c>
      <c r="H752" s="35">
        <v>13194.29</v>
      </c>
      <c r="I752" s="35">
        <v>-2.23</v>
      </c>
      <c r="J752" s="35">
        <v>-300</v>
      </c>
      <c r="K752" s="71">
        <f>YEAR(Accion[[#This Row],[fecha]])</f>
        <v>2016</v>
      </c>
      <c r="L752" s="79" t="str">
        <f>IF(Accion[[#This Row],[Precio Cierre]]=MAX(Accion[Precio Cierre]),Accion[[#This Row],[Precio Cierre]],"NA")</f>
        <v>NA</v>
      </c>
      <c r="M752" s="79" t="str">
        <f>IF(Accion[[#This Row],[Precio Cierre]]=MIN(Accion[Precio Cierre]),Accion[[#This Row],[Precio Cierre]],"NA")</f>
        <v>NA</v>
      </c>
    </row>
    <row r="753" spans="1:13" hidden="1">
      <c r="A753" s="38" t="s">
        <v>90</v>
      </c>
      <c r="B753" s="34">
        <v>42521</v>
      </c>
      <c r="C753" s="35">
        <v>187212</v>
      </c>
      <c r="D753" s="35">
        <v>2490161740</v>
      </c>
      <c r="E753" s="35">
        <v>13480</v>
      </c>
      <c r="F753" s="35">
        <v>12920</v>
      </c>
      <c r="G753" s="35">
        <v>13480</v>
      </c>
      <c r="H753" s="35">
        <v>13301.29</v>
      </c>
      <c r="I753" s="35">
        <v>2.12</v>
      </c>
      <c r="J753" s="35">
        <v>280</v>
      </c>
      <c r="K753" s="71">
        <f>YEAR(Accion[[#This Row],[fecha]])</f>
        <v>2016</v>
      </c>
      <c r="L753" s="79" t="str">
        <f>IF(Accion[[#This Row],[Precio Cierre]]=MAX(Accion[Precio Cierre]),Accion[[#This Row],[Precio Cierre]],"NA")</f>
        <v>NA</v>
      </c>
      <c r="M753" s="79" t="str">
        <f>IF(Accion[[#This Row],[Precio Cierre]]=MIN(Accion[Precio Cierre]),Accion[[#This Row],[Precio Cierre]],"NA")</f>
        <v>NA</v>
      </c>
    </row>
    <row r="754" spans="1:13" hidden="1">
      <c r="A754" s="38" t="s">
        <v>90</v>
      </c>
      <c r="B754" s="34">
        <v>42517</v>
      </c>
      <c r="C754" s="35">
        <v>151554</v>
      </c>
      <c r="D754" s="35">
        <v>1999845160</v>
      </c>
      <c r="E754" s="35">
        <v>13280</v>
      </c>
      <c r="F754" s="35">
        <v>12960</v>
      </c>
      <c r="G754" s="35">
        <v>13200</v>
      </c>
      <c r="H754" s="35">
        <v>13195.59</v>
      </c>
      <c r="I754" s="35">
        <v>-0.6</v>
      </c>
      <c r="J754" s="35">
        <v>-80</v>
      </c>
      <c r="K754" s="71">
        <f>YEAR(Accion[[#This Row],[fecha]])</f>
        <v>2016</v>
      </c>
      <c r="L754" s="79" t="str">
        <f>IF(Accion[[#This Row],[Precio Cierre]]=MAX(Accion[Precio Cierre]),Accion[[#This Row],[Precio Cierre]],"NA")</f>
        <v>NA</v>
      </c>
      <c r="M754" s="79" t="str">
        <f>IF(Accion[[#This Row],[Precio Cierre]]=MIN(Accion[Precio Cierre]),Accion[[#This Row],[Precio Cierre]],"NA")</f>
        <v>NA</v>
      </c>
    </row>
    <row r="755" spans="1:13" hidden="1">
      <c r="A755" s="38" t="s">
        <v>90</v>
      </c>
      <c r="B755" s="34">
        <v>42516</v>
      </c>
      <c r="C755" s="35">
        <v>110710</v>
      </c>
      <c r="D755" s="35">
        <v>1459873900</v>
      </c>
      <c r="E755" s="35">
        <v>13300</v>
      </c>
      <c r="F755" s="35">
        <v>13020</v>
      </c>
      <c r="G755" s="35">
        <v>13280</v>
      </c>
      <c r="H755" s="35">
        <v>13186.47</v>
      </c>
      <c r="I755" s="35">
        <v>-0.15</v>
      </c>
      <c r="J755" s="35">
        <v>-20</v>
      </c>
      <c r="K755" s="71">
        <f>YEAR(Accion[[#This Row],[fecha]])</f>
        <v>2016</v>
      </c>
      <c r="L755" s="79" t="str">
        <f>IF(Accion[[#This Row],[Precio Cierre]]=MAX(Accion[Precio Cierre]),Accion[[#This Row],[Precio Cierre]],"NA")</f>
        <v>NA</v>
      </c>
      <c r="M755" s="79" t="str">
        <f>IF(Accion[[#This Row],[Precio Cierre]]=MIN(Accion[Precio Cierre]),Accion[[#This Row],[Precio Cierre]],"NA")</f>
        <v>NA</v>
      </c>
    </row>
    <row r="756" spans="1:13" hidden="1">
      <c r="A756" s="38" t="s">
        <v>90</v>
      </c>
      <c r="B756" s="34">
        <v>42515</v>
      </c>
      <c r="C756" s="35">
        <v>188724</v>
      </c>
      <c r="D756" s="35">
        <v>2503222420</v>
      </c>
      <c r="E756" s="35">
        <v>13360</v>
      </c>
      <c r="F756" s="35">
        <v>13120</v>
      </c>
      <c r="G756" s="35">
        <v>13300</v>
      </c>
      <c r="H756" s="35">
        <v>13263.93</v>
      </c>
      <c r="I756" s="35">
        <v>1.37</v>
      </c>
      <c r="J756" s="35">
        <v>180</v>
      </c>
      <c r="K756" s="71">
        <f>YEAR(Accion[[#This Row],[fecha]])</f>
        <v>2016</v>
      </c>
      <c r="L756" s="79" t="str">
        <f>IF(Accion[[#This Row],[Precio Cierre]]=MAX(Accion[Precio Cierre]),Accion[[#This Row],[Precio Cierre]],"NA")</f>
        <v>NA</v>
      </c>
      <c r="M756" s="79" t="str">
        <f>IF(Accion[[#This Row],[Precio Cierre]]=MIN(Accion[Precio Cierre]),Accion[[#This Row],[Precio Cierre]],"NA")</f>
        <v>NA</v>
      </c>
    </row>
    <row r="757" spans="1:13" hidden="1">
      <c r="A757" s="38" t="s">
        <v>90</v>
      </c>
      <c r="B757" s="34">
        <v>42514</v>
      </c>
      <c r="C757" s="35">
        <v>202227</v>
      </c>
      <c r="D757" s="35">
        <v>2629366060</v>
      </c>
      <c r="E757" s="35">
        <v>13120</v>
      </c>
      <c r="F757" s="35">
        <v>12980</v>
      </c>
      <c r="G757" s="35">
        <v>13120</v>
      </c>
      <c r="H757" s="35">
        <v>13002.05</v>
      </c>
      <c r="I757" s="35">
        <v>1.71</v>
      </c>
      <c r="J757" s="35">
        <v>220</v>
      </c>
      <c r="K757" s="71">
        <f>YEAR(Accion[[#This Row],[fecha]])</f>
        <v>2016</v>
      </c>
      <c r="L757" s="79" t="str">
        <f>IF(Accion[[#This Row],[Precio Cierre]]=MAX(Accion[Precio Cierre]),Accion[[#This Row],[Precio Cierre]],"NA")</f>
        <v>NA</v>
      </c>
      <c r="M757" s="79" t="str">
        <f>IF(Accion[[#This Row],[Precio Cierre]]=MIN(Accion[Precio Cierre]),Accion[[#This Row],[Precio Cierre]],"NA")</f>
        <v>NA</v>
      </c>
    </row>
    <row r="758" spans="1:13" hidden="1">
      <c r="A758" s="38" t="s">
        <v>90</v>
      </c>
      <c r="B758" s="34">
        <v>42513</v>
      </c>
      <c r="C758" s="35">
        <v>89536</v>
      </c>
      <c r="D758" s="35">
        <v>1163887900</v>
      </c>
      <c r="E758" s="35">
        <v>13040</v>
      </c>
      <c r="F758" s="35">
        <v>12900</v>
      </c>
      <c r="G758" s="35">
        <v>12900</v>
      </c>
      <c r="H758" s="35">
        <v>12999.11</v>
      </c>
      <c r="I758" s="35">
        <v>-0.46</v>
      </c>
      <c r="J758" s="35">
        <v>-60</v>
      </c>
      <c r="K758" s="71">
        <f>YEAR(Accion[[#This Row],[fecha]])</f>
        <v>2016</v>
      </c>
      <c r="L758" s="79" t="str">
        <f>IF(Accion[[#This Row],[Precio Cierre]]=MAX(Accion[Precio Cierre]),Accion[[#This Row],[Precio Cierre]],"NA")</f>
        <v>NA</v>
      </c>
      <c r="M758" s="79" t="str">
        <f>IF(Accion[[#This Row],[Precio Cierre]]=MIN(Accion[Precio Cierre]),Accion[[#This Row],[Precio Cierre]],"NA")</f>
        <v>NA</v>
      </c>
    </row>
    <row r="759" spans="1:13" hidden="1">
      <c r="A759" s="38" t="s">
        <v>90</v>
      </c>
      <c r="B759" s="34">
        <v>42510</v>
      </c>
      <c r="C759" s="35">
        <v>97307</v>
      </c>
      <c r="D759" s="35">
        <v>1261368720</v>
      </c>
      <c r="E759" s="35">
        <v>12980</v>
      </c>
      <c r="F759" s="35">
        <v>12940</v>
      </c>
      <c r="G759" s="35">
        <v>12960</v>
      </c>
      <c r="H759" s="35">
        <v>12962.77</v>
      </c>
      <c r="I759" s="35">
        <v>-0.31</v>
      </c>
      <c r="J759" s="35">
        <v>-40</v>
      </c>
      <c r="K759" s="71">
        <f>YEAR(Accion[[#This Row],[fecha]])</f>
        <v>2016</v>
      </c>
      <c r="L759" s="79" t="str">
        <f>IF(Accion[[#This Row],[Precio Cierre]]=MAX(Accion[Precio Cierre]),Accion[[#This Row],[Precio Cierre]],"NA")</f>
        <v>NA</v>
      </c>
      <c r="M759" s="79" t="str">
        <f>IF(Accion[[#This Row],[Precio Cierre]]=MIN(Accion[Precio Cierre]),Accion[[#This Row],[Precio Cierre]],"NA")</f>
        <v>NA</v>
      </c>
    </row>
    <row r="760" spans="1:13" hidden="1">
      <c r="A760" s="38" t="s">
        <v>90</v>
      </c>
      <c r="B760" s="34">
        <v>42509</v>
      </c>
      <c r="C760" s="35">
        <v>155552</v>
      </c>
      <c r="D760" s="35">
        <v>2015771460</v>
      </c>
      <c r="E760" s="35">
        <v>13060</v>
      </c>
      <c r="F760" s="35">
        <v>12900</v>
      </c>
      <c r="G760" s="35">
        <v>13000</v>
      </c>
      <c r="H760" s="35">
        <v>12958.83</v>
      </c>
      <c r="I760" s="35">
        <v>0</v>
      </c>
      <c r="J760" s="35">
        <v>0</v>
      </c>
      <c r="K760" s="71">
        <f>YEAR(Accion[[#This Row],[fecha]])</f>
        <v>2016</v>
      </c>
      <c r="L760" s="79" t="str">
        <f>IF(Accion[[#This Row],[Precio Cierre]]=MAX(Accion[Precio Cierre]),Accion[[#This Row],[Precio Cierre]],"NA")</f>
        <v>NA</v>
      </c>
      <c r="M760" s="79" t="str">
        <f>IF(Accion[[#This Row],[Precio Cierre]]=MIN(Accion[Precio Cierre]),Accion[[#This Row],[Precio Cierre]],"NA")</f>
        <v>NA</v>
      </c>
    </row>
    <row r="761" spans="1:13" hidden="1">
      <c r="A761" s="38" t="s">
        <v>90</v>
      </c>
      <c r="B761" s="34">
        <v>42508</v>
      </c>
      <c r="C761" s="35">
        <v>172520</v>
      </c>
      <c r="D761" s="35">
        <v>2251421960</v>
      </c>
      <c r="E761" s="35">
        <v>13160</v>
      </c>
      <c r="F761" s="35">
        <v>13000</v>
      </c>
      <c r="G761" s="35">
        <v>13000</v>
      </c>
      <c r="H761" s="35">
        <v>13050.21</v>
      </c>
      <c r="I761" s="35">
        <v>-1.52</v>
      </c>
      <c r="J761" s="35">
        <v>-200</v>
      </c>
      <c r="K761" s="71">
        <f>YEAR(Accion[[#This Row],[fecha]])</f>
        <v>2016</v>
      </c>
      <c r="L761" s="79" t="str">
        <f>IF(Accion[[#This Row],[Precio Cierre]]=MAX(Accion[Precio Cierre]),Accion[[#This Row],[Precio Cierre]],"NA")</f>
        <v>NA</v>
      </c>
      <c r="M761" s="79" t="str">
        <f>IF(Accion[[#This Row],[Precio Cierre]]=MIN(Accion[Precio Cierre]),Accion[[#This Row],[Precio Cierre]],"NA")</f>
        <v>NA</v>
      </c>
    </row>
    <row r="762" spans="1:13" hidden="1">
      <c r="A762" s="38" t="s">
        <v>90</v>
      </c>
      <c r="B762" s="34">
        <v>42507</v>
      </c>
      <c r="C762" s="35">
        <v>29302</v>
      </c>
      <c r="D762" s="35">
        <v>387068500</v>
      </c>
      <c r="E762" s="35">
        <v>13380</v>
      </c>
      <c r="F762" s="35">
        <v>13160</v>
      </c>
      <c r="G762" s="35">
        <v>13200</v>
      </c>
      <c r="H762" s="35">
        <v>13209.63</v>
      </c>
      <c r="I762" s="35">
        <v>0</v>
      </c>
      <c r="J762" s="35">
        <v>0</v>
      </c>
      <c r="K762" s="71">
        <f>YEAR(Accion[[#This Row],[fecha]])</f>
        <v>2016</v>
      </c>
      <c r="L762" s="79" t="str">
        <f>IF(Accion[[#This Row],[Precio Cierre]]=MAX(Accion[Precio Cierre]),Accion[[#This Row],[Precio Cierre]],"NA")</f>
        <v>NA</v>
      </c>
      <c r="M762" s="79" t="str">
        <f>IF(Accion[[#This Row],[Precio Cierre]]=MIN(Accion[Precio Cierre]),Accion[[#This Row],[Precio Cierre]],"NA")</f>
        <v>NA</v>
      </c>
    </row>
    <row r="763" spans="1:13" hidden="1">
      <c r="A763" s="38" t="s">
        <v>90</v>
      </c>
      <c r="B763" s="34">
        <v>42506</v>
      </c>
      <c r="C763" s="35">
        <v>65383</v>
      </c>
      <c r="D763" s="35">
        <v>869841260</v>
      </c>
      <c r="E763" s="35">
        <v>13420</v>
      </c>
      <c r="F763" s="35">
        <v>13200</v>
      </c>
      <c r="G763" s="35">
        <v>13200</v>
      </c>
      <c r="H763" s="35">
        <v>13303.78</v>
      </c>
      <c r="I763" s="35">
        <v>-0.3</v>
      </c>
      <c r="J763" s="35">
        <v>-40</v>
      </c>
      <c r="K763" s="71">
        <f>YEAR(Accion[[#This Row],[fecha]])</f>
        <v>2016</v>
      </c>
      <c r="L763" s="79" t="str">
        <f>IF(Accion[[#This Row],[Precio Cierre]]=MAX(Accion[Precio Cierre]),Accion[[#This Row],[Precio Cierre]],"NA")</f>
        <v>NA</v>
      </c>
      <c r="M763" s="79" t="str">
        <f>IF(Accion[[#This Row],[Precio Cierre]]=MIN(Accion[Precio Cierre]),Accion[[#This Row],[Precio Cierre]],"NA")</f>
        <v>NA</v>
      </c>
    </row>
    <row r="764" spans="1:13" hidden="1">
      <c r="A764" s="38" t="s">
        <v>90</v>
      </c>
      <c r="B764" s="34">
        <v>42503</v>
      </c>
      <c r="C764" s="35">
        <v>78698</v>
      </c>
      <c r="D764" s="35">
        <v>1056081940</v>
      </c>
      <c r="E764" s="35">
        <v>13640</v>
      </c>
      <c r="F764" s="35">
        <v>13240</v>
      </c>
      <c r="G764" s="35">
        <v>13240</v>
      </c>
      <c r="H764" s="35">
        <v>13419.43</v>
      </c>
      <c r="I764" s="35">
        <v>-2.65</v>
      </c>
      <c r="J764" s="35">
        <v>-360</v>
      </c>
      <c r="K764" s="71">
        <f>YEAR(Accion[[#This Row],[fecha]])</f>
        <v>2016</v>
      </c>
      <c r="L764" s="79" t="str">
        <f>IF(Accion[[#This Row],[Precio Cierre]]=MAX(Accion[Precio Cierre]),Accion[[#This Row],[Precio Cierre]],"NA")</f>
        <v>NA</v>
      </c>
      <c r="M764" s="79" t="str">
        <f>IF(Accion[[#This Row],[Precio Cierre]]=MIN(Accion[Precio Cierre]),Accion[[#This Row],[Precio Cierre]],"NA")</f>
        <v>NA</v>
      </c>
    </row>
    <row r="765" spans="1:13" hidden="1">
      <c r="A765" s="38" t="s">
        <v>90</v>
      </c>
      <c r="B765" s="34">
        <v>42502</v>
      </c>
      <c r="C765" s="35">
        <v>686055</v>
      </c>
      <c r="D765" s="35">
        <v>9341973280</v>
      </c>
      <c r="E765" s="35">
        <v>13680</v>
      </c>
      <c r="F765" s="35">
        <v>13460</v>
      </c>
      <c r="G765" s="35">
        <v>13600</v>
      </c>
      <c r="H765" s="35">
        <v>13616.95</v>
      </c>
      <c r="I765" s="35">
        <v>1.04</v>
      </c>
      <c r="J765" s="35">
        <v>140</v>
      </c>
      <c r="K765" s="71">
        <f>YEAR(Accion[[#This Row],[fecha]])</f>
        <v>2016</v>
      </c>
      <c r="L765" s="79" t="str">
        <f>IF(Accion[[#This Row],[Precio Cierre]]=MAX(Accion[Precio Cierre]),Accion[[#This Row],[Precio Cierre]],"NA")</f>
        <v>NA</v>
      </c>
      <c r="M765" s="79" t="str">
        <f>IF(Accion[[#This Row],[Precio Cierre]]=MIN(Accion[Precio Cierre]),Accion[[#This Row],[Precio Cierre]],"NA")</f>
        <v>NA</v>
      </c>
    </row>
    <row r="766" spans="1:13" hidden="1">
      <c r="A766" s="38" t="s">
        <v>90</v>
      </c>
      <c r="B766" s="34">
        <v>42501</v>
      </c>
      <c r="C766" s="35">
        <v>403358</v>
      </c>
      <c r="D766" s="35">
        <v>5431128720</v>
      </c>
      <c r="E766" s="35">
        <v>13540</v>
      </c>
      <c r="F766" s="35">
        <v>13400</v>
      </c>
      <c r="G766" s="35">
        <v>13460</v>
      </c>
      <c r="H766" s="35">
        <v>13464.78</v>
      </c>
      <c r="I766" s="35">
        <v>-0.3</v>
      </c>
      <c r="J766" s="35">
        <v>-40</v>
      </c>
      <c r="K766" s="71">
        <f>YEAR(Accion[[#This Row],[fecha]])</f>
        <v>2016</v>
      </c>
      <c r="L766" s="79" t="str">
        <f>IF(Accion[[#This Row],[Precio Cierre]]=MAX(Accion[Precio Cierre]),Accion[[#This Row],[Precio Cierre]],"NA")</f>
        <v>NA</v>
      </c>
      <c r="M766" s="79" t="str">
        <f>IF(Accion[[#This Row],[Precio Cierre]]=MIN(Accion[Precio Cierre]),Accion[[#This Row],[Precio Cierre]],"NA")</f>
        <v>NA</v>
      </c>
    </row>
    <row r="767" spans="1:13" hidden="1">
      <c r="A767" s="38" t="s">
        <v>90</v>
      </c>
      <c r="B767" s="34">
        <v>42500</v>
      </c>
      <c r="C767" s="35">
        <v>253350</v>
      </c>
      <c r="D767" s="35">
        <v>3341963760</v>
      </c>
      <c r="E767" s="35">
        <v>13500</v>
      </c>
      <c r="F767" s="35">
        <v>12620</v>
      </c>
      <c r="G767" s="35">
        <v>13500</v>
      </c>
      <c r="H767" s="35">
        <v>13191.09</v>
      </c>
      <c r="I767" s="35">
        <v>5.47</v>
      </c>
      <c r="J767" s="35">
        <v>700</v>
      </c>
      <c r="K767" s="71">
        <f>YEAR(Accion[[#This Row],[fecha]])</f>
        <v>2016</v>
      </c>
      <c r="L767" s="79" t="str">
        <f>IF(Accion[[#This Row],[Precio Cierre]]=MAX(Accion[Precio Cierre]),Accion[[#This Row],[Precio Cierre]],"NA")</f>
        <v>NA</v>
      </c>
      <c r="M767" s="79" t="str">
        <f>IF(Accion[[#This Row],[Precio Cierre]]=MIN(Accion[Precio Cierre]),Accion[[#This Row],[Precio Cierre]],"NA")</f>
        <v>NA</v>
      </c>
    </row>
    <row r="768" spans="1:13" hidden="1">
      <c r="A768" s="38" t="s">
        <v>90</v>
      </c>
      <c r="B768" s="34">
        <v>42496</v>
      </c>
      <c r="C768" s="35">
        <v>287593</v>
      </c>
      <c r="D768" s="35">
        <v>3712412640</v>
      </c>
      <c r="E768" s="35">
        <v>13000</v>
      </c>
      <c r="F768" s="35">
        <v>12740</v>
      </c>
      <c r="G768" s="35">
        <v>12800</v>
      </c>
      <c r="H768" s="35">
        <v>12908.56</v>
      </c>
      <c r="I768" s="35">
        <v>-1.39</v>
      </c>
      <c r="J768" s="35">
        <v>-180</v>
      </c>
      <c r="K768" s="71">
        <f>YEAR(Accion[[#This Row],[fecha]])</f>
        <v>2016</v>
      </c>
      <c r="L768" s="79" t="str">
        <f>IF(Accion[[#This Row],[Precio Cierre]]=MAX(Accion[Precio Cierre]),Accion[[#This Row],[Precio Cierre]],"NA")</f>
        <v>NA</v>
      </c>
      <c r="M768" s="79" t="str">
        <f>IF(Accion[[#This Row],[Precio Cierre]]=MIN(Accion[Precio Cierre]),Accion[[#This Row],[Precio Cierre]],"NA")</f>
        <v>NA</v>
      </c>
    </row>
    <row r="769" spans="1:13" hidden="1">
      <c r="A769" s="38" t="s">
        <v>90</v>
      </c>
      <c r="B769" s="34">
        <v>42495</v>
      </c>
      <c r="C769" s="35">
        <v>146440</v>
      </c>
      <c r="D769" s="35">
        <v>1861913560</v>
      </c>
      <c r="E769" s="35">
        <v>12980</v>
      </c>
      <c r="F769" s="35">
        <v>12640</v>
      </c>
      <c r="G769" s="35">
        <v>12980</v>
      </c>
      <c r="H769" s="35">
        <v>12714.51</v>
      </c>
      <c r="I769" s="35">
        <v>3.34</v>
      </c>
      <c r="J769" s="35">
        <v>420</v>
      </c>
      <c r="K769" s="71">
        <f>YEAR(Accion[[#This Row],[fecha]])</f>
        <v>2016</v>
      </c>
      <c r="L769" s="79" t="str">
        <f>IF(Accion[[#This Row],[Precio Cierre]]=MAX(Accion[Precio Cierre]),Accion[[#This Row],[Precio Cierre]],"NA")</f>
        <v>NA</v>
      </c>
      <c r="M769" s="79" t="str">
        <f>IF(Accion[[#This Row],[Precio Cierre]]=MIN(Accion[Precio Cierre]),Accion[[#This Row],[Precio Cierre]],"NA")</f>
        <v>NA</v>
      </c>
    </row>
    <row r="770" spans="1:13" hidden="1">
      <c r="A770" s="38" t="s">
        <v>90</v>
      </c>
      <c r="B770" s="34">
        <v>42494</v>
      </c>
      <c r="C770" s="35">
        <v>216427</v>
      </c>
      <c r="D770" s="35">
        <v>2722729000</v>
      </c>
      <c r="E770" s="35">
        <v>12620</v>
      </c>
      <c r="F770" s="35">
        <v>12560</v>
      </c>
      <c r="G770" s="35">
        <v>12560</v>
      </c>
      <c r="H770" s="35">
        <v>12580.36</v>
      </c>
      <c r="I770" s="35">
        <v>-0.32</v>
      </c>
      <c r="J770" s="35">
        <v>-40</v>
      </c>
      <c r="K770" s="71">
        <f>YEAR(Accion[[#This Row],[fecha]])</f>
        <v>2016</v>
      </c>
      <c r="L770" s="79" t="str">
        <f>IF(Accion[[#This Row],[Precio Cierre]]=MAX(Accion[Precio Cierre]),Accion[[#This Row],[Precio Cierre]],"NA")</f>
        <v>NA</v>
      </c>
      <c r="M770" s="79" t="str">
        <f>IF(Accion[[#This Row],[Precio Cierre]]=MIN(Accion[Precio Cierre]),Accion[[#This Row],[Precio Cierre]],"NA")</f>
        <v>NA</v>
      </c>
    </row>
    <row r="771" spans="1:13" hidden="1">
      <c r="A771" s="38" t="s">
        <v>90</v>
      </c>
      <c r="B771" s="34">
        <v>42493</v>
      </c>
      <c r="C771" s="35">
        <v>664384</v>
      </c>
      <c r="D771" s="35">
        <v>8489012300</v>
      </c>
      <c r="E771" s="35">
        <v>13060</v>
      </c>
      <c r="F771" s="35">
        <v>12600</v>
      </c>
      <c r="G771" s="35">
        <v>12600</v>
      </c>
      <c r="H771" s="35">
        <v>12777.27</v>
      </c>
      <c r="I771" s="35">
        <v>-3.37</v>
      </c>
      <c r="J771" s="35">
        <v>-440</v>
      </c>
      <c r="K771" s="71">
        <f>YEAR(Accion[[#This Row],[fecha]])</f>
        <v>2016</v>
      </c>
      <c r="L771" s="79" t="str">
        <f>IF(Accion[[#This Row],[Precio Cierre]]=MAX(Accion[Precio Cierre]),Accion[[#This Row],[Precio Cierre]],"NA")</f>
        <v>NA</v>
      </c>
      <c r="M771" s="79" t="str">
        <f>IF(Accion[[#This Row],[Precio Cierre]]=MIN(Accion[Precio Cierre]),Accion[[#This Row],[Precio Cierre]],"NA")</f>
        <v>NA</v>
      </c>
    </row>
    <row r="772" spans="1:13" hidden="1">
      <c r="A772" s="38" t="s">
        <v>90</v>
      </c>
      <c r="B772" s="34">
        <v>42492</v>
      </c>
      <c r="C772" s="35">
        <v>56496</v>
      </c>
      <c r="D772" s="35">
        <v>734367920</v>
      </c>
      <c r="E772" s="35">
        <v>13100</v>
      </c>
      <c r="F772" s="35">
        <v>12900</v>
      </c>
      <c r="G772" s="35">
        <v>13040</v>
      </c>
      <c r="H772" s="35">
        <v>12998.58</v>
      </c>
      <c r="I772" s="35">
        <v>-0.15</v>
      </c>
      <c r="J772" s="35">
        <v>-20</v>
      </c>
      <c r="K772" s="71">
        <f>YEAR(Accion[[#This Row],[fecha]])</f>
        <v>2016</v>
      </c>
      <c r="L772" s="79" t="str">
        <f>IF(Accion[[#This Row],[Precio Cierre]]=MAX(Accion[Precio Cierre]),Accion[[#This Row],[Precio Cierre]],"NA")</f>
        <v>NA</v>
      </c>
      <c r="M772" s="79" t="str">
        <f>IF(Accion[[#This Row],[Precio Cierre]]=MIN(Accion[Precio Cierre]),Accion[[#This Row],[Precio Cierre]],"NA")</f>
        <v>NA</v>
      </c>
    </row>
    <row r="773" spans="1:13" hidden="1">
      <c r="A773" s="38" t="s">
        <v>90</v>
      </c>
      <c r="B773" s="34">
        <v>42489</v>
      </c>
      <c r="C773" s="35">
        <v>272562</v>
      </c>
      <c r="D773" s="35">
        <v>3558237340</v>
      </c>
      <c r="E773" s="35">
        <v>13100</v>
      </c>
      <c r="F773" s="35">
        <v>12940</v>
      </c>
      <c r="G773" s="35">
        <v>13060</v>
      </c>
      <c r="H773" s="35">
        <v>13054.78</v>
      </c>
      <c r="I773" s="35">
        <v>1.24</v>
      </c>
      <c r="J773" s="35">
        <v>160</v>
      </c>
      <c r="K773" s="71">
        <f>YEAR(Accion[[#This Row],[fecha]])</f>
        <v>2016</v>
      </c>
      <c r="L773" s="79" t="str">
        <f>IF(Accion[[#This Row],[Precio Cierre]]=MAX(Accion[Precio Cierre]),Accion[[#This Row],[Precio Cierre]],"NA")</f>
        <v>NA</v>
      </c>
      <c r="M773" s="79" t="str">
        <f>IF(Accion[[#This Row],[Precio Cierre]]=MIN(Accion[Precio Cierre]),Accion[[#This Row],[Precio Cierre]],"NA")</f>
        <v>NA</v>
      </c>
    </row>
    <row r="774" spans="1:13" hidden="1">
      <c r="A774" s="38" t="s">
        <v>90</v>
      </c>
      <c r="B774" s="34">
        <v>42488</v>
      </c>
      <c r="C774" s="35">
        <v>606009</v>
      </c>
      <c r="D774" s="35">
        <v>7808980400</v>
      </c>
      <c r="E774" s="35">
        <v>13000</v>
      </c>
      <c r="F774" s="35">
        <v>12720</v>
      </c>
      <c r="G774" s="35">
        <v>12900</v>
      </c>
      <c r="H774" s="35">
        <v>12885.91</v>
      </c>
      <c r="I774" s="35">
        <v>1.42</v>
      </c>
      <c r="J774" s="35">
        <v>180</v>
      </c>
      <c r="K774" s="71">
        <f>YEAR(Accion[[#This Row],[fecha]])</f>
        <v>2016</v>
      </c>
      <c r="L774" s="79" t="str">
        <f>IF(Accion[[#This Row],[Precio Cierre]]=MAX(Accion[Precio Cierre]),Accion[[#This Row],[Precio Cierre]],"NA")</f>
        <v>NA</v>
      </c>
      <c r="M774" s="79" t="str">
        <f>IF(Accion[[#This Row],[Precio Cierre]]=MIN(Accion[Precio Cierre]),Accion[[#This Row],[Precio Cierre]],"NA")</f>
        <v>NA</v>
      </c>
    </row>
    <row r="775" spans="1:13" hidden="1">
      <c r="A775" s="38" t="s">
        <v>90</v>
      </c>
      <c r="B775" s="34">
        <v>42487</v>
      </c>
      <c r="C775" s="35">
        <v>689133</v>
      </c>
      <c r="D775" s="35">
        <v>8787307180</v>
      </c>
      <c r="E775" s="35">
        <v>12820</v>
      </c>
      <c r="F775" s="35">
        <v>12520</v>
      </c>
      <c r="G775" s="35">
        <v>12720</v>
      </c>
      <c r="H775" s="35">
        <v>12751.25</v>
      </c>
      <c r="I775" s="35">
        <v>-0.63</v>
      </c>
      <c r="J775" s="35">
        <v>-80</v>
      </c>
      <c r="K775" s="71">
        <f>YEAR(Accion[[#This Row],[fecha]])</f>
        <v>2016</v>
      </c>
      <c r="L775" s="79" t="str">
        <f>IF(Accion[[#This Row],[Precio Cierre]]=MAX(Accion[Precio Cierre]),Accion[[#This Row],[Precio Cierre]],"NA")</f>
        <v>NA</v>
      </c>
      <c r="M775" s="79" t="str">
        <f>IF(Accion[[#This Row],[Precio Cierre]]=MIN(Accion[Precio Cierre]),Accion[[#This Row],[Precio Cierre]],"NA")</f>
        <v>NA</v>
      </c>
    </row>
    <row r="776" spans="1:13" hidden="1">
      <c r="A776" s="38" t="s">
        <v>90</v>
      </c>
      <c r="B776" s="34">
        <v>42486</v>
      </c>
      <c r="C776" s="35">
        <v>290866</v>
      </c>
      <c r="D776" s="35">
        <v>3747289360</v>
      </c>
      <c r="E776" s="35">
        <v>13200</v>
      </c>
      <c r="F776" s="35">
        <v>12780</v>
      </c>
      <c r="G776" s="35">
        <v>12800</v>
      </c>
      <c r="H776" s="35">
        <v>12883.22</v>
      </c>
      <c r="I776" s="35">
        <v>-0.78</v>
      </c>
      <c r="J776" s="35">
        <v>-100</v>
      </c>
      <c r="K776" s="71">
        <f>YEAR(Accion[[#This Row],[fecha]])</f>
        <v>2016</v>
      </c>
      <c r="L776" s="79" t="str">
        <f>IF(Accion[[#This Row],[Precio Cierre]]=MAX(Accion[Precio Cierre]),Accion[[#This Row],[Precio Cierre]],"NA")</f>
        <v>NA</v>
      </c>
      <c r="M776" s="79" t="str">
        <f>IF(Accion[[#This Row],[Precio Cierre]]=MIN(Accion[Precio Cierre]),Accion[[#This Row],[Precio Cierre]],"NA")</f>
        <v>NA</v>
      </c>
    </row>
    <row r="777" spans="1:13" hidden="1">
      <c r="A777" s="38" t="s">
        <v>90</v>
      </c>
      <c r="B777" s="34">
        <v>42485</v>
      </c>
      <c r="C777" s="35">
        <v>81739</v>
      </c>
      <c r="D777" s="35">
        <v>1065618640</v>
      </c>
      <c r="E777" s="35">
        <v>13100</v>
      </c>
      <c r="F777" s="35">
        <v>12900</v>
      </c>
      <c r="G777" s="35">
        <v>12900</v>
      </c>
      <c r="H777" s="35">
        <v>13036.84</v>
      </c>
      <c r="I777" s="35">
        <v>-0.77</v>
      </c>
      <c r="J777" s="35">
        <v>-100</v>
      </c>
      <c r="K777" s="71">
        <f>YEAR(Accion[[#This Row],[fecha]])</f>
        <v>2016</v>
      </c>
      <c r="L777" s="79" t="str">
        <f>IF(Accion[[#This Row],[Precio Cierre]]=MAX(Accion[Precio Cierre]),Accion[[#This Row],[Precio Cierre]],"NA")</f>
        <v>NA</v>
      </c>
      <c r="M777" s="79" t="str">
        <f>IF(Accion[[#This Row],[Precio Cierre]]=MIN(Accion[Precio Cierre]),Accion[[#This Row],[Precio Cierre]],"NA")</f>
        <v>NA</v>
      </c>
    </row>
    <row r="778" spans="1:13" hidden="1">
      <c r="A778" s="38" t="s">
        <v>90</v>
      </c>
      <c r="B778" s="34">
        <v>42482</v>
      </c>
      <c r="C778" s="35">
        <v>233984</v>
      </c>
      <c r="D778" s="35">
        <v>3064321100</v>
      </c>
      <c r="E778" s="35">
        <v>13280</v>
      </c>
      <c r="F778" s="35">
        <v>13000</v>
      </c>
      <c r="G778" s="35">
        <v>13000</v>
      </c>
      <c r="H778" s="35">
        <v>13096.28</v>
      </c>
      <c r="I778" s="35">
        <v>-1.52</v>
      </c>
      <c r="J778" s="35">
        <v>-200</v>
      </c>
      <c r="K778" s="71">
        <f>YEAR(Accion[[#This Row],[fecha]])</f>
        <v>2016</v>
      </c>
      <c r="L778" s="79" t="str">
        <f>IF(Accion[[#This Row],[Precio Cierre]]=MAX(Accion[Precio Cierre]),Accion[[#This Row],[Precio Cierre]],"NA")</f>
        <v>NA</v>
      </c>
      <c r="M778" s="79" t="str">
        <f>IF(Accion[[#This Row],[Precio Cierre]]=MIN(Accion[Precio Cierre]),Accion[[#This Row],[Precio Cierre]],"NA")</f>
        <v>NA</v>
      </c>
    </row>
    <row r="779" spans="1:13" hidden="1">
      <c r="A779" s="38" t="s">
        <v>90</v>
      </c>
      <c r="B779" s="34">
        <v>42481</v>
      </c>
      <c r="C779" s="35">
        <v>115798</v>
      </c>
      <c r="D779" s="35">
        <v>1532466960</v>
      </c>
      <c r="E779" s="35">
        <v>13300</v>
      </c>
      <c r="F779" s="35">
        <v>13120</v>
      </c>
      <c r="G779" s="35">
        <v>13200</v>
      </c>
      <c r="H779" s="35">
        <v>13233.97</v>
      </c>
      <c r="I779" s="35">
        <v>-1.2</v>
      </c>
      <c r="J779" s="35">
        <v>-160</v>
      </c>
      <c r="K779" s="71">
        <f>YEAR(Accion[[#This Row],[fecha]])</f>
        <v>2016</v>
      </c>
      <c r="L779" s="79" t="str">
        <f>IF(Accion[[#This Row],[Precio Cierre]]=MAX(Accion[Precio Cierre]),Accion[[#This Row],[Precio Cierre]],"NA")</f>
        <v>NA</v>
      </c>
      <c r="M779" s="79" t="str">
        <f>IF(Accion[[#This Row],[Precio Cierre]]=MIN(Accion[Precio Cierre]),Accion[[#This Row],[Precio Cierre]],"NA")</f>
        <v>NA</v>
      </c>
    </row>
    <row r="780" spans="1:13" hidden="1">
      <c r="A780" s="38" t="s">
        <v>90</v>
      </c>
      <c r="B780" s="34">
        <v>42480</v>
      </c>
      <c r="C780" s="35">
        <v>151130</v>
      </c>
      <c r="D780" s="35">
        <v>2016122320</v>
      </c>
      <c r="E780" s="35">
        <v>13400</v>
      </c>
      <c r="F780" s="35">
        <v>13200</v>
      </c>
      <c r="G780" s="35">
        <v>13360</v>
      </c>
      <c r="H780" s="35">
        <v>13340.32</v>
      </c>
      <c r="I780" s="35">
        <v>1.21</v>
      </c>
      <c r="J780" s="35">
        <v>160</v>
      </c>
      <c r="K780" s="71">
        <f>YEAR(Accion[[#This Row],[fecha]])</f>
        <v>2016</v>
      </c>
      <c r="L780" s="79" t="str">
        <f>IF(Accion[[#This Row],[Precio Cierre]]=MAX(Accion[Precio Cierre]),Accion[[#This Row],[Precio Cierre]],"NA")</f>
        <v>NA</v>
      </c>
      <c r="M780" s="79" t="str">
        <f>IF(Accion[[#This Row],[Precio Cierre]]=MIN(Accion[Precio Cierre]),Accion[[#This Row],[Precio Cierre]],"NA")</f>
        <v>NA</v>
      </c>
    </row>
    <row r="781" spans="1:13" hidden="1">
      <c r="A781" s="38" t="s">
        <v>90</v>
      </c>
      <c r="B781" s="34">
        <v>42479</v>
      </c>
      <c r="C781" s="35">
        <v>342076</v>
      </c>
      <c r="D781" s="35">
        <v>4598811500</v>
      </c>
      <c r="E781" s="35">
        <v>13500</v>
      </c>
      <c r="F781" s="35">
        <v>13200</v>
      </c>
      <c r="G781" s="35">
        <v>13200</v>
      </c>
      <c r="H781" s="35">
        <v>13443.83</v>
      </c>
      <c r="I781" s="35">
        <v>-0.75</v>
      </c>
      <c r="J781" s="35">
        <v>-100</v>
      </c>
      <c r="K781" s="71">
        <f>YEAR(Accion[[#This Row],[fecha]])</f>
        <v>2016</v>
      </c>
      <c r="L781" s="79" t="str">
        <f>IF(Accion[[#This Row],[Precio Cierre]]=MAX(Accion[Precio Cierre]),Accion[[#This Row],[Precio Cierre]],"NA")</f>
        <v>NA</v>
      </c>
      <c r="M781" s="79" t="str">
        <f>IF(Accion[[#This Row],[Precio Cierre]]=MIN(Accion[Precio Cierre]),Accion[[#This Row],[Precio Cierre]],"NA")</f>
        <v>NA</v>
      </c>
    </row>
    <row r="782" spans="1:13" hidden="1">
      <c r="A782" s="38" t="s">
        <v>90</v>
      </c>
      <c r="B782" s="34">
        <v>42478</v>
      </c>
      <c r="C782" s="35">
        <v>155651</v>
      </c>
      <c r="D782" s="35">
        <v>2055336160</v>
      </c>
      <c r="E782" s="35">
        <v>13360</v>
      </c>
      <c r="F782" s="35">
        <v>12900</v>
      </c>
      <c r="G782" s="35">
        <v>13300</v>
      </c>
      <c r="H782" s="35">
        <v>13204.77</v>
      </c>
      <c r="I782" s="35">
        <v>1.99</v>
      </c>
      <c r="J782" s="35">
        <v>260</v>
      </c>
      <c r="K782" s="71">
        <f>YEAR(Accion[[#This Row],[fecha]])</f>
        <v>2016</v>
      </c>
      <c r="L782" s="79" t="str">
        <f>IF(Accion[[#This Row],[Precio Cierre]]=MAX(Accion[Precio Cierre]),Accion[[#This Row],[Precio Cierre]],"NA")</f>
        <v>NA</v>
      </c>
      <c r="M782" s="79" t="str">
        <f>IF(Accion[[#This Row],[Precio Cierre]]=MIN(Accion[Precio Cierre]),Accion[[#This Row],[Precio Cierre]],"NA")</f>
        <v>NA</v>
      </c>
    </row>
    <row r="783" spans="1:13" hidden="1">
      <c r="A783" s="38" t="s">
        <v>90</v>
      </c>
      <c r="B783" s="34">
        <v>42475</v>
      </c>
      <c r="C783" s="35">
        <v>570665</v>
      </c>
      <c r="D783" s="35">
        <v>7431846900</v>
      </c>
      <c r="E783" s="35">
        <v>13180</v>
      </c>
      <c r="F783" s="35">
        <v>12820</v>
      </c>
      <c r="G783" s="35">
        <v>13040</v>
      </c>
      <c r="H783" s="35">
        <v>13023.13</v>
      </c>
      <c r="I783" s="35">
        <v>0.31</v>
      </c>
      <c r="J783" s="35">
        <v>40</v>
      </c>
      <c r="K783" s="71">
        <f>YEAR(Accion[[#This Row],[fecha]])</f>
        <v>2016</v>
      </c>
      <c r="L783" s="79" t="str">
        <f>IF(Accion[[#This Row],[Precio Cierre]]=MAX(Accion[Precio Cierre]),Accion[[#This Row],[Precio Cierre]],"NA")</f>
        <v>NA</v>
      </c>
      <c r="M783" s="79" t="str">
        <f>IF(Accion[[#This Row],[Precio Cierre]]=MIN(Accion[Precio Cierre]),Accion[[#This Row],[Precio Cierre]],"NA")</f>
        <v>NA</v>
      </c>
    </row>
    <row r="784" spans="1:13" hidden="1">
      <c r="A784" s="38" t="s">
        <v>90</v>
      </c>
      <c r="B784" s="34">
        <v>42474</v>
      </c>
      <c r="C784" s="35">
        <v>370114</v>
      </c>
      <c r="D784" s="35">
        <v>4831322180</v>
      </c>
      <c r="E784" s="35">
        <v>13280</v>
      </c>
      <c r="F784" s="35">
        <v>13000</v>
      </c>
      <c r="G784" s="35">
        <v>13000</v>
      </c>
      <c r="H784" s="35">
        <v>13053.61</v>
      </c>
      <c r="I784" s="35">
        <v>0</v>
      </c>
      <c r="J784" s="35">
        <v>0</v>
      </c>
      <c r="K784" s="71">
        <f>YEAR(Accion[[#This Row],[fecha]])</f>
        <v>2016</v>
      </c>
      <c r="L784" s="79" t="str">
        <f>IF(Accion[[#This Row],[Precio Cierre]]=MAX(Accion[Precio Cierre]),Accion[[#This Row],[Precio Cierre]],"NA")</f>
        <v>NA</v>
      </c>
      <c r="M784" s="79" t="str">
        <f>IF(Accion[[#This Row],[Precio Cierre]]=MIN(Accion[Precio Cierre]),Accion[[#This Row],[Precio Cierre]],"NA")</f>
        <v>NA</v>
      </c>
    </row>
    <row r="785" spans="1:13" hidden="1">
      <c r="A785" s="38" t="s">
        <v>90</v>
      </c>
      <c r="B785" s="34">
        <v>42473</v>
      </c>
      <c r="C785" s="35">
        <v>712249</v>
      </c>
      <c r="D785" s="35">
        <v>9465369100</v>
      </c>
      <c r="E785" s="35">
        <v>13480</v>
      </c>
      <c r="F785" s="35">
        <v>13000</v>
      </c>
      <c r="G785" s="35">
        <v>13000</v>
      </c>
      <c r="H785" s="35">
        <v>13289.41</v>
      </c>
      <c r="I785" s="35">
        <v>-2.5499999999999998</v>
      </c>
      <c r="J785" s="35">
        <v>-340</v>
      </c>
      <c r="K785" s="71">
        <f>YEAR(Accion[[#This Row],[fecha]])</f>
        <v>2016</v>
      </c>
      <c r="L785" s="79" t="str">
        <f>IF(Accion[[#This Row],[Precio Cierre]]=MAX(Accion[Precio Cierre]),Accion[[#This Row],[Precio Cierre]],"NA")</f>
        <v>NA</v>
      </c>
      <c r="M785" s="79" t="str">
        <f>IF(Accion[[#This Row],[Precio Cierre]]=MIN(Accion[Precio Cierre]),Accion[[#This Row],[Precio Cierre]],"NA")</f>
        <v>NA</v>
      </c>
    </row>
    <row r="786" spans="1:13" hidden="1">
      <c r="A786" s="38" t="s">
        <v>90</v>
      </c>
      <c r="B786" s="34">
        <v>42472</v>
      </c>
      <c r="C786" s="35">
        <v>207863</v>
      </c>
      <c r="D786" s="35">
        <v>2742160720</v>
      </c>
      <c r="E786" s="35">
        <v>13360</v>
      </c>
      <c r="F786" s="35">
        <v>12820</v>
      </c>
      <c r="G786" s="35">
        <v>13340</v>
      </c>
      <c r="H786" s="35">
        <v>13192.15</v>
      </c>
      <c r="I786" s="35">
        <v>1.83</v>
      </c>
      <c r="J786" s="35">
        <v>240</v>
      </c>
      <c r="K786" s="71">
        <f>YEAR(Accion[[#This Row],[fecha]])</f>
        <v>2016</v>
      </c>
      <c r="L786" s="79" t="str">
        <f>IF(Accion[[#This Row],[Precio Cierre]]=MAX(Accion[Precio Cierre]),Accion[[#This Row],[Precio Cierre]],"NA")</f>
        <v>NA</v>
      </c>
      <c r="M786" s="79" t="str">
        <f>IF(Accion[[#This Row],[Precio Cierre]]=MIN(Accion[Precio Cierre]),Accion[[#This Row],[Precio Cierre]],"NA")</f>
        <v>NA</v>
      </c>
    </row>
    <row r="787" spans="1:13" hidden="1">
      <c r="A787" s="38" t="s">
        <v>90</v>
      </c>
      <c r="B787" s="34">
        <v>42471</v>
      </c>
      <c r="C787" s="35">
        <v>140271</v>
      </c>
      <c r="D787" s="35">
        <v>1820352640</v>
      </c>
      <c r="E787" s="35">
        <v>13100</v>
      </c>
      <c r="F787" s="35">
        <v>12820</v>
      </c>
      <c r="G787" s="35">
        <v>13100</v>
      </c>
      <c r="H787" s="35">
        <v>12977.4</v>
      </c>
      <c r="I787" s="35">
        <v>2.34</v>
      </c>
      <c r="J787" s="35">
        <v>300</v>
      </c>
      <c r="K787" s="71">
        <f>YEAR(Accion[[#This Row],[fecha]])</f>
        <v>2016</v>
      </c>
      <c r="L787" s="79" t="str">
        <f>IF(Accion[[#This Row],[Precio Cierre]]=MAX(Accion[Precio Cierre]),Accion[[#This Row],[Precio Cierre]],"NA")</f>
        <v>NA</v>
      </c>
      <c r="M787" s="79" t="str">
        <f>IF(Accion[[#This Row],[Precio Cierre]]=MIN(Accion[Precio Cierre]),Accion[[#This Row],[Precio Cierre]],"NA")</f>
        <v>NA</v>
      </c>
    </row>
    <row r="788" spans="1:13" hidden="1">
      <c r="A788" s="38" t="s">
        <v>90</v>
      </c>
      <c r="B788" s="34">
        <v>42468</v>
      </c>
      <c r="C788" s="35">
        <v>341877</v>
      </c>
      <c r="D788" s="35">
        <v>4389563160</v>
      </c>
      <c r="E788" s="35">
        <v>12980</v>
      </c>
      <c r="F788" s="35">
        <v>12700</v>
      </c>
      <c r="G788" s="35">
        <v>12800</v>
      </c>
      <c r="H788" s="35">
        <v>12839.6</v>
      </c>
      <c r="I788" s="35">
        <v>0.79</v>
      </c>
      <c r="J788" s="35">
        <v>100</v>
      </c>
      <c r="K788" s="71">
        <f>YEAR(Accion[[#This Row],[fecha]])</f>
        <v>2016</v>
      </c>
      <c r="L788" s="79" t="str">
        <f>IF(Accion[[#This Row],[Precio Cierre]]=MAX(Accion[Precio Cierre]),Accion[[#This Row],[Precio Cierre]],"NA")</f>
        <v>NA</v>
      </c>
      <c r="M788" s="79" t="str">
        <f>IF(Accion[[#This Row],[Precio Cierre]]=MIN(Accion[Precio Cierre]),Accion[[#This Row],[Precio Cierre]],"NA")</f>
        <v>NA</v>
      </c>
    </row>
    <row r="789" spans="1:13" hidden="1">
      <c r="A789" s="38" t="s">
        <v>90</v>
      </c>
      <c r="B789" s="34">
        <v>42467</v>
      </c>
      <c r="C789" s="35">
        <v>93652</v>
      </c>
      <c r="D789" s="35">
        <v>1197447880</v>
      </c>
      <c r="E789" s="35">
        <v>12820</v>
      </c>
      <c r="F789" s="35">
        <v>12700</v>
      </c>
      <c r="G789" s="35">
        <v>12700</v>
      </c>
      <c r="H789" s="35">
        <v>12786.14</v>
      </c>
      <c r="I789" s="35">
        <v>-1.24</v>
      </c>
      <c r="J789" s="35">
        <v>-160</v>
      </c>
      <c r="K789" s="71">
        <f>YEAR(Accion[[#This Row],[fecha]])</f>
        <v>2016</v>
      </c>
      <c r="L789" s="79" t="str">
        <f>IF(Accion[[#This Row],[Precio Cierre]]=MAX(Accion[Precio Cierre]),Accion[[#This Row],[Precio Cierre]],"NA")</f>
        <v>NA</v>
      </c>
      <c r="M789" s="79" t="str">
        <f>IF(Accion[[#This Row],[Precio Cierre]]=MIN(Accion[Precio Cierre]),Accion[[#This Row],[Precio Cierre]],"NA")</f>
        <v>NA</v>
      </c>
    </row>
    <row r="790" spans="1:13" hidden="1">
      <c r="A790" s="38" t="s">
        <v>90</v>
      </c>
      <c r="B790" s="34">
        <v>42466</v>
      </c>
      <c r="C790" s="35">
        <v>49659</v>
      </c>
      <c r="D790" s="35">
        <v>635035200</v>
      </c>
      <c r="E790" s="35">
        <v>12860</v>
      </c>
      <c r="F790" s="35">
        <v>12660</v>
      </c>
      <c r="G790" s="35">
        <v>12860</v>
      </c>
      <c r="H790" s="35">
        <v>12787.92</v>
      </c>
      <c r="I790" s="35">
        <v>1.42</v>
      </c>
      <c r="J790" s="35">
        <v>180</v>
      </c>
      <c r="K790" s="71">
        <f>YEAR(Accion[[#This Row],[fecha]])</f>
        <v>2016</v>
      </c>
      <c r="L790" s="79" t="str">
        <f>IF(Accion[[#This Row],[Precio Cierre]]=MAX(Accion[Precio Cierre]),Accion[[#This Row],[Precio Cierre]],"NA")</f>
        <v>NA</v>
      </c>
      <c r="M790" s="79" t="str">
        <f>IF(Accion[[#This Row],[Precio Cierre]]=MIN(Accion[Precio Cierre]),Accion[[#This Row],[Precio Cierre]],"NA")</f>
        <v>NA</v>
      </c>
    </row>
    <row r="791" spans="1:13" hidden="1">
      <c r="A791" s="38" t="s">
        <v>90</v>
      </c>
      <c r="B791" s="34">
        <v>42465</v>
      </c>
      <c r="C791" s="35">
        <v>227636</v>
      </c>
      <c r="D791" s="35">
        <v>2920137800</v>
      </c>
      <c r="E791" s="35">
        <v>12900</v>
      </c>
      <c r="F791" s="35">
        <v>12680</v>
      </c>
      <c r="G791" s="35">
        <v>12680</v>
      </c>
      <c r="H791" s="35">
        <v>12828.1</v>
      </c>
      <c r="I791" s="35">
        <v>-3.06</v>
      </c>
      <c r="J791" s="35">
        <v>-400</v>
      </c>
      <c r="K791" s="71">
        <f>YEAR(Accion[[#This Row],[fecha]])</f>
        <v>2016</v>
      </c>
      <c r="L791" s="79" t="str">
        <f>IF(Accion[[#This Row],[Precio Cierre]]=MAX(Accion[Precio Cierre]),Accion[[#This Row],[Precio Cierre]],"NA")</f>
        <v>NA</v>
      </c>
      <c r="M791" s="79" t="str">
        <f>IF(Accion[[#This Row],[Precio Cierre]]=MIN(Accion[Precio Cierre]),Accion[[#This Row],[Precio Cierre]],"NA")</f>
        <v>NA</v>
      </c>
    </row>
    <row r="792" spans="1:13" hidden="1">
      <c r="A792" s="38" t="s">
        <v>90</v>
      </c>
      <c r="B792" s="34">
        <v>42464</v>
      </c>
      <c r="C792" s="35">
        <v>16304</v>
      </c>
      <c r="D792" s="35">
        <v>213242040</v>
      </c>
      <c r="E792" s="35">
        <v>13120</v>
      </c>
      <c r="F792" s="35">
        <v>13040</v>
      </c>
      <c r="G792" s="35">
        <v>13080</v>
      </c>
      <c r="H792" s="35">
        <v>13079.12</v>
      </c>
      <c r="I792" s="35">
        <v>0.62</v>
      </c>
      <c r="J792" s="35">
        <v>80</v>
      </c>
      <c r="K792" s="71">
        <f>YEAR(Accion[[#This Row],[fecha]])</f>
        <v>2016</v>
      </c>
      <c r="L792" s="79" t="str">
        <f>IF(Accion[[#This Row],[Precio Cierre]]=MAX(Accion[Precio Cierre]),Accion[[#This Row],[Precio Cierre]],"NA")</f>
        <v>NA</v>
      </c>
      <c r="M792" s="79" t="str">
        <f>IF(Accion[[#This Row],[Precio Cierre]]=MIN(Accion[Precio Cierre]),Accion[[#This Row],[Precio Cierre]],"NA")</f>
        <v>NA</v>
      </c>
    </row>
    <row r="793" spans="1:13" hidden="1">
      <c r="A793" s="38" t="s">
        <v>90</v>
      </c>
      <c r="B793" s="34">
        <v>42461</v>
      </c>
      <c r="C793" s="35">
        <v>499977</v>
      </c>
      <c r="D793" s="35">
        <v>6488207720</v>
      </c>
      <c r="E793" s="35">
        <v>13120</v>
      </c>
      <c r="F793" s="35">
        <v>12840</v>
      </c>
      <c r="G793" s="35">
        <v>13000</v>
      </c>
      <c r="H793" s="35">
        <v>12977.01</v>
      </c>
      <c r="I793" s="35">
        <v>0.78</v>
      </c>
      <c r="J793" s="35">
        <v>100</v>
      </c>
      <c r="K793" s="71">
        <f>YEAR(Accion[[#This Row],[fecha]])</f>
        <v>2016</v>
      </c>
      <c r="L793" s="79" t="str">
        <f>IF(Accion[[#This Row],[Precio Cierre]]=MAX(Accion[Precio Cierre]),Accion[[#This Row],[Precio Cierre]],"NA")</f>
        <v>NA</v>
      </c>
      <c r="M793" s="79" t="str">
        <f>IF(Accion[[#This Row],[Precio Cierre]]=MIN(Accion[Precio Cierre]),Accion[[#This Row],[Precio Cierre]],"NA")</f>
        <v>NA</v>
      </c>
    </row>
    <row r="794" spans="1:13" hidden="1">
      <c r="A794" s="38" t="s">
        <v>90</v>
      </c>
      <c r="B794" s="34">
        <v>42460</v>
      </c>
      <c r="C794" s="35">
        <v>278519</v>
      </c>
      <c r="D794" s="35">
        <v>3541411500</v>
      </c>
      <c r="E794" s="35">
        <v>12900</v>
      </c>
      <c r="F794" s="35">
        <v>12320</v>
      </c>
      <c r="G794" s="35">
        <v>12900</v>
      </c>
      <c r="H794" s="35">
        <v>12715.15</v>
      </c>
      <c r="I794" s="35">
        <v>2.54</v>
      </c>
      <c r="J794" s="35">
        <v>320</v>
      </c>
      <c r="K794" s="71">
        <f>YEAR(Accion[[#This Row],[fecha]])</f>
        <v>2016</v>
      </c>
      <c r="L794" s="79" t="str">
        <f>IF(Accion[[#This Row],[Precio Cierre]]=MAX(Accion[Precio Cierre]),Accion[[#This Row],[Precio Cierre]],"NA")</f>
        <v>NA</v>
      </c>
      <c r="M794" s="79" t="str">
        <f>IF(Accion[[#This Row],[Precio Cierre]]=MIN(Accion[Precio Cierre]),Accion[[#This Row],[Precio Cierre]],"NA")</f>
        <v>NA</v>
      </c>
    </row>
    <row r="795" spans="1:13" hidden="1">
      <c r="A795" s="38" t="s">
        <v>90</v>
      </c>
      <c r="B795" s="34">
        <v>42459</v>
      </c>
      <c r="C795" s="35">
        <v>170033</v>
      </c>
      <c r="D795" s="35">
        <v>2115092120</v>
      </c>
      <c r="E795" s="35">
        <v>12580</v>
      </c>
      <c r="F795" s="35">
        <v>12300</v>
      </c>
      <c r="G795" s="35">
        <v>12580</v>
      </c>
      <c r="H795" s="35">
        <v>12439.3</v>
      </c>
      <c r="I795" s="35">
        <v>2.2799999999999998</v>
      </c>
      <c r="J795" s="35">
        <v>280</v>
      </c>
      <c r="K795" s="71">
        <f>YEAR(Accion[[#This Row],[fecha]])</f>
        <v>2016</v>
      </c>
      <c r="L795" s="79" t="str">
        <f>IF(Accion[[#This Row],[Precio Cierre]]=MAX(Accion[Precio Cierre]),Accion[[#This Row],[Precio Cierre]],"NA")</f>
        <v>NA</v>
      </c>
      <c r="M795" s="79" t="str">
        <f>IF(Accion[[#This Row],[Precio Cierre]]=MIN(Accion[Precio Cierre]),Accion[[#This Row],[Precio Cierre]],"NA")</f>
        <v>NA</v>
      </c>
    </row>
    <row r="796" spans="1:13" hidden="1">
      <c r="A796" s="38" t="s">
        <v>90</v>
      </c>
      <c r="B796" s="34">
        <v>42458</v>
      </c>
      <c r="C796" s="35">
        <v>126403</v>
      </c>
      <c r="D796" s="35">
        <v>1557044520</v>
      </c>
      <c r="E796" s="35">
        <v>12460</v>
      </c>
      <c r="F796" s="35">
        <v>12260</v>
      </c>
      <c r="G796" s="35">
        <v>12300</v>
      </c>
      <c r="H796" s="35">
        <v>12318.1</v>
      </c>
      <c r="I796" s="35">
        <v>-1.44</v>
      </c>
      <c r="J796" s="35">
        <v>-180</v>
      </c>
      <c r="K796" s="71">
        <f>YEAR(Accion[[#This Row],[fecha]])</f>
        <v>2016</v>
      </c>
      <c r="L796" s="79" t="str">
        <f>IF(Accion[[#This Row],[Precio Cierre]]=MAX(Accion[Precio Cierre]),Accion[[#This Row],[Precio Cierre]],"NA")</f>
        <v>NA</v>
      </c>
      <c r="M796" s="79" t="str">
        <f>IF(Accion[[#This Row],[Precio Cierre]]=MIN(Accion[Precio Cierre]),Accion[[#This Row],[Precio Cierre]],"NA")</f>
        <v>NA</v>
      </c>
    </row>
    <row r="797" spans="1:13" hidden="1">
      <c r="A797" s="38" t="s">
        <v>90</v>
      </c>
      <c r="B797" s="34">
        <v>42457</v>
      </c>
      <c r="C797" s="35">
        <v>31953</v>
      </c>
      <c r="D797" s="35">
        <v>400176860</v>
      </c>
      <c r="E797" s="35">
        <v>12580</v>
      </c>
      <c r="F797" s="35">
        <v>12300</v>
      </c>
      <c r="G797" s="35">
        <v>12480</v>
      </c>
      <c r="H797" s="35">
        <v>12523.92</v>
      </c>
      <c r="I797" s="35">
        <v>-0.95</v>
      </c>
      <c r="J797" s="35">
        <v>-120</v>
      </c>
      <c r="K797" s="71">
        <f>YEAR(Accion[[#This Row],[fecha]])</f>
        <v>2016</v>
      </c>
      <c r="L797" s="79" t="str">
        <f>IF(Accion[[#This Row],[Precio Cierre]]=MAX(Accion[Precio Cierre]),Accion[[#This Row],[Precio Cierre]],"NA")</f>
        <v>NA</v>
      </c>
      <c r="M797" s="79" t="str">
        <f>IF(Accion[[#This Row],[Precio Cierre]]=MIN(Accion[Precio Cierre]),Accion[[#This Row],[Precio Cierre]],"NA")</f>
        <v>NA</v>
      </c>
    </row>
    <row r="798" spans="1:13" hidden="1">
      <c r="A798" s="38" t="s">
        <v>90</v>
      </c>
      <c r="B798" s="34">
        <v>42452</v>
      </c>
      <c r="C798" s="35">
        <v>168375</v>
      </c>
      <c r="D798" s="35">
        <v>2093489680</v>
      </c>
      <c r="E798" s="35">
        <v>12600</v>
      </c>
      <c r="F798" s="35">
        <v>12300</v>
      </c>
      <c r="G798" s="35">
        <v>12600</v>
      </c>
      <c r="H798" s="35">
        <v>12433.49</v>
      </c>
      <c r="I798" s="35">
        <v>2.61</v>
      </c>
      <c r="J798" s="35">
        <v>320</v>
      </c>
      <c r="K798" s="71">
        <f>YEAR(Accion[[#This Row],[fecha]])</f>
        <v>2016</v>
      </c>
      <c r="L798" s="79" t="str">
        <f>IF(Accion[[#This Row],[Precio Cierre]]=MAX(Accion[Precio Cierre]),Accion[[#This Row],[Precio Cierre]],"NA")</f>
        <v>NA</v>
      </c>
      <c r="M798" s="79" t="str">
        <f>IF(Accion[[#This Row],[Precio Cierre]]=MIN(Accion[Precio Cierre]),Accion[[#This Row],[Precio Cierre]],"NA")</f>
        <v>NA</v>
      </c>
    </row>
    <row r="799" spans="1:13" hidden="1">
      <c r="A799" s="38" t="s">
        <v>90</v>
      </c>
      <c r="B799" s="34">
        <v>42451</v>
      </c>
      <c r="C799" s="35">
        <v>269945</v>
      </c>
      <c r="D799" s="35">
        <v>3248837800</v>
      </c>
      <c r="E799" s="35">
        <v>12280</v>
      </c>
      <c r="F799" s="35">
        <v>11960</v>
      </c>
      <c r="G799" s="35">
        <v>12280</v>
      </c>
      <c r="H799" s="35">
        <v>12035.18</v>
      </c>
      <c r="I799" s="35">
        <v>2.33</v>
      </c>
      <c r="J799" s="35">
        <v>280</v>
      </c>
      <c r="K799" s="71">
        <f>YEAR(Accion[[#This Row],[fecha]])</f>
        <v>2016</v>
      </c>
      <c r="L799" s="79" t="str">
        <f>IF(Accion[[#This Row],[Precio Cierre]]=MAX(Accion[Precio Cierre]),Accion[[#This Row],[Precio Cierre]],"NA")</f>
        <v>NA</v>
      </c>
      <c r="M799" s="79" t="str">
        <f>IF(Accion[[#This Row],[Precio Cierre]]=MIN(Accion[Precio Cierre]),Accion[[#This Row],[Precio Cierre]],"NA")</f>
        <v>NA</v>
      </c>
    </row>
    <row r="800" spans="1:13" hidden="1">
      <c r="A800" s="38" t="s">
        <v>90</v>
      </c>
      <c r="B800" s="34">
        <v>42447</v>
      </c>
      <c r="C800" s="35">
        <v>707668</v>
      </c>
      <c r="D800" s="35">
        <v>8529109560</v>
      </c>
      <c r="E800" s="35">
        <v>12200</v>
      </c>
      <c r="F800" s="35">
        <v>11940</v>
      </c>
      <c r="G800" s="35">
        <v>12000</v>
      </c>
      <c r="H800" s="35">
        <v>12052.42</v>
      </c>
      <c r="I800" s="35">
        <v>0.84</v>
      </c>
      <c r="J800" s="35">
        <v>100</v>
      </c>
      <c r="K800" s="71">
        <f>YEAR(Accion[[#This Row],[fecha]])</f>
        <v>2016</v>
      </c>
      <c r="L800" s="79" t="str">
        <f>IF(Accion[[#This Row],[Precio Cierre]]=MAX(Accion[Precio Cierre]),Accion[[#This Row],[Precio Cierre]],"NA")</f>
        <v>NA</v>
      </c>
      <c r="M800" s="79" t="str">
        <f>IF(Accion[[#This Row],[Precio Cierre]]=MIN(Accion[Precio Cierre]),Accion[[#This Row],[Precio Cierre]],"NA")</f>
        <v>NA</v>
      </c>
    </row>
    <row r="801" spans="1:13" hidden="1">
      <c r="A801" s="38" t="s">
        <v>90</v>
      </c>
      <c r="B801" s="34">
        <v>42446</v>
      </c>
      <c r="C801" s="35">
        <v>175537</v>
      </c>
      <c r="D801" s="35">
        <v>2092012780</v>
      </c>
      <c r="E801" s="35">
        <v>11960</v>
      </c>
      <c r="F801" s="35">
        <v>11880</v>
      </c>
      <c r="G801" s="35">
        <v>11900</v>
      </c>
      <c r="H801" s="35">
        <v>11917.79</v>
      </c>
      <c r="I801" s="35">
        <v>-0.5</v>
      </c>
      <c r="J801" s="35">
        <v>-60</v>
      </c>
      <c r="K801" s="71">
        <f>YEAR(Accion[[#This Row],[fecha]])</f>
        <v>2016</v>
      </c>
      <c r="L801" s="79" t="str">
        <f>IF(Accion[[#This Row],[Precio Cierre]]=MAX(Accion[Precio Cierre]),Accion[[#This Row],[Precio Cierre]],"NA")</f>
        <v>NA</v>
      </c>
      <c r="M801" s="79" t="str">
        <f>IF(Accion[[#This Row],[Precio Cierre]]=MIN(Accion[Precio Cierre]),Accion[[#This Row],[Precio Cierre]],"NA")</f>
        <v>NA</v>
      </c>
    </row>
    <row r="802" spans="1:13" hidden="1">
      <c r="A802" s="38" t="s">
        <v>90</v>
      </c>
      <c r="B802" s="34">
        <v>42445</v>
      </c>
      <c r="C802" s="35">
        <v>69225</v>
      </c>
      <c r="D802" s="35">
        <v>819730420</v>
      </c>
      <c r="E802" s="35">
        <v>11960</v>
      </c>
      <c r="F802" s="35">
        <v>11700</v>
      </c>
      <c r="G802" s="35">
        <v>11960</v>
      </c>
      <c r="H802" s="35">
        <v>11841.54</v>
      </c>
      <c r="I802" s="35">
        <v>-0.33</v>
      </c>
      <c r="J802" s="35">
        <v>-40</v>
      </c>
      <c r="K802" s="71">
        <f>YEAR(Accion[[#This Row],[fecha]])</f>
        <v>2016</v>
      </c>
      <c r="L802" s="79" t="str">
        <f>IF(Accion[[#This Row],[Precio Cierre]]=MAX(Accion[Precio Cierre]),Accion[[#This Row],[Precio Cierre]],"NA")</f>
        <v>NA</v>
      </c>
      <c r="M802" s="79" t="str">
        <f>IF(Accion[[#This Row],[Precio Cierre]]=MIN(Accion[Precio Cierre]),Accion[[#This Row],[Precio Cierre]],"NA")</f>
        <v>NA</v>
      </c>
    </row>
    <row r="803" spans="1:13" hidden="1">
      <c r="A803" s="38" t="s">
        <v>90</v>
      </c>
      <c r="B803" s="34">
        <v>42444</v>
      </c>
      <c r="C803" s="35">
        <v>105306</v>
      </c>
      <c r="D803" s="35">
        <v>1263631280</v>
      </c>
      <c r="E803" s="35">
        <v>12100</v>
      </c>
      <c r="F803" s="35">
        <v>11900</v>
      </c>
      <c r="G803" s="35">
        <v>12000</v>
      </c>
      <c r="H803" s="35">
        <v>11999.61</v>
      </c>
      <c r="I803" s="35">
        <v>0</v>
      </c>
      <c r="J803" s="35">
        <v>0</v>
      </c>
      <c r="K803" s="71">
        <f>YEAR(Accion[[#This Row],[fecha]])</f>
        <v>2016</v>
      </c>
      <c r="L803" s="79" t="str">
        <f>IF(Accion[[#This Row],[Precio Cierre]]=MAX(Accion[Precio Cierre]),Accion[[#This Row],[Precio Cierre]],"NA")</f>
        <v>NA</v>
      </c>
      <c r="M803" s="79" t="str">
        <f>IF(Accion[[#This Row],[Precio Cierre]]=MIN(Accion[Precio Cierre]),Accion[[#This Row],[Precio Cierre]],"NA")</f>
        <v>NA</v>
      </c>
    </row>
    <row r="804" spans="1:13" hidden="1">
      <c r="A804" s="38" t="s">
        <v>90</v>
      </c>
      <c r="B804" s="34">
        <v>42443</v>
      </c>
      <c r="C804" s="35">
        <v>61577</v>
      </c>
      <c r="D804" s="35">
        <v>734416360</v>
      </c>
      <c r="E804" s="35">
        <v>12000</v>
      </c>
      <c r="F804" s="35">
        <v>11840</v>
      </c>
      <c r="G804" s="35">
        <v>12000</v>
      </c>
      <c r="H804" s="35">
        <v>11926.8</v>
      </c>
      <c r="I804" s="35">
        <v>-0.66</v>
      </c>
      <c r="J804" s="35">
        <v>-80</v>
      </c>
      <c r="K804" s="71">
        <f>YEAR(Accion[[#This Row],[fecha]])</f>
        <v>2016</v>
      </c>
      <c r="L804" s="79" t="str">
        <f>IF(Accion[[#This Row],[Precio Cierre]]=MAX(Accion[Precio Cierre]),Accion[[#This Row],[Precio Cierre]],"NA")</f>
        <v>NA</v>
      </c>
      <c r="M804" s="79" t="str">
        <f>IF(Accion[[#This Row],[Precio Cierre]]=MIN(Accion[Precio Cierre]),Accion[[#This Row],[Precio Cierre]],"NA")</f>
        <v>NA</v>
      </c>
    </row>
    <row r="805" spans="1:13" hidden="1">
      <c r="A805" s="38" t="s">
        <v>90</v>
      </c>
      <c r="B805" s="34">
        <v>42440</v>
      </c>
      <c r="C805" s="35">
        <v>207662</v>
      </c>
      <c r="D805" s="35">
        <v>2495024760</v>
      </c>
      <c r="E805" s="35">
        <v>12080</v>
      </c>
      <c r="F805" s="35">
        <v>11960</v>
      </c>
      <c r="G805" s="35">
        <v>12080</v>
      </c>
      <c r="H805" s="35">
        <v>12014.84</v>
      </c>
      <c r="I805" s="35">
        <v>1.51</v>
      </c>
      <c r="J805" s="35">
        <v>180</v>
      </c>
      <c r="K805" s="71">
        <f>YEAR(Accion[[#This Row],[fecha]])</f>
        <v>2016</v>
      </c>
      <c r="L805" s="79" t="str">
        <f>IF(Accion[[#This Row],[Precio Cierre]]=MAX(Accion[Precio Cierre]),Accion[[#This Row],[Precio Cierre]],"NA")</f>
        <v>NA</v>
      </c>
      <c r="M805" s="79" t="str">
        <f>IF(Accion[[#This Row],[Precio Cierre]]=MIN(Accion[Precio Cierre]),Accion[[#This Row],[Precio Cierre]],"NA")</f>
        <v>NA</v>
      </c>
    </row>
    <row r="806" spans="1:13" hidden="1">
      <c r="A806" s="38" t="s">
        <v>90</v>
      </c>
      <c r="B806" s="34">
        <v>42439</v>
      </c>
      <c r="C806" s="35">
        <v>218847</v>
      </c>
      <c r="D806" s="35">
        <v>2586817920</v>
      </c>
      <c r="E806" s="35">
        <v>11900</v>
      </c>
      <c r="F806" s="35">
        <v>11700</v>
      </c>
      <c r="G806" s="35">
        <v>11900</v>
      </c>
      <c r="H806" s="35">
        <v>11820.21</v>
      </c>
      <c r="I806" s="35">
        <v>0</v>
      </c>
      <c r="J806" s="35">
        <v>0</v>
      </c>
      <c r="K806" s="71">
        <f>YEAR(Accion[[#This Row],[fecha]])</f>
        <v>2016</v>
      </c>
      <c r="L806" s="79" t="str">
        <f>IF(Accion[[#This Row],[Precio Cierre]]=MAX(Accion[Precio Cierre]),Accion[[#This Row],[Precio Cierre]],"NA")</f>
        <v>NA</v>
      </c>
      <c r="M806" s="79" t="str">
        <f>IF(Accion[[#This Row],[Precio Cierre]]=MIN(Accion[Precio Cierre]),Accion[[#This Row],[Precio Cierre]],"NA")</f>
        <v>NA</v>
      </c>
    </row>
    <row r="807" spans="1:13" hidden="1">
      <c r="A807" s="38" t="s">
        <v>90</v>
      </c>
      <c r="B807" s="34">
        <v>42438</v>
      </c>
      <c r="C807" s="35">
        <v>369652</v>
      </c>
      <c r="D807" s="35">
        <v>4393935280</v>
      </c>
      <c r="E807" s="35">
        <v>11960</v>
      </c>
      <c r="F807" s="35">
        <v>11820</v>
      </c>
      <c r="G807" s="35">
        <v>11900</v>
      </c>
      <c r="H807" s="35">
        <v>11886.68</v>
      </c>
      <c r="I807" s="35">
        <v>0.85</v>
      </c>
      <c r="J807" s="35">
        <v>100</v>
      </c>
      <c r="K807" s="71">
        <f>YEAR(Accion[[#This Row],[fecha]])</f>
        <v>2016</v>
      </c>
      <c r="L807" s="79" t="str">
        <f>IF(Accion[[#This Row],[Precio Cierre]]=MAX(Accion[Precio Cierre]),Accion[[#This Row],[Precio Cierre]],"NA")</f>
        <v>NA</v>
      </c>
      <c r="M807" s="79" t="str">
        <f>IF(Accion[[#This Row],[Precio Cierre]]=MIN(Accion[Precio Cierre]),Accion[[#This Row],[Precio Cierre]],"NA")</f>
        <v>NA</v>
      </c>
    </row>
    <row r="808" spans="1:13" hidden="1">
      <c r="A808" s="38" t="s">
        <v>90</v>
      </c>
      <c r="B808" s="34">
        <v>42437</v>
      </c>
      <c r="C808" s="35">
        <v>537016</v>
      </c>
      <c r="D808" s="35">
        <v>6303326720</v>
      </c>
      <c r="E808" s="35">
        <v>11840</v>
      </c>
      <c r="F808" s="35">
        <v>11620</v>
      </c>
      <c r="G808" s="35">
        <v>11800</v>
      </c>
      <c r="H808" s="35">
        <v>11737.69</v>
      </c>
      <c r="I808" s="35">
        <v>0.85</v>
      </c>
      <c r="J808" s="35">
        <v>100</v>
      </c>
      <c r="K808" s="71">
        <f>YEAR(Accion[[#This Row],[fecha]])</f>
        <v>2016</v>
      </c>
      <c r="L808" s="79" t="str">
        <f>IF(Accion[[#This Row],[Precio Cierre]]=MAX(Accion[Precio Cierre]),Accion[[#This Row],[Precio Cierre]],"NA")</f>
        <v>NA</v>
      </c>
      <c r="M808" s="79" t="str">
        <f>IF(Accion[[#This Row],[Precio Cierre]]=MIN(Accion[Precio Cierre]),Accion[[#This Row],[Precio Cierre]],"NA")</f>
        <v>NA</v>
      </c>
    </row>
    <row r="809" spans="1:13" hidden="1">
      <c r="A809" s="38" t="s">
        <v>90</v>
      </c>
      <c r="B809" s="34">
        <v>42436</v>
      </c>
      <c r="C809" s="35">
        <v>160988</v>
      </c>
      <c r="D809" s="35">
        <v>1853637840</v>
      </c>
      <c r="E809" s="35">
        <v>11700</v>
      </c>
      <c r="F809" s="35">
        <v>11360</v>
      </c>
      <c r="G809" s="35">
        <v>11700</v>
      </c>
      <c r="H809" s="35">
        <v>11514.14</v>
      </c>
      <c r="I809" s="35">
        <v>1.74</v>
      </c>
      <c r="J809" s="35">
        <v>200</v>
      </c>
      <c r="K809" s="71">
        <f>YEAR(Accion[[#This Row],[fecha]])</f>
        <v>2016</v>
      </c>
      <c r="L809" s="79" t="str">
        <f>IF(Accion[[#This Row],[Precio Cierre]]=MAX(Accion[Precio Cierre]),Accion[[#This Row],[Precio Cierre]],"NA")</f>
        <v>NA</v>
      </c>
      <c r="M809" s="79" t="str">
        <f>IF(Accion[[#This Row],[Precio Cierre]]=MIN(Accion[Precio Cierre]),Accion[[#This Row],[Precio Cierre]],"NA")</f>
        <v>NA</v>
      </c>
    </row>
    <row r="810" spans="1:13" hidden="1">
      <c r="A810" s="38" t="s">
        <v>90</v>
      </c>
      <c r="B810" s="34">
        <v>42433</v>
      </c>
      <c r="C810" s="35">
        <v>187580</v>
      </c>
      <c r="D810" s="35">
        <v>2203004820</v>
      </c>
      <c r="E810" s="35">
        <v>11900</v>
      </c>
      <c r="F810" s="35">
        <v>11500</v>
      </c>
      <c r="G810" s="35">
        <v>11500</v>
      </c>
      <c r="H810" s="35">
        <v>11744.35</v>
      </c>
      <c r="I810" s="35">
        <v>-0.86</v>
      </c>
      <c r="J810" s="35">
        <v>-100</v>
      </c>
      <c r="K810" s="71">
        <f>YEAR(Accion[[#This Row],[fecha]])</f>
        <v>2016</v>
      </c>
      <c r="L810" s="79" t="str">
        <f>IF(Accion[[#This Row],[Precio Cierre]]=MAX(Accion[Precio Cierre]),Accion[[#This Row],[Precio Cierre]],"NA")</f>
        <v>NA</v>
      </c>
      <c r="M810" s="79" t="str">
        <f>IF(Accion[[#This Row],[Precio Cierre]]=MIN(Accion[Precio Cierre]),Accion[[#This Row],[Precio Cierre]],"NA")</f>
        <v>NA</v>
      </c>
    </row>
    <row r="811" spans="1:13" hidden="1">
      <c r="A811" s="38" t="s">
        <v>90</v>
      </c>
      <c r="B811" s="34">
        <v>42432</v>
      </c>
      <c r="C811" s="35">
        <v>311224</v>
      </c>
      <c r="D811" s="35">
        <v>3671954380</v>
      </c>
      <c r="E811" s="35">
        <v>12000</v>
      </c>
      <c r="F811" s="35">
        <v>11580</v>
      </c>
      <c r="G811" s="35">
        <v>11600</v>
      </c>
      <c r="H811" s="35">
        <v>11798.43</v>
      </c>
      <c r="I811" s="35">
        <v>1.22</v>
      </c>
      <c r="J811" s="35">
        <v>140</v>
      </c>
      <c r="K811" s="71">
        <f>YEAR(Accion[[#This Row],[fecha]])</f>
        <v>2016</v>
      </c>
      <c r="L811" s="79" t="str">
        <f>IF(Accion[[#This Row],[Precio Cierre]]=MAX(Accion[Precio Cierre]),Accion[[#This Row],[Precio Cierre]],"NA")</f>
        <v>NA</v>
      </c>
      <c r="M811" s="79" t="str">
        <f>IF(Accion[[#This Row],[Precio Cierre]]=MIN(Accion[Precio Cierre]),Accion[[#This Row],[Precio Cierre]],"NA")</f>
        <v>NA</v>
      </c>
    </row>
    <row r="812" spans="1:13" hidden="1">
      <c r="A812" s="38" t="s">
        <v>90</v>
      </c>
      <c r="B812" s="34">
        <v>42431</v>
      </c>
      <c r="C812" s="35">
        <v>524968</v>
      </c>
      <c r="D812" s="35">
        <v>5966768500</v>
      </c>
      <c r="E812" s="35">
        <v>11500</v>
      </c>
      <c r="F812" s="35">
        <v>11020</v>
      </c>
      <c r="G812" s="35">
        <v>11460</v>
      </c>
      <c r="H812" s="35">
        <v>11365.97</v>
      </c>
      <c r="I812" s="35">
        <v>3.8</v>
      </c>
      <c r="J812" s="35">
        <v>420</v>
      </c>
      <c r="K812" s="71">
        <f>YEAR(Accion[[#This Row],[fecha]])</f>
        <v>2016</v>
      </c>
      <c r="L812" s="79" t="str">
        <f>IF(Accion[[#This Row],[Precio Cierre]]=MAX(Accion[Precio Cierre]),Accion[[#This Row],[Precio Cierre]],"NA")</f>
        <v>NA</v>
      </c>
      <c r="M812" s="79" t="str">
        <f>IF(Accion[[#This Row],[Precio Cierre]]=MIN(Accion[Precio Cierre]),Accion[[#This Row],[Precio Cierre]],"NA")</f>
        <v>NA</v>
      </c>
    </row>
    <row r="813" spans="1:13" hidden="1">
      <c r="A813" s="38" t="s">
        <v>90</v>
      </c>
      <c r="B813" s="34">
        <v>42430</v>
      </c>
      <c r="C813" s="35">
        <v>466124</v>
      </c>
      <c r="D813" s="35">
        <v>5118991640</v>
      </c>
      <c r="E813" s="35">
        <v>11060</v>
      </c>
      <c r="F813" s="35">
        <v>10720</v>
      </c>
      <c r="G813" s="35">
        <v>11040</v>
      </c>
      <c r="H813" s="35">
        <v>10982.04</v>
      </c>
      <c r="I813" s="35">
        <v>2.99</v>
      </c>
      <c r="J813" s="35">
        <v>320</v>
      </c>
      <c r="K813" s="71">
        <f>YEAR(Accion[[#This Row],[fecha]])</f>
        <v>2016</v>
      </c>
      <c r="L813" s="79" t="str">
        <f>IF(Accion[[#This Row],[Precio Cierre]]=MAX(Accion[Precio Cierre]),Accion[[#This Row],[Precio Cierre]],"NA")</f>
        <v>NA</v>
      </c>
      <c r="M813" s="79" t="str">
        <f>IF(Accion[[#This Row],[Precio Cierre]]=MIN(Accion[Precio Cierre]),Accion[[#This Row],[Precio Cierre]],"NA")</f>
        <v>NA</v>
      </c>
    </row>
    <row r="814" spans="1:13" hidden="1">
      <c r="A814" s="38" t="s">
        <v>90</v>
      </c>
      <c r="B814" s="34">
        <v>42429</v>
      </c>
      <c r="C814" s="35">
        <v>48351</v>
      </c>
      <c r="D814" s="35">
        <v>519044560</v>
      </c>
      <c r="E814" s="35">
        <v>10860</v>
      </c>
      <c r="F814" s="35">
        <v>10720</v>
      </c>
      <c r="G814" s="35">
        <v>10720</v>
      </c>
      <c r="H814" s="35">
        <v>10734.93</v>
      </c>
      <c r="I814" s="35">
        <v>0.19</v>
      </c>
      <c r="J814" s="35">
        <v>20</v>
      </c>
      <c r="K814" s="71">
        <f>YEAR(Accion[[#This Row],[fecha]])</f>
        <v>2016</v>
      </c>
      <c r="L814" s="79" t="str">
        <f>IF(Accion[[#This Row],[Precio Cierre]]=MAX(Accion[Precio Cierre]),Accion[[#This Row],[Precio Cierre]],"NA")</f>
        <v>NA</v>
      </c>
      <c r="M814" s="79" t="str">
        <f>IF(Accion[[#This Row],[Precio Cierre]]=MIN(Accion[Precio Cierre]),Accion[[#This Row],[Precio Cierre]],"NA")</f>
        <v>NA</v>
      </c>
    </row>
    <row r="815" spans="1:13" hidden="1">
      <c r="A815" s="38" t="s">
        <v>90</v>
      </c>
      <c r="B815" s="34">
        <v>42426</v>
      </c>
      <c r="C815" s="35">
        <v>404965</v>
      </c>
      <c r="D815" s="35">
        <v>4442317820</v>
      </c>
      <c r="E815" s="35">
        <v>11080</v>
      </c>
      <c r="F815" s="35">
        <v>10700</v>
      </c>
      <c r="G815" s="35">
        <v>10700</v>
      </c>
      <c r="H815" s="35">
        <v>10969.63</v>
      </c>
      <c r="I815" s="35">
        <v>0.38</v>
      </c>
      <c r="J815" s="35">
        <v>40</v>
      </c>
      <c r="K815" s="71">
        <f>YEAR(Accion[[#This Row],[fecha]])</f>
        <v>2016</v>
      </c>
      <c r="L815" s="79" t="str">
        <f>IF(Accion[[#This Row],[Precio Cierre]]=MAX(Accion[Precio Cierre]),Accion[[#This Row],[Precio Cierre]],"NA")</f>
        <v>NA</v>
      </c>
      <c r="M815" s="79" t="str">
        <f>IF(Accion[[#This Row],[Precio Cierre]]=MIN(Accion[Precio Cierre]),Accion[[#This Row],[Precio Cierre]],"NA")</f>
        <v>NA</v>
      </c>
    </row>
    <row r="816" spans="1:13" hidden="1">
      <c r="A816" s="38" t="s">
        <v>90</v>
      </c>
      <c r="B816" s="34">
        <v>42425</v>
      </c>
      <c r="C816" s="35">
        <v>468535</v>
      </c>
      <c r="D816" s="35">
        <v>4955318080</v>
      </c>
      <c r="E816" s="35">
        <v>10720</v>
      </c>
      <c r="F816" s="35">
        <v>10400</v>
      </c>
      <c r="G816" s="35">
        <v>10660</v>
      </c>
      <c r="H816" s="35">
        <v>10576.2</v>
      </c>
      <c r="I816" s="35">
        <v>2.7</v>
      </c>
      <c r="J816" s="35">
        <v>280</v>
      </c>
      <c r="K816" s="71">
        <f>YEAR(Accion[[#This Row],[fecha]])</f>
        <v>2016</v>
      </c>
      <c r="L816" s="79" t="str">
        <f>IF(Accion[[#This Row],[Precio Cierre]]=MAX(Accion[Precio Cierre]),Accion[[#This Row],[Precio Cierre]],"NA")</f>
        <v>NA</v>
      </c>
      <c r="M816" s="79" t="str">
        <f>IF(Accion[[#This Row],[Precio Cierre]]=MIN(Accion[Precio Cierre]),Accion[[#This Row],[Precio Cierre]],"NA")</f>
        <v>NA</v>
      </c>
    </row>
    <row r="817" spans="1:13" hidden="1">
      <c r="A817" s="38" t="s">
        <v>90</v>
      </c>
      <c r="B817" s="34">
        <v>42424</v>
      </c>
      <c r="C817" s="35">
        <v>532511</v>
      </c>
      <c r="D817" s="35">
        <v>5420768000</v>
      </c>
      <c r="E817" s="35">
        <v>10380</v>
      </c>
      <c r="F817" s="35">
        <v>10020</v>
      </c>
      <c r="G817" s="35">
        <v>10380</v>
      </c>
      <c r="H817" s="35">
        <v>10179.64</v>
      </c>
      <c r="I817" s="35">
        <v>3.59</v>
      </c>
      <c r="J817" s="35">
        <v>360</v>
      </c>
      <c r="K817" s="71">
        <f>YEAR(Accion[[#This Row],[fecha]])</f>
        <v>2016</v>
      </c>
      <c r="L817" s="79" t="str">
        <f>IF(Accion[[#This Row],[Precio Cierre]]=MAX(Accion[Precio Cierre]),Accion[[#This Row],[Precio Cierre]],"NA")</f>
        <v>NA</v>
      </c>
      <c r="M817" s="79" t="str">
        <f>IF(Accion[[#This Row],[Precio Cierre]]=MIN(Accion[Precio Cierre]),Accion[[#This Row],[Precio Cierre]],"NA")</f>
        <v>NA</v>
      </c>
    </row>
    <row r="818" spans="1:13" hidden="1">
      <c r="A818" s="38" t="s">
        <v>90</v>
      </c>
      <c r="B818" s="34">
        <v>42423</v>
      </c>
      <c r="C818" s="35">
        <v>256339</v>
      </c>
      <c r="D818" s="35">
        <v>2588443860</v>
      </c>
      <c r="E818" s="35">
        <v>10180</v>
      </c>
      <c r="F818" s="35">
        <v>10020</v>
      </c>
      <c r="G818" s="35">
        <v>10020</v>
      </c>
      <c r="H818" s="35">
        <v>10097.74</v>
      </c>
      <c r="I818" s="35">
        <v>-0.79</v>
      </c>
      <c r="J818" s="35">
        <v>-80</v>
      </c>
      <c r="K818" s="71">
        <f>YEAR(Accion[[#This Row],[fecha]])</f>
        <v>2016</v>
      </c>
      <c r="L818" s="79" t="str">
        <f>IF(Accion[[#This Row],[Precio Cierre]]=MAX(Accion[Precio Cierre]),Accion[[#This Row],[Precio Cierre]],"NA")</f>
        <v>NA</v>
      </c>
      <c r="M818" s="79" t="str">
        <f>IF(Accion[[#This Row],[Precio Cierre]]=MIN(Accion[Precio Cierre]),Accion[[#This Row],[Precio Cierre]],"NA")</f>
        <v>NA</v>
      </c>
    </row>
    <row r="819" spans="1:13" hidden="1">
      <c r="A819" s="38" t="s">
        <v>90</v>
      </c>
      <c r="B819" s="34">
        <v>42422</v>
      </c>
      <c r="C819" s="35">
        <v>632720</v>
      </c>
      <c r="D819" s="35">
        <v>6366384500</v>
      </c>
      <c r="E819" s="35">
        <v>10100</v>
      </c>
      <c r="F819" s="35">
        <v>9940</v>
      </c>
      <c r="G819" s="35">
        <v>10100</v>
      </c>
      <c r="H819" s="35">
        <v>10061.93</v>
      </c>
      <c r="I819" s="35">
        <v>1.41</v>
      </c>
      <c r="J819" s="35">
        <v>140</v>
      </c>
      <c r="K819" s="71">
        <f>YEAR(Accion[[#This Row],[fecha]])</f>
        <v>2016</v>
      </c>
      <c r="L819" s="79" t="str">
        <f>IF(Accion[[#This Row],[Precio Cierre]]=MAX(Accion[Precio Cierre]),Accion[[#This Row],[Precio Cierre]],"NA")</f>
        <v>NA</v>
      </c>
      <c r="M819" s="79" t="str">
        <f>IF(Accion[[#This Row],[Precio Cierre]]=MIN(Accion[Precio Cierre]),Accion[[#This Row],[Precio Cierre]],"NA")</f>
        <v>NA</v>
      </c>
    </row>
    <row r="820" spans="1:13" hidden="1">
      <c r="A820" s="38" t="s">
        <v>90</v>
      </c>
      <c r="B820" s="34">
        <v>42419</v>
      </c>
      <c r="C820" s="35">
        <v>199282</v>
      </c>
      <c r="D820" s="35">
        <v>1987321120</v>
      </c>
      <c r="E820" s="35">
        <v>10000</v>
      </c>
      <c r="F820" s="35">
        <v>9940</v>
      </c>
      <c r="G820" s="35">
        <v>9960</v>
      </c>
      <c r="H820" s="35">
        <v>9972.41</v>
      </c>
      <c r="I820" s="35">
        <v>-0.4</v>
      </c>
      <c r="J820" s="35">
        <v>-40</v>
      </c>
      <c r="K820" s="71">
        <f>YEAR(Accion[[#This Row],[fecha]])</f>
        <v>2016</v>
      </c>
      <c r="L820" s="79" t="str">
        <f>IF(Accion[[#This Row],[Precio Cierre]]=MAX(Accion[Precio Cierre]),Accion[[#This Row],[Precio Cierre]],"NA")</f>
        <v>NA</v>
      </c>
      <c r="M820" s="79" t="str">
        <f>IF(Accion[[#This Row],[Precio Cierre]]=MIN(Accion[Precio Cierre]),Accion[[#This Row],[Precio Cierre]],"NA")</f>
        <v>NA</v>
      </c>
    </row>
    <row r="821" spans="1:13" hidden="1">
      <c r="A821" s="38" t="s">
        <v>90</v>
      </c>
      <c r="B821" s="34">
        <v>42418</v>
      </c>
      <c r="C821" s="35">
        <v>489527</v>
      </c>
      <c r="D821" s="35">
        <v>4913010140</v>
      </c>
      <c r="E821" s="35">
        <v>10180</v>
      </c>
      <c r="F821" s="35">
        <v>9990</v>
      </c>
      <c r="G821" s="35">
        <v>10000</v>
      </c>
      <c r="H821" s="35">
        <v>10036.24</v>
      </c>
      <c r="I821" s="35">
        <v>0</v>
      </c>
      <c r="J821" s="35">
        <v>0</v>
      </c>
      <c r="K821" s="71">
        <f>YEAR(Accion[[#This Row],[fecha]])</f>
        <v>2016</v>
      </c>
      <c r="L821" s="79" t="str">
        <f>IF(Accion[[#This Row],[Precio Cierre]]=MAX(Accion[Precio Cierre]),Accion[[#This Row],[Precio Cierre]],"NA")</f>
        <v>NA</v>
      </c>
      <c r="M821" s="79" t="str">
        <f>IF(Accion[[#This Row],[Precio Cierre]]=MIN(Accion[Precio Cierre]),Accion[[#This Row],[Precio Cierre]],"NA")</f>
        <v>NA</v>
      </c>
    </row>
    <row r="822" spans="1:13" hidden="1">
      <c r="A822" s="38" t="s">
        <v>90</v>
      </c>
      <c r="B822" s="34">
        <v>42417</v>
      </c>
      <c r="C822" s="35">
        <v>342835</v>
      </c>
      <c r="D822" s="35">
        <v>3431134040</v>
      </c>
      <c r="E822" s="35">
        <v>10200</v>
      </c>
      <c r="F822" s="35">
        <v>9740</v>
      </c>
      <c r="G822" s="35">
        <v>10000</v>
      </c>
      <c r="H822" s="35">
        <v>10008.120000000001</v>
      </c>
      <c r="I822" s="35">
        <v>0.1</v>
      </c>
      <c r="J822" s="35">
        <v>10</v>
      </c>
      <c r="K822" s="71">
        <f>YEAR(Accion[[#This Row],[fecha]])</f>
        <v>2016</v>
      </c>
      <c r="L822" s="79" t="str">
        <f>IF(Accion[[#This Row],[Precio Cierre]]=MAX(Accion[Precio Cierre]),Accion[[#This Row],[Precio Cierre]],"NA")</f>
        <v>NA</v>
      </c>
      <c r="M822" s="79" t="str">
        <f>IF(Accion[[#This Row],[Precio Cierre]]=MIN(Accion[Precio Cierre]),Accion[[#This Row],[Precio Cierre]],"NA")</f>
        <v>NA</v>
      </c>
    </row>
    <row r="823" spans="1:13" hidden="1">
      <c r="A823" s="38" t="s">
        <v>90</v>
      </c>
      <c r="B823" s="34">
        <v>42416</v>
      </c>
      <c r="C823" s="35">
        <v>182116</v>
      </c>
      <c r="D823" s="35">
        <v>1819066930</v>
      </c>
      <c r="E823" s="35">
        <v>10100</v>
      </c>
      <c r="F823" s="35">
        <v>9900</v>
      </c>
      <c r="G823" s="35">
        <v>9990</v>
      </c>
      <c r="H823" s="35">
        <v>9988.51</v>
      </c>
      <c r="I823" s="35">
        <v>1.32</v>
      </c>
      <c r="J823" s="35">
        <v>130</v>
      </c>
      <c r="K823" s="71">
        <f>YEAR(Accion[[#This Row],[fecha]])</f>
        <v>2016</v>
      </c>
      <c r="L823" s="79" t="str">
        <f>IF(Accion[[#This Row],[Precio Cierre]]=MAX(Accion[Precio Cierre]),Accion[[#This Row],[Precio Cierre]],"NA")</f>
        <v>NA</v>
      </c>
      <c r="M823" s="79" t="str">
        <f>IF(Accion[[#This Row],[Precio Cierre]]=MIN(Accion[Precio Cierre]),Accion[[#This Row],[Precio Cierre]],"NA")</f>
        <v>NA</v>
      </c>
    </row>
    <row r="824" spans="1:13" hidden="1">
      <c r="A824" s="38" t="s">
        <v>90</v>
      </c>
      <c r="B824" s="34">
        <v>42415</v>
      </c>
      <c r="C824" s="35">
        <v>23515</v>
      </c>
      <c r="D824" s="35">
        <v>231413850</v>
      </c>
      <c r="E824" s="35">
        <v>9860</v>
      </c>
      <c r="F824" s="35">
        <v>9770</v>
      </c>
      <c r="G824" s="35">
        <v>9860</v>
      </c>
      <c r="H824" s="35">
        <v>9841.1200000000008</v>
      </c>
      <c r="I824" s="35">
        <v>0.31</v>
      </c>
      <c r="J824" s="35">
        <v>30</v>
      </c>
      <c r="K824" s="71">
        <f>YEAR(Accion[[#This Row],[fecha]])</f>
        <v>2016</v>
      </c>
      <c r="L824" s="79" t="str">
        <f>IF(Accion[[#This Row],[Precio Cierre]]=MAX(Accion[Precio Cierre]),Accion[[#This Row],[Precio Cierre]],"NA")</f>
        <v>NA</v>
      </c>
      <c r="M824" s="79" t="str">
        <f>IF(Accion[[#This Row],[Precio Cierre]]=MIN(Accion[Precio Cierre]),Accion[[#This Row],[Precio Cierre]],"NA")</f>
        <v>NA</v>
      </c>
    </row>
    <row r="825" spans="1:13" hidden="1">
      <c r="A825" s="38" t="s">
        <v>90</v>
      </c>
      <c r="B825" s="34">
        <v>42412</v>
      </c>
      <c r="C825" s="35">
        <v>126886</v>
      </c>
      <c r="D825" s="35">
        <v>1251537120</v>
      </c>
      <c r="E825" s="35">
        <v>9960</v>
      </c>
      <c r="F825" s="35">
        <v>9800</v>
      </c>
      <c r="G825" s="35">
        <v>9830</v>
      </c>
      <c r="H825" s="35">
        <v>9863.48</v>
      </c>
      <c r="I825" s="35">
        <v>-0.2</v>
      </c>
      <c r="J825" s="35">
        <v>-20</v>
      </c>
      <c r="K825" s="71">
        <f>YEAR(Accion[[#This Row],[fecha]])</f>
        <v>2016</v>
      </c>
      <c r="L825" s="79" t="str">
        <f>IF(Accion[[#This Row],[Precio Cierre]]=MAX(Accion[Precio Cierre]),Accion[[#This Row],[Precio Cierre]],"NA")</f>
        <v>NA</v>
      </c>
      <c r="M825" s="79" t="str">
        <f>IF(Accion[[#This Row],[Precio Cierre]]=MIN(Accion[Precio Cierre]),Accion[[#This Row],[Precio Cierre]],"NA")</f>
        <v>NA</v>
      </c>
    </row>
    <row r="826" spans="1:13" hidden="1">
      <c r="A826" s="38" t="s">
        <v>90</v>
      </c>
      <c r="B826" s="34">
        <v>42411</v>
      </c>
      <c r="C826" s="35">
        <v>83257</v>
      </c>
      <c r="D826" s="35">
        <v>813151300</v>
      </c>
      <c r="E826" s="35">
        <v>9850</v>
      </c>
      <c r="F826" s="35">
        <v>9670</v>
      </c>
      <c r="G826" s="35">
        <v>9850</v>
      </c>
      <c r="H826" s="35">
        <v>9766.76</v>
      </c>
      <c r="I826" s="35">
        <v>1.55</v>
      </c>
      <c r="J826" s="35">
        <v>150</v>
      </c>
      <c r="K826" s="71">
        <f>YEAR(Accion[[#This Row],[fecha]])</f>
        <v>2016</v>
      </c>
      <c r="L826" s="79" t="str">
        <f>IF(Accion[[#This Row],[Precio Cierre]]=MAX(Accion[Precio Cierre]),Accion[[#This Row],[Precio Cierre]],"NA")</f>
        <v>NA</v>
      </c>
      <c r="M826" s="79" t="str">
        <f>IF(Accion[[#This Row],[Precio Cierre]]=MIN(Accion[Precio Cierre]),Accion[[#This Row],[Precio Cierre]],"NA")</f>
        <v>NA</v>
      </c>
    </row>
    <row r="827" spans="1:13" hidden="1">
      <c r="A827" s="38" t="s">
        <v>90</v>
      </c>
      <c r="B827" s="34">
        <v>42410</v>
      </c>
      <c r="C827" s="35">
        <v>295981</v>
      </c>
      <c r="D827" s="35">
        <v>2903229780</v>
      </c>
      <c r="E827" s="35">
        <v>9940</v>
      </c>
      <c r="F827" s="35">
        <v>9700</v>
      </c>
      <c r="G827" s="35">
        <v>9700</v>
      </c>
      <c r="H827" s="35">
        <v>9808.84</v>
      </c>
      <c r="I827" s="35">
        <v>-1.1200000000000001</v>
      </c>
      <c r="J827" s="35">
        <v>-110</v>
      </c>
      <c r="K827" s="71">
        <f>YEAR(Accion[[#This Row],[fecha]])</f>
        <v>2016</v>
      </c>
      <c r="L827" s="79" t="str">
        <f>IF(Accion[[#This Row],[Precio Cierre]]=MAX(Accion[Precio Cierre]),Accion[[#This Row],[Precio Cierre]],"NA")</f>
        <v>NA</v>
      </c>
      <c r="M827" s="79" t="str">
        <f>IF(Accion[[#This Row],[Precio Cierre]]=MIN(Accion[Precio Cierre]),Accion[[#This Row],[Precio Cierre]],"NA")</f>
        <v>NA</v>
      </c>
    </row>
    <row r="828" spans="1:13" hidden="1">
      <c r="A828" s="38" t="s">
        <v>90</v>
      </c>
      <c r="B828" s="34">
        <v>42409</v>
      </c>
      <c r="C828" s="35">
        <v>673457</v>
      </c>
      <c r="D828" s="35">
        <v>6551035140</v>
      </c>
      <c r="E828" s="35">
        <v>9990</v>
      </c>
      <c r="F828" s="35">
        <v>9670</v>
      </c>
      <c r="G828" s="35">
        <v>9810</v>
      </c>
      <c r="H828" s="35">
        <v>9727.4699999999993</v>
      </c>
      <c r="I828" s="35">
        <v>1.45</v>
      </c>
      <c r="J828" s="35">
        <v>140</v>
      </c>
      <c r="K828" s="71">
        <f>YEAR(Accion[[#This Row],[fecha]])</f>
        <v>2016</v>
      </c>
      <c r="L828" s="79" t="str">
        <f>IF(Accion[[#This Row],[Precio Cierre]]=MAX(Accion[Precio Cierre]),Accion[[#This Row],[Precio Cierre]],"NA")</f>
        <v>NA</v>
      </c>
      <c r="M828" s="79" t="str">
        <f>IF(Accion[[#This Row],[Precio Cierre]]=MIN(Accion[Precio Cierre]),Accion[[#This Row],[Precio Cierre]],"NA")</f>
        <v>NA</v>
      </c>
    </row>
    <row r="829" spans="1:13" hidden="1">
      <c r="A829" s="38" t="s">
        <v>90</v>
      </c>
      <c r="B829" s="34">
        <v>42408</v>
      </c>
      <c r="C829" s="35">
        <v>34310</v>
      </c>
      <c r="D829" s="35">
        <v>331077880</v>
      </c>
      <c r="E829" s="35">
        <v>9680</v>
      </c>
      <c r="F829" s="35">
        <v>9470</v>
      </c>
      <c r="G829" s="35">
        <v>9670</v>
      </c>
      <c r="H829" s="35">
        <v>9649.6</v>
      </c>
      <c r="I829" s="35">
        <v>1.1499999999999999</v>
      </c>
      <c r="J829" s="35">
        <v>110</v>
      </c>
      <c r="K829" s="71">
        <f>YEAR(Accion[[#This Row],[fecha]])</f>
        <v>2016</v>
      </c>
      <c r="L829" s="79" t="str">
        <f>IF(Accion[[#This Row],[Precio Cierre]]=MAX(Accion[Precio Cierre]),Accion[[#This Row],[Precio Cierre]],"NA")</f>
        <v>NA</v>
      </c>
      <c r="M829" s="79" t="str">
        <f>IF(Accion[[#This Row],[Precio Cierre]]=MIN(Accion[Precio Cierre]),Accion[[#This Row],[Precio Cierre]],"NA")</f>
        <v>NA</v>
      </c>
    </row>
    <row r="830" spans="1:13" hidden="1">
      <c r="A830" s="38" t="s">
        <v>90</v>
      </c>
      <c r="B830" s="34">
        <v>42405</v>
      </c>
      <c r="C830" s="35">
        <v>385509</v>
      </c>
      <c r="D830" s="35">
        <v>3649096350</v>
      </c>
      <c r="E830" s="35">
        <v>9570</v>
      </c>
      <c r="F830" s="35">
        <v>9380</v>
      </c>
      <c r="G830" s="35">
        <v>9560</v>
      </c>
      <c r="H830" s="35">
        <v>9465.66</v>
      </c>
      <c r="I830" s="35">
        <v>1.92</v>
      </c>
      <c r="J830" s="35">
        <v>180</v>
      </c>
      <c r="K830" s="71">
        <f>YEAR(Accion[[#This Row],[fecha]])</f>
        <v>2016</v>
      </c>
      <c r="L830" s="79" t="str">
        <f>IF(Accion[[#This Row],[Precio Cierre]]=MAX(Accion[Precio Cierre]),Accion[[#This Row],[Precio Cierre]],"NA")</f>
        <v>NA</v>
      </c>
      <c r="M830" s="79" t="str">
        <f>IF(Accion[[#This Row],[Precio Cierre]]=MIN(Accion[Precio Cierre]),Accion[[#This Row],[Precio Cierre]],"NA")</f>
        <v>NA</v>
      </c>
    </row>
    <row r="831" spans="1:13" hidden="1">
      <c r="A831" s="38" t="s">
        <v>90</v>
      </c>
      <c r="B831" s="34">
        <v>42404</v>
      </c>
      <c r="C831" s="35">
        <v>640795</v>
      </c>
      <c r="D831" s="35">
        <v>5977995070</v>
      </c>
      <c r="E831" s="35">
        <v>9400</v>
      </c>
      <c r="F831" s="35">
        <v>9020</v>
      </c>
      <c r="G831" s="35">
        <v>9380</v>
      </c>
      <c r="H831" s="35">
        <v>9329.0300000000007</v>
      </c>
      <c r="I831" s="35">
        <v>0.21</v>
      </c>
      <c r="J831" s="35">
        <v>20</v>
      </c>
      <c r="K831" s="71">
        <f>YEAR(Accion[[#This Row],[fecha]])</f>
        <v>2016</v>
      </c>
      <c r="L831" s="79" t="str">
        <f>IF(Accion[[#This Row],[Precio Cierre]]=MAX(Accion[Precio Cierre]),Accion[[#This Row],[Precio Cierre]],"NA")</f>
        <v>NA</v>
      </c>
      <c r="M831" s="79" t="str">
        <f>IF(Accion[[#This Row],[Precio Cierre]]=MIN(Accion[Precio Cierre]),Accion[[#This Row],[Precio Cierre]],"NA")</f>
        <v>NA</v>
      </c>
    </row>
    <row r="832" spans="1:13" hidden="1">
      <c r="A832" s="38" t="s">
        <v>90</v>
      </c>
      <c r="B832" s="34">
        <v>42403</v>
      </c>
      <c r="C832" s="35">
        <v>495510</v>
      </c>
      <c r="D832" s="35">
        <v>4650537480</v>
      </c>
      <c r="E832" s="35">
        <v>9430</v>
      </c>
      <c r="F832" s="35">
        <v>9360</v>
      </c>
      <c r="G832" s="35">
        <v>9360</v>
      </c>
      <c r="H832" s="35">
        <v>9385.36</v>
      </c>
      <c r="I832" s="35">
        <v>0.11</v>
      </c>
      <c r="J832" s="35">
        <v>10</v>
      </c>
      <c r="K832" s="71">
        <f>YEAR(Accion[[#This Row],[fecha]])</f>
        <v>2016</v>
      </c>
      <c r="L832" s="79" t="str">
        <f>IF(Accion[[#This Row],[Precio Cierre]]=MAX(Accion[Precio Cierre]),Accion[[#This Row],[Precio Cierre]],"NA")</f>
        <v>NA</v>
      </c>
      <c r="M832" s="79" t="str">
        <f>IF(Accion[[#This Row],[Precio Cierre]]=MIN(Accion[Precio Cierre]),Accion[[#This Row],[Precio Cierre]],"NA")</f>
        <v>NA</v>
      </c>
    </row>
    <row r="833" spans="1:13" hidden="1">
      <c r="A833" s="38" t="s">
        <v>90</v>
      </c>
      <c r="B833" s="34">
        <v>42402</v>
      </c>
      <c r="C833" s="35">
        <v>535541</v>
      </c>
      <c r="D833" s="35">
        <v>4994846060</v>
      </c>
      <c r="E833" s="35">
        <v>9700</v>
      </c>
      <c r="F833" s="35">
        <v>9260</v>
      </c>
      <c r="G833" s="35">
        <v>9350</v>
      </c>
      <c r="H833" s="35">
        <v>9326.73</v>
      </c>
      <c r="I833" s="35">
        <v>-3.61</v>
      </c>
      <c r="J833" s="35">
        <v>-350</v>
      </c>
      <c r="K833" s="71">
        <f>YEAR(Accion[[#This Row],[fecha]])</f>
        <v>2016</v>
      </c>
      <c r="L833" s="79" t="str">
        <f>IF(Accion[[#This Row],[Precio Cierre]]=MAX(Accion[Precio Cierre]),Accion[[#This Row],[Precio Cierre]],"NA")</f>
        <v>NA</v>
      </c>
      <c r="M833" s="79" t="str">
        <f>IF(Accion[[#This Row],[Precio Cierre]]=MIN(Accion[Precio Cierre]),Accion[[#This Row],[Precio Cierre]],"NA")</f>
        <v>NA</v>
      </c>
    </row>
    <row r="834" spans="1:13" hidden="1">
      <c r="A834" s="38" t="s">
        <v>90</v>
      </c>
      <c r="B834" s="34">
        <v>42401</v>
      </c>
      <c r="C834" s="35">
        <v>38052</v>
      </c>
      <c r="D834" s="35">
        <v>372075760</v>
      </c>
      <c r="E834" s="35">
        <v>9850</v>
      </c>
      <c r="F834" s="35">
        <v>9700</v>
      </c>
      <c r="G834" s="35">
        <v>9700</v>
      </c>
      <c r="H834" s="35">
        <v>9778.09</v>
      </c>
      <c r="I834" s="35">
        <v>0</v>
      </c>
      <c r="J834" s="35">
        <v>0</v>
      </c>
      <c r="K834" s="71">
        <f>YEAR(Accion[[#This Row],[fecha]])</f>
        <v>2016</v>
      </c>
      <c r="L834" s="79" t="str">
        <f>IF(Accion[[#This Row],[Precio Cierre]]=MAX(Accion[Precio Cierre]),Accion[[#This Row],[Precio Cierre]],"NA")</f>
        <v>NA</v>
      </c>
      <c r="M834" s="79" t="str">
        <f>IF(Accion[[#This Row],[Precio Cierre]]=MIN(Accion[Precio Cierre]),Accion[[#This Row],[Precio Cierre]],"NA")</f>
        <v>NA</v>
      </c>
    </row>
    <row r="835" spans="1:13" hidden="1">
      <c r="A835" s="38" t="s">
        <v>90</v>
      </c>
      <c r="B835" s="34">
        <v>42398</v>
      </c>
      <c r="C835" s="35">
        <v>340628</v>
      </c>
      <c r="D835" s="35">
        <v>3327643560</v>
      </c>
      <c r="E835" s="35">
        <v>10020</v>
      </c>
      <c r="F835" s="35">
        <v>9700</v>
      </c>
      <c r="G835" s="35">
        <v>9700</v>
      </c>
      <c r="H835" s="35">
        <v>9769.14</v>
      </c>
      <c r="I835" s="35">
        <v>-3</v>
      </c>
      <c r="J835" s="35">
        <v>-300</v>
      </c>
      <c r="K835" s="71">
        <f>YEAR(Accion[[#This Row],[fecha]])</f>
        <v>2016</v>
      </c>
      <c r="L835" s="79" t="str">
        <f>IF(Accion[[#This Row],[Precio Cierre]]=MAX(Accion[Precio Cierre]),Accion[[#This Row],[Precio Cierre]],"NA")</f>
        <v>NA</v>
      </c>
      <c r="M835" s="79" t="str">
        <f>IF(Accion[[#This Row],[Precio Cierre]]=MIN(Accion[Precio Cierre]),Accion[[#This Row],[Precio Cierre]],"NA")</f>
        <v>NA</v>
      </c>
    </row>
    <row r="836" spans="1:13" hidden="1">
      <c r="A836" s="38" t="s">
        <v>90</v>
      </c>
      <c r="B836" s="34">
        <v>42397</v>
      </c>
      <c r="C836" s="35">
        <v>215559</v>
      </c>
      <c r="D836" s="35">
        <v>2157453480</v>
      </c>
      <c r="E836" s="35">
        <v>10140</v>
      </c>
      <c r="F836" s="35">
        <v>10000</v>
      </c>
      <c r="G836" s="35">
        <v>10000</v>
      </c>
      <c r="H836" s="35">
        <v>10008.64</v>
      </c>
      <c r="I836" s="35">
        <v>-0.2</v>
      </c>
      <c r="J836" s="35">
        <v>-20</v>
      </c>
      <c r="K836" s="71">
        <f>YEAR(Accion[[#This Row],[fecha]])</f>
        <v>2016</v>
      </c>
      <c r="L836" s="79" t="str">
        <f>IF(Accion[[#This Row],[Precio Cierre]]=MAX(Accion[Precio Cierre]),Accion[[#This Row],[Precio Cierre]],"NA")</f>
        <v>NA</v>
      </c>
      <c r="M836" s="79" t="str">
        <f>IF(Accion[[#This Row],[Precio Cierre]]=MIN(Accion[Precio Cierre]),Accion[[#This Row],[Precio Cierre]],"NA")</f>
        <v>NA</v>
      </c>
    </row>
    <row r="837" spans="1:13" hidden="1">
      <c r="A837" s="38" t="s">
        <v>90</v>
      </c>
      <c r="B837" s="34">
        <v>42396</v>
      </c>
      <c r="C837" s="35">
        <v>100577</v>
      </c>
      <c r="D837" s="35">
        <v>1015375740</v>
      </c>
      <c r="E837" s="35">
        <v>10260</v>
      </c>
      <c r="F837" s="35">
        <v>10000</v>
      </c>
      <c r="G837" s="35">
        <v>10020</v>
      </c>
      <c r="H837" s="35">
        <v>10095.51</v>
      </c>
      <c r="I837" s="35">
        <v>-1.38</v>
      </c>
      <c r="J837" s="35">
        <v>-140</v>
      </c>
      <c r="K837" s="71">
        <f>YEAR(Accion[[#This Row],[fecha]])</f>
        <v>2016</v>
      </c>
      <c r="L837" s="79" t="str">
        <f>IF(Accion[[#This Row],[Precio Cierre]]=MAX(Accion[Precio Cierre]),Accion[[#This Row],[Precio Cierre]],"NA")</f>
        <v>NA</v>
      </c>
      <c r="M837" s="79" t="str">
        <f>IF(Accion[[#This Row],[Precio Cierre]]=MIN(Accion[Precio Cierre]),Accion[[#This Row],[Precio Cierre]],"NA")</f>
        <v>NA</v>
      </c>
    </row>
    <row r="838" spans="1:13" hidden="1">
      <c r="A838" s="38" t="s">
        <v>90</v>
      </c>
      <c r="B838" s="34">
        <v>42395</v>
      </c>
      <c r="C838" s="35">
        <v>101484</v>
      </c>
      <c r="D838" s="35">
        <v>1036742660</v>
      </c>
      <c r="E838" s="35">
        <v>10300</v>
      </c>
      <c r="F838" s="35">
        <v>10160</v>
      </c>
      <c r="G838" s="35">
        <v>10160</v>
      </c>
      <c r="H838" s="35">
        <v>10215.82</v>
      </c>
      <c r="I838" s="35">
        <v>0.59</v>
      </c>
      <c r="J838" s="35">
        <v>60</v>
      </c>
      <c r="K838" s="71">
        <f>YEAR(Accion[[#This Row],[fecha]])</f>
        <v>2016</v>
      </c>
      <c r="L838" s="79" t="str">
        <f>IF(Accion[[#This Row],[Precio Cierre]]=MAX(Accion[Precio Cierre]),Accion[[#This Row],[Precio Cierre]],"NA")</f>
        <v>NA</v>
      </c>
      <c r="M838" s="79" t="str">
        <f>IF(Accion[[#This Row],[Precio Cierre]]=MIN(Accion[Precio Cierre]),Accion[[#This Row],[Precio Cierre]],"NA")</f>
        <v>NA</v>
      </c>
    </row>
    <row r="839" spans="1:13" hidden="1">
      <c r="A839" s="38" t="s">
        <v>90</v>
      </c>
      <c r="B839" s="34">
        <v>42394</v>
      </c>
      <c r="C839" s="35">
        <v>94176</v>
      </c>
      <c r="D839" s="35">
        <v>959118000</v>
      </c>
      <c r="E839" s="35">
        <v>10200</v>
      </c>
      <c r="F839" s="35">
        <v>10080</v>
      </c>
      <c r="G839" s="35">
        <v>10100</v>
      </c>
      <c r="H839" s="35">
        <v>10184.31</v>
      </c>
      <c r="I839" s="35">
        <v>-2.13</v>
      </c>
      <c r="J839" s="35">
        <v>-220</v>
      </c>
      <c r="K839" s="71">
        <f>YEAR(Accion[[#This Row],[fecha]])</f>
        <v>2016</v>
      </c>
      <c r="L839" s="79" t="str">
        <f>IF(Accion[[#This Row],[Precio Cierre]]=MAX(Accion[Precio Cierre]),Accion[[#This Row],[Precio Cierre]],"NA")</f>
        <v>NA</v>
      </c>
      <c r="M839" s="79" t="str">
        <f>IF(Accion[[#This Row],[Precio Cierre]]=MIN(Accion[Precio Cierre]),Accion[[#This Row],[Precio Cierre]],"NA")</f>
        <v>NA</v>
      </c>
    </row>
    <row r="840" spans="1:13" hidden="1">
      <c r="A840" s="38" t="s">
        <v>90</v>
      </c>
      <c r="B840" s="34">
        <v>42391</v>
      </c>
      <c r="C840" s="35">
        <v>81392</v>
      </c>
      <c r="D840" s="35">
        <v>833162780</v>
      </c>
      <c r="E840" s="35">
        <v>10340</v>
      </c>
      <c r="F840" s="35">
        <v>10100</v>
      </c>
      <c r="G840" s="35">
        <v>10320</v>
      </c>
      <c r="H840" s="35">
        <v>10236.42</v>
      </c>
      <c r="I840" s="35">
        <v>2.58</v>
      </c>
      <c r="J840" s="35">
        <v>260</v>
      </c>
      <c r="K840" s="71">
        <f>YEAR(Accion[[#This Row],[fecha]])</f>
        <v>2016</v>
      </c>
      <c r="L840" s="79" t="str">
        <f>IF(Accion[[#This Row],[Precio Cierre]]=MAX(Accion[Precio Cierre]),Accion[[#This Row],[Precio Cierre]],"NA")</f>
        <v>NA</v>
      </c>
      <c r="M840" s="79" t="str">
        <f>IF(Accion[[#This Row],[Precio Cierre]]=MIN(Accion[Precio Cierre]),Accion[[#This Row],[Precio Cierre]],"NA")</f>
        <v>NA</v>
      </c>
    </row>
    <row r="841" spans="1:13" hidden="1">
      <c r="A841" s="38" t="s">
        <v>90</v>
      </c>
      <c r="B841" s="34">
        <v>42390</v>
      </c>
      <c r="C841" s="35">
        <v>218459</v>
      </c>
      <c r="D841" s="35">
        <v>2222963960</v>
      </c>
      <c r="E841" s="35">
        <v>10220</v>
      </c>
      <c r="F841" s="35">
        <v>10060</v>
      </c>
      <c r="G841" s="35">
        <v>10060</v>
      </c>
      <c r="H841" s="35">
        <v>10175.66</v>
      </c>
      <c r="I841" s="35">
        <v>-1.18</v>
      </c>
      <c r="J841" s="35">
        <v>-120</v>
      </c>
      <c r="K841" s="71">
        <f>YEAR(Accion[[#This Row],[fecha]])</f>
        <v>2016</v>
      </c>
      <c r="L841" s="79" t="str">
        <f>IF(Accion[[#This Row],[Precio Cierre]]=MAX(Accion[Precio Cierre]),Accion[[#This Row],[Precio Cierre]],"NA")</f>
        <v>NA</v>
      </c>
      <c r="M841" s="79" t="str">
        <f>IF(Accion[[#This Row],[Precio Cierre]]=MIN(Accion[Precio Cierre]),Accion[[#This Row],[Precio Cierre]],"NA")</f>
        <v>NA</v>
      </c>
    </row>
    <row r="842" spans="1:13" hidden="1">
      <c r="A842" s="38" t="s">
        <v>90</v>
      </c>
      <c r="B842" s="34">
        <v>42389</v>
      </c>
      <c r="C842" s="35">
        <v>311156</v>
      </c>
      <c r="D842" s="35">
        <v>3150076000</v>
      </c>
      <c r="E842" s="35">
        <v>10240</v>
      </c>
      <c r="F842" s="35">
        <v>10000</v>
      </c>
      <c r="G842" s="35">
        <v>10180</v>
      </c>
      <c r="H842" s="35">
        <v>10123.780000000001</v>
      </c>
      <c r="I842" s="35">
        <v>-0.59</v>
      </c>
      <c r="J842" s="35">
        <v>-60</v>
      </c>
      <c r="K842" s="71">
        <f>YEAR(Accion[[#This Row],[fecha]])</f>
        <v>2016</v>
      </c>
      <c r="L842" s="79" t="str">
        <f>IF(Accion[[#This Row],[Precio Cierre]]=MAX(Accion[Precio Cierre]),Accion[[#This Row],[Precio Cierre]],"NA")</f>
        <v>NA</v>
      </c>
      <c r="M842" s="79" t="str">
        <f>IF(Accion[[#This Row],[Precio Cierre]]=MIN(Accion[Precio Cierre]),Accion[[#This Row],[Precio Cierre]],"NA")</f>
        <v>NA</v>
      </c>
    </row>
    <row r="843" spans="1:13" hidden="1">
      <c r="A843" s="38" t="s">
        <v>90</v>
      </c>
      <c r="B843" s="34">
        <v>42388</v>
      </c>
      <c r="C843" s="35">
        <v>178153</v>
      </c>
      <c r="D843" s="35">
        <v>1827503300</v>
      </c>
      <c r="E843" s="35">
        <v>10300</v>
      </c>
      <c r="F843" s="35">
        <v>10200</v>
      </c>
      <c r="G843" s="35">
        <v>10240</v>
      </c>
      <c r="H843" s="35">
        <v>10258.06</v>
      </c>
      <c r="I843" s="35">
        <v>1.39</v>
      </c>
      <c r="J843" s="35">
        <v>140</v>
      </c>
      <c r="K843" s="71">
        <f>YEAR(Accion[[#This Row],[fecha]])</f>
        <v>2016</v>
      </c>
      <c r="L843" s="79" t="str">
        <f>IF(Accion[[#This Row],[Precio Cierre]]=MAX(Accion[Precio Cierre]),Accion[[#This Row],[Precio Cierre]],"NA")</f>
        <v>NA</v>
      </c>
      <c r="M843" s="79" t="str">
        <f>IF(Accion[[#This Row],[Precio Cierre]]=MIN(Accion[Precio Cierre]),Accion[[#This Row],[Precio Cierre]],"NA")</f>
        <v>NA</v>
      </c>
    </row>
    <row r="844" spans="1:13" hidden="1">
      <c r="A844" s="38" t="s">
        <v>90</v>
      </c>
      <c r="B844" s="34">
        <v>42387</v>
      </c>
      <c r="C844" s="35">
        <v>3243</v>
      </c>
      <c r="D844" s="35">
        <v>32754300</v>
      </c>
      <c r="E844" s="35">
        <v>10100</v>
      </c>
      <c r="F844" s="35">
        <v>10100</v>
      </c>
      <c r="G844" s="35">
        <v>10100</v>
      </c>
      <c r="H844" s="35">
        <v>10100</v>
      </c>
      <c r="I844" s="35">
        <v>-1.94</v>
      </c>
      <c r="J844" s="35">
        <v>-200</v>
      </c>
      <c r="K844" s="71">
        <f>YEAR(Accion[[#This Row],[fecha]])</f>
        <v>2016</v>
      </c>
      <c r="L844" s="79" t="str">
        <f>IF(Accion[[#This Row],[Precio Cierre]]=MAX(Accion[Precio Cierre]),Accion[[#This Row],[Precio Cierre]],"NA")</f>
        <v>NA</v>
      </c>
      <c r="M844" s="79" t="str">
        <f>IF(Accion[[#This Row],[Precio Cierre]]=MIN(Accion[Precio Cierre]),Accion[[#This Row],[Precio Cierre]],"NA")</f>
        <v>NA</v>
      </c>
    </row>
    <row r="845" spans="1:13" hidden="1">
      <c r="A845" s="38" t="s">
        <v>90</v>
      </c>
      <c r="B845" s="34">
        <v>42384</v>
      </c>
      <c r="C845" s="35">
        <v>38462</v>
      </c>
      <c r="D845" s="35">
        <v>394153200</v>
      </c>
      <c r="E845" s="35">
        <v>10320</v>
      </c>
      <c r="F845" s="35">
        <v>10200</v>
      </c>
      <c r="G845" s="35">
        <v>10300</v>
      </c>
      <c r="H845" s="35">
        <v>10247.86</v>
      </c>
      <c r="I845" s="35">
        <v>-0.77</v>
      </c>
      <c r="J845" s="35">
        <v>-80</v>
      </c>
      <c r="K845" s="71">
        <f>YEAR(Accion[[#This Row],[fecha]])</f>
        <v>2016</v>
      </c>
      <c r="L845" s="79" t="str">
        <f>IF(Accion[[#This Row],[Precio Cierre]]=MAX(Accion[Precio Cierre]),Accion[[#This Row],[Precio Cierre]],"NA")</f>
        <v>NA</v>
      </c>
      <c r="M845" s="79" t="str">
        <f>IF(Accion[[#This Row],[Precio Cierre]]=MIN(Accion[Precio Cierre]),Accion[[#This Row],[Precio Cierre]],"NA")</f>
        <v>NA</v>
      </c>
    </row>
    <row r="846" spans="1:13" hidden="1">
      <c r="A846" s="38" t="s">
        <v>90</v>
      </c>
      <c r="B846" s="34">
        <v>42383</v>
      </c>
      <c r="C846" s="35">
        <v>53522</v>
      </c>
      <c r="D846" s="35">
        <v>553156620</v>
      </c>
      <c r="E846" s="35">
        <v>10380</v>
      </c>
      <c r="F846" s="35">
        <v>10180</v>
      </c>
      <c r="G846" s="35">
        <v>10380</v>
      </c>
      <c r="H846" s="35">
        <v>10335.129999999999</v>
      </c>
      <c r="I846" s="35">
        <v>1.96</v>
      </c>
      <c r="J846" s="35">
        <v>200</v>
      </c>
      <c r="K846" s="71">
        <f>YEAR(Accion[[#This Row],[fecha]])</f>
        <v>2016</v>
      </c>
      <c r="L846" s="79" t="str">
        <f>IF(Accion[[#This Row],[Precio Cierre]]=MAX(Accion[Precio Cierre]),Accion[[#This Row],[Precio Cierre]],"NA")</f>
        <v>NA</v>
      </c>
      <c r="M846" s="79" t="str">
        <f>IF(Accion[[#This Row],[Precio Cierre]]=MIN(Accion[Precio Cierre]),Accion[[#This Row],[Precio Cierre]],"NA")</f>
        <v>NA</v>
      </c>
    </row>
    <row r="847" spans="1:13" hidden="1">
      <c r="A847" s="38" t="s">
        <v>90</v>
      </c>
      <c r="B847" s="34">
        <v>42382</v>
      </c>
      <c r="C847" s="35">
        <v>211608</v>
      </c>
      <c r="D847" s="35">
        <v>2153492380</v>
      </c>
      <c r="E847" s="35">
        <v>10220</v>
      </c>
      <c r="F847" s="35">
        <v>10020</v>
      </c>
      <c r="G847" s="35">
        <v>10180</v>
      </c>
      <c r="H847" s="35">
        <v>10176.799999999999</v>
      </c>
      <c r="I847" s="35">
        <v>1.8</v>
      </c>
      <c r="J847" s="35">
        <v>180</v>
      </c>
      <c r="K847" s="71">
        <f>YEAR(Accion[[#This Row],[fecha]])</f>
        <v>2016</v>
      </c>
      <c r="L847" s="79" t="str">
        <f>IF(Accion[[#This Row],[Precio Cierre]]=MAX(Accion[Precio Cierre]),Accion[[#This Row],[Precio Cierre]],"NA")</f>
        <v>NA</v>
      </c>
      <c r="M847" s="79" t="str">
        <f>IF(Accion[[#This Row],[Precio Cierre]]=MIN(Accion[Precio Cierre]),Accion[[#This Row],[Precio Cierre]],"NA")</f>
        <v>NA</v>
      </c>
    </row>
    <row r="848" spans="1:13" hidden="1">
      <c r="A848" s="38" t="s">
        <v>90</v>
      </c>
      <c r="B848" s="34">
        <v>42381</v>
      </c>
      <c r="C848" s="35">
        <v>316843</v>
      </c>
      <c r="D848" s="35">
        <v>3177188980</v>
      </c>
      <c r="E848" s="35">
        <v>10140</v>
      </c>
      <c r="F848" s="35">
        <v>9960</v>
      </c>
      <c r="G848" s="35">
        <v>10000</v>
      </c>
      <c r="H848" s="35">
        <v>10027.64</v>
      </c>
      <c r="I848" s="35">
        <v>-2.91</v>
      </c>
      <c r="J848" s="35">
        <v>-300</v>
      </c>
      <c r="K848" s="71">
        <f>YEAR(Accion[[#This Row],[fecha]])</f>
        <v>2016</v>
      </c>
      <c r="L848" s="79" t="str">
        <f>IF(Accion[[#This Row],[Precio Cierre]]=MAX(Accion[Precio Cierre]),Accion[[#This Row],[Precio Cierre]],"NA")</f>
        <v>NA</v>
      </c>
      <c r="M848" s="79" t="str">
        <f>IF(Accion[[#This Row],[Precio Cierre]]=MIN(Accion[Precio Cierre]),Accion[[#This Row],[Precio Cierre]],"NA")</f>
        <v>NA</v>
      </c>
    </row>
    <row r="849" spans="1:13" hidden="1">
      <c r="A849" s="38" t="s">
        <v>90</v>
      </c>
      <c r="B849" s="34">
        <v>42377</v>
      </c>
      <c r="C849" s="35">
        <v>747819</v>
      </c>
      <c r="D849" s="35">
        <v>7631485380</v>
      </c>
      <c r="E849" s="35">
        <v>10300</v>
      </c>
      <c r="F849" s="35">
        <v>10100</v>
      </c>
      <c r="G849" s="35">
        <v>10300</v>
      </c>
      <c r="H849" s="35">
        <v>10204.99</v>
      </c>
      <c r="I849" s="35">
        <v>1.98</v>
      </c>
      <c r="J849" s="35">
        <v>200</v>
      </c>
      <c r="K849" s="71">
        <f>YEAR(Accion[[#This Row],[fecha]])</f>
        <v>2016</v>
      </c>
      <c r="L849" s="79" t="str">
        <f>IF(Accion[[#This Row],[Precio Cierre]]=MAX(Accion[Precio Cierre]),Accion[[#This Row],[Precio Cierre]],"NA")</f>
        <v>NA</v>
      </c>
      <c r="M849" s="79" t="str">
        <f>IF(Accion[[#This Row],[Precio Cierre]]=MIN(Accion[Precio Cierre]),Accion[[#This Row],[Precio Cierre]],"NA")</f>
        <v>NA</v>
      </c>
    </row>
    <row r="850" spans="1:13" hidden="1">
      <c r="A850" s="38" t="s">
        <v>90</v>
      </c>
      <c r="B850" s="34">
        <v>42376</v>
      </c>
      <c r="C850" s="35">
        <v>277103</v>
      </c>
      <c r="D850" s="35">
        <v>2794048100</v>
      </c>
      <c r="E850" s="35">
        <v>10300</v>
      </c>
      <c r="F850" s="35">
        <v>10040</v>
      </c>
      <c r="G850" s="35">
        <v>10100</v>
      </c>
      <c r="H850" s="35">
        <v>10083.07</v>
      </c>
      <c r="I850" s="35">
        <v>-2.88</v>
      </c>
      <c r="J850" s="35">
        <v>-300</v>
      </c>
      <c r="K850" s="71">
        <f>YEAR(Accion[[#This Row],[fecha]])</f>
        <v>2016</v>
      </c>
      <c r="L850" s="79" t="str">
        <f>IF(Accion[[#This Row],[Precio Cierre]]=MAX(Accion[Precio Cierre]),Accion[[#This Row],[Precio Cierre]],"NA")</f>
        <v>NA</v>
      </c>
      <c r="M850" s="79" t="str">
        <f>IF(Accion[[#This Row],[Precio Cierre]]=MIN(Accion[Precio Cierre]),Accion[[#This Row],[Precio Cierre]],"NA")</f>
        <v>NA</v>
      </c>
    </row>
    <row r="851" spans="1:13" hidden="1">
      <c r="A851" s="38" t="s">
        <v>90</v>
      </c>
      <c r="B851" s="34">
        <v>42375</v>
      </c>
      <c r="C851" s="35">
        <v>103837</v>
      </c>
      <c r="D851" s="35">
        <v>1073319600</v>
      </c>
      <c r="E851" s="35">
        <v>10420</v>
      </c>
      <c r="F851" s="35">
        <v>10100</v>
      </c>
      <c r="G851" s="35">
        <v>10400</v>
      </c>
      <c r="H851" s="35">
        <v>10336.58</v>
      </c>
      <c r="I851" s="35">
        <v>0</v>
      </c>
      <c r="J851" s="35">
        <v>0</v>
      </c>
      <c r="K851" s="71">
        <f>YEAR(Accion[[#This Row],[fecha]])</f>
        <v>2016</v>
      </c>
      <c r="L851" s="79" t="str">
        <f>IF(Accion[[#This Row],[Precio Cierre]]=MAX(Accion[Precio Cierre]),Accion[[#This Row],[Precio Cierre]],"NA")</f>
        <v>NA</v>
      </c>
      <c r="M851" s="79" t="str">
        <f>IF(Accion[[#This Row],[Precio Cierre]]=MIN(Accion[Precio Cierre]),Accion[[#This Row],[Precio Cierre]],"NA")</f>
        <v>NA</v>
      </c>
    </row>
    <row r="852" spans="1:13" hidden="1">
      <c r="A852" s="38" t="s">
        <v>90</v>
      </c>
      <c r="B852" s="34">
        <v>42374</v>
      </c>
      <c r="C852" s="35">
        <v>11156</v>
      </c>
      <c r="D852" s="35">
        <v>116022400</v>
      </c>
      <c r="E852" s="35">
        <v>10400</v>
      </c>
      <c r="F852" s="35">
        <v>10400</v>
      </c>
      <c r="G852" s="35">
        <v>10400</v>
      </c>
      <c r="H852" s="35">
        <v>10400</v>
      </c>
      <c r="I852" s="35">
        <v>-0.38</v>
      </c>
      <c r="J852" s="35">
        <v>-40</v>
      </c>
      <c r="K852" s="71">
        <f>YEAR(Accion[[#This Row],[fecha]])</f>
        <v>2016</v>
      </c>
      <c r="L852" s="79" t="str">
        <f>IF(Accion[[#This Row],[Precio Cierre]]=MAX(Accion[Precio Cierre]),Accion[[#This Row],[Precio Cierre]],"NA")</f>
        <v>NA</v>
      </c>
      <c r="M852" s="79" t="str">
        <f>IF(Accion[[#This Row],[Precio Cierre]]=MIN(Accion[Precio Cierre]),Accion[[#This Row],[Precio Cierre]],"NA")</f>
        <v>NA</v>
      </c>
    </row>
    <row r="853" spans="1:13" hidden="1">
      <c r="A853" s="38" t="s">
        <v>90</v>
      </c>
      <c r="B853" s="34">
        <v>42373</v>
      </c>
      <c r="C853" s="35">
        <v>119387</v>
      </c>
      <c r="D853" s="35">
        <v>1240059040</v>
      </c>
      <c r="E853" s="35">
        <v>10460</v>
      </c>
      <c r="F853" s="35">
        <v>10300</v>
      </c>
      <c r="G853" s="35">
        <v>10440</v>
      </c>
      <c r="H853" s="35">
        <v>10386.89</v>
      </c>
      <c r="I853" s="35">
        <v>1.36</v>
      </c>
      <c r="J853" s="35">
        <v>140</v>
      </c>
      <c r="K853" s="71">
        <f>YEAR(Accion[[#This Row],[fecha]])</f>
        <v>2016</v>
      </c>
      <c r="L853" s="79" t="str">
        <f>IF(Accion[[#This Row],[Precio Cierre]]=MAX(Accion[Precio Cierre]),Accion[[#This Row],[Precio Cierre]],"NA")</f>
        <v>NA</v>
      </c>
      <c r="M853" s="79" t="str">
        <f>IF(Accion[[#This Row],[Precio Cierre]]=MIN(Accion[Precio Cierre]),Accion[[#This Row],[Precio Cierre]],"NA")</f>
        <v>NA</v>
      </c>
    </row>
    <row r="854" spans="1:13" hidden="1">
      <c r="A854" s="38" t="s">
        <v>90</v>
      </c>
      <c r="B854" s="34">
        <v>42368</v>
      </c>
      <c r="C854" s="35">
        <v>23776</v>
      </c>
      <c r="D854" s="35">
        <v>244496720</v>
      </c>
      <c r="E854" s="35">
        <v>10300</v>
      </c>
      <c r="F854" s="35">
        <v>10200</v>
      </c>
      <c r="G854" s="35">
        <v>10300</v>
      </c>
      <c r="H854" s="35">
        <v>10283.34</v>
      </c>
      <c r="I854" s="35">
        <v>0.98</v>
      </c>
      <c r="J854" s="35">
        <v>100</v>
      </c>
      <c r="K854" s="71">
        <f>YEAR(Accion[[#This Row],[fecha]])</f>
        <v>2015</v>
      </c>
      <c r="L854" s="79" t="str">
        <f>IF(Accion[[#This Row],[Precio Cierre]]=MAX(Accion[Precio Cierre]),Accion[[#This Row],[Precio Cierre]],"NA")</f>
        <v>NA</v>
      </c>
      <c r="M854" s="79" t="str">
        <f>IF(Accion[[#This Row],[Precio Cierre]]=MIN(Accion[Precio Cierre]),Accion[[#This Row],[Precio Cierre]],"NA")</f>
        <v>NA</v>
      </c>
    </row>
    <row r="855" spans="1:13" hidden="1">
      <c r="A855" s="38" t="s">
        <v>90</v>
      </c>
      <c r="B855" s="34">
        <v>42367</v>
      </c>
      <c r="C855" s="35">
        <v>100018</v>
      </c>
      <c r="D855" s="35">
        <v>1008608280</v>
      </c>
      <c r="E855" s="35">
        <v>10380</v>
      </c>
      <c r="F855" s="35">
        <v>9840</v>
      </c>
      <c r="G855" s="35">
        <v>10200</v>
      </c>
      <c r="H855" s="35">
        <v>10084.27</v>
      </c>
      <c r="I855" s="35">
        <v>-0.78</v>
      </c>
      <c r="J855" s="35">
        <v>-80</v>
      </c>
      <c r="K855" s="71">
        <f>YEAR(Accion[[#This Row],[fecha]])</f>
        <v>2015</v>
      </c>
      <c r="L855" s="79" t="str">
        <f>IF(Accion[[#This Row],[Precio Cierre]]=MAX(Accion[Precio Cierre]),Accion[[#This Row],[Precio Cierre]],"NA")</f>
        <v>NA</v>
      </c>
      <c r="M855" s="79" t="str">
        <f>IF(Accion[[#This Row],[Precio Cierre]]=MIN(Accion[Precio Cierre]),Accion[[#This Row],[Precio Cierre]],"NA")</f>
        <v>NA</v>
      </c>
    </row>
    <row r="856" spans="1:13" hidden="1">
      <c r="A856" s="38" t="s">
        <v>90</v>
      </c>
      <c r="B856" s="34">
        <v>42366</v>
      </c>
      <c r="C856" s="35">
        <v>120203</v>
      </c>
      <c r="D856" s="35">
        <v>1225005860</v>
      </c>
      <c r="E856" s="35">
        <v>10280</v>
      </c>
      <c r="F856" s="35">
        <v>10160</v>
      </c>
      <c r="G856" s="35">
        <v>10280</v>
      </c>
      <c r="H856" s="35">
        <v>10191.14</v>
      </c>
      <c r="I856" s="35">
        <v>0</v>
      </c>
      <c r="J856" s="35">
        <v>0</v>
      </c>
      <c r="K856" s="71">
        <f>YEAR(Accion[[#This Row],[fecha]])</f>
        <v>2015</v>
      </c>
      <c r="L856" s="79" t="str">
        <f>IF(Accion[[#This Row],[Precio Cierre]]=MAX(Accion[Precio Cierre]),Accion[[#This Row],[Precio Cierre]],"NA")</f>
        <v>NA</v>
      </c>
      <c r="M856" s="79" t="str">
        <f>IF(Accion[[#This Row],[Precio Cierre]]=MIN(Accion[Precio Cierre]),Accion[[#This Row],[Precio Cierre]],"NA")</f>
        <v>NA</v>
      </c>
    </row>
    <row r="857" spans="1:13" hidden="1">
      <c r="A857" s="38" t="s">
        <v>90</v>
      </c>
      <c r="B857" s="34">
        <v>42362</v>
      </c>
      <c r="C857" s="35">
        <v>26343</v>
      </c>
      <c r="D857" s="35">
        <v>268288500</v>
      </c>
      <c r="E857" s="35">
        <v>10300</v>
      </c>
      <c r="F857" s="35">
        <v>10000</v>
      </c>
      <c r="G857" s="35">
        <v>10280</v>
      </c>
      <c r="H857" s="35">
        <v>10184.43</v>
      </c>
      <c r="I857" s="35">
        <v>1.78</v>
      </c>
      <c r="J857" s="35">
        <v>180</v>
      </c>
      <c r="K857" s="71">
        <f>YEAR(Accion[[#This Row],[fecha]])</f>
        <v>2015</v>
      </c>
      <c r="L857" s="79" t="str">
        <f>IF(Accion[[#This Row],[Precio Cierre]]=MAX(Accion[Precio Cierre]),Accion[[#This Row],[Precio Cierre]],"NA")</f>
        <v>NA</v>
      </c>
      <c r="M857" s="79" t="str">
        <f>IF(Accion[[#This Row],[Precio Cierre]]=MIN(Accion[Precio Cierre]),Accion[[#This Row],[Precio Cierre]],"NA")</f>
        <v>NA</v>
      </c>
    </row>
    <row r="858" spans="1:13" hidden="1">
      <c r="A858" s="38" t="s">
        <v>90</v>
      </c>
      <c r="B858" s="34">
        <v>42361</v>
      </c>
      <c r="C858" s="35">
        <v>135657</v>
      </c>
      <c r="D858" s="35">
        <v>1349934700</v>
      </c>
      <c r="E858" s="35">
        <v>10100</v>
      </c>
      <c r="F858" s="35">
        <v>9520</v>
      </c>
      <c r="G858" s="35">
        <v>10100</v>
      </c>
      <c r="H858" s="35">
        <v>9951.09</v>
      </c>
      <c r="I858" s="35">
        <v>3.06</v>
      </c>
      <c r="J858" s="35">
        <v>300</v>
      </c>
      <c r="K858" s="71">
        <f>YEAR(Accion[[#This Row],[fecha]])</f>
        <v>2015</v>
      </c>
      <c r="L858" s="79" t="str">
        <f>IF(Accion[[#This Row],[Precio Cierre]]=MAX(Accion[Precio Cierre]),Accion[[#This Row],[Precio Cierre]],"NA")</f>
        <v>NA</v>
      </c>
      <c r="M858" s="79" t="str">
        <f>IF(Accion[[#This Row],[Precio Cierre]]=MIN(Accion[Precio Cierre]),Accion[[#This Row],[Precio Cierre]],"NA")</f>
        <v>NA</v>
      </c>
    </row>
    <row r="859" spans="1:13" hidden="1">
      <c r="A859" s="38" t="s">
        <v>90</v>
      </c>
      <c r="B859" s="34">
        <v>42360</v>
      </c>
      <c r="C859" s="35">
        <v>140069</v>
      </c>
      <c r="D859" s="35">
        <v>1351654430</v>
      </c>
      <c r="E859" s="35">
        <v>9800</v>
      </c>
      <c r="F859" s="35">
        <v>9510</v>
      </c>
      <c r="G859" s="35">
        <v>9800</v>
      </c>
      <c r="H859" s="35">
        <v>9649.92</v>
      </c>
      <c r="I859" s="35">
        <v>2.08</v>
      </c>
      <c r="J859" s="35">
        <v>200</v>
      </c>
      <c r="K859" s="71">
        <f>YEAR(Accion[[#This Row],[fecha]])</f>
        <v>2015</v>
      </c>
      <c r="L859" s="79" t="str">
        <f>IF(Accion[[#This Row],[Precio Cierre]]=MAX(Accion[Precio Cierre]),Accion[[#This Row],[Precio Cierre]],"NA")</f>
        <v>NA</v>
      </c>
      <c r="M859" s="79" t="str">
        <f>IF(Accion[[#This Row],[Precio Cierre]]=MIN(Accion[Precio Cierre]),Accion[[#This Row],[Precio Cierre]],"NA")</f>
        <v>NA</v>
      </c>
    </row>
    <row r="860" spans="1:13" hidden="1">
      <c r="A860" s="38" t="s">
        <v>90</v>
      </c>
      <c r="B860" s="34">
        <v>42359</v>
      </c>
      <c r="C860" s="35">
        <v>101466</v>
      </c>
      <c r="D860" s="35">
        <v>971519740</v>
      </c>
      <c r="E860" s="35">
        <v>9720</v>
      </c>
      <c r="F860" s="35">
        <v>9510</v>
      </c>
      <c r="G860" s="35">
        <v>9600</v>
      </c>
      <c r="H860" s="35">
        <v>9574.83</v>
      </c>
      <c r="I860" s="35">
        <v>-1.23</v>
      </c>
      <c r="J860" s="35">
        <v>-120</v>
      </c>
      <c r="K860" s="71">
        <f>YEAR(Accion[[#This Row],[fecha]])</f>
        <v>2015</v>
      </c>
      <c r="L860" s="79" t="str">
        <f>IF(Accion[[#This Row],[Precio Cierre]]=MAX(Accion[Precio Cierre]),Accion[[#This Row],[Precio Cierre]],"NA")</f>
        <v>NA</v>
      </c>
      <c r="M860" s="79" t="str">
        <f>IF(Accion[[#This Row],[Precio Cierre]]=MIN(Accion[Precio Cierre]),Accion[[#This Row],[Precio Cierre]],"NA")</f>
        <v>NA</v>
      </c>
    </row>
    <row r="861" spans="1:13" hidden="1">
      <c r="A861" s="38" t="s">
        <v>90</v>
      </c>
      <c r="B861" s="34">
        <v>42356</v>
      </c>
      <c r="C861" s="35">
        <v>42938</v>
      </c>
      <c r="D861" s="35">
        <v>415038220</v>
      </c>
      <c r="E861" s="35">
        <v>9720</v>
      </c>
      <c r="F861" s="35">
        <v>9500</v>
      </c>
      <c r="G861" s="35">
        <v>9720</v>
      </c>
      <c r="H861" s="35">
        <v>9665.99</v>
      </c>
      <c r="I861" s="35">
        <v>0</v>
      </c>
      <c r="J861" s="35">
        <v>0</v>
      </c>
      <c r="K861" s="71">
        <f>YEAR(Accion[[#This Row],[fecha]])</f>
        <v>2015</v>
      </c>
      <c r="L861" s="79" t="str">
        <f>IF(Accion[[#This Row],[Precio Cierre]]=MAX(Accion[Precio Cierre]),Accion[[#This Row],[Precio Cierre]],"NA")</f>
        <v>NA</v>
      </c>
      <c r="M861" s="79" t="str">
        <f>IF(Accion[[#This Row],[Precio Cierre]]=MIN(Accion[Precio Cierre]),Accion[[#This Row],[Precio Cierre]],"NA")</f>
        <v>NA</v>
      </c>
    </row>
    <row r="862" spans="1:13" hidden="1">
      <c r="A862" s="38" t="s">
        <v>90</v>
      </c>
      <c r="B862" s="34">
        <v>42355</v>
      </c>
      <c r="C862" s="35">
        <v>879551</v>
      </c>
      <c r="D862" s="35">
        <v>8565966530</v>
      </c>
      <c r="E862" s="35">
        <v>9850</v>
      </c>
      <c r="F862" s="35">
        <v>9700</v>
      </c>
      <c r="G862" s="35">
        <v>9720</v>
      </c>
      <c r="H862" s="35">
        <v>9739.02</v>
      </c>
      <c r="I862" s="35">
        <v>0.73</v>
      </c>
      <c r="J862" s="35">
        <v>70</v>
      </c>
      <c r="K862" s="71">
        <f>YEAR(Accion[[#This Row],[fecha]])</f>
        <v>2015</v>
      </c>
      <c r="L862" s="79" t="str">
        <f>IF(Accion[[#This Row],[Precio Cierre]]=MAX(Accion[Precio Cierre]),Accion[[#This Row],[Precio Cierre]],"NA")</f>
        <v>NA</v>
      </c>
      <c r="M862" s="79" t="str">
        <f>IF(Accion[[#This Row],[Precio Cierre]]=MIN(Accion[Precio Cierre]),Accion[[#This Row],[Precio Cierre]],"NA")</f>
        <v>NA</v>
      </c>
    </row>
    <row r="863" spans="1:13" hidden="1">
      <c r="A863" s="38" t="s">
        <v>90</v>
      </c>
      <c r="B863" s="34">
        <v>42354</v>
      </c>
      <c r="C863" s="35">
        <v>1047653</v>
      </c>
      <c r="D863" s="35">
        <v>10043245230</v>
      </c>
      <c r="E863" s="35">
        <v>9700</v>
      </c>
      <c r="F863" s="35">
        <v>9350</v>
      </c>
      <c r="G863" s="35">
        <v>9650</v>
      </c>
      <c r="H863" s="35">
        <v>9586.42</v>
      </c>
      <c r="I863" s="35">
        <v>3.21</v>
      </c>
      <c r="J863" s="35">
        <v>300</v>
      </c>
      <c r="K863" s="71">
        <f>YEAR(Accion[[#This Row],[fecha]])</f>
        <v>2015</v>
      </c>
      <c r="L863" s="79" t="str">
        <f>IF(Accion[[#This Row],[Precio Cierre]]=MAX(Accion[Precio Cierre]),Accion[[#This Row],[Precio Cierre]],"NA")</f>
        <v>NA</v>
      </c>
      <c r="M863" s="79" t="str">
        <f>IF(Accion[[#This Row],[Precio Cierre]]=MIN(Accion[Precio Cierre]),Accion[[#This Row],[Precio Cierre]],"NA")</f>
        <v>NA</v>
      </c>
    </row>
    <row r="864" spans="1:13" hidden="1">
      <c r="A864" s="38" t="s">
        <v>90</v>
      </c>
      <c r="B864" s="34">
        <v>42353</v>
      </c>
      <c r="C864" s="35">
        <v>123746</v>
      </c>
      <c r="D864" s="35">
        <v>1163484200</v>
      </c>
      <c r="E864" s="35">
        <v>9480</v>
      </c>
      <c r="F864" s="35">
        <v>9350</v>
      </c>
      <c r="G864" s="35">
        <v>9350</v>
      </c>
      <c r="H864" s="35">
        <v>9402.2000000000007</v>
      </c>
      <c r="I864" s="35">
        <v>-1.48</v>
      </c>
      <c r="J864" s="35">
        <v>-140</v>
      </c>
      <c r="K864" s="71">
        <f>YEAR(Accion[[#This Row],[fecha]])</f>
        <v>2015</v>
      </c>
      <c r="L864" s="79" t="str">
        <f>IF(Accion[[#This Row],[Precio Cierre]]=MAX(Accion[Precio Cierre]),Accion[[#This Row],[Precio Cierre]],"NA")</f>
        <v>NA</v>
      </c>
      <c r="M864" s="79" t="str">
        <f>IF(Accion[[#This Row],[Precio Cierre]]=MIN(Accion[Precio Cierre]),Accion[[#This Row],[Precio Cierre]],"NA")</f>
        <v>NA</v>
      </c>
    </row>
    <row r="865" spans="1:13" hidden="1">
      <c r="A865" s="38" t="s">
        <v>90</v>
      </c>
      <c r="B865" s="34">
        <v>42352</v>
      </c>
      <c r="C865" s="35">
        <v>41665</v>
      </c>
      <c r="D865" s="35">
        <v>390289820</v>
      </c>
      <c r="E865" s="35">
        <v>9490</v>
      </c>
      <c r="F865" s="35">
        <v>9260</v>
      </c>
      <c r="G865" s="35">
        <v>9490</v>
      </c>
      <c r="H865" s="35">
        <v>9367.33</v>
      </c>
      <c r="I865" s="35">
        <v>-0.11</v>
      </c>
      <c r="J865" s="35">
        <v>-10</v>
      </c>
      <c r="K865" s="71">
        <f>YEAR(Accion[[#This Row],[fecha]])</f>
        <v>2015</v>
      </c>
      <c r="L865" s="79" t="str">
        <f>IF(Accion[[#This Row],[Precio Cierre]]=MAX(Accion[Precio Cierre]),Accion[[#This Row],[Precio Cierre]],"NA")</f>
        <v>NA</v>
      </c>
      <c r="M865" s="79" t="str">
        <f>IF(Accion[[#This Row],[Precio Cierre]]=MIN(Accion[Precio Cierre]),Accion[[#This Row],[Precio Cierre]],"NA")</f>
        <v>NA</v>
      </c>
    </row>
    <row r="866" spans="1:13" hidden="1">
      <c r="A866" s="38" t="s">
        <v>90</v>
      </c>
      <c r="B866" s="34">
        <v>42349</v>
      </c>
      <c r="C866" s="35">
        <v>344050</v>
      </c>
      <c r="D866" s="35">
        <v>3295002390</v>
      </c>
      <c r="E866" s="35">
        <v>9700</v>
      </c>
      <c r="F866" s="35">
        <v>9420</v>
      </c>
      <c r="G866" s="35">
        <v>9500</v>
      </c>
      <c r="H866" s="35">
        <v>9577.1</v>
      </c>
      <c r="I866" s="35">
        <v>0.85</v>
      </c>
      <c r="J866" s="35">
        <v>80</v>
      </c>
      <c r="K866" s="71">
        <f>YEAR(Accion[[#This Row],[fecha]])</f>
        <v>2015</v>
      </c>
      <c r="L866" s="79" t="str">
        <f>IF(Accion[[#This Row],[Precio Cierre]]=MAX(Accion[Precio Cierre]),Accion[[#This Row],[Precio Cierre]],"NA")</f>
        <v>NA</v>
      </c>
      <c r="M866" s="79" t="str">
        <f>IF(Accion[[#This Row],[Precio Cierre]]=MIN(Accion[Precio Cierre]),Accion[[#This Row],[Precio Cierre]],"NA")</f>
        <v>NA</v>
      </c>
    </row>
    <row r="867" spans="1:13" hidden="1">
      <c r="A867" s="38" t="s">
        <v>90</v>
      </c>
      <c r="B867" s="34">
        <v>42348</v>
      </c>
      <c r="C867" s="35">
        <v>253873</v>
      </c>
      <c r="D867" s="35">
        <v>2381561910</v>
      </c>
      <c r="E867" s="35">
        <v>9500</v>
      </c>
      <c r="F867" s="35">
        <v>9300</v>
      </c>
      <c r="G867" s="35">
        <v>9420</v>
      </c>
      <c r="H867" s="35">
        <v>9380.92</v>
      </c>
      <c r="I867" s="35">
        <v>1.29</v>
      </c>
      <c r="J867" s="35">
        <v>120</v>
      </c>
      <c r="K867" s="71">
        <f>YEAR(Accion[[#This Row],[fecha]])</f>
        <v>2015</v>
      </c>
      <c r="L867" s="79" t="str">
        <f>IF(Accion[[#This Row],[Precio Cierre]]=MAX(Accion[Precio Cierre]),Accion[[#This Row],[Precio Cierre]],"NA")</f>
        <v>NA</v>
      </c>
      <c r="M867" s="79" t="str">
        <f>IF(Accion[[#This Row],[Precio Cierre]]=MIN(Accion[Precio Cierre]),Accion[[#This Row],[Precio Cierre]],"NA")</f>
        <v>NA</v>
      </c>
    </row>
    <row r="868" spans="1:13" hidden="1">
      <c r="A868" s="38" t="s">
        <v>90</v>
      </c>
      <c r="B868" s="34">
        <v>42347</v>
      </c>
      <c r="C868" s="35">
        <v>605616</v>
      </c>
      <c r="D868" s="35">
        <v>5457979870</v>
      </c>
      <c r="E868" s="35">
        <v>9300</v>
      </c>
      <c r="F868" s="35">
        <v>8870</v>
      </c>
      <c r="G868" s="35">
        <v>9300</v>
      </c>
      <c r="H868" s="35">
        <v>9012.2800000000007</v>
      </c>
      <c r="I868" s="35">
        <v>4.49</v>
      </c>
      <c r="J868" s="35">
        <v>400</v>
      </c>
      <c r="K868" s="71">
        <f>YEAR(Accion[[#This Row],[fecha]])</f>
        <v>2015</v>
      </c>
      <c r="L868" s="79" t="str">
        <f>IF(Accion[[#This Row],[Precio Cierre]]=MAX(Accion[Precio Cierre]),Accion[[#This Row],[Precio Cierre]],"NA")</f>
        <v>NA</v>
      </c>
      <c r="M868" s="79" t="str">
        <f>IF(Accion[[#This Row],[Precio Cierre]]=MIN(Accion[Precio Cierre]),Accion[[#This Row],[Precio Cierre]],"NA")</f>
        <v>NA</v>
      </c>
    </row>
    <row r="869" spans="1:13" hidden="1">
      <c r="A869" s="38" t="s">
        <v>90</v>
      </c>
      <c r="B869" s="34">
        <v>42345</v>
      </c>
      <c r="C869" s="35">
        <v>79036</v>
      </c>
      <c r="D869" s="35">
        <v>705263570</v>
      </c>
      <c r="E869" s="35">
        <v>9000</v>
      </c>
      <c r="F869" s="35">
        <v>8800</v>
      </c>
      <c r="G869" s="35">
        <v>8900</v>
      </c>
      <c r="H869" s="35">
        <v>8923.32</v>
      </c>
      <c r="I869" s="35">
        <v>-1.1100000000000001</v>
      </c>
      <c r="J869" s="35">
        <v>-100</v>
      </c>
      <c r="K869" s="71">
        <f>YEAR(Accion[[#This Row],[fecha]])</f>
        <v>2015</v>
      </c>
      <c r="L869" s="79" t="str">
        <f>IF(Accion[[#This Row],[Precio Cierre]]=MAX(Accion[Precio Cierre]),Accion[[#This Row],[Precio Cierre]],"NA")</f>
        <v>NA</v>
      </c>
      <c r="M869" s="79" t="str">
        <f>IF(Accion[[#This Row],[Precio Cierre]]=MIN(Accion[Precio Cierre]),Accion[[#This Row],[Precio Cierre]],"NA")</f>
        <v>NA</v>
      </c>
    </row>
    <row r="870" spans="1:13" hidden="1">
      <c r="A870" s="38" t="s">
        <v>90</v>
      </c>
      <c r="B870" s="34">
        <v>42342</v>
      </c>
      <c r="C870" s="35">
        <v>204625</v>
      </c>
      <c r="D870" s="35">
        <v>1860863100</v>
      </c>
      <c r="E870" s="35">
        <v>9110</v>
      </c>
      <c r="F870" s="35">
        <v>9000</v>
      </c>
      <c r="G870" s="35">
        <v>9000</v>
      </c>
      <c r="H870" s="35">
        <v>9094.02</v>
      </c>
      <c r="I870" s="35">
        <v>-3.23</v>
      </c>
      <c r="J870" s="35">
        <v>-300</v>
      </c>
      <c r="K870" s="71">
        <f>YEAR(Accion[[#This Row],[fecha]])</f>
        <v>2015</v>
      </c>
      <c r="L870" s="79" t="str">
        <f>IF(Accion[[#This Row],[Precio Cierre]]=MAX(Accion[Precio Cierre]),Accion[[#This Row],[Precio Cierre]],"NA")</f>
        <v>NA</v>
      </c>
      <c r="M870" s="79" t="str">
        <f>IF(Accion[[#This Row],[Precio Cierre]]=MIN(Accion[Precio Cierre]),Accion[[#This Row],[Precio Cierre]],"NA")</f>
        <v>NA</v>
      </c>
    </row>
    <row r="871" spans="1:13" hidden="1">
      <c r="A871" s="38" t="s">
        <v>90</v>
      </c>
      <c r="B871" s="34">
        <v>42341</v>
      </c>
      <c r="C871" s="35">
        <v>163952</v>
      </c>
      <c r="D871" s="35">
        <v>1517797590</v>
      </c>
      <c r="E871" s="35">
        <v>9300</v>
      </c>
      <c r="F871" s="35">
        <v>9220</v>
      </c>
      <c r="G871" s="35">
        <v>9300</v>
      </c>
      <c r="H871" s="35">
        <v>9257.57</v>
      </c>
      <c r="I871" s="35">
        <v>-0.75</v>
      </c>
      <c r="J871" s="35">
        <v>-70</v>
      </c>
      <c r="K871" s="71">
        <f>YEAR(Accion[[#This Row],[fecha]])</f>
        <v>2015</v>
      </c>
      <c r="L871" s="79" t="str">
        <f>IF(Accion[[#This Row],[Precio Cierre]]=MAX(Accion[Precio Cierre]),Accion[[#This Row],[Precio Cierre]],"NA")</f>
        <v>NA</v>
      </c>
      <c r="M871" s="79" t="str">
        <f>IF(Accion[[#This Row],[Precio Cierre]]=MIN(Accion[Precio Cierre]),Accion[[#This Row],[Precio Cierre]],"NA")</f>
        <v>NA</v>
      </c>
    </row>
    <row r="872" spans="1:13" hidden="1">
      <c r="A872" s="38" t="s">
        <v>90</v>
      </c>
      <c r="B872" s="34">
        <v>42340</v>
      </c>
      <c r="C872" s="35">
        <v>278674</v>
      </c>
      <c r="D872" s="35">
        <v>2583075570</v>
      </c>
      <c r="E872" s="35">
        <v>9390</v>
      </c>
      <c r="F872" s="35">
        <v>9000</v>
      </c>
      <c r="G872" s="35">
        <v>9370</v>
      </c>
      <c r="H872" s="35">
        <v>9269.17</v>
      </c>
      <c r="I872" s="35">
        <v>2.0699999999999998</v>
      </c>
      <c r="J872" s="35">
        <v>190</v>
      </c>
      <c r="K872" s="71">
        <f>YEAR(Accion[[#This Row],[fecha]])</f>
        <v>2015</v>
      </c>
      <c r="L872" s="79" t="str">
        <f>IF(Accion[[#This Row],[Precio Cierre]]=MAX(Accion[Precio Cierre]),Accion[[#This Row],[Precio Cierre]],"NA")</f>
        <v>NA</v>
      </c>
      <c r="M872" s="79" t="str">
        <f>IF(Accion[[#This Row],[Precio Cierre]]=MIN(Accion[Precio Cierre]),Accion[[#This Row],[Precio Cierre]],"NA")</f>
        <v>NA</v>
      </c>
    </row>
    <row r="873" spans="1:13" hidden="1">
      <c r="A873" s="38" t="s">
        <v>90</v>
      </c>
      <c r="B873" s="34">
        <v>42339</v>
      </c>
      <c r="C873" s="35">
        <v>158094</v>
      </c>
      <c r="D873" s="35">
        <v>1430893900</v>
      </c>
      <c r="E873" s="35">
        <v>9180</v>
      </c>
      <c r="F873" s="35">
        <v>8920</v>
      </c>
      <c r="G873" s="35">
        <v>9180</v>
      </c>
      <c r="H873" s="35">
        <v>9050.91</v>
      </c>
      <c r="I873" s="35">
        <v>1.44</v>
      </c>
      <c r="J873" s="35">
        <v>130</v>
      </c>
      <c r="K873" s="71">
        <f>YEAR(Accion[[#This Row],[fecha]])</f>
        <v>2015</v>
      </c>
      <c r="L873" s="79" t="str">
        <f>IF(Accion[[#This Row],[Precio Cierre]]=MAX(Accion[Precio Cierre]),Accion[[#This Row],[Precio Cierre]],"NA")</f>
        <v>NA</v>
      </c>
      <c r="M873" s="79" t="str">
        <f>IF(Accion[[#This Row],[Precio Cierre]]=MIN(Accion[Precio Cierre]),Accion[[#This Row],[Precio Cierre]],"NA")</f>
        <v>NA</v>
      </c>
    </row>
    <row r="874" spans="1:13" hidden="1">
      <c r="A874" s="38" t="s">
        <v>90</v>
      </c>
      <c r="B874" s="34">
        <v>42338</v>
      </c>
      <c r="C874" s="35">
        <v>2025408</v>
      </c>
      <c r="D874" s="35">
        <v>18268158350</v>
      </c>
      <c r="E874" s="35">
        <v>9200</v>
      </c>
      <c r="F874" s="35">
        <v>8900</v>
      </c>
      <c r="G874" s="35">
        <v>9050</v>
      </c>
      <c r="H874" s="35">
        <v>9019.5</v>
      </c>
      <c r="I874" s="35">
        <v>1.69</v>
      </c>
      <c r="J874" s="35">
        <v>150</v>
      </c>
      <c r="K874" s="71">
        <f>YEAR(Accion[[#This Row],[fecha]])</f>
        <v>2015</v>
      </c>
      <c r="L874" s="79" t="str">
        <f>IF(Accion[[#This Row],[Precio Cierre]]=MAX(Accion[Precio Cierre]),Accion[[#This Row],[Precio Cierre]],"NA")</f>
        <v>NA</v>
      </c>
      <c r="M874" s="79" t="str">
        <f>IF(Accion[[#This Row],[Precio Cierre]]=MIN(Accion[Precio Cierre]),Accion[[#This Row],[Precio Cierre]],"NA")</f>
        <v>NA</v>
      </c>
    </row>
    <row r="875" spans="1:13" hidden="1">
      <c r="A875" s="38" t="s">
        <v>90</v>
      </c>
      <c r="B875" s="34">
        <v>42335</v>
      </c>
      <c r="C875" s="35">
        <v>172770</v>
      </c>
      <c r="D875" s="35">
        <v>1541453660</v>
      </c>
      <c r="E875" s="35">
        <v>9000</v>
      </c>
      <c r="F875" s="35">
        <v>8900</v>
      </c>
      <c r="G875" s="35">
        <v>8900</v>
      </c>
      <c r="H875" s="35">
        <v>8922</v>
      </c>
      <c r="I875" s="35">
        <v>-1</v>
      </c>
      <c r="J875" s="35">
        <v>-90</v>
      </c>
      <c r="K875" s="71">
        <f>YEAR(Accion[[#This Row],[fecha]])</f>
        <v>2015</v>
      </c>
      <c r="L875" s="79" t="str">
        <f>IF(Accion[[#This Row],[Precio Cierre]]=MAX(Accion[Precio Cierre]),Accion[[#This Row],[Precio Cierre]],"NA")</f>
        <v>NA</v>
      </c>
      <c r="M875" s="79" t="str">
        <f>IF(Accion[[#This Row],[Precio Cierre]]=MIN(Accion[Precio Cierre]),Accion[[#This Row],[Precio Cierre]],"NA")</f>
        <v>NA</v>
      </c>
    </row>
    <row r="876" spans="1:13" hidden="1">
      <c r="A876" s="38" t="s">
        <v>90</v>
      </c>
      <c r="B876" s="34">
        <v>42334</v>
      </c>
      <c r="C876" s="35">
        <v>73979</v>
      </c>
      <c r="D876" s="35">
        <v>667364420</v>
      </c>
      <c r="E876" s="35">
        <v>9150</v>
      </c>
      <c r="F876" s="35">
        <v>8840</v>
      </c>
      <c r="G876" s="35">
        <v>8990</v>
      </c>
      <c r="H876" s="35">
        <v>9021</v>
      </c>
      <c r="I876" s="35">
        <v>0.45</v>
      </c>
      <c r="J876" s="35">
        <v>40</v>
      </c>
      <c r="K876" s="71">
        <f>YEAR(Accion[[#This Row],[fecha]])</f>
        <v>2015</v>
      </c>
      <c r="L876" s="79" t="str">
        <f>IF(Accion[[#This Row],[Precio Cierre]]=MAX(Accion[Precio Cierre]),Accion[[#This Row],[Precio Cierre]],"NA")</f>
        <v>NA</v>
      </c>
      <c r="M876" s="79" t="str">
        <f>IF(Accion[[#This Row],[Precio Cierre]]=MIN(Accion[Precio Cierre]),Accion[[#This Row],[Precio Cierre]],"NA")</f>
        <v>NA</v>
      </c>
    </row>
    <row r="877" spans="1:13" hidden="1">
      <c r="A877" s="38" t="s">
        <v>90</v>
      </c>
      <c r="B877" s="34">
        <v>42333</v>
      </c>
      <c r="C877" s="35">
        <v>1083915</v>
      </c>
      <c r="D877" s="35">
        <v>9825416110</v>
      </c>
      <c r="E877" s="35">
        <v>9260</v>
      </c>
      <c r="F877" s="35">
        <v>8800</v>
      </c>
      <c r="G877" s="35">
        <v>8950</v>
      </c>
      <c r="H877" s="35">
        <v>9064.75</v>
      </c>
      <c r="I877" s="35">
        <v>-2.19</v>
      </c>
      <c r="J877" s="35">
        <v>-200</v>
      </c>
      <c r="K877" s="71">
        <f>YEAR(Accion[[#This Row],[fecha]])</f>
        <v>2015</v>
      </c>
      <c r="L877" s="79" t="str">
        <f>IF(Accion[[#This Row],[Precio Cierre]]=MAX(Accion[Precio Cierre]),Accion[[#This Row],[Precio Cierre]],"NA")</f>
        <v>NA</v>
      </c>
      <c r="M877" s="79" t="str">
        <f>IF(Accion[[#This Row],[Precio Cierre]]=MIN(Accion[Precio Cierre]),Accion[[#This Row],[Precio Cierre]],"NA")</f>
        <v>NA</v>
      </c>
    </row>
    <row r="878" spans="1:13" hidden="1">
      <c r="A878" s="38" t="s">
        <v>90</v>
      </c>
      <c r="B878" s="34">
        <v>42332</v>
      </c>
      <c r="C878" s="35">
        <v>583668</v>
      </c>
      <c r="D878" s="35">
        <v>5346362550</v>
      </c>
      <c r="E878" s="35">
        <v>9290</v>
      </c>
      <c r="F878" s="35">
        <v>9050</v>
      </c>
      <c r="G878" s="35">
        <v>9150</v>
      </c>
      <c r="H878" s="35">
        <v>9159.94</v>
      </c>
      <c r="I878" s="35">
        <v>0</v>
      </c>
      <c r="J878" s="35">
        <v>0</v>
      </c>
      <c r="K878" s="71">
        <f>YEAR(Accion[[#This Row],[fecha]])</f>
        <v>2015</v>
      </c>
      <c r="L878" s="79" t="str">
        <f>IF(Accion[[#This Row],[Precio Cierre]]=MAX(Accion[Precio Cierre]),Accion[[#This Row],[Precio Cierre]],"NA")</f>
        <v>NA</v>
      </c>
      <c r="M878" s="79" t="str">
        <f>IF(Accion[[#This Row],[Precio Cierre]]=MIN(Accion[Precio Cierre]),Accion[[#This Row],[Precio Cierre]],"NA")</f>
        <v>NA</v>
      </c>
    </row>
    <row r="879" spans="1:13" hidden="1">
      <c r="A879" s="38" t="s">
        <v>90</v>
      </c>
      <c r="B879" s="34">
        <v>42331</v>
      </c>
      <c r="C879" s="35">
        <v>72226</v>
      </c>
      <c r="D879" s="35">
        <v>655969580</v>
      </c>
      <c r="E879" s="35">
        <v>9240</v>
      </c>
      <c r="F879" s="35">
        <v>8990</v>
      </c>
      <c r="G879" s="35">
        <v>9150</v>
      </c>
      <c r="H879" s="35">
        <v>9082.18</v>
      </c>
      <c r="I879" s="35">
        <v>0</v>
      </c>
      <c r="J879" s="35">
        <v>0</v>
      </c>
      <c r="K879" s="71">
        <f>YEAR(Accion[[#This Row],[fecha]])</f>
        <v>2015</v>
      </c>
      <c r="L879" s="79" t="str">
        <f>IF(Accion[[#This Row],[Precio Cierre]]=MAX(Accion[Precio Cierre]),Accion[[#This Row],[Precio Cierre]],"NA")</f>
        <v>NA</v>
      </c>
      <c r="M879" s="79" t="str">
        <f>IF(Accion[[#This Row],[Precio Cierre]]=MIN(Accion[Precio Cierre]),Accion[[#This Row],[Precio Cierre]],"NA")</f>
        <v>NA</v>
      </c>
    </row>
    <row r="880" spans="1:13" hidden="1">
      <c r="A880" s="38" t="s">
        <v>90</v>
      </c>
      <c r="B880" s="34">
        <v>42328</v>
      </c>
      <c r="C880" s="35">
        <v>209368</v>
      </c>
      <c r="D880" s="35">
        <v>1908423590</v>
      </c>
      <c r="E880" s="35">
        <v>9270</v>
      </c>
      <c r="F880" s="35">
        <v>9010</v>
      </c>
      <c r="G880" s="35">
        <v>9150</v>
      </c>
      <c r="H880" s="35">
        <v>9115.16</v>
      </c>
      <c r="I880" s="35">
        <v>-0.22</v>
      </c>
      <c r="J880" s="35">
        <v>-20</v>
      </c>
      <c r="K880" s="71">
        <f>YEAR(Accion[[#This Row],[fecha]])</f>
        <v>2015</v>
      </c>
      <c r="L880" s="79" t="str">
        <f>IF(Accion[[#This Row],[Precio Cierre]]=MAX(Accion[Precio Cierre]),Accion[[#This Row],[Precio Cierre]],"NA")</f>
        <v>NA</v>
      </c>
      <c r="M880" s="79" t="str">
        <f>IF(Accion[[#This Row],[Precio Cierre]]=MIN(Accion[Precio Cierre]),Accion[[#This Row],[Precio Cierre]],"NA")</f>
        <v>NA</v>
      </c>
    </row>
    <row r="881" spans="1:13" hidden="1">
      <c r="A881" s="38" t="s">
        <v>90</v>
      </c>
      <c r="B881" s="34">
        <v>42327</v>
      </c>
      <c r="C881" s="35">
        <v>211938</v>
      </c>
      <c r="D881" s="35">
        <v>1950424230</v>
      </c>
      <c r="E881" s="35">
        <v>9390</v>
      </c>
      <c r="F881" s="35">
        <v>9150</v>
      </c>
      <c r="G881" s="35">
        <v>9170</v>
      </c>
      <c r="H881" s="35">
        <v>9202.81</v>
      </c>
      <c r="I881" s="35">
        <v>0.77</v>
      </c>
      <c r="J881" s="35">
        <v>70</v>
      </c>
      <c r="K881" s="71">
        <f>YEAR(Accion[[#This Row],[fecha]])</f>
        <v>2015</v>
      </c>
      <c r="L881" s="79" t="str">
        <f>IF(Accion[[#This Row],[Precio Cierre]]=MAX(Accion[Precio Cierre]),Accion[[#This Row],[Precio Cierre]],"NA")</f>
        <v>NA</v>
      </c>
      <c r="M881" s="79" t="str">
        <f>IF(Accion[[#This Row],[Precio Cierre]]=MIN(Accion[Precio Cierre]),Accion[[#This Row],[Precio Cierre]],"NA")</f>
        <v>NA</v>
      </c>
    </row>
    <row r="882" spans="1:13" hidden="1">
      <c r="A882" s="38" t="s">
        <v>90</v>
      </c>
      <c r="B882" s="34">
        <v>42326</v>
      </c>
      <c r="C882" s="35">
        <v>132843</v>
      </c>
      <c r="D882" s="35">
        <v>1211042280</v>
      </c>
      <c r="E882" s="35">
        <v>9300</v>
      </c>
      <c r="F882" s="35">
        <v>9010</v>
      </c>
      <c r="G882" s="35">
        <v>9100</v>
      </c>
      <c r="H882" s="35">
        <v>9116.34</v>
      </c>
      <c r="I882" s="35">
        <v>0</v>
      </c>
      <c r="J882" s="35">
        <v>0</v>
      </c>
      <c r="K882" s="71">
        <f>YEAR(Accion[[#This Row],[fecha]])</f>
        <v>2015</v>
      </c>
      <c r="L882" s="79" t="str">
        <f>IF(Accion[[#This Row],[Precio Cierre]]=MAX(Accion[Precio Cierre]),Accion[[#This Row],[Precio Cierre]],"NA")</f>
        <v>NA</v>
      </c>
      <c r="M882" s="79" t="str">
        <f>IF(Accion[[#This Row],[Precio Cierre]]=MIN(Accion[Precio Cierre]),Accion[[#This Row],[Precio Cierre]],"NA")</f>
        <v>NA</v>
      </c>
    </row>
    <row r="883" spans="1:13" hidden="1">
      <c r="A883" s="38" t="s">
        <v>90</v>
      </c>
      <c r="B883" s="34">
        <v>42325</v>
      </c>
      <c r="C883" s="35">
        <v>367135</v>
      </c>
      <c r="D883" s="35">
        <v>3310399480</v>
      </c>
      <c r="E883" s="35">
        <v>9290</v>
      </c>
      <c r="F883" s="35">
        <v>9000</v>
      </c>
      <c r="G883" s="35">
        <v>9100</v>
      </c>
      <c r="H883" s="35">
        <v>9016.85</v>
      </c>
      <c r="I883" s="35">
        <v>0.11</v>
      </c>
      <c r="J883" s="35">
        <v>10</v>
      </c>
      <c r="K883" s="71">
        <f>YEAR(Accion[[#This Row],[fecha]])</f>
        <v>2015</v>
      </c>
      <c r="L883" s="79" t="str">
        <f>IF(Accion[[#This Row],[Precio Cierre]]=MAX(Accion[Precio Cierre]),Accion[[#This Row],[Precio Cierre]],"NA")</f>
        <v>NA</v>
      </c>
      <c r="M883" s="79" t="str">
        <f>IF(Accion[[#This Row],[Precio Cierre]]=MIN(Accion[Precio Cierre]),Accion[[#This Row],[Precio Cierre]],"NA")</f>
        <v>NA</v>
      </c>
    </row>
    <row r="884" spans="1:13" hidden="1">
      <c r="A884" s="38" t="s">
        <v>90</v>
      </c>
      <c r="B884" s="34">
        <v>42321</v>
      </c>
      <c r="C884" s="35">
        <v>645029</v>
      </c>
      <c r="D884" s="35">
        <v>5905480630</v>
      </c>
      <c r="E884" s="35">
        <v>9400</v>
      </c>
      <c r="F884" s="35">
        <v>9070</v>
      </c>
      <c r="G884" s="35">
        <v>9090</v>
      </c>
      <c r="H884" s="35">
        <v>9155.3700000000008</v>
      </c>
      <c r="I884" s="35">
        <v>0</v>
      </c>
      <c r="J884" s="35">
        <v>0</v>
      </c>
      <c r="K884" s="71">
        <f>YEAR(Accion[[#This Row],[fecha]])</f>
        <v>2015</v>
      </c>
      <c r="L884" s="79" t="str">
        <f>IF(Accion[[#This Row],[Precio Cierre]]=MAX(Accion[Precio Cierre]),Accion[[#This Row],[Precio Cierre]],"NA")</f>
        <v>NA</v>
      </c>
      <c r="M884" s="79" t="str">
        <f>IF(Accion[[#This Row],[Precio Cierre]]=MIN(Accion[Precio Cierre]),Accion[[#This Row],[Precio Cierre]],"NA")</f>
        <v>NA</v>
      </c>
    </row>
    <row r="885" spans="1:13" hidden="1">
      <c r="A885" s="38" t="s">
        <v>90</v>
      </c>
      <c r="B885" s="34">
        <v>42320</v>
      </c>
      <c r="C885" s="35">
        <v>1141735</v>
      </c>
      <c r="D885" s="35">
        <v>10407282720</v>
      </c>
      <c r="E885" s="35">
        <v>9230</v>
      </c>
      <c r="F885" s="35">
        <v>8950</v>
      </c>
      <c r="G885" s="35">
        <v>9090</v>
      </c>
      <c r="H885" s="35">
        <v>9115.32</v>
      </c>
      <c r="I885" s="35">
        <v>-0.11</v>
      </c>
      <c r="J885" s="35">
        <v>-10</v>
      </c>
      <c r="K885" s="71">
        <f>YEAR(Accion[[#This Row],[fecha]])</f>
        <v>2015</v>
      </c>
      <c r="L885" s="79" t="str">
        <f>IF(Accion[[#This Row],[Precio Cierre]]=MAX(Accion[Precio Cierre]),Accion[[#This Row],[Precio Cierre]],"NA")</f>
        <v>NA</v>
      </c>
      <c r="M885" s="79" t="str">
        <f>IF(Accion[[#This Row],[Precio Cierre]]=MIN(Accion[Precio Cierre]),Accion[[#This Row],[Precio Cierre]],"NA")</f>
        <v>NA</v>
      </c>
    </row>
    <row r="886" spans="1:13" hidden="1">
      <c r="A886" s="38" t="s">
        <v>90</v>
      </c>
      <c r="B886" s="34">
        <v>42319</v>
      </c>
      <c r="C886" s="35">
        <v>548105</v>
      </c>
      <c r="D886" s="35">
        <v>4954880590</v>
      </c>
      <c r="E886" s="35">
        <v>9260</v>
      </c>
      <c r="F886" s="35">
        <v>9000</v>
      </c>
      <c r="G886" s="35">
        <v>9100</v>
      </c>
      <c r="H886" s="35">
        <v>9040.02</v>
      </c>
      <c r="I886" s="35">
        <v>-1.73</v>
      </c>
      <c r="J886" s="35">
        <v>-160</v>
      </c>
      <c r="K886" s="71">
        <f>YEAR(Accion[[#This Row],[fecha]])</f>
        <v>2015</v>
      </c>
      <c r="L886" s="79" t="str">
        <f>IF(Accion[[#This Row],[Precio Cierre]]=MAX(Accion[Precio Cierre]),Accion[[#This Row],[Precio Cierre]],"NA")</f>
        <v>NA</v>
      </c>
      <c r="M886" s="79" t="str">
        <f>IF(Accion[[#This Row],[Precio Cierre]]=MIN(Accion[Precio Cierre]),Accion[[#This Row],[Precio Cierre]],"NA")</f>
        <v>NA</v>
      </c>
    </row>
    <row r="887" spans="1:13" hidden="1">
      <c r="A887" s="38" t="s">
        <v>90</v>
      </c>
      <c r="B887" s="34">
        <v>42318</v>
      </c>
      <c r="C887" s="35">
        <v>84751</v>
      </c>
      <c r="D887" s="35">
        <v>793337510</v>
      </c>
      <c r="E887" s="35">
        <v>9500</v>
      </c>
      <c r="F887" s="35">
        <v>9260</v>
      </c>
      <c r="G887" s="35">
        <v>9260</v>
      </c>
      <c r="H887" s="35">
        <v>9360.7999999999993</v>
      </c>
      <c r="I887" s="35">
        <v>-0.64</v>
      </c>
      <c r="J887" s="35">
        <v>-60</v>
      </c>
      <c r="K887" s="71">
        <f>YEAR(Accion[[#This Row],[fecha]])</f>
        <v>2015</v>
      </c>
      <c r="L887" s="79" t="str">
        <f>IF(Accion[[#This Row],[Precio Cierre]]=MAX(Accion[Precio Cierre]),Accion[[#This Row],[Precio Cierre]],"NA")</f>
        <v>NA</v>
      </c>
      <c r="M887" s="79" t="str">
        <f>IF(Accion[[#This Row],[Precio Cierre]]=MIN(Accion[Precio Cierre]),Accion[[#This Row],[Precio Cierre]],"NA")</f>
        <v>NA</v>
      </c>
    </row>
    <row r="888" spans="1:13" hidden="1">
      <c r="A888" s="38" t="s">
        <v>90</v>
      </c>
      <c r="B888" s="34">
        <v>42317</v>
      </c>
      <c r="C888" s="35">
        <v>256296</v>
      </c>
      <c r="D888" s="35">
        <v>2389150560</v>
      </c>
      <c r="E888" s="35">
        <v>9740</v>
      </c>
      <c r="F888" s="35">
        <v>9260</v>
      </c>
      <c r="G888" s="35">
        <v>9320</v>
      </c>
      <c r="H888" s="35">
        <v>9321.84</v>
      </c>
      <c r="I888" s="35">
        <v>-2.71</v>
      </c>
      <c r="J888" s="35">
        <v>-260</v>
      </c>
      <c r="K888" s="71">
        <f>YEAR(Accion[[#This Row],[fecha]])</f>
        <v>2015</v>
      </c>
      <c r="L888" s="79" t="str">
        <f>IF(Accion[[#This Row],[Precio Cierre]]=MAX(Accion[Precio Cierre]),Accion[[#This Row],[Precio Cierre]],"NA")</f>
        <v>NA</v>
      </c>
      <c r="M888" s="79" t="str">
        <f>IF(Accion[[#This Row],[Precio Cierre]]=MIN(Accion[Precio Cierre]),Accion[[#This Row],[Precio Cierre]],"NA")</f>
        <v>NA</v>
      </c>
    </row>
    <row r="889" spans="1:13" hidden="1">
      <c r="A889" s="38" t="s">
        <v>90</v>
      </c>
      <c r="B889" s="34">
        <v>42314</v>
      </c>
      <c r="C889" s="35">
        <v>213465</v>
      </c>
      <c r="D889" s="35">
        <v>2057490860</v>
      </c>
      <c r="E889" s="35">
        <v>9810</v>
      </c>
      <c r="F889" s="35">
        <v>9500</v>
      </c>
      <c r="G889" s="35">
        <v>9580</v>
      </c>
      <c r="H889" s="35">
        <v>9638.5400000000009</v>
      </c>
      <c r="I889" s="35">
        <v>-3.23</v>
      </c>
      <c r="J889" s="35">
        <v>-320</v>
      </c>
      <c r="K889" s="71">
        <f>YEAR(Accion[[#This Row],[fecha]])</f>
        <v>2015</v>
      </c>
      <c r="L889" s="79" t="str">
        <f>IF(Accion[[#This Row],[Precio Cierre]]=MAX(Accion[Precio Cierre]),Accion[[#This Row],[Precio Cierre]],"NA")</f>
        <v>NA</v>
      </c>
      <c r="M889" s="79" t="str">
        <f>IF(Accion[[#This Row],[Precio Cierre]]=MIN(Accion[Precio Cierre]),Accion[[#This Row],[Precio Cierre]],"NA")</f>
        <v>NA</v>
      </c>
    </row>
    <row r="890" spans="1:13" hidden="1">
      <c r="A890" s="38" t="s">
        <v>90</v>
      </c>
      <c r="B890" s="34">
        <v>42313</v>
      </c>
      <c r="C890" s="35">
        <v>274618</v>
      </c>
      <c r="D890" s="35">
        <v>2720849900</v>
      </c>
      <c r="E890" s="35">
        <v>10000</v>
      </c>
      <c r="F890" s="35">
        <v>9880</v>
      </c>
      <c r="G890" s="35">
        <v>9900</v>
      </c>
      <c r="H890" s="35">
        <v>9907.76</v>
      </c>
      <c r="I890" s="35">
        <v>-0.8</v>
      </c>
      <c r="J890" s="35">
        <v>-80</v>
      </c>
      <c r="K890" s="71">
        <f>YEAR(Accion[[#This Row],[fecha]])</f>
        <v>2015</v>
      </c>
      <c r="L890" s="79" t="str">
        <f>IF(Accion[[#This Row],[Precio Cierre]]=MAX(Accion[Precio Cierre]),Accion[[#This Row],[Precio Cierre]],"NA")</f>
        <v>NA</v>
      </c>
      <c r="M890" s="79" t="str">
        <f>IF(Accion[[#This Row],[Precio Cierre]]=MIN(Accion[Precio Cierre]),Accion[[#This Row],[Precio Cierre]],"NA")</f>
        <v>NA</v>
      </c>
    </row>
    <row r="891" spans="1:13" hidden="1">
      <c r="A891" s="38" t="s">
        <v>90</v>
      </c>
      <c r="B891" s="34">
        <v>42312</v>
      </c>
      <c r="C891" s="35">
        <v>232409</v>
      </c>
      <c r="D891" s="35">
        <v>2323374080</v>
      </c>
      <c r="E891" s="35">
        <v>10140</v>
      </c>
      <c r="F891" s="35">
        <v>9800</v>
      </c>
      <c r="G891" s="35">
        <v>9980</v>
      </c>
      <c r="H891" s="35">
        <v>9996.92</v>
      </c>
      <c r="I891" s="35">
        <v>-1.58</v>
      </c>
      <c r="J891" s="35">
        <v>-160</v>
      </c>
      <c r="K891" s="71">
        <f>YEAR(Accion[[#This Row],[fecha]])</f>
        <v>2015</v>
      </c>
      <c r="L891" s="79" t="str">
        <f>IF(Accion[[#This Row],[Precio Cierre]]=MAX(Accion[Precio Cierre]),Accion[[#This Row],[Precio Cierre]],"NA")</f>
        <v>NA</v>
      </c>
      <c r="M891" s="79" t="str">
        <f>IF(Accion[[#This Row],[Precio Cierre]]=MIN(Accion[Precio Cierre]),Accion[[#This Row],[Precio Cierre]],"NA")</f>
        <v>NA</v>
      </c>
    </row>
    <row r="892" spans="1:13" hidden="1">
      <c r="A892" s="38" t="s">
        <v>90</v>
      </c>
      <c r="B892" s="34">
        <v>42311</v>
      </c>
      <c r="C892" s="35">
        <v>683908</v>
      </c>
      <c r="D892" s="35">
        <v>6968843700</v>
      </c>
      <c r="E892" s="35">
        <v>10300</v>
      </c>
      <c r="F892" s="35">
        <v>10140</v>
      </c>
      <c r="G892" s="35">
        <v>10140</v>
      </c>
      <c r="H892" s="35">
        <v>10189.74</v>
      </c>
      <c r="I892" s="35">
        <v>0.6</v>
      </c>
      <c r="J892" s="35">
        <v>60</v>
      </c>
      <c r="K892" s="71">
        <f>YEAR(Accion[[#This Row],[fecha]])</f>
        <v>2015</v>
      </c>
      <c r="L892" s="79" t="str">
        <f>IF(Accion[[#This Row],[Precio Cierre]]=MAX(Accion[Precio Cierre]),Accion[[#This Row],[Precio Cierre]],"NA")</f>
        <v>NA</v>
      </c>
      <c r="M892" s="79" t="str">
        <f>IF(Accion[[#This Row],[Precio Cierre]]=MIN(Accion[Precio Cierre]),Accion[[#This Row],[Precio Cierre]],"NA")</f>
        <v>NA</v>
      </c>
    </row>
    <row r="893" spans="1:13" hidden="1">
      <c r="A893" s="38" t="s">
        <v>90</v>
      </c>
      <c r="B893" s="34">
        <v>42307</v>
      </c>
      <c r="C893" s="35">
        <v>915777</v>
      </c>
      <c r="D893" s="35">
        <v>9347208220</v>
      </c>
      <c r="E893" s="35">
        <v>10580</v>
      </c>
      <c r="F893" s="35">
        <v>10060</v>
      </c>
      <c r="G893" s="35">
        <v>10080</v>
      </c>
      <c r="H893" s="35">
        <v>10206.86</v>
      </c>
      <c r="I893" s="35">
        <v>-3.82</v>
      </c>
      <c r="J893" s="35">
        <v>-400</v>
      </c>
      <c r="K893" s="71">
        <f>YEAR(Accion[[#This Row],[fecha]])</f>
        <v>2015</v>
      </c>
      <c r="L893" s="79" t="str">
        <f>IF(Accion[[#This Row],[Precio Cierre]]=MAX(Accion[Precio Cierre]),Accion[[#This Row],[Precio Cierre]],"NA")</f>
        <v>NA</v>
      </c>
      <c r="M893" s="79" t="str">
        <f>IF(Accion[[#This Row],[Precio Cierre]]=MIN(Accion[Precio Cierre]),Accion[[#This Row],[Precio Cierre]],"NA")</f>
        <v>NA</v>
      </c>
    </row>
    <row r="894" spans="1:13" hidden="1">
      <c r="A894" s="38" t="s">
        <v>90</v>
      </c>
      <c r="B894" s="34">
        <v>42306</v>
      </c>
      <c r="C894" s="35">
        <v>680492</v>
      </c>
      <c r="D894" s="35">
        <v>7216714240</v>
      </c>
      <c r="E894" s="35">
        <v>10740</v>
      </c>
      <c r="F894" s="35">
        <v>10480</v>
      </c>
      <c r="G894" s="35">
        <v>10480</v>
      </c>
      <c r="H894" s="35">
        <v>10605.14</v>
      </c>
      <c r="I894" s="35">
        <v>0.77</v>
      </c>
      <c r="J894" s="35">
        <v>80</v>
      </c>
      <c r="K894" s="71">
        <f>YEAR(Accion[[#This Row],[fecha]])</f>
        <v>2015</v>
      </c>
      <c r="L894" s="79" t="str">
        <f>IF(Accion[[#This Row],[Precio Cierre]]=MAX(Accion[Precio Cierre]),Accion[[#This Row],[Precio Cierre]],"NA")</f>
        <v>NA</v>
      </c>
      <c r="M894" s="79" t="str">
        <f>IF(Accion[[#This Row],[Precio Cierre]]=MIN(Accion[Precio Cierre]),Accion[[#This Row],[Precio Cierre]],"NA")</f>
        <v>NA</v>
      </c>
    </row>
    <row r="895" spans="1:13" hidden="1">
      <c r="A895" s="38" t="s">
        <v>90</v>
      </c>
      <c r="B895" s="34">
        <v>42305</v>
      </c>
      <c r="C895" s="35">
        <v>739903</v>
      </c>
      <c r="D895" s="35">
        <v>7527839420</v>
      </c>
      <c r="E895" s="35">
        <v>10440</v>
      </c>
      <c r="F895" s="35">
        <v>10080</v>
      </c>
      <c r="G895" s="35">
        <v>10400</v>
      </c>
      <c r="H895" s="35">
        <v>10174.09</v>
      </c>
      <c r="I895" s="35">
        <v>3.17</v>
      </c>
      <c r="J895" s="35">
        <v>320</v>
      </c>
      <c r="K895" s="71">
        <f>YEAR(Accion[[#This Row],[fecha]])</f>
        <v>2015</v>
      </c>
      <c r="L895" s="79" t="str">
        <f>IF(Accion[[#This Row],[Precio Cierre]]=MAX(Accion[Precio Cierre]),Accion[[#This Row],[Precio Cierre]],"NA")</f>
        <v>NA</v>
      </c>
      <c r="M895" s="79" t="str">
        <f>IF(Accion[[#This Row],[Precio Cierre]]=MIN(Accion[Precio Cierre]),Accion[[#This Row],[Precio Cierre]],"NA")</f>
        <v>NA</v>
      </c>
    </row>
    <row r="896" spans="1:13" hidden="1">
      <c r="A896" s="38" t="s">
        <v>90</v>
      </c>
      <c r="B896" s="34">
        <v>42304</v>
      </c>
      <c r="C896" s="35">
        <v>768914</v>
      </c>
      <c r="D896" s="35">
        <v>7766009600</v>
      </c>
      <c r="E896" s="35">
        <v>10140</v>
      </c>
      <c r="F896" s="35">
        <v>10000</v>
      </c>
      <c r="G896" s="35">
        <v>10080</v>
      </c>
      <c r="H896" s="35">
        <v>10099.969999999999</v>
      </c>
      <c r="I896" s="35">
        <v>-2.14</v>
      </c>
      <c r="J896" s="35">
        <v>-220</v>
      </c>
      <c r="K896" s="71">
        <f>YEAR(Accion[[#This Row],[fecha]])</f>
        <v>2015</v>
      </c>
      <c r="L896" s="79" t="str">
        <f>IF(Accion[[#This Row],[Precio Cierre]]=MAX(Accion[Precio Cierre]),Accion[[#This Row],[Precio Cierre]],"NA")</f>
        <v>NA</v>
      </c>
      <c r="M896" s="79" t="str">
        <f>IF(Accion[[#This Row],[Precio Cierre]]=MIN(Accion[Precio Cierre]),Accion[[#This Row],[Precio Cierre]],"NA")</f>
        <v>NA</v>
      </c>
    </row>
    <row r="897" spans="1:13" hidden="1">
      <c r="A897" s="38" t="s">
        <v>90</v>
      </c>
      <c r="B897" s="34">
        <v>42303</v>
      </c>
      <c r="C897" s="35">
        <v>48160</v>
      </c>
      <c r="D897" s="35">
        <v>499411850</v>
      </c>
      <c r="E897" s="35">
        <v>10560</v>
      </c>
      <c r="F897" s="35">
        <v>10300</v>
      </c>
      <c r="G897" s="35">
        <v>10300</v>
      </c>
      <c r="H897" s="35">
        <v>10369.85</v>
      </c>
      <c r="I897" s="35">
        <v>-2.46</v>
      </c>
      <c r="J897" s="35">
        <v>-260</v>
      </c>
      <c r="K897" s="71">
        <f>YEAR(Accion[[#This Row],[fecha]])</f>
        <v>2015</v>
      </c>
      <c r="L897" s="79" t="str">
        <f>IF(Accion[[#This Row],[Precio Cierre]]=MAX(Accion[Precio Cierre]),Accion[[#This Row],[Precio Cierre]],"NA")</f>
        <v>NA</v>
      </c>
      <c r="M897" s="79" t="str">
        <f>IF(Accion[[#This Row],[Precio Cierre]]=MIN(Accion[Precio Cierre]),Accion[[#This Row],[Precio Cierre]],"NA")</f>
        <v>NA</v>
      </c>
    </row>
    <row r="898" spans="1:13" hidden="1">
      <c r="A898" s="38" t="s">
        <v>90</v>
      </c>
      <c r="B898" s="34">
        <v>42300</v>
      </c>
      <c r="C898" s="35">
        <v>36241</v>
      </c>
      <c r="D898" s="35">
        <v>381960220</v>
      </c>
      <c r="E898" s="35">
        <v>10720</v>
      </c>
      <c r="F898" s="35">
        <v>10460</v>
      </c>
      <c r="G898" s="35">
        <v>10560</v>
      </c>
      <c r="H898" s="35">
        <v>10539.45</v>
      </c>
      <c r="I898" s="35">
        <v>-1.49</v>
      </c>
      <c r="J898" s="35">
        <v>-160</v>
      </c>
      <c r="K898" s="71">
        <f>YEAR(Accion[[#This Row],[fecha]])</f>
        <v>2015</v>
      </c>
      <c r="L898" s="79" t="str">
        <f>IF(Accion[[#This Row],[Precio Cierre]]=MAX(Accion[Precio Cierre]),Accion[[#This Row],[Precio Cierre]],"NA")</f>
        <v>NA</v>
      </c>
      <c r="M898" s="79" t="str">
        <f>IF(Accion[[#This Row],[Precio Cierre]]=MIN(Accion[Precio Cierre]),Accion[[#This Row],[Precio Cierre]],"NA")</f>
        <v>NA</v>
      </c>
    </row>
    <row r="899" spans="1:13" hidden="1">
      <c r="A899" s="38" t="s">
        <v>90</v>
      </c>
      <c r="B899" s="34">
        <v>42299</v>
      </c>
      <c r="C899" s="35">
        <v>324282</v>
      </c>
      <c r="D899" s="35">
        <v>3536594280</v>
      </c>
      <c r="E899" s="35">
        <v>11280</v>
      </c>
      <c r="F899" s="35">
        <v>10720</v>
      </c>
      <c r="G899" s="35">
        <v>10720</v>
      </c>
      <c r="H899" s="35">
        <v>10905.92</v>
      </c>
      <c r="I899" s="35">
        <v>-4.96</v>
      </c>
      <c r="J899" s="35">
        <v>-560</v>
      </c>
      <c r="K899" s="71">
        <f>YEAR(Accion[[#This Row],[fecha]])</f>
        <v>2015</v>
      </c>
      <c r="L899" s="79" t="str">
        <f>IF(Accion[[#This Row],[Precio Cierre]]=MAX(Accion[Precio Cierre]),Accion[[#This Row],[Precio Cierre]],"NA")</f>
        <v>NA</v>
      </c>
      <c r="M899" s="79" t="str">
        <f>IF(Accion[[#This Row],[Precio Cierre]]=MIN(Accion[Precio Cierre]),Accion[[#This Row],[Precio Cierre]],"NA")</f>
        <v>NA</v>
      </c>
    </row>
    <row r="900" spans="1:13" hidden="1">
      <c r="A900" s="38" t="s">
        <v>90</v>
      </c>
      <c r="B900" s="34">
        <v>42298</v>
      </c>
      <c r="C900" s="35">
        <v>371675</v>
      </c>
      <c r="D900" s="35">
        <v>4135780900</v>
      </c>
      <c r="E900" s="35">
        <v>11300</v>
      </c>
      <c r="F900" s="35">
        <v>10860</v>
      </c>
      <c r="G900" s="35">
        <v>11280</v>
      </c>
      <c r="H900" s="35">
        <v>11127.41</v>
      </c>
      <c r="I900" s="35">
        <v>2.5499999999999998</v>
      </c>
      <c r="J900" s="35">
        <v>280</v>
      </c>
      <c r="K900" s="71">
        <f>YEAR(Accion[[#This Row],[fecha]])</f>
        <v>2015</v>
      </c>
      <c r="L900" s="79" t="str">
        <f>IF(Accion[[#This Row],[Precio Cierre]]=MAX(Accion[Precio Cierre]),Accion[[#This Row],[Precio Cierre]],"NA")</f>
        <v>NA</v>
      </c>
      <c r="M900" s="79" t="str">
        <f>IF(Accion[[#This Row],[Precio Cierre]]=MIN(Accion[Precio Cierre]),Accion[[#This Row],[Precio Cierre]],"NA")</f>
        <v>NA</v>
      </c>
    </row>
    <row r="901" spans="1:13" hidden="1">
      <c r="A901" s="38" t="s">
        <v>90</v>
      </c>
      <c r="B901" s="34">
        <v>42297</v>
      </c>
      <c r="C901" s="35">
        <v>253253</v>
      </c>
      <c r="D901" s="35">
        <v>2790575800</v>
      </c>
      <c r="E901" s="35">
        <v>11360</v>
      </c>
      <c r="F901" s="35">
        <v>11000</v>
      </c>
      <c r="G901" s="35">
        <v>11000</v>
      </c>
      <c r="H901" s="35">
        <v>11018.92</v>
      </c>
      <c r="I901" s="35">
        <v>-2.83</v>
      </c>
      <c r="J901" s="35">
        <v>-320</v>
      </c>
      <c r="K901" s="71">
        <f>YEAR(Accion[[#This Row],[fecha]])</f>
        <v>2015</v>
      </c>
      <c r="L901" s="79" t="str">
        <f>IF(Accion[[#This Row],[Precio Cierre]]=MAX(Accion[Precio Cierre]),Accion[[#This Row],[Precio Cierre]],"NA")</f>
        <v>NA</v>
      </c>
      <c r="M901" s="79" t="str">
        <f>IF(Accion[[#This Row],[Precio Cierre]]=MIN(Accion[Precio Cierre]),Accion[[#This Row],[Precio Cierre]],"NA")</f>
        <v>NA</v>
      </c>
    </row>
    <row r="902" spans="1:13" hidden="1">
      <c r="A902" s="38" t="s">
        <v>90</v>
      </c>
      <c r="B902" s="34">
        <v>42296</v>
      </c>
      <c r="C902" s="35">
        <v>221085</v>
      </c>
      <c r="D902" s="35">
        <v>2517266500</v>
      </c>
      <c r="E902" s="35">
        <v>11500</v>
      </c>
      <c r="F902" s="35">
        <v>11300</v>
      </c>
      <c r="G902" s="35">
        <v>11320</v>
      </c>
      <c r="H902" s="35">
        <v>11385.97</v>
      </c>
      <c r="I902" s="35">
        <v>-1.39</v>
      </c>
      <c r="J902" s="35">
        <v>-160</v>
      </c>
      <c r="K902" s="71">
        <f>YEAR(Accion[[#This Row],[fecha]])</f>
        <v>2015</v>
      </c>
      <c r="L902" s="79" t="str">
        <f>IF(Accion[[#This Row],[Precio Cierre]]=MAX(Accion[Precio Cierre]),Accion[[#This Row],[Precio Cierre]],"NA")</f>
        <v>NA</v>
      </c>
      <c r="M902" s="79" t="str">
        <f>IF(Accion[[#This Row],[Precio Cierre]]=MIN(Accion[Precio Cierre]),Accion[[#This Row],[Precio Cierre]],"NA")</f>
        <v>NA</v>
      </c>
    </row>
    <row r="903" spans="1:13" hidden="1">
      <c r="A903" s="38" t="s">
        <v>90</v>
      </c>
      <c r="B903" s="34">
        <v>42293</v>
      </c>
      <c r="C903" s="35">
        <v>40793</v>
      </c>
      <c r="D903" s="35">
        <v>469858880</v>
      </c>
      <c r="E903" s="35">
        <v>11700</v>
      </c>
      <c r="F903" s="35">
        <v>11480</v>
      </c>
      <c r="G903" s="35">
        <v>11480</v>
      </c>
      <c r="H903" s="35">
        <v>11518.13</v>
      </c>
      <c r="I903" s="35">
        <v>-0.17</v>
      </c>
      <c r="J903" s="35">
        <v>-20</v>
      </c>
      <c r="K903" s="71">
        <f>YEAR(Accion[[#This Row],[fecha]])</f>
        <v>2015</v>
      </c>
      <c r="L903" s="79" t="str">
        <f>IF(Accion[[#This Row],[Precio Cierre]]=MAX(Accion[Precio Cierre]),Accion[[#This Row],[Precio Cierre]],"NA")</f>
        <v>NA</v>
      </c>
      <c r="M903" s="79" t="str">
        <f>IF(Accion[[#This Row],[Precio Cierre]]=MIN(Accion[Precio Cierre]),Accion[[#This Row],[Precio Cierre]],"NA")</f>
        <v>NA</v>
      </c>
    </row>
    <row r="904" spans="1:13" hidden="1">
      <c r="A904" s="38" t="s">
        <v>90</v>
      </c>
      <c r="B904" s="34">
        <v>42292</v>
      </c>
      <c r="C904" s="35">
        <v>27841</v>
      </c>
      <c r="D904" s="35">
        <v>320573900</v>
      </c>
      <c r="E904" s="35">
        <v>11680</v>
      </c>
      <c r="F904" s="35">
        <v>11500</v>
      </c>
      <c r="G904" s="35">
        <v>11500</v>
      </c>
      <c r="H904" s="35">
        <v>11514.45</v>
      </c>
      <c r="I904" s="35">
        <v>0</v>
      </c>
      <c r="J904" s="35">
        <v>0</v>
      </c>
      <c r="K904" s="71">
        <f>YEAR(Accion[[#This Row],[fecha]])</f>
        <v>2015</v>
      </c>
      <c r="L904" s="79" t="str">
        <f>IF(Accion[[#This Row],[Precio Cierre]]=MAX(Accion[Precio Cierre]),Accion[[#This Row],[Precio Cierre]],"NA")</f>
        <v>NA</v>
      </c>
      <c r="M904" s="79" t="str">
        <f>IF(Accion[[#This Row],[Precio Cierre]]=MIN(Accion[Precio Cierre]),Accion[[#This Row],[Precio Cierre]],"NA")</f>
        <v>NA</v>
      </c>
    </row>
    <row r="905" spans="1:13" hidden="1">
      <c r="A905" s="38" t="s">
        <v>90</v>
      </c>
      <c r="B905" s="34">
        <v>42291</v>
      </c>
      <c r="C905" s="35">
        <v>63756</v>
      </c>
      <c r="D905" s="35">
        <v>739418620</v>
      </c>
      <c r="E905" s="35">
        <v>11880</v>
      </c>
      <c r="F905" s="35">
        <v>11500</v>
      </c>
      <c r="G905" s="35">
        <v>11500</v>
      </c>
      <c r="H905" s="35">
        <v>11597.63</v>
      </c>
      <c r="I905" s="35">
        <v>0</v>
      </c>
      <c r="J905" s="35">
        <v>0</v>
      </c>
      <c r="K905" s="71">
        <f>YEAR(Accion[[#This Row],[fecha]])</f>
        <v>2015</v>
      </c>
      <c r="L905" s="79" t="str">
        <f>IF(Accion[[#This Row],[Precio Cierre]]=MAX(Accion[Precio Cierre]),Accion[[#This Row],[Precio Cierre]],"NA")</f>
        <v>NA</v>
      </c>
      <c r="M905" s="79" t="str">
        <f>IF(Accion[[#This Row],[Precio Cierre]]=MIN(Accion[Precio Cierre]),Accion[[#This Row],[Precio Cierre]],"NA")</f>
        <v>NA</v>
      </c>
    </row>
    <row r="906" spans="1:13" hidden="1">
      <c r="A906" s="38" t="s">
        <v>90</v>
      </c>
      <c r="B906" s="34">
        <v>42290</v>
      </c>
      <c r="C906" s="35">
        <v>1340355</v>
      </c>
      <c r="D906" s="35">
        <v>15692375280</v>
      </c>
      <c r="E906" s="35">
        <v>11800</v>
      </c>
      <c r="F906" s="35">
        <v>11500</v>
      </c>
      <c r="G906" s="35">
        <v>11500</v>
      </c>
      <c r="H906" s="35">
        <v>11707.63</v>
      </c>
      <c r="I906" s="35">
        <v>-1.88</v>
      </c>
      <c r="J906" s="35">
        <v>-220</v>
      </c>
      <c r="K906" s="71">
        <f>YEAR(Accion[[#This Row],[fecha]])</f>
        <v>2015</v>
      </c>
      <c r="L906" s="79" t="str">
        <f>IF(Accion[[#This Row],[Precio Cierre]]=MAX(Accion[Precio Cierre]),Accion[[#This Row],[Precio Cierre]],"NA")</f>
        <v>NA</v>
      </c>
      <c r="M906" s="79" t="str">
        <f>IF(Accion[[#This Row],[Precio Cierre]]=MIN(Accion[Precio Cierre]),Accion[[#This Row],[Precio Cierre]],"NA")</f>
        <v>NA</v>
      </c>
    </row>
    <row r="907" spans="1:13" hidden="1">
      <c r="A907" s="38" t="s">
        <v>90</v>
      </c>
      <c r="B907" s="34">
        <v>42286</v>
      </c>
      <c r="C907" s="35">
        <v>712805</v>
      </c>
      <c r="D907" s="35">
        <v>8346274940</v>
      </c>
      <c r="E907" s="35">
        <v>11960</v>
      </c>
      <c r="F907" s="35">
        <v>11600</v>
      </c>
      <c r="G907" s="35">
        <v>11720</v>
      </c>
      <c r="H907" s="35">
        <v>11709.06</v>
      </c>
      <c r="I907" s="35">
        <v>0.34</v>
      </c>
      <c r="J907" s="35">
        <v>40</v>
      </c>
      <c r="K907" s="71">
        <f>YEAR(Accion[[#This Row],[fecha]])</f>
        <v>2015</v>
      </c>
      <c r="L907" s="79" t="str">
        <f>IF(Accion[[#This Row],[Precio Cierre]]=MAX(Accion[Precio Cierre]),Accion[[#This Row],[Precio Cierre]],"NA")</f>
        <v>NA</v>
      </c>
      <c r="M907" s="79" t="str">
        <f>IF(Accion[[#This Row],[Precio Cierre]]=MIN(Accion[Precio Cierre]),Accion[[#This Row],[Precio Cierre]],"NA")</f>
        <v>NA</v>
      </c>
    </row>
    <row r="908" spans="1:13" hidden="1">
      <c r="A908" s="38" t="s">
        <v>90</v>
      </c>
      <c r="B908" s="34">
        <v>42285</v>
      </c>
      <c r="C908" s="35">
        <v>210062</v>
      </c>
      <c r="D908" s="35">
        <v>2452767660</v>
      </c>
      <c r="E908" s="35">
        <v>11900</v>
      </c>
      <c r="F908" s="35">
        <v>11600</v>
      </c>
      <c r="G908" s="35">
        <v>11680</v>
      </c>
      <c r="H908" s="35">
        <v>11676.4</v>
      </c>
      <c r="I908" s="35">
        <v>0.69</v>
      </c>
      <c r="J908" s="35">
        <v>80</v>
      </c>
      <c r="K908" s="71">
        <f>YEAR(Accion[[#This Row],[fecha]])</f>
        <v>2015</v>
      </c>
      <c r="L908" s="79" t="str">
        <f>IF(Accion[[#This Row],[Precio Cierre]]=MAX(Accion[Precio Cierre]),Accion[[#This Row],[Precio Cierre]],"NA")</f>
        <v>NA</v>
      </c>
      <c r="M908" s="79" t="str">
        <f>IF(Accion[[#This Row],[Precio Cierre]]=MIN(Accion[Precio Cierre]),Accion[[#This Row],[Precio Cierre]],"NA")</f>
        <v>NA</v>
      </c>
    </row>
    <row r="909" spans="1:13" hidden="1">
      <c r="A909" s="38" t="s">
        <v>90</v>
      </c>
      <c r="B909" s="34">
        <v>42284</v>
      </c>
      <c r="C909" s="35">
        <v>446089</v>
      </c>
      <c r="D909" s="35">
        <v>5182468720</v>
      </c>
      <c r="E909" s="35">
        <v>11800</v>
      </c>
      <c r="F909" s="35">
        <v>11220</v>
      </c>
      <c r="G909" s="35">
        <v>11600</v>
      </c>
      <c r="H909" s="35">
        <v>11617.57</v>
      </c>
      <c r="I909" s="35">
        <v>-2.52</v>
      </c>
      <c r="J909" s="35">
        <v>-300</v>
      </c>
      <c r="K909" s="71">
        <f>YEAR(Accion[[#This Row],[fecha]])</f>
        <v>2015</v>
      </c>
      <c r="L909" s="79" t="str">
        <f>IF(Accion[[#This Row],[Precio Cierre]]=MAX(Accion[Precio Cierre]),Accion[[#This Row],[Precio Cierre]],"NA")</f>
        <v>NA</v>
      </c>
      <c r="M909" s="79" t="str">
        <f>IF(Accion[[#This Row],[Precio Cierre]]=MIN(Accion[Precio Cierre]),Accion[[#This Row],[Precio Cierre]],"NA")</f>
        <v>NA</v>
      </c>
    </row>
    <row r="910" spans="1:13" hidden="1">
      <c r="A910" s="38" t="s">
        <v>90</v>
      </c>
      <c r="B910" s="34">
        <v>42283</v>
      </c>
      <c r="C910" s="35">
        <v>258785</v>
      </c>
      <c r="D910" s="35">
        <v>3094241620</v>
      </c>
      <c r="E910" s="35">
        <v>12100</v>
      </c>
      <c r="F910" s="35">
        <v>11840</v>
      </c>
      <c r="G910" s="35">
        <v>11900</v>
      </c>
      <c r="H910" s="35">
        <v>11956.8</v>
      </c>
      <c r="I910" s="35">
        <v>0</v>
      </c>
      <c r="J910" s="35">
        <v>0</v>
      </c>
      <c r="K910" s="71">
        <f>YEAR(Accion[[#This Row],[fecha]])</f>
        <v>2015</v>
      </c>
      <c r="L910" s="79" t="str">
        <f>IF(Accion[[#This Row],[Precio Cierre]]=MAX(Accion[Precio Cierre]),Accion[[#This Row],[Precio Cierre]],"NA")</f>
        <v>NA</v>
      </c>
      <c r="M910" s="79" t="str">
        <f>IF(Accion[[#This Row],[Precio Cierre]]=MIN(Accion[Precio Cierre]),Accion[[#This Row],[Precio Cierre]],"NA")</f>
        <v>NA</v>
      </c>
    </row>
    <row r="911" spans="1:13" hidden="1">
      <c r="A911" s="38" t="s">
        <v>90</v>
      </c>
      <c r="B911" s="34">
        <v>42282</v>
      </c>
      <c r="C911" s="35">
        <v>297404</v>
      </c>
      <c r="D911" s="35">
        <v>3563996500</v>
      </c>
      <c r="E911" s="35">
        <v>12040</v>
      </c>
      <c r="F911" s="35">
        <v>11900</v>
      </c>
      <c r="G911" s="35">
        <v>11900</v>
      </c>
      <c r="H911" s="35">
        <v>11983.69</v>
      </c>
      <c r="I911" s="35">
        <v>-2.2999999999999998</v>
      </c>
      <c r="J911" s="35">
        <v>-280</v>
      </c>
      <c r="K911" s="71">
        <f>YEAR(Accion[[#This Row],[fecha]])</f>
        <v>2015</v>
      </c>
      <c r="L911" s="79" t="str">
        <f>IF(Accion[[#This Row],[Precio Cierre]]=MAX(Accion[Precio Cierre]),Accion[[#This Row],[Precio Cierre]],"NA")</f>
        <v>NA</v>
      </c>
      <c r="M911" s="79" t="str">
        <f>IF(Accion[[#This Row],[Precio Cierre]]=MIN(Accion[Precio Cierre]),Accion[[#This Row],[Precio Cierre]],"NA")</f>
        <v>NA</v>
      </c>
    </row>
    <row r="912" spans="1:13" hidden="1">
      <c r="A912" s="38" t="s">
        <v>90</v>
      </c>
      <c r="B912" s="34">
        <v>42279</v>
      </c>
      <c r="C912" s="35">
        <v>24685</v>
      </c>
      <c r="D912" s="35">
        <v>296516020</v>
      </c>
      <c r="E912" s="35">
        <v>12180</v>
      </c>
      <c r="F912" s="35">
        <v>12000</v>
      </c>
      <c r="G912" s="35">
        <v>12180</v>
      </c>
      <c r="H912" s="35">
        <v>12011.99</v>
      </c>
      <c r="I912" s="35">
        <v>0.83</v>
      </c>
      <c r="J912" s="35">
        <v>100</v>
      </c>
      <c r="K912" s="71">
        <f>YEAR(Accion[[#This Row],[fecha]])</f>
        <v>2015</v>
      </c>
      <c r="L912" s="79" t="str">
        <f>IF(Accion[[#This Row],[Precio Cierre]]=MAX(Accion[Precio Cierre]),Accion[[#This Row],[Precio Cierre]],"NA")</f>
        <v>NA</v>
      </c>
      <c r="M912" s="79" t="str">
        <f>IF(Accion[[#This Row],[Precio Cierre]]=MIN(Accion[Precio Cierre]),Accion[[#This Row],[Precio Cierre]],"NA")</f>
        <v>NA</v>
      </c>
    </row>
    <row r="913" spans="1:13" hidden="1">
      <c r="A913" s="38" t="s">
        <v>90</v>
      </c>
      <c r="B913" s="34">
        <v>42278</v>
      </c>
      <c r="C913" s="35">
        <v>215057</v>
      </c>
      <c r="D913" s="35">
        <v>2596175020</v>
      </c>
      <c r="E913" s="35">
        <v>12200</v>
      </c>
      <c r="F913" s="35">
        <v>12020</v>
      </c>
      <c r="G913" s="35">
        <v>12080</v>
      </c>
      <c r="H913" s="35">
        <v>12072.03</v>
      </c>
      <c r="I913" s="35">
        <v>-1.79</v>
      </c>
      <c r="J913" s="35">
        <v>-220</v>
      </c>
      <c r="K913" s="71">
        <f>YEAR(Accion[[#This Row],[fecha]])</f>
        <v>2015</v>
      </c>
      <c r="L913" s="79" t="str">
        <f>IF(Accion[[#This Row],[Precio Cierre]]=MAX(Accion[Precio Cierre]),Accion[[#This Row],[Precio Cierre]],"NA")</f>
        <v>NA</v>
      </c>
      <c r="M913" s="79" t="str">
        <f>IF(Accion[[#This Row],[Precio Cierre]]=MIN(Accion[Precio Cierre]),Accion[[#This Row],[Precio Cierre]],"NA")</f>
        <v>NA</v>
      </c>
    </row>
    <row r="914" spans="1:13" hidden="1">
      <c r="A914" s="38" t="s">
        <v>90</v>
      </c>
      <c r="B914" s="34">
        <v>42277</v>
      </c>
      <c r="C914" s="35">
        <v>219922</v>
      </c>
      <c r="D914" s="35">
        <v>2658616660</v>
      </c>
      <c r="E914" s="35">
        <v>12300</v>
      </c>
      <c r="F914" s="35">
        <v>12020</v>
      </c>
      <c r="G914" s="35">
        <v>12300</v>
      </c>
      <c r="H914" s="35">
        <v>12088.91</v>
      </c>
      <c r="I914" s="35">
        <v>1.65</v>
      </c>
      <c r="J914" s="35">
        <v>200</v>
      </c>
      <c r="K914" s="71">
        <f>YEAR(Accion[[#This Row],[fecha]])</f>
        <v>2015</v>
      </c>
      <c r="L914" s="79" t="str">
        <f>IF(Accion[[#This Row],[Precio Cierre]]=MAX(Accion[Precio Cierre]),Accion[[#This Row],[Precio Cierre]],"NA")</f>
        <v>NA</v>
      </c>
      <c r="M914" s="79" t="str">
        <f>IF(Accion[[#This Row],[Precio Cierre]]=MIN(Accion[Precio Cierre]),Accion[[#This Row],[Precio Cierre]],"NA")</f>
        <v>NA</v>
      </c>
    </row>
    <row r="915" spans="1:13" hidden="1">
      <c r="A915" s="38" t="s">
        <v>90</v>
      </c>
      <c r="B915" s="34">
        <v>42276</v>
      </c>
      <c r="C915" s="35">
        <v>539160</v>
      </c>
      <c r="D915" s="35">
        <v>6476174540</v>
      </c>
      <c r="E915" s="35">
        <v>12100</v>
      </c>
      <c r="F915" s="35">
        <v>11860</v>
      </c>
      <c r="G915" s="35">
        <v>12100</v>
      </c>
      <c r="H915" s="35">
        <v>12011.6</v>
      </c>
      <c r="I915" s="35">
        <v>-0.82</v>
      </c>
      <c r="J915" s="35">
        <v>-100</v>
      </c>
      <c r="K915" s="71">
        <f>YEAR(Accion[[#This Row],[fecha]])</f>
        <v>2015</v>
      </c>
      <c r="L915" s="79" t="str">
        <f>IF(Accion[[#This Row],[Precio Cierre]]=MAX(Accion[Precio Cierre]),Accion[[#This Row],[Precio Cierre]],"NA")</f>
        <v>NA</v>
      </c>
      <c r="M915" s="79" t="str">
        <f>IF(Accion[[#This Row],[Precio Cierre]]=MIN(Accion[Precio Cierre]),Accion[[#This Row],[Precio Cierre]],"NA")</f>
        <v>NA</v>
      </c>
    </row>
    <row r="916" spans="1:13" hidden="1">
      <c r="A916" s="38" t="s">
        <v>90</v>
      </c>
      <c r="B916" s="34">
        <v>42275</v>
      </c>
      <c r="C916" s="35">
        <v>450</v>
      </c>
      <c r="D916" s="35">
        <v>5349000</v>
      </c>
      <c r="E916" s="35">
        <v>0</v>
      </c>
      <c r="F916" s="35">
        <v>0</v>
      </c>
      <c r="G916" s="35">
        <v>12200</v>
      </c>
      <c r="H916" s="35">
        <v>11886.67</v>
      </c>
      <c r="I916" s="35">
        <v>0</v>
      </c>
      <c r="J916" s="35">
        <v>0</v>
      </c>
      <c r="K916" s="71">
        <f>YEAR(Accion[[#This Row],[fecha]])</f>
        <v>2015</v>
      </c>
      <c r="L916" s="79" t="str">
        <f>IF(Accion[[#This Row],[Precio Cierre]]=MAX(Accion[Precio Cierre]),Accion[[#This Row],[Precio Cierre]],"NA")</f>
        <v>NA</v>
      </c>
      <c r="M916" s="79" t="str">
        <f>IF(Accion[[#This Row],[Precio Cierre]]=MIN(Accion[Precio Cierre]),Accion[[#This Row],[Precio Cierre]],"NA")</f>
        <v>NA</v>
      </c>
    </row>
    <row r="917" spans="1:13" hidden="1">
      <c r="A917" s="38" t="s">
        <v>90</v>
      </c>
      <c r="B917" s="34">
        <v>42272</v>
      </c>
      <c r="C917" s="35">
        <v>122229</v>
      </c>
      <c r="D917" s="35">
        <v>1484462220</v>
      </c>
      <c r="E917" s="35">
        <v>12200</v>
      </c>
      <c r="F917" s="35">
        <v>11840</v>
      </c>
      <c r="G917" s="35">
        <v>12200</v>
      </c>
      <c r="H917" s="35">
        <v>12144.93</v>
      </c>
      <c r="I917" s="35">
        <v>0</v>
      </c>
      <c r="J917" s="35">
        <v>0</v>
      </c>
      <c r="K917" s="71">
        <f>YEAR(Accion[[#This Row],[fecha]])</f>
        <v>2015</v>
      </c>
      <c r="L917" s="79" t="str">
        <f>IF(Accion[[#This Row],[Precio Cierre]]=MAX(Accion[Precio Cierre]),Accion[[#This Row],[Precio Cierre]],"NA")</f>
        <v>NA</v>
      </c>
      <c r="M917" s="79" t="str">
        <f>IF(Accion[[#This Row],[Precio Cierre]]=MIN(Accion[Precio Cierre]),Accion[[#This Row],[Precio Cierre]],"NA")</f>
        <v>NA</v>
      </c>
    </row>
    <row r="918" spans="1:13" hidden="1">
      <c r="A918" s="38" t="s">
        <v>90</v>
      </c>
      <c r="B918" s="34">
        <v>42271</v>
      </c>
      <c r="C918" s="35">
        <v>105670</v>
      </c>
      <c r="D918" s="35">
        <v>1284267180</v>
      </c>
      <c r="E918" s="35">
        <v>12680</v>
      </c>
      <c r="F918" s="35">
        <v>12000</v>
      </c>
      <c r="G918" s="35">
        <v>12200</v>
      </c>
      <c r="H918" s="35">
        <v>12153.56</v>
      </c>
      <c r="I918" s="35">
        <v>0</v>
      </c>
      <c r="J918" s="35">
        <v>0</v>
      </c>
      <c r="K918" s="71">
        <f>YEAR(Accion[[#This Row],[fecha]])</f>
        <v>2015</v>
      </c>
      <c r="L918" s="79" t="str">
        <f>IF(Accion[[#This Row],[Precio Cierre]]=MAX(Accion[Precio Cierre]),Accion[[#This Row],[Precio Cierre]],"NA")</f>
        <v>NA</v>
      </c>
      <c r="M918" s="79" t="str">
        <f>IF(Accion[[#This Row],[Precio Cierre]]=MIN(Accion[Precio Cierre]),Accion[[#This Row],[Precio Cierre]],"NA")</f>
        <v>NA</v>
      </c>
    </row>
    <row r="919" spans="1:13" hidden="1">
      <c r="A919" s="38" t="s">
        <v>90</v>
      </c>
      <c r="B919" s="34">
        <v>42270</v>
      </c>
      <c r="C919" s="35">
        <v>333087</v>
      </c>
      <c r="D919" s="35">
        <v>4135619680</v>
      </c>
      <c r="E919" s="35">
        <v>12500</v>
      </c>
      <c r="F919" s="35">
        <v>12200</v>
      </c>
      <c r="G919" s="35">
        <v>12200</v>
      </c>
      <c r="H919" s="35">
        <v>12416.03</v>
      </c>
      <c r="I919" s="35">
        <v>-2.4</v>
      </c>
      <c r="J919" s="35">
        <v>-300</v>
      </c>
      <c r="K919" s="71">
        <f>YEAR(Accion[[#This Row],[fecha]])</f>
        <v>2015</v>
      </c>
      <c r="L919" s="79" t="str">
        <f>IF(Accion[[#This Row],[Precio Cierre]]=MAX(Accion[Precio Cierre]),Accion[[#This Row],[Precio Cierre]],"NA")</f>
        <v>NA</v>
      </c>
      <c r="M919" s="79" t="str">
        <f>IF(Accion[[#This Row],[Precio Cierre]]=MIN(Accion[Precio Cierre]),Accion[[#This Row],[Precio Cierre]],"NA")</f>
        <v>NA</v>
      </c>
    </row>
    <row r="920" spans="1:13" hidden="1">
      <c r="A920" s="38" t="s">
        <v>90</v>
      </c>
      <c r="B920" s="34">
        <v>42269</v>
      </c>
      <c r="C920" s="35">
        <v>49521</v>
      </c>
      <c r="D920" s="35">
        <v>611637340</v>
      </c>
      <c r="E920" s="35">
        <v>12500</v>
      </c>
      <c r="F920" s="35">
        <v>12260</v>
      </c>
      <c r="G920" s="35">
        <v>12500</v>
      </c>
      <c r="H920" s="35">
        <v>12351.07</v>
      </c>
      <c r="I920" s="35">
        <v>-1.57</v>
      </c>
      <c r="J920" s="35">
        <v>-200</v>
      </c>
      <c r="K920" s="71">
        <f>YEAR(Accion[[#This Row],[fecha]])</f>
        <v>2015</v>
      </c>
      <c r="L920" s="79" t="str">
        <f>IF(Accion[[#This Row],[Precio Cierre]]=MAX(Accion[Precio Cierre]),Accion[[#This Row],[Precio Cierre]],"NA")</f>
        <v>NA</v>
      </c>
      <c r="M920" s="79" t="str">
        <f>IF(Accion[[#This Row],[Precio Cierre]]=MIN(Accion[Precio Cierre]),Accion[[#This Row],[Precio Cierre]],"NA")</f>
        <v>NA</v>
      </c>
    </row>
    <row r="921" spans="1:13" hidden="1">
      <c r="A921" s="38" t="s">
        <v>90</v>
      </c>
      <c r="B921" s="34">
        <v>42268</v>
      </c>
      <c r="C921" s="35">
        <v>29843</v>
      </c>
      <c r="D921" s="35">
        <v>380161860</v>
      </c>
      <c r="E921" s="35">
        <v>12760</v>
      </c>
      <c r="F921" s="35">
        <v>12700</v>
      </c>
      <c r="G921" s="35">
        <v>12700</v>
      </c>
      <c r="H921" s="35">
        <v>12738.73</v>
      </c>
      <c r="I921" s="35">
        <v>-1.0900000000000001</v>
      </c>
      <c r="J921" s="35">
        <v>-140</v>
      </c>
      <c r="K921" s="71">
        <f>YEAR(Accion[[#This Row],[fecha]])</f>
        <v>2015</v>
      </c>
      <c r="L921" s="79" t="str">
        <f>IF(Accion[[#This Row],[Precio Cierre]]=MAX(Accion[Precio Cierre]),Accion[[#This Row],[Precio Cierre]],"NA")</f>
        <v>NA</v>
      </c>
      <c r="M921" s="79" t="str">
        <f>IF(Accion[[#This Row],[Precio Cierre]]=MIN(Accion[Precio Cierre]),Accion[[#This Row],[Precio Cierre]],"NA")</f>
        <v>NA</v>
      </c>
    </row>
    <row r="922" spans="1:13" hidden="1">
      <c r="A922" s="38" t="s">
        <v>90</v>
      </c>
      <c r="B922" s="34">
        <v>42265</v>
      </c>
      <c r="C922" s="35">
        <v>270150</v>
      </c>
      <c r="D922" s="35">
        <v>3424837860</v>
      </c>
      <c r="E922" s="35">
        <v>12840</v>
      </c>
      <c r="F922" s="35">
        <v>12020</v>
      </c>
      <c r="G922" s="35">
        <v>12840</v>
      </c>
      <c r="H922" s="35">
        <v>12677.54</v>
      </c>
      <c r="I922" s="35">
        <v>2.88</v>
      </c>
      <c r="J922" s="35">
        <v>360</v>
      </c>
      <c r="K922" s="71">
        <f>YEAR(Accion[[#This Row],[fecha]])</f>
        <v>2015</v>
      </c>
      <c r="L922" s="79" t="str">
        <f>IF(Accion[[#This Row],[Precio Cierre]]=MAX(Accion[Precio Cierre]),Accion[[#This Row],[Precio Cierre]],"NA")</f>
        <v>NA</v>
      </c>
      <c r="M922" s="79" t="str">
        <f>IF(Accion[[#This Row],[Precio Cierre]]=MIN(Accion[Precio Cierre]),Accion[[#This Row],[Precio Cierre]],"NA")</f>
        <v>NA</v>
      </c>
    </row>
    <row r="923" spans="1:13" hidden="1">
      <c r="A923" s="38" t="s">
        <v>90</v>
      </c>
      <c r="B923" s="34">
        <v>42264</v>
      </c>
      <c r="C923" s="35">
        <v>155791</v>
      </c>
      <c r="D923" s="35">
        <v>1934739380</v>
      </c>
      <c r="E923" s="35">
        <v>12500</v>
      </c>
      <c r="F923" s="35">
        <v>12380</v>
      </c>
      <c r="G923" s="35">
        <v>12480</v>
      </c>
      <c r="H923" s="35">
        <v>12418.81</v>
      </c>
      <c r="I923" s="35">
        <v>-1.58</v>
      </c>
      <c r="J923" s="35">
        <v>-200</v>
      </c>
      <c r="K923" s="71">
        <f>YEAR(Accion[[#This Row],[fecha]])</f>
        <v>2015</v>
      </c>
      <c r="L923" s="79" t="str">
        <f>IF(Accion[[#This Row],[Precio Cierre]]=MAX(Accion[Precio Cierre]),Accion[[#This Row],[Precio Cierre]],"NA")</f>
        <v>NA</v>
      </c>
      <c r="M923" s="79" t="str">
        <f>IF(Accion[[#This Row],[Precio Cierre]]=MIN(Accion[Precio Cierre]),Accion[[#This Row],[Precio Cierre]],"NA")</f>
        <v>NA</v>
      </c>
    </row>
    <row r="924" spans="1:13" hidden="1">
      <c r="A924" s="38" t="s">
        <v>90</v>
      </c>
      <c r="B924" s="34">
        <v>42263</v>
      </c>
      <c r="C924" s="35">
        <v>714199</v>
      </c>
      <c r="D924" s="35">
        <v>8742954740</v>
      </c>
      <c r="E924" s="35">
        <v>12680</v>
      </c>
      <c r="F924" s="35">
        <v>12100</v>
      </c>
      <c r="G924" s="35">
        <v>12680</v>
      </c>
      <c r="H924" s="35">
        <v>12241.62</v>
      </c>
      <c r="I924" s="35">
        <v>4.97</v>
      </c>
      <c r="J924" s="35">
        <v>600</v>
      </c>
      <c r="K924" s="71">
        <f>YEAR(Accion[[#This Row],[fecha]])</f>
        <v>2015</v>
      </c>
      <c r="L924" s="79" t="str">
        <f>IF(Accion[[#This Row],[Precio Cierre]]=MAX(Accion[Precio Cierre]),Accion[[#This Row],[Precio Cierre]],"NA")</f>
        <v>NA</v>
      </c>
      <c r="M924" s="79" t="str">
        <f>IF(Accion[[#This Row],[Precio Cierre]]=MIN(Accion[Precio Cierre]),Accion[[#This Row],[Precio Cierre]],"NA")</f>
        <v>NA</v>
      </c>
    </row>
    <row r="925" spans="1:13" hidden="1">
      <c r="A925" s="38" t="s">
        <v>90</v>
      </c>
      <c r="B925" s="34">
        <v>42262</v>
      </c>
      <c r="C925" s="35">
        <v>610430</v>
      </c>
      <c r="D925" s="35">
        <v>7238491860</v>
      </c>
      <c r="E925" s="35">
        <v>12200</v>
      </c>
      <c r="F925" s="35">
        <v>11600</v>
      </c>
      <c r="G925" s="35">
        <v>12080</v>
      </c>
      <c r="H925" s="35">
        <v>11858.02</v>
      </c>
      <c r="I925" s="35">
        <v>4.1399999999999997</v>
      </c>
      <c r="J925" s="35">
        <v>480</v>
      </c>
      <c r="K925" s="71">
        <f>YEAR(Accion[[#This Row],[fecha]])</f>
        <v>2015</v>
      </c>
      <c r="L925" s="79" t="str">
        <f>IF(Accion[[#This Row],[Precio Cierre]]=MAX(Accion[Precio Cierre]),Accion[[#This Row],[Precio Cierre]],"NA")</f>
        <v>NA</v>
      </c>
      <c r="M925" s="79" t="str">
        <f>IF(Accion[[#This Row],[Precio Cierre]]=MIN(Accion[Precio Cierre]),Accion[[#This Row],[Precio Cierre]],"NA")</f>
        <v>NA</v>
      </c>
    </row>
    <row r="926" spans="1:13" hidden="1">
      <c r="A926" s="38" t="s">
        <v>90</v>
      </c>
      <c r="B926" s="34">
        <v>42261</v>
      </c>
      <c r="C926" s="35">
        <v>176992</v>
      </c>
      <c r="D926" s="35">
        <v>2054942160</v>
      </c>
      <c r="E926" s="35">
        <v>11700</v>
      </c>
      <c r="F926" s="35">
        <v>11540</v>
      </c>
      <c r="G926" s="35">
        <v>11600</v>
      </c>
      <c r="H926" s="35">
        <v>11610.37</v>
      </c>
      <c r="I926" s="35">
        <v>-0.85</v>
      </c>
      <c r="J926" s="35">
        <v>-100</v>
      </c>
      <c r="K926" s="71">
        <f>YEAR(Accion[[#This Row],[fecha]])</f>
        <v>2015</v>
      </c>
      <c r="L926" s="79" t="str">
        <f>IF(Accion[[#This Row],[Precio Cierre]]=MAX(Accion[Precio Cierre]),Accion[[#This Row],[Precio Cierre]],"NA")</f>
        <v>NA</v>
      </c>
      <c r="M926" s="79" t="str">
        <f>IF(Accion[[#This Row],[Precio Cierre]]=MIN(Accion[Precio Cierre]),Accion[[#This Row],[Precio Cierre]],"NA")</f>
        <v>NA</v>
      </c>
    </row>
    <row r="927" spans="1:13" hidden="1">
      <c r="A927" s="38" t="s">
        <v>90</v>
      </c>
      <c r="B927" s="34">
        <v>42258</v>
      </c>
      <c r="C927" s="35">
        <v>545011</v>
      </c>
      <c r="D927" s="35">
        <v>6371920260</v>
      </c>
      <c r="E927" s="35">
        <v>11760</v>
      </c>
      <c r="F927" s="35">
        <v>11420</v>
      </c>
      <c r="G927" s="35">
        <v>11700</v>
      </c>
      <c r="H927" s="35">
        <v>11691.36</v>
      </c>
      <c r="I927" s="35">
        <v>2.4500000000000002</v>
      </c>
      <c r="J927" s="35">
        <v>280</v>
      </c>
      <c r="K927" s="71">
        <f>YEAR(Accion[[#This Row],[fecha]])</f>
        <v>2015</v>
      </c>
      <c r="L927" s="79" t="str">
        <f>IF(Accion[[#This Row],[Precio Cierre]]=MAX(Accion[Precio Cierre]),Accion[[#This Row],[Precio Cierre]],"NA")</f>
        <v>NA</v>
      </c>
      <c r="M927" s="79" t="str">
        <f>IF(Accion[[#This Row],[Precio Cierre]]=MIN(Accion[Precio Cierre]),Accion[[#This Row],[Precio Cierre]],"NA")</f>
        <v>NA</v>
      </c>
    </row>
    <row r="928" spans="1:13" hidden="1">
      <c r="A928" s="38" t="s">
        <v>90</v>
      </c>
      <c r="B928" s="34">
        <v>42257</v>
      </c>
      <c r="C928" s="35">
        <v>49907</v>
      </c>
      <c r="D928" s="35">
        <v>572394360</v>
      </c>
      <c r="E928" s="35">
        <v>11600</v>
      </c>
      <c r="F928" s="35">
        <v>11420</v>
      </c>
      <c r="G928" s="35">
        <v>11420</v>
      </c>
      <c r="H928" s="35">
        <v>11469.22</v>
      </c>
      <c r="I928" s="35">
        <v>-0.7</v>
      </c>
      <c r="J928" s="35">
        <v>-80</v>
      </c>
      <c r="K928" s="71">
        <f>YEAR(Accion[[#This Row],[fecha]])</f>
        <v>2015</v>
      </c>
      <c r="L928" s="79" t="str">
        <f>IF(Accion[[#This Row],[Precio Cierre]]=MAX(Accion[Precio Cierre]),Accion[[#This Row],[Precio Cierre]],"NA")</f>
        <v>NA</v>
      </c>
      <c r="M928" s="79" t="str">
        <f>IF(Accion[[#This Row],[Precio Cierre]]=MIN(Accion[Precio Cierre]),Accion[[#This Row],[Precio Cierre]],"NA")</f>
        <v>NA</v>
      </c>
    </row>
    <row r="929" spans="1:13" hidden="1">
      <c r="A929" s="38" t="s">
        <v>90</v>
      </c>
      <c r="B929" s="34">
        <v>42256</v>
      </c>
      <c r="C929" s="35">
        <v>70192</v>
      </c>
      <c r="D929" s="35">
        <v>810815820</v>
      </c>
      <c r="E929" s="35">
        <v>11760</v>
      </c>
      <c r="F929" s="35">
        <v>11500</v>
      </c>
      <c r="G929" s="35">
        <v>11500</v>
      </c>
      <c r="H929" s="35">
        <v>11551.4</v>
      </c>
      <c r="I929" s="35">
        <v>-0.52</v>
      </c>
      <c r="J929" s="35">
        <v>-60</v>
      </c>
      <c r="K929" s="71">
        <f>YEAR(Accion[[#This Row],[fecha]])</f>
        <v>2015</v>
      </c>
      <c r="L929" s="79" t="str">
        <f>IF(Accion[[#This Row],[Precio Cierre]]=MAX(Accion[Precio Cierre]),Accion[[#This Row],[Precio Cierre]],"NA")</f>
        <v>NA</v>
      </c>
      <c r="M929" s="79" t="str">
        <f>IF(Accion[[#This Row],[Precio Cierre]]=MIN(Accion[Precio Cierre]),Accion[[#This Row],[Precio Cierre]],"NA")</f>
        <v>NA</v>
      </c>
    </row>
    <row r="930" spans="1:13" hidden="1">
      <c r="A930" s="38" t="s">
        <v>90</v>
      </c>
      <c r="B930" s="34">
        <v>42255</v>
      </c>
      <c r="C930" s="35">
        <v>404013</v>
      </c>
      <c r="D930" s="35">
        <v>4698191020</v>
      </c>
      <c r="E930" s="35">
        <v>11820</v>
      </c>
      <c r="F930" s="35">
        <v>11560</v>
      </c>
      <c r="G930" s="35">
        <v>11560</v>
      </c>
      <c r="H930" s="35">
        <v>11628.81</v>
      </c>
      <c r="I930" s="35">
        <v>0.52</v>
      </c>
      <c r="J930" s="35">
        <v>60</v>
      </c>
      <c r="K930" s="71">
        <f>YEAR(Accion[[#This Row],[fecha]])</f>
        <v>2015</v>
      </c>
      <c r="L930" s="79" t="str">
        <f>IF(Accion[[#This Row],[Precio Cierre]]=MAX(Accion[Precio Cierre]),Accion[[#This Row],[Precio Cierre]],"NA")</f>
        <v>NA</v>
      </c>
      <c r="M930" s="79" t="str">
        <f>IF(Accion[[#This Row],[Precio Cierre]]=MIN(Accion[Precio Cierre]),Accion[[#This Row],[Precio Cierre]],"NA")</f>
        <v>NA</v>
      </c>
    </row>
    <row r="931" spans="1:13" hidden="1">
      <c r="A931" s="38" t="s">
        <v>90</v>
      </c>
      <c r="B931" s="34">
        <v>42254</v>
      </c>
      <c r="C931" s="35">
        <v>166261</v>
      </c>
      <c r="D931" s="35">
        <v>1911700900</v>
      </c>
      <c r="E931" s="35">
        <v>11500</v>
      </c>
      <c r="F931" s="35">
        <v>11400</v>
      </c>
      <c r="G931" s="35">
        <v>11500</v>
      </c>
      <c r="H931" s="35">
        <v>11498.19</v>
      </c>
      <c r="I931" s="35">
        <v>0</v>
      </c>
      <c r="J931" s="35">
        <v>0</v>
      </c>
      <c r="K931" s="71">
        <f>YEAR(Accion[[#This Row],[fecha]])</f>
        <v>2015</v>
      </c>
      <c r="L931" s="79" t="str">
        <f>IF(Accion[[#This Row],[Precio Cierre]]=MAX(Accion[Precio Cierre]),Accion[[#This Row],[Precio Cierre]],"NA")</f>
        <v>NA</v>
      </c>
      <c r="M931" s="79" t="str">
        <f>IF(Accion[[#This Row],[Precio Cierre]]=MIN(Accion[Precio Cierre]),Accion[[#This Row],[Precio Cierre]],"NA")</f>
        <v>NA</v>
      </c>
    </row>
    <row r="932" spans="1:13" hidden="1">
      <c r="A932" s="38" t="s">
        <v>90</v>
      </c>
      <c r="B932" s="34">
        <v>42251</v>
      </c>
      <c r="C932" s="35">
        <v>174710</v>
      </c>
      <c r="D932" s="35">
        <v>2019931420</v>
      </c>
      <c r="E932" s="35">
        <v>11700</v>
      </c>
      <c r="F932" s="35">
        <v>11500</v>
      </c>
      <c r="G932" s="35">
        <v>11500</v>
      </c>
      <c r="H932" s="35">
        <v>11561.62</v>
      </c>
      <c r="I932" s="35">
        <v>-0.86</v>
      </c>
      <c r="J932" s="35">
        <v>-100</v>
      </c>
      <c r="K932" s="71">
        <f>YEAR(Accion[[#This Row],[fecha]])</f>
        <v>2015</v>
      </c>
      <c r="L932" s="79" t="str">
        <f>IF(Accion[[#This Row],[Precio Cierre]]=MAX(Accion[Precio Cierre]),Accion[[#This Row],[Precio Cierre]],"NA")</f>
        <v>NA</v>
      </c>
      <c r="M932" s="79" t="str">
        <f>IF(Accion[[#This Row],[Precio Cierre]]=MIN(Accion[Precio Cierre]),Accion[[#This Row],[Precio Cierre]],"NA")</f>
        <v>NA</v>
      </c>
    </row>
    <row r="933" spans="1:13" hidden="1">
      <c r="A933" s="38" t="s">
        <v>90</v>
      </c>
      <c r="B933" s="34">
        <v>42250</v>
      </c>
      <c r="C933" s="35">
        <v>321557</v>
      </c>
      <c r="D933" s="35">
        <v>3769290120</v>
      </c>
      <c r="E933" s="35">
        <v>11800</v>
      </c>
      <c r="F933" s="35">
        <v>11600</v>
      </c>
      <c r="G933" s="35">
        <v>11600</v>
      </c>
      <c r="H933" s="35">
        <v>11722</v>
      </c>
      <c r="I933" s="35">
        <v>-1.19</v>
      </c>
      <c r="J933" s="35">
        <v>-140</v>
      </c>
      <c r="K933" s="71">
        <f>YEAR(Accion[[#This Row],[fecha]])</f>
        <v>2015</v>
      </c>
      <c r="L933" s="79" t="str">
        <f>IF(Accion[[#This Row],[Precio Cierre]]=MAX(Accion[Precio Cierre]),Accion[[#This Row],[Precio Cierre]],"NA")</f>
        <v>NA</v>
      </c>
      <c r="M933" s="79" t="str">
        <f>IF(Accion[[#This Row],[Precio Cierre]]=MIN(Accion[Precio Cierre]),Accion[[#This Row],[Precio Cierre]],"NA")</f>
        <v>NA</v>
      </c>
    </row>
    <row r="934" spans="1:13" hidden="1">
      <c r="A934" s="38" t="s">
        <v>90</v>
      </c>
      <c r="B934" s="34">
        <v>42249</v>
      </c>
      <c r="C934" s="35">
        <v>117433</v>
      </c>
      <c r="D934" s="35">
        <v>1374896260</v>
      </c>
      <c r="E934" s="35">
        <v>11860</v>
      </c>
      <c r="F934" s="35">
        <v>11600</v>
      </c>
      <c r="G934" s="35">
        <v>11740</v>
      </c>
      <c r="H934" s="35">
        <v>11707.92</v>
      </c>
      <c r="I934" s="35">
        <v>-0.17</v>
      </c>
      <c r="J934" s="35">
        <v>-20</v>
      </c>
      <c r="K934" s="71">
        <f>YEAR(Accion[[#This Row],[fecha]])</f>
        <v>2015</v>
      </c>
      <c r="L934" s="79" t="str">
        <f>IF(Accion[[#This Row],[Precio Cierre]]=MAX(Accion[Precio Cierre]),Accion[[#This Row],[Precio Cierre]],"NA")</f>
        <v>NA</v>
      </c>
      <c r="M934" s="79" t="str">
        <f>IF(Accion[[#This Row],[Precio Cierre]]=MIN(Accion[Precio Cierre]),Accion[[#This Row],[Precio Cierre]],"NA")</f>
        <v>NA</v>
      </c>
    </row>
    <row r="935" spans="1:13" hidden="1">
      <c r="A935" s="38" t="s">
        <v>90</v>
      </c>
      <c r="B935" s="34">
        <v>42248</v>
      </c>
      <c r="C935" s="35">
        <v>280844</v>
      </c>
      <c r="D935" s="35">
        <v>3301979420</v>
      </c>
      <c r="E935" s="35">
        <v>11820</v>
      </c>
      <c r="F935" s="35">
        <v>11660</v>
      </c>
      <c r="G935" s="35">
        <v>11760</v>
      </c>
      <c r="H935" s="35">
        <v>11757.34</v>
      </c>
      <c r="I935" s="35">
        <v>0.51</v>
      </c>
      <c r="J935" s="35">
        <v>60</v>
      </c>
      <c r="K935" s="71">
        <f>YEAR(Accion[[#This Row],[fecha]])</f>
        <v>2015</v>
      </c>
      <c r="L935" s="79" t="str">
        <f>IF(Accion[[#This Row],[Precio Cierre]]=MAX(Accion[Precio Cierre]),Accion[[#This Row],[Precio Cierre]],"NA")</f>
        <v>NA</v>
      </c>
      <c r="M935" s="79" t="str">
        <f>IF(Accion[[#This Row],[Precio Cierre]]=MIN(Accion[Precio Cierre]),Accion[[#This Row],[Precio Cierre]],"NA")</f>
        <v>NA</v>
      </c>
    </row>
    <row r="936" spans="1:13" hidden="1">
      <c r="A936" s="38" t="s">
        <v>90</v>
      </c>
      <c r="B936" s="34">
        <v>42247</v>
      </c>
      <c r="C936" s="35">
        <v>99093</v>
      </c>
      <c r="D936" s="35">
        <v>1152946360</v>
      </c>
      <c r="E936" s="35">
        <v>11700</v>
      </c>
      <c r="F936" s="35">
        <v>11400</v>
      </c>
      <c r="G936" s="35">
        <v>11700</v>
      </c>
      <c r="H936" s="35">
        <v>11634.99</v>
      </c>
      <c r="I936" s="35">
        <v>-1.02</v>
      </c>
      <c r="J936" s="35">
        <v>-120</v>
      </c>
      <c r="K936" s="71">
        <f>YEAR(Accion[[#This Row],[fecha]])</f>
        <v>2015</v>
      </c>
      <c r="L936" s="79" t="str">
        <f>IF(Accion[[#This Row],[Precio Cierre]]=MAX(Accion[Precio Cierre]),Accion[[#This Row],[Precio Cierre]],"NA")</f>
        <v>NA</v>
      </c>
      <c r="M936" s="79" t="str">
        <f>IF(Accion[[#This Row],[Precio Cierre]]=MIN(Accion[Precio Cierre]),Accion[[#This Row],[Precio Cierre]],"NA")</f>
        <v>NA</v>
      </c>
    </row>
    <row r="937" spans="1:13" hidden="1">
      <c r="A937" s="38" t="s">
        <v>90</v>
      </c>
      <c r="B937" s="34">
        <v>42244</v>
      </c>
      <c r="C937" s="35">
        <v>454845</v>
      </c>
      <c r="D937" s="35">
        <v>5169862920</v>
      </c>
      <c r="E937" s="35">
        <v>11820</v>
      </c>
      <c r="F937" s="35">
        <v>11220</v>
      </c>
      <c r="G937" s="35">
        <v>11820</v>
      </c>
      <c r="H937" s="35">
        <v>11366.21</v>
      </c>
      <c r="I937" s="35">
        <v>5.35</v>
      </c>
      <c r="J937" s="35">
        <v>600</v>
      </c>
      <c r="K937" s="71">
        <f>YEAR(Accion[[#This Row],[fecha]])</f>
        <v>2015</v>
      </c>
      <c r="L937" s="79" t="str">
        <f>IF(Accion[[#This Row],[Precio Cierre]]=MAX(Accion[Precio Cierre]),Accion[[#This Row],[Precio Cierre]],"NA")</f>
        <v>NA</v>
      </c>
      <c r="M937" s="79" t="str">
        <f>IF(Accion[[#This Row],[Precio Cierre]]=MIN(Accion[Precio Cierre]),Accion[[#This Row],[Precio Cierre]],"NA")</f>
        <v>NA</v>
      </c>
    </row>
    <row r="938" spans="1:13" hidden="1">
      <c r="A938" s="38" t="s">
        <v>90</v>
      </c>
      <c r="B938" s="34">
        <v>42243</v>
      </c>
      <c r="C938" s="35">
        <v>519881</v>
      </c>
      <c r="D938" s="35">
        <v>5879412460</v>
      </c>
      <c r="E938" s="35">
        <v>11500</v>
      </c>
      <c r="F938" s="35">
        <v>11100</v>
      </c>
      <c r="G938" s="35">
        <v>11220</v>
      </c>
      <c r="H938" s="35">
        <v>11309.15</v>
      </c>
      <c r="I938" s="35">
        <v>1.26</v>
      </c>
      <c r="J938" s="35">
        <v>140</v>
      </c>
      <c r="K938" s="71">
        <f>YEAR(Accion[[#This Row],[fecha]])</f>
        <v>2015</v>
      </c>
      <c r="L938" s="79" t="str">
        <f>IF(Accion[[#This Row],[Precio Cierre]]=MAX(Accion[Precio Cierre]),Accion[[#This Row],[Precio Cierre]],"NA")</f>
        <v>NA</v>
      </c>
      <c r="M938" s="79" t="str">
        <f>IF(Accion[[#This Row],[Precio Cierre]]=MIN(Accion[Precio Cierre]),Accion[[#This Row],[Precio Cierre]],"NA")</f>
        <v>NA</v>
      </c>
    </row>
    <row r="939" spans="1:13" hidden="1">
      <c r="A939" s="38" t="s">
        <v>90</v>
      </c>
      <c r="B939" s="34">
        <v>42242</v>
      </c>
      <c r="C939" s="35">
        <v>293183</v>
      </c>
      <c r="D939" s="35">
        <v>3228396020</v>
      </c>
      <c r="E939" s="35">
        <v>11140</v>
      </c>
      <c r="F939" s="35">
        <v>10900</v>
      </c>
      <c r="G939" s="35">
        <v>11080</v>
      </c>
      <c r="H939" s="35">
        <v>11011.54</v>
      </c>
      <c r="I939" s="35">
        <v>1.28</v>
      </c>
      <c r="J939" s="35">
        <v>140</v>
      </c>
      <c r="K939" s="71">
        <f>YEAR(Accion[[#This Row],[fecha]])</f>
        <v>2015</v>
      </c>
      <c r="L939" s="79" t="str">
        <f>IF(Accion[[#This Row],[Precio Cierre]]=MAX(Accion[Precio Cierre]),Accion[[#This Row],[Precio Cierre]],"NA")</f>
        <v>NA</v>
      </c>
      <c r="M939" s="79" t="str">
        <f>IF(Accion[[#This Row],[Precio Cierre]]=MIN(Accion[Precio Cierre]),Accion[[#This Row],[Precio Cierre]],"NA")</f>
        <v>NA</v>
      </c>
    </row>
    <row r="940" spans="1:13" hidden="1">
      <c r="A940" s="38" t="s">
        <v>90</v>
      </c>
      <c r="B940" s="34">
        <v>42241</v>
      </c>
      <c r="C940" s="35">
        <v>380715</v>
      </c>
      <c r="D940" s="35">
        <v>4193147520</v>
      </c>
      <c r="E940" s="35">
        <v>11160</v>
      </c>
      <c r="F940" s="35">
        <v>10800</v>
      </c>
      <c r="G940" s="35">
        <v>10940</v>
      </c>
      <c r="H940" s="35">
        <v>11013.88</v>
      </c>
      <c r="I940" s="35">
        <v>4.1900000000000004</v>
      </c>
      <c r="J940" s="35">
        <v>440</v>
      </c>
      <c r="K940" s="71">
        <f>YEAR(Accion[[#This Row],[fecha]])</f>
        <v>2015</v>
      </c>
      <c r="L940" s="79" t="str">
        <f>IF(Accion[[#This Row],[Precio Cierre]]=MAX(Accion[Precio Cierre]),Accion[[#This Row],[Precio Cierre]],"NA")</f>
        <v>NA</v>
      </c>
      <c r="M940" s="79" t="str">
        <f>IF(Accion[[#This Row],[Precio Cierre]]=MIN(Accion[Precio Cierre]),Accion[[#This Row],[Precio Cierre]],"NA")</f>
        <v>NA</v>
      </c>
    </row>
    <row r="941" spans="1:13" hidden="1">
      <c r="A941" s="38" t="s">
        <v>90</v>
      </c>
      <c r="B941" s="34">
        <v>42240</v>
      </c>
      <c r="C941" s="35">
        <v>471030</v>
      </c>
      <c r="D941" s="35">
        <v>4922892820</v>
      </c>
      <c r="E941" s="35">
        <v>10700</v>
      </c>
      <c r="F941" s="35">
        <v>10400</v>
      </c>
      <c r="G941" s="35">
        <v>10500</v>
      </c>
      <c r="H941" s="35">
        <v>10451.34</v>
      </c>
      <c r="I941" s="35">
        <v>-4.55</v>
      </c>
      <c r="J941" s="35">
        <v>-500</v>
      </c>
      <c r="K941" s="71">
        <f>YEAR(Accion[[#This Row],[fecha]])</f>
        <v>2015</v>
      </c>
      <c r="L941" s="79" t="str">
        <f>IF(Accion[[#This Row],[Precio Cierre]]=MAX(Accion[Precio Cierre]),Accion[[#This Row],[Precio Cierre]],"NA")</f>
        <v>NA</v>
      </c>
      <c r="M941" s="79" t="str">
        <f>IF(Accion[[#This Row],[Precio Cierre]]=MIN(Accion[Precio Cierre]),Accion[[#This Row],[Precio Cierre]],"NA")</f>
        <v>NA</v>
      </c>
    </row>
    <row r="942" spans="1:13" hidden="1">
      <c r="A942" s="38" t="s">
        <v>90</v>
      </c>
      <c r="B942" s="34">
        <v>42237</v>
      </c>
      <c r="C942" s="35">
        <v>1126087</v>
      </c>
      <c r="D942" s="35">
        <v>12415138800</v>
      </c>
      <c r="E942" s="35">
        <v>11380</v>
      </c>
      <c r="F942" s="35">
        <v>11000</v>
      </c>
      <c r="G942" s="35">
        <v>11000</v>
      </c>
      <c r="H942" s="35">
        <v>11025.03</v>
      </c>
      <c r="I942" s="35">
        <v>-4.18</v>
      </c>
      <c r="J942" s="35">
        <v>-480</v>
      </c>
      <c r="K942" s="71">
        <f>YEAR(Accion[[#This Row],[fecha]])</f>
        <v>2015</v>
      </c>
      <c r="L942" s="79" t="str">
        <f>IF(Accion[[#This Row],[Precio Cierre]]=MAX(Accion[Precio Cierre]),Accion[[#This Row],[Precio Cierre]],"NA")</f>
        <v>NA</v>
      </c>
      <c r="M942" s="79" t="str">
        <f>IF(Accion[[#This Row],[Precio Cierre]]=MIN(Accion[Precio Cierre]),Accion[[#This Row],[Precio Cierre]],"NA")</f>
        <v>NA</v>
      </c>
    </row>
    <row r="943" spans="1:13" hidden="1">
      <c r="A943" s="38" t="s">
        <v>90</v>
      </c>
      <c r="B943" s="34">
        <v>42236</v>
      </c>
      <c r="C943" s="35">
        <v>488569</v>
      </c>
      <c r="D943" s="35">
        <v>5628096520</v>
      </c>
      <c r="E943" s="35">
        <v>11600</v>
      </c>
      <c r="F943" s="35">
        <v>11400</v>
      </c>
      <c r="G943" s="35">
        <v>11480</v>
      </c>
      <c r="H943" s="35">
        <v>11519.55</v>
      </c>
      <c r="I943" s="35">
        <v>-0.86</v>
      </c>
      <c r="J943" s="35">
        <v>-100</v>
      </c>
      <c r="K943" s="71">
        <f>YEAR(Accion[[#This Row],[fecha]])</f>
        <v>2015</v>
      </c>
      <c r="L943" s="79" t="str">
        <f>IF(Accion[[#This Row],[Precio Cierre]]=MAX(Accion[Precio Cierre]),Accion[[#This Row],[Precio Cierre]],"NA")</f>
        <v>NA</v>
      </c>
      <c r="M943" s="79" t="str">
        <f>IF(Accion[[#This Row],[Precio Cierre]]=MIN(Accion[Precio Cierre]),Accion[[#This Row],[Precio Cierre]],"NA")</f>
        <v>NA</v>
      </c>
    </row>
    <row r="944" spans="1:13" hidden="1">
      <c r="A944" s="38" t="s">
        <v>90</v>
      </c>
      <c r="B944" s="34">
        <v>42235</v>
      </c>
      <c r="C944" s="35">
        <v>610622</v>
      </c>
      <c r="D944" s="35">
        <v>7031967420</v>
      </c>
      <c r="E944" s="35">
        <v>11660</v>
      </c>
      <c r="F944" s="35">
        <v>11460</v>
      </c>
      <c r="G944" s="35">
        <v>11580</v>
      </c>
      <c r="H944" s="35">
        <v>11516.07</v>
      </c>
      <c r="I944" s="35">
        <v>0.7</v>
      </c>
      <c r="J944" s="35">
        <v>80</v>
      </c>
      <c r="K944" s="71">
        <f>YEAR(Accion[[#This Row],[fecha]])</f>
        <v>2015</v>
      </c>
      <c r="L944" s="79" t="str">
        <f>IF(Accion[[#This Row],[Precio Cierre]]=MAX(Accion[Precio Cierre]),Accion[[#This Row],[Precio Cierre]],"NA")</f>
        <v>NA</v>
      </c>
      <c r="M944" s="79" t="str">
        <f>IF(Accion[[#This Row],[Precio Cierre]]=MIN(Accion[Precio Cierre]),Accion[[#This Row],[Precio Cierre]],"NA")</f>
        <v>NA</v>
      </c>
    </row>
    <row r="945" spans="1:13" hidden="1">
      <c r="A945" s="38" t="s">
        <v>90</v>
      </c>
      <c r="B945" s="34">
        <v>42234</v>
      </c>
      <c r="C945" s="35">
        <v>126923</v>
      </c>
      <c r="D945" s="35">
        <v>1466277600</v>
      </c>
      <c r="E945" s="35">
        <v>11780</v>
      </c>
      <c r="F945" s="35">
        <v>11440</v>
      </c>
      <c r="G945" s="35">
        <v>11500</v>
      </c>
      <c r="H945" s="35">
        <v>11552.5</v>
      </c>
      <c r="I945" s="35">
        <v>-2.71</v>
      </c>
      <c r="J945" s="35">
        <v>-320</v>
      </c>
      <c r="K945" s="71">
        <f>YEAR(Accion[[#This Row],[fecha]])</f>
        <v>2015</v>
      </c>
      <c r="L945" s="79" t="str">
        <f>IF(Accion[[#This Row],[Precio Cierre]]=MAX(Accion[Precio Cierre]),Accion[[#This Row],[Precio Cierre]],"NA")</f>
        <v>NA</v>
      </c>
      <c r="M945" s="79" t="str">
        <f>IF(Accion[[#This Row],[Precio Cierre]]=MIN(Accion[Precio Cierre]),Accion[[#This Row],[Precio Cierre]],"NA")</f>
        <v>NA</v>
      </c>
    </row>
    <row r="946" spans="1:13" hidden="1">
      <c r="A946" s="38" t="s">
        <v>90</v>
      </c>
      <c r="B946" s="34">
        <v>42230</v>
      </c>
      <c r="C946" s="35">
        <v>325443</v>
      </c>
      <c r="D946" s="35">
        <v>3858869280</v>
      </c>
      <c r="E946" s="35">
        <v>12000</v>
      </c>
      <c r="F946" s="35">
        <v>11820</v>
      </c>
      <c r="G946" s="35">
        <v>11820</v>
      </c>
      <c r="H946" s="35">
        <v>11857.28</v>
      </c>
      <c r="I946" s="35">
        <v>0.17</v>
      </c>
      <c r="J946" s="35">
        <v>20</v>
      </c>
      <c r="K946" s="71">
        <f>YEAR(Accion[[#This Row],[fecha]])</f>
        <v>2015</v>
      </c>
      <c r="L946" s="79" t="str">
        <f>IF(Accion[[#This Row],[Precio Cierre]]=MAX(Accion[Precio Cierre]),Accion[[#This Row],[Precio Cierre]],"NA")</f>
        <v>NA</v>
      </c>
      <c r="M946" s="79" t="str">
        <f>IF(Accion[[#This Row],[Precio Cierre]]=MIN(Accion[Precio Cierre]),Accion[[#This Row],[Precio Cierre]],"NA")</f>
        <v>NA</v>
      </c>
    </row>
    <row r="947" spans="1:13" hidden="1">
      <c r="A947" s="38" t="s">
        <v>90</v>
      </c>
      <c r="B947" s="34">
        <v>42229</v>
      </c>
      <c r="C947" s="35">
        <v>2863086</v>
      </c>
      <c r="D947" s="35">
        <v>33271604540</v>
      </c>
      <c r="E947" s="35">
        <v>11820</v>
      </c>
      <c r="F947" s="35">
        <v>11600</v>
      </c>
      <c r="G947" s="35">
        <v>11800</v>
      </c>
      <c r="H947" s="35">
        <v>11620.89</v>
      </c>
      <c r="I947" s="35">
        <v>1.72</v>
      </c>
      <c r="J947" s="35">
        <v>200</v>
      </c>
      <c r="K947" s="71">
        <f>YEAR(Accion[[#This Row],[fecha]])</f>
        <v>2015</v>
      </c>
      <c r="L947" s="79" t="str">
        <f>IF(Accion[[#This Row],[Precio Cierre]]=MAX(Accion[Precio Cierre]),Accion[[#This Row],[Precio Cierre]],"NA")</f>
        <v>NA</v>
      </c>
      <c r="M947" s="79" t="str">
        <f>IF(Accion[[#This Row],[Precio Cierre]]=MIN(Accion[Precio Cierre]),Accion[[#This Row],[Precio Cierre]],"NA")</f>
        <v>NA</v>
      </c>
    </row>
    <row r="948" spans="1:13" hidden="1">
      <c r="A948" s="38" t="s">
        <v>90</v>
      </c>
      <c r="B948" s="34">
        <v>42228</v>
      </c>
      <c r="C948" s="35">
        <v>346005</v>
      </c>
      <c r="D948" s="35">
        <v>3976855500</v>
      </c>
      <c r="E948" s="35">
        <v>11600</v>
      </c>
      <c r="F948" s="35">
        <v>11480</v>
      </c>
      <c r="G948" s="35">
        <v>11600</v>
      </c>
      <c r="H948" s="35">
        <v>11493.64</v>
      </c>
      <c r="I948" s="35">
        <v>0</v>
      </c>
      <c r="J948" s="35">
        <v>0</v>
      </c>
      <c r="K948" s="71">
        <f>YEAR(Accion[[#This Row],[fecha]])</f>
        <v>2015</v>
      </c>
      <c r="L948" s="79" t="str">
        <f>IF(Accion[[#This Row],[Precio Cierre]]=MAX(Accion[Precio Cierre]),Accion[[#This Row],[Precio Cierre]],"NA")</f>
        <v>NA</v>
      </c>
      <c r="M948" s="79" t="str">
        <f>IF(Accion[[#This Row],[Precio Cierre]]=MIN(Accion[Precio Cierre]),Accion[[#This Row],[Precio Cierre]],"NA")</f>
        <v>NA</v>
      </c>
    </row>
    <row r="949" spans="1:13" hidden="1">
      <c r="A949" s="38" t="s">
        <v>90</v>
      </c>
      <c r="B949" s="34">
        <v>42227</v>
      </c>
      <c r="C949" s="35">
        <v>80084</v>
      </c>
      <c r="D949" s="35">
        <v>930683320</v>
      </c>
      <c r="E949" s="35">
        <v>11700</v>
      </c>
      <c r="F949" s="35">
        <v>11600</v>
      </c>
      <c r="G949" s="35">
        <v>11600</v>
      </c>
      <c r="H949" s="35">
        <v>11621.34</v>
      </c>
      <c r="I949" s="35">
        <v>-0.85</v>
      </c>
      <c r="J949" s="35">
        <v>-100</v>
      </c>
      <c r="K949" s="71">
        <f>YEAR(Accion[[#This Row],[fecha]])</f>
        <v>2015</v>
      </c>
      <c r="L949" s="79" t="str">
        <f>IF(Accion[[#This Row],[Precio Cierre]]=MAX(Accion[Precio Cierre]),Accion[[#This Row],[Precio Cierre]],"NA")</f>
        <v>NA</v>
      </c>
      <c r="M949" s="79" t="str">
        <f>IF(Accion[[#This Row],[Precio Cierre]]=MIN(Accion[Precio Cierre]),Accion[[#This Row],[Precio Cierre]],"NA")</f>
        <v>NA</v>
      </c>
    </row>
    <row r="950" spans="1:13" hidden="1">
      <c r="A950" s="38" t="s">
        <v>90</v>
      </c>
      <c r="B950" s="34">
        <v>42226</v>
      </c>
      <c r="C950" s="35">
        <v>107738</v>
      </c>
      <c r="D950" s="35">
        <v>1269095580</v>
      </c>
      <c r="E950" s="35">
        <v>11900</v>
      </c>
      <c r="F950" s="35">
        <v>11660</v>
      </c>
      <c r="G950" s="35">
        <v>11700</v>
      </c>
      <c r="H950" s="35">
        <v>11779.46</v>
      </c>
      <c r="I950" s="35">
        <v>-1.18</v>
      </c>
      <c r="J950" s="35">
        <v>-140</v>
      </c>
      <c r="K950" s="71">
        <f>YEAR(Accion[[#This Row],[fecha]])</f>
        <v>2015</v>
      </c>
      <c r="L950" s="79" t="str">
        <f>IF(Accion[[#This Row],[Precio Cierre]]=MAX(Accion[Precio Cierre]),Accion[[#This Row],[Precio Cierre]],"NA")</f>
        <v>NA</v>
      </c>
      <c r="M950" s="79" t="str">
        <f>IF(Accion[[#This Row],[Precio Cierre]]=MIN(Accion[Precio Cierre]),Accion[[#This Row],[Precio Cierre]],"NA")</f>
        <v>NA</v>
      </c>
    </row>
    <row r="951" spans="1:13" hidden="1">
      <c r="A951" s="38" t="s">
        <v>90</v>
      </c>
      <c r="B951" s="34">
        <v>42222</v>
      </c>
      <c r="C951" s="35">
        <v>281230</v>
      </c>
      <c r="D951" s="35">
        <v>3363079300</v>
      </c>
      <c r="E951" s="35">
        <v>12120</v>
      </c>
      <c r="F951" s="35">
        <v>11820</v>
      </c>
      <c r="G951" s="35">
        <v>11840</v>
      </c>
      <c r="H951" s="35">
        <v>11958.47</v>
      </c>
      <c r="I951" s="35">
        <v>-2.31</v>
      </c>
      <c r="J951" s="35">
        <v>-280</v>
      </c>
      <c r="K951" s="71">
        <f>YEAR(Accion[[#This Row],[fecha]])</f>
        <v>2015</v>
      </c>
      <c r="L951" s="79" t="str">
        <f>IF(Accion[[#This Row],[Precio Cierre]]=MAX(Accion[Precio Cierre]),Accion[[#This Row],[Precio Cierre]],"NA")</f>
        <v>NA</v>
      </c>
      <c r="M951" s="79" t="str">
        <f>IF(Accion[[#This Row],[Precio Cierre]]=MIN(Accion[Precio Cierre]),Accion[[#This Row],[Precio Cierre]],"NA")</f>
        <v>NA</v>
      </c>
    </row>
    <row r="952" spans="1:13" hidden="1">
      <c r="A952" s="38" t="s">
        <v>90</v>
      </c>
      <c r="B952" s="34">
        <v>42221</v>
      </c>
      <c r="C952" s="35">
        <v>249051</v>
      </c>
      <c r="D952" s="35">
        <v>3038543400</v>
      </c>
      <c r="E952" s="35">
        <v>12280</v>
      </c>
      <c r="F952" s="35">
        <v>12120</v>
      </c>
      <c r="G952" s="35">
        <v>12120</v>
      </c>
      <c r="H952" s="35">
        <v>12200.49</v>
      </c>
      <c r="I952" s="35">
        <v>-1.3</v>
      </c>
      <c r="J952" s="35">
        <v>-160</v>
      </c>
      <c r="K952" s="71">
        <f>YEAR(Accion[[#This Row],[fecha]])</f>
        <v>2015</v>
      </c>
      <c r="L952" s="79" t="str">
        <f>IF(Accion[[#This Row],[Precio Cierre]]=MAX(Accion[Precio Cierre]),Accion[[#This Row],[Precio Cierre]],"NA")</f>
        <v>NA</v>
      </c>
      <c r="M952" s="79" t="str">
        <f>IF(Accion[[#This Row],[Precio Cierre]]=MIN(Accion[Precio Cierre]),Accion[[#This Row],[Precio Cierre]],"NA")</f>
        <v>NA</v>
      </c>
    </row>
    <row r="953" spans="1:13" hidden="1">
      <c r="A953" s="38" t="s">
        <v>90</v>
      </c>
      <c r="B953" s="34">
        <v>42220</v>
      </c>
      <c r="C953" s="35">
        <v>15113</v>
      </c>
      <c r="D953" s="35">
        <v>186337200</v>
      </c>
      <c r="E953" s="35">
        <v>12360</v>
      </c>
      <c r="F953" s="35">
        <v>12280</v>
      </c>
      <c r="G953" s="35">
        <v>12280</v>
      </c>
      <c r="H953" s="35">
        <v>12329.6</v>
      </c>
      <c r="I953" s="35">
        <v>-1.76</v>
      </c>
      <c r="J953" s="35">
        <v>-220</v>
      </c>
      <c r="K953" s="71">
        <f>YEAR(Accion[[#This Row],[fecha]])</f>
        <v>2015</v>
      </c>
      <c r="L953" s="79" t="str">
        <f>IF(Accion[[#This Row],[Precio Cierre]]=MAX(Accion[Precio Cierre]),Accion[[#This Row],[Precio Cierre]],"NA")</f>
        <v>NA</v>
      </c>
      <c r="M953" s="79" t="str">
        <f>IF(Accion[[#This Row],[Precio Cierre]]=MIN(Accion[Precio Cierre]),Accion[[#This Row],[Precio Cierre]],"NA")</f>
        <v>NA</v>
      </c>
    </row>
    <row r="954" spans="1:13" hidden="1">
      <c r="A954" s="38" t="s">
        <v>90</v>
      </c>
      <c r="B954" s="34">
        <v>42219</v>
      </c>
      <c r="C954" s="35">
        <v>89466</v>
      </c>
      <c r="D954" s="35">
        <v>1117744940</v>
      </c>
      <c r="E954" s="35">
        <v>12660</v>
      </c>
      <c r="F954" s="35">
        <v>12400</v>
      </c>
      <c r="G954" s="35">
        <v>12500</v>
      </c>
      <c r="H954" s="35">
        <v>12493.52</v>
      </c>
      <c r="I954" s="35">
        <v>-1.1100000000000001</v>
      </c>
      <c r="J954" s="35">
        <v>-140</v>
      </c>
      <c r="K954" s="71">
        <f>YEAR(Accion[[#This Row],[fecha]])</f>
        <v>2015</v>
      </c>
      <c r="L954" s="79" t="str">
        <f>IF(Accion[[#This Row],[Precio Cierre]]=MAX(Accion[Precio Cierre]),Accion[[#This Row],[Precio Cierre]],"NA")</f>
        <v>NA</v>
      </c>
      <c r="M954" s="79" t="str">
        <f>IF(Accion[[#This Row],[Precio Cierre]]=MIN(Accion[Precio Cierre]),Accion[[#This Row],[Precio Cierre]],"NA")</f>
        <v>NA</v>
      </c>
    </row>
    <row r="955" spans="1:13" hidden="1">
      <c r="A955" s="38" t="s">
        <v>90</v>
      </c>
      <c r="B955" s="34">
        <v>42216</v>
      </c>
      <c r="C955" s="35">
        <v>471273</v>
      </c>
      <c r="D955" s="35">
        <v>5949716460</v>
      </c>
      <c r="E955" s="35">
        <v>12640</v>
      </c>
      <c r="F955" s="35">
        <v>12460</v>
      </c>
      <c r="G955" s="35">
        <v>12640</v>
      </c>
      <c r="H955" s="35">
        <v>12624.78</v>
      </c>
      <c r="I955" s="35">
        <v>1.1200000000000001</v>
      </c>
      <c r="J955" s="35">
        <v>140</v>
      </c>
      <c r="K955" s="71">
        <f>YEAR(Accion[[#This Row],[fecha]])</f>
        <v>2015</v>
      </c>
      <c r="L955" s="79" t="str">
        <f>IF(Accion[[#This Row],[Precio Cierre]]=MAX(Accion[Precio Cierre]),Accion[[#This Row],[Precio Cierre]],"NA")</f>
        <v>NA</v>
      </c>
      <c r="M955" s="79" t="str">
        <f>IF(Accion[[#This Row],[Precio Cierre]]=MIN(Accion[Precio Cierre]),Accion[[#This Row],[Precio Cierre]],"NA")</f>
        <v>NA</v>
      </c>
    </row>
    <row r="956" spans="1:13" hidden="1">
      <c r="A956" s="38" t="s">
        <v>90</v>
      </c>
      <c r="B956" s="34">
        <v>42215</v>
      </c>
      <c r="C956" s="35">
        <v>29962</v>
      </c>
      <c r="D956" s="35">
        <v>375551400</v>
      </c>
      <c r="E956" s="35">
        <v>12580</v>
      </c>
      <c r="F956" s="35">
        <v>12500</v>
      </c>
      <c r="G956" s="35">
        <v>12500</v>
      </c>
      <c r="H956" s="35">
        <v>12534.26</v>
      </c>
      <c r="I956" s="35">
        <v>-0.64</v>
      </c>
      <c r="J956" s="35">
        <v>-80</v>
      </c>
      <c r="K956" s="71">
        <f>YEAR(Accion[[#This Row],[fecha]])</f>
        <v>2015</v>
      </c>
      <c r="L956" s="79" t="str">
        <f>IF(Accion[[#This Row],[Precio Cierre]]=MAX(Accion[Precio Cierre]),Accion[[#This Row],[Precio Cierre]],"NA")</f>
        <v>NA</v>
      </c>
      <c r="M956" s="79" t="str">
        <f>IF(Accion[[#This Row],[Precio Cierre]]=MIN(Accion[Precio Cierre]),Accion[[#This Row],[Precio Cierre]],"NA")</f>
        <v>NA</v>
      </c>
    </row>
    <row r="957" spans="1:13" hidden="1">
      <c r="A957" s="38" t="s">
        <v>90</v>
      </c>
      <c r="B957" s="34">
        <v>42214</v>
      </c>
      <c r="C957" s="35">
        <v>167345</v>
      </c>
      <c r="D957" s="35">
        <v>2100211700</v>
      </c>
      <c r="E957" s="35">
        <v>12600</v>
      </c>
      <c r="F957" s="35">
        <v>12500</v>
      </c>
      <c r="G957" s="35">
        <v>12580</v>
      </c>
      <c r="H957" s="35">
        <v>12550.19</v>
      </c>
      <c r="I957" s="35">
        <v>0.64</v>
      </c>
      <c r="J957" s="35">
        <v>80</v>
      </c>
      <c r="K957" s="71">
        <f>YEAR(Accion[[#This Row],[fecha]])</f>
        <v>2015</v>
      </c>
      <c r="L957" s="79" t="str">
        <f>IF(Accion[[#This Row],[Precio Cierre]]=MAX(Accion[Precio Cierre]),Accion[[#This Row],[Precio Cierre]],"NA")</f>
        <v>NA</v>
      </c>
      <c r="M957" s="79" t="str">
        <f>IF(Accion[[#This Row],[Precio Cierre]]=MIN(Accion[Precio Cierre]),Accion[[#This Row],[Precio Cierre]],"NA")</f>
        <v>NA</v>
      </c>
    </row>
    <row r="958" spans="1:13" hidden="1">
      <c r="A958" s="38" t="s">
        <v>90</v>
      </c>
      <c r="B958" s="34">
        <v>42213</v>
      </c>
      <c r="C958" s="35">
        <v>401695</v>
      </c>
      <c r="D958" s="35">
        <v>5041789500</v>
      </c>
      <c r="E958" s="35">
        <v>12600</v>
      </c>
      <c r="F958" s="35">
        <v>12500</v>
      </c>
      <c r="G958" s="35">
        <v>12500</v>
      </c>
      <c r="H958" s="35">
        <v>12551.29</v>
      </c>
      <c r="I958" s="35">
        <v>-0.79</v>
      </c>
      <c r="J958" s="35">
        <v>-100</v>
      </c>
      <c r="K958" s="71">
        <f>YEAR(Accion[[#This Row],[fecha]])</f>
        <v>2015</v>
      </c>
      <c r="L958" s="79" t="str">
        <f>IF(Accion[[#This Row],[Precio Cierre]]=MAX(Accion[Precio Cierre]),Accion[[#This Row],[Precio Cierre]],"NA")</f>
        <v>NA</v>
      </c>
      <c r="M958" s="79" t="str">
        <f>IF(Accion[[#This Row],[Precio Cierre]]=MIN(Accion[Precio Cierre]),Accion[[#This Row],[Precio Cierre]],"NA")</f>
        <v>NA</v>
      </c>
    </row>
    <row r="959" spans="1:13" hidden="1">
      <c r="A959" s="38" t="s">
        <v>90</v>
      </c>
      <c r="B959" s="34">
        <v>42212</v>
      </c>
      <c r="C959" s="35">
        <v>336839</v>
      </c>
      <c r="D959" s="35">
        <v>4286148720</v>
      </c>
      <c r="E959" s="35">
        <v>12800</v>
      </c>
      <c r="F959" s="35">
        <v>12600</v>
      </c>
      <c r="G959" s="35">
        <v>12600</v>
      </c>
      <c r="H959" s="35">
        <v>12724.62</v>
      </c>
      <c r="I959" s="35">
        <v>-0.79</v>
      </c>
      <c r="J959" s="35">
        <v>-100</v>
      </c>
      <c r="K959" s="71">
        <f>YEAR(Accion[[#This Row],[fecha]])</f>
        <v>2015</v>
      </c>
      <c r="L959" s="79" t="str">
        <f>IF(Accion[[#This Row],[Precio Cierre]]=MAX(Accion[Precio Cierre]),Accion[[#This Row],[Precio Cierre]],"NA")</f>
        <v>NA</v>
      </c>
      <c r="M959" s="79" t="str">
        <f>IF(Accion[[#This Row],[Precio Cierre]]=MIN(Accion[Precio Cierre]),Accion[[#This Row],[Precio Cierre]],"NA")</f>
        <v>NA</v>
      </c>
    </row>
    <row r="960" spans="1:13" hidden="1">
      <c r="A960" s="38" t="s">
        <v>90</v>
      </c>
      <c r="B960" s="34">
        <v>42209</v>
      </c>
      <c r="C960" s="35">
        <v>121532</v>
      </c>
      <c r="D960" s="35">
        <v>1548943180</v>
      </c>
      <c r="E960" s="35">
        <v>12800</v>
      </c>
      <c r="F960" s="35">
        <v>12700</v>
      </c>
      <c r="G960" s="35">
        <v>12700</v>
      </c>
      <c r="H960" s="35">
        <v>12745.15</v>
      </c>
      <c r="I960" s="35">
        <v>0</v>
      </c>
      <c r="J960" s="35">
        <v>0</v>
      </c>
      <c r="K960" s="71">
        <f>YEAR(Accion[[#This Row],[fecha]])</f>
        <v>2015</v>
      </c>
      <c r="L960" s="79" t="str">
        <f>IF(Accion[[#This Row],[Precio Cierre]]=MAX(Accion[Precio Cierre]),Accion[[#This Row],[Precio Cierre]],"NA")</f>
        <v>NA</v>
      </c>
      <c r="M960" s="79" t="str">
        <f>IF(Accion[[#This Row],[Precio Cierre]]=MIN(Accion[Precio Cierre]),Accion[[#This Row],[Precio Cierre]],"NA")</f>
        <v>NA</v>
      </c>
    </row>
    <row r="961" spans="1:13" hidden="1">
      <c r="A961" s="38" t="s">
        <v>90</v>
      </c>
      <c r="B961" s="34">
        <v>42208</v>
      </c>
      <c r="C961" s="35">
        <v>101293</v>
      </c>
      <c r="D961" s="35">
        <v>1278848060</v>
      </c>
      <c r="E961" s="35">
        <v>12700</v>
      </c>
      <c r="F961" s="35">
        <v>12500</v>
      </c>
      <c r="G961" s="35">
        <v>12700</v>
      </c>
      <c r="H961" s="35">
        <v>12625.24</v>
      </c>
      <c r="I961" s="35">
        <v>1.28</v>
      </c>
      <c r="J961" s="35">
        <v>160</v>
      </c>
      <c r="K961" s="71">
        <f>YEAR(Accion[[#This Row],[fecha]])</f>
        <v>2015</v>
      </c>
      <c r="L961" s="79" t="str">
        <f>IF(Accion[[#This Row],[Precio Cierre]]=MAX(Accion[Precio Cierre]),Accion[[#This Row],[Precio Cierre]],"NA")</f>
        <v>NA</v>
      </c>
      <c r="M961" s="79" t="str">
        <f>IF(Accion[[#This Row],[Precio Cierre]]=MIN(Accion[Precio Cierre]),Accion[[#This Row],[Precio Cierre]],"NA")</f>
        <v>NA</v>
      </c>
    </row>
    <row r="962" spans="1:13" hidden="1">
      <c r="A962" s="38" t="s">
        <v>90</v>
      </c>
      <c r="B962" s="34">
        <v>42207</v>
      </c>
      <c r="C962" s="35">
        <v>155148</v>
      </c>
      <c r="D962" s="35">
        <v>1938320440</v>
      </c>
      <c r="E962" s="35">
        <v>12600</v>
      </c>
      <c r="F962" s="35">
        <v>12400</v>
      </c>
      <c r="G962" s="35">
        <v>12540</v>
      </c>
      <c r="H962" s="35">
        <v>12493.36</v>
      </c>
      <c r="I962" s="35">
        <v>1.1299999999999999</v>
      </c>
      <c r="J962" s="35">
        <v>140</v>
      </c>
      <c r="K962" s="71">
        <f>YEAR(Accion[[#This Row],[fecha]])</f>
        <v>2015</v>
      </c>
      <c r="L962" s="79" t="str">
        <f>IF(Accion[[#This Row],[Precio Cierre]]=MAX(Accion[Precio Cierre]),Accion[[#This Row],[Precio Cierre]],"NA")</f>
        <v>NA</v>
      </c>
      <c r="M962" s="79" t="str">
        <f>IF(Accion[[#This Row],[Precio Cierre]]=MIN(Accion[Precio Cierre]),Accion[[#This Row],[Precio Cierre]],"NA")</f>
        <v>NA</v>
      </c>
    </row>
    <row r="963" spans="1:13" hidden="1">
      <c r="A963" s="38" t="s">
        <v>90</v>
      </c>
      <c r="B963" s="34">
        <v>42206</v>
      </c>
      <c r="C963" s="35">
        <v>298577</v>
      </c>
      <c r="D963" s="35">
        <v>3711160720</v>
      </c>
      <c r="E963" s="35">
        <v>12640</v>
      </c>
      <c r="F963" s="35">
        <v>12300</v>
      </c>
      <c r="G963" s="35">
        <v>12400</v>
      </c>
      <c r="H963" s="35">
        <v>12429.49</v>
      </c>
      <c r="I963" s="35">
        <v>-3.13</v>
      </c>
      <c r="J963" s="35">
        <v>-400</v>
      </c>
      <c r="K963" s="71">
        <f>YEAR(Accion[[#This Row],[fecha]])</f>
        <v>2015</v>
      </c>
      <c r="L963" s="79" t="str">
        <f>IF(Accion[[#This Row],[Precio Cierre]]=MAX(Accion[Precio Cierre]),Accion[[#This Row],[Precio Cierre]],"NA")</f>
        <v>NA</v>
      </c>
      <c r="M963" s="79" t="str">
        <f>IF(Accion[[#This Row],[Precio Cierre]]=MIN(Accion[Precio Cierre]),Accion[[#This Row],[Precio Cierre]],"NA")</f>
        <v>NA</v>
      </c>
    </row>
    <row r="964" spans="1:13" hidden="1">
      <c r="A964" s="38" t="s">
        <v>90</v>
      </c>
      <c r="B964" s="34">
        <v>42202</v>
      </c>
      <c r="C964" s="35">
        <v>16980</v>
      </c>
      <c r="D964" s="35">
        <v>217366600</v>
      </c>
      <c r="E964" s="35">
        <v>12800</v>
      </c>
      <c r="F964" s="35">
        <v>12800</v>
      </c>
      <c r="G964" s="35">
        <v>12800</v>
      </c>
      <c r="H964" s="35">
        <v>12801.33</v>
      </c>
      <c r="I964" s="35">
        <v>-0.16</v>
      </c>
      <c r="J964" s="35">
        <v>-20</v>
      </c>
      <c r="K964" s="71">
        <f>YEAR(Accion[[#This Row],[fecha]])</f>
        <v>2015</v>
      </c>
      <c r="L964" s="79" t="str">
        <f>IF(Accion[[#This Row],[Precio Cierre]]=MAX(Accion[Precio Cierre]),Accion[[#This Row],[Precio Cierre]],"NA")</f>
        <v>NA</v>
      </c>
      <c r="M964" s="79" t="str">
        <f>IF(Accion[[#This Row],[Precio Cierre]]=MIN(Accion[Precio Cierre]),Accion[[#This Row],[Precio Cierre]],"NA")</f>
        <v>NA</v>
      </c>
    </row>
    <row r="965" spans="1:13" hidden="1">
      <c r="A965" s="38" t="s">
        <v>90</v>
      </c>
      <c r="B965" s="34">
        <v>42201</v>
      </c>
      <c r="C965" s="35">
        <v>72809</v>
      </c>
      <c r="D965" s="35">
        <v>939065860</v>
      </c>
      <c r="E965" s="35">
        <v>12980</v>
      </c>
      <c r="F965" s="35">
        <v>12820</v>
      </c>
      <c r="G965" s="35">
        <v>12820</v>
      </c>
      <c r="H965" s="35">
        <v>12897.66</v>
      </c>
      <c r="I965" s="35">
        <v>-1.23</v>
      </c>
      <c r="J965" s="35">
        <v>-160</v>
      </c>
      <c r="K965" s="71">
        <f>YEAR(Accion[[#This Row],[fecha]])</f>
        <v>2015</v>
      </c>
      <c r="L965" s="79" t="str">
        <f>IF(Accion[[#This Row],[Precio Cierre]]=MAX(Accion[Precio Cierre]),Accion[[#This Row],[Precio Cierre]],"NA")</f>
        <v>NA</v>
      </c>
      <c r="M965" s="79" t="str">
        <f>IF(Accion[[#This Row],[Precio Cierre]]=MIN(Accion[Precio Cierre]),Accion[[#This Row],[Precio Cierre]],"NA")</f>
        <v>NA</v>
      </c>
    </row>
    <row r="966" spans="1:13" hidden="1">
      <c r="A966" s="38" t="s">
        <v>90</v>
      </c>
      <c r="B966" s="34">
        <v>42200</v>
      </c>
      <c r="C966" s="35">
        <v>1760520</v>
      </c>
      <c r="D966" s="35">
        <v>22843653980</v>
      </c>
      <c r="E966" s="35">
        <v>13020</v>
      </c>
      <c r="F966" s="35">
        <v>12800</v>
      </c>
      <c r="G966" s="35">
        <v>12980</v>
      </c>
      <c r="H966" s="35">
        <v>12975.52</v>
      </c>
      <c r="I966" s="35">
        <v>0</v>
      </c>
      <c r="J966" s="35">
        <v>0</v>
      </c>
      <c r="K966" s="71">
        <f>YEAR(Accion[[#This Row],[fecha]])</f>
        <v>2015</v>
      </c>
      <c r="L966" s="79" t="str">
        <f>IF(Accion[[#This Row],[Precio Cierre]]=MAX(Accion[Precio Cierre]),Accion[[#This Row],[Precio Cierre]],"NA")</f>
        <v>NA</v>
      </c>
      <c r="M966" s="79" t="str">
        <f>IF(Accion[[#This Row],[Precio Cierre]]=MIN(Accion[Precio Cierre]),Accion[[#This Row],[Precio Cierre]],"NA")</f>
        <v>NA</v>
      </c>
    </row>
    <row r="967" spans="1:13" hidden="1">
      <c r="A967" s="38" t="s">
        <v>90</v>
      </c>
      <c r="B967" s="34">
        <v>42199</v>
      </c>
      <c r="C967" s="35">
        <v>166262</v>
      </c>
      <c r="D967" s="35">
        <v>2151265360</v>
      </c>
      <c r="E967" s="35">
        <v>12980</v>
      </c>
      <c r="F967" s="35">
        <v>12920</v>
      </c>
      <c r="G967" s="35">
        <v>12980</v>
      </c>
      <c r="H967" s="35">
        <v>12939.01</v>
      </c>
      <c r="I967" s="35">
        <v>0.78</v>
      </c>
      <c r="J967" s="35">
        <v>100</v>
      </c>
      <c r="K967" s="71">
        <f>YEAR(Accion[[#This Row],[fecha]])</f>
        <v>2015</v>
      </c>
      <c r="L967" s="79" t="str">
        <f>IF(Accion[[#This Row],[Precio Cierre]]=MAX(Accion[Precio Cierre]),Accion[[#This Row],[Precio Cierre]],"NA")</f>
        <v>NA</v>
      </c>
      <c r="M967" s="79" t="str">
        <f>IF(Accion[[#This Row],[Precio Cierre]]=MIN(Accion[Precio Cierre]),Accion[[#This Row],[Precio Cierre]],"NA")</f>
        <v>NA</v>
      </c>
    </row>
    <row r="968" spans="1:13" hidden="1">
      <c r="A968" s="38" t="s">
        <v>90</v>
      </c>
      <c r="B968" s="34">
        <v>42198</v>
      </c>
      <c r="C968" s="35">
        <v>409876</v>
      </c>
      <c r="D968" s="35">
        <v>5269836920</v>
      </c>
      <c r="E968" s="35">
        <v>12880</v>
      </c>
      <c r="F968" s="35">
        <v>12800</v>
      </c>
      <c r="G968" s="35">
        <v>12880</v>
      </c>
      <c r="H968" s="35">
        <v>12857.15</v>
      </c>
      <c r="I968" s="35">
        <v>0.63</v>
      </c>
      <c r="J968" s="35">
        <v>80</v>
      </c>
      <c r="K968" s="71">
        <f>YEAR(Accion[[#This Row],[fecha]])</f>
        <v>2015</v>
      </c>
      <c r="L968" s="79" t="str">
        <f>IF(Accion[[#This Row],[Precio Cierre]]=MAX(Accion[Precio Cierre]),Accion[[#This Row],[Precio Cierre]],"NA")</f>
        <v>NA</v>
      </c>
      <c r="M968" s="79" t="str">
        <f>IF(Accion[[#This Row],[Precio Cierre]]=MIN(Accion[Precio Cierre]),Accion[[#This Row],[Precio Cierre]],"NA")</f>
        <v>NA</v>
      </c>
    </row>
    <row r="969" spans="1:13" hidden="1">
      <c r="A969" s="38" t="s">
        <v>90</v>
      </c>
      <c r="B969" s="34">
        <v>42195</v>
      </c>
      <c r="C969" s="35">
        <v>1106027</v>
      </c>
      <c r="D969" s="35">
        <v>14199647260</v>
      </c>
      <c r="E969" s="35">
        <v>12880</v>
      </c>
      <c r="F969" s="35">
        <v>12740</v>
      </c>
      <c r="G969" s="35">
        <v>12800</v>
      </c>
      <c r="H969" s="35">
        <v>12838.43</v>
      </c>
      <c r="I969" s="35">
        <v>1.1100000000000001</v>
      </c>
      <c r="J969" s="35">
        <v>140</v>
      </c>
      <c r="K969" s="71">
        <f>YEAR(Accion[[#This Row],[fecha]])</f>
        <v>2015</v>
      </c>
      <c r="L969" s="79" t="str">
        <f>IF(Accion[[#This Row],[Precio Cierre]]=MAX(Accion[Precio Cierre]),Accion[[#This Row],[Precio Cierre]],"NA")</f>
        <v>NA</v>
      </c>
      <c r="M969" s="79" t="str">
        <f>IF(Accion[[#This Row],[Precio Cierre]]=MIN(Accion[Precio Cierre]),Accion[[#This Row],[Precio Cierre]],"NA")</f>
        <v>NA</v>
      </c>
    </row>
    <row r="970" spans="1:13" hidden="1">
      <c r="A970" s="38" t="s">
        <v>90</v>
      </c>
      <c r="B970" s="34">
        <v>42194</v>
      </c>
      <c r="C970" s="35">
        <v>46371</v>
      </c>
      <c r="D970" s="35">
        <v>590321740</v>
      </c>
      <c r="E970" s="35">
        <v>12800</v>
      </c>
      <c r="F970" s="35">
        <v>12660</v>
      </c>
      <c r="G970" s="35">
        <v>12660</v>
      </c>
      <c r="H970" s="35">
        <v>12730.41</v>
      </c>
      <c r="I970" s="35">
        <v>-0.47</v>
      </c>
      <c r="J970" s="35">
        <v>-60</v>
      </c>
      <c r="K970" s="71">
        <f>YEAR(Accion[[#This Row],[fecha]])</f>
        <v>2015</v>
      </c>
      <c r="L970" s="79" t="str">
        <f>IF(Accion[[#This Row],[Precio Cierre]]=MAX(Accion[Precio Cierre]),Accion[[#This Row],[Precio Cierre]],"NA")</f>
        <v>NA</v>
      </c>
      <c r="M970" s="79" t="str">
        <f>IF(Accion[[#This Row],[Precio Cierre]]=MIN(Accion[Precio Cierre]),Accion[[#This Row],[Precio Cierre]],"NA")</f>
        <v>NA</v>
      </c>
    </row>
    <row r="971" spans="1:13" hidden="1">
      <c r="A971" s="38" t="s">
        <v>90</v>
      </c>
      <c r="B971" s="34">
        <v>42193</v>
      </c>
      <c r="C971" s="35">
        <v>292926</v>
      </c>
      <c r="D971" s="35">
        <v>3694131020</v>
      </c>
      <c r="E971" s="35">
        <v>12720</v>
      </c>
      <c r="F971" s="35">
        <v>12520</v>
      </c>
      <c r="G971" s="35">
        <v>12720</v>
      </c>
      <c r="H971" s="35">
        <v>12611.14</v>
      </c>
      <c r="I971" s="35">
        <v>0.16</v>
      </c>
      <c r="J971" s="35">
        <v>20</v>
      </c>
      <c r="K971" s="71">
        <f>YEAR(Accion[[#This Row],[fecha]])</f>
        <v>2015</v>
      </c>
      <c r="L971" s="79" t="str">
        <f>IF(Accion[[#This Row],[Precio Cierre]]=MAX(Accion[Precio Cierre]),Accion[[#This Row],[Precio Cierre]],"NA")</f>
        <v>NA</v>
      </c>
      <c r="M971" s="79" t="str">
        <f>IF(Accion[[#This Row],[Precio Cierre]]=MIN(Accion[Precio Cierre]),Accion[[#This Row],[Precio Cierre]],"NA")</f>
        <v>NA</v>
      </c>
    </row>
    <row r="972" spans="1:13" hidden="1">
      <c r="A972" s="38" t="s">
        <v>90</v>
      </c>
      <c r="B972" s="34">
        <v>42192</v>
      </c>
      <c r="C972" s="35">
        <v>92174</v>
      </c>
      <c r="D972" s="35">
        <v>1153369240</v>
      </c>
      <c r="E972" s="35">
        <v>12700</v>
      </c>
      <c r="F972" s="35">
        <v>12400</v>
      </c>
      <c r="G972" s="35">
        <v>12700</v>
      </c>
      <c r="H972" s="35">
        <v>12512.96</v>
      </c>
      <c r="I972" s="35">
        <v>1.44</v>
      </c>
      <c r="J972" s="35">
        <v>180</v>
      </c>
      <c r="K972" s="71">
        <f>YEAR(Accion[[#This Row],[fecha]])</f>
        <v>2015</v>
      </c>
      <c r="L972" s="79" t="str">
        <f>IF(Accion[[#This Row],[Precio Cierre]]=MAX(Accion[Precio Cierre]),Accion[[#This Row],[Precio Cierre]],"NA")</f>
        <v>NA</v>
      </c>
      <c r="M972" s="79" t="str">
        <f>IF(Accion[[#This Row],[Precio Cierre]]=MIN(Accion[Precio Cierre]),Accion[[#This Row],[Precio Cierre]],"NA")</f>
        <v>NA</v>
      </c>
    </row>
    <row r="973" spans="1:13" hidden="1">
      <c r="A973" s="38" t="s">
        <v>90</v>
      </c>
      <c r="B973" s="34">
        <v>42191</v>
      </c>
      <c r="C973" s="35">
        <v>173406</v>
      </c>
      <c r="D973" s="35">
        <v>2192046760</v>
      </c>
      <c r="E973" s="35">
        <v>12800</v>
      </c>
      <c r="F973" s="35">
        <v>12520</v>
      </c>
      <c r="G973" s="35">
        <v>12520</v>
      </c>
      <c r="H973" s="35">
        <v>12641.12</v>
      </c>
      <c r="I973" s="35">
        <v>-1.42</v>
      </c>
      <c r="J973" s="35">
        <v>-180</v>
      </c>
      <c r="K973" s="71">
        <f>YEAR(Accion[[#This Row],[fecha]])</f>
        <v>2015</v>
      </c>
      <c r="L973" s="79" t="str">
        <f>IF(Accion[[#This Row],[Precio Cierre]]=MAX(Accion[Precio Cierre]),Accion[[#This Row],[Precio Cierre]],"NA")</f>
        <v>NA</v>
      </c>
      <c r="M973" s="79" t="str">
        <f>IF(Accion[[#This Row],[Precio Cierre]]=MIN(Accion[Precio Cierre]),Accion[[#This Row],[Precio Cierre]],"NA")</f>
        <v>NA</v>
      </c>
    </row>
    <row r="974" spans="1:13" hidden="1">
      <c r="A974" s="38" t="s">
        <v>90</v>
      </c>
      <c r="B974" s="34">
        <v>42188</v>
      </c>
      <c r="C974" s="35">
        <v>44546</v>
      </c>
      <c r="D974" s="35">
        <v>566109000</v>
      </c>
      <c r="E974" s="35">
        <v>12720</v>
      </c>
      <c r="F974" s="35">
        <v>12680</v>
      </c>
      <c r="G974" s="35">
        <v>12700</v>
      </c>
      <c r="H974" s="35">
        <v>12708.41</v>
      </c>
      <c r="I974" s="35">
        <v>-0.94</v>
      </c>
      <c r="J974" s="35">
        <v>-120</v>
      </c>
      <c r="K974" s="71">
        <f>YEAR(Accion[[#This Row],[fecha]])</f>
        <v>2015</v>
      </c>
      <c r="L974" s="79" t="str">
        <f>IF(Accion[[#This Row],[Precio Cierre]]=MAX(Accion[Precio Cierre]),Accion[[#This Row],[Precio Cierre]],"NA")</f>
        <v>NA</v>
      </c>
      <c r="M974" s="79" t="str">
        <f>IF(Accion[[#This Row],[Precio Cierre]]=MIN(Accion[Precio Cierre]),Accion[[#This Row],[Precio Cierre]],"NA")</f>
        <v>NA</v>
      </c>
    </row>
    <row r="975" spans="1:13" hidden="1">
      <c r="A975" s="38" t="s">
        <v>90</v>
      </c>
      <c r="B975" s="34">
        <v>42187</v>
      </c>
      <c r="C975" s="35">
        <v>199430</v>
      </c>
      <c r="D975" s="35">
        <v>2537401840</v>
      </c>
      <c r="E975" s="35">
        <v>12820</v>
      </c>
      <c r="F975" s="35">
        <v>12680</v>
      </c>
      <c r="G975" s="35">
        <v>12820</v>
      </c>
      <c r="H975" s="35">
        <v>12723.27</v>
      </c>
      <c r="I975" s="35">
        <v>1.58</v>
      </c>
      <c r="J975" s="35">
        <v>200</v>
      </c>
      <c r="K975" s="71">
        <f>YEAR(Accion[[#This Row],[fecha]])</f>
        <v>2015</v>
      </c>
      <c r="L975" s="79" t="str">
        <f>IF(Accion[[#This Row],[Precio Cierre]]=MAX(Accion[Precio Cierre]),Accion[[#This Row],[Precio Cierre]],"NA")</f>
        <v>NA</v>
      </c>
      <c r="M975" s="79" t="str">
        <f>IF(Accion[[#This Row],[Precio Cierre]]=MIN(Accion[Precio Cierre]),Accion[[#This Row],[Precio Cierre]],"NA")</f>
        <v>NA</v>
      </c>
    </row>
    <row r="976" spans="1:13" hidden="1">
      <c r="A976" s="38" t="s">
        <v>90</v>
      </c>
      <c r="B976" s="34">
        <v>42186</v>
      </c>
      <c r="C976" s="35">
        <v>418863</v>
      </c>
      <c r="D976" s="35">
        <v>5376975760</v>
      </c>
      <c r="E976" s="35">
        <v>13100</v>
      </c>
      <c r="F976" s="35">
        <v>12620</v>
      </c>
      <c r="G976" s="35">
        <v>12620</v>
      </c>
      <c r="H976" s="35">
        <v>12837.08</v>
      </c>
      <c r="I976" s="35">
        <v>-1.1000000000000001</v>
      </c>
      <c r="J976" s="35">
        <v>-140</v>
      </c>
      <c r="K976" s="71">
        <f>YEAR(Accion[[#This Row],[fecha]])</f>
        <v>2015</v>
      </c>
      <c r="L976" s="79" t="str">
        <f>IF(Accion[[#This Row],[Precio Cierre]]=MAX(Accion[Precio Cierre]),Accion[[#This Row],[Precio Cierre]],"NA")</f>
        <v>NA</v>
      </c>
      <c r="M976" s="79" t="str">
        <f>IF(Accion[[#This Row],[Precio Cierre]]=MIN(Accion[Precio Cierre]),Accion[[#This Row],[Precio Cierre]],"NA")</f>
        <v>NA</v>
      </c>
    </row>
    <row r="977" spans="1:13" hidden="1">
      <c r="A977" s="38" t="s">
        <v>90</v>
      </c>
      <c r="B977" s="34">
        <v>42185</v>
      </c>
      <c r="C977" s="35">
        <v>2763275</v>
      </c>
      <c r="D977" s="35">
        <v>35880968360</v>
      </c>
      <c r="E977" s="35">
        <v>13060</v>
      </c>
      <c r="F977" s="35">
        <v>12760</v>
      </c>
      <c r="G977" s="35">
        <v>12760</v>
      </c>
      <c r="H977" s="35">
        <v>12984.94</v>
      </c>
      <c r="I977" s="35">
        <v>-0.78</v>
      </c>
      <c r="J977" s="35">
        <v>-100</v>
      </c>
      <c r="K977" s="71">
        <f>YEAR(Accion[[#This Row],[fecha]])</f>
        <v>2015</v>
      </c>
      <c r="L977" s="79" t="str">
        <f>IF(Accion[[#This Row],[Precio Cierre]]=MAX(Accion[Precio Cierre]),Accion[[#This Row],[Precio Cierre]],"NA")</f>
        <v>NA</v>
      </c>
      <c r="M977" s="79" t="str">
        <f>IF(Accion[[#This Row],[Precio Cierre]]=MIN(Accion[Precio Cierre]),Accion[[#This Row],[Precio Cierre]],"NA")</f>
        <v>NA</v>
      </c>
    </row>
    <row r="978" spans="1:13" hidden="1">
      <c r="A978" s="38" t="s">
        <v>90</v>
      </c>
      <c r="B978" s="34">
        <v>42181</v>
      </c>
      <c r="C978" s="35">
        <v>726989</v>
      </c>
      <c r="D978" s="35">
        <v>9281069440</v>
      </c>
      <c r="E978" s="35">
        <v>12860</v>
      </c>
      <c r="F978" s="35">
        <v>12660</v>
      </c>
      <c r="G978" s="35">
        <v>12860</v>
      </c>
      <c r="H978" s="35">
        <v>12766.45</v>
      </c>
      <c r="I978" s="35">
        <v>1.58</v>
      </c>
      <c r="J978" s="35">
        <v>200</v>
      </c>
      <c r="K978" s="71">
        <f>YEAR(Accion[[#This Row],[fecha]])</f>
        <v>2015</v>
      </c>
      <c r="L978" s="79" t="str">
        <f>IF(Accion[[#This Row],[Precio Cierre]]=MAX(Accion[Precio Cierre]),Accion[[#This Row],[Precio Cierre]],"NA")</f>
        <v>NA</v>
      </c>
      <c r="M978" s="79" t="str">
        <f>IF(Accion[[#This Row],[Precio Cierre]]=MIN(Accion[Precio Cierre]),Accion[[#This Row],[Precio Cierre]],"NA")</f>
        <v>NA</v>
      </c>
    </row>
    <row r="979" spans="1:13" hidden="1">
      <c r="A979" s="38" t="s">
        <v>90</v>
      </c>
      <c r="B979" s="34">
        <v>42180</v>
      </c>
      <c r="C979" s="35">
        <v>505560</v>
      </c>
      <c r="D979" s="35">
        <v>6355256260</v>
      </c>
      <c r="E979" s="35">
        <v>12660</v>
      </c>
      <c r="F979" s="35">
        <v>12520</v>
      </c>
      <c r="G979" s="35">
        <v>12660</v>
      </c>
      <c r="H979" s="35">
        <v>12570.73</v>
      </c>
      <c r="I979" s="35">
        <v>1.1200000000000001</v>
      </c>
      <c r="J979" s="35">
        <v>140</v>
      </c>
      <c r="K979" s="71">
        <f>YEAR(Accion[[#This Row],[fecha]])</f>
        <v>2015</v>
      </c>
      <c r="L979" s="79" t="str">
        <f>IF(Accion[[#This Row],[Precio Cierre]]=MAX(Accion[Precio Cierre]),Accion[[#This Row],[Precio Cierre]],"NA")</f>
        <v>NA</v>
      </c>
      <c r="M979" s="79" t="str">
        <f>IF(Accion[[#This Row],[Precio Cierre]]=MIN(Accion[Precio Cierre]),Accion[[#This Row],[Precio Cierre]],"NA")</f>
        <v>NA</v>
      </c>
    </row>
    <row r="980" spans="1:13" hidden="1">
      <c r="A980" s="38" t="s">
        <v>90</v>
      </c>
      <c r="B980" s="34">
        <v>42179</v>
      </c>
      <c r="C980" s="35">
        <v>343161</v>
      </c>
      <c r="D980" s="35">
        <v>4318337540</v>
      </c>
      <c r="E980" s="35">
        <v>12680</v>
      </c>
      <c r="F980" s="35">
        <v>12520</v>
      </c>
      <c r="G980" s="35">
        <v>12520</v>
      </c>
      <c r="H980" s="35">
        <v>12584</v>
      </c>
      <c r="I980" s="35">
        <v>0</v>
      </c>
      <c r="J980" s="35">
        <v>0</v>
      </c>
      <c r="K980" s="71">
        <f>YEAR(Accion[[#This Row],[fecha]])</f>
        <v>2015</v>
      </c>
      <c r="L980" s="79" t="str">
        <f>IF(Accion[[#This Row],[Precio Cierre]]=MAX(Accion[Precio Cierre]),Accion[[#This Row],[Precio Cierre]],"NA")</f>
        <v>NA</v>
      </c>
      <c r="M980" s="79" t="str">
        <f>IF(Accion[[#This Row],[Precio Cierre]]=MIN(Accion[Precio Cierre]),Accion[[#This Row],[Precio Cierre]],"NA")</f>
        <v>NA</v>
      </c>
    </row>
    <row r="981" spans="1:13" hidden="1">
      <c r="A981" s="38" t="s">
        <v>90</v>
      </c>
      <c r="B981" s="34">
        <v>42178</v>
      </c>
      <c r="C981" s="35">
        <v>329240</v>
      </c>
      <c r="D981" s="35">
        <v>4111200500</v>
      </c>
      <c r="E981" s="35">
        <v>12560</v>
      </c>
      <c r="F981" s="35">
        <v>12420</v>
      </c>
      <c r="G981" s="35">
        <v>12520</v>
      </c>
      <c r="H981" s="35">
        <v>12486.94</v>
      </c>
      <c r="I981" s="35">
        <v>2.12</v>
      </c>
      <c r="J981" s="35">
        <v>260</v>
      </c>
      <c r="K981" s="71">
        <f>YEAR(Accion[[#This Row],[fecha]])</f>
        <v>2015</v>
      </c>
      <c r="L981" s="79" t="str">
        <f>IF(Accion[[#This Row],[Precio Cierre]]=MAX(Accion[Precio Cierre]),Accion[[#This Row],[Precio Cierre]],"NA")</f>
        <v>NA</v>
      </c>
      <c r="M981" s="79" t="str">
        <f>IF(Accion[[#This Row],[Precio Cierre]]=MIN(Accion[Precio Cierre]),Accion[[#This Row],[Precio Cierre]],"NA")</f>
        <v>NA</v>
      </c>
    </row>
    <row r="982" spans="1:13" hidden="1">
      <c r="A982" s="38" t="s">
        <v>90</v>
      </c>
      <c r="B982" s="34">
        <v>42177</v>
      </c>
      <c r="C982" s="35">
        <v>124289</v>
      </c>
      <c r="D982" s="35">
        <v>1521696460</v>
      </c>
      <c r="E982" s="35">
        <v>12420</v>
      </c>
      <c r="F982" s="35">
        <v>12060</v>
      </c>
      <c r="G982" s="35">
        <v>12260</v>
      </c>
      <c r="H982" s="35">
        <v>12243.21</v>
      </c>
      <c r="I982" s="35">
        <v>1.32</v>
      </c>
      <c r="J982" s="35">
        <v>160</v>
      </c>
      <c r="K982" s="71">
        <f>YEAR(Accion[[#This Row],[fecha]])</f>
        <v>2015</v>
      </c>
      <c r="L982" s="79" t="str">
        <f>IF(Accion[[#This Row],[Precio Cierre]]=MAX(Accion[Precio Cierre]),Accion[[#This Row],[Precio Cierre]],"NA")</f>
        <v>NA</v>
      </c>
      <c r="M982" s="79" t="str">
        <f>IF(Accion[[#This Row],[Precio Cierre]]=MIN(Accion[Precio Cierre]),Accion[[#This Row],[Precio Cierre]],"NA")</f>
        <v>NA</v>
      </c>
    </row>
    <row r="983" spans="1:13" hidden="1">
      <c r="A983" s="38" t="s">
        <v>90</v>
      </c>
      <c r="B983" s="34">
        <v>42174</v>
      </c>
      <c r="C983" s="35">
        <v>411511</v>
      </c>
      <c r="D983" s="35">
        <v>4992075520</v>
      </c>
      <c r="E983" s="35">
        <v>12420</v>
      </c>
      <c r="F983" s="35">
        <v>11940</v>
      </c>
      <c r="G983" s="35">
        <v>12100</v>
      </c>
      <c r="H983" s="35">
        <v>12131.09</v>
      </c>
      <c r="I983" s="35">
        <v>-1.47</v>
      </c>
      <c r="J983" s="35">
        <v>-180</v>
      </c>
      <c r="K983" s="71">
        <f>YEAR(Accion[[#This Row],[fecha]])</f>
        <v>2015</v>
      </c>
      <c r="L983" s="79" t="str">
        <f>IF(Accion[[#This Row],[Precio Cierre]]=MAX(Accion[Precio Cierre]),Accion[[#This Row],[Precio Cierre]],"NA")</f>
        <v>NA</v>
      </c>
      <c r="M983" s="79" t="str">
        <f>IF(Accion[[#This Row],[Precio Cierre]]=MIN(Accion[Precio Cierre]),Accion[[#This Row],[Precio Cierre]],"NA")</f>
        <v>NA</v>
      </c>
    </row>
    <row r="984" spans="1:13" hidden="1">
      <c r="A984" s="38" t="s">
        <v>90</v>
      </c>
      <c r="B984" s="34">
        <v>42173</v>
      </c>
      <c r="C984" s="35">
        <v>164249</v>
      </c>
      <c r="D984" s="35">
        <v>1999282460</v>
      </c>
      <c r="E984" s="35">
        <v>12280</v>
      </c>
      <c r="F984" s="35">
        <v>12100</v>
      </c>
      <c r="G984" s="35">
        <v>12280</v>
      </c>
      <c r="H984" s="35">
        <v>12172.27</v>
      </c>
      <c r="I984" s="35">
        <v>1.49</v>
      </c>
      <c r="J984" s="35">
        <v>180</v>
      </c>
      <c r="K984" s="71">
        <f>YEAR(Accion[[#This Row],[fecha]])</f>
        <v>2015</v>
      </c>
      <c r="L984" s="79" t="str">
        <f>IF(Accion[[#This Row],[Precio Cierre]]=MAX(Accion[Precio Cierre]),Accion[[#This Row],[Precio Cierre]],"NA")</f>
        <v>NA</v>
      </c>
      <c r="M984" s="79" t="str">
        <f>IF(Accion[[#This Row],[Precio Cierre]]=MIN(Accion[Precio Cierre]),Accion[[#This Row],[Precio Cierre]],"NA")</f>
        <v>NA</v>
      </c>
    </row>
    <row r="985" spans="1:13" hidden="1">
      <c r="A985" s="38" t="s">
        <v>90</v>
      </c>
      <c r="B985" s="34">
        <v>42172</v>
      </c>
      <c r="C985" s="35">
        <v>1013507</v>
      </c>
      <c r="D985" s="35">
        <v>12422028840</v>
      </c>
      <c r="E985" s="35">
        <v>12540</v>
      </c>
      <c r="F985" s="35">
        <v>12100</v>
      </c>
      <c r="G985" s="35">
        <v>12100</v>
      </c>
      <c r="H985" s="35">
        <v>12256.48</v>
      </c>
      <c r="I985" s="35">
        <v>-3.35</v>
      </c>
      <c r="J985" s="35">
        <v>-420</v>
      </c>
      <c r="K985" s="71">
        <f>YEAR(Accion[[#This Row],[fecha]])</f>
        <v>2015</v>
      </c>
      <c r="L985" s="79" t="str">
        <f>IF(Accion[[#This Row],[Precio Cierre]]=MAX(Accion[Precio Cierre]),Accion[[#This Row],[Precio Cierre]],"NA")</f>
        <v>NA</v>
      </c>
      <c r="M985" s="79" t="str">
        <f>IF(Accion[[#This Row],[Precio Cierre]]=MIN(Accion[Precio Cierre]),Accion[[#This Row],[Precio Cierre]],"NA")</f>
        <v>NA</v>
      </c>
    </row>
    <row r="986" spans="1:13" hidden="1">
      <c r="A986" s="38" t="s">
        <v>90</v>
      </c>
      <c r="B986" s="34">
        <v>42171</v>
      </c>
      <c r="C986" s="35">
        <v>546479</v>
      </c>
      <c r="D986" s="35">
        <v>6886690460</v>
      </c>
      <c r="E986" s="35">
        <v>12700</v>
      </c>
      <c r="F986" s="35">
        <v>12520</v>
      </c>
      <c r="G986" s="35">
        <v>12520</v>
      </c>
      <c r="H986" s="35">
        <v>12601.93</v>
      </c>
      <c r="I986" s="35">
        <v>-2.0299999999999998</v>
      </c>
      <c r="J986" s="35">
        <v>-260</v>
      </c>
      <c r="K986" s="71">
        <f>YEAR(Accion[[#This Row],[fecha]])</f>
        <v>2015</v>
      </c>
      <c r="L986" s="79" t="str">
        <f>IF(Accion[[#This Row],[Precio Cierre]]=MAX(Accion[Precio Cierre]),Accion[[#This Row],[Precio Cierre]],"NA")</f>
        <v>NA</v>
      </c>
      <c r="M986" s="79" t="str">
        <f>IF(Accion[[#This Row],[Precio Cierre]]=MIN(Accion[Precio Cierre]),Accion[[#This Row],[Precio Cierre]],"NA")</f>
        <v>NA</v>
      </c>
    </row>
    <row r="987" spans="1:13" hidden="1">
      <c r="A987" s="38" t="s">
        <v>90</v>
      </c>
      <c r="B987" s="34">
        <v>42167</v>
      </c>
      <c r="C987" s="35">
        <v>118904</v>
      </c>
      <c r="D987" s="35">
        <v>1525452940</v>
      </c>
      <c r="E987" s="35">
        <v>13000</v>
      </c>
      <c r="F987" s="35">
        <v>12780</v>
      </c>
      <c r="G987" s="35">
        <v>12780</v>
      </c>
      <c r="H987" s="35">
        <v>12829.28</v>
      </c>
      <c r="I987" s="35">
        <v>-1.39</v>
      </c>
      <c r="J987" s="35">
        <v>-180</v>
      </c>
      <c r="K987" s="71">
        <f>YEAR(Accion[[#This Row],[fecha]])</f>
        <v>2015</v>
      </c>
      <c r="L987" s="79" t="str">
        <f>IF(Accion[[#This Row],[Precio Cierre]]=MAX(Accion[Precio Cierre]),Accion[[#This Row],[Precio Cierre]],"NA")</f>
        <v>NA</v>
      </c>
      <c r="M987" s="79" t="str">
        <f>IF(Accion[[#This Row],[Precio Cierre]]=MIN(Accion[Precio Cierre]),Accion[[#This Row],[Precio Cierre]],"NA")</f>
        <v>NA</v>
      </c>
    </row>
    <row r="988" spans="1:13" hidden="1">
      <c r="A988" s="38" t="s">
        <v>90</v>
      </c>
      <c r="B988" s="34">
        <v>42166</v>
      </c>
      <c r="C988" s="35">
        <v>735417</v>
      </c>
      <c r="D988" s="35">
        <v>9493243500</v>
      </c>
      <c r="E988" s="35">
        <v>12960</v>
      </c>
      <c r="F988" s="35">
        <v>12880</v>
      </c>
      <c r="G988" s="35">
        <v>12960</v>
      </c>
      <c r="H988" s="35">
        <v>12908.65</v>
      </c>
      <c r="I988" s="35">
        <v>0.31</v>
      </c>
      <c r="J988" s="35">
        <v>40</v>
      </c>
      <c r="K988" s="71">
        <f>YEAR(Accion[[#This Row],[fecha]])</f>
        <v>2015</v>
      </c>
      <c r="L988" s="79" t="str">
        <f>IF(Accion[[#This Row],[Precio Cierre]]=MAX(Accion[Precio Cierre]),Accion[[#This Row],[Precio Cierre]],"NA")</f>
        <v>NA</v>
      </c>
      <c r="M988" s="79" t="str">
        <f>IF(Accion[[#This Row],[Precio Cierre]]=MIN(Accion[Precio Cierre]),Accion[[#This Row],[Precio Cierre]],"NA")</f>
        <v>NA</v>
      </c>
    </row>
    <row r="989" spans="1:13" hidden="1">
      <c r="A989" s="38" t="s">
        <v>90</v>
      </c>
      <c r="B989" s="34">
        <v>42165</v>
      </c>
      <c r="C989" s="35">
        <v>576352</v>
      </c>
      <c r="D989" s="35">
        <v>7445192320</v>
      </c>
      <c r="E989" s="35">
        <v>13000</v>
      </c>
      <c r="F989" s="35">
        <v>12860</v>
      </c>
      <c r="G989" s="35">
        <v>12920</v>
      </c>
      <c r="H989" s="35">
        <v>12917.79</v>
      </c>
      <c r="I989" s="35">
        <v>-0.62</v>
      </c>
      <c r="J989" s="35">
        <v>-80</v>
      </c>
      <c r="K989" s="71">
        <f>YEAR(Accion[[#This Row],[fecha]])</f>
        <v>2015</v>
      </c>
      <c r="L989" s="79" t="str">
        <f>IF(Accion[[#This Row],[Precio Cierre]]=MAX(Accion[Precio Cierre]),Accion[[#This Row],[Precio Cierre]],"NA")</f>
        <v>NA</v>
      </c>
      <c r="M989" s="79" t="str">
        <f>IF(Accion[[#This Row],[Precio Cierre]]=MIN(Accion[Precio Cierre]),Accion[[#This Row],[Precio Cierre]],"NA")</f>
        <v>NA</v>
      </c>
    </row>
    <row r="990" spans="1:13" hidden="1">
      <c r="A990" s="38" t="s">
        <v>90</v>
      </c>
      <c r="B990" s="34">
        <v>42164</v>
      </c>
      <c r="C990" s="35">
        <v>643046</v>
      </c>
      <c r="D990" s="35">
        <v>8361560240</v>
      </c>
      <c r="E990" s="35">
        <v>13100</v>
      </c>
      <c r="F990" s="35">
        <v>12940</v>
      </c>
      <c r="G990" s="35">
        <v>13000</v>
      </c>
      <c r="H990" s="35">
        <v>13003.05</v>
      </c>
      <c r="I990" s="35">
        <v>0</v>
      </c>
      <c r="J990" s="35">
        <v>0</v>
      </c>
      <c r="K990" s="71">
        <f>YEAR(Accion[[#This Row],[fecha]])</f>
        <v>2015</v>
      </c>
      <c r="L990" s="79" t="str">
        <f>IF(Accion[[#This Row],[Precio Cierre]]=MAX(Accion[Precio Cierre]),Accion[[#This Row],[Precio Cierre]],"NA")</f>
        <v>NA</v>
      </c>
      <c r="M990" s="79" t="str">
        <f>IF(Accion[[#This Row],[Precio Cierre]]=MIN(Accion[Precio Cierre]),Accion[[#This Row],[Precio Cierre]],"NA")</f>
        <v>NA</v>
      </c>
    </row>
    <row r="991" spans="1:13" hidden="1">
      <c r="A991" s="38" t="s">
        <v>90</v>
      </c>
      <c r="B991" s="34">
        <v>42160</v>
      </c>
      <c r="C991" s="35">
        <v>515655</v>
      </c>
      <c r="D991" s="35">
        <v>6680901180</v>
      </c>
      <c r="E991" s="35">
        <v>13060</v>
      </c>
      <c r="F991" s="35">
        <v>12920</v>
      </c>
      <c r="G991" s="35">
        <v>13000</v>
      </c>
      <c r="H991" s="35">
        <v>12956.15</v>
      </c>
      <c r="I991" s="35">
        <v>0.62</v>
      </c>
      <c r="J991" s="35">
        <v>80</v>
      </c>
      <c r="K991" s="71">
        <f>YEAR(Accion[[#This Row],[fecha]])</f>
        <v>2015</v>
      </c>
      <c r="L991" s="79" t="str">
        <f>IF(Accion[[#This Row],[Precio Cierre]]=MAX(Accion[Precio Cierre]),Accion[[#This Row],[Precio Cierre]],"NA")</f>
        <v>NA</v>
      </c>
      <c r="M991" s="79" t="str">
        <f>IF(Accion[[#This Row],[Precio Cierre]]=MIN(Accion[Precio Cierre]),Accion[[#This Row],[Precio Cierre]],"NA")</f>
        <v>NA</v>
      </c>
    </row>
    <row r="992" spans="1:13" hidden="1">
      <c r="A992" s="38" t="s">
        <v>90</v>
      </c>
      <c r="B992" s="34">
        <v>42159</v>
      </c>
      <c r="C992" s="35">
        <v>862007</v>
      </c>
      <c r="D992" s="35">
        <v>11141925860</v>
      </c>
      <c r="E992" s="35">
        <v>12980</v>
      </c>
      <c r="F992" s="35">
        <v>12840</v>
      </c>
      <c r="G992" s="35">
        <v>12920</v>
      </c>
      <c r="H992" s="35">
        <v>12925.56</v>
      </c>
      <c r="I992" s="35">
        <v>0.47</v>
      </c>
      <c r="J992" s="35">
        <v>60</v>
      </c>
      <c r="K992" s="71">
        <f>YEAR(Accion[[#This Row],[fecha]])</f>
        <v>2015</v>
      </c>
      <c r="L992" s="79" t="str">
        <f>IF(Accion[[#This Row],[Precio Cierre]]=MAX(Accion[Precio Cierre]),Accion[[#This Row],[Precio Cierre]],"NA")</f>
        <v>NA</v>
      </c>
      <c r="M992" s="79" t="str">
        <f>IF(Accion[[#This Row],[Precio Cierre]]=MIN(Accion[Precio Cierre]),Accion[[#This Row],[Precio Cierre]],"NA")</f>
        <v>NA</v>
      </c>
    </row>
    <row r="993" spans="1:13" hidden="1">
      <c r="A993" s="38" t="s">
        <v>90</v>
      </c>
      <c r="B993" s="34">
        <v>42158</v>
      </c>
      <c r="C993" s="35">
        <v>1238272</v>
      </c>
      <c r="D993" s="35">
        <v>15861909940</v>
      </c>
      <c r="E993" s="35">
        <v>12880</v>
      </c>
      <c r="F993" s="35">
        <v>12680</v>
      </c>
      <c r="G993" s="35">
        <v>12860</v>
      </c>
      <c r="H993" s="35">
        <v>12809.71</v>
      </c>
      <c r="I993" s="35">
        <v>1.26</v>
      </c>
      <c r="J993" s="35">
        <v>160</v>
      </c>
      <c r="K993" s="71">
        <f>YEAR(Accion[[#This Row],[fecha]])</f>
        <v>2015</v>
      </c>
      <c r="L993" s="79" t="str">
        <f>IF(Accion[[#This Row],[Precio Cierre]]=MAX(Accion[Precio Cierre]),Accion[[#This Row],[Precio Cierre]],"NA")</f>
        <v>NA</v>
      </c>
      <c r="M993" s="79" t="str">
        <f>IF(Accion[[#This Row],[Precio Cierre]]=MIN(Accion[Precio Cierre]),Accion[[#This Row],[Precio Cierre]],"NA")</f>
        <v>NA</v>
      </c>
    </row>
    <row r="994" spans="1:13" hidden="1">
      <c r="A994" s="38" t="s">
        <v>90</v>
      </c>
      <c r="B994" s="34">
        <v>42157</v>
      </c>
      <c r="C994" s="35">
        <v>942100</v>
      </c>
      <c r="D994" s="35">
        <v>11943694440</v>
      </c>
      <c r="E994" s="35">
        <v>12740</v>
      </c>
      <c r="F994" s="35">
        <v>12560</v>
      </c>
      <c r="G994" s="35">
        <v>12700</v>
      </c>
      <c r="H994" s="35">
        <v>12677.74</v>
      </c>
      <c r="I994" s="35">
        <v>1.1100000000000001</v>
      </c>
      <c r="J994" s="35">
        <v>140</v>
      </c>
      <c r="K994" s="71">
        <f>YEAR(Accion[[#This Row],[fecha]])</f>
        <v>2015</v>
      </c>
      <c r="L994" s="79" t="str">
        <f>IF(Accion[[#This Row],[Precio Cierre]]=MAX(Accion[Precio Cierre]),Accion[[#This Row],[Precio Cierre]],"NA")</f>
        <v>NA</v>
      </c>
      <c r="M994" s="79" t="str">
        <f>IF(Accion[[#This Row],[Precio Cierre]]=MIN(Accion[Precio Cierre]),Accion[[#This Row],[Precio Cierre]],"NA")</f>
        <v>NA</v>
      </c>
    </row>
    <row r="995" spans="1:13" hidden="1">
      <c r="A995" s="38" t="s">
        <v>90</v>
      </c>
      <c r="B995" s="34">
        <v>42156</v>
      </c>
      <c r="C995" s="35">
        <v>804914</v>
      </c>
      <c r="D995" s="35">
        <v>10209156020</v>
      </c>
      <c r="E995" s="35">
        <v>12780</v>
      </c>
      <c r="F995" s="35">
        <v>12500</v>
      </c>
      <c r="G995" s="35">
        <v>12560</v>
      </c>
      <c r="H995" s="35">
        <v>12683.54</v>
      </c>
      <c r="I995" s="35">
        <v>0.48</v>
      </c>
      <c r="J995" s="35">
        <v>60</v>
      </c>
      <c r="K995" s="71">
        <f>YEAR(Accion[[#This Row],[fecha]])</f>
        <v>2015</v>
      </c>
      <c r="L995" s="79" t="str">
        <f>IF(Accion[[#This Row],[Precio Cierre]]=MAX(Accion[Precio Cierre]),Accion[[#This Row],[Precio Cierre]],"NA")</f>
        <v>NA</v>
      </c>
      <c r="M995" s="79" t="str">
        <f>IF(Accion[[#This Row],[Precio Cierre]]=MIN(Accion[Precio Cierre]),Accion[[#This Row],[Precio Cierre]],"NA")</f>
        <v>NA</v>
      </c>
    </row>
    <row r="996" spans="1:13" hidden="1">
      <c r="A996" s="38" t="s">
        <v>90</v>
      </c>
      <c r="B996" s="34">
        <v>42153</v>
      </c>
      <c r="C996" s="35">
        <v>11858136</v>
      </c>
      <c r="D996" s="35">
        <v>148646272140</v>
      </c>
      <c r="E996" s="35">
        <v>12760</v>
      </c>
      <c r="F996" s="35">
        <v>12500</v>
      </c>
      <c r="G996" s="35">
        <v>12500</v>
      </c>
      <c r="H996" s="35">
        <v>12535.38</v>
      </c>
      <c r="I996" s="35">
        <v>-1.26</v>
      </c>
      <c r="J996" s="35">
        <v>-160</v>
      </c>
      <c r="K996" s="71">
        <f>YEAR(Accion[[#This Row],[fecha]])</f>
        <v>2015</v>
      </c>
      <c r="L996" s="79" t="str">
        <f>IF(Accion[[#This Row],[Precio Cierre]]=MAX(Accion[Precio Cierre]),Accion[[#This Row],[Precio Cierre]],"NA")</f>
        <v>NA</v>
      </c>
      <c r="M996" s="79" t="str">
        <f>IF(Accion[[#This Row],[Precio Cierre]]=MIN(Accion[Precio Cierre]),Accion[[#This Row],[Precio Cierre]],"NA")</f>
        <v>NA</v>
      </c>
    </row>
    <row r="997" spans="1:13" hidden="1">
      <c r="A997" s="38" t="s">
        <v>90</v>
      </c>
      <c r="B997" s="78">
        <v>42152</v>
      </c>
      <c r="C997" s="79">
        <v>1696044</v>
      </c>
      <c r="D997" s="79">
        <v>21378657500</v>
      </c>
      <c r="E997" s="79">
        <v>12720</v>
      </c>
      <c r="F997" s="79">
        <v>12580</v>
      </c>
      <c r="G997" s="79">
        <v>12660</v>
      </c>
      <c r="H997" s="79">
        <v>12605.01</v>
      </c>
      <c r="I997" s="79">
        <v>0.48</v>
      </c>
      <c r="J997" s="79">
        <v>60</v>
      </c>
      <c r="K997" s="71">
        <f>YEAR(Accion[[#This Row],[fecha]])</f>
        <v>2015</v>
      </c>
      <c r="L997" s="79" t="str">
        <f>IF(Accion[[#This Row],[Precio Cierre]]=MAX(Accion[Precio Cierre]),Accion[[#This Row],[Precio Cierre]],"NA")</f>
        <v>NA</v>
      </c>
      <c r="M997" s="79" t="str">
        <f>IF(Accion[[#This Row],[Precio Cierre]]=MIN(Accion[Precio Cierre]),Accion[[#This Row],[Precio Cierre]],"NA")</f>
        <v>NA</v>
      </c>
    </row>
    <row r="998" spans="1:13" hidden="1">
      <c r="A998" s="38" t="s">
        <v>90</v>
      </c>
      <c r="B998" s="78">
        <v>42151</v>
      </c>
      <c r="C998" s="79">
        <v>1429141</v>
      </c>
      <c r="D998" s="79">
        <v>18028163720</v>
      </c>
      <c r="E998" s="79">
        <v>12700</v>
      </c>
      <c r="F998" s="79">
        <v>12600</v>
      </c>
      <c r="G998" s="79">
        <v>12600</v>
      </c>
      <c r="H998" s="79">
        <v>12614.69</v>
      </c>
      <c r="I998" s="79">
        <v>0</v>
      </c>
      <c r="J998" s="79">
        <v>0</v>
      </c>
      <c r="K998" s="71">
        <f>YEAR(Accion[[#This Row],[fecha]])</f>
        <v>2015</v>
      </c>
      <c r="L998" s="79" t="str">
        <f>IF(Accion[[#This Row],[Precio Cierre]]=MAX(Accion[Precio Cierre]),Accion[[#This Row],[Precio Cierre]],"NA")</f>
        <v>NA</v>
      </c>
      <c r="M998" s="79" t="str">
        <f>IF(Accion[[#This Row],[Precio Cierre]]=MIN(Accion[Precio Cierre]),Accion[[#This Row],[Precio Cierre]],"NA")</f>
        <v>NA</v>
      </c>
    </row>
    <row r="999" spans="1:13" hidden="1">
      <c r="A999" s="38" t="s">
        <v>90</v>
      </c>
      <c r="B999" s="78">
        <v>42150</v>
      </c>
      <c r="C999" s="79">
        <v>1942221</v>
      </c>
      <c r="D999" s="79">
        <v>24544553220</v>
      </c>
      <c r="E999" s="79">
        <v>12860</v>
      </c>
      <c r="F999" s="79">
        <v>12560</v>
      </c>
      <c r="G999" s="79">
        <v>12600</v>
      </c>
      <c r="H999" s="79">
        <v>12637.36</v>
      </c>
      <c r="I999" s="79">
        <v>-2.02</v>
      </c>
      <c r="J999" s="79">
        <v>-260</v>
      </c>
      <c r="K999" s="71">
        <f>YEAR(Accion[[#This Row],[fecha]])</f>
        <v>2015</v>
      </c>
      <c r="L999" s="79" t="str">
        <f>IF(Accion[[#This Row],[Precio Cierre]]=MAX(Accion[Precio Cierre]),Accion[[#This Row],[Precio Cierre]],"NA")</f>
        <v>NA</v>
      </c>
      <c r="M999" s="79" t="str">
        <f>IF(Accion[[#This Row],[Precio Cierre]]=MIN(Accion[Precio Cierre]),Accion[[#This Row],[Precio Cierre]],"NA")</f>
        <v>NA</v>
      </c>
    </row>
    <row r="1000" spans="1:13" hidden="1">
      <c r="A1000" s="38" t="s">
        <v>90</v>
      </c>
      <c r="B1000" s="78">
        <v>42149</v>
      </c>
      <c r="C1000" s="79">
        <v>29809</v>
      </c>
      <c r="D1000" s="79">
        <v>381260640</v>
      </c>
      <c r="E1000" s="79">
        <v>12860</v>
      </c>
      <c r="F1000" s="79">
        <v>12740</v>
      </c>
      <c r="G1000" s="79">
        <v>12860</v>
      </c>
      <c r="H1000" s="79">
        <v>12790.12</v>
      </c>
      <c r="I1000" s="79">
        <v>0.16</v>
      </c>
      <c r="J1000" s="79">
        <v>20</v>
      </c>
      <c r="K1000" s="71">
        <f>YEAR(Accion[[#This Row],[fecha]])</f>
        <v>2015</v>
      </c>
      <c r="L1000" s="79" t="str">
        <f>IF(Accion[[#This Row],[Precio Cierre]]=MAX(Accion[Precio Cierre]),Accion[[#This Row],[Precio Cierre]],"NA")</f>
        <v>NA</v>
      </c>
      <c r="M1000" s="79" t="str">
        <f>IF(Accion[[#This Row],[Precio Cierre]]=MIN(Accion[Precio Cierre]),Accion[[#This Row],[Precio Cierre]],"NA")</f>
        <v>NA</v>
      </c>
    </row>
    <row r="1001" spans="1:13" hidden="1">
      <c r="A1001" s="38" t="s">
        <v>90</v>
      </c>
      <c r="B1001" s="78">
        <v>42146</v>
      </c>
      <c r="C1001" s="79">
        <v>603335</v>
      </c>
      <c r="D1001" s="79">
        <v>7826065840</v>
      </c>
      <c r="E1001" s="79">
        <v>13040</v>
      </c>
      <c r="F1001" s="79">
        <v>12840</v>
      </c>
      <c r="G1001" s="79">
        <v>12840</v>
      </c>
      <c r="H1001" s="79">
        <v>12971.34</v>
      </c>
      <c r="I1001" s="79">
        <v>-0.93</v>
      </c>
      <c r="J1001" s="79">
        <v>-120</v>
      </c>
      <c r="K1001" s="71">
        <f>YEAR(Accion[[#This Row],[fecha]])</f>
        <v>2015</v>
      </c>
      <c r="L1001" s="79" t="str">
        <f>IF(Accion[[#This Row],[Precio Cierre]]=MAX(Accion[Precio Cierre]),Accion[[#This Row],[Precio Cierre]],"NA")</f>
        <v>NA</v>
      </c>
      <c r="M1001" s="79" t="str">
        <f>IF(Accion[[#This Row],[Precio Cierre]]=MIN(Accion[Precio Cierre]),Accion[[#This Row],[Precio Cierre]],"NA")</f>
        <v>NA</v>
      </c>
    </row>
    <row r="1002" spans="1:13" hidden="1">
      <c r="A1002" s="38" t="s">
        <v>90</v>
      </c>
      <c r="B1002" s="78">
        <v>42145</v>
      </c>
      <c r="C1002" s="79">
        <v>475891</v>
      </c>
      <c r="D1002" s="79">
        <v>6177548700</v>
      </c>
      <c r="E1002" s="79">
        <v>13140</v>
      </c>
      <c r="F1002" s="79">
        <v>12800</v>
      </c>
      <c r="G1002" s="79">
        <v>12960</v>
      </c>
      <c r="H1002" s="79">
        <v>12981.02</v>
      </c>
      <c r="I1002" s="79">
        <v>0.93</v>
      </c>
      <c r="J1002" s="79">
        <v>120</v>
      </c>
      <c r="K1002" s="71">
        <f>YEAR(Accion[[#This Row],[fecha]])</f>
        <v>2015</v>
      </c>
      <c r="L1002" s="79" t="str">
        <f>IF(Accion[[#This Row],[Precio Cierre]]=MAX(Accion[Precio Cierre]),Accion[[#This Row],[Precio Cierre]],"NA")</f>
        <v>NA</v>
      </c>
      <c r="M1002" s="79" t="str">
        <f>IF(Accion[[#This Row],[Precio Cierre]]=MIN(Accion[Precio Cierre]),Accion[[#This Row],[Precio Cierre]],"NA")</f>
        <v>NA</v>
      </c>
    </row>
    <row r="1003" spans="1:13" hidden="1">
      <c r="A1003" s="38" t="s">
        <v>90</v>
      </c>
      <c r="B1003" s="78">
        <v>42144</v>
      </c>
      <c r="C1003" s="79">
        <v>612729</v>
      </c>
      <c r="D1003" s="79">
        <v>7950811560</v>
      </c>
      <c r="E1003" s="79">
        <v>13200</v>
      </c>
      <c r="F1003" s="79">
        <v>12820</v>
      </c>
      <c r="G1003" s="79">
        <v>12840</v>
      </c>
      <c r="H1003" s="79">
        <v>12976.07</v>
      </c>
      <c r="I1003" s="79">
        <v>-1.98</v>
      </c>
      <c r="J1003" s="79">
        <v>-260</v>
      </c>
      <c r="K1003" s="71">
        <f>YEAR(Accion[[#This Row],[fecha]])</f>
        <v>2015</v>
      </c>
      <c r="L1003" s="79" t="str">
        <f>IF(Accion[[#This Row],[Precio Cierre]]=MAX(Accion[Precio Cierre]),Accion[[#This Row],[Precio Cierre]],"NA")</f>
        <v>NA</v>
      </c>
      <c r="M1003" s="79" t="str">
        <f>IF(Accion[[#This Row],[Precio Cierre]]=MIN(Accion[Precio Cierre]),Accion[[#This Row],[Precio Cierre]],"NA")</f>
        <v>NA</v>
      </c>
    </row>
    <row r="1004" spans="1:13" hidden="1">
      <c r="A1004" s="38" t="s">
        <v>90</v>
      </c>
      <c r="B1004" s="78">
        <v>42143</v>
      </c>
      <c r="C1004" s="79">
        <v>1656060</v>
      </c>
      <c r="D1004" s="79">
        <v>21390287380</v>
      </c>
      <c r="E1004" s="79">
        <v>13100</v>
      </c>
      <c r="F1004" s="79">
        <v>12620</v>
      </c>
      <c r="G1004" s="79">
        <v>13100</v>
      </c>
      <c r="H1004" s="79">
        <v>12916.37</v>
      </c>
      <c r="I1004" s="79">
        <v>3.15</v>
      </c>
      <c r="J1004" s="79">
        <v>400</v>
      </c>
      <c r="K1004" s="71">
        <f>YEAR(Accion[[#This Row],[fecha]])</f>
        <v>2015</v>
      </c>
      <c r="L1004" s="79" t="str">
        <f>IF(Accion[[#This Row],[Precio Cierre]]=MAX(Accion[Precio Cierre]),Accion[[#This Row],[Precio Cierre]],"NA")</f>
        <v>NA</v>
      </c>
      <c r="M1004" s="79" t="str">
        <f>IF(Accion[[#This Row],[Precio Cierre]]=MIN(Accion[Precio Cierre]),Accion[[#This Row],[Precio Cierre]],"NA")</f>
        <v>NA</v>
      </c>
    </row>
    <row r="1005" spans="1:13" hidden="1">
      <c r="A1005" s="38" t="s">
        <v>90</v>
      </c>
      <c r="B1005" s="78">
        <v>42139</v>
      </c>
      <c r="C1005" s="79">
        <v>383086</v>
      </c>
      <c r="D1005" s="79">
        <v>4864124840</v>
      </c>
      <c r="E1005" s="79">
        <v>12900</v>
      </c>
      <c r="F1005" s="79">
        <v>12620</v>
      </c>
      <c r="G1005" s="79">
        <v>12700</v>
      </c>
      <c r="H1005" s="79">
        <v>12697.21</v>
      </c>
      <c r="I1005" s="79">
        <v>-0.47</v>
      </c>
      <c r="J1005" s="79">
        <v>-60</v>
      </c>
      <c r="K1005" s="71">
        <f>YEAR(Accion[[#This Row],[fecha]])</f>
        <v>2015</v>
      </c>
      <c r="L1005" s="79" t="str">
        <f>IF(Accion[[#This Row],[Precio Cierre]]=MAX(Accion[Precio Cierre]),Accion[[#This Row],[Precio Cierre]],"NA")</f>
        <v>NA</v>
      </c>
      <c r="M1005" s="79" t="str">
        <f>IF(Accion[[#This Row],[Precio Cierre]]=MIN(Accion[Precio Cierre]),Accion[[#This Row],[Precio Cierre]],"NA")</f>
        <v>NA</v>
      </c>
    </row>
    <row r="1006" spans="1:13" hidden="1">
      <c r="A1006" s="38" t="s">
        <v>90</v>
      </c>
      <c r="B1006" s="78">
        <v>42138</v>
      </c>
      <c r="C1006" s="79">
        <v>3530925</v>
      </c>
      <c r="D1006" s="79">
        <v>44594086600</v>
      </c>
      <c r="E1006" s="79">
        <v>12840</v>
      </c>
      <c r="F1006" s="79">
        <v>12600</v>
      </c>
      <c r="G1006" s="79">
        <v>12760</v>
      </c>
      <c r="H1006" s="79">
        <v>12629.58</v>
      </c>
      <c r="I1006" s="79">
        <v>1.59</v>
      </c>
      <c r="J1006" s="79">
        <v>200</v>
      </c>
      <c r="K1006" s="71">
        <f>YEAR(Accion[[#This Row],[fecha]])</f>
        <v>2015</v>
      </c>
      <c r="L1006" s="79" t="str">
        <f>IF(Accion[[#This Row],[Precio Cierre]]=MAX(Accion[Precio Cierre]),Accion[[#This Row],[Precio Cierre]],"NA")</f>
        <v>NA</v>
      </c>
      <c r="M1006" s="79" t="str">
        <f>IF(Accion[[#This Row],[Precio Cierre]]=MIN(Accion[Precio Cierre]),Accion[[#This Row],[Precio Cierre]],"NA")</f>
        <v>NA</v>
      </c>
    </row>
    <row r="1007" spans="1:13" hidden="1">
      <c r="A1007" s="38" t="s">
        <v>90</v>
      </c>
      <c r="B1007" s="78">
        <v>42137</v>
      </c>
      <c r="C1007" s="79">
        <v>1085051</v>
      </c>
      <c r="D1007" s="79">
        <v>13679436540</v>
      </c>
      <c r="E1007" s="79">
        <v>13000</v>
      </c>
      <c r="F1007" s="79">
        <v>12540</v>
      </c>
      <c r="G1007" s="79">
        <v>12560</v>
      </c>
      <c r="H1007" s="79">
        <v>12607.18</v>
      </c>
      <c r="I1007" s="79">
        <v>-3.38</v>
      </c>
      <c r="J1007" s="79">
        <v>-440</v>
      </c>
      <c r="K1007" s="71">
        <f>YEAR(Accion[[#This Row],[fecha]])</f>
        <v>2015</v>
      </c>
      <c r="L1007" s="79" t="str">
        <f>IF(Accion[[#This Row],[Precio Cierre]]=MAX(Accion[Precio Cierre]),Accion[[#This Row],[Precio Cierre]],"NA")</f>
        <v>NA</v>
      </c>
      <c r="M1007" s="79" t="str">
        <f>IF(Accion[[#This Row],[Precio Cierre]]=MIN(Accion[Precio Cierre]),Accion[[#This Row],[Precio Cierre]],"NA")</f>
        <v>NA</v>
      </c>
    </row>
    <row r="1008" spans="1:13" hidden="1">
      <c r="A1008" s="38" t="s">
        <v>90</v>
      </c>
      <c r="B1008" s="78">
        <v>42136</v>
      </c>
      <c r="C1008" s="79">
        <v>313901</v>
      </c>
      <c r="D1008" s="79">
        <v>4126574400</v>
      </c>
      <c r="E1008" s="79">
        <v>13300</v>
      </c>
      <c r="F1008" s="79">
        <v>13000</v>
      </c>
      <c r="G1008" s="79">
        <v>13000</v>
      </c>
      <c r="H1008" s="79">
        <v>13146.1</v>
      </c>
      <c r="I1008" s="79">
        <v>-1.81</v>
      </c>
      <c r="J1008" s="79">
        <v>-240</v>
      </c>
      <c r="K1008" s="71">
        <f>YEAR(Accion[[#This Row],[fecha]])</f>
        <v>2015</v>
      </c>
      <c r="L1008" s="79" t="str">
        <f>IF(Accion[[#This Row],[Precio Cierre]]=MAX(Accion[Precio Cierre]),Accion[[#This Row],[Precio Cierre]],"NA")</f>
        <v>NA</v>
      </c>
      <c r="M1008" s="79" t="str">
        <f>IF(Accion[[#This Row],[Precio Cierre]]=MIN(Accion[Precio Cierre]),Accion[[#This Row],[Precio Cierre]],"NA")</f>
        <v>NA</v>
      </c>
    </row>
    <row r="1009" spans="1:13" hidden="1">
      <c r="A1009" s="38" t="s">
        <v>90</v>
      </c>
      <c r="B1009" s="78">
        <v>42135</v>
      </c>
      <c r="C1009" s="79">
        <v>791693</v>
      </c>
      <c r="D1009" s="79">
        <v>10501698200</v>
      </c>
      <c r="E1009" s="79">
        <v>13400</v>
      </c>
      <c r="F1009" s="79">
        <v>13180</v>
      </c>
      <c r="G1009" s="79">
        <v>13240</v>
      </c>
      <c r="H1009" s="79">
        <v>13264.86</v>
      </c>
      <c r="I1009" s="79">
        <v>0.76</v>
      </c>
      <c r="J1009" s="79">
        <v>100</v>
      </c>
      <c r="K1009" s="71">
        <f>YEAR(Accion[[#This Row],[fecha]])</f>
        <v>2015</v>
      </c>
      <c r="L1009" s="79" t="str">
        <f>IF(Accion[[#This Row],[Precio Cierre]]=MAX(Accion[Precio Cierre]),Accion[[#This Row],[Precio Cierre]],"NA")</f>
        <v>NA</v>
      </c>
      <c r="M1009" s="79" t="str">
        <f>IF(Accion[[#This Row],[Precio Cierre]]=MIN(Accion[Precio Cierre]),Accion[[#This Row],[Precio Cierre]],"NA")</f>
        <v>NA</v>
      </c>
    </row>
    <row r="1010" spans="1:13" hidden="1">
      <c r="A1010" s="38" t="s">
        <v>90</v>
      </c>
      <c r="B1010" s="78">
        <v>42132</v>
      </c>
      <c r="C1010" s="79">
        <v>975428</v>
      </c>
      <c r="D1010" s="79">
        <v>12737897180</v>
      </c>
      <c r="E1010" s="79">
        <v>13160</v>
      </c>
      <c r="F1010" s="79">
        <v>12820</v>
      </c>
      <c r="G1010" s="79">
        <v>13140</v>
      </c>
      <c r="H1010" s="79">
        <v>13058.78</v>
      </c>
      <c r="I1010" s="79">
        <v>1.08</v>
      </c>
      <c r="J1010" s="79">
        <v>140</v>
      </c>
      <c r="K1010" s="71">
        <f>YEAR(Accion[[#This Row],[fecha]])</f>
        <v>2015</v>
      </c>
      <c r="L1010" s="79" t="str">
        <f>IF(Accion[[#This Row],[Precio Cierre]]=MAX(Accion[Precio Cierre]),Accion[[#This Row],[Precio Cierre]],"NA")</f>
        <v>NA</v>
      </c>
      <c r="M1010" s="79" t="str">
        <f>IF(Accion[[#This Row],[Precio Cierre]]=MIN(Accion[Precio Cierre]),Accion[[#This Row],[Precio Cierre]],"NA")</f>
        <v>NA</v>
      </c>
    </row>
    <row r="1011" spans="1:13" hidden="1">
      <c r="A1011" s="38" t="s">
        <v>90</v>
      </c>
      <c r="B1011" s="78">
        <v>42131</v>
      </c>
      <c r="C1011" s="79">
        <v>624216</v>
      </c>
      <c r="D1011" s="79">
        <v>8111871740</v>
      </c>
      <c r="E1011" s="79">
        <v>13020</v>
      </c>
      <c r="F1011" s="79">
        <v>12840</v>
      </c>
      <c r="G1011" s="79">
        <v>13000</v>
      </c>
      <c r="H1011" s="79">
        <v>12995.3</v>
      </c>
      <c r="I1011" s="79">
        <v>0</v>
      </c>
      <c r="J1011" s="79">
        <v>0</v>
      </c>
      <c r="K1011" s="71">
        <f>YEAR(Accion[[#This Row],[fecha]])</f>
        <v>2015</v>
      </c>
      <c r="L1011" s="79" t="str">
        <f>IF(Accion[[#This Row],[Precio Cierre]]=MAX(Accion[Precio Cierre]),Accion[[#This Row],[Precio Cierre]],"NA")</f>
        <v>NA</v>
      </c>
      <c r="M1011" s="79" t="str">
        <f>IF(Accion[[#This Row],[Precio Cierre]]=MIN(Accion[Precio Cierre]),Accion[[#This Row],[Precio Cierre]],"NA")</f>
        <v>NA</v>
      </c>
    </row>
    <row r="1012" spans="1:13" hidden="1">
      <c r="A1012" s="38" t="s">
        <v>90</v>
      </c>
      <c r="B1012" s="78">
        <v>42130</v>
      </c>
      <c r="C1012" s="79">
        <v>2936343</v>
      </c>
      <c r="D1012" s="79">
        <v>36868696660</v>
      </c>
      <c r="E1012" s="79">
        <v>13000</v>
      </c>
      <c r="F1012" s="79">
        <v>12500</v>
      </c>
      <c r="G1012" s="79">
        <v>13000</v>
      </c>
      <c r="H1012" s="79">
        <v>12555.99</v>
      </c>
      <c r="I1012" s="79">
        <v>4</v>
      </c>
      <c r="J1012" s="79">
        <v>500</v>
      </c>
      <c r="K1012" s="71">
        <f>YEAR(Accion[[#This Row],[fecha]])</f>
        <v>2015</v>
      </c>
      <c r="L1012" s="79" t="str">
        <f>IF(Accion[[#This Row],[Precio Cierre]]=MAX(Accion[Precio Cierre]),Accion[[#This Row],[Precio Cierre]],"NA")</f>
        <v>NA</v>
      </c>
      <c r="M1012" s="79" t="str">
        <f>IF(Accion[[#This Row],[Precio Cierre]]=MIN(Accion[Precio Cierre]),Accion[[#This Row],[Precio Cierre]],"NA")</f>
        <v>NA</v>
      </c>
    </row>
    <row r="1013" spans="1:13" hidden="1">
      <c r="A1013" s="38" t="s">
        <v>90</v>
      </c>
      <c r="B1013" s="78">
        <v>42129</v>
      </c>
      <c r="C1013" s="79">
        <v>2200328</v>
      </c>
      <c r="D1013" s="79">
        <v>27527695560</v>
      </c>
      <c r="E1013" s="79">
        <v>12700</v>
      </c>
      <c r="F1013" s="79">
        <v>12400</v>
      </c>
      <c r="G1013" s="79">
        <v>12500</v>
      </c>
      <c r="H1013" s="79">
        <v>12510.72</v>
      </c>
      <c r="I1013" s="79">
        <v>-0.79</v>
      </c>
      <c r="J1013" s="79">
        <v>-100</v>
      </c>
      <c r="K1013" s="71">
        <f>YEAR(Accion[[#This Row],[fecha]])</f>
        <v>2015</v>
      </c>
      <c r="L1013" s="79" t="str">
        <f>IF(Accion[[#This Row],[Precio Cierre]]=MAX(Accion[Precio Cierre]),Accion[[#This Row],[Precio Cierre]],"NA")</f>
        <v>NA</v>
      </c>
      <c r="M1013" s="79" t="str">
        <f>IF(Accion[[#This Row],[Precio Cierre]]=MIN(Accion[Precio Cierre]),Accion[[#This Row],[Precio Cierre]],"NA")</f>
        <v>NA</v>
      </c>
    </row>
    <row r="1014" spans="1:13" hidden="1">
      <c r="A1014" s="38" t="s">
        <v>90</v>
      </c>
      <c r="B1014" s="78">
        <v>42128</v>
      </c>
      <c r="C1014" s="79">
        <v>387122</v>
      </c>
      <c r="D1014" s="79">
        <v>5033462260</v>
      </c>
      <c r="E1014" s="79">
        <v>13320</v>
      </c>
      <c r="F1014" s="79">
        <v>12600</v>
      </c>
      <c r="G1014" s="79">
        <v>12600</v>
      </c>
      <c r="H1014" s="79">
        <v>13002.26</v>
      </c>
      <c r="I1014" s="79">
        <v>-5.26</v>
      </c>
      <c r="J1014" s="79">
        <v>-700</v>
      </c>
      <c r="K1014" s="71">
        <f>YEAR(Accion[[#This Row],[fecha]])</f>
        <v>2015</v>
      </c>
      <c r="L1014" s="79" t="str">
        <f>IF(Accion[[#This Row],[Precio Cierre]]=MAX(Accion[Precio Cierre]),Accion[[#This Row],[Precio Cierre]],"NA")</f>
        <v>NA</v>
      </c>
      <c r="M1014" s="79" t="str">
        <f>IF(Accion[[#This Row],[Precio Cierre]]=MIN(Accion[Precio Cierre]),Accion[[#This Row],[Precio Cierre]],"NA")</f>
        <v>NA</v>
      </c>
    </row>
    <row r="1015" spans="1:13" hidden="1">
      <c r="A1015" s="38" t="s">
        <v>90</v>
      </c>
      <c r="B1015" s="78">
        <v>42124</v>
      </c>
      <c r="C1015" s="79">
        <v>1832496</v>
      </c>
      <c r="D1015" s="79">
        <v>24478926860</v>
      </c>
      <c r="E1015" s="79">
        <v>13580</v>
      </c>
      <c r="F1015" s="79">
        <v>13300</v>
      </c>
      <c r="G1015" s="79">
        <v>13300</v>
      </c>
      <c r="H1015" s="79">
        <v>13358.24</v>
      </c>
      <c r="I1015" s="79">
        <v>-1.63</v>
      </c>
      <c r="J1015" s="79">
        <v>-220</v>
      </c>
      <c r="K1015" s="71">
        <f>YEAR(Accion[[#This Row],[fecha]])</f>
        <v>2015</v>
      </c>
      <c r="L1015" s="79" t="str">
        <f>IF(Accion[[#This Row],[Precio Cierre]]=MAX(Accion[Precio Cierre]),Accion[[#This Row],[Precio Cierre]],"NA")</f>
        <v>NA</v>
      </c>
      <c r="M1015" s="79" t="str">
        <f>IF(Accion[[#This Row],[Precio Cierre]]=MIN(Accion[Precio Cierre]),Accion[[#This Row],[Precio Cierre]],"NA")</f>
        <v>NA</v>
      </c>
    </row>
    <row r="1016" spans="1:13" hidden="1">
      <c r="A1016" s="38" t="s">
        <v>90</v>
      </c>
      <c r="B1016" s="78">
        <v>42123</v>
      </c>
      <c r="C1016" s="79">
        <v>430334</v>
      </c>
      <c r="D1016" s="79">
        <v>5825172700</v>
      </c>
      <c r="E1016" s="79">
        <v>13680</v>
      </c>
      <c r="F1016" s="79">
        <v>13440</v>
      </c>
      <c r="G1016" s="79">
        <v>13520</v>
      </c>
      <c r="H1016" s="79">
        <v>13536.4</v>
      </c>
      <c r="I1016" s="79">
        <v>-0.59</v>
      </c>
      <c r="J1016" s="79">
        <v>-80</v>
      </c>
      <c r="K1016" s="71">
        <f>YEAR(Accion[[#This Row],[fecha]])</f>
        <v>2015</v>
      </c>
      <c r="L1016" s="79" t="str">
        <f>IF(Accion[[#This Row],[Precio Cierre]]=MAX(Accion[Precio Cierre]),Accion[[#This Row],[Precio Cierre]],"NA")</f>
        <v>NA</v>
      </c>
      <c r="M1016" s="79" t="str">
        <f>IF(Accion[[#This Row],[Precio Cierre]]=MIN(Accion[Precio Cierre]),Accion[[#This Row],[Precio Cierre]],"NA")</f>
        <v>NA</v>
      </c>
    </row>
    <row r="1017" spans="1:13" hidden="1">
      <c r="A1017" s="38" t="s">
        <v>90</v>
      </c>
      <c r="B1017" s="78">
        <v>42122</v>
      </c>
      <c r="C1017" s="79">
        <v>888206</v>
      </c>
      <c r="D1017" s="79">
        <v>12047041420</v>
      </c>
      <c r="E1017" s="79">
        <v>13700</v>
      </c>
      <c r="F1017" s="79">
        <v>13500</v>
      </c>
      <c r="G1017" s="79">
        <v>13600</v>
      </c>
      <c r="H1017" s="79">
        <v>13563.34</v>
      </c>
      <c r="I1017" s="79">
        <v>0.44</v>
      </c>
      <c r="J1017" s="79">
        <v>60</v>
      </c>
      <c r="K1017" s="71">
        <f>YEAR(Accion[[#This Row],[fecha]])</f>
        <v>2015</v>
      </c>
      <c r="L1017" s="79" t="str">
        <f>IF(Accion[[#This Row],[Precio Cierre]]=MAX(Accion[Precio Cierre]),Accion[[#This Row],[Precio Cierre]],"NA")</f>
        <v>NA</v>
      </c>
      <c r="M1017" s="79" t="str">
        <f>IF(Accion[[#This Row],[Precio Cierre]]=MIN(Accion[Precio Cierre]),Accion[[#This Row],[Precio Cierre]],"NA")</f>
        <v>NA</v>
      </c>
    </row>
    <row r="1018" spans="1:13" hidden="1">
      <c r="A1018" s="38" t="s">
        <v>90</v>
      </c>
      <c r="B1018" s="78">
        <v>42121</v>
      </c>
      <c r="C1018" s="79">
        <v>496209</v>
      </c>
      <c r="D1018" s="79">
        <v>6783332360</v>
      </c>
      <c r="E1018" s="79">
        <v>13740</v>
      </c>
      <c r="F1018" s="79">
        <v>13520</v>
      </c>
      <c r="G1018" s="79">
        <v>13540</v>
      </c>
      <c r="H1018" s="79">
        <v>13670.31</v>
      </c>
      <c r="I1018" s="79">
        <v>-1.88</v>
      </c>
      <c r="J1018" s="79">
        <v>-260</v>
      </c>
      <c r="K1018" s="71">
        <f>YEAR(Accion[[#This Row],[fecha]])</f>
        <v>2015</v>
      </c>
      <c r="L1018" s="79" t="str">
        <f>IF(Accion[[#This Row],[Precio Cierre]]=MAX(Accion[Precio Cierre]),Accion[[#This Row],[Precio Cierre]],"NA")</f>
        <v>NA</v>
      </c>
      <c r="M1018" s="79" t="str">
        <f>IF(Accion[[#This Row],[Precio Cierre]]=MIN(Accion[Precio Cierre]),Accion[[#This Row],[Precio Cierre]],"NA")</f>
        <v>NA</v>
      </c>
    </row>
    <row r="1019" spans="1:13" hidden="1">
      <c r="A1019" s="38" t="s">
        <v>90</v>
      </c>
      <c r="B1019" s="78">
        <v>42118</v>
      </c>
      <c r="C1019" s="79">
        <v>285231</v>
      </c>
      <c r="D1019" s="79">
        <v>3869645040</v>
      </c>
      <c r="E1019" s="79">
        <v>13800</v>
      </c>
      <c r="F1019" s="79">
        <v>13420</v>
      </c>
      <c r="G1019" s="79">
        <v>13800</v>
      </c>
      <c r="H1019" s="79">
        <v>13566.71</v>
      </c>
      <c r="I1019" s="79">
        <v>2.5299999999999998</v>
      </c>
      <c r="J1019" s="79">
        <v>340</v>
      </c>
      <c r="K1019" s="71">
        <f>YEAR(Accion[[#This Row],[fecha]])</f>
        <v>2015</v>
      </c>
      <c r="L1019" s="79" t="str">
        <f>IF(Accion[[#This Row],[Precio Cierre]]=MAX(Accion[Precio Cierre]),Accion[[#This Row],[Precio Cierre]],"NA")</f>
        <v>NA</v>
      </c>
      <c r="M1019" s="79" t="str">
        <f>IF(Accion[[#This Row],[Precio Cierre]]=MIN(Accion[Precio Cierre]),Accion[[#This Row],[Precio Cierre]],"NA")</f>
        <v>NA</v>
      </c>
    </row>
    <row r="1020" spans="1:13" hidden="1">
      <c r="A1020" s="38" t="s">
        <v>90</v>
      </c>
      <c r="B1020" s="78">
        <v>42117</v>
      </c>
      <c r="C1020" s="79">
        <v>711334</v>
      </c>
      <c r="D1020" s="79">
        <v>9547210740</v>
      </c>
      <c r="E1020" s="79">
        <v>13700</v>
      </c>
      <c r="F1020" s="79">
        <v>13200</v>
      </c>
      <c r="G1020" s="79">
        <v>13460</v>
      </c>
      <c r="H1020" s="79">
        <v>13421.56</v>
      </c>
      <c r="I1020" s="79">
        <v>-1.03</v>
      </c>
      <c r="J1020" s="79">
        <v>-140</v>
      </c>
      <c r="K1020" s="71">
        <f>YEAR(Accion[[#This Row],[fecha]])</f>
        <v>2015</v>
      </c>
      <c r="L1020" s="79" t="str">
        <f>IF(Accion[[#This Row],[Precio Cierre]]=MAX(Accion[Precio Cierre]),Accion[[#This Row],[Precio Cierre]],"NA")</f>
        <v>NA</v>
      </c>
      <c r="M1020" s="79" t="str">
        <f>IF(Accion[[#This Row],[Precio Cierre]]=MIN(Accion[Precio Cierre]),Accion[[#This Row],[Precio Cierre]],"NA")</f>
        <v>NA</v>
      </c>
    </row>
    <row r="1021" spans="1:13" hidden="1">
      <c r="A1021" s="38" t="s">
        <v>90</v>
      </c>
      <c r="B1021" s="78">
        <v>42116</v>
      </c>
      <c r="C1021" s="79">
        <v>345345</v>
      </c>
      <c r="D1021" s="79">
        <v>4681564140</v>
      </c>
      <c r="E1021" s="79">
        <v>13680</v>
      </c>
      <c r="F1021" s="79">
        <v>13500</v>
      </c>
      <c r="G1021" s="79">
        <v>13600</v>
      </c>
      <c r="H1021" s="79">
        <v>13556.19</v>
      </c>
      <c r="I1021" s="79">
        <v>0</v>
      </c>
      <c r="J1021" s="79">
        <v>0</v>
      </c>
      <c r="K1021" s="71">
        <f>YEAR(Accion[[#This Row],[fecha]])</f>
        <v>2015</v>
      </c>
      <c r="L1021" s="79" t="str">
        <f>IF(Accion[[#This Row],[Precio Cierre]]=MAX(Accion[Precio Cierre]),Accion[[#This Row],[Precio Cierre]],"NA")</f>
        <v>NA</v>
      </c>
      <c r="M1021" s="79" t="str">
        <f>IF(Accion[[#This Row],[Precio Cierre]]=MIN(Accion[Precio Cierre]),Accion[[#This Row],[Precio Cierre]],"NA")</f>
        <v>NA</v>
      </c>
    </row>
    <row r="1022" spans="1:13" hidden="1">
      <c r="A1022" s="38" t="s">
        <v>90</v>
      </c>
      <c r="B1022" s="78">
        <v>42115</v>
      </c>
      <c r="C1022" s="79">
        <v>105788</v>
      </c>
      <c r="D1022" s="79">
        <v>1419679740</v>
      </c>
      <c r="E1022" s="79">
        <v>13600</v>
      </c>
      <c r="F1022" s="79">
        <v>13300</v>
      </c>
      <c r="G1022" s="79">
        <v>13600</v>
      </c>
      <c r="H1022" s="79">
        <v>13420.05</v>
      </c>
      <c r="I1022" s="79">
        <v>1.34</v>
      </c>
      <c r="J1022" s="79">
        <v>180</v>
      </c>
      <c r="K1022" s="71">
        <f>YEAR(Accion[[#This Row],[fecha]])</f>
        <v>2015</v>
      </c>
      <c r="L1022" s="79" t="str">
        <f>IF(Accion[[#This Row],[Precio Cierre]]=MAX(Accion[Precio Cierre]),Accion[[#This Row],[Precio Cierre]],"NA")</f>
        <v>NA</v>
      </c>
      <c r="M1022" s="79" t="str">
        <f>IF(Accion[[#This Row],[Precio Cierre]]=MIN(Accion[Precio Cierre]),Accion[[#This Row],[Precio Cierre]],"NA")</f>
        <v>NA</v>
      </c>
    </row>
    <row r="1023" spans="1:13" hidden="1">
      <c r="A1023" s="38" t="s">
        <v>90</v>
      </c>
      <c r="B1023" s="78">
        <v>42114</v>
      </c>
      <c r="C1023" s="79">
        <v>303361</v>
      </c>
      <c r="D1023" s="79">
        <v>4117713000</v>
      </c>
      <c r="E1023" s="79">
        <v>13860</v>
      </c>
      <c r="F1023" s="79">
        <v>13200</v>
      </c>
      <c r="G1023" s="79">
        <v>13420</v>
      </c>
      <c r="H1023" s="79">
        <v>13573.64</v>
      </c>
      <c r="I1023" s="79">
        <v>-2.75</v>
      </c>
      <c r="J1023" s="79">
        <v>-380</v>
      </c>
      <c r="K1023" s="71">
        <f>YEAR(Accion[[#This Row],[fecha]])</f>
        <v>2015</v>
      </c>
      <c r="L1023" s="79" t="str">
        <f>IF(Accion[[#This Row],[Precio Cierre]]=MAX(Accion[Precio Cierre]),Accion[[#This Row],[Precio Cierre]],"NA")</f>
        <v>NA</v>
      </c>
      <c r="M1023" s="79" t="str">
        <f>IF(Accion[[#This Row],[Precio Cierre]]=MIN(Accion[Precio Cierre]),Accion[[#This Row],[Precio Cierre]],"NA")</f>
        <v>NA</v>
      </c>
    </row>
    <row r="1024" spans="1:13" hidden="1">
      <c r="A1024" s="38" t="s">
        <v>90</v>
      </c>
      <c r="B1024" s="78">
        <v>42111</v>
      </c>
      <c r="C1024" s="79">
        <v>286150</v>
      </c>
      <c r="D1024" s="79">
        <v>3940363200</v>
      </c>
      <c r="E1024" s="79">
        <v>13840</v>
      </c>
      <c r="F1024" s="79">
        <v>13740</v>
      </c>
      <c r="G1024" s="79">
        <v>13800</v>
      </c>
      <c r="H1024" s="79">
        <v>13770.27</v>
      </c>
      <c r="I1024" s="79">
        <v>-1</v>
      </c>
      <c r="J1024" s="79">
        <v>-140</v>
      </c>
      <c r="K1024" s="71">
        <f>YEAR(Accion[[#This Row],[fecha]])</f>
        <v>2015</v>
      </c>
      <c r="L1024" s="79" t="str">
        <f>IF(Accion[[#This Row],[Precio Cierre]]=MAX(Accion[Precio Cierre]),Accion[[#This Row],[Precio Cierre]],"NA")</f>
        <v>NA</v>
      </c>
      <c r="M1024" s="79" t="str">
        <f>IF(Accion[[#This Row],[Precio Cierre]]=MIN(Accion[Precio Cierre]),Accion[[#This Row],[Precio Cierre]],"NA")</f>
        <v>NA</v>
      </c>
    </row>
    <row r="1025" spans="1:13" hidden="1">
      <c r="A1025" s="38" t="s">
        <v>90</v>
      </c>
      <c r="B1025" s="78">
        <v>42110</v>
      </c>
      <c r="C1025" s="79">
        <v>294714</v>
      </c>
      <c r="D1025" s="79">
        <v>4091191900</v>
      </c>
      <c r="E1025" s="79">
        <v>14160</v>
      </c>
      <c r="F1025" s="79">
        <v>13720</v>
      </c>
      <c r="G1025" s="79">
        <v>13940</v>
      </c>
      <c r="H1025" s="79">
        <v>13881.91</v>
      </c>
      <c r="I1025" s="79">
        <v>-0.43</v>
      </c>
      <c r="J1025" s="79">
        <v>-60</v>
      </c>
      <c r="K1025" s="71">
        <f>YEAR(Accion[[#This Row],[fecha]])</f>
        <v>2015</v>
      </c>
      <c r="L1025" s="79" t="str">
        <f>IF(Accion[[#This Row],[Precio Cierre]]=MAX(Accion[Precio Cierre]),Accion[[#This Row],[Precio Cierre]],"NA")</f>
        <v>NA</v>
      </c>
      <c r="M1025" s="79" t="str">
        <f>IF(Accion[[#This Row],[Precio Cierre]]=MIN(Accion[Precio Cierre]),Accion[[#This Row],[Precio Cierre]],"NA")</f>
        <v>NA</v>
      </c>
    </row>
    <row r="1026" spans="1:13" hidden="1">
      <c r="A1026" s="38" t="s">
        <v>90</v>
      </c>
      <c r="B1026" s="78">
        <v>42109</v>
      </c>
      <c r="C1026" s="79">
        <v>604241</v>
      </c>
      <c r="D1026" s="79">
        <v>8504931820</v>
      </c>
      <c r="E1026" s="79">
        <v>14180</v>
      </c>
      <c r="F1026" s="79">
        <v>14000</v>
      </c>
      <c r="G1026" s="79">
        <v>14000</v>
      </c>
      <c r="H1026" s="79">
        <v>14075.4</v>
      </c>
      <c r="I1026" s="79">
        <v>0</v>
      </c>
      <c r="J1026" s="79">
        <v>0</v>
      </c>
      <c r="K1026" s="71">
        <f>YEAR(Accion[[#This Row],[fecha]])</f>
        <v>2015</v>
      </c>
      <c r="L1026" s="79" t="str">
        <f>IF(Accion[[#This Row],[Precio Cierre]]=MAX(Accion[Precio Cierre]),Accion[[#This Row],[Precio Cierre]],"NA")</f>
        <v>NA</v>
      </c>
      <c r="M1026" s="79" t="str">
        <f>IF(Accion[[#This Row],[Precio Cierre]]=MIN(Accion[Precio Cierre]),Accion[[#This Row],[Precio Cierre]],"NA")</f>
        <v>NA</v>
      </c>
    </row>
    <row r="1027" spans="1:13" hidden="1">
      <c r="A1027" s="38" t="s">
        <v>90</v>
      </c>
      <c r="B1027" s="78">
        <v>42108</v>
      </c>
      <c r="C1027" s="79">
        <v>445240</v>
      </c>
      <c r="D1027" s="79">
        <v>6273031860</v>
      </c>
      <c r="E1027" s="79">
        <v>14200</v>
      </c>
      <c r="F1027" s="79">
        <v>14000</v>
      </c>
      <c r="G1027" s="79">
        <v>14000</v>
      </c>
      <c r="H1027" s="79">
        <v>14089.1</v>
      </c>
      <c r="I1027" s="79">
        <v>-1.41</v>
      </c>
      <c r="J1027" s="79">
        <v>-200</v>
      </c>
      <c r="K1027" s="71">
        <f>YEAR(Accion[[#This Row],[fecha]])</f>
        <v>2015</v>
      </c>
      <c r="L1027" s="79" t="str">
        <f>IF(Accion[[#This Row],[Precio Cierre]]=MAX(Accion[Precio Cierre]),Accion[[#This Row],[Precio Cierre]],"NA")</f>
        <v>NA</v>
      </c>
      <c r="M1027" s="79" t="str">
        <f>IF(Accion[[#This Row],[Precio Cierre]]=MIN(Accion[Precio Cierre]),Accion[[#This Row],[Precio Cierre]],"NA")</f>
        <v>NA</v>
      </c>
    </row>
    <row r="1028" spans="1:13" hidden="1">
      <c r="A1028" s="38" t="s">
        <v>90</v>
      </c>
      <c r="B1028" s="78">
        <v>42107</v>
      </c>
      <c r="C1028" s="79">
        <v>132343</v>
      </c>
      <c r="D1028" s="79">
        <v>1876835560</v>
      </c>
      <c r="E1028" s="79">
        <v>14260</v>
      </c>
      <c r="F1028" s="79">
        <v>14040</v>
      </c>
      <c r="G1028" s="79">
        <v>14200</v>
      </c>
      <c r="H1028" s="79">
        <v>14181.6</v>
      </c>
      <c r="I1028" s="79">
        <v>0</v>
      </c>
      <c r="J1028" s="79">
        <v>0</v>
      </c>
      <c r="K1028" s="71">
        <f>YEAR(Accion[[#This Row],[fecha]])</f>
        <v>2015</v>
      </c>
      <c r="L1028" s="79" t="str">
        <f>IF(Accion[[#This Row],[Precio Cierre]]=MAX(Accion[Precio Cierre]),Accion[[#This Row],[Precio Cierre]],"NA")</f>
        <v>NA</v>
      </c>
      <c r="M1028" s="79" t="str">
        <f>IF(Accion[[#This Row],[Precio Cierre]]=MIN(Accion[Precio Cierre]),Accion[[#This Row],[Precio Cierre]],"NA")</f>
        <v>NA</v>
      </c>
    </row>
    <row r="1029" spans="1:13" hidden="1">
      <c r="A1029" s="38" t="s">
        <v>90</v>
      </c>
      <c r="B1029" s="78">
        <v>42104</v>
      </c>
      <c r="C1029" s="79">
        <v>641367</v>
      </c>
      <c r="D1029" s="79">
        <v>9011899540</v>
      </c>
      <c r="E1029" s="79">
        <v>14200</v>
      </c>
      <c r="F1029" s="79">
        <v>14000</v>
      </c>
      <c r="G1029" s="79">
        <v>14200</v>
      </c>
      <c r="H1029" s="79">
        <v>14051.08</v>
      </c>
      <c r="I1029" s="79">
        <v>1.43</v>
      </c>
      <c r="J1029" s="79">
        <v>200</v>
      </c>
      <c r="K1029" s="71">
        <f>YEAR(Accion[[#This Row],[fecha]])</f>
        <v>2015</v>
      </c>
      <c r="L1029" s="79" t="str">
        <f>IF(Accion[[#This Row],[Precio Cierre]]=MAX(Accion[Precio Cierre]),Accion[[#This Row],[Precio Cierre]],"NA")</f>
        <v>NA</v>
      </c>
      <c r="M1029" s="79" t="str">
        <f>IF(Accion[[#This Row],[Precio Cierre]]=MIN(Accion[Precio Cierre]),Accion[[#This Row],[Precio Cierre]],"NA")</f>
        <v>NA</v>
      </c>
    </row>
    <row r="1030" spans="1:13" hidden="1">
      <c r="A1030" s="38" t="s">
        <v>90</v>
      </c>
      <c r="B1030" s="78">
        <v>42103</v>
      </c>
      <c r="C1030" s="79">
        <v>381653</v>
      </c>
      <c r="D1030" s="79">
        <v>5315412140</v>
      </c>
      <c r="E1030" s="79">
        <v>14080</v>
      </c>
      <c r="F1030" s="79">
        <v>13800</v>
      </c>
      <c r="G1030" s="79">
        <v>14000</v>
      </c>
      <c r="H1030" s="79">
        <v>13927.34</v>
      </c>
      <c r="I1030" s="79">
        <v>1.45</v>
      </c>
      <c r="J1030" s="79">
        <v>200</v>
      </c>
      <c r="K1030" s="71">
        <f>YEAR(Accion[[#This Row],[fecha]])</f>
        <v>2015</v>
      </c>
      <c r="L1030" s="79" t="str">
        <f>IF(Accion[[#This Row],[Precio Cierre]]=MAX(Accion[Precio Cierre]),Accion[[#This Row],[Precio Cierre]],"NA")</f>
        <v>NA</v>
      </c>
      <c r="M1030" s="79" t="str">
        <f>IF(Accion[[#This Row],[Precio Cierre]]=MIN(Accion[Precio Cierre]),Accion[[#This Row],[Precio Cierre]],"NA")</f>
        <v>NA</v>
      </c>
    </row>
    <row r="1031" spans="1:13" hidden="1">
      <c r="A1031" s="38" t="s">
        <v>90</v>
      </c>
      <c r="B1031" s="78">
        <v>42102</v>
      </c>
      <c r="C1031" s="79">
        <v>1268843</v>
      </c>
      <c r="D1031" s="79">
        <v>17508621440</v>
      </c>
      <c r="E1031" s="79">
        <v>13840</v>
      </c>
      <c r="F1031" s="79">
        <v>13760</v>
      </c>
      <c r="G1031" s="79">
        <v>13800</v>
      </c>
      <c r="H1031" s="79">
        <v>13798.89</v>
      </c>
      <c r="I1031" s="79">
        <v>-0.72</v>
      </c>
      <c r="J1031" s="79">
        <v>-100</v>
      </c>
      <c r="K1031" s="71">
        <f>YEAR(Accion[[#This Row],[fecha]])</f>
        <v>2015</v>
      </c>
      <c r="L1031" s="79" t="str">
        <f>IF(Accion[[#This Row],[Precio Cierre]]=MAX(Accion[Precio Cierre]),Accion[[#This Row],[Precio Cierre]],"NA")</f>
        <v>NA</v>
      </c>
      <c r="M1031" s="79" t="str">
        <f>IF(Accion[[#This Row],[Precio Cierre]]=MIN(Accion[Precio Cierre]),Accion[[#This Row],[Precio Cierre]],"NA")</f>
        <v>NA</v>
      </c>
    </row>
    <row r="1032" spans="1:13" hidden="1">
      <c r="A1032" s="38" t="s">
        <v>90</v>
      </c>
      <c r="B1032" s="78">
        <v>42101</v>
      </c>
      <c r="C1032" s="79">
        <v>1974977</v>
      </c>
      <c r="D1032" s="79">
        <v>27124169160</v>
      </c>
      <c r="E1032" s="79">
        <v>13900</v>
      </c>
      <c r="F1032" s="79">
        <v>13620</v>
      </c>
      <c r="G1032" s="79">
        <v>13900</v>
      </c>
      <c r="H1032" s="79">
        <v>13733.92</v>
      </c>
      <c r="I1032" s="79">
        <v>2.36</v>
      </c>
      <c r="J1032" s="79">
        <v>320</v>
      </c>
      <c r="K1032" s="71">
        <f>YEAR(Accion[[#This Row],[fecha]])</f>
        <v>2015</v>
      </c>
      <c r="L1032" s="79" t="str">
        <f>IF(Accion[[#This Row],[Precio Cierre]]=MAX(Accion[Precio Cierre]),Accion[[#This Row],[Precio Cierre]],"NA")</f>
        <v>NA</v>
      </c>
      <c r="M1032" s="79" t="str">
        <f>IF(Accion[[#This Row],[Precio Cierre]]=MIN(Accion[Precio Cierre]),Accion[[#This Row],[Precio Cierre]],"NA")</f>
        <v>NA</v>
      </c>
    </row>
    <row r="1033" spans="1:13" hidden="1">
      <c r="A1033" s="38" t="s">
        <v>90</v>
      </c>
      <c r="B1033" s="78">
        <v>42100</v>
      </c>
      <c r="C1033" s="79">
        <v>240544</v>
      </c>
      <c r="D1033" s="79">
        <v>3270692680</v>
      </c>
      <c r="E1033" s="79">
        <v>13600</v>
      </c>
      <c r="F1033" s="79">
        <v>13580</v>
      </c>
      <c r="G1033" s="79">
        <v>13580</v>
      </c>
      <c r="H1033" s="79">
        <v>13597.07</v>
      </c>
      <c r="I1033" s="79">
        <v>1.34</v>
      </c>
      <c r="J1033" s="79">
        <v>180</v>
      </c>
      <c r="K1033" s="71">
        <f>YEAR(Accion[[#This Row],[fecha]])</f>
        <v>2015</v>
      </c>
      <c r="L1033" s="79" t="str">
        <f>IF(Accion[[#This Row],[Precio Cierre]]=MAX(Accion[Precio Cierre]),Accion[[#This Row],[Precio Cierre]],"NA")</f>
        <v>NA</v>
      </c>
      <c r="M1033" s="79" t="str">
        <f>IF(Accion[[#This Row],[Precio Cierre]]=MIN(Accion[Precio Cierre]),Accion[[#This Row],[Precio Cierre]],"NA")</f>
        <v>NA</v>
      </c>
    </row>
    <row r="1034" spans="1:13" hidden="1">
      <c r="A1034" s="38" t="s">
        <v>90</v>
      </c>
      <c r="B1034" s="78">
        <v>42095</v>
      </c>
      <c r="C1034" s="79">
        <v>638631</v>
      </c>
      <c r="D1034" s="79">
        <v>8624053080</v>
      </c>
      <c r="E1034" s="79">
        <v>13620</v>
      </c>
      <c r="F1034" s="79">
        <v>13400</v>
      </c>
      <c r="G1034" s="79">
        <v>13400</v>
      </c>
      <c r="H1034" s="79">
        <v>13503.97</v>
      </c>
      <c r="I1034" s="79">
        <v>-0.74</v>
      </c>
      <c r="J1034" s="79">
        <v>-100</v>
      </c>
      <c r="K1034" s="71">
        <f>YEAR(Accion[[#This Row],[fecha]])</f>
        <v>2015</v>
      </c>
      <c r="L1034" s="79" t="str">
        <f>IF(Accion[[#This Row],[Precio Cierre]]=MAX(Accion[Precio Cierre]),Accion[[#This Row],[Precio Cierre]],"NA")</f>
        <v>NA</v>
      </c>
      <c r="M1034" s="79" t="str">
        <f>IF(Accion[[#This Row],[Precio Cierre]]=MIN(Accion[Precio Cierre]),Accion[[#This Row],[Precio Cierre]],"NA")</f>
        <v>NA</v>
      </c>
    </row>
    <row r="1035" spans="1:13" hidden="1">
      <c r="A1035" s="38" t="s">
        <v>90</v>
      </c>
      <c r="B1035" s="78">
        <v>42094</v>
      </c>
      <c r="C1035" s="79">
        <v>565371</v>
      </c>
      <c r="D1035" s="79">
        <v>7639044900</v>
      </c>
      <c r="E1035" s="79">
        <v>13540</v>
      </c>
      <c r="F1035" s="79">
        <v>13380</v>
      </c>
      <c r="G1035" s="79">
        <v>13500</v>
      </c>
      <c r="H1035" s="79">
        <v>13511.56</v>
      </c>
      <c r="I1035" s="79">
        <v>-0.3</v>
      </c>
      <c r="J1035" s="79">
        <v>-40</v>
      </c>
      <c r="K1035" s="71">
        <f>YEAR(Accion[[#This Row],[fecha]])</f>
        <v>2015</v>
      </c>
      <c r="L1035" s="79" t="str">
        <f>IF(Accion[[#This Row],[Precio Cierre]]=MAX(Accion[Precio Cierre]),Accion[[#This Row],[Precio Cierre]],"NA")</f>
        <v>NA</v>
      </c>
      <c r="M1035" s="79" t="str">
        <f>IF(Accion[[#This Row],[Precio Cierre]]=MIN(Accion[Precio Cierre]),Accion[[#This Row],[Precio Cierre]],"NA")</f>
        <v>NA</v>
      </c>
    </row>
    <row r="1036" spans="1:13" hidden="1">
      <c r="A1036" s="38" t="s">
        <v>90</v>
      </c>
      <c r="B1036" s="78">
        <v>42093</v>
      </c>
      <c r="C1036" s="79">
        <v>900458</v>
      </c>
      <c r="D1036" s="79">
        <v>12203137560</v>
      </c>
      <c r="E1036" s="79">
        <v>13560</v>
      </c>
      <c r="F1036" s="79">
        <v>13300</v>
      </c>
      <c r="G1036" s="79">
        <v>13540</v>
      </c>
      <c r="H1036" s="79">
        <v>13552.15</v>
      </c>
      <c r="I1036" s="79">
        <v>0.3</v>
      </c>
      <c r="J1036" s="79">
        <v>40</v>
      </c>
      <c r="K1036" s="71">
        <f>YEAR(Accion[[#This Row],[fecha]])</f>
        <v>2015</v>
      </c>
      <c r="L1036" s="79" t="str">
        <f>IF(Accion[[#This Row],[Precio Cierre]]=MAX(Accion[Precio Cierre]),Accion[[#This Row],[Precio Cierre]],"NA")</f>
        <v>NA</v>
      </c>
      <c r="M1036" s="79" t="str">
        <f>IF(Accion[[#This Row],[Precio Cierre]]=MIN(Accion[Precio Cierre]),Accion[[#This Row],[Precio Cierre]],"NA")</f>
        <v>NA</v>
      </c>
    </row>
    <row r="1037" spans="1:13" hidden="1">
      <c r="A1037" s="38" t="s">
        <v>90</v>
      </c>
      <c r="B1037" s="78">
        <v>42090</v>
      </c>
      <c r="C1037" s="79">
        <v>332124</v>
      </c>
      <c r="D1037" s="79">
        <v>4521782100</v>
      </c>
      <c r="E1037" s="79">
        <v>13680</v>
      </c>
      <c r="F1037" s="79">
        <v>13500</v>
      </c>
      <c r="G1037" s="79">
        <v>13500</v>
      </c>
      <c r="H1037" s="79">
        <v>13614.74</v>
      </c>
      <c r="I1037" s="79">
        <v>-1.17</v>
      </c>
      <c r="J1037" s="79">
        <v>-160</v>
      </c>
      <c r="K1037" s="71">
        <f>YEAR(Accion[[#This Row],[fecha]])</f>
        <v>2015</v>
      </c>
      <c r="L1037" s="79" t="str">
        <f>IF(Accion[[#This Row],[Precio Cierre]]=MAX(Accion[Precio Cierre]),Accion[[#This Row],[Precio Cierre]],"NA")</f>
        <v>NA</v>
      </c>
      <c r="M1037" s="79" t="str">
        <f>IF(Accion[[#This Row],[Precio Cierre]]=MIN(Accion[Precio Cierre]),Accion[[#This Row],[Precio Cierre]],"NA")</f>
        <v>NA</v>
      </c>
    </row>
    <row r="1038" spans="1:13" hidden="1">
      <c r="A1038" s="38" t="s">
        <v>90</v>
      </c>
      <c r="B1038" s="78">
        <v>42089</v>
      </c>
      <c r="C1038" s="79">
        <v>480809</v>
      </c>
      <c r="D1038" s="79">
        <v>6584629420</v>
      </c>
      <c r="E1038" s="79">
        <v>13780</v>
      </c>
      <c r="F1038" s="79">
        <v>13600</v>
      </c>
      <c r="G1038" s="79">
        <v>13660</v>
      </c>
      <c r="H1038" s="79">
        <v>13694.9</v>
      </c>
      <c r="I1038" s="79">
        <v>-0.73</v>
      </c>
      <c r="J1038" s="79">
        <v>-100</v>
      </c>
      <c r="K1038" s="71">
        <f>YEAR(Accion[[#This Row],[fecha]])</f>
        <v>2015</v>
      </c>
      <c r="L1038" s="79" t="str">
        <f>IF(Accion[[#This Row],[Precio Cierre]]=MAX(Accion[Precio Cierre]),Accion[[#This Row],[Precio Cierre]],"NA")</f>
        <v>NA</v>
      </c>
      <c r="M1038" s="79" t="str">
        <f>IF(Accion[[#This Row],[Precio Cierre]]=MIN(Accion[Precio Cierre]),Accion[[#This Row],[Precio Cierre]],"NA")</f>
        <v>NA</v>
      </c>
    </row>
    <row r="1039" spans="1:13" hidden="1">
      <c r="A1039" s="38" t="s">
        <v>90</v>
      </c>
      <c r="B1039" s="78">
        <v>42088</v>
      </c>
      <c r="C1039" s="79">
        <v>437789</v>
      </c>
      <c r="D1039" s="79">
        <v>6034081280</v>
      </c>
      <c r="E1039" s="79">
        <v>14000</v>
      </c>
      <c r="F1039" s="79">
        <v>13740</v>
      </c>
      <c r="G1039" s="79">
        <v>13760</v>
      </c>
      <c r="H1039" s="79">
        <v>13783.08</v>
      </c>
      <c r="I1039" s="79">
        <v>-0.28999999999999998</v>
      </c>
      <c r="J1039" s="79">
        <v>-40</v>
      </c>
      <c r="K1039" s="71">
        <f>YEAR(Accion[[#This Row],[fecha]])</f>
        <v>2015</v>
      </c>
      <c r="L1039" s="79" t="str">
        <f>IF(Accion[[#This Row],[Precio Cierre]]=MAX(Accion[Precio Cierre]),Accion[[#This Row],[Precio Cierre]],"NA")</f>
        <v>NA</v>
      </c>
      <c r="M1039" s="79" t="str">
        <f>IF(Accion[[#This Row],[Precio Cierre]]=MIN(Accion[Precio Cierre]),Accion[[#This Row],[Precio Cierre]],"NA")</f>
        <v>NA</v>
      </c>
    </row>
    <row r="1040" spans="1:13" hidden="1">
      <c r="A1040" s="38" t="s">
        <v>90</v>
      </c>
      <c r="B1040" s="78">
        <v>42087</v>
      </c>
      <c r="C1040" s="79">
        <v>568194</v>
      </c>
      <c r="D1040" s="79">
        <v>7823651040</v>
      </c>
      <c r="E1040" s="79">
        <v>13960</v>
      </c>
      <c r="F1040" s="79">
        <v>13720</v>
      </c>
      <c r="G1040" s="79">
        <v>13800</v>
      </c>
      <c r="H1040" s="79">
        <v>13769.33</v>
      </c>
      <c r="I1040" s="79">
        <v>0.57999999999999996</v>
      </c>
      <c r="J1040" s="79">
        <v>80</v>
      </c>
      <c r="K1040" s="71">
        <f>YEAR(Accion[[#This Row],[fecha]])</f>
        <v>2015</v>
      </c>
      <c r="L1040" s="79" t="str">
        <f>IF(Accion[[#This Row],[Precio Cierre]]=MAX(Accion[Precio Cierre]),Accion[[#This Row],[Precio Cierre]],"NA")</f>
        <v>NA</v>
      </c>
      <c r="M1040" s="79" t="str">
        <f>IF(Accion[[#This Row],[Precio Cierre]]=MIN(Accion[Precio Cierre]),Accion[[#This Row],[Precio Cierre]],"NA")</f>
        <v>NA</v>
      </c>
    </row>
    <row r="1041" spans="1:13" hidden="1">
      <c r="A1041" s="38" t="s">
        <v>90</v>
      </c>
      <c r="B1041" s="78">
        <v>42083</v>
      </c>
      <c r="C1041" s="79">
        <v>632384</v>
      </c>
      <c r="D1041" s="79">
        <v>8787277680</v>
      </c>
      <c r="E1041" s="79">
        <v>14300</v>
      </c>
      <c r="F1041" s="79">
        <v>13720</v>
      </c>
      <c r="G1041" s="79">
        <v>13720</v>
      </c>
      <c r="H1041" s="79">
        <v>13895.48</v>
      </c>
      <c r="I1041" s="79">
        <v>-2.7</v>
      </c>
      <c r="J1041" s="79">
        <v>-380</v>
      </c>
      <c r="K1041" s="71">
        <f>YEAR(Accion[[#This Row],[fecha]])</f>
        <v>2015</v>
      </c>
      <c r="L1041" s="79" t="str">
        <f>IF(Accion[[#This Row],[Precio Cierre]]=MAX(Accion[Precio Cierre]),Accion[[#This Row],[Precio Cierre]],"NA")</f>
        <v>NA</v>
      </c>
      <c r="M1041" s="79" t="str">
        <f>IF(Accion[[#This Row],[Precio Cierre]]=MIN(Accion[Precio Cierre]),Accion[[#This Row],[Precio Cierre]],"NA")</f>
        <v>NA</v>
      </c>
    </row>
    <row r="1042" spans="1:13" hidden="1">
      <c r="A1042" s="38" t="s">
        <v>90</v>
      </c>
      <c r="B1042" s="78">
        <v>42082</v>
      </c>
      <c r="C1042" s="79">
        <v>84519</v>
      </c>
      <c r="D1042" s="79">
        <v>1183681880</v>
      </c>
      <c r="E1042" s="79">
        <v>14100</v>
      </c>
      <c r="F1042" s="79">
        <v>13900</v>
      </c>
      <c r="G1042" s="79">
        <v>14100</v>
      </c>
      <c r="H1042" s="79">
        <v>14004.92</v>
      </c>
      <c r="I1042" s="79">
        <v>0.71</v>
      </c>
      <c r="J1042" s="79">
        <v>100</v>
      </c>
      <c r="K1042" s="71">
        <f>YEAR(Accion[[#This Row],[fecha]])</f>
        <v>2015</v>
      </c>
      <c r="L1042" s="79" t="str">
        <f>IF(Accion[[#This Row],[Precio Cierre]]=MAX(Accion[Precio Cierre]),Accion[[#This Row],[Precio Cierre]],"NA")</f>
        <v>NA</v>
      </c>
      <c r="M1042" s="79" t="str">
        <f>IF(Accion[[#This Row],[Precio Cierre]]=MIN(Accion[Precio Cierre]),Accion[[#This Row],[Precio Cierre]],"NA")</f>
        <v>NA</v>
      </c>
    </row>
    <row r="1043" spans="1:13" hidden="1">
      <c r="A1043" s="38" t="s">
        <v>90</v>
      </c>
      <c r="B1043" s="78">
        <v>42081</v>
      </c>
      <c r="C1043" s="79">
        <v>217988</v>
      </c>
      <c r="D1043" s="79">
        <v>3035611420</v>
      </c>
      <c r="E1043" s="79">
        <v>14000</v>
      </c>
      <c r="F1043" s="79">
        <v>13860</v>
      </c>
      <c r="G1043" s="79">
        <v>14000</v>
      </c>
      <c r="H1043" s="79">
        <v>13925.59</v>
      </c>
      <c r="I1043" s="79">
        <v>1.1599999999999999</v>
      </c>
      <c r="J1043" s="79">
        <v>160</v>
      </c>
      <c r="K1043" s="71">
        <f>YEAR(Accion[[#This Row],[fecha]])</f>
        <v>2015</v>
      </c>
      <c r="L1043" s="79" t="str">
        <f>IF(Accion[[#This Row],[Precio Cierre]]=MAX(Accion[Precio Cierre]),Accion[[#This Row],[Precio Cierre]],"NA")</f>
        <v>NA</v>
      </c>
      <c r="M1043" s="79" t="str">
        <f>IF(Accion[[#This Row],[Precio Cierre]]=MIN(Accion[Precio Cierre]),Accion[[#This Row],[Precio Cierre]],"NA")</f>
        <v>NA</v>
      </c>
    </row>
    <row r="1044" spans="1:13" hidden="1">
      <c r="A1044" s="38" t="s">
        <v>90</v>
      </c>
      <c r="B1044" s="78">
        <v>42080</v>
      </c>
      <c r="C1044" s="79">
        <v>234232</v>
      </c>
      <c r="D1044" s="79">
        <v>3265734840</v>
      </c>
      <c r="E1044" s="79">
        <v>14120</v>
      </c>
      <c r="F1044" s="79">
        <v>13840</v>
      </c>
      <c r="G1044" s="79">
        <v>13840</v>
      </c>
      <c r="H1044" s="79">
        <v>13942.31</v>
      </c>
      <c r="I1044" s="79">
        <v>-0.86</v>
      </c>
      <c r="J1044" s="79">
        <v>-120</v>
      </c>
      <c r="K1044" s="71">
        <f>YEAR(Accion[[#This Row],[fecha]])</f>
        <v>2015</v>
      </c>
      <c r="L1044" s="79" t="str">
        <f>IF(Accion[[#This Row],[Precio Cierre]]=MAX(Accion[Precio Cierre]),Accion[[#This Row],[Precio Cierre]],"NA")</f>
        <v>NA</v>
      </c>
      <c r="M1044" s="79" t="str">
        <f>IF(Accion[[#This Row],[Precio Cierre]]=MIN(Accion[Precio Cierre]),Accion[[#This Row],[Precio Cierre]],"NA")</f>
        <v>NA</v>
      </c>
    </row>
    <row r="1045" spans="1:13" hidden="1">
      <c r="A1045" s="38" t="s">
        <v>90</v>
      </c>
      <c r="B1045" s="78">
        <v>42079</v>
      </c>
      <c r="C1045" s="79">
        <v>58003</v>
      </c>
      <c r="D1045" s="79">
        <v>803747520</v>
      </c>
      <c r="E1045" s="79">
        <v>13980</v>
      </c>
      <c r="F1045" s="79">
        <v>13680</v>
      </c>
      <c r="G1045" s="79">
        <v>13960</v>
      </c>
      <c r="H1045" s="79">
        <v>13857</v>
      </c>
      <c r="I1045" s="79">
        <v>1.9</v>
      </c>
      <c r="J1045" s="79">
        <v>260</v>
      </c>
      <c r="K1045" s="71">
        <f>YEAR(Accion[[#This Row],[fecha]])</f>
        <v>2015</v>
      </c>
      <c r="L1045" s="79" t="str">
        <f>IF(Accion[[#This Row],[Precio Cierre]]=MAX(Accion[Precio Cierre]),Accion[[#This Row],[Precio Cierre]],"NA")</f>
        <v>NA</v>
      </c>
      <c r="M1045" s="79" t="str">
        <f>IF(Accion[[#This Row],[Precio Cierre]]=MIN(Accion[Precio Cierre]),Accion[[#This Row],[Precio Cierre]],"NA")</f>
        <v>NA</v>
      </c>
    </row>
    <row r="1046" spans="1:13" hidden="1">
      <c r="A1046" s="38" t="s">
        <v>90</v>
      </c>
      <c r="B1046" s="78">
        <v>42076</v>
      </c>
      <c r="C1046" s="79">
        <v>1504551</v>
      </c>
      <c r="D1046" s="79">
        <v>21064903840</v>
      </c>
      <c r="E1046" s="79">
        <v>14100</v>
      </c>
      <c r="F1046" s="79">
        <v>13700</v>
      </c>
      <c r="G1046" s="79">
        <v>13700</v>
      </c>
      <c r="H1046" s="79">
        <v>14000.79</v>
      </c>
      <c r="I1046" s="79">
        <v>-2.14</v>
      </c>
      <c r="J1046" s="79">
        <v>-300</v>
      </c>
      <c r="K1046" s="71">
        <f>YEAR(Accion[[#This Row],[fecha]])</f>
        <v>2015</v>
      </c>
      <c r="L1046" s="79" t="str">
        <f>IF(Accion[[#This Row],[Precio Cierre]]=MAX(Accion[Precio Cierre]),Accion[[#This Row],[Precio Cierre]],"NA")</f>
        <v>NA</v>
      </c>
      <c r="M1046" s="79" t="str">
        <f>IF(Accion[[#This Row],[Precio Cierre]]=MIN(Accion[Precio Cierre]),Accion[[#This Row],[Precio Cierre]],"NA")</f>
        <v>NA</v>
      </c>
    </row>
    <row r="1047" spans="1:13" hidden="1">
      <c r="A1047" s="38" t="s">
        <v>90</v>
      </c>
      <c r="B1047" s="78">
        <v>42075</v>
      </c>
      <c r="C1047" s="79">
        <v>388004</v>
      </c>
      <c r="D1047" s="79">
        <v>5303113340</v>
      </c>
      <c r="E1047" s="79">
        <v>14000</v>
      </c>
      <c r="F1047" s="79">
        <v>13500</v>
      </c>
      <c r="G1047" s="79">
        <v>14000</v>
      </c>
      <c r="H1047" s="79">
        <v>13667.68</v>
      </c>
      <c r="I1047" s="79">
        <v>3.7</v>
      </c>
      <c r="J1047" s="79">
        <v>500</v>
      </c>
      <c r="K1047" s="71">
        <f>YEAR(Accion[[#This Row],[fecha]])</f>
        <v>2015</v>
      </c>
      <c r="L1047" s="79" t="str">
        <f>IF(Accion[[#This Row],[Precio Cierre]]=MAX(Accion[Precio Cierre]),Accion[[#This Row],[Precio Cierre]],"NA")</f>
        <v>NA</v>
      </c>
      <c r="M1047" s="79" t="str">
        <f>IF(Accion[[#This Row],[Precio Cierre]]=MIN(Accion[Precio Cierre]),Accion[[#This Row],[Precio Cierre]],"NA")</f>
        <v>NA</v>
      </c>
    </row>
    <row r="1048" spans="1:13" hidden="1">
      <c r="A1048" s="38" t="s">
        <v>90</v>
      </c>
      <c r="B1048" s="78">
        <v>42074</v>
      </c>
      <c r="C1048" s="79">
        <v>134190</v>
      </c>
      <c r="D1048" s="79">
        <v>1850424840</v>
      </c>
      <c r="E1048" s="79">
        <v>14000</v>
      </c>
      <c r="F1048" s="79">
        <v>13500</v>
      </c>
      <c r="G1048" s="79">
        <v>13500</v>
      </c>
      <c r="H1048" s="79">
        <v>13789.59</v>
      </c>
      <c r="I1048" s="79">
        <v>-2.3199999999999998</v>
      </c>
      <c r="J1048" s="79">
        <v>-320</v>
      </c>
      <c r="K1048" s="71">
        <f>YEAR(Accion[[#This Row],[fecha]])</f>
        <v>2015</v>
      </c>
      <c r="L1048" s="79" t="str">
        <f>IF(Accion[[#This Row],[Precio Cierre]]=MAX(Accion[Precio Cierre]),Accion[[#This Row],[Precio Cierre]],"NA")</f>
        <v>NA</v>
      </c>
      <c r="M1048" s="79" t="str">
        <f>IF(Accion[[#This Row],[Precio Cierre]]=MIN(Accion[Precio Cierre]),Accion[[#This Row],[Precio Cierre]],"NA")</f>
        <v>NA</v>
      </c>
    </row>
    <row r="1049" spans="1:13" hidden="1">
      <c r="A1049" s="38" t="s">
        <v>90</v>
      </c>
      <c r="B1049" s="78">
        <v>42073</v>
      </c>
      <c r="C1049" s="79">
        <v>277425</v>
      </c>
      <c r="D1049" s="79">
        <v>3896762600</v>
      </c>
      <c r="E1049" s="79">
        <v>14380</v>
      </c>
      <c r="F1049" s="79">
        <v>13820</v>
      </c>
      <c r="G1049" s="79">
        <v>13820</v>
      </c>
      <c r="H1049" s="79">
        <v>14046.18</v>
      </c>
      <c r="I1049" s="79">
        <v>-4.03</v>
      </c>
      <c r="J1049" s="79">
        <v>-580</v>
      </c>
      <c r="K1049" s="71">
        <f>YEAR(Accion[[#This Row],[fecha]])</f>
        <v>2015</v>
      </c>
      <c r="L1049" s="79" t="str">
        <f>IF(Accion[[#This Row],[Precio Cierre]]=MAX(Accion[Precio Cierre]),Accion[[#This Row],[Precio Cierre]],"NA")</f>
        <v>NA</v>
      </c>
      <c r="M1049" s="79" t="str">
        <f>IF(Accion[[#This Row],[Precio Cierre]]=MIN(Accion[Precio Cierre]),Accion[[#This Row],[Precio Cierre]],"NA")</f>
        <v>NA</v>
      </c>
    </row>
    <row r="1050" spans="1:13" hidden="1">
      <c r="A1050" s="38" t="s">
        <v>90</v>
      </c>
      <c r="B1050" s="78">
        <v>42072</v>
      </c>
      <c r="C1050" s="79">
        <v>44482</v>
      </c>
      <c r="D1050" s="79">
        <v>634289260</v>
      </c>
      <c r="E1050" s="79">
        <v>14400</v>
      </c>
      <c r="F1050" s="79">
        <v>13860</v>
      </c>
      <c r="G1050" s="79">
        <v>14400</v>
      </c>
      <c r="H1050" s="79">
        <v>14259.46</v>
      </c>
      <c r="I1050" s="79">
        <v>0.7</v>
      </c>
      <c r="J1050" s="79">
        <v>100</v>
      </c>
      <c r="K1050" s="71">
        <f>YEAR(Accion[[#This Row],[fecha]])</f>
        <v>2015</v>
      </c>
      <c r="L1050" s="79" t="str">
        <f>IF(Accion[[#This Row],[Precio Cierre]]=MAX(Accion[Precio Cierre]),Accion[[#This Row],[Precio Cierre]],"NA")</f>
        <v>NA</v>
      </c>
      <c r="M1050" s="79" t="str">
        <f>IF(Accion[[#This Row],[Precio Cierre]]=MIN(Accion[Precio Cierre]),Accion[[#This Row],[Precio Cierre]],"NA")</f>
        <v>NA</v>
      </c>
    </row>
    <row r="1051" spans="1:13" hidden="1">
      <c r="A1051" s="38" t="s">
        <v>90</v>
      </c>
      <c r="B1051" s="78">
        <v>42069</v>
      </c>
      <c r="C1051" s="79">
        <v>888060</v>
      </c>
      <c r="D1051" s="79">
        <v>12472105600</v>
      </c>
      <c r="E1051" s="79">
        <v>14300</v>
      </c>
      <c r="F1051" s="79">
        <v>13920</v>
      </c>
      <c r="G1051" s="79">
        <v>14300</v>
      </c>
      <c r="H1051" s="79">
        <v>14044.22</v>
      </c>
      <c r="I1051" s="79">
        <v>1.85</v>
      </c>
      <c r="J1051" s="79">
        <v>260</v>
      </c>
      <c r="K1051" s="71">
        <f>YEAR(Accion[[#This Row],[fecha]])</f>
        <v>2015</v>
      </c>
      <c r="L1051" s="79" t="str">
        <f>IF(Accion[[#This Row],[Precio Cierre]]=MAX(Accion[Precio Cierre]),Accion[[#This Row],[Precio Cierre]],"NA")</f>
        <v>NA</v>
      </c>
      <c r="M1051" s="79" t="str">
        <f>IF(Accion[[#This Row],[Precio Cierre]]=MIN(Accion[Precio Cierre]),Accion[[#This Row],[Precio Cierre]],"NA")</f>
        <v>NA</v>
      </c>
    </row>
    <row r="1052" spans="1:13" hidden="1">
      <c r="A1052" s="38" t="s">
        <v>90</v>
      </c>
      <c r="B1052" s="78">
        <v>42068</v>
      </c>
      <c r="C1052" s="79">
        <v>78761</v>
      </c>
      <c r="D1052" s="79">
        <v>1115953880</v>
      </c>
      <c r="E1052" s="79">
        <v>14320</v>
      </c>
      <c r="F1052" s="79">
        <v>14040</v>
      </c>
      <c r="G1052" s="79">
        <v>14040</v>
      </c>
      <c r="H1052" s="79">
        <v>14168.86</v>
      </c>
      <c r="I1052" s="79">
        <v>-2.77</v>
      </c>
      <c r="J1052" s="79">
        <v>-400</v>
      </c>
      <c r="K1052" s="71">
        <f>YEAR(Accion[[#This Row],[fecha]])</f>
        <v>2015</v>
      </c>
      <c r="L1052" s="79" t="str">
        <f>IF(Accion[[#This Row],[Precio Cierre]]=MAX(Accion[Precio Cierre]),Accion[[#This Row],[Precio Cierre]],"NA")</f>
        <v>NA</v>
      </c>
      <c r="M1052" s="79" t="str">
        <f>IF(Accion[[#This Row],[Precio Cierre]]=MIN(Accion[Precio Cierre]),Accion[[#This Row],[Precio Cierre]],"NA")</f>
        <v>NA</v>
      </c>
    </row>
    <row r="1053" spans="1:13" hidden="1">
      <c r="A1053" s="38" t="s">
        <v>90</v>
      </c>
      <c r="B1053" s="78">
        <v>42067</v>
      </c>
      <c r="C1053" s="79">
        <v>440096</v>
      </c>
      <c r="D1053" s="79">
        <v>6304239480</v>
      </c>
      <c r="E1053" s="79">
        <v>14520</v>
      </c>
      <c r="F1053" s="79">
        <v>14000</v>
      </c>
      <c r="G1053" s="79">
        <v>14440</v>
      </c>
      <c r="H1053" s="79">
        <v>14324.69</v>
      </c>
      <c r="I1053" s="79">
        <v>-2.04</v>
      </c>
      <c r="J1053" s="79">
        <v>-300</v>
      </c>
      <c r="K1053" s="71">
        <f>YEAR(Accion[[#This Row],[fecha]])</f>
        <v>2015</v>
      </c>
      <c r="L1053" s="79" t="str">
        <f>IF(Accion[[#This Row],[Precio Cierre]]=MAX(Accion[Precio Cierre]),Accion[[#This Row],[Precio Cierre]],"NA")</f>
        <v>NA</v>
      </c>
      <c r="M1053" s="79" t="str">
        <f>IF(Accion[[#This Row],[Precio Cierre]]=MIN(Accion[Precio Cierre]),Accion[[#This Row],[Precio Cierre]],"NA")</f>
        <v>NA</v>
      </c>
    </row>
    <row r="1054" spans="1:13" hidden="1">
      <c r="A1054" s="38" t="s">
        <v>90</v>
      </c>
      <c r="B1054" s="78">
        <v>42066</v>
      </c>
      <c r="C1054" s="79">
        <v>305498</v>
      </c>
      <c r="D1054" s="79">
        <v>4614670120</v>
      </c>
      <c r="E1054" s="79">
        <v>15200</v>
      </c>
      <c r="F1054" s="79">
        <v>14740</v>
      </c>
      <c r="G1054" s="79">
        <v>14740</v>
      </c>
      <c r="H1054" s="79">
        <v>15105.4</v>
      </c>
      <c r="I1054" s="79">
        <v>-1.73</v>
      </c>
      <c r="J1054" s="79">
        <v>-260</v>
      </c>
      <c r="K1054" s="71">
        <f>YEAR(Accion[[#This Row],[fecha]])</f>
        <v>2015</v>
      </c>
      <c r="L1054" s="79" t="str">
        <f>IF(Accion[[#This Row],[Precio Cierre]]=MAX(Accion[Precio Cierre]),Accion[[#This Row],[Precio Cierre]],"NA")</f>
        <v>NA</v>
      </c>
      <c r="M1054" s="79" t="str">
        <f>IF(Accion[[#This Row],[Precio Cierre]]=MIN(Accion[Precio Cierre]),Accion[[#This Row],[Precio Cierre]],"NA")</f>
        <v>NA</v>
      </c>
    </row>
    <row r="1055" spans="1:13" hidden="1">
      <c r="A1055" s="38" t="s">
        <v>90</v>
      </c>
      <c r="B1055" s="78">
        <v>42065</v>
      </c>
      <c r="C1055" s="79">
        <v>279709</v>
      </c>
      <c r="D1055" s="79">
        <v>4199122760</v>
      </c>
      <c r="E1055" s="79">
        <v>15200</v>
      </c>
      <c r="F1055" s="79">
        <v>14780</v>
      </c>
      <c r="G1055" s="79">
        <v>15000</v>
      </c>
      <c r="H1055" s="79">
        <v>15012.47</v>
      </c>
      <c r="I1055" s="79">
        <v>0</v>
      </c>
      <c r="J1055" s="79">
        <v>0</v>
      </c>
      <c r="K1055" s="71">
        <f>YEAR(Accion[[#This Row],[fecha]])</f>
        <v>2015</v>
      </c>
      <c r="L1055" s="79" t="str">
        <f>IF(Accion[[#This Row],[Precio Cierre]]=MAX(Accion[Precio Cierre]),Accion[[#This Row],[Precio Cierre]],"NA")</f>
        <v>NA</v>
      </c>
      <c r="M1055" s="79" t="str">
        <f>IF(Accion[[#This Row],[Precio Cierre]]=MIN(Accion[Precio Cierre]),Accion[[#This Row],[Precio Cierre]],"NA")</f>
        <v>NA</v>
      </c>
    </row>
    <row r="1056" spans="1:13" hidden="1">
      <c r="A1056" s="38" t="s">
        <v>90</v>
      </c>
      <c r="B1056" s="78">
        <v>42062</v>
      </c>
      <c r="C1056" s="79" t="s">
        <v>189</v>
      </c>
      <c r="D1056" s="79"/>
      <c r="E1056" s="79">
        <v>15400</v>
      </c>
      <c r="F1056" s="79">
        <v>14940</v>
      </c>
      <c r="G1056" s="79">
        <v>15000</v>
      </c>
      <c r="H1056" s="79"/>
      <c r="I1056" s="79">
        <v>1.2999999999999999E-3</v>
      </c>
      <c r="J1056" s="79"/>
      <c r="K1056" s="71">
        <f>YEAR(Accion[[#This Row],[fecha]])</f>
        <v>2015</v>
      </c>
      <c r="L1056" s="79" t="str">
        <f>IF(Accion[[#This Row],[Precio Cierre]]=MAX(Accion[Precio Cierre]),Accion[[#This Row],[Precio Cierre]],"NA")</f>
        <v>NA</v>
      </c>
      <c r="M1056" s="79" t="str">
        <f>IF(Accion[[#This Row],[Precio Cierre]]=MIN(Accion[Precio Cierre]),Accion[[#This Row],[Precio Cierre]],"NA")</f>
        <v>NA</v>
      </c>
    </row>
    <row r="1057" spans="1:13" hidden="1">
      <c r="A1057" s="38" t="s">
        <v>90</v>
      </c>
      <c r="B1057" s="78">
        <v>42061</v>
      </c>
      <c r="C1057" s="79" t="s">
        <v>190</v>
      </c>
      <c r="D1057" s="79"/>
      <c r="E1057" s="79">
        <v>14980</v>
      </c>
      <c r="F1057" s="79">
        <v>14900</v>
      </c>
      <c r="G1057" s="79">
        <v>14980</v>
      </c>
      <c r="H1057" s="79"/>
      <c r="I1057" s="79">
        <v>5.4000000000000003E-3</v>
      </c>
      <c r="J1057" s="79"/>
      <c r="K1057" s="71">
        <f>YEAR(Accion[[#This Row],[fecha]])</f>
        <v>2015</v>
      </c>
      <c r="L1057" s="79" t="str">
        <f>IF(Accion[[#This Row],[Precio Cierre]]=MAX(Accion[Precio Cierre]),Accion[[#This Row],[Precio Cierre]],"NA")</f>
        <v>NA</v>
      </c>
      <c r="M1057" s="79" t="str">
        <f>IF(Accion[[#This Row],[Precio Cierre]]=MIN(Accion[Precio Cierre]),Accion[[#This Row],[Precio Cierre]],"NA")</f>
        <v>NA</v>
      </c>
    </row>
    <row r="1058" spans="1:13" hidden="1">
      <c r="A1058" s="38" t="s">
        <v>90</v>
      </c>
      <c r="B1058" s="78">
        <v>42060</v>
      </c>
      <c r="C1058" s="79" t="s">
        <v>191</v>
      </c>
      <c r="D1058" s="79"/>
      <c r="E1058" s="79">
        <v>15000</v>
      </c>
      <c r="F1058" s="79">
        <v>14900</v>
      </c>
      <c r="G1058" s="79">
        <v>14900</v>
      </c>
      <c r="H1058" s="79"/>
      <c r="I1058" s="79">
        <v>-6.7000000000000002E-3</v>
      </c>
      <c r="J1058" s="79"/>
      <c r="K1058" s="71">
        <f>YEAR(Accion[[#This Row],[fecha]])</f>
        <v>2015</v>
      </c>
      <c r="L1058" s="79" t="str">
        <f>IF(Accion[[#This Row],[Precio Cierre]]=MAX(Accion[Precio Cierre]),Accion[[#This Row],[Precio Cierre]],"NA")</f>
        <v>NA</v>
      </c>
      <c r="M1058" s="79" t="str">
        <f>IF(Accion[[#This Row],[Precio Cierre]]=MIN(Accion[Precio Cierre]),Accion[[#This Row],[Precio Cierre]],"NA")</f>
        <v>NA</v>
      </c>
    </row>
    <row r="1059" spans="1:13" hidden="1">
      <c r="A1059" s="38" t="s">
        <v>90</v>
      </c>
      <c r="B1059" s="78">
        <v>42059</v>
      </c>
      <c r="C1059" s="79" t="s">
        <v>192</v>
      </c>
      <c r="D1059" s="79"/>
      <c r="E1059" s="79">
        <v>15000</v>
      </c>
      <c r="F1059" s="79">
        <v>14940</v>
      </c>
      <c r="G1059" s="79">
        <v>15000</v>
      </c>
      <c r="H1059" s="79"/>
      <c r="I1059" s="79">
        <v>0</v>
      </c>
      <c r="J1059" s="79"/>
      <c r="K1059" s="71">
        <f>YEAR(Accion[[#This Row],[fecha]])</f>
        <v>2015</v>
      </c>
      <c r="L1059" s="79" t="str">
        <f>IF(Accion[[#This Row],[Precio Cierre]]=MAX(Accion[Precio Cierre]),Accion[[#This Row],[Precio Cierre]],"NA")</f>
        <v>NA</v>
      </c>
      <c r="M1059" s="79" t="str">
        <f>IF(Accion[[#This Row],[Precio Cierre]]=MIN(Accion[Precio Cierre]),Accion[[#This Row],[Precio Cierre]],"NA")</f>
        <v>NA</v>
      </c>
    </row>
    <row r="1060" spans="1:13" hidden="1">
      <c r="A1060" s="38" t="s">
        <v>90</v>
      </c>
      <c r="B1060" s="78">
        <v>42058</v>
      </c>
      <c r="C1060" s="79" t="s">
        <v>193</v>
      </c>
      <c r="D1060" s="79"/>
      <c r="E1060" s="79">
        <v>15000</v>
      </c>
      <c r="F1060" s="79">
        <v>14900</v>
      </c>
      <c r="G1060" s="79">
        <v>15000</v>
      </c>
      <c r="H1060" s="79"/>
      <c r="I1060" s="79">
        <v>1.2999999999999999E-3</v>
      </c>
      <c r="J1060" s="79"/>
      <c r="K1060" s="71">
        <f>YEAR(Accion[[#This Row],[fecha]])</f>
        <v>2015</v>
      </c>
      <c r="L1060" s="79" t="str">
        <f>IF(Accion[[#This Row],[Precio Cierre]]=MAX(Accion[Precio Cierre]),Accion[[#This Row],[Precio Cierre]],"NA")</f>
        <v>NA</v>
      </c>
      <c r="M1060" s="79" t="str">
        <f>IF(Accion[[#This Row],[Precio Cierre]]=MIN(Accion[Precio Cierre]),Accion[[#This Row],[Precio Cierre]],"NA")</f>
        <v>NA</v>
      </c>
    </row>
    <row r="1061" spans="1:13" hidden="1">
      <c r="A1061" s="38" t="s">
        <v>90</v>
      </c>
      <c r="B1061" s="78">
        <v>42055</v>
      </c>
      <c r="C1061" s="79" t="s">
        <v>194</v>
      </c>
      <c r="D1061" s="79"/>
      <c r="E1061" s="79">
        <v>14980</v>
      </c>
      <c r="F1061" s="79">
        <v>14900</v>
      </c>
      <c r="G1061" s="79">
        <v>14980</v>
      </c>
      <c r="H1061" s="79"/>
      <c r="I1061" s="79">
        <v>5.4000000000000003E-3</v>
      </c>
      <c r="J1061" s="79"/>
      <c r="K1061" s="71">
        <f>YEAR(Accion[[#This Row],[fecha]])</f>
        <v>2015</v>
      </c>
      <c r="L1061" s="79" t="str">
        <f>IF(Accion[[#This Row],[Precio Cierre]]=MAX(Accion[Precio Cierre]),Accion[[#This Row],[Precio Cierre]],"NA")</f>
        <v>NA</v>
      </c>
      <c r="M1061" s="79" t="str">
        <f>IF(Accion[[#This Row],[Precio Cierre]]=MIN(Accion[Precio Cierre]),Accion[[#This Row],[Precio Cierre]],"NA")</f>
        <v>NA</v>
      </c>
    </row>
    <row r="1062" spans="1:13" hidden="1">
      <c r="A1062" s="38" t="s">
        <v>90</v>
      </c>
      <c r="B1062" s="78">
        <v>42054</v>
      </c>
      <c r="C1062" s="79" t="s">
        <v>195</v>
      </c>
      <c r="D1062" s="79"/>
      <c r="E1062" s="79">
        <v>15000</v>
      </c>
      <c r="F1062" s="79">
        <v>14900</v>
      </c>
      <c r="G1062" s="79">
        <v>14900</v>
      </c>
      <c r="H1062" s="79"/>
      <c r="I1062" s="79">
        <v>-4.0000000000000001E-3</v>
      </c>
      <c r="J1062" s="79"/>
      <c r="K1062" s="71">
        <f>YEAR(Accion[[#This Row],[fecha]])</f>
        <v>2015</v>
      </c>
      <c r="L1062" s="79" t="str">
        <f>IF(Accion[[#This Row],[Precio Cierre]]=MAX(Accion[Precio Cierre]),Accion[[#This Row],[Precio Cierre]],"NA")</f>
        <v>NA</v>
      </c>
      <c r="M1062" s="79" t="str">
        <f>IF(Accion[[#This Row],[Precio Cierre]]=MIN(Accion[Precio Cierre]),Accion[[#This Row],[Precio Cierre]],"NA")</f>
        <v>NA</v>
      </c>
    </row>
    <row r="1063" spans="1:13" hidden="1">
      <c r="A1063" s="38" t="s">
        <v>90</v>
      </c>
      <c r="B1063" s="78">
        <v>42053</v>
      </c>
      <c r="C1063" s="79" t="s">
        <v>196</v>
      </c>
      <c r="D1063" s="79"/>
      <c r="E1063" s="79">
        <v>15120</v>
      </c>
      <c r="F1063" s="79">
        <v>14960</v>
      </c>
      <c r="G1063" s="79">
        <v>14960</v>
      </c>
      <c r="H1063" s="79"/>
      <c r="I1063" s="79">
        <v>4.0000000000000001E-3</v>
      </c>
      <c r="J1063" s="79"/>
      <c r="K1063" s="71">
        <f>YEAR(Accion[[#This Row],[fecha]])</f>
        <v>2015</v>
      </c>
      <c r="L1063" s="79" t="str">
        <f>IF(Accion[[#This Row],[Precio Cierre]]=MAX(Accion[Precio Cierre]),Accion[[#This Row],[Precio Cierre]],"NA")</f>
        <v>NA</v>
      </c>
      <c r="M1063" s="79" t="str">
        <f>IF(Accion[[#This Row],[Precio Cierre]]=MIN(Accion[Precio Cierre]),Accion[[#This Row],[Precio Cierre]],"NA")</f>
        <v>NA</v>
      </c>
    </row>
    <row r="1064" spans="1:13" hidden="1">
      <c r="A1064" s="38" t="s">
        <v>90</v>
      </c>
      <c r="B1064" s="78">
        <v>42052</v>
      </c>
      <c r="C1064" s="79" t="s">
        <v>197</v>
      </c>
      <c r="D1064" s="79"/>
      <c r="E1064" s="79">
        <v>14900</v>
      </c>
      <c r="F1064" s="79">
        <v>14800</v>
      </c>
      <c r="G1064" s="79">
        <v>14900</v>
      </c>
      <c r="H1064" s="79"/>
      <c r="I1064" s="79">
        <v>6.7999999999999996E-3</v>
      </c>
      <c r="J1064" s="79"/>
      <c r="K1064" s="71">
        <f>YEAR(Accion[[#This Row],[fecha]])</f>
        <v>2015</v>
      </c>
      <c r="L1064" s="79" t="str">
        <f>IF(Accion[[#This Row],[Precio Cierre]]=MAX(Accion[Precio Cierre]),Accion[[#This Row],[Precio Cierre]],"NA")</f>
        <v>NA</v>
      </c>
      <c r="M1064" s="79" t="str">
        <f>IF(Accion[[#This Row],[Precio Cierre]]=MIN(Accion[Precio Cierre]),Accion[[#This Row],[Precio Cierre]],"NA")</f>
        <v>NA</v>
      </c>
    </row>
    <row r="1065" spans="1:13" hidden="1">
      <c r="A1065" s="38" t="s">
        <v>90</v>
      </c>
      <c r="B1065" s="78">
        <v>42051</v>
      </c>
      <c r="C1065" s="79" t="s">
        <v>198</v>
      </c>
      <c r="D1065" s="79"/>
      <c r="E1065" s="79">
        <v>15000</v>
      </c>
      <c r="F1065" s="79">
        <v>14600</v>
      </c>
      <c r="G1065" s="79">
        <v>14800</v>
      </c>
      <c r="H1065" s="79"/>
      <c r="I1065" s="79">
        <v>1.37E-2</v>
      </c>
      <c r="J1065" s="79"/>
      <c r="K1065" s="71">
        <f>YEAR(Accion[[#This Row],[fecha]])</f>
        <v>2015</v>
      </c>
      <c r="L1065" s="79" t="str">
        <f>IF(Accion[[#This Row],[Precio Cierre]]=MAX(Accion[Precio Cierre]),Accion[[#This Row],[Precio Cierre]],"NA")</f>
        <v>NA</v>
      </c>
      <c r="M1065" s="79" t="str">
        <f>IF(Accion[[#This Row],[Precio Cierre]]=MIN(Accion[Precio Cierre]),Accion[[#This Row],[Precio Cierre]],"NA")</f>
        <v>NA</v>
      </c>
    </row>
    <row r="1066" spans="1:13" hidden="1">
      <c r="A1066" s="38" t="s">
        <v>90</v>
      </c>
      <c r="B1066" s="78">
        <v>42048</v>
      </c>
      <c r="C1066" s="79" t="s">
        <v>199</v>
      </c>
      <c r="D1066" s="79"/>
      <c r="E1066" s="79">
        <v>14680</v>
      </c>
      <c r="F1066" s="79">
        <v>14600</v>
      </c>
      <c r="G1066" s="79">
        <v>14600</v>
      </c>
      <c r="H1066" s="79"/>
      <c r="I1066" s="79">
        <v>5.4999999999999997E-3</v>
      </c>
      <c r="J1066" s="79"/>
      <c r="K1066" s="71">
        <f>YEAR(Accion[[#This Row],[fecha]])</f>
        <v>2015</v>
      </c>
      <c r="L1066" s="79" t="str">
        <f>IF(Accion[[#This Row],[Precio Cierre]]=MAX(Accion[Precio Cierre]),Accion[[#This Row],[Precio Cierre]],"NA")</f>
        <v>NA</v>
      </c>
      <c r="M1066" s="79" t="str">
        <f>IF(Accion[[#This Row],[Precio Cierre]]=MIN(Accion[Precio Cierre]),Accion[[#This Row],[Precio Cierre]],"NA")</f>
        <v>NA</v>
      </c>
    </row>
    <row r="1067" spans="1:13" hidden="1">
      <c r="A1067" s="38" t="s">
        <v>90</v>
      </c>
      <c r="B1067" s="78">
        <v>42047</v>
      </c>
      <c r="C1067" s="79" t="s">
        <v>200</v>
      </c>
      <c r="D1067" s="79"/>
      <c r="E1067" s="79">
        <v>14560</v>
      </c>
      <c r="F1067" s="79">
        <v>14300</v>
      </c>
      <c r="G1067" s="79">
        <v>14520</v>
      </c>
      <c r="H1067" s="79"/>
      <c r="I1067" s="79">
        <v>2.1100000000000001E-2</v>
      </c>
      <c r="J1067" s="79"/>
      <c r="K1067" s="71">
        <f>YEAR(Accion[[#This Row],[fecha]])</f>
        <v>2015</v>
      </c>
      <c r="L1067" s="79" t="str">
        <f>IF(Accion[[#This Row],[Precio Cierre]]=MAX(Accion[Precio Cierre]),Accion[[#This Row],[Precio Cierre]],"NA")</f>
        <v>NA</v>
      </c>
      <c r="M1067" s="79" t="str">
        <f>IF(Accion[[#This Row],[Precio Cierre]]=MIN(Accion[Precio Cierre]),Accion[[#This Row],[Precio Cierre]],"NA")</f>
        <v>NA</v>
      </c>
    </row>
    <row r="1068" spans="1:13" hidden="1">
      <c r="A1068" s="38" t="s">
        <v>90</v>
      </c>
      <c r="B1068" s="78">
        <v>42046</v>
      </c>
      <c r="C1068" s="79" t="s">
        <v>201</v>
      </c>
      <c r="D1068" s="79"/>
      <c r="E1068" s="79">
        <v>14600</v>
      </c>
      <c r="F1068" s="79">
        <v>14140</v>
      </c>
      <c r="G1068" s="79">
        <v>14220</v>
      </c>
      <c r="H1068" s="79"/>
      <c r="I1068" s="79">
        <v>-2.5999999999999999E-2</v>
      </c>
      <c r="J1068" s="79"/>
      <c r="K1068" s="71">
        <f>YEAR(Accion[[#This Row],[fecha]])</f>
        <v>2015</v>
      </c>
      <c r="L1068" s="79" t="str">
        <f>IF(Accion[[#This Row],[Precio Cierre]]=MAX(Accion[Precio Cierre]),Accion[[#This Row],[Precio Cierre]],"NA")</f>
        <v>NA</v>
      </c>
      <c r="M1068" s="79" t="str">
        <f>IF(Accion[[#This Row],[Precio Cierre]]=MIN(Accion[Precio Cierre]),Accion[[#This Row],[Precio Cierre]],"NA")</f>
        <v>NA</v>
      </c>
    </row>
    <row r="1069" spans="1:13" hidden="1">
      <c r="A1069" s="38" t="s">
        <v>90</v>
      </c>
      <c r="B1069" s="78">
        <v>42045</v>
      </c>
      <c r="C1069" s="79" t="s">
        <v>202</v>
      </c>
      <c r="D1069" s="79"/>
      <c r="E1069" s="79">
        <v>14800</v>
      </c>
      <c r="F1069" s="79">
        <v>14600</v>
      </c>
      <c r="G1069" s="79">
        <v>14600</v>
      </c>
      <c r="H1069" s="79"/>
      <c r="I1069" s="79">
        <v>0</v>
      </c>
      <c r="J1069" s="79"/>
      <c r="K1069" s="71">
        <f>YEAR(Accion[[#This Row],[fecha]])</f>
        <v>2015</v>
      </c>
      <c r="L1069" s="79" t="str">
        <f>IF(Accion[[#This Row],[Precio Cierre]]=MAX(Accion[Precio Cierre]),Accion[[#This Row],[Precio Cierre]],"NA")</f>
        <v>NA</v>
      </c>
      <c r="M1069" s="79" t="str">
        <f>IF(Accion[[#This Row],[Precio Cierre]]=MIN(Accion[Precio Cierre]),Accion[[#This Row],[Precio Cierre]],"NA")</f>
        <v>NA</v>
      </c>
    </row>
    <row r="1070" spans="1:13" hidden="1">
      <c r="A1070" s="38" t="s">
        <v>90</v>
      </c>
      <c r="B1070" s="78">
        <v>42044</v>
      </c>
      <c r="C1070" s="79" t="s">
        <v>203</v>
      </c>
      <c r="D1070" s="79"/>
      <c r="E1070" s="79">
        <v>14720</v>
      </c>
      <c r="F1070" s="79">
        <v>14600</v>
      </c>
      <c r="G1070" s="79">
        <v>14600</v>
      </c>
      <c r="H1070" s="79"/>
      <c r="I1070" s="79">
        <v>-5.4000000000000003E-3</v>
      </c>
      <c r="J1070" s="79"/>
      <c r="K1070" s="71">
        <f>YEAR(Accion[[#This Row],[fecha]])</f>
        <v>2015</v>
      </c>
      <c r="L1070" s="79" t="str">
        <f>IF(Accion[[#This Row],[Precio Cierre]]=MAX(Accion[Precio Cierre]),Accion[[#This Row],[Precio Cierre]],"NA")</f>
        <v>NA</v>
      </c>
      <c r="M1070" s="79" t="str">
        <f>IF(Accion[[#This Row],[Precio Cierre]]=MIN(Accion[Precio Cierre]),Accion[[#This Row],[Precio Cierre]],"NA")</f>
        <v>NA</v>
      </c>
    </row>
    <row r="1071" spans="1:13" hidden="1">
      <c r="A1071" s="38" t="s">
        <v>90</v>
      </c>
      <c r="B1071" s="78">
        <v>42041</v>
      </c>
      <c r="C1071" s="79" t="s">
        <v>204</v>
      </c>
      <c r="D1071" s="79"/>
      <c r="E1071" s="79">
        <v>14800</v>
      </c>
      <c r="F1071" s="79">
        <v>14620</v>
      </c>
      <c r="G1071" s="79">
        <v>14680</v>
      </c>
      <c r="H1071" s="79"/>
      <c r="I1071" s="79">
        <v>-2.1299999999999999E-2</v>
      </c>
      <c r="J1071" s="79"/>
      <c r="K1071" s="71">
        <f>YEAR(Accion[[#This Row],[fecha]])</f>
        <v>2015</v>
      </c>
      <c r="L1071" s="79" t="str">
        <f>IF(Accion[[#This Row],[Precio Cierre]]=MAX(Accion[Precio Cierre]),Accion[[#This Row],[Precio Cierre]],"NA")</f>
        <v>NA</v>
      </c>
      <c r="M1071" s="79" t="str">
        <f>IF(Accion[[#This Row],[Precio Cierre]]=MIN(Accion[Precio Cierre]),Accion[[#This Row],[Precio Cierre]],"NA")</f>
        <v>NA</v>
      </c>
    </row>
    <row r="1072" spans="1:13" hidden="1">
      <c r="A1072" s="38" t="s">
        <v>90</v>
      </c>
      <c r="B1072" s="78">
        <v>42040</v>
      </c>
      <c r="C1072" s="79" t="s">
        <v>205</v>
      </c>
      <c r="D1072" s="79"/>
      <c r="E1072" s="79">
        <v>15060</v>
      </c>
      <c r="F1072" s="79">
        <v>14500</v>
      </c>
      <c r="G1072" s="79">
        <v>15000</v>
      </c>
      <c r="H1072" s="79"/>
      <c r="I1072" s="79">
        <v>2.18E-2</v>
      </c>
      <c r="J1072" s="79"/>
      <c r="K1072" s="71">
        <f>YEAR(Accion[[#This Row],[fecha]])</f>
        <v>2015</v>
      </c>
      <c r="L1072" s="79" t="str">
        <f>IF(Accion[[#This Row],[Precio Cierre]]=MAX(Accion[Precio Cierre]),Accion[[#This Row],[Precio Cierre]],"NA")</f>
        <v>NA</v>
      </c>
      <c r="M1072" s="79" t="str">
        <f>IF(Accion[[#This Row],[Precio Cierre]]=MIN(Accion[Precio Cierre]),Accion[[#This Row],[Precio Cierre]],"NA")</f>
        <v>NA</v>
      </c>
    </row>
    <row r="1073" spans="1:13" hidden="1">
      <c r="A1073" s="38" t="s">
        <v>90</v>
      </c>
      <c r="B1073" s="78">
        <v>42039</v>
      </c>
      <c r="C1073" s="79" t="s">
        <v>206</v>
      </c>
      <c r="D1073" s="79"/>
      <c r="E1073" s="79">
        <v>15180</v>
      </c>
      <c r="F1073" s="79">
        <v>14400</v>
      </c>
      <c r="G1073" s="79">
        <v>14680</v>
      </c>
      <c r="H1073" s="79"/>
      <c r="I1073" s="79">
        <v>-3.4200000000000001E-2</v>
      </c>
      <c r="J1073" s="79"/>
      <c r="K1073" s="71">
        <f>YEAR(Accion[[#This Row],[fecha]])</f>
        <v>2015</v>
      </c>
      <c r="L1073" s="79" t="str">
        <f>IF(Accion[[#This Row],[Precio Cierre]]=MAX(Accion[Precio Cierre]),Accion[[#This Row],[Precio Cierre]],"NA")</f>
        <v>NA</v>
      </c>
      <c r="M1073" s="79" t="str">
        <f>IF(Accion[[#This Row],[Precio Cierre]]=MIN(Accion[Precio Cierre]),Accion[[#This Row],[Precio Cierre]],"NA")</f>
        <v>NA</v>
      </c>
    </row>
    <row r="1074" spans="1:13" hidden="1">
      <c r="A1074" s="38" t="s">
        <v>90</v>
      </c>
      <c r="B1074" s="78">
        <v>42038</v>
      </c>
      <c r="C1074" s="79" t="s">
        <v>207</v>
      </c>
      <c r="D1074" s="79"/>
      <c r="E1074" s="79">
        <v>15760</v>
      </c>
      <c r="F1074" s="79">
        <v>15200</v>
      </c>
      <c r="G1074" s="79">
        <v>15200</v>
      </c>
      <c r="H1074" s="79"/>
      <c r="I1074" s="79">
        <v>-1.9400000000000001E-2</v>
      </c>
      <c r="J1074" s="79"/>
      <c r="K1074" s="71">
        <f>YEAR(Accion[[#This Row],[fecha]])</f>
        <v>2015</v>
      </c>
      <c r="L1074" s="79" t="str">
        <f>IF(Accion[[#This Row],[Precio Cierre]]=MAX(Accion[Precio Cierre]),Accion[[#This Row],[Precio Cierre]],"NA")</f>
        <v>NA</v>
      </c>
      <c r="M1074" s="79" t="str">
        <f>IF(Accion[[#This Row],[Precio Cierre]]=MIN(Accion[Precio Cierre]),Accion[[#This Row],[Precio Cierre]],"NA")</f>
        <v>NA</v>
      </c>
    </row>
    <row r="1075" spans="1:13" hidden="1">
      <c r="A1075" s="38" t="s">
        <v>90</v>
      </c>
      <c r="B1075" s="78">
        <v>42037</v>
      </c>
      <c r="C1075" s="79" t="s">
        <v>208</v>
      </c>
      <c r="D1075" s="79"/>
      <c r="E1075" s="79">
        <v>15600</v>
      </c>
      <c r="F1075" s="79">
        <v>15440</v>
      </c>
      <c r="G1075" s="79">
        <v>15500</v>
      </c>
      <c r="H1075" s="79"/>
      <c r="I1075" s="79">
        <v>1.84E-2</v>
      </c>
      <c r="J1075" s="79"/>
      <c r="K1075" s="71">
        <f>YEAR(Accion[[#This Row],[fecha]])</f>
        <v>2015</v>
      </c>
      <c r="L1075" s="79" t="str">
        <f>IF(Accion[[#This Row],[Precio Cierre]]=MAX(Accion[Precio Cierre]),Accion[[#This Row],[Precio Cierre]],"NA")</f>
        <v>NA</v>
      </c>
      <c r="M1075" s="79" t="str">
        <f>IF(Accion[[#This Row],[Precio Cierre]]=MIN(Accion[Precio Cierre]),Accion[[#This Row],[Precio Cierre]],"NA")</f>
        <v>NA</v>
      </c>
    </row>
    <row r="1076" spans="1:13" hidden="1">
      <c r="A1076" s="38" t="s">
        <v>90</v>
      </c>
      <c r="B1076" s="78">
        <v>42034</v>
      </c>
      <c r="C1076" s="79" t="s">
        <v>209</v>
      </c>
      <c r="D1076" s="79"/>
      <c r="E1076" s="79">
        <v>15600</v>
      </c>
      <c r="F1076" s="79">
        <v>15220</v>
      </c>
      <c r="G1076" s="79">
        <v>15220</v>
      </c>
      <c r="H1076" s="79"/>
      <c r="I1076" s="79">
        <v>-1.8100000000000002E-2</v>
      </c>
      <c r="J1076" s="79"/>
      <c r="K1076" s="71">
        <f>YEAR(Accion[[#This Row],[fecha]])</f>
        <v>2015</v>
      </c>
      <c r="L1076" s="79" t="str">
        <f>IF(Accion[[#This Row],[Precio Cierre]]=MAX(Accion[Precio Cierre]),Accion[[#This Row],[Precio Cierre]],"NA")</f>
        <v>NA</v>
      </c>
      <c r="M1076" s="79" t="str">
        <f>IF(Accion[[#This Row],[Precio Cierre]]=MIN(Accion[Precio Cierre]),Accion[[#This Row],[Precio Cierre]],"NA")</f>
        <v>NA</v>
      </c>
    </row>
    <row r="1077" spans="1:13" hidden="1">
      <c r="A1077" s="38" t="s">
        <v>90</v>
      </c>
      <c r="B1077" s="78">
        <v>42033</v>
      </c>
      <c r="C1077" s="79" t="s">
        <v>210</v>
      </c>
      <c r="D1077" s="79"/>
      <c r="E1077" s="79">
        <v>16000</v>
      </c>
      <c r="F1077" s="79">
        <v>15500</v>
      </c>
      <c r="G1077" s="79">
        <v>15500</v>
      </c>
      <c r="H1077" s="79"/>
      <c r="I1077" s="79">
        <v>-3.1300000000000001E-2</v>
      </c>
      <c r="J1077" s="79"/>
      <c r="K1077" s="71">
        <f>YEAR(Accion[[#This Row],[fecha]])</f>
        <v>2015</v>
      </c>
      <c r="L1077" s="79" t="str">
        <f>IF(Accion[[#This Row],[Precio Cierre]]=MAX(Accion[Precio Cierre]),Accion[[#This Row],[Precio Cierre]],"NA")</f>
        <v>NA</v>
      </c>
      <c r="M1077" s="79" t="str">
        <f>IF(Accion[[#This Row],[Precio Cierre]]=MIN(Accion[Precio Cierre]),Accion[[#This Row],[Precio Cierre]],"NA")</f>
        <v>NA</v>
      </c>
    </row>
    <row r="1078" spans="1:13" hidden="1">
      <c r="A1078" s="38" t="s">
        <v>90</v>
      </c>
      <c r="B1078" s="78">
        <v>42032</v>
      </c>
      <c r="C1078" s="79" t="s">
        <v>211</v>
      </c>
      <c r="D1078" s="79"/>
      <c r="E1078" s="79">
        <v>16200</v>
      </c>
      <c r="F1078" s="79">
        <v>16000</v>
      </c>
      <c r="G1078" s="79">
        <v>16000</v>
      </c>
      <c r="H1078" s="79"/>
      <c r="I1078" s="79">
        <v>-1.23E-2</v>
      </c>
      <c r="J1078" s="79"/>
      <c r="K1078" s="71">
        <f>YEAR(Accion[[#This Row],[fecha]])</f>
        <v>2015</v>
      </c>
      <c r="L1078" s="79" t="str">
        <f>IF(Accion[[#This Row],[Precio Cierre]]=MAX(Accion[Precio Cierre]),Accion[[#This Row],[Precio Cierre]],"NA")</f>
        <v>NA</v>
      </c>
      <c r="M1078" s="79" t="str">
        <f>IF(Accion[[#This Row],[Precio Cierre]]=MIN(Accion[Precio Cierre]),Accion[[#This Row],[Precio Cierre]],"NA")</f>
        <v>NA</v>
      </c>
    </row>
    <row r="1079" spans="1:13" hidden="1">
      <c r="A1079" s="38" t="s">
        <v>90</v>
      </c>
      <c r="B1079" s="78">
        <v>42031</v>
      </c>
      <c r="C1079" s="79" t="s">
        <v>212</v>
      </c>
      <c r="D1079" s="79"/>
      <c r="E1079" s="79">
        <v>16400</v>
      </c>
      <c r="F1079" s="79">
        <v>15960</v>
      </c>
      <c r="G1079" s="79">
        <v>16200</v>
      </c>
      <c r="H1079" s="79"/>
      <c r="I1079" s="79">
        <v>1.2500000000000001E-2</v>
      </c>
      <c r="J1079" s="79"/>
      <c r="K1079" s="71">
        <f>YEAR(Accion[[#This Row],[fecha]])</f>
        <v>2015</v>
      </c>
      <c r="L1079" s="79" t="str">
        <f>IF(Accion[[#This Row],[Precio Cierre]]=MAX(Accion[Precio Cierre]),Accion[[#This Row],[Precio Cierre]],"NA")</f>
        <v>NA</v>
      </c>
      <c r="M1079" s="79" t="str">
        <f>IF(Accion[[#This Row],[Precio Cierre]]=MIN(Accion[Precio Cierre]),Accion[[#This Row],[Precio Cierre]],"NA")</f>
        <v>NA</v>
      </c>
    </row>
    <row r="1080" spans="1:13" hidden="1">
      <c r="A1080" s="38" t="s">
        <v>90</v>
      </c>
      <c r="B1080" s="78">
        <v>42030</v>
      </c>
      <c r="C1080" s="79" t="s">
        <v>213</v>
      </c>
      <c r="D1080" s="79"/>
      <c r="E1080" s="79">
        <v>16480</v>
      </c>
      <c r="F1080" s="79">
        <v>16000</v>
      </c>
      <c r="G1080" s="79">
        <v>16000</v>
      </c>
      <c r="H1080" s="79"/>
      <c r="I1080" s="79">
        <v>0</v>
      </c>
      <c r="J1080" s="79"/>
      <c r="K1080" s="71">
        <f>YEAR(Accion[[#This Row],[fecha]])</f>
        <v>2015</v>
      </c>
      <c r="L1080" s="79" t="str">
        <f>IF(Accion[[#This Row],[Precio Cierre]]=MAX(Accion[Precio Cierre]),Accion[[#This Row],[Precio Cierre]],"NA")</f>
        <v>NA</v>
      </c>
      <c r="M1080" s="79" t="str">
        <f>IF(Accion[[#This Row],[Precio Cierre]]=MIN(Accion[Precio Cierre]),Accion[[#This Row],[Precio Cierre]],"NA")</f>
        <v>NA</v>
      </c>
    </row>
    <row r="1081" spans="1:13" hidden="1">
      <c r="A1081" s="38" t="s">
        <v>90</v>
      </c>
      <c r="B1081" s="78">
        <v>42027</v>
      </c>
      <c r="C1081" s="79" t="s">
        <v>214</v>
      </c>
      <c r="D1081" s="79"/>
      <c r="E1081" s="79">
        <v>16520</v>
      </c>
      <c r="F1081" s="79">
        <v>16000</v>
      </c>
      <c r="G1081" s="79">
        <v>16000</v>
      </c>
      <c r="H1081" s="79"/>
      <c r="I1081" s="79">
        <v>-1.23E-2</v>
      </c>
      <c r="J1081" s="79"/>
      <c r="K1081" s="71">
        <f>YEAR(Accion[[#This Row],[fecha]])</f>
        <v>2015</v>
      </c>
      <c r="L1081" s="79" t="str">
        <f>IF(Accion[[#This Row],[Precio Cierre]]=MAX(Accion[Precio Cierre]),Accion[[#This Row],[Precio Cierre]],"NA")</f>
        <v>NA</v>
      </c>
      <c r="M1081" s="79" t="str">
        <f>IF(Accion[[#This Row],[Precio Cierre]]=MIN(Accion[Precio Cierre]),Accion[[#This Row],[Precio Cierre]],"NA")</f>
        <v>NA</v>
      </c>
    </row>
    <row r="1082" spans="1:13" hidden="1">
      <c r="A1082" s="38" t="s">
        <v>90</v>
      </c>
      <c r="B1082" s="78">
        <v>42026</v>
      </c>
      <c r="C1082" s="79" t="s">
        <v>215</v>
      </c>
      <c r="D1082" s="79"/>
      <c r="E1082" s="79">
        <v>16200</v>
      </c>
      <c r="F1082" s="79">
        <v>15700</v>
      </c>
      <c r="G1082" s="79">
        <v>16200</v>
      </c>
      <c r="H1082" s="79"/>
      <c r="I1082" s="79">
        <v>3.5799999999999998E-2</v>
      </c>
      <c r="J1082" s="79"/>
      <c r="K1082" s="71">
        <f>YEAR(Accion[[#This Row],[fecha]])</f>
        <v>2015</v>
      </c>
      <c r="L1082" s="79" t="str">
        <f>IF(Accion[[#This Row],[Precio Cierre]]=MAX(Accion[Precio Cierre]),Accion[[#This Row],[Precio Cierre]],"NA")</f>
        <v>NA</v>
      </c>
      <c r="M1082" s="79" t="str">
        <f>IF(Accion[[#This Row],[Precio Cierre]]=MIN(Accion[Precio Cierre]),Accion[[#This Row],[Precio Cierre]],"NA")</f>
        <v>NA</v>
      </c>
    </row>
    <row r="1083" spans="1:13" hidden="1">
      <c r="A1083" s="38" t="s">
        <v>90</v>
      </c>
      <c r="B1083" s="78">
        <v>42025</v>
      </c>
      <c r="C1083" s="79" t="s">
        <v>216</v>
      </c>
      <c r="D1083" s="79"/>
      <c r="E1083" s="79">
        <v>15720</v>
      </c>
      <c r="F1083" s="79">
        <v>15500</v>
      </c>
      <c r="G1083" s="79">
        <v>15640</v>
      </c>
      <c r="H1083" s="79"/>
      <c r="I1083" s="79">
        <v>3.8999999999999998E-3</v>
      </c>
      <c r="J1083" s="79"/>
      <c r="K1083" s="71">
        <f>YEAR(Accion[[#This Row],[fecha]])</f>
        <v>2015</v>
      </c>
      <c r="L1083" s="79" t="str">
        <f>IF(Accion[[#This Row],[Precio Cierre]]=MAX(Accion[Precio Cierre]),Accion[[#This Row],[Precio Cierre]],"NA")</f>
        <v>NA</v>
      </c>
      <c r="M1083" s="79" t="str">
        <f>IF(Accion[[#This Row],[Precio Cierre]]=MIN(Accion[Precio Cierre]),Accion[[#This Row],[Precio Cierre]],"NA")</f>
        <v>NA</v>
      </c>
    </row>
    <row r="1084" spans="1:13" hidden="1">
      <c r="A1084" s="38" t="s">
        <v>90</v>
      </c>
      <c r="B1084" s="78">
        <v>42024</v>
      </c>
      <c r="C1084" s="79" t="s">
        <v>217</v>
      </c>
      <c r="D1084" s="79"/>
      <c r="E1084" s="79">
        <v>15800</v>
      </c>
      <c r="F1084" s="79">
        <v>15520</v>
      </c>
      <c r="G1084" s="79">
        <v>15580</v>
      </c>
      <c r="H1084" s="79"/>
      <c r="I1084" s="79">
        <v>0</v>
      </c>
      <c r="J1084" s="79"/>
      <c r="K1084" s="71">
        <f>YEAR(Accion[[#This Row],[fecha]])</f>
        <v>2015</v>
      </c>
      <c r="L1084" s="79" t="str">
        <f>IF(Accion[[#This Row],[Precio Cierre]]=MAX(Accion[Precio Cierre]),Accion[[#This Row],[Precio Cierre]],"NA")</f>
        <v>NA</v>
      </c>
      <c r="M1084" s="79" t="str">
        <f>IF(Accion[[#This Row],[Precio Cierre]]=MIN(Accion[Precio Cierre]),Accion[[#This Row],[Precio Cierre]],"NA")</f>
        <v>NA</v>
      </c>
    </row>
    <row r="1085" spans="1:13" hidden="1">
      <c r="A1085" s="38" t="s">
        <v>90</v>
      </c>
      <c r="B1085" s="78">
        <v>42023</v>
      </c>
      <c r="C1085" s="79" t="s">
        <v>218</v>
      </c>
      <c r="D1085" s="79"/>
      <c r="E1085" s="79">
        <v>15900</v>
      </c>
      <c r="F1085" s="79">
        <v>15500</v>
      </c>
      <c r="G1085" s="79">
        <v>15580</v>
      </c>
      <c r="H1085" s="79"/>
      <c r="I1085" s="79">
        <v>1.2999999999999999E-3</v>
      </c>
      <c r="J1085" s="79"/>
      <c r="K1085" s="71">
        <f>YEAR(Accion[[#This Row],[fecha]])</f>
        <v>2015</v>
      </c>
      <c r="L1085" s="79" t="str">
        <f>IF(Accion[[#This Row],[Precio Cierre]]=MAX(Accion[Precio Cierre]),Accion[[#This Row],[Precio Cierre]],"NA")</f>
        <v>NA</v>
      </c>
      <c r="M1085" s="79" t="str">
        <f>IF(Accion[[#This Row],[Precio Cierre]]=MIN(Accion[Precio Cierre]),Accion[[#This Row],[Precio Cierre]],"NA")</f>
        <v>NA</v>
      </c>
    </row>
    <row r="1086" spans="1:13" hidden="1">
      <c r="A1086" s="38" t="s">
        <v>90</v>
      </c>
      <c r="B1086" s="78">
        <v>42020</v>
      </c>
      <c r="C1086" s="79" t="s">
        <v>219</v>
      </c>
      <c r="D1086" s="79"/>
      <c r="E1086" s="79">
        <v>15640</v>
      </c>
      <c r="F1086" s="79">
        <v>15460</v>
      </c>
      <c r="G1086" s="79">
        <v>15560</v>
      </c>
      <c r="H1086" s="79"/>
      <c r="I1086" s="79">
        <v>-2.5999999999999999E-3</v>
      </c>
      <c r="J1086" s="79"/>
      <c r="K1086" s="71">
        <f>YEAR(Accion[[#This Row],[fecha]])</f>
        <v>2015</v>
      </c>
      <c r="L1086" s="79" t="str">
        <f>IF(Accion[[#This Row],[Precio Cierre]]=MAX(Accion[Precio Cierre]),Accion[[#This Row],[Precio Cierre]],"NA")</f>
        <v>NA</v>
      </c>
      <c r="M1086" s="79" t="str">
        <f>IF(Accion[[#This Row],[Precio Cierre]]=MIN(Accion[Precio Cierre]),Accion[[#This Row],[Precio Cierre]],"NA")</f>
        <v>NA</v>
      </c>
    </row>
    <row r="1087" spans="1:13" hidden="1">
      <c r="A1087" s="38" t="s">
        <v>90</v>
      </c>
      <c r="B1087" s="78">
        <v>42019</v>
      </c>
      <c r="C1087" s="79" t="s">
        <v>220</v>
      </c>
      <c r="D1087" s="79"/>
      <c r="E1087" s="79">
        <v>15700</v>
      </c>
      <c r="F1087" s="79">
        <v>15600</v>
      </c>
      <c r="G1087" s="79">
        <v>15600</v>
      </c>
      <c r="H1087" s="79"/>
      <c r="I1087" s="79">
        <v>-6.4000000000000003E-3</v>
      </c>
      <c r="J1087" s="79"/>
      <c r="K1087" s="71">
        <f>YEAR(Accion[[#This Row],[fecha]])</f>
        <v>2015</v>
      </c>
      <c r="L1087" s="79" t="str">
        <f>IF(Accion[[#This Row],[Precio Cierre]]=MAX(Accion[Precio Cierre]),Accion[[#This Row],[Precio Cierre]],"NA")</f>
        <v>NA</v>
      </c>
      <c r="M1087" s="79" t="str">
        <f>IF(Accion[[#This Row],[Precio Cierre]]=MIN(Accion[Precio Cierre]),Accion[[#This Row],[Precio Cierre]],"NA")</f>
        <v>NA</v>
      </c>
    </row>
    <row r="1088" spans="1:13" hidden="1">
      <c r="A1088" s="38" t="s">
        <v>90</v>
      </c>
      <c r="B1088" s="78">
        <v>42018</v>
      </c>
      <c r="C1088" s="79" t="s">
        <v>221</v>
      </c>
      <c r="D1088" s="79"/>
      <c r="E1088" s="79">
        <v>15880</v>
      </c>
      <c r="F1088" s="79">
        <v>15640</v>
      </c>
      <c r="G1088" s="79">
        <v>15700</v>
      </c>
      <c r="H1088" s="79"/>
      <c r="I1088" s="79">
        <v>-6.3E-3</v>
      </c>
      <c r="J1088" s="79"/>
      <c r="K1088" s="71">
        <f>YEAR(Accion[[#This Row],[fecha]])</f>
        <v>2015</v>
      </c>
      <c r="L1088" s="79" t="str">
        <f>IF(Accion[[#This Row],[Precio Cierre]]=MAX(Accion[Precio Cierre]),Accion[[#This Row],[Precio Cierre]],"NA")</f>
        <v>NA</v>
      </c>
      <c r="M1088" s="79" t="str">
        <f>IF(Accion[[#This Row],[Precio Cierre]]=MIN(Accion[Precio Cierre]),Accion[[#This Row],[Precio Cierre]],"NA")</f>
        <v>NA</v>
      </c>
    </row>
    <row r="1089" spans="1:13" hidden="1">
      <c r="A1089" s="38" t="s">
        <v>90</v>
      </c>
      <c r="B1089" s="78">
        <v>42017</v>
      </c>
      <c r="C1089" s="79" t="s">
        <v>222</v>
      </c>
      <c r="D1089" s="79"/>
      <c r="E1089" s="79">
        <v>15900</v>
      </c>
      <c r="F1089" s="79">
        <v>15700</v>
      </c>
      <c r="G1089" s="79">
        <v>15800</v>
      </c>
      <c r="H1089" s="79"/>
      <c r="I1089" s="79">
        <v>6.4000000000000003E-3</v>
      </c>
      <c r="J1089" s="79"/>
      <c r="K1089" s="71">
        <f>YEAR(Accion[[#This Row],[fecha]])</f>
        <v>2015</v>
      </c>
      <c r="L1089" s="79" t="str">
        <f>IF(Accion[[#This Row],[Precio Cierre]]=MAX(Accion[Precio Cierre]),Accion[[#This Row],[Precio Cierre]],"NA")</f>
        <v>NA</v>
      </c>
      <c r="M1089" s="79" t="str">
        <f>IF(Accion[[#This Row],[Precio Cierre]]=MIN(Accion[Precio Cierre]),Accion[[#This Row],[Precio Cierre]],"NA")</f>
        <v>NA</v>
      </c>
    </row>
    <row r="1090" spans="1:13" hidden="1">
      <c r="A1090" s="38" t="s">
        <v>90</v>
      </c>
      <c r="B1090" s="78">
        <v>42013</v>
      </c>
      <c r="C1090" s="79" t="s">
        <v>223</v>
      </c>
      <c r="D1090" s="79"/>
      <c r="E1090" s="79">
        <v>15880</v>
      </c>
      <c r="F1090" s="79">
        <v>15540</v>
      </c>
      <c r="G1090" s="79">
        <v>15700</v>
      </c>
      <c r="H1090" s="79"/>
      <c r="I1090" s="79">
        <v>1.8200000000000001E-2</v>
      </c>
      <c r="J1090" s="79"/>
      <c r="K1090" s="71">
        <f>YEAR(Accion[[#This Row],[fecha]])</f>
        <v>2015</v>
      </c>
      <c r="L1090" s="79" t="str">
        <f>IF(Accion[[#This Row],[Precio Cierre]]=MAX(Accion[Precio Cierre]),Accion[[#This Row],[Precio Cierre]],"NA")</f>
        <v>NA</v>
      </c>
      <c r="M1090" s="79" t="str">
        <f>IF(Accion[[#This Row],[Precio Cierre]]=MIN(Accion[Precio Cierre]),Accion[[#This Row],[Precio Cierre]],"NA")</f>
        <v>NA</v>
      </c>
    </row>
    <row r="1091" spans="1:13" hidden="1">
      <c r="A1091" s="38" t="s">
        <v>90</v>
      </c>
      <c r="B1091" s="78">
        <v>42012</v>
      </c>
      <c r="C1091" s="79" t="s">
        <v>224</v>
      </c>
      <c r="D1091" s="79"/>
      <c r="E1091" s="79">
        <v>15420</v>
      </c>
      <c r="F1091" s="79">
        <v>15420</v>
      </c>
      <c r="G1091" s="79">
        <v>15420</v>
      </c>
      <c r="H1091" s="79"/>
      <c r="I1091" s="79">
        <v>-1.78E-2</v>
      </c>
      <c r="J1091" s="79"/>
      <c r="K1091" s="71">
        <f>YEAR(Accion[[#This Row],[fecha]])</f>
        <v>2015</v>
      </c>
      <c r="L1091" s="79" t="str">
        <f>IF(Accion[[#This Row],[Precio Cierre]]=MAX(Accion[Precio Cierre]),Accion[[#This Row],[Precio Cierre]],"NA")</f>
        <v>NA</v>
      </c>
      <c r="M1091" s="79" t="str">
        <f>IF(Accion[[#This Row],[Precio Cierre]]=MIN(Accion[Precio Cierre]),Accion[[#This Row],[Precio Cierre]],"NA")</f>
        <v>NA</v>
      </c>
    </row>
    <row r="1092" spans="1:13" hidden="1">
      <c r="A1092" s="38" t="s">
        <v>90</v>
      </c>
      <c r="B1092" s="78">
        <v>42011</v>
      </c>
      <c r="C1092" s="79" t="s">
        <v>225</v>
      </c>
      <c r="D1092" s="79"/>
      <c r="E1092" s="79">
        <v>15700</v>
      </c>
      <c r="F1092" s="79">
        <v>15320</v>
      </c>
      <c r="G1092" s="79">
        <v>15700</v>
      </c>
      <c r="H1092" s="79"/>
      <c r="I1092" s="79">
        <v>3.2899999999999999E-2</v>
      </c>
      <c r="J1092" s="79"/>
      <c r="K1092" s="71">
        <f>YEAR(Accion[[#This Row],[fecha]])</f>
        <v>2015</v>
      </c>
      <c r="L1092" s="79" t="str">
        <f>IF(Accion[[#This Row],[Precio Cierre]]=MAX(Accion[Precio Cierre]),Accion[[#This Row],[Precio Cierre]],"NA")</f>
        <v>NA</v>
      </c>
      <c r="M1092" s="79" t="str">
        <f>IF(Accion[[#This Row],[Precio Cierre]]=MIN(Accion[Precio Cierre]),Accion[[#This Row],[Precio Cierre]],"NA")</f>
        <v>NA</v>
      </c>
    </row>
    <row r="1093" spans="1:13" hidden="1">
      <c r="A1093" s="38" t="s">
        <v>90</v>
      </c>
      <c r="B1093" s="78">
        <v>42010</v>
      </c>
      <c r="C1093" s="79" t="s">
        <v>226</v>
      </c>
      <c r="D1093" s="79"/>
      <c r="E1093" s="79">
        <v>15200</v>
      </c>
      <c r="F1093" s="79">
        <v>15160</v>
      </c>
      <c r="G1093" s="79">
        <v>15200</v>
      </c>
      <c r="H1093" s="79"/>
      <c r="I1093" s="79">
        <v>0</v>
      </c>
      <c r="J1093" s="79"/>
      <c r="K1093" s="71">
        <f>YEAR(Accion[[#This Row],[fecha]])</f>
        <v>2015</v>
      </c>
      <c r="L1093" s="79" t="str">
        <f>IF(Accion[[#This Row],[Precio Cierre]]=MAX(Accion[Precio Cierre]),Accion[[#This Row],[Precio Cierre]],"NA")</f>
        <v>NA</v>
      </c>
      <c r="M1093" s="79" t="str">
        <f>IF(Accion[[#This Row],[Precio Cierre]]=MIN(Accion[Precio Cierre]),Accion[[#This Row],[Precio Cierre]],"NA")</f>
        <v>NA</v>
      </c>
    </row>
    <row r="1094" spans="1:13" hidden="1">
      <c r="A1094" s="38" t="s">
        <v>90</v>
      </c>
      <c r="B1094" s="78">
        <v>42009</v>
      </c>
      <c r="C1094" s="79" t="s">
        <v>227</v>
      </c>
      <c r="D1094" s="79"/>
      <c r="E1094" s="79">
        <v>15900</v>
      </c>
      <c r="F1094" s="79">
        <v>15200</v>
      </c>
      <c r="G1094" s="79">
        <v>15200</v>
      </c>
      <c r="H1094" s="79"/>
      <c r="I1094" s="79">
        <v>-0.05</v>
      </c>
      <c r="J1094" s="79"/>
      <c r="K1094" s="71">
        <f>YEAR(Accion[[#This Row],[fecha]])</f>
        <v>2015</v>
      </c>
      <c r="L1094" s="79" t="str">
        <f>IF(Accion[[#This Row],[Precio Cierre]]=MAX(Accion[Precio Cierre]),Accion[[#This Row],[Precio Cierre]],"NA")</f>
        <v>NA</v>
      </c>
      <c r="M1094" s="79" t="str">
        <f>IF(Accion[[#This Row],[Precio Cierre]]=MIN(Accion[Precio Cierre]),Accion[[#This Row],[Precio Cierre]],"NA")</f>
        <v>NA</v>
      </c>
    </row>
    <row r="1095" spans="1:13" hidden="1">
      <c r="A1095" s="38" t="s">
        <v>90</v>
      </c>
      <c r="B1095" s="78">
        <v>42006</v>
      </c>
      <c r="C1095" s="79" t="s">
        <v>228</v>
      </c>
      <c r="D1095" s="79"/>
      <c r="E1095" s="79">
        <v>16000</v>
      </c>
      <c r="F1095" s="79">
        <v>16000</v>
      </c>
      <c r="G1095" s="79">
        <v>16000</v>
      </c>
      <c r="H1095" s="79"/>
      <c r="I1095" s="79">
        <v>0</v>
      </c>
      <c r="J1095" s="79"/>
      <c r="K1095" s="71">
        <f>YEAR(Accion[[#This Row],[fecha]])</f>
        <v>2015</v>
      </c>
      <c r="L1095" s="79" t="str">
        <f>IF(Accion[[#This Row],[Precio Cierre]]=MAX(Accion[Precio Cierre]),Accion[[#This Row],[Precio Cierre]],"NA")</f>
        <v>NA</v>
      </c>
      <c r="M1095" s="79" t="str">
        <f>IF(Accion[[#This Row],[Precio Cierre]]=MIN(Accion[Precio Cierre]),Accion[[#This Row],[Precio Cierre]],"NA")</f>
        <v>NA</v>
      </c>
    </row>
    <row r="1096" spans="1:13" hidden="1">
      <c r="A1096" s="38" t="s">
        <v>90</v>
      </c>
      <c r="B1096" s="78">
        <v>42003</v>
      </c>
      <c r="C1096" s="79" t="s">
        <v>229</v>
      </c>
      <c r="D1096" s="79"/>
      <c r="E1096" s="79">
        <v>16380</v>
      </c>
      <c r="F1096" s="79">
        <v>15800</v>
      </c>
      <c r="G1096" s="79">
        <v>16000</v>
      </c>
      <c r="H1096" s="79"/>
      <c r="I1096" s="79">
        <v>1.2999999999999999E-3</v>
      </c>
      <c r="J1096" s="79"/>
      <c r="K1096" s="71">
        <f>YEAR(Accion[[#This Row],[fecha]])</f>
        <v>2014</v>
      </c>
      <c r="L1096" s="79" t="str">
        <f>IF(Accion[[#This Row],[Precio Cierre]]=MAX(Accion[Precio Cierre]),Accion[[#This Row],[Precio Cierre]],"NA")</f>
        <v>NA</v>
      </c>
      <c r="M1096" s="79" t="str">
        <f>IF(Accion[[#This Row],[Precio Cierre]]=MIN(Accion[Precio Cierre]),Accion[[#This Row],[Precio Cierre]],"NA")</f>
        <v>NA</v>
      </c>
    </row>
    <row r="1097" spans="1:13" hidden="1">
      <c r="A1097" s="38" t="s">
        <v>90</v>
      </c>
      <c r="B1097" s="78">
        <v>42002</v>
      </c>
      <c r="C1097" s="79" t="s">
        <v>230</v>
      </c>
      <c r="D1097" s="79"/>
      <c r="E1097" s="79">
        <v>16000</v>
      </c>
      <c r="F1097" s="79">
        <v>15980</v>
      </c>
      <c r="G1097" s="79">
        <v>15980</v>
      </c>
      <c r="H1097" s="79"/>
      <c r="I1097" s="79">
        <v>-1.2999999999999999E-3</v>
      </c>
      <c r="J1097" s="79"/>
      <c r="K1097" s="71">
        <f>YEAR(Accion[[#This Row],[fecha]])</f>
        <v>2014</v>
      </c>
      <c r="L1097" s="79" t="str">
        <f>IF(Accion[[#This Row],[Precio Cierre]]=MAX(Accion[Precio Cierre]),Accion[[#This Row],[Precio Cierre]],"NA")</f>
        <v>NA</v>
      </c>
      <c r="M1097" s="79" t="str">
        <f>IF(Accion[[#This Row],[Precio Cierre]]=MIN(Accion[Precio Cierre]),Accion[[#This Row],[Precio Cierre]],"NA")</f>
        <v>NA</v>
      </c>
    </row>
    <row r="1098" spans="1:13" hidden="1">
      <c r="A1098" s="38" t="s">
        <v>90</v>
      </c>
      <c r="B1098" s="78">
        <v>41999</v>
      </c>
      <c r="C1098" s="79" t="s">
        <v>231</v>
      </c>
      <c r="D1098" s="79"/>
      <c r="E1098" s="79">
        <v>16520</v>
      </c>
      <c r="F1098" s="79">
        <v>16000</v>
      </c>
      <c r="G1098" s="79">
        <v>16000</v>
      </c>
      <c r="H1098" s="79"/>
      <c r="I1098" s="79">
        <v>0</v>
      </c>
      <c r="J1098" s="79"/>
      <c r="K1098" s="71">
        <f>YEAR(Accion[[#This Row],[fecha]])</f>
        <v>2014</v>
      </c>
      <c r="L1098" s="79" t="str">
        <f>IF(Accion[[#This Row],[Precio Cierre]]=MAX(Accion[Precio Cierre]),Accion[[#This Row],[Precio Cierre]],"NA")</f>
        <v>NA</v>
      </c>
      <c r="M1098" s="79" t="str">
        <f>IF(Accion[[#This Row],[Precio Cierre]]=MIN(Accion[Precio Cierre]),Accion[[#This Row],[Precio Cierre]],"NA")</f>
        <v>NA</v>
      </c>
    </row>
    <row r="1099" spans="1:13" hidden="1">
      <c r="A1099" s="38" t="s">
        <v>90</v>
      </c>
      <c r="B1099" s="78">
        <v>41997</v>
      </c>
      <c r="C1099" s="79" t="s">
        <v>232</v>
      </c>
      <c r="D1099" s="79"/>
      <c r="E1099" s="79">
        <v>16200</v>
      </c>
      <c r="F1099" s="79">
        <v>16000</v>
      </c>
      <c r="G1099" s="79">
        <v>16000</v>
      </c>
      <c r="H1099" s="79"/>
      <c r="I1099" s="79">
        <v>-1.11E-2</v>
      </c>
      <c r="J1099" s="79"/>
      <c r="K1099" s="71">
        <f>YEAR(Accion[[#This Row],[fecha]])</f>
        <v>2014</v>
      </c>
      <c r="L1099" s="79" t="str">
        <f>IF(Accion[[#This Row],[Precio Cierre]]=MAX(Accion[Precio Cierre]),Accion[[#This Row],[Precio Cierre]],"NA")</f>
        <v>NA</v>
      </c>
      <c r="M1099" s="79" t="str">
        <f>IF(Accion[[#This Row],[Precio Cierre]]=MIN(Accion[Precio Cierre]),Accion[[#This Row],[Precio Cierre]],"NA")</f>
        <v>NA</v>
      </c>
    </row>
    <row r="1100" spans="1:13" hidden="1">
      <c r="A1100" s="38" t="s">
        <v>90</v>
      </c>
      <c r="B1100" s="78">
        <v>41996</v>
      </c>
      <c r="C1100" s="79" t="s">
        <v>233</v>
      </c>
      <c r="D1100" s="79"/>
      <c r="E1100" s="79">
        <v>16600</v>
      </c>
      <c r="F1100" s="79">
        <v>16100</v>
      </c>
      <c r="G1100" s="79">
        <v>16180</v>
      </c>
      <c r="H1100" s="79"/>
      <c r="I1100" s="79">
        <v>5.0000000000000001E-3</v>
      </c>
      <c r="J1100" s="79"/>
      <c r="K1100" s="71">
        <f>YEAR(Accion[[#This Row],[fecha]])</f>
        <v>2014</v>
      </c>
      <c r="L1100" s="79" t="str">
        <f>IF(Accion[[#This Row],[Precio Cierre]]=MAX(Accion[Precio Cierre]),Accion[[#This Row],[Precio Cierre]],"NA")</f>
        <v>NA</v>
      </c>
      <c r="M1100" s="79" t="str">
        <f>IF(Accion[[#This Row],[Precio Cierre]]=MIN(Accion[Precio Cierre]),Accion[[#This Row],[Precio Cierre]],"NA")</f>
        <v>NA</v>
      </c>
    </row>
    <row r="1101" spans="1:13" hidden="1">
      <c r="A1101" s="38" t="s">
        <v>90</v>
      </c>
      <c r="B1101" s="78">
        <v>41995</v>
      </c>
      <c r="C1101" s="79" t="s">
        <v>234</v>
      </c>
      <c r="D1101" s="79"/>
      <c r="E1101" s="79">
        <v>16100</v>
      </c>
      <c r="F1101" s="79">
        <v>15960</v>
      </c>
      <c r="G1101" s="79">
        <v>16100</v>
      </c>
      <c r="H1101" s="79"/>
      <c r="I1101" s="79">
        <v>1.26E-2</v>
      </c>
      <c r="J1101" s="79"/>
      <c r="K1101" s="71">
        <f>YEAR(Accion[[#This Row],[fecha]])</f>
        <v>2014</v>
      </c>
      <c r="L1101" s="79" t="str">
        <f>IF(Accion[[#This Row],[Precio Cierre]]=MAX(Accion[Precio Cierre]),Accion[[#This Row],[Precio Cierre]],"NA")</f>
        <v>NA</v>
      </c>
      <c r="M1101" s="79" t="str">
        <f>IF(Accion[[#This Row],[Precio Cierre]]=MIN(Accion[Precio Cierre]),Accion[[#This Row],[Precio Cierre]],"NA")</f>
        <v>NA</v>
      </c>
    </row>
    <row r="1102" spans="1:13" hidden="1">
      <c r="A1102" s="38" t="s">
        <v>90</v>
      </c>
      <c r="B1102" s="78">
        <v>41992</v>
      </c>
      <c r="C1102" s="79" t="s">
        <v>235</v>
      </c>
      <c r="D1102" s="79"/>
      <c r="E1102" s="79">
        <v>16000</v>
      </c>
      <c r="F1102" s="79">
        <v>15380</v>
      </c>
      <c r="G1102" s="79">
        <v>15900</v>
      </c>
      <c r="H1102" s="79"/>
      <c r="I1102" s="79">
        <v>2.98E-2</v>
      </c>
      <c r="J1102" s="79"/>
      <c r="K1102" s="71">
        <f>YEAR(Accion[[#This Row],[fecha]])</f>
        <v>2014</v>
      </c>
      <c r="L1102" s="79" t="str">
        <f>IF(Accion[[#This Row],[Precio Cierre]]=MAX(Accion[Precio Cierre]),Accion[[#This Row],[Precio Cierre]],"NA")</f>
        <v>NA</v>
      </c>
      <c r="M1102" s="79" t="str">
        <f>IF(Accion[[#This Row],[Precio Cierre]]=MIN(Accion[Precio Cierre]),Accion[[#This Row],[Precio Cierre]],"NA")</f>
        <v>NA</v>
      </c>
    </row>
    <row r="1103" spans="1:13" hidden="1">
      <c r="A1103" s="38" t="s">
        <v>90</v>
      </c>
      <c r="B1103" s="78">
        <v>41991</v>
      </c>
      <c r="C1103" s="79" t="s">
        <v>236</v>
      </c>
      <c r="D1103" s="79"/>
      <c r="E1103" s="79">
        <v>16000</v>
      </c>
      <c r="F1103" s="79">
        <v>15000</v>
      </c>
      <c r="G1103" s="79">
        <v>15440</v>
      </c>
      <c r="H1103" s="79"/>
      <c r="I1103" s="79">
        <v>-6.4000000000000003E-3</v>
      </c>
      <c r="J1103" s="79"/>
      <c r="K1103" s="71">
        <f>YEAR(Accion[[#This Row],[fecha]])</f>
        <v>2014</v>
      </c>
      <c r="L1103" s="79" t="str">
        <f>IF(Accion[[#This Row],[Precio Cierre]]=MAX(Accion[Precio Cierre]),Accion[[#This Row],[Precio Cierre]],"NA")</f>
        <v>NA</v>
      </c>
      <c r="M1103" s="79" t="str">
        <f>IF(Accion[[#This Row],[Precio Cierre]]=MIN(Accion[Precio Cierre]),Accion[[#This Row],[Precio Cierre]],"NA")</f>
        <v>NA</v>
      </c>
    </row>
    <row r="1104" spans="1:13" hidden="1">
      <c r="A1104" s="38" t="s">
        <v>90</v>
      </c>
      <c r="B1104" s="78">
        <v>41990</v>
      </c>
      <c r="C1104" s="79" t="s">
        <v>237</v>
      </c>
      <c r="D1104" s="79"/>
      <c r="E1104" s="79">
        <v>15540</v>
      </c>
      <c r="F1104" s="79">
        <v>14400</v>
      </c>
      <c r="G1104" s="79">
        <v>15540</v>
      </c>
      <c r="H1104" s="79"/>
      <c r="I1104" s="79">
        <v>9.9000000000000005E-2</v>
      </c>
      <c r="J1104" s="79"/>
      <c r="K1104" s="71">
        <f>YEAR(Accion[[#This Row],[fecha]])</f>
        <v>2014</v>
      </c>
      <c r="L1104" s="79" t="str">
        <f>IF(Accion[[#This Row],[Precio Cierre]]=MAX(Accion[Precio Cierre]),Accion[[#This Row],[Precio Cierre]],"NA")</f>
        <v>NA</v>
      </c>
      <c r="M1104" s="79" t="str">
        <f>IF(Accion[[#This Row],[Precio Cierre]]=MIN(Accion[Precio Cierre]),Accion[[#This Row],[Precio Cierre]],"NA")</f>
        <v>NA</v>
      </c>
    </row>
    <row r="1105" spans="1:13" hidden="1">
      <c r="A1105" s="38" t="s">
        <v>90</v>
      </c>
      <c r="B1105" s="78">
        <v>41989</v>
      </c>
      <c r="C1105" s="79" t="s">
        <v>238</v>
      </c>
      <c r="D1105" s="79"/>
      <c r="E1105" s="79">
        <v>14380</v>
      </c>
      <c r="F1105" s="79">
        <v>13840</v>
      </c>
      <c r="G1105" s="79">
        <v>14140</v>
      </c>
      <c r="H1105" s="79"/>
      <c r="I1105" s="79">
        <v>-2.8E-3</v>
      </c>
      <c r="J1105" s="79"/>
      <c r="K1105" s="71">
        <f>YEAR(Accion[[#This Row],[fecha]])</f>
        <v>2014</v>
      </c>
      <c r="L1105" s="79" t="str">
        <f>IF(Accion[[#This Row],[Precio Cierre]]=MAX(Accion[Precio Cierre]),Accion[[#This Row],[Precio Cierre]],"NA")</f>
        <v>NA</v>
      </c>
      <c r="M1105" s="79" t="str">
        <f>IF(Accion[[#This Row],[Precio Cierre]]=MIN(Accion[Precio Cierre]),Accion[[#This Row],[Precio Cierre]],"NA")</f>
        <v>NA</v>
      </c>
    </row>
    <row r="1106" spans="1:13" hidden="1">
      <c r="A1106" s="38" t="s">
        <v>90</v>
      </c>
      <c r="B1106" s="78">
        <v>41988</v>
      </c>
      <c r="C1106" s="79" t="s">
        <v>239</v>
      </c>
      <c r="D1106" s="79"/>
      <c r="E1106" s="79">
        <v>14500</v>
      </c>
      <c r="F1106" s="79">
        <v>14180</v>
      </c>
      <c r="G1106" s="79">
        <v>14180</v>
      </c>
      <c r="H1106" s="79"/>
      <c r="I1106" s="79">
        <v>-4.19E-2</v>
      </c>
      <c r="J1106" s="79"/>
      <c r="K1106" s="71">
        <f>YEAR(Accion[[#This Row],[fecha]])</f>
        <v>2014</v>
      </c>
      <c r="L1106" s="79" t="str">
        <f>IF(Accion[[#This Row],[Precio Cierre]]=MAX(Accion[Precio Cierre]),Accion[[#This Row],[Precio Cierre]],"NA")</f>
        <v>NA</v>
      </c>
      <c r="M1106" s="79" t="str">
        <f>IF(Accion[[#This Row],[Precio Cierre]]=MIN(Accion[Precio Cierre]),Accion[[#This Row],[Precio Cierre]],"NA")</f>
        <v>NA</v>
      </c>
    </row>
    <row r="1107" spans="1:13" hidden="1">
      <c r="A1107" s="38" t="s">
        <v>90</v>
      </c>
      <c r="B1107" s="78">
        <v>41985</v>
      </c>
      <c r="C1107" s="79" t="s">
        <v>240</v>
      </c>
      <c r="D1107" s="79"/>
      <c r="E1107" s="79">
        <v>15000</v>
      </c>
      <c r="F1107" s="79">
        <v>14200</v>
      </c>
      <c r="G1107" s="79">
        <v>14800</v>
      </c>
      <c r="H1107" s="79"/>
      <c r="I1107" s="79">
        <v>-1.3299999999999999E-2</v>
      </c>
      <c r="J1107" s="79"/>
      <c r="K1107" s="71">
        <f>YEAR(Accion[[#This Row],[fecha]])</f>
        <v>2014</v>
      </c>
      <c r="L1107" s="79" t="str">
        <f>IF(Accion[[#This Row],[Precio Cierre]]=MAX(Accion[Precio Cierre]),Accion[[#This Row],[Precio Cierre]],"NA")</f>
        <v>NA</v>
      </c>
      <c r="M1107" s="79" t="str">
        <f>IF(Accion[[#This Row],[Precio Cierre]]=MIN(Accion[Precio Cierre]),Accion[[#This Row],[Precio Cierre]],"NA")</f>
        <v>NA</v>
      </c>
    </row>
    <row r="1108" spans="1:13" hidden="1">
      <c r="A1108" s="38" t="s">
        <v>90</v>
      </c>
      <c r="B1108" s="78">
        <v>41984</v>
      </c>
      <c r="C1108" s="79" t="s">
        <v>241</v>
      </c>
      <c r="D1108" s="79"/>
      <c r="E1108" s="79">
        <v>15740</v>
      </c>
      <c r="F1108" s="79">
        <v>14880</v>
      </c>
      <c r="G1108" s="79">
        <v>15000</v>
      </c>
      <c r="H1108" s="79"/>
      <c r="I1108" s="79">
        <v>-4.7E-2</v>
      </c>
      <c r="J1108" s="79"/>
      <c r="K1108" s="71">
        <f>YEAR(Accion[[#This Row],[fecha]])</f>
        <v>2014</v>
      </c>
      <c r="L1108" s="79" t="str">
        <f>IF(Accion[[#This Row],[Precio Cierre]]=MAX(Accion[Precio Cierre]),Accion[[#This Row],[Precio Cierre]],"NA")</f>
        <v>NA</v>
      </c>
      <c r="M1108" s="79" t="str">
        <f>IF(Accion[[#This Row],[Precio Cierre]]=MIN(Accion[Precio Cierre]),Accion[[#This Row],[Precio Cierre]],"NA")</f>
        <v>NA</v>
      </c>
    </row>
    <row r="1109" spans="1:13" hidden="1">
      <c r="A1109" s="38" t="s">
        <v>90</v>
      </c>
      <c r="B1109" s="78">
        <v>41983</v>
      </c>
      <c r="C1109" s="79" t="s">
        <v>242</v>
      </c>
      <c r="D1109" s="79"/>
      <c r="E1109" s="79">
        <v>15900</v>
      </c>
      <c r="F1109" s="79">
        <v>15680</v>
      </c>
      <c r="G1109" s="79">
        <v>15740</v>
      </c>
      <c r="H1109" s="79"/>
      <c r="I1109" s="79">
        <v>-3.8E-3</v>
      </c>
      <c r="J1109" s="79"/>
      <c r="K1109" s="71">
        <f>YEAR(Accion[[#This Row],[fecha]])</f>
        <v>2014</v>
      </c>
      <c r="L1109" s="79" t="str">
        <f>IF(Accion[[#This Row],[Precio Cierre]]=MAX(Accion[Precio Cierre]),Accion[[#This Row],[Precio Cierre]],"NA")</f>
        <v>NA</v>
      </c>
      <c r="M1109" s="79" t="str">
        <f>IF(Accion[[#This Row],[Precio Cierre]]=MIN(Accion[Precio Cierre]),Accion[[#This Row],[Precio Cierre]],"NA")</f>
        <v>NA</v>
      </c>
    </row>
    <row r="1110" spans="1:13" hidden="1">
      <c r="A1110" s="38" t="s">
        <v>90</v>
      </c>
      <c r="B1110" s="78">
        <v>41982</v>
      </c>
      <c r="C1110" s="79" t="s">
        <v>243</v>
      </c>
      <c r="D1110" s="79"/>
      <c r="E1110" s="79">
        <v>15800</v>
      </c>
      <c r="F1110" s="79">
        <v>15520</v>
      </c>
      <c r="G1110" s="79">
        <v>15800</v>
      </c>
      <c r="H1110" s="79"/>
      <c r="I1110" s="79">
        <v>0</v>
      </c>
      <c r="J1110" s="79"/>
      <c r="K1110" s="71">
        <f>YEAR(Accion[[#This Row],[fecha]])</f>
        <v>2014</v>
      </c>
      <c r="L1110" s="79" t="str">
        <f>IF(Accion[[#This Row],[Precio Cierre]]=MAX(Accion[Precio Cierre]),Accion[[#This Row],[Precio Cierre]],"NA")</f>
        <v>NA</v>
      </c>
      <c r="M1110" s="79" t="str">
        <f>IF(Accion[[#This Row],[Precio Cierre]]=MIN(Accion[Precio Cierre]),Accion[[#This Row],[Precio Cierre]],"NA")</f>
        <v>NA</v>
      </c>
    </row>
    <row r="1111" spans="1:13" hidden="1">
      <c r="A1111" s="38" t="s">
        <v>90</v>
      </c>
      <c r="B1111" s="78">
        <v>41978</v>
      </c>
      <c r="C1111" s="79" t="s">
        <v>244</v>
      </c>
      <c r="D1111" s="79"/>
      <c r="E1111" s="79">
        <v>15800</v>
      </c>
      <c r="F1111" s="79">
        <v>15300</v>
      </c>
      <c r="G1111" s="79">
        <v>15800</v>
      </c>
      <c r="H1111" s="79"/>
      <c r="I1111" s="79">
        <v>3.27E-2</v>
      </c>
      <c r="J1111" s="79"/>
      <c r="K1111" s="71">
        <f>YEAR(Accion[[#This Row],[fecha]])</f>
        <v>2014</v>
      </c>
      <c r="L1111" s="79" t="str">
        <f>IF(Accion[[#This Row],[Precio Cierre]]=MAX(Accion[Precio Cierre]),Accion[[#This Row],[Precio Cierre]],"NA")</f>
        <v>NA</v>
      </c>
      <c r="M1111" s="79" t="str">
        <f>IF(Accion[[#This Row],[Precio Cierre]]=MIN(Accion[Precio Cierre]),Accion[[#This Row],[Precio Cierre]],"NA")</f>
        <v>NA</v>
      </c>
    </row>
    <row r="1112" spans="1:13" hidden="1">
      <c r="A1112" s="38" t="s">
        <v>90</v>
      </c>
      <c r="B1112" s="78">
        <v>41977</v>
      </c>
      <c r="C1112" s="79" t="s">
        <v>245</v>
      </c>
      <c r="D1112" s="79"/>
      <c r="E1112" s="79">
        <v>15600</v>
      </c>
      <c r="F1112" s="79">
        <v>15260</v>
      </c>
      <c r="G1112" s="79">
        <v>15300</v>
      </c>
      <c r="H1112" s="79"/>
      <c r="I1112" s="79">
        <v>-3.1600000000000003E-2</v>
      </c>
      <c r="J1112" s="79"/>
      <c r="K1112" s="71">
        <f>YEAR(Accion[[#This Row],[fecha]])</f>
        <v>2014</v>
      </c>
      <c r="L1112" s="79" t="str">
        <f>IF(Accion[[#This Row],[Precio Cierre]]=MAX(Accion[Precio Cierre]),Accion[[#This Row],[Precio Cierre]],"NA")</f>
        <v>NA</v>
      </c>
      <c r="M1112" s="79" t="str">
        <f>IF(Accion[[#This Row],[Precio Cierre]]=MIN(Accion[Precio Cierre]),Accion[[#This Row],[Precio Cierre]],"NA")</f>
        <v>NA</v>
      </c>
    </row>
    <row r="1113" spans="1:13" hidden="1">
      <c r="A1113" s="38" t="s">
        <v>90</v>
      </c>
      <c r="B1113" s="78">
        <v>41976</v>
      </c>
      <c r="C1113" s="79" t="s">
        <v>246</v>
      </c>
      <c r="D1113" s="79"/>
      <c r="E1113" s="79">
        <v>15900</v>
      </c>
      <c r="F1113" s="79">
        <v>15700</v>
      </c>
      <c r="G1113" s="79">
        <v>15800</v>
      </c>
      <c r="H1113" s="79"/>
      <c r="I1113" s="79">
        <v>-6.3E-3</v>
      </c>
      <c r="J1113" s="79"/>
      <c r="K1113" s="71">
        <f>YEAR(Accion[[#This Row],[fecha]])</f>
        <v>2014</v>
      </c>
      <c r="L1113" s="79" t="str">
        <f>IF(Accion[[#This Row],[Precio Cierre]]=MAX(Accion[Precio Cierre]),Accion[[#This Row],[Precio Cierre]],"NA")</f>
        <v>NA</v>
      </c>
      <c r="M1113" s="79" t="str">
        <f>IF(Accion[[#This Row],[Precio Cierre]]=MIN(Accion[Precio Cierre]),Accion[[#This Row],[Precio Cierre]],"NA")</f>
        <v>NA</v>
      </c>
    </row>
    <row r="1114" spans="1:13" hidden="1">
      <c r="A1114" s="38" t="s">
        <v>90</v>
      </c>
      <c r="B1114" s="78">
        <v>41975</v>
      </c>
      <c r="C1114" s="79" t="s">
        <v>247</v>
      </c>
      <c r="D1114" s="79"/>
      <c r="E1114" s="79">
        <v>16600</v>
      </c>
      <c r="F1114" s="79">
        <v>15900</v>
      </c>
      <c r="G1114" s="79">
        <v>15900</v>
      </c>
      <c r="H1114" s="79"/>
      <c r="I1114" s="79">
        <v>-3.6400000000000002E-2</v>
      </c>
      <c r="J1114" s="79"/>
      <c r="K1114" s="71">
        <f>YEAR(Accion[[#This Row],[fecha]])</f>
        <v>2014</v>
      </c>
      <c r="L1114" s="79" t="str">
        <f>IF(Accion[[#This Row],[Precio Cierre]]=MAX(Accion[Precio Cierre]),Accion[[#This Row],[Precio Cierre]],"NA")</f>
        <v>NA</v>
      </c>
      <c r="M1114" s="79" t="str">
        <f>IF(Accion[[#This Row],[Precio Cierre]]=MIN(Accion[Precio Cierre]),Accion[[#This Row],[Precio Cierre]],"NA")</f>
        <v>NA</v>
      </c>
    </row>
    <row r="1115" spans="1:13" hidden="1">
      <c r="A1115" s="38" t="s">
        <v>90</v>
      </c>
      <c r="B1115" s="78">
        <v>41974</v>
      </c>
      <c r="C1115" s="79" t="s">
        <v>248</v>
      </c>
      <c r="D1115" s="79"/>
      <c r="E1115" s="79">
        <v>16800</v>
      </c>
      <c r="F1115" s="79">
        <v>16500</v>
      </c>
      <c r="G1115" s="79">
        <v>16500</v>
      </c>
      <c r="H1115" s="79"/>
      <c r="I1115" s="79">
        <v>-2.3699999999999999E-2</v>
      </c>
      <c r="J1115" s="79"/>
      <c r="K1115" s="71">
        <f>YEAR(Accion[[#This Row],[fecha]])</f>
        <v>2014</v>
      </c>
      <c r="L1115" s="79" t="str">
        <f>IF(Accion[[#This Row],[Precio Cierre]]=MAX(Accion[Precio Cierre]),Accion[[#This Row],[Precio Cierre]],"NA")</f>
        <v>NA</v>
      </c>
      <c r="M1115" s="79" t="str">
        <f>IF(Accion[[#This Row],[Precio Cierre]]=MIN(Accion[Precio Cierre]),Accion[[#This Row],[Precio Cierre]],"NA")</f>
        <v>NA</v>
      </c>
    </row>
    <row r="1116" spans="1:13" hidden="1">
      <c r="A1116" s="38" t="s">
        <v>90</v>
      </c>
      <c r="B1116" s="78">
        <v>41971</v>
      </c>
      <c r="C1116" s="79" t="s">
        <v>249</v>
      </c>
      <c r="D1116" s="79"/>
      <c r="E1116" s="79">
        <v>16900</v>
      </c>
      <c r="F1116" s="79">
        <v>16520</v>
      </c>
      <c r="G1116" s="79">
        <v>16900</v>
      </c>
      <c r="H1116" s="79"/>
      <c r="I1116" s="79">
        <v>2.3E-2</v>
      </c>
      <c r="J1116" s="79"/>
      <c r="K1116" s="71">
        <f>YEAR(Accion[[#This Row],[fecha]])</f>
        <v>2014</v>
      </c>
      <c r="L1116" s="79" t="str">
        <f>IF(Accion[[#This Row],[Precio Cierre]]=MAX(Accion[Precio Cierre]),Accion[[#This Row],[Precio Cierre]],"NA")</f>
        <v>NA</v>
      </c>
      <c r="M1116" s="79" t="str">
        <f>IF(Accion[[#This Row],[Precio Cierre]]=MIN(Accion[Precio Cierre]),Accion[[#This Row],[Precio Cierre]],"NA")</f>
        <v>NA</v>
      </c>
    </row>
    <row r="1117" spans="1:13" hidden="1">
      <c r="A1117" s="38" t="s">
        <v>90</v>
      </c>
      <c r="B1117" s="78">
        <v>41970</v>
      </c>
      <c r="C1117" s="79" t="s">
        <v>250</v>
      </c>
      <c r="D1117" s="79"/>
      <c r="E1117" s="79">
        <v>16520</v>
      </c>
      <c r="F1117" s="79">
        <v>16500</v>
      </c>
      <c r="G1117" s="79">
        <v>16520</v>
      </c>
      <c r="H1117" s="79"/>
      <c r="I1117" s="79">
        <v>-4.7999999999999996E-3</v>
      </c>
      <c r="J1117" s="79"/>
      <c r="K1117" s="71">
        <f>YEAR(Accion[[#This Row],[fecha]])</f>
        <v>2014</v>
      </c>
      <c r="L1117" s="79" t="str">
        <f>IF(Accion[[#This Row],[Precio Cierre]]=MAX(Accion[Precio Cierre]),Accion[[#This Row],[Precio Cierre]],"NA")</f>
        <v>NA</v>
      </c>
      <c r="M1117" s="79" t="str">
        <f>IF(Accion[[#This Row],[Precio Cierre]]=MIN(Accion[Precio Cierre]),Accion[[#This Row],[Precio Cierre]],"NA")</f>
        <v>NA</v>
      </c>
    </row>
    <row r="1118" spans="1:13" hidden="1">
      <c r="A1118" s="38" t="s">
        <v>90</v>
      </c>
      <c r="B1118" s="78">
        <v>41969</v>
      </c>
      <c r="C1118" s="79" t="s">
        <v>251</v>
      </c>
      <c r="D1118" s="79"/>
      <c r="E1118" s="79">
        <v>17000</v>
      </c>
      <c r="F1118" s="79">
        <v>16600</v>
      </c>
      <c r="G1118" s="79">
        <v>16600</v>
      </c>
      <c r="H1118" s="79"/>
      <c r="I1118" s="79">
        <v>-2.35E-2</v>
      </c>
      <c r="J1118" s="79"/>
      <c r="K1118" s="71">
        <f>YEAR(Accion[[#This Row],[fecha]])</f>
        <v>2014</v>
      </c>
      <c r="L1118" s="79" t="str">
        <f>IF(Accion[[#This Row],[Precio Cierre]]=MAX(Accion[Precio Cierre]),Accion[[#This Row],[Precio Cierre]],"NA")</f>
        <v>NA</v>
      </c>
      <c r="M1118" s="79" t="str">
        <f>IF(Accion[[#This Row],[Precio Cierre]]=MIN(Accion[Precio Cierre]),Accion[[#This Row],[Precio Cierre]],"NA")</f>
        <v>NA</v>
      </c>
    </row>
    <row r="1119" spans="1:13" hidden="1">
      <c r="A1119" s="38" t="s">
        <v>90</v>
      </c>
      <c r="B1119" s="78">
        <v>41968</v>
      </c>
      <c r="C1119" s="79" t="s">
        <v>252</v>
      </c>
      <c r="D1119" s="79"/>
      <c r="E1119" s="79">
        <v>17100</v>
      </c>
      <c r="F1119" s="79">
        <v>16800</v>
      </c>
      <c r="G1119" s="79">
        <v>17000</v>
      </c>
      <c r="H1119" s="79"/>
      <c r="I1119" s="79">
        <v>-5.7999999999999996E-3</v>
      </c>
      <c r="J1119" s="79"/>
      <c r="K1119" s="71">
        <f>YEAR(Accion[[#This Row],[fecha]])</f>
        <v>2014</v>
      </c>
      <c r="L1119" s="79" t="str">
        <f>IF(Accion[[#This Row],[Precio Cierre]]=MAX(Accion[Precio Cierre]),Accion[[#This Row],[Precio Cierre]],"NA")</f>
        <v>NA</v>
      </c>
      <c r="M1119" s="79" t="str">
        <f>IF(Accion[[#This Row],[Precio Cierre]]=MIN(Accion[Precio Cierre]),Accion[[#This Row],[Precio Cierre]],"NA")</f>
        <v>NA</v>
      </c>
    </row>
    <row r="1120" spans="1:13" hidden="1">
      <c r="A1120" s="38" t="s">
        <v>90</v>
      </c>
      <c r="B1120" s="78">
        <v>41967</v>
      </c>
      <c r="C1120" s="79" t="s">
        <v>253</v>
      </c>
      <c r="D1120" s="79"/>
      <c r="E1120" s="79">
        <v>17160</v>
      </c>
      <c r="F1120" s="79">
        <v>16900</v>
      </c>
      <c r="G1120" s="79">
        <v>17100</v>
      </c>
      <c r="H1120" s="79"/>
      <c r="I1120" s="79">
        <v>-9.2999999999999992E-3</v>
      </c>
      <c r="J1120" s="79"/>
      <c r="K1120" s="71">
        <f>YEAR(Accion[[#This Row],[fecha]])</f>
        <v>2014</v>
      </c>
      <c r="L1120" s="79" t="str">
        <f>IF(Accion[[#This Row],[Precio Cierre]]=MAX(Accion[Precio Cierre]),Accion[[#This Row],[Precio Cierre]],"NA")</f>
        <v>NA</v>
      </c>
      <c r="M1120" s="79" t="str">
        <f>IF(Accion[[#This Row],[Precio Cierre]]=MIN(Accion[Precio Cierre]),Accion[[#This Row],[Precio Cierre]],"NA")</f>
        <v>NA</v>
      </c>
    </row>
    <row r="1121" spans="1:13" hidden="1">
      <c r="A1121" s="38" t="s">
        <v>90</v>
      </c>
      <c r="B1121" s="78">
        <v>41964</v>
      </c>
      <c r="C1121" s="79" t="s">
        <v>254</v>
      </c>
      <c r="D1121" s="79"/>
      <c r="E1121" s="79">
        <v>17300</v>
      </c>
      <c r="F1121" s="79">
        <v>17100</v>
      </c>
      <c r="G1121" s="79">
        <v>17260</v>
      </c>
      <c r="H1121" s="79"/>
      <c r="I1121" s="79">
        <v>-4.5999999999999999E-3</v>
      </c>
      <c r="J1121" s="79"/>
      <c r="K1121" s="71">
        <f>YEAR(Accion[[#This Row],[fecha]])</f>
        <v>2014</v>
      </c>
      <c r="L1121" s="79" t="str">
        <f>IF(Accion[[#This Row],[Precio Cierre]]=MAX(Accion[Precio Cierre]),Accion[[#This Row],[Precio Cierre]],"NA")</f>
        <v>NA</v>
      </c>
      <c r="M1121" s="79" t="str">
        <f>IF(Accion[[#This Row],[Precio Cierre]]=MIN(Accion[Precio Cierre]),Accion[[#This Row],[Precio Cierre]],"NA")</f>
        <v>NA</v>
      </c>
    </row>
    <row r="1122" spans="1:13" hidden="1">
      <c r="A1122" s="38" t="s">
        <v>90</v>
      </c>
      <c r="B1122" s="78">
        <v>41963</v>
      </c>
      <c r="C1122" s="79" t="s">
        <v>255</v>
      </c>
      <c r="D1122" s="79"/>
      <c r="E1122" s="79">
        <v>17560</v>
      </c>
      <c r="F1122" s="79">
        <v>17100</v>
      </c>
      <c r="G1122" s="79">
        <v>17340</v>
      </c>
      <c r="H1122" s="79"/>
      <c r="I1122" s="79">
        <v>5.7999999999999996E-3</v>
      </c>
      <c r="J1122" s="79"/>
      <c r="K1122" s="71">
        <f>YEAR(Accion[[#This Row],[fecha]])</f>
        <v>2014</v>
      </c>
      <c r="L1122" s="79" t="str">
        <f>IF(Accion[[#This Row],[Precio Cierre]]=MAX(Accion[Precio Cierre]),Accion[[#This Row],[Precio Cierre]],"NA")</f>
        <v>NA</v>
      </c>
      <c r="M1122" s="79" t="str">
        <f>IF(Accion[[#This Row],[Precio Cierre]]=MIN(Accion[Precio Cierre]),Accion[[#This Row],[Precio Cierre]],"NA")</f>
        <v>NA</v>
      </c>
    </row>
    <row r="1123" spans="1:13" hidden="1">
      <c r="A1123" s="38" t="s">
        <v>90</v>
      </c>
      <c r="B1123" s="78">
        <v>41962</v>
      </c>
      <c r="C1123" s="79" t="s">
        <v>256</v>
      </c>
      <c r="D1123" s="79"/>
      <c r="E1123" s="79">
        <v>17260</v>
      </c>
      <c r="F1123" s="79">
        <v>17000</v>
      </c>
      <c r="G1123" s="79">
        <v>17240</v>
      </c>
      <c r="H1123" s="79"/>
      <c r="I1123" s="79">
        <v>7.0000000000000001E-3</v>
      </c>
      <c r="J1123" s="79"/>
      <c r="K1123" s="71">
        <f>YEAR(Accion[[#This Row],[fecha]])</f>
        <v>2014</v>
      </c>
      <c r="L1123" s="79" t="str">
        <f>IF(Accion[[#This Row],[Precio Cierre]]=MAX(Accion[Precio Cierre]),Accion[[#This Row],[Precio Cierre]],"NA")</f>
        <v>NA</v>
      </c>
      <c r="M1123" s="79" t="str">
        <f>IF(Accion[[#This Row],[Precio Cierre]]=MIN(Accion[Precio Cierre]),Accion[[#This Row],[Precio Cierre]],"NA")</f>
        <v>NA</v>
      </c>
    </row>
    <row r="1124" spans="1:13" hidden="1">
      <c r="A1124" s="38" t="s">
        <v>90</v>
      </c>
      <c r="B1124" s="78">
        <v>41961</v>
      </c>
      <c r="C1124" s="79" t="s">
        <v>257</v>
      </c>
      <c r="D1124" s="79"/>
      <c r="E1124" s="79">
        <v>17620</v>
      </c>
      <c r="F1124" s="79">
        <v>17120</v>
      </c>
      <c r="G1124" s="79">
        <v>17120</v>
      </c>
      <c r="H1124" s="79"/>
      <c r="I1124" s="79">
        <v>-2.7300000000000001E-2</v>
      </c>
      <c r="J1124" s="79"/>
      <c r="K1124" s="71">
        <f>YEAR(Accion[[#This Row],[fecha]])</f>
        <v>2014</v>
      </c>
      <c r="L1124" s="79" t="str">
        <f>IF(Accion[[#This Row],[Precio Cierre]]=MAX(Accion[Precio Cierre]),Accion[[#This Row],[Precio Cierre]],"NA")</f>
        <v>NA</v>
      </c>
      <c r="M1124" s="79" t="str">
        <f>IF(Accion[[#This Row],[Precio Cierre]]=MIN(Accion[Precio Cierre]),Accion[[#This Row],[Precio Cierre]],"NA")</f>
        <v>NA</v>
      </c>
    </row>
    <row r="1125" spans="1:13" hidden="1">
      <c r="A1125" s="38" t="s">
        <v>90</v>
      </c>
      <c r="B1125" s="78">
        <v>41957</v>
      </c>
      <c r="C1125" s="79" t="s">
        <v>258</v>
      </c>
      <c r="D1125" s="79"/>
      <c r="E1125" s="79">
        <v>17660</v>
      </c>
      <c r="F1125" s="79">
        <v>17520</v>
      </c>
      <c r="G1125" s="79">
        <v>17600</v>
      </c>
      <c r="H1125" s="79"/>
      <c r="I1125" s="79">
        <v>-4.4999999999999997E-3</v>
      </c>
      <c r="J1125" s="79"/>
      <c r="K1125" s="71">
        <f>YEAR(Accion[[#This Row],[fecha]])</f>
        <v>2014</v>
      </c>
      <c r="L1125" s="79" t="str">
        <f>IF(Accion[[#This Row],[Precio Cierre]]=MAX(Accion[Precio Cierre]),Accion[[#This Row],[Precio Cierre]],"NA")</f>
        <v>NA</v>
      </c>
      <c r="M1125" s="79" t="str">
        <f>IF(Accion[[#This Row],[Precio Cierre]]=MIN(Accion[Precio Cierre]),Accion[[#This Row],[Precio Cierre]],"NA")</f>
        <v>NA</v>
      </c>
    </row>
    <row r="1126" spans="1:13" hidden="1">
      <c r="A1126" s="38" t="s">
        <v>90</v>
      </c>
      <c r="B1126" s="78">
        <v>41956</v>
      </c>
      <c r="C1126" s="79" t="s">
        <v>259</v>
      </c>
      <c r="D1126" s="79"/>
      <c r="E1126" s="79">
        <v>17900</v>
      </c>
      <c r="F1126" s="79">
        <v>17600</v>
      </c>
      <c r="G1126" s="79">
        <v>17680</v>
      </c>
      <c r="H1126" s="79"/>
      <c r="I1126" s="79">
        <v>-1.67E-2</v>
      </c>
      <c r="J1126" s="79"/>
      <c r="K1126" s="71">
        <f>YEAR(Accion[[#This Row],[fecha]])</f>
        <v>2014</v>
      </c>
      <c r="L1126" s="79" t="str">
        <f>IF(Accion[[#This Row],[Precio Cierre]]=MAX(Accion[Precio Cierre]),Accion[[#This Row],[Precio Cierre]],"NA")</f>
        <v>NA</v>
      </c>
      <c r="M1126" s="79" t="str">
        <f>IF(Accion[[#This Row],[Precio Cierre]]=MIN(Accion[Precio Cierre]),Accion[[#This Row],[Precio Cierre]],"NA")</f>
        <v>NA</v>
      </c>
    </row>
    <row r="1127" spans="1:13" hidden="1">
      <c r="A1127" s="38" t="s">
        <v>90</v>
      </c>
      <c r="B1127" s="78">
        <v>41955</v>
      </c>
      <c r="C1127" s="79" t="s">
        <v>260</v>
      </c>
      <c r="D1127" s="79"/>
      <c r="E1127" s="79">
        <v>18020</v>
      </c>
      <c r="F1127" s="79">
        <v>17900</v>
      </c>
      <c r="G1127" s="79">
        <v>17980</v>
      </c>
      <c r="H1127" s="79"/>
      <c r="I1127" s="79">
        <v>-2.2000000000000001E-3</v>
      </c>
      <c r="J1127" s="79"/>
      <c r="K1127" s="71">
        <f>YEAR(Accion[[#This Row],[fecha]])</f>
        <v>2014</v>
      </c>
      <c r="L1127" s="79" t="str">
        <f>IF(Accion[[#This Row],[Precio Cierre]]=MAX(Accion[Precio Cierre]),Accion[[#This Row],[Precio Cierre]],"NA")</f>
        <v>NA</v>
      </c>
      <c r="M1127" s="79" t="str">
        <f>IF(Accion[[#This Row],[Precio Cierre]]=MIN(Accion[Precio Cierre]),Accion[[#This Row],[Precio Cierre]],"NA")</f>
        <v>NA</v>
      </c>
    </row>
    <row r="1128" spans="1:13" hidden="1">
      <c r="A1128" s="38" t="s">
        <v>90</v>
      </c>
      <c r="B1128" s="78">
        <v>41954</v>
      </c>
      <c r="C1128" s="79" t="s">
        <v>261</v>
      </c>
      <c r="D1128" s="79"/>
      <c r="E1128" s="79">
        <v>18020</v>
      </c>
      <c r="F1128" s="79">
        <v>17900</v>
      </c>
      <c r="G1128" s="79">
        <v>18020</v>
      </c>
      <c r="H1128" s="79"/>
      <c r="I1128" s="79">
        <v>2.2000000000000001E-3</v>
      </c>
      <c r="J1128" s="79"/>
      <c r="K1128" s="71">
        <f>YEAR(Accion[[#This Row],[fecha]])</f>
        <v>2014</v>
      </c>
      <c r="L1128" s="79" t="str">
        <f>IF(Accion[[#This Row],[Precio Cierre]]=MAX(Accion[Precio Cierre]),Accion[[#This Row],[Precio Cierre]],"NA")</f>
        <v>NA</v>
      </c>
      <c r="M1128" s="79" t="str">
        <f>IF(Accion[[#This Row],[Precio Cierre]]=MIN(Accion[Precio Cierre]),Accion[[#This Row],[Precio Cierre]],"NA")</f>
        <v>NA</v>
      </c>
    </row>
    <row r="1129" spans="1:13" hidden="1">
      <c r="A1129" s="38" t="s">
        <v>90</v>
      </c>
      <c r="B1129" s="78">
        <v>41953</v>
      </c>
      <c r="C1129" s="79" t="s">
        <v>262</v>
      </c>
      <c r="D1129" s="79"/>
      <c r="E1129" s="79">
        <v>18000</v>
      </c>
      <c r="F1129" s="79">
        <v>17980</v>
      </c>
      <c r="G1129" s="79">
        <v>17980</v>
      </c>
      <c r="H1129" s="79"/>
      <c r="I1129" s="79">
        <v>7.7999999999999996E-3</v>
      </c>
      <c r="J1129" s="79"/>
      <c r="K1129" s="71">
        <f>YEAR(Accion[[#This Row],[fecha]])</f>
        <v>2014</v>
      </c>
      <c r="L1129" s="79" t="str">
        <f>IF(Accion[[#This Row],[Precio Cierre]]=MAX(Accion[Precio Cierre]),Accion[[#This Row],[Precio Cierre]],"NA")</f>
        <v>NA</v>
      </c>
      <c r="M1129" s="79" t="str">
        <f>IF(Accion[[#This Row],[Precio Cierre]]=MIN(Accion[Precio Cierre]),Accion[[#This Row],[Precio Cierre]],"NA")</f>
        <v>NA</v>
      </c>
    </row>
    <row r="1130" spans="1:13" hidden="1">
      <c r="A1130" s="38" t="s">
        <v>90</v>
      </c>
      <c r="B1130" s="78">
        <v>41950</v>
      </c>
      <c r="C1130" s="79" t="s">
        <v>263</v>
      </c>
      <c r="D1130" s="79"/>
      <c r="E1130" s="79">
        <v>18000</v>
      </c>
      <c r="F1130" s="79">
        <v>17840</v>
      </c>
      <c r="G1130" s="79">
        <v>17840</v>
      </c>
      <c r="H1130" s="79"/>
      <c r="I1130" s="79">
        <v>-8.8999999999999999E-3</v>
      </c>
      <c r="J1130" s="79"/>
      <c r="K1130" s="71">
        <f>YEAR(Accion[[#This Row],[fecha]])</f>
        <v>2014</v>
      </c>
      <c r="L1130" s="79" t="str">
        <f>IF(Accion[[#This Row],[Precio Cierre]]=MAX(Accion[Precio Cierre]),Accion[[#This Row],[Precio Cierre]],"NA")</f>
        <v>NA</v>
      </c>
      <c r="M1130" s="79" t="str">
        <f>IF(Accion[[#This Row],[Precio Cierre]]=MIN(Accion[Precio Cierre]),Accion[[#This Row],[Precio Cierre]],"NA")</f>
        <v>NA</v>
      </c>
    </row>
    <row r="1131" spans="1:13" hidden="1">
      <c r="A1131" s="38" t="s">
        <v>90</v>
      </c>
      <c r="B1131" s="78">
        <v>41949</v>
      </c>
      <c r="C1131" s="79" t="s">
        <v>264</v>
      </c>
      <c r="D1131" s="79"/>
      <c r="E1131" s="79">
        <v>18180</v>
      </c>
      <c r="F1131" s="79">
        <v>18000</v>
      </c>
      <c r="G1131" s="79">
        <v>18000</v>
      </c>
      <c r="H1131" s="79"/>
      <c r="I1131" s="79">
        <v>5.5999999999999999E-3</v>
      </c>
      <c r="J1131" s="79"/>
      <c r="K1131" s="71">
        <f>YEAR(Accion[[#This Row],[fecha]])</f>
        <v>2014</v>
      </c>
      <c r="L1131" s="79" t="str">
        <f>IF(Accion[[#This Row],[Precio Cierre]]=MAX(Accion[Precio Cierre]),Accion[[#This Row],[Precio Cierre]],"NA")</f>
        <v>NA</v>
      </c>
      <c r="M1131" s="79" t="str">
        <f>IF(Accion[[#This Row],[Precio Cierre]]=MIN(Accion[Precio Cierre]),Accion[[#This Row],[Precio Cierre]],"NA")</f>
        <v>NA</v>
      </c>
    </row>
    <row r="1132" spans="1:13" hidden="1">
      <c r="A1132" s="38" t="s">
        <v>90</v>
      </c>
      <c r="B1132" s="78">
        <v>41948</v>
      </c>
      <c r="C1132" s="79" t="s">
        <v>265</v>
      </c>
      <c r="D1132" s="79"/>
      <c r="E1132" s="79">
        <v>18040</v>
      </c>
      <c r="F1132" s="79">
        <v>17900</v>
      </c>
      <c r="G1132" s="79">
        <v>17900</v>
      </c>
      <c r="H1132" s="79"/>
      <c r="I1132" s="79">
        <v>-5.5999999999999999E-3</v>
      </c>
      <c r="J1132" s="79"/>
      <c r="K1132" s="71">
        <f>YEAR(Accion[[#This Row],[fecha]])</f>
        <v>2014</v>
      </c>
      <c r="L1132" s="79" t="str">
        <f>IF(Accion[[#This Row],[Precio Cierre]]=MAX(Accion[Precio Cierre]),Accion[[#This Row],[Precio Cierre]],"NA")</f>
        <v>NA</v>
      </c>
      <c r="M1132" s="79" t="str">
        <f>IF(Accion[[#This Row],[Precio Cierre]]=MIN(Accion[Precio Cierre]),Accion[[#This Row],[Precio Cierre]],"NA")</f>
        <v>NA</v>
      </c>
    </row>
    <row r="1133" spans="1:13" hidden="1">
      <c r="A1133" s="38" t="s">
        <v>90</v>
      </c>
      <c r="B1133" s="78">
        <v>41947</v>
      </c>
      <c r="C1133" s="79" t="s">
        <v>266</v>
      </c>
      <c r="D1133" s="79"/>
      <c r="E1133" s="79">
        <v>18400</v>
      </c>
      <c r="F1133" s="79">
        <v>18000</v>
      </c>
      <c r="G1133" s="79">
        <v>18000</v>
      </c>
      <c r="H1133" s="79"/>
      <c r="I1133" s="79">
        <v>-1.9599999999999999E-2</v>
      </c>
      <c r="J1133" s="79"/>
      <c r="K1133" s="71">
        <f>YEAR(Accion[[#This Row],[fecha]])</f>
        <v>2014</v>
      </c>
      <c r="L1133" s="79" t="str">
        <f>IF(Accion[[#This Row],[Precio Cierre]]=MAX(Accion[Precio Cierre]),Accion[[#This Row],[Precio Cierre]],"NA")</f>
        <v>NA</v>
      </c>
      <c r="M1133" s="79" t="str">
        <f>IF(Accion[[#This Row],[Precio Cierre]]=MIN(Accion[Precio Cierre]),Accion[[#This Row],[Precio Cierre]],"NA")</f>
        <v>NA</v>
      </c>
    </row>
    <row r="1134" spans="1:13" hidden="1">
      <c r="A1134" s="38" t="s">
        <v>90</v>
      </c>
      <c r="B1134" s="78">
        <v>41943</v>
      </c>
      <c r="C1134" s="79" t="s">
        <v>267</v>
      </c>
      <c r="D1134" s="79"/>
      <c r="E1134" s="79">
        <v>18500</v>
      </c>
      <c r="F1134" s="79">
        <v>18280</v>
      </c>
      <c r="G1134" s="79">
        <v>18360</v>
      </c>
      <c r="H1134" s="79"/>
      <c r="I1134" s="79">
        <v>-1.0800000000000001E-2</v>
      </c>
      <c r="J1134" s="79"/>
      <c r="K1134" s="71">
        <f>YEAR(Accion[[#This Row],[fecha]])</f>
        <v>2014</v>
      </c>
      <c r="L1134" s="79" t="str">
        <f>IF(Accion[[#This Row],[Precio Cierre]]=MAX(Accion[Precio Cierre]),Accion[[#This Row],[Precio Cierre]],"NA")</f>
        <v>NA</v>
      </c>
      <c r="M1134" s="79" t="str">
        <f>IF(Accion[[#This Row],[Precio Cierre]]=MIN(Accion[Precio Cierre]),Accion[[#This Row],[Precio Cierre]],"NA")</f>
        <v>NA</v>
      </c>
    </row>
    <row r="1135" spans="1:13" hidden="1">
      <c r="A1135" s="38" t="s">
        <v>90</v>
      </c>
      <c r="B1135" s="78">
        <v>41942</v>
      </c>
      <c r="C1135" s="79" t="s">
        <v>268</v>
      </c>
      <c r="D1135" s="79"/>
      <c r="E1135" s="79">
        <v>18560</v>
      </c>
      <c r="F1135" s="79">
        <v>17600</v>
      </c>
      <c r="G1135" s="79">
        <v>18560</v>
      </c>
      <c r="H1135" s="79"/>
      <c r="I1135" s="79">
        <v>5.45E-2</v>
      </c>
      <c r="J1135" s="79"/>
      <c r="K1135" s="71">
        <f>YEAR(Accion[[#This Row],[fecha]])</f>
        <v>2014</v>
      </c>
      <c r="L1135" s="79" t="str">
        <f>IF(Accion[[#This Row],[Precio Cierre]]=MAX(Accion[Precio Cierre]),Accion[[#This Row],[Precio Cierre]],"NA")</f>
        <v>NA</v>
      </c>
      <c r="M1135" s="79" t="str">
        <f>IF(Accion[[#This Row],[Precio Cierre]]=MIN(Accion[Precio Cierre]),Accion[[#This Row],[Precio Cierre]],"NA")</f>
        <v>NA</v>
      </c>
    </row>
    <row r="1136" spans="1:13" hidden="1">
      <c r="A1136" s="38" t="s">
        <v>90</v>
      </c>
      <c r="B1136" s="78">
        <v>41941</v>
      </c>
      <c r="C1136" s="79" t="s">
        <v>269</v>
      </c>
      <c r="D1136" s="79"/>
      <c r="E1136" s="79">
        <v>17800</v>
      </c>
      <c r="F1136" s="79">
        <v>17600</v>
      </c>
      <c r="G1136" s="79">
        <v>17600</v>
      </c>
      <c r="H1136" s="79"/>
      <c r="I1136" s="79">
        <v>-1.12E-2</v>
      </c>
      <c r="J1136" s="79"/>
      <c r="K1136" s="71">
        <f>YEAR(Accion[[#This Row],[fecha]])</f>
        <v>2014</v>
      </c>
      <c r="L1136" s="79" t="str">
        <f>IF(Accion[[#This Row],[Precio Cierre]]=MAX(Accion[Precio Cierre]),Accion[[#This Row],[Precio Cierre]],"NA")</f>
        <v>NA</v>
      </c>
      <c r="M1136" s="79" t="str">
        <f>IF(Accion[[#This Row],[Precio Cierre]]=MIN(Accion[Precio Cierre]),Accion[[#This Row],[Precio Cierre]],"NA")</f>
        <v>NA</v>
      </c>
    </row>
    <row r="1137" spans="1:13" hidden="1">
      <c r="A1137" s="38" t="s">
        <v>90</v>
      </c>
      <c r="B1137" s="78">
        <v>41940</v>
      </c>
      <c r="C1137" s="79" t="s">
        <v>270</v>
      </c>
      <c r="D1137" s="79"/>
      <c r="E1137" s="79">
        <v>17800</v>
      </c>
      <c r="F1137" s="79">
        <v>17660</v>
      </c>
      <c r="G1137" s="79">
        <v>17800</v>
      </c>
      <c r="H1137" s="79"/>
      <c r="I1137" s="79">
        <v>0</v>
      </c>
      <c r="J1137" s="79"/>
      <c r="K1137" s="71">
        <f>YEAR(Accion[[#This Row],[fecha]])</f>
        <v>2014</v>
      </c>
      <c r="L1137" s="79" t="str">
        <f>IF(Accion[[#This Row],[Precio Cierre]]=MAX(Accion[Precio Cierre]),Accion[[#This Row],[Precio Cierre]],"NA")</f>
        <v>NA</v>
      </c>
      <c r="M1137" s="79" t="str">
        <f>IF(Accion[[#This Row],[Precio Cierre]]=MIN(Accion[Precio Cierre]),Accion[[#This Row],[Precio Cierre]],"NA")</f>
        <v>NA</v>
      </c>
    </row>
    <row r="1138" spans="1:13" hidden="1">
      <c r="A1138" s="38" t="s">
        <v>90</v>
      </c>
      <c r="B1138" s="78">
        <v>41939</v>
      </c>
      <c r="C1138" s="79" t="s">
        <v>271</v>
      </c>
      <c r="D1138" s="79"/>
      <c r="E1138" s="79">
        <v>17840</v>
      </c>
      <c r="F1138" s="79">
        <v>17640</v>
      </c>
      <c r="G1138" s="79">
        <v>17800</v>
      </c>
      <c r="H1138" s="79"/>
      <c r="I1138" s="79">
        <v>-5.5999999999999999E-3</v>
      </c>
      <c r="J1138" s="79"/>
      <c r="K1138" s="71">
        <f>YEAR(Accion[[#This Row],[fecha]])</f>
        <v>2014</v>
      </c>
      <c r="L1138" s="79" t="str">
        <f>IF(Accion[[#This Row],[Precio Cierre]]=MAX(Accion[Precio Cierre]),Accion[[#This Row],[Precio Cierre]],"NA")</f>
        <v>NA</v>
      </c>
      <c r="M1138" s="79" t="str">
        <f>IF(Accion[[#This Row],[Precio Cierre]]=MIN(Accion[Precio Cierre]),Accion[[#This Row],[Precio Cierre]],"NA")</f>
        <v>NA</v>
      </c>
    </row>
    <row r="1139" spans="1:13" hidden="1">
      <c r="A1139" s="38" t="s">
        <v>90</v>
      </c>
      <c r="B1139" s="78">
        <v>41936</v>
      </c>
      <c r="C1139" s="79" t="s">
        <v>272</v>
      </c>
      <c r="D1139" s="79"/>
      <c r="E1139" s="79">
        <v>17900</v>
      </c>
      <c r="F1139" s="79">
        <v>17820</v>
      </c>
      <c r="G1139" s="79">
        <v>17900</v>
      </c>
      <c r="H1139" s="79"/>
      <c r="I1139" s="79">
        <v>1.1000000000000001E-3</v>
      </c>
      <c r="J1139" s="79"/>
      <c r="K1139" s="71">
        <f>YEAR(Accion[[#This Row],[fecha]])</f>
        <v>2014</v>
      </c>
      <c r="L1139" s="79" t="str">
        <f>IF(Accion[[#This Row],[Precio Cierre]]=MAX(Accion[Precio Cierre]),Accion[[#This Row],[Precio Cierre]],"NA")</f>
        <v>NA</v>
      </c>
      <c r="M1139" s="79" t="str">
        <f>IF(Accion[[#This Row],[Precio Cierre]]=MIN(Accion[Precio Cierre]),Accion[[#This Row],[Precio Cierre]],"NA")</f>
        <v>NA</v>
      </c>
    </row>
    <row r="1140" spans="1:13" hidden="1">
      <c r="A1140" s="38" t="s">
        <v>90</v>
      </c>
      <c r="B1140" s="78">
        <v>41935</v>
      </c>
      <c r="C1140" s="79" t="s">
        <v>273</v>
      </c>
      <c r="D1140" s="79"/>
      <c r="E1140" s="79">
        <v>17900</v>
      </c>
      <c r="F1140" s="79">
        <v>17600</v>
      </c>
      <c r="G1140" s="79">
        <v>17880</v>
      </c>
      <c r="H1140" s="79"/>
      <c r="I1140" s="79">
        <v>1.3599999999999999E-2</v>
      </c>
      <c r="J1140" s="79"/>
      <c r="K1140" s="71">
        <f>YEAR(Accion[[#This Row],[fecha]])</f>
        <v>2014</v>
      </c>
      <c r="L1140" s="79" t="str">
        <f>IF(Accion[[#This Row],[Precio Cierre]]=MAX(Accion[Precio Cierre]),Accion[[#This Row],[Precio Cierre]],"NA")</f>
        <v>NA</v>
      </c>
      <c r="M1140" s="79" t="str">
        <f>IF(Accion[[#This Row],[Precio Cierre]]=MIN(Accion[Precio Cierre]),Accion[[#This Row],[Precio Cierre]],"NA")</f>
        <v>NA</v>
      </c>
    </row>
    <row r="1141" spans="1:13" hidden="1">
      <c r="A1141" s="38" t="s">
        <v>90</v>
      </c>
      <c r="B1141" s="78">
        <v>41934</v>
      </c>
      <c r="C1141" s="79" t="s">
        <v>274</v>
      </c>
      <c r="D1141" s="79"/>
      <c r="E1141" s="79">
        <v>17820</v>
      </c>
      <c r="F1141" s="79">
        <v>17640</v>
      </c>
      <c r="G1141" s="79">
        <v>17640</v>
      </c>
      <c r="H1141" s="79"/>
      <c r="I1141" s="79">
        <v>-2.5399999999999999E-2</v>
      </c>
      <c r="J1141" s="79"/>
      <c r="K1141" s="71">
        <f>YEAR(Accion[[#This Row],[fecha]])</f>
        <v>2014</v>
      </c>
      <c r="L1141" s="79" t="str">
        <f>IF(Accion[[#This Row],[Precio Cierre]]=MAX(Accion[Precio Cierre]),Accion[[#This Row],[Precio Cierre]],"NA")</f>
        <v>NA</v>
      </c>
      <c r="M1141" s="79" t="str">
        <f>IF(Accion[[#This Row],[Precio Cierre]]=MIN(Accion[Precio Cierre]),Accion[[#This Row],[Precio Cierre]],"NA")</f>
        <v>NA</v>
      </c>
    </row>
    <row r="1142" spans="1:13" hidden="1">
      <c r="A1142" s="38" t="s">
        <v>90</v>
      </c>
      <c r="B1142" s="78">
        <v>41933</v>
      </c>
      <c r="C1142" s="79" t="s">
        <v>275</v>
      </c>
      <c r="D1142" s="79"/>
      <c r="E1142" s="79">
        <v>18100</v>
      </c>
      <c r="F1142" s="79">
        <v>18000</v>
      </c>
      <c r="G1142" s="79">
        <v>18100</v>
      </c>
      <c r="H1142" s="79"/>
      <c r="I1142" s="79">
        <v>5.5999999999999999E-3</v>
      </c>
      <c r="J1142" s="79"/>
      <c r="K1142" s="71">
        <f>YEAR(Accion[[#This Row],[fecha]])</f>
        <v>2014</v>
      </c>
      <c r="L1142" s="79" t="str">
        <f>IF(Accion[[#This Row],[Precio Cierre]]=MAX(Accion[Precio Cierre]),Accion[[#This Row],[Precio Cierre]],"NA")</f>
        <v>NA</v>
      </c>
      <c r="M1142" s="79" t="str">
        <f>IF(Accion[[#This Row],[Precio Cierre]]=MIN(Accion[Precio Cierre]),Accion[[#This Row],[Precio Cierre]],"NA")</f>
        <v>NA</v>
      </c>
    </row>
    <row r="1143" spans="1:13" hidden="1">
      <c r="A1143" s="38" t="s">
        <v>90</v>
      </c>
      <c r="B1143" s="78">
        <v>41932</v>
      </c>
      <c r="C1143" s="79" t="s">
        <v>276</v>
      </c>
      <c r="D1143" s="79"/>
      <c r="E1143" s="79">
        <v>18660</v>
      </c>
      <c r="F1143" s="79">
        <v>18000</v>
      </c>
      <c r="G1143" s="79">
        <v>18000</v>
      </c>
      <c r="H1143" s="79"/>
      <c r="I1143" s="79">
        <v>-2.2800000000000001E-2</v>
      </c>
      <c r="J1143" s="79"/>
      <c r="K1143" s="71">
        <f>YEAR(Accion[[#This Row],[fecha]])</f>
        <v>2014</v>
      </c>
      <c r="L1143" s="79" t="str">
        <f>IF(Accion[[#This Row],[Precio Cierre]]=MAX(Accion[Precio Cierre]),Accion[[#This Row],[Precio Cierre]],"NA")</f>
        <v>NA</v>
      </c>
      <c r="M1143" s="79" t="str">
        <f>IF(Accion[[#This Row],[Precio Cierre]]=MIN(Accion[Precio Cierre]),Accion[[#This Row],[Precio Cierre]],"NA")</f>
        <v>NA</v>
      </c>
    </row>
    <row r="1144" spans="1:13" hidden="1">
      <c r="A1144" s="38" t="s">
        <v>90</v>
      </c>
      <c r="B1144" s="78">
        <v>41929</v>
      </c>
      <c r="C1144" s="79" t="s">
        <v>277</v>
      </c>
      <c r="D1144" s="79"/>
      <c r="E1144" s="79">
        <v>18500</v>
      </c>
      <c r="F1144" s="79">
        <v>17900</v>
      </c>
      <c r="G1144" s="79">
        <v>18420</v>
      </c>
      <c r="H1144" s="79"/>
      <c r="I1144" s="79">
        <v>4.07E-2</v>
      </c>
      <c r="J1144" s="79"/>
      <c r="K1144" s="71">
        <f>YEAR(Accion[[#This Row],[fecha]])</f>
        <v>2014</v>
      </c>
      <c r="L1144" s="79" t="str">
        <f>IF(Accion[[#This Row],[Precio Cierre]]=MAX(Accion[Precio Cierre]),Accion[[#This Row],[Precio Cierre]],"NA")</f>
        <v>NA</v>
      </c>
      <c r="M1144" s="79" t="str">
        <f>IF(Accion[[#This Row],[Precio Cierre]]=MIN(Accion[Precio Cierre]),Accion[[#This Row],[Precio Cierre]],"NA")</f>
        <v>NA</v>
      </c>
    </row>
    <row r="1145" spans="1:13" hidden="1">
      <c r="A1145" s="38" t="s">
        <v>90</v>
      </c>
      <c r="B1145" s="78">
        <v>41928</v>
      </c>
      <c r="C1145" s="79" t="s">
        <v>278</v>
      </c>
      <c r="D1145" s="79"/>
      <c r="E1145" s="79">
        <v>18100</v>
      </c>
      <c r="F1145" s="79">
        <v>17700</v>
      </c>
      <c r="G1145" s="79">
        <v>17700</v>
      </c>
      <c r="H1145" s="79"/>
      <c r="I1145" s="79">
        <v>-4.4999999999999997E-3</v>
      </c>
      <c r="J1145" s="79"/>
      <c r="K1145" s="71">
        <f>YEAR(Accion[[#This Row],[fecha]])</f>
        <v>2014</v>
      </c>
      <c r="L1145" s="79" t="str">
        <f>IF(Accion[[#This Row],[Precio Cierre]]=MAX(Accion[Precio Cierre]),Accion[[#This Row],[Precio Cierre]],"NA")</f>
        <v>NA</v>
      </c>
      <c r="M1145" s="79" t="str">
        <f>IF(Accion[[#This Row],[Precio Cierre]]=MIN(Accion[Precio Cierre]),Accion[[#This Row],[Precio Cierre]],"NA")</f>
        <v>NA</v>
      </c>
    </row>
    <row r="1146" spans="1:13" hidden="1">
      <c r="A1146" s="38" t="s">
        <v>90</v>
      </c>
      <c r="B1146" s="78">
        <v>41927</v>
      </c>
      <c r="C1146" s="79" t="s">
        <v>279</v>
      </c>
      <c r="D1146" s="79"/>
      <c r="E1146" s="79">
        <v>17780</v>
      </c>
      <c r="F1146" s="79">
        <v>17500</v>
      </c>
      <c r="G1146" s="79">
        <v>17780</v>
      </c>
      <c r="H1146" s="79"/>
      <c r="I1146" s="79">
        <v>-1.1000000000000001E-3</v>
      </c>
      <c r="J1146" s="79"/>
      <c r="K1146" s="71">
        <f>YEAR(Accion[[#This Row],[fecha]])</f>
        <v>2014</v>
      </c>
      <c r="L1146" s="79" t="str">
        <f>IF(Accion[[#This Row],[Precio Cierre]]=MAX(Accion[Precio Cierre]),Accion[[#This Row],[Precio Cierre]],"NA")</f>
        <v>NA</v>
      </c>
      <c r="M1146" s="79" t="str">
        <f>IF(Accion[[#This Row],[Precio Cierre]]=MIN(Accion[Precio Cierre]),Accion[[#This Row],[Precio Cierre]],"NA")</f>
        <v>NA</v>
      </c>
    </row>
    <row r="1147" spans="1:13" hidden="1">
      <c r="A1147" s="38" t="s">
        <v>90</v>
      </c>
      <c r="B1147" s="78">
        <v>41926</v>
      </c>
      <c r="C1147" s="79" t="s">
        <v>280</v>
      </c>
      <c r="D1147" s="79"/>
      <c r="E1147" s="79">
        <v>18160</v>
      </c>
      <c r="F1147" s="79">
        <v>17420</v>
      </c>
      <c r="G1147" s="79">
        <v>17800</v>
      </c>
      <c r="H1147" s="79"/>
      <c r="I1147" s="79">
        <v>9.1000000000000004E-3</v>
      </c>
      <c r="J1147" s="79"/>
      <c r="K1147" s="71">
        <f>YEAR(Accion[[#This Row],[fecha]])</f>
        <v>2014</v>
      </c>
      <c r="L1147" s="79" t="str">
        <f>IF(Accion[[#This Row],[Precio Cierre]]=MAX(Accion[Precio Cierre]),Accion[[#This Row],[Precio Cierre]],"NA")</f>
        <v>NA</v>
      </c>
      <c r="M1147" s="79" t="str">
        <f>IF(Accion[[#This Row],[Precio Cierre]]=MIN(Accion[Precio Cierre]),Accion[[#This Row],[Precio Cierre]],"NA")</f>
        <v>NA</v>
      </c>
    </row>
    <row r="1148" spans="1:13" hidden="1">
      <c r="A1148" s="38" t="s">
        <v>90</v>
      </c>
      <c r="B1148" s="78">
        <v>41922</v>
      </c>
      <c r="C1148" s="79" t="s">
        <v>281</v>
      </c>
      <c r="D1148" s="79"/>
      <c r="E1148" s="79">
        <v>18000</v>
      </c>
      <c r="F1148" s="79">
        <v>17640</v>
      </c>
      <c r="G1148" s="79">
        <v>17640</v>
      </c>
      <c r="H1148" s="79"/>
      <c r="I1148" s="79">
        <v>-2.5399999999999999E-2</v>
      </c>
      <c r="J1148" s="79"/>
      <c r="K1148" s="71">
        <f>YEAR(Accion[[#This Row],[fecha]])</f>
        <v>2014</v>
      </c>
      <c r="L1148" s="79" t="str">
        <f>IF(Accion[[#This Row],[Precio Cierre]]=MAX(Accion[Precio Cierre]),Accion[[#This Row],[Precio Cierre]],"NA")</f>
        <v>NA</v>
      </c>
      <c r="M1148" s="79" t="str">
        <f>IF(Accion[[#This Row],[Precio Cierre]]=MIN(Accion[Precio Cierre]),Accion[[#This Row],[Precio Cierre]],"NA")</f>
        <v>NA</v>
      </c>
    </row>
    <row r="1149" spans="1:13" hidden="1">
      <c r="A1149" s="38" t="s">
        <v>90</v>
      </c>
      <c r="B1149" s="78">
        <v>41921</v>
      </c>
      <c r="C1149" s="79" t="s">
        <v>282</v>
      </c>
      <c r="D1149" s="79"/>
      <c r="E1149" s="79">
        <v>18180</v>
      </c>
      <c r="F1149" s="79">
        <v>18000</v>
      </c>
      <c r="G1149" s="79">
        <v>18100</v>
      </c>
      <c r="H1149" s="79"/>
      <c r="I1149" s="79">
        <v>5.5999999999999999E-3</v>
      </c>
      <c r="J1149" s="79"/>
      <c r="K1149" s="71">
        <f>YEAR(Accion[[#This Row],[fecha]])</f>
        <v>2014</v>
      </c>
      <c r="L1149" s="79" t="str">
        <f>IF(Accion[[#This Row],[Precio Cierre]]=MAX(Accion[Precio Cierre]),Accion[[#This Row],[Precio Cierre]],"NA")</f>
        <v>NA</v>
      </c>
      <c r="M1149" s="79" t="str">
        <f>IF(Accion[[#This Row],[Precio Cierre]]=MIN(Accion[Precio Cierre]),Accion[[#This Row],[Precio Cierre]],"NA")</f>
        <v>NA</v>
      </c>
    </row>
    <row r="1150" spans="1:13" hidden="1">
      <c r="A1150" s="38" t="s">
        <v>90</v>
      </c>
      <c r="B1150" s="78">
        <v>41920</v>
      </c>
      <c r="C1150" s="79" t="s">
        <v>283</v>
      </c>
      <c r="D1150" s="79"/>
      <c r="E1150" s="79">
        <v>18000</v>
      </c>
      <c r="F1150" s="79">
        <v>17800</v>
      </c>
      <c r="G1150" s="79">
        <v>18000</v>
      </c>
      <c r="H1150" s="79"/>
      <c r="I1150" s="79">
        <v>0</v>
      </c>
      <c r="J1150" s="79"/>
      <c r="K1150" s="71">
        <f>YEAR(Accion[[#This Row],[fecha]])</f>
        <v>2014</v>
      </c>
      <c r="L1150" s="79" t="str">
        <f>IF(Accion[[#This Row],[Precio Cierre]]=MAX(Accion[Precio Cierre]),Accion[[#This Row],[Precio Cierre]],"NA")</f>
        <v>NA</v>
      </c>
      <c r="M1150" s="79" t="str">
        <f>IF(Accion[[#This Row],[Precio Cierre]]=MIN(Accion[Precio Cierre]),Accion[[#This Row],[Precio Cierre]],"NA")</f>
        <v>NA</v>
      </c>
    </row>
    <row r="1151" spans="1:13" hidden="1">
      <c r="A1151" s="38" t="s">
        <v>90</v>
      </c>
      <c r="B1151" s="78">
        <v>41919</v>
      </c>
      <c r="C1151" s="79" t="s">
        <v>284</v>
      </c>
      <c r="D1151" s="79"/>
      <c r="E1151" s="79">
        <v>18060</v>
      </c>
      <c r="F1151" s="79">
        <v>17960</v>
      </c>
      <c r="G1151" s="79">
        <v>18000</v>
      </c>
      <c r="H1151" s="79"/>
      <c r="I1151" s="79">
        <v>-5.4999999999999997E-3</v>
      </c>
      <c r="J1151" s="79"/>
      <c r="K1151" s="71">
        <f>YEAR(Accion[[#This Row],[fecha]])</f>
        <v>2014</v>
      </c>
      <c r="L1151" s="79" t="str">
        <f>IF(Accion[[#This Row],[Precio Cierre]]=MAX(Accion[Precio Cierre]),Accion[[#This Row],[Precio Cierre]],"NA")</f>
        <v>NA</v>
      </c>
      <c r="M1151" s="79" t="str">
        <f>IF(Accion[[#This Row],[Precio Cierre]]=MIN(Accion[Precio Cierre]),Accion[[#This Row],[Precio Cierre]],"NA")</f>
        <v>NA</v>
      </c>
    </row>
    <row r="1152" spans="1:13" hidden="1">
      <c r="A1152" s="38" t="s">
        <v>90</v>
      </c>
      <c r="B1152" s="78">
        <v>41918</v>
      </c>
      <c r="C1152" s="79" t="s">
        <v>285</v>
      </c>
      <c r="D1152" s="79"/>
      <c r="E1152" s="79">
        <v>18200</v>
      </c>
      <c r="F1152" s="79">
        <v>18000</v>
      </c>
      <c r="G1152" s="79">
        <v>18100</v>
      </c>
      <c r="H1152" s="79"/>
      <c r="I1152" s="79">
        <v>1.6899999999999998E-2</v>
      </c>
      <c r="J1152" s="79"/>
      <c r="K1152" s="71">
        <f>YEAR(Accion[[#This Row],[fecha]])</f>
        <v>2014</v>
      </c>
      <c r="L1152" s="79" t="str">
        <f>IF(Accion[[#This Row],[Precio Cierre]]=MAX(Accion[Precio Cierre]),Accion[[#This Row],[Precio Cierre]],"NA")</f>
        <v>NA</v>
      </c>
      <c r="M1152" s="79" t="str">
        <f>IF(Accion[[#This Row],[Precio Cierre]]=MIN(Accion[Precio Cierre]),Accion[[#This Row],[Precio Cierre]],"NA")</f>
        <v>NA</v>
      </c>
    </row>
    <row r="1153" spans="1:13" hidden="1">
      <c r="A1153" s="38" t="s">
        <v>90</v>
      </c>
      <c r="B1153" s="78">
        <v>41915</v>
      </c>
      <c r="C1153" s="79" t="s">
        <v>286</v>
      </c>
      <c r="D1153" s="79"/>
      <c r="E1153" s="79">
        <v>18160</v>
      </c>
      <c r="F1153" s="79">
        <v>17800</v>
      </c>
      <c r="G1153" s="79">
        <v>17800</v>
      </c>
      <c r="H1153" s="79"/>
      <c r="I1153" s="79">
        <v>4.4999999999999997E-3</v>
      </c>
      <c r="J1153" s="79"/>
      <c r="K1153" s="71">
        <f>YEAR(Accion[[#This Row],[fecha]])</f>
        <v>2014</v>
      </c>
      <c r="L1153" s="79" t="str">
        <f>IF(Accion[[#This Row],[Precio Cierre]]=MAX(Accion[Precio Cierre]),Accion[[#This Row],[Precio Cierre]],"NA")</f>
        <v>NA</v>
      </c>
      <c r="M1153" s="79" t="str">
        <f>IF(Accion[[#This Row],[Precio Cierre]]=MIN(Accion[Precio Cierre]),Accion[[#This Row],[Precio Cierre]],"NA")</f>
        <v>NA</v>
      </c>
    </row>
    <row r="1154" spans="1:13" hidden="1">
      <c r="A1154" s="38" t="s">
        <v>90</v>
      </c>
      <c r="B1154" s="78">
        <v>41914</v>
      </c>
      <c r="C1154" s="79" t="s">
        <v>287</v>
      </c>
      <c r="D1154" s="79"/>
      <c r="E1154" s="79">
        <v>18000</v>
      </c>
      <c r="F1154" s="79">
        <v>17640</v>
      </c>
      <c r="G1154" s="79">
        <v>17720</v>
      </c>
      <c r="H1154" s="79"/>
      <c r="I1154" s="79">
        <v>-1.01E-2</v>
      </c>
      <c r="J1154" s="79"/>
      <c r="K1154" s="71">
        <f>YEAR(Accion[[#This Row],[fecha]])</f>
        <v>2014</v>
      </c>
      <c r="L1154" s="79" t="str">
        <f>IF(Accion[[#This Row],[Precio Cierre]]=MAX(Accion[Precio Cierre]),Accion[[#This Row],[Precio Cierre]],"NA")</f>
        <v>NA</v>
      </c>
      <c r="M1154" s="79" t="str">
        <f>IF(Accion[[#This Row],[Precio Cierre]]=MIN(Accion[Precio Cierre]),Accion[[#This Row],[Precio Cierre]],"NA")</f>
        <v>NA</v>
      </c>
    </row>
    <row r="1155" spans="1:13" hidden="1">
      <c r="A1155" s="38" t="s">
        <v>90</v>
      </c>
      <c r="B1155" s="78">
        <v>41913</v>
      </c>
      <c r="C1155" s="79" t="s">
        <v>288</v>
      </c>
      <c r="D1155" s="79"/>
      <c r="E1155" s="79">
        <v>18200</v>
      </c>
      <c r="F1155" s="79">
        <v>17900</v>
      </c>
      <c r="G1155" s="79">
        <v>17900</v>
      </c>
      <c r="H1155" s="79"/>
      <c r="I1155" s="79">
        <v>-5.5999999999999999E-3</v>
      </c>
      <c r="J1155" s="79"/>
      <c r="K1155" s="71">
        <f>YEAR(Accion[[#This Row],[fecha]])</f>
        <v>2014</v>
      </c>
      <c r="L1155" s="79" t="str">
        <f>IF(Accion[[#This Row],[Precio Cierre]]=MAX(Accion[Precio Cierre]),Accion[[#This Row],[Precio Cierre]],"NA")</f>
        <v>NA</v>
      </c>
      <c r="M1155" s="79" t="str">
        <f>IF(Accion[[#This Row],[Precio Cierre]]=MIN(Accion[Precio Cierre]),Accion[[#This Row],[Precio Cierre]],"NA")</f>
        <v>NA</v>
      </c>
    </row>
    <row r="1156" spans="1:13" hidden="1">
      <c r="A1156" s="38" t="s">
        <v>90</v>
      </c>
      <c r="B1156" s="78">
        <v>41912</v>
      </c>
      <c r="C1156" s="79" t="s">
        <v>289</v>
      </c>
      <c r="D1156" s="79"/>
      <c r="E1156" s="79">
        <v>18280</v>
      </c>
      <c r="F1156" s="79">
        <v>17560</v>
      </c>
      <c r="G1156" s="79">
        <v>18000</v>
      </c>
      <c r="H1156" s="79"/>
      <c r="I1156" s="79">
        <v>1.6899999999999998E-2</v>
      </c>
      <c r="J1156" s="79"/>
      <c r="K1156" s="71">
        <f>YEAR(Accion[[#This Row],[fecha]])</f>
        <v>2014</v>
      </c>
      <c r="L1156" s="79" t="str">
        <f>IF(Accion[[#This Row],[Precio Cierre]]=MAX(Accion[Precio Cierre]),Accion[[#This Row],[Precio Cierre]],"NA")</f>
        <v>NA</v>
      </c>
      <c r="M1156" s="79" t="str">
        <f>IF(Accion[[#This Row],[Precio Cierre]]=MIN(Accion[Precio Cierre]),Accion[[#This Row],[Precio Cierre]],"NA")</f>
        <v>NA</v>
      </c>
    </row>
    <row r="1157" spans="1:13" hidden="1">
      <c r="A1157" s="38" t="s">
        <v>90</v>
      </c>
      <c r="B1157" s="78">
        <v>41911</v>
      </c>
      <c r="C1157" s="79" t="s">
        <v>290</v>
      </c>
      <c r="D1157" s="79"/>
      <c r="E1157" s="79">
        <v>17720</v>
      </c>
      <c r="F1157" s="79">
        <v>17600</v>
      </c>
      <c r="G1157" s="79">
        <v>17700</v>
      </c>
      <c r="H1157" s="79"/>
      <c r="I1157" s="79">
        <v>6.7999999999999996E-3</v>
      </c>
      <c r="J1157" s="79"/>
      <c r="K1157" s="71">
        <f>YEAR(Accion[[#This Row],[fecha]])</f>
        <v>2014</v>
      </c>
      <c r="L1157" s="79" t="str">
        <f>IF(Accion[[#This Row],[Precio Cierre]]=MAX(Accion[Precio Cierre]),Accion[[#This Row],[Precio Cierre]],"NA")</f>
        <v>NA</v>
      </c>
      <c r="M1157" s="79" t="str">
        <f>IF(Accion[[#This Row],[Precio Cierre]]=MIN(Accion[Precio Cierre]),Accion[[#This Row],[Precio Cierre]],"NA")</f>
        <v>NA</v>
      </c>
    </row>
    <row r="1158" spans="1:13" hidden="1">
      <c r="A1158" s="38" t="s">
        <v>90</v>
      </c>
      <c r="B1158" s="78">
        <v>41908</v>
      </c>
      <c r="C1158" s="79" t="s">
        <v>291</v>
      </c>
      <c r="D1158" s="79"/>
      <c r="E1158" s="79">
        <v>17700</v>
      </c>
      <c r="F1158" s="79">
        <v>17580</v>
      </c>
      <c r="G1158" s="79">
        <v>17580</v>
      </c>
      <c r="H1158" s="79"/>
      <c r="I1158" s="79">
        <v>4.5999999999999999E-3</v>
      </c>
      <c r="J1158" s="79"/>
      <c r="K1158" s="71">
        <f>YEAR(Accion[[#This Row],[fecha]])</f>
        <v>2014</v>
      </c>
      <c r="L1158" s="79" t="str">
        <f>IF(Accion[[#This Row],[Precio Cierre]]=MAX(Accion[Precio Cierre]),Accion[[#This Row],[Precio Cierre]],"NA")</f>
        <v>NA</v>
      </c>
      <c r="M1158" s="79" t="str">
        <f>IF(Accion[[#This Row],[Precio Cierre]]=MIN(Accion[Precio Cierre]),Accion[[#This Row],[Precio Cierre]],"NA")</f>
        <v>NA</v>
      </c>
    </row>
    <row r="1159" spans="1:13" hidden="1">
      <c r="A1159" s="38" t="s">
        <v>90</v>
      </c>
      <c r="B1159" s="78">
        <v>41907</v>
      </c>
      <c r="C1159" s="79" t="s">
        <v>292</v>
      </c>
      <c r="D1159" s="79"/>
      <c r="E1159" s="79">
        <v>17840</v>
      </c>
      <c r="F1159" s="79">
        <v>17500</v>
      </c>
      <c r="G1159" s="79">
        <v>17500</v>
      </c>
      <c r="H1159" s="79"/>
      <c r="I1159" s="79">
        <v>-1.7999999999999999E-2</v>
      </c>
      <c r="J1159" s="79"/>
      <c r="K1159" s="71">
        <f>YEAR(Accion[[#This Row],[fecha]])</f>
        <v>2014</v>
      </c>
      <c r="L1159" s="79" t="str">
        <f>IF(Accion[[#This Row],[Precio Cierre]]=MAX(Accion[Precio Cierre]),Accion[[#This Row],[Precio Cierre]],"NA")</f>
        <v>NA</v>
      </c>
      <c r="M1159" s="79" t="str">
        <f>IF(Accion[[#This Row],[Precio Cierre]]=MIN(Accion[Precio Cierre]),Accion[[#This Row],[Precio Cierre]],"NA")</f>
        <v>NA</v>
      </c>
    </row>
    <row r="1160" spans="1:13" hidden="1">
      <c r="A1160" s="38" t="s">
        <v>90</v>
      </c>
      <c r="B1160" s="78">
        <v>41906</v>
      </c>
      <c r="C1160" s="79" t="s">
        <v>293</v>
      </c>
      <c r="D1160" s="79"/>
      <c r="E1160" s="79">
        <v>18440</v>
      </c>
      <c r="F1160" s="79">
        <v>17820</v>
      </c>
      <c r="G1160" s="79">
        <v>17820</v>
      </c>
      <c r="H1160" s="79"/>
      <c r="I1160" s="79">
        <v>-2.6200000000000001E-2</v>
      </c>
      <c r="J1160" s="79"/>
      <c r="K1160" s="71">
        <f>YEAR(Accion[[#This Row],[fecha]])</f>
        <v>2014</v>
      </c>
      <c r="L1160" s="79" t="str">
        <f>IF(Accion[[#This Row],[Precio Cierre]]=MAX(Accion[Precio Cierre]),Accion[[#This Row],[Precio Cierre]],"NA")</f>
        <v>NA</v>
      </c>
      <c r="M1160" s="79" t="str">
        <f>IF(Accion[[#This Row],[Precio Cierre]]=MIN(Accion[Precio Cierre]),Accion[[#This Row],[Precio Cierre]],"NA")</f>
        <v>NA</v>
      </c>
    </row>
    <row r="1161" spans="1:13" hidden="1">
      <c r="A1161" s="38" t="s">
        <v>90</v>
      </c>
      <c r="B1161" s="78">
        <v>41905</v>
      </c>
      <c r="C1161" s="79" t="s">
        <v>294</v>
      </c>
      <c r="D1161" s="79"/>
      <c r="E1161" s="79">
        <v>18960</v>
      </c>
      <c r="F1161" s="79">
        <v>18300</v>
      </c>
      <c r="G1161" s="79">
        <v>18300</v>
      </c>
      <c r="H1161" s="79"/>
      <c r="I1161" s="79">
        <v>-2.6599999999999999E-2</v>
      </c>
      <c r="J1161" s="79"/>
      <c r="K1161" s="71">
        <f>YEAR(Accion[[#This Row],[fecha]])</f>
        <v>2014</v>
      </c>
      <c r="L1161" s="79" t="str">
        <f>IF(Accion[[#This Row],[Precio Cierre]]=MAX(Accion[Precio Cierre]),Accion[[#This Row],[Precio Cierre]],"NA")</f>
        <v>NA</v>
      </c>
      <c r="M1161" s="79" t="str">
        <f>IF(Accion[[#This Row],[Precio Cierre]]=MIN(Accion[Precio Cierre]),Accion[[#This Row],[Precio Cierre]],"NA")</f>
        <v>NA</v>
      </c>
    </row>
    <row r="1162" spans="1:13" hidden="1">
      <c r="A1162" s="38" t="s">
        <v>90</v>
      </c>
      <c r="B1162" s="78">
        <v>41904</v>
      </c>
      <c r="C1162" s="79" t="s">
        <v>295</v>
      </c>
      <c r="D1162" s="79"/>
      <c r="E1162" s="79">
        <v>18960</v>
      </c>
      <c r="F1162" s="79">
        <v>18800</v>
      </c>
      <c r="G1162" s="79">
        <v>18800</v>
      </c>
      <c r="H1162" s="79"/>
      <c r="I1162" s="79">
        <v>-5.3E-3</v>
      </c>
      <c r="J1162" s="79"/>
      <c r="K1162" s="71">
        <f>YEAR(Accion[[#This Row],[fecha]])</f>
        <v>2014</v>
      </c>
      <c r="L1162" s="79" t="str">
        <f>IF(Accion[[#This Row],[Precio Cierre]]=MAX(Accion[Precio Cierre]),Accion[[#This Row],[Precio Cierre]],"NA")</f>
        <v>NA</v>
      </c>
      <c r="M1162" s="79" t="str">
        <f>IF(Accion[[#This Row],[Precio Cierre]]=MIN(Accion[Precio Cierre]),Accion[[#This Row],[Precio Cierre]],"NA")</f>
        <v>NA</v>
      </c>
    </row>
    <row r="1163" spans="1:13" hidden="1">
      <c r="A1163" s="38" t="s">
        <v>90</v>
      </c>
      <c r="B1163" s="78">
        <v>41901</v>
      </c>
      <c r="C1163" s="79" t="s">
        <v>296</v>
      </c>
      <c r="D1163" s="79"/>
      <c r="E1163" s="79">
        <v>19000</v>
      </c>
      <c r="F1163" s="79">
        <v>18880</v>
      </c>
      <c r="G1163" s="79">
        <v>18900</v>
      </c>
      <c r="H1163" s="79"/>
      <c r="I1163" s="79">
        <v>-5.3E-3</v>
      </c>
      <c r="J1163" s="79"/>
      <c r="K1163" s="71">
        <f>YEAR(Accion[[#This Row],[fecha]])</f>
        <v>2014</v>
      </c>
      <c r="L1163" s="79" t="str">
        <f>IF(Accion[[#This Row],[Precio Cierre]]=MAX(Accion[Precio Cierre]),Accion[[#This Row],[Precio Cierre]],"NA")</f>
        <v>NA</v>
      </c>
      <c r="M1163" s="79" t="str">
        <f>IF(Accion[[#This Row],[Precio Cierre]]=MIN(Accion[Precio Cierre]),Accion[[#This Row],[Precio Cierre]],"NA")</f>
        <v>NA</v>
      </c>
    </row>
    <row r="1164" spans="1:13" hidden="1">
      <c r="A1164" s="38" t="s">
        <v>90</v>
      </c>
      <c r="B1164" s="78">
        <v>41900</v>
      </c>
      <c r="C1164" s="79" t="s">
        <v>297</v>
      </c>
      <c r="D1164" s="79"/>
      <c r="E1164" s="79">
        <v>19020</v>
      </c>
      <c r="F1164" s="79">
        <v>18880</v>
      </c>
      <c r="G1164" s="79">
        <v>19000</v>
      </c>
      <c r="H1164" s="79"/>
      <c r="I1164" s="79">
        <v>1.06E-2</v>
      </c>
      <c r="J1164" s="79"/>
      <c r="K1164" s="71">
        <f>YEAR(Accion[[#This Row],[fecha]])</f>
        <v>2014</v>
      </c>
      <c r="L1164" s="79" t="str">
        <f>IF(Accion[[#This Row],[Precio Cierre]]=MAX(Accion[Precio Cierre]),Accion[[#This Row],[Precio Cierre]],"NA")</f>
        <v>NA</v>
      </c>
      <c r="M1164" s="79" t="str">
        <f>IF(Accion[[#This Row],[Precio Cierre]]=MIN(Accion[Precio Cierre]),Accion[[#This Row],[Precio Cierre]],"NA")</f>
        <v>NA</v>
      </c>
    </row>
    <row r="1165" spans="1:13" hidden="1">
      <c r="A1165" s="38" t="s">
        <v>90</v>
      </c>
      <c r="B1165" s="78">
        <v>41899</v>
      </c>
      <c r="C1165" s="79" t="s">
        <v>298</v>
      </c>
      <c r="D1165" s="79"/>
      <c r="E1165" s="79">
        <v>19100</v>
      </c>
      <c r="F1165" s="79">
        <v>18800</v>
      </c>
      <c r="G1165" s="79">
        <v>18800</v>
      </c>
      <c r="H1165" s="79"/>
      <c r="I1165" s="79">
        <v>3.2000000000000002E-3</v>
      </c>
      <c r="J1165" s="79"/>
      <c r="K1165" s="71">
        <f>YEAR(Accion[[#This Row],[fecha]])</f>
        <v>2014</v>
      </c>
      <c r="L1165" s="79" t="str">
        <f>IF(Accion[[#This Row],[Precio Cierre]]=MAX(Accion[Precio Cierre]),Accion[[#This Row],[Precio Cierre]],"NA")</f>
        <v>NA</v>
      </c>
      <c r="M1165" s="79" t="str">
        <f>IF(Accion[[#This Row],[Precio Cierre]]=MIN(Accion[Precio Cierre]),Accion[[#This Row],[Precio Cierre]],"NA")</f>
        <v>NA</v>
      </c>
    </row>
    <row r="1166" spans="1:13" hidden="1">
      <c r="A1166" s="38" t="s">
        <v>90</v>
      </c>
      <c r="B1166" s="78">
        <v>41898</v>
      </c>
      <c r="C1166" s="79" t="s">
        <v>299</v>
      </c>
      <c r="D1166" s="79"/>
      <c r="E1166" s="79">
        <v>18820</v>
      </c>
      <c r="F1166" s="79">
        <v>18640</v>
      </c>
      <c r="G1166" s="79">
        <v>18740</v>
      </c>
      <c r="H1166" s="79"/>
      <c r="I1166" s="79">
        <v>-8.5000000000000006E-3</v>
      </c>
      <c r="J1166" s="79"/>
      <c r="K1166" s="71">
        <f>YEAR(Accion[[#This Row],[fecha]])</f>
        <v>2014</v>
      </c>
      <c r="L1166" s="79" t="str">
        <f>IF(Accion[[#This Row],[Precio Cierre]]=MAX(Accion[Precio Cierre]),Accion[[#This Row],[Precio Cierre]],"NA")</f>
        <v>NA</v>
      </c>
      <c r="M1166" s="79" t="str">
        <f>IF(Accion[[#This Row],[Precio Cierre]]=MIN(Accion[Precio Cierre]),Accion[[#This Row],[Precio Cierre]],"NA")</f>
        <v>NA</v>
      </c>
    </row>
    <row r="1167" spans="1:13" hidden="1">
      <c r="A1167" s="38" t="s">
        <v>90</v>
      </c>
      <c r="B1167" s="78">
        <v>41897</v>
      </c>
      <c r="C1167" s="79" t="s">
        <v>300</v>
      </c>
      <c r="D1167" s="79"/>
      <c r="E1167" s="79">
        <v>19000</v>
      </c>
      <c r="F1167" s="79">
        <v>18900</v>
      </c>
      <c r="G1167" s="79">
        <v>18900</v>
      </c>
      <c r="H1167" s="79"/>
      <c r="I1167" s="79">
        <v>-5.3E-3</v>
      </c>
      <c r="J1167" s="79"/>
      <c r="K1167" s="71">
        <f>YEAR(Accion[[#This Row],[fecha]])</f>
        <v>2014</v>
      </c>
      <c r="L1167" s="79" t="str">
        <f>IF(Accion[[#This Row],[Precio Cierre]]=MAX(Accion[Precio Cierre]),Accion[[#This Row],[Precio Cierre]],"NA")</f>
        <v>NA</v>
      </c>
      <c r="M1167" s="79" t="str">
        <f>IF(Accion[[#This Row],[Precio Cierre]]=MIN(Accion[Precio Cierre]),Accion[[#This Row],[Precio Cierre]],"NA")</f>
        <v>NA</v>
      </c>
    </row>
    <row r="1168" spans="1:13" hidden="1">
      <c r="A1168" s="38" t="s">
        <v>90</v>
      </c>
      <c r="B1168" s="78">
        <v>41894</v>
      </c>
      <c r="C1168" s="79" t="s">
        <v>301</v>
      </c>
      <c r="D1168" s="79"/>
      <c r="E1168" s="79">
        <v>19000</v>
      </c>
      <c r="F1168" s="79">
        <v>18920</v>
      </c>
      <c r="G1168" s="79">
        <v>19000</v>
      </c>
      <c r="H1168" s="79"/>
      <c r="I1168" s="79">
        <v>2.0400000000000001E-2</v>
      </c>
      <c r="J1168" s="79"/>
      <c r="K1168" s="71">
        <f>YEAR(Accion[[#This Row],[fecha]])</f>
        <v>2014</v>
      </c>
      <c r="L1168" s="79" t="str">
        <f>IF(Accion[[#This Row],[Precio Cierre]]=MAX(Accion[Precio Cierre]),Accion[[#This Row],[Precio Cierre]],"NA")</f>
        <v>NA</v>
      </c>
      <c r="M1168" s="79" t="str">
        <f>IF(Accion[[#This Row],[Precio Cierre]]=MIN(Accion[Precio Cierre]),Accion[[#This Row],[Precio Cierre]],"NA")</f>
        <v>NA</v>
      </c>
    </row>
    <row r="1169" spans="1:13" hidden="1">
      <c r="A1169" s="38" t="s">
        <v>90</v>
      </c>
      <c r="B1169" s="78">
        <v>41893</v>
      </c>
      <c r="C1169" s="79" t="s">
        <v>302</v>
      </c>
      <c r="D1169" s="79"/>
      <c r="E1169" s="79">
        <v>19000</v>
      </c>
      <c r="F1169" s="79">
        <v>18620</v>
      </c>
      <c r="G1169" s="79">
        <v>18620</v>
      </c>
      <c r="H1169" s="79"/>
      <c r="I1169" s="79">
        <v>-0.02</v>
      </c>
      <c r="J1169" s="79"/>
      <c r="K1169" s="71">
        <f>YEAR(Accion[[#This Row],[fecha]])</f>
        <v>2014</v>
      </c>
      <c r="L1169" s="79" t="str">
        <f>IF(Accion[[#This Row],[Precio Cierre]]=MAX(Accion[Precio Cierre]),Accion[[#This Row],[Precio Cierre]],"NA")</f>
        <v>NA</v>
      </c>
      <c r="M1169" s="79" t="str">
        <f>IF(Accion[[#This Row],[Precio Cierre]]=MIN(Accion[Precio Cierre]),Accion[[#This Row],[Precio Cierre]],"NA")</f>
        <v>NA</v>
      </c>
    </row>
    <row r="1170" spans="1:13" hidden="1">
      <c r="A1170" s="38" t="s">
        <v>90</v>
      </c>
      <c r="B1170" s="78">
        <v>41892</v>
      </c>
      <c r="C1170" s="79" t="s">
        <v>303</v>
      </c>
      <c r="D1170" s="79"/>
      <c r="E1170" s="79">
        <v>19000</v>
      </c>
      <c r="F1170" s="79">
        <v>19000</v>
      </c>
      <c r="G1170" s="79">
        <v>19000</v>
      </c>
      <c r="H1170" s="79"/>
      <c r="I1170" s="79">
        <v>3.2000000000000002E-3</v>
      </c>
      <c r="J1170" s="79"/>
      <c r="K1170" s="71">
        <f>YEAR(Accion[[#This Row],[fecha]])</f>
        <v>2014</v>
      </c>
      <c r="L1170" s="79" t="str">
        <f>IF(Accion[[#This Row],[Precio Cierre]]=MAX(Accion[Precio Cierre]),Accion[[#This Row],[Precio Cierre]],"NA")</f>
        <v>NA</v>
      </c>
      <c r="M1170" s="79" t="str">
        <f>IF(Accion[[#This Row],[Precio Cierre]]=MIN(Accion[Precio Cierre]),Accion[[#This Row],[Precio Cierre]],"NA")</f>
        <v>NA</v>
      </c>
    </row>
    <row r="1171" spans="1:13" hidden="1">
      <c r="A1171" s="38" t="s">
        <v>90</v>
      </c>
      <c r="B1171" s="78">
        <v>41891</v>
      </c>
      <c r="C1171" s="79" t="s">
        <v>304</v>
      </c>
      <c r="D1171" s="79"/>
      <c r="E1171" s="79">
        <v>18940</v>
      </c>
      <c r="F1171" s="79">
        <v>18700</v>
      </c>
      <c r="G1171" s="79">
        <v>18940</v>
      </c>
      <c r="H1171" s="79"/>
      <c r="I1171" s="79">
        <v>2.0999999999999999E-3</v>
      </c>
      <c r="J1171" s="79"/>
      <c r="K1171" s="71">
        <f>YEAR(Accion[[#This Row],[fecha]])</f>
        <v>2014</v>
      </c>
      <c r="L1171" s="79" t="str">
        <f>IF(Accion[[#This Row],[Precio Cierre]]=MAX(Accion[Precio Cierre]),Accion[[#This Row],[Precio Cierre]],"NA")</f>
        <v>NA</v>
      </c>
      <c r="M1171" s="79" t="str">
        <f>IF(Accion[[#This Row],[Precio Cierre]]=MIN(Accion[Precio Cierre]),Accion[[#This Row],[Precio Cierre]],"NA")</f>
        <v>NA</v>
      </c>
    </row>
    <row r="1172" spans="1:13" hidden="1">
      <c r="A1172" s="38" t="s">
        <v>90</v>
      </c>
      <c r="B1172" s="78">
        <v>41890</v>
      </c>
      <c r="C1172" s="79" t="s">
        <v>305</v>
      </c>
      <c r="D1172" s="79"/>
      <c r="E1172" s="79">
        <v>19000</v>
      </c>
      <c r="F1172" s="79">
        <v>18860</v>
      </c>
      <c r="G1172" s="79">
        <v>18900</v>
      </c>
      <c r="H1172" s="79"/>
      <c r="I1172" s="79">
        <v>-5.3E-3</v>
      </c>
      <c r="J1172" s="79"/>
      <c r="K1172" s="71">
        <f>YEAR(Accion[[#This Row],[fecha]])</f>
        <v>2014</v>
      </c>
      <c r="L1172" s="79" t="str">
        <f>IF(Accion[[#This Row],[Precio Cierre]]=MAX(Accion[Precio Cierre]),Accion[[#This Row],[Precio Cierre]],"NA")</f>
        <v>NA</v>
      </c>
      <c r="M1172" s="79" t="str">
        <f>IF(Accion[[#This Row],[Precio Cierre]]=MIN(Accion[Precio Cierre]),Accion[[#This Row],[Precio Cierre]],"NA")</f>
        <v>NA</v>
      </c>
    </row>
    <row r="1173" spans="1:13" hidden="1">
      <c r="A1173" s="38" t="s">
        <v>90</v>
      </c>
      <c r="B1173" s="78">
        <v>41887</v>
      </c>
      <c r="C1173" s="79" t="s">
        <v>306</v>
      </c>
      <c r="D1173" s="79"/>
      <c r="E1173" s="79">
        <v>19000</v>
      </c>
      <c r="F1173" s="79">
        <v>18760</v>
      </c>
      <c r="G1173" s="79">
        <v>19000</v>
      </c>
      <c r="H1173" s="79"/>
      <c r="I1173" s="79">
        <v>5.3E-3</v>
      </c>
      <c r="J1173" s="79"/>
      <c r="K1173" s="71">
        <f>YEAR(Accion[[#This Row],[fecha]])</f>
        <v>2014</v>
      </c>
      <c r="L1173" s="79" t="str">
        <f>IF(Accion[[#This Row],[Precio Cierre]]=MAX(Accion[Precio Cierre]),Accion[[#This Row],[Precio Cierre]],"NA")</f>
        <v>NA</v>
      </c>
      <c r="M1173" s="79" t="str">
        <f>IF(Accion[[#This Row],[Precio Cierre]]=MIN(Accion[Precio Cierre]),Accion[[#This Row],[Precio Cierre]],"NA")</f>
        <v>NA</v>
      </c>
    </row>
    <row r="1174" spans="1:13" hidden="1">
      <c r="A1174" s="38" t="s">
        <v>90</v>
      </c>
      <c r="B1174" s="78">
        <v>41886</v>
      </c>
      <c r="C1174" s="79" t="s">
        <v>307</v>
      </c>
      <c r="D1174" s="79"/>
      <c r="E1174" s="79">
        <v>19400</v>
      </c>
      <c r="F1174" s="79">
        <v>18800</v>
      </c>
      <c r="G1174" s="79">
        <v>18900</v>
      </c>
      <c r="H1174" s="79"/>
      <c r="I1174" s="79">
        <v>-1.5599999999999999E-2</v>
      </c>
      <c r="J1174" s="79"/>
      <c r="K1174" s="71">
        <f>YEAR(Accion[[#This Row],[fecha]])</f>
        <v>2014</v>
      </c>
      <c r="L1174" s="79" t="str">
        <f>IF(Accion[[#This Row],[Precio Cierre]]=MAX(Accion[Precio Cierre]),Accion[[#This Row],[Precio Cierre]],"NA")</f>
        <v>NA</v>
      </c>
      <c r="M1174" s="79" t="str">
        <f>IF(Accion[[#This Row],[Precio Cierre]]=MIN(Accion[Precio Cierre]),Accion[[#This Row],[Precio Cierre]],"NA")</f>
        <v>NA</v>
      </c>
    </row>
    <row r="1175" spans="1:13" hidden="1">
      <c r="A1175" s="38" t="s">
        <v>90</v>
      </c>
      <c r="B1175" s="78">
        <v>41885</v>
      </c>
      <c r="C1175" s="79" t="s">
        <v>308</v>
      </c>
      <c r="D1175" s="79"/>
      <c r="E1175" s="79">
        <v>19440</v>
      </c>
      <c r="F1175" s="79">
        <v>19200</v>
      </c>
      <c r="G1175" s="79">
        <v>19200</v>
      </c>
      <c r="H1175" s="79"/>
      <c r="I1175" s="79">
        <v>0</v>
      </c>
      <c r="J1175" s="79"/>
      <c r="K1175" s="71">
        <f>YEAR(Accion[[#This Row],[fecha]])</f>
        <v>2014</v>
      </c>
      <c r="L1175" s="79" t="str">
        <f>IF(Accion[[#This Row],[Precio Cierre]]=MAX(Accion[Precio Cierre]),Accion[[#This Row],[Precio Cierre]],"NA")</f>
        <v>NA</v>
      </c>
      <c r="M1175" s="79" t="str">
        <f>IF(Accion[[#This Row],[Precio Cierre]]=MIN(Accion[Precio Cierre]),Accion[[#This Row],[Precio Cierre]],"NA")</f>
        <v>NA</v>
      </c>
    </row>
    <row r="1176" spans="1:13" hidden="1">
      <c r="A1176" s="38" t="s">
        <v>90</v>
      </c>
      <c r="B1176" s="78">
        <v>41884</v>
      </c>
      <c r="C1176" s="79" t="s">
        <v>309</v>
      </c>
      <c r="D1176" s="79"/>
      <c r="E1176" s="79">
        <v>19300</v>
      </c>
      <c r="F1176" s="79">
        <v>19180</v>
      </c>
      <c r="G1176" s="79">
        <v>19200</v>
      </c>
      <c r="H1176" s="79"/>
      <c r="I1176" s="79">
        <v>2.0999999999999999E-3</v>
      </c>
      <c r="J1176" s="79"/>
      <c r="K1176" s="71">
        <f>YEAR(Accion[[#This Row],[fecha]])</f>
        <v>2014</v>
      </c>
      <c r="L1176" s="79" t="str">
        <f>IF(Accion[[#This Row],[Precio Cierre]]=MAX(Accion[Precio Cierre]),Accion[[#This Row],[Precio Cierre]],"NA")</f>
        <v>NA</v>
      </c>
      <c r="M1176" s="79" t="str">
        <f>IF(Accion[[#This Row],[Precio Cierre]]=MIN(Accion[Precio Cierre]),Accion[[#This Row],[Precio Cierre]],"NA")</f>
        <v>NA</v>
      </c>
    </row>
    <row r="1177" spans="1:13" hidden="1">
      <c r="A1177" s="38" t="s">
        <v>90</v>
      </c>
      <c r="B1177" s="78">
        <v>41883</v>
      </c>
      <c r="C1177" s="79" t="s">
        <v>310</v>
      </c>
      <c r="D1177" s="79"/>
      <c r="E1177" s="79">
        <v>19260</v>
      </c>
      <c r="F1177" s="79">
        <v>19020</v>
      </c>
      <c r="G1177" s="79">
        <v>19160</v>
      </c>
      <c r="H1177" s="79"/>
      <c r="I1177" s="79">
        <v>8.3999999999999995E-3</v>
      </c>
      <c r="J1177" s="79"/>
      <c r="K1177" s="71">
        <f>YEAR(Accion[[#This Row],[fecha]])</f>
        <v>2014</v>
      </c>
      <c r="L1177" s="79" t="str">
        <f>IF(Accion[[#This Row],[Precio Cierre]]=MAX(Accion[Precio Cierre]),Accion[[#This Row],[Precio Cierre]],"NA")</f>
        <v>NA</v>
      </c>
      <c r="M1177" s="79" t="str">
        <f>IF(Accion[[#This Row],[Precio Cierre]]=MIN(Accion[Precio Cierre]),Accion[[#This Row],[Precio Cierre]],"NA")</f>
        <v>NA</v>
      </c>
    </row>
    <row r="1178" spans="1:13" hidden="1">
      <c r="A1178" s="38" t="s">
        <v>90</v>
      </c>
      <c r="B1178" s="78">
        <v>41880</v>
      </c>
      <c r="C1178" s="79" t="s">
        <v>311</v>
      </c>
      <c r="D1178" s="79"/>
      <c r="E1178" s="79">
        <v>19200</v>
      </c>
      <c r="F1178" s="79">
        <v>18900</v>
      </c>
      <c r="G1178" s="79">
        <v>19000</v>
      </c>
      <c r="H1178" s="79"/>
      <c r="I1178" s="79">
        <v>0</v>
      </c>
      <c r="J1178" s="79"/>
      <c r="K1178" s="71">
        <f>YEAR(Accion[[#This Row],[fecha]])</f>
        <v>2014</v>
      </c>
      <c r="L1178" s="79" t="str">
        <f>IF(Accion[[#This Row],[Precio Cierre]]=MAX(Accion[Precio Cierre]),Accion[[#This Row],[Precio Cierre]],"NA")</f>
        <v>NA</v>
      </c>
      <c r="M1178" s="79" t="str">
        <f>IF(Accion[[#This Row],[Precio Cierre]]=MIN(Accion[Precio Cierre]),Accion[[#This Row],[Precio Cierre]],"NA")</f>
        <v>NA</v>
      </c>
    </row>
    <row r="1179" spans="1:13" hidden="1">
      <c r="A1179" s="38" t="s">
        <v>90</v>
      </c>
      <c r="B1179" s="78">
        <v>41879</v>
      </c>
      <c r="C1179" s="79" t="s">
        <v>312</v>
      </c>
      <c r="D1179" s="79"/>
      <c r="E1179" s="79">
        <v>19000</v>
      </c>
      <c r="F1179" s="79">
        <v>18900</v>
      </c>
      <c r="G1179" s="79">
        <v>19000</v>
      </c>
      <c r="H1179" s="79"/>
      <c r="I1179" s="79">
        <v>1.1000000000000001E-3</v>
      </c>
      <c r="J1179" s="79"/>
      <c r="K1179" s="71">
        <f>YEAR(Accion[[#This Row],[fecha]])</f>
        <v>2014</v>
      </c>
      <c r="L1179" s="79" t="str">
        <f>IF(Accion[[#This Row],[Precio Cierre]]=MAX(Accion[Precio Cierre]),Accion[[#This Row],[Precio Cierre]],"NA")</f>
        <v>NA</v>
      </c>
      <c r="M1179" s="79" t="str">
        <f>IF(Accion[[#This Row],[Precio Cierre]]=MIN(Accion[Precio Cierre]),Accion[[#This Row],[Precio Cierre]],"NA")</f>
        <v>NA</v>
      </c>
    </row>
    <row r="1180" spans="1:13" hidden="1">
      <c r="A1180" s="38" t="s">
        <v>90</v>
      </c>
      <c r="B1180" s="78">
        <v>41878</v>
      </c>
      <c r="C1180" s="79" t="s">
        <v>313</v>
      </c>
      <c r="D1180" s="79"/>
      <c r="E1180" s="79">
        <v>19000</v>
      </c>
      <c r="F1180" s="79">
        <v>18800</v>
      </c>
      <c r="G1180" s="79">
        <v>18980</v>
      </c>
      <c r="H1180" s="79"/>
      <c r="I1180" s="79">
        <v>4.1999999999999997E-3</v>
      </c>
      <c r="J1180" s="79"/>
      <c r="K1180" s="71">
        <f>YEAR(Accion[[#This Row],[fecha]])</f>
        <v>2014</v>
      </c>
      <c r="L1180" s="79" t="str">
        <f>IF(Accion[[#This Row],[Precio Cierre]]=MAX(Accion[Precio Cierre]),Accion[[#This Row],[Precio Cierre]],"NA")</f>
        <v>NA</v>
      </c>
      <c r="M1180" s="79" t="str">
        <f>IF(Accion[[#This Row],[Precio Cierre]]=MIN(Accion[Precio Cierre]),Accion[[#This Row],[Precio Cierre]],"NA")</f>
        <v>NA</v>
      </c>
    </row>
    <row r="1181" spans="1:13" hidden="1">
      <c r="A1181" s="38" t="s">
        <v>90</v>
      </c>
      <c r="B1181" s="78">
        <v>41877</v>
      </c>
      <c r="C1181" s="79" t="s">
        <v>314</v>
      </c>
      <c r="D1181" s="79"/>
      <c r="E1181" s="79">
        <v>18900</v>
      </c>
      <c r="F1181" s="79">
        <v>18660</v>
      </c>
      <c r="G1181" s="79">
        <v>18900</v>
      </c>
      <c r="H1181" s="79"/>
      <c r="I1181" s="79">
        <v>1.29E-2</v>
      </c>
      <c r="J1181" s="79"/>
      <c r="K1181" s="71">
        <f>YEAR(Accion[[#This Row],[fecha]])</f>
        <v>2014</v>
      </c>
      <c r="L1181" s="79" t="str">
        <f>IF(Accion[[#This Row],[Precio Cierre]]=MAX(Accion[Precio Cierre]),Accion[[#This Row],[Precio Cierre]],"NA")</f>
        <v>NA</v>
      </c>
      <c r="M1181" s="79" t="str">
        <f>IF(Accion[[#This Row],[Precio Cierre]]=MIN(Accion[Precio Cierre]),Accion[[#This Row],[Precio Cierre]],"NA")</f>
        <v>NA</v>
      </c>
    </row>
    <row r="1182" spans="1:13" hidden="1">
      <c r="A1182" s="38" t="s">
        <v>90</v>
      </c>
      <c r="B1182" s="78">
        <v>41876</v>
      </c>
      <c r="C1182" s="79" t="s">
        <v>315</v>
      </c>
      <c r="D1182" s="79"/>
      <c r="E1182" s="79">
        <v>18720</v>
      </c>
      <c r="F1182" s="79">
        <v>18560</v>
      </c>
      <c r="G1182" s="79">
        <v>18660</v>
      </c>
      <c r="H1182" s="79"/>
      <c r="I1182" s="79">
        <v>-5.3E-3</v>
      </c>
      <c r="J1182" s="79"/>
      <c r="K1182" s="71">
        <f>YEAR(Accion[[#This Row],[fecha]])</f>
        <v>2014</v>
      </c>
      <c r="L1182" s="79" t="str">
        <f>IF(Accion[[#This Row],[Precio Cierre]]=MAX(Accion[Precio Cierre]),Accion[[#This Row],[Precio Cierre]],"NA")</f>
        <v>NA</v>
      </c>
      <c r="M1182" s="79" t="str">
        <f>IF(Accion[[#This Row],[Precio Cierre]]=MIN(Accion[Precio Cierre]),Accion[[#This Row],[Precio Cierre]],"NA")</f>
        <v>NA</v>
      </c>
    </row>
    <row r="1183" spans="1:13" hidden="1">
      <c r="A1183" s="38" t="s">
        <v>90</v>
      </c>
      <c r="B1183" s="78">
        <v>41873</v>
      </c>
      <c r="C1183" s="79" t="s">
        <v>226</v>
      </c>
      <c r="D1183" s="79"/>
      <c r="E1183" s="79">
        <v>18880</v>
      </c>
      <c r="F1183" s="79">
        <v>18520</v>
      </c>
      <c r="G1183" s="79">
        <v>18760</v>
      </c>
      <c r="H1183" s="79"/>
      <c r="I1183" s="79">
        <v>9.7000000000000003E-3</v>
      </c>
      <c r="J1183" s="79"/>
      <c r="K1183" s="71">
        <f>YEAR(Accion[[#This Row],[fecha]])</f>
        <v>2014</v>
      </c>
      <c r="L1183" s="79" t="str">
        <f>IF(Accion[[#This Row],[Precio Cierre]]=MAX(Accion[Precio Cierre]),Accion[[#This Row],[Precio Cierre]],"NA")</f>
        <v>NA</v>
      </c>
      <c r="M1183" s="79" t="str">
        <f>IF(Accion[[#This Row],[Precio Cierre]]=MIN(Accion[Precio Cierre]),Accion[[#This Row],[Precio Cierre]],"NA")</f>
        <v>NA</v>
      </c>
    </row>
    <row r="1184" spans="1:13" hidden="1">
      <c r="A1184" s="38" t="s">
        <v>90</v>
      </c>
      <c r="B1184" s="78">
        <v>41872</v>
      </c>
      <c r="C1184" s="79" t="s">
        <v>316</v>
      </c>
      <c r="D1184" s="79"/>
      <c r="E1184" s="79">
        <v>18580</v>
      </c>
      <c r="F1184" s="79">
        <v>18020</v>
      </c>
      <c r="G1184" s="79">
        <v>18580</v>
      </c>
      <c r="H1184" s="79"/>
      <c r="I1184" s="79">
        <v>3.2199999999999999E-2</v>
      </c>
      <c r="J1184" s="79"/>
      <c r="K1184" s="71">
        <f>YEAR(Accion[[#This Row],[fecha]])</f>
        <v>2014</v>
      </c>
      <c r="L1184" s="79" t="str">
        <f>IF(Accion[[#This Row],[Precio Cierre]]=MAX(Accion[Precio Cierre]),Accion[[#This Row],[Precio Cierre]],"NA")</f>
        <v>NA</v>
      </c>
      <c r="M1184" s="79" t="str">
        <f>IF(Accion[[#This Row],[Precio Cierre]]=MIN(Accion[Precio Cierre]),Accion[[#This Row],[Precio Cierre]],"NA")</f>
        <v>NA</v>
      </c>
    </row>
    <row r="1185" spans="1:13" hidden="1">
      <c r="A1185" s="38" t="s">
        <v>90</v>
      </c>
      <c r="B1185" s="78">
        <v>41871</v>
      </c>
      <c r="C1185" s="79" t="s">
        <v>317</v>
      </c>
      <c r="D1185" s="79"/>
      <c r="E1185" s="79">
        <v>18000</v>
      </c>
      <c r="F1185" s="79">
        <v>17880</v>
      </c>
      <c r="G1185" s="79">
        <v>18000</v>
      </c>
      <c r="H1185" s="79"/>
      <c r="I1185" s="79">
        <v>0</v>
      </c>
      <c r="J1185" s="79"/>
      <c r="K1185" s="71">
        <f>YEAR(Accion[[#This Row],[fecha]])</f>
        <v>2014</v>
      </c>
      <c r="L1185" s="79" t="str">
        <f>IF(Accion[[#This Row],[Precio Cierre]]=MAX(Accion[Precio Cierre]),Accion[[#This Row],[Precio Cierre]],"NA")</f>
        <v>NA</v>
      </c>
      <c r="M1185" s="79" t="str">
        <f>IF(Accion[[#This Row],[Precio Cierre]]=MIN(Accion[Precio Cierre]),Accion[[#This Row],[Precio Cierre]],"NA")</f>
        <v>NA</v>
      </c>
    </row>
    <row r="1186" spans="1:13" hidden="1">
      <c r="A1186" s="38" t="s">
        <v>90</v>
      </c>
      <c r="B1186" s="78">
        <v>41870</v>
      </c>
      <c r="C1186" s="79" t="s">
        <v>318</v>
      </c>
      <c r="D1186" s="79"/>
      <c r="E1186" s="79">
        <v>18020</v>
      </c>
      <c r="F1186" s="79">
        <v>17700</v>
      </c>
      <c r="G1186" s="79">
        <v>18000</v>
      </c>
      <c r="H1186" s="79"/>
      <c r="I1186" s="79">
        <v>5.5999999999999999E-3</v>
      </c>
      <c r="J1186" s="79"/>
      <c r="K1186" s="71">
        <f>YEAR(Accion[[#This Row],[fecha]])</f>
        <v>2014</v>
      </c>
      <c r="L1186" s="79" t="str">
        <f>IF(Accion[[#This Row],[Precio Cierre]]=MAX(Accion[Precio Cierre]),Accion[[#This Row],[Precio Cierre]],"NA")</f>
        <v>NA</v>
      </c>
      <c r="M1186" s="79" t="str">
        <f>IF(Accion[[#This Row],[Precio Cierre]]=MIN(Accion[Precio Cierre]),Accion[[#This Row],[Precio Cierre]],"NA")</f>
        <v>NA</v>
      </c>
    </row>
    <row r="1187" spans="1:13" hidden="1">
      <c r="A1187" s="38" t="s">
        <v>90</v>
      </c>
      <c r="B1187" s="78">
        <v>41866</v>
      </c>
      <c r="C1187" s="79" t="s">
        <v>319</v>
      </c>
      <c r="D1187" s="79"/>
      <c r="E1187" s="79">
        <v>18100</v>
      </c>
      <c r="F1187" s="79">
        <v>17820</v>
      </c>
      <c r="G1187" s="79">
        <v>17900</v>
      </c>
      <c r="H1187" s="79"/>
      <c r="I1187" s="79">
        <v>1.1000000000000001E-3</v>
      </c>
      <c r="J1187" s="79"/>
      <c r="K1187" s="71">
        <f>YEAR(Accion[[#This Row],[fecha]])</f>
        <v>2014</v>
      </c>
      <c r="L1187" s="79" t="str">
        <f>IF(Accion[[#This Row],[Precio Cierre]]=MAX(Accion[Precio Cierre]),Accion[[#This Row],[Precio Cierre]],"NA")</f>
        <v>NA</v>
      </c>
      <c r="M1187" s="79" t="str">
        <f>IF(Accion[[#This Row],[Precio Cierre]]=MIN(Accion[Precio Cierre]),Accion[[#This Row],[Precio Cierre]],"NA")</f>
        <v>NA</v>
      </c>
    </row>
    <row r="1188" spans="1:13" hidden="1">
      <c r="A1188" s="38" t="s">
        <v>90</v>
      </c>
      <c r="B1188" s="78">
        <v>41865</v>
      </c>
      <c r="C1188" s="79" t="s">
        <v>320</v>
      </c>
      <c r="D1188" s="79"/>
      <c r="E1188" s="79">
        <v>18000</v>
      </c>
      <c r="F1188" s="79">
        <v>17880</v>
      </c>
      <c r="G1188" s="79">
        <v>17880</v>
      </c>
      <c r="H1188" s="79"/>
      <c r="I1188" s="79">
        <v>-6.7000000000000002E-3</v>
      </c>
      <c r="J1188" s="79"/>
      <c r="K1188" s="71">
        <f>YEAR(Accion[[#This Row],[fecha]])</f>
        <v>2014</v>
      </c>
      <c r="L1188" s="79" t="str">
        <f>IF(Accion[[#This Row],[Precio Cierre]]=MAX(Accion[Precio Cierre]),Accion[[#This Row],[Precio Cierre]],"NA")</f>
        <v>NA</v>
      </c>
      <c r="M1188" s="79" t="str">
        <f>IF(Accion[[#This Row],[Precio Cierre]]=MIN(Accion[Precio Cierre]),Accion[[#This Row],[Precio Cierre]],"NA")</f>
        <v>NA</v>
      </c>
    </row>
    <row r="1189" spans="1:13" hidden="1">
      <c r="A1189" s="38" t="s">
        <v>90</v>
      </c>
      <c r="B1189" s="78">
        <v>41864</v>
      </c>
      <c r="C1189" s="79" t="s">
        <v>321</v>
      </c>
      <c r="D1189" s="79"/>
      <c r="E1189" s="79">
        <v>18000</v>
      </c>
      <c r="F1189" s="79">
        <v>17900</v>
      </c>
      <c r="G1189" s="79">
        <v>18000</v>
      </c>
      <c r="H1189" s="79"/>
      <c r="I1189" s="79">
        <v>5.5999999999999999E-3</v>
      </c>
      <c r="J1189" s="79"/>
      <c r="K1189" s="71">
        <f>YEAR(Accion[[#This Row],[fecha]])</f>
        <v>2014</v>
      </c>
      <c r="L1189" s="79" t="str">
        <f>IF(Accion[[#This Row],[Precio Cierre]]=MAX(Accion[Precio Cierre]),Accion[[#This Row],[Precio Cierre]],"NA")</f>
        <v>NA</v>
      </c>
      <c r="M1189" s="79" t="str">
        <f>IF(Accion[[#This Row],[Precio Cierre]]=MIN(Accion[Precio Cierre]),Accion[[#This Row],[Precio Cierre]],"NA")</f>
        <v>NA</v>
      </c>
    </row>
    <row r="1190" spans="1:13" hidden="1">
      <c r="A1190" s="38" t="s">
        <v>90</v>
      </c>
      <c r="B1190" s="78">
        <v>41863</v>
      </c>
      <c r="C1190" s="79" t="s">
        <v>322</v>
      </c>
      <c r="D1190" s="79"/>
      <c r="E1190" s="79">
        <v>18300</v>
      </c>
      <c r="F1190" s="79">
        <v>17900</v>
      </c>
      <c r="G1190" s="79">
        <v>17900</v>
      </c>
      <c r="H1190" s="79"/>
      <c r="I1190" s="79">
        <v>-2.1899999999999999E-2</v>
      </c>
      <c r="J1190" s="79"/>
      <c r="K1190" s="71">
        <f>YEAR(Accion[[#This Row],[fecha]])</f>
        <v>2014</v>
      </c>
      <c r="L1190" s="79" t="str">
        <f>IF(Accion[[#This Row],[Precio Cierre]]=MAX(Accion[Precio Cierre]),Accion[[#This Row],[Precio Cierre]],"NA")</f>
        <v>NA</v>
      </c>
      <c r="M1190" s="79" t="str">
        <f>IF(Accion[[#This Row],[Precio Cierre]]=MIN(Accion[Precio Cierre]),Accion[[#This Row],[Precio Cierre]],"NA")</f>
        <v>NA</v>
      </c>
    </row>
    <row r="1191" spans="1:13" hidden="1">
      <c r="A1191" s="38" t="s">
        <v>90</v>
      </c>
      <c r="B1191" s="78">
        <v>41862</v>
      </c>
      <c r="C1191" s="79" t="s">
        <v>323</v>
      </c>
      <c r="D1191" s="79"/>
      <c r="E1191" s="79">
        <v>18300</v>
      </c>
      <c r="F1191" s="79">
        <v>17920</v>
      </c>
      <c r="G1191" s="79">
        <v>18300</v>
      </c>
      <c r="H1191" s="79"/>
      <c r="I1191" s="79">
        <v>2.23E-2</v>
      </c>
      <c r="J1191" s="79"/>
      <c r="K1191" s="71">
        <f>YEAR(Accion[[#This Row],[fecha]])</f>
        <v>2014</v>
      </c>
      <c r="L1191" s="79" t="str">
        <f>IF(Accion[[#This Row],[Precio Cierre]]=MAX(Accion[Precio Cierre]),Accion[[#This Row],[Precio Cierre]],"NA")</f>
        <v>NA</v>
      </c>
      <c r="M1191" s="79" t="str">
        <f>IF(Accion[[#This Row],[Precio Cierre]]=MIN(Accion[Precio Cierre]),Accion[[#This Row],[Precio Cierre]],"NA")</f>
        <v>NA</v>
      </c>
    </row>
    <row r="1192" spans="1:13" hidden="1">
      <c r="A1192" s="38" t="s">
        <v>90</v>
      </c>
      <c r="B1192" s="78">
        <v>41859</v>
      </c>
      <c r="C1192" s="79" t="s">
        <v>324</v>
      </c>
      <c r="D1192" s="79"/>
      <c r="E1192" s="79">
        <v>18400</v>
      </c>
      <c r="F1192" s="79">
        <v>17900</v>
      </c>
      <c r="G1192" s="79">
        <v>17900</v>
      </c>
      <c r="H1192" s="79"/>
      <c r="I1192" s="79">
        <v>-2.7199999999999998E-2</v>
      </c>
      <c r="J1192" s="79"/>
      <c r="K1192" s="71">
        <f>YEAR(Accion[[#This Row],[fecha]])</f>
        <v>2014</v>
      </c>
      <c r="L1192" s="79" t="str">
        <f>IF(Accion[[#This Row],[Precio Cierre]]=MAX(Accion[Precio Cierre]),Accion[[#This Row],[Precio Cierre]],"NA")</f>
        <v>NA</v>
      </c>
      <c r="M1192" s="79" t="str">
        <f>IF(Accion[[#This Row],[Precio Cierre]]=MIN(Accion[Precio Cierre]),Accion[[#This Row],[Precio Cierre]],"NA")</f>
        <v>NA</v>
      </c>
    </row>
    <row r="1193" spans="1:13" hidden="1">
      <c r="A1193" s="38" t="s">
        <v>90</v>
      </c>
      <c r="B1193" s="78">
        <v>41857</v>
      </c>
      <c r="C1193" s="79" t="s">
        <v>325</v>
      </c>
      <c r="D1193" s="79"/>
      <c r="E1193" s="79">
        <v>18520</v>
      </c>
      <c r="F1193" s="79">
        <v>18400</v>
      </c>
      <c r="G1193" s="79">
        <v>18400</v>
      </c>
      <c r="H1193" s="79"/>
      <c r="I1193" s="79">
        <v>-4.3E-3</v>
      </c>
      <c r="J1193" s="79"/>
      <c r="K1193" s="71">
        <f>YEAR(Accion[[#This Row],[fecha]])</f>
        <v>2014</v>
      </c>
      <c r="L1193" s="79" t="str">
        <f>IF(Accion[[#This Row],[Precio Cierre]]=MAX(Accion[Precio Cierre]),Accion[[#This Row],[Precio Cierre]],"NA")</f>
        <v>NA</v>
      </c>
      <c r="M1193" s="79" t="str">
        <f>IF(Accion[[#This Row],[Precio Cierre]]=MIN(Accion[Precio Cierre]),Accion[[#This Row],[Precio Cierre]],"NA")</f>
        <v>NA</v>
      </c>
    </row>
    <row r="1194" spans="1:13" hidden="1">
      <c r="A1194" s="38" t="s">
        <v>90</v>
      </c>
      <c r="B1194" s="78">
        <v>41856</v>
      </c>
      <c r="C1194" s="79" t="s">
        <v>326</v>
      </c>
      <c r="D1194" s="79"/>
      <c r="E1194" s="79">
        <v>18580</v>
      </c>
      <c r="F1194" s="79">
        <v>18480</v>
      </c>
      <c r="G1194" s="79">
        <v>18480</v>
      </c>
      <c r="H1194" s="79"/>
      <c r="I1194" s="79">
        <v>-1.1000000000000001E-3</v>
      </c>
      <c r="J1194" s="79"/>
      <c r="K1194" s="71">
        <f>YEAR(Accion[[#This Row],[fecha]])</f>
        <v>2014</v>
      </c>
      <c r="L1194" s="79" t="str">
        <f>IF(Accion[[#This Row],[Precio Cierre]]=MAX(Accion[Precio Cierre]),Accion[[#This Row],[Precio Cierre]],"NA")</f>
        <v>NA</v>
      </c>
      <c r="M1194" s="79" t="str">
        <f>IF(Accion[[#This Row],[Precio Cierre]]=MIN(Accion[Precio Cierre]),Accion[[#This Row],[Precio Cierre]],"NA")</f>
        <v>NA</v>
      </c>
    </row>
    <row r="1195" spans="1:13" hidden="1">
      <c r="A1195" s="38" t="s">
        <v>90</v>
      </c>
      <c r="B1195" s="78">
        <v>41855</v>
      </c>
      <c r="C1195" s="79" t="s">
        <v>327</v>
      </c>
      <c r="D1195" s="79"/>
      <c r="E1195" s="79">
        <v>18560</v>
      </c>
      <c r="F1195" s="79">
        <v>18400</v>
      </c>
      <c r="G1195" s="79">
        <v>18500</v>
      </c>
      <c r="H1195" s="79"/>
      <c r="I1195" s="79">
        <v>0</v>
      </c>
      <c r="J1195" s="79"/>
      <c r="K1195" s="71">
        <f>YEAR(Accion[[#This Row],[fecha]])</f>
        <v>2014</v>
      </c>
      <c r="L1195" s="79" t="str">
        <f>IF(Accion[[#This Row],[Precio Cierre]]=MAX(Accion[Precio Cierre]),Accion[[#This Row],[Precio Cierre]],"NA")</f>
        <v>NA</v>
      </c>
      <c r="M1195" s="79" t="str">
        <f>IF(Accion[[#This Row],[Precio Cierre]]=MIN(Accion[Precio Cierre]),Accion[[#This Row],[Precio Cierre]],"NA")</f>
        <v>NA</v>
      </c>
    </row>
    <row r="1196" spans="1:13" hidden="1">
      <c r="A1196" s="38" t="s">
        <v>90</v>
      </c>
      <c r="B1196" s="78">
        <v>41852</v>
      </c>
      <c r="C1196" s="79" t="s">
        <v>328</v>
      </c>
      <c r="D1196" s="79"/>
      <c r="E1196" s="79">
        <v>18600</v>
      </c>
      <c r="F1196" s="79">
        <v>18400</v>
      </c>
      <c r="G1196" s="79">
        <v>18500</v>
      </c>
      <c r="H1196" s="79"/>
      <c r="I1196" s="79">
        <v>0</v>
      </c>
      <c r="J1196" s="79"/>
      <c r="K1196" s="71">
        <f>YEAR(Accion[[#This Row],[fecha]])</f>
        <v>2014</v>
      </c>
      <c r="L1196" s="79" t="str">
        <f>IF(Accion[[#This Row],[Precio Cierre]]=MAX(Accion[Precio Cierre]),Accion[[#This Row],[Precio Cierre]],"NA")</f>
        <v>NA</v>
      </c>
      <c r="M1196" s="79" t="str">
        <f>IF(Accion[[#This Row],[Precio Cierre]]=MIN(Accion[Precio Cierre]),Accion[[#This Row],[Precio Cierre]],"NA")</f>
        <v>NA</v>
      </c>
    </row>
    <row r="1197" spans="1:13" hidden="1">
      <c r="A1197" s="38" t="s">
        <v>90</v>
      </c>
      <c r="B1197" s="78">
        <v>41851</v>
      </c>
      <c r="C1197" s="79" t="s">
        <v>329</v>
      </c>
      <c r="D1197" s="79"/>
      <c r="E1197" s="79">
        <v>18500</v>
      </c>
      <c r="F1197" s="79">
        <v>18460</v>
      </c>
      <c r="G1197" s="79">
        <v>18500</v>
      </c>
      <c r="H1197" s="79"/>
      <c r="I1197" s="79">
        <v>1.1000000000000001E-3</v>
      </c>
      <c r="J1197" s="79"/>
      <c r="K1197" s="71">
        <f>YEAR(Accion[[#This Row],[fecha]])</f>
        <v>2014</v>
      </c>
      <c r="L1197" s="79" t="str">
        <f>IF(Accion[[#This Row],[Precio Cierre]]=MAX(Accion[Precio Cierre]),Accion[[#This Row],[Precio Cierre]],"NA")</f>
        <v>NA</v>
      </c>
      <c r="M1197" s="79" t="str">
        <f>IF(Accion[[#This Row],[Precio Cierre]]=MIN(Accion[Precio Cierre]),Accion[[#This Row],[Precio Cierre]],"NA")</f>
        <v>NA</v>
      </c>
    </row>
    <row r="1198" spans="1:13" hidden="1">
      <c r="A1198" s="38" t="s">
        <v>90</v>
      </c>
      <c r="B1198" s="78">
        <v>41850</v>
      </c>
      <c r="C1198" s="79" t="s">
        <v>330</v>
      </c>
      <c r="D1198" s="79"/>
      <c r="E1198" s="79">
        <v>18480</v>
      </c>
      <c r="F1198" s="79">
        <v>18460</v>
      </c>
      <c r="G1198" s="79">
        <v>18480</v>
      </c>
      <c r="H1198" s="79"/>
      <c r="I1198" s="79">
        <v>-1.1000000000000001E-3</v>
      </c>
      <c r="J1198" s="79"/>
      <c r="K1198" s="71">
        <f>YEAR(Accion[[#This Row],[fecha]])</f>
        <v>2014</v>
      </c>
      <c r="L1198" s="79" t="str">
        <f>IF(Accion[[#This Row],[Precio Cierre]]=MAX(Accion[Precio Cierre]),Accion[[#This Row],[Precio Cierre]],"NA")</f>
        <v>NA</v>
      </c>
      <c r="M1198" s="79" t="str">
        <f>IF(Accion[[#This Row],[Precio Cierre]]=MIN(Accion[Precio Cierre]),Accion[[#This Row],[Precio Cierre]],"NA")</f>
        <v>NA</v>
      </c>
    </row>
    <row r="1199" spans="1:13" hidden="1">
      <c r="A1199" s="38" t="s">
        <v>90</v>
      </c>
      <c r="B1199" s="78">
        <v>41849</v>
      </c>
      <c r="C1199" s="79" t="s">
        <v>331</v>
      </c>
      <c r="D1199" s="79"/>
      <c r="E1199" s="79">
        <v>18580</v>
      </c>
      <c r="F1199" s="79">
        <v>18420</v>
      </c>
      <c r="G1199" s="79">
        <v>18500</v>
      </c>
      <c r="H1199" s="79"/>
      <c r="I1199" s="79">
        <v>-4.3E-3</v>
      </c>
      <c r="J1199" s="79"/>
      <c r="K1199" s="71">
        <f>YEAR(Accion[[#This Row],[fecha]])</f>
        <v>2014</v>
      </c>
      <c r="L1199" s="79" t="str">
        <f>IF(Accion[[#This Row],[Precio Cierre]]=MAX(Accion[Precio Cierre]),Accion[[#This Row],[Precio Cierre]],"NA")</f>
        <v>NA</v>
      </c>
      <c r="M1199" s="79" t="str">
        <f>IF(Accion[[#This Row],[Precio Cierre]]=MIN(Accion[Precio Cierre]),Accion[[#This Row],[Precio Cierre]],"NA")</f>
        <v>NA</v>
      </c>
    </row>
    <row r="1200" spans="1:13" hidden="1">
      <c r="A1200" s="38" t="s">
        <v>90</v>
      </c>
      <c r="B1200" s="78">
        <v>41848</v>
      </c>
      <c r="C1200" s="79" t="s">
        <v>332</v>
      </c>
      <c r="D1200" s="79"/>
      <c r="E1200" s="79">
        <v>18600</v>
      </c>
      <c r="F1200" s="79">
        <v>18500</v>
      </c>
      <c r="G1200" s="79">
        <v>18580</v>
      </c>
      <c r="H1200" s="79"/>
      <c r="I1200" s="79">
        <v>-5.4000000000000003E-3</v>
      </c>
      <c r="J1200" s="79"/>
      <c r="K1200" s="71">
        <f>YEAR(Accion[[#This Row],[fecha]])</f>
        <v>2014</v>
      </c>
      <c r="L1200" s="79" t="str">
        <f>IF(Accion[[#This Row],[Precio Cierre]]=MAX(Accion[Precio Cierre]),Accion[[#This Row],[Precio Cierre]],"NA")</f>
        <v>NA</v>
      </c>
      <c r="M1200" s="79" t="str">
        <f>IF(Accion[[#This Row],[Precio Cierre]]=MIN(Accion[Precio Cierre]),Accion[[#This Row],[Precio Cierre]],"NA")</f>
        <v>NA</v>
      </c>
    </row>
    <row r="1201" spans="1:13" hidden="1">
      <c r="A1201" s="38" t="s">
        <v>90</v>
      </c>
      <c r="B1201" s="78">
        <v>41845</v>
      </c>
      <c r="C1201" s="79" t="s">
        <v>333</v>
      </c>
      <c r="D1201" s="79"/>
      <c r="E1201" s="79">
        <v>18680</v>
      </c>
      <c r="F1201" s="79">
        <v>18540</v>
      </c>
      <c r="G1201" s="79">
        <v>18680</v>
      </c>
      <c r="H1201" s="79"/>
      <c r="I1201" s="79">
        <v>1.52E-2</v>
      </c>
      <c r="J1201" s="79"/>
      <c r="K1201" s="71">
        <f>YEAR(Accion[[#This Row],[fecha]])</f>
        <v>2014</v>
      </c>
      <c r="L1201" s="79" t="str">
        <f>IF(Accion[[#This Row],[Precio Cierre]]=MAX(Accion[Precio Cierre]),Accion[[#This Row],[Precio Cierre]],"NA")</f>
        <v>NA</v>
      </c>
      <c r="M1201" s="79" t="str">
        <f>IF(Accion[[#This Row],[Precio Cierre]]=MIN(Accion[Precio Cierre]),Accion[[#This Row],[Precio Cierre]],"NA")</f>
        <v>NA</v>
      </c>
    </row>
    <row r="1202" spans="1:13" hidden="1">
      <c r="A1202" s="38" t="s">
        <v>90</v>
      </c>
      <c r="B1202" s="78">
        <v>41844</v>
      </c>
      <c r="C1202" s="79" t="s">
        <v>334</v>
      </c>
      <c r="D1202" s="79"/>
      <c r="E1202" s="79">
        <v>18640</v>
      </c>
      <c r="F1202" s="79">
        <v>18400</v>
      </c>
      <c r="G1202" s="79">
        <v>18400</v>
      </c>
      <c r="H1202" s="79"/>
      <c r="I1202" s="79">
        <v>-1.6E-2</v>
      </c>
      <c r="J1202" s="79"/>
      <c r="K1202" s="71">
        <f>YEAR(Accion[[#This Row],[fecha]])</f>
        <v>2014</v>
      </c>
      <c r="L1202" s="79" t="str">
        <f>IF(Accion[[#This Row],[Precio Cierre]]=MAX(Accion[Precio Cierre]),Accion[[#This Row],[Precio Cierre]],"NA")</f>
        <v>NA</v>
      </c>
      <c r="M1202" s="79" t="str">
        <f>IF(Accion[[#This Row],[Precio Cierre]]=MIN(Accion[Precio Cierre]),Accion[[#This Row],[Precio Cierre]],"NA")</f>
        <v>NA</v>
      </c>
    </row>
    <row r="1203" spans="1:13" hidden="1">
      <c r="A1203" s="38" t="s">
        <v>90</v>
      </c>
      <c r="B1203" s="78">
        <v>41843</v>
      </c>
      <c r="C1203" s="79" t="s">
        <v>335</v>
      </c>
      <c r="D1203" s="79"/>
      <c r="E1203" s="79">
        <v>18740</v>
      </c>
      <c r="F1203" s="79">
        <v>18420</v>
      </c>
      <c r="G1203" s="79">
        <v>18700</v>
      </c>
      <c r="H1203" s="79"/>
      <c r="I1203" s="79">
        <v>1.7399999999999999E-2</v>
      </c>
      <c r="J1203" s="79"/>
      <c r="K1203" s="71">
        <f>YEAR(Accion[[#This Row],[fecha]])</f>
        <v>2014</v>
      </c>
      <c r="L1203" s="79" t="str">
        <f>IF(Accion[[#This Row],[Precio Cierre]]=MAX(Accion[Precio Cierre]),Accion[[#This Row],[Precio Cierre]],"NA")</f>
        <v>NA</v>
      </c>
      <c r="M1203" s="79" t="str">
        <f>IF(Accion[[#This Row],[Precio Cierre]]=MIN(Accion[Precio Cierre]),Accion[[#This Row],[Precio Cierre]],"NA")</f>
        <v>NA</v>
      </c>
    </row>
    <row r="1204" spans="1:13" hidden="1">
      <c r="A1204" s="38" t="s">
        <v>90</v>
      </c>
      <c r="B1204" s="78">
        <v>41842</v>
      </c>
      <c r="C1204" s="79" t="s">
        <v>336</v>
      </c>
      <c r="D1204" s="79"/>
      <c r="E1204" s="79">
        <v>18400</v>
      </c>
      <c r="F1204" s="79">
        <v>17820</v>
      </c>
      <c r="G1204" s="79">
        <v>18380</v>
      </c>
      <c r="H1204" s="79"/>
      <c r="I1204" s="79">
        <v>3.0300000000000001E-2</v>
      </c>
      <c r="J1204" s="79"/>
      <c r="K1204" s="71">
        <f>YEAR(Accion[[#This Row],[fecha]])</f>
        <v>2014</v>
      </c>
      <c r="L1204" s="79" t="str">
        <f>IF(Accion[[#This Row],[Precio Cierre]]=MAX(Accion[Precio Cierre]),Accion[[#This Row],[Precio Cierre]],"NA")</f>
        <v>NA</v>
      </c>
      <c r="M1204" s="79" t="str">
        <f>IF(Accion[[#This Row],[Precio Cierre]]=MIN(Accion[Precio Cierre]),Accion[[#This Row],[Precio Cierre]],"NA")</f>
        <v>NA</v>
      </c>
    </row>
    <row r="1205" spans="1:13" hidden="1">
      <c r="A1205" s="38" t="s">
        <v>90</v>
      </c>
      <c r="B1205" s="78">
        <v>41841</v>
      </c>
      <c r="C1205" s="79" t="s">
        <v>337</v>
      </c>
      <c r="D1205" s="79"/>
      <c r="E1205" s="79">
        <v>18080</v>
      </c>
      <c r="F1205" s="79">
        <v>17800</v>
      </c>
      <c r="G1205" s="79">
        <v>17840</v>
      </c>
      <c r="H1205" s="79"/>
      <c r="I1205" s="79">
        <v>2.2000000000000001E-3</v>
      </c>
      <c r="J1205" s="79"/>
      <c r="K1205" s="71">
        <f>YEAR(Accion[[#This Row],[fecha]])</f>
        <v>2014</v>
      </c>
      <c r="L1205" s="79" t="str">
        <f>IF(Accion[[#This Row],[Precio Cierre]]=MAX(Accion[Precio Cierre]),Accion[[#This Row],[Precio Cierre]],"NA")</f>
        <v>NA</v>
      </c>
      <c r="M1205" s="79" t="str">
        <f>IF(Accion[[#This Row],[Precio Cierre]]=MIN(Accion[Precio Cierre]),Accion[[#This Row],[Precio Cierre]],"NA")</f>
        <v>NA</v>
      </c>
    </row>
    <row r="1206" spans="1:13" hidden="1">
      <c r="A1206" s="38" t="s">
        <v>90</v>
      </c>
      <c r="B1206" s="78">
        <v>41838</v>
      </c>
      <c r="C1206" s="79" t="s">
        <v>338</v>
      </c>
      <c r="D1206" s="79"/>
      <c r="E1206" s="79">
        <v>18400</v>
      </c>
      <c r="F1206" s="79">
        <v>17660</v>
      </c>
      <c r="G1206" s="79">
        <v>17800</v>
      </c>
      <c r="H1206" s="79"/>
      <c r="I1206" s="79">
        <v>-1.55E-2</v>
      </c>
      <c r="J1206" s="79"/>
      <c r="K1206" s="71">
        <f>YEAR(Accion[[#This Row],[fecha]])</f>
        <v>2014</v>
      </c>
      <c r="L1206" s="79" t="str">
        <f>IF(Accion[[#This Row],[Precio Cierre]]=MAX(Accion[Precio Cierre]),Accion[[#This Row],[Precio Cierre]],"NA")</f>
        <v>NA</v>
      </c>
      <c r="M1206" s="79" t="str">
        <f>IF(Accion[[#This Row],[Precio Cierre]]=MIN(Accion[Precio Cierre]),Accion[[#This Row],[Precio Cierre]],"NA")</f>
        <v>NA</v>
      </c>
    </row>
    <row r="1207" spans="1:13" hidden="1">
      <c r="A1207" s="38" t="s">
        <v>90</v>
      </c>
      <c r="B1207" s="78">
        <v>41837</v>
      </c>
      <c r="C1207" s="79" t="s">
        <v>339</v>
      </c>
      <c r="D1207" s="79"/>
      <c r="E1207" s="79">
        <v>18620</v>
      </c>
      <c r="F1207" s="79">
        <v>18080</v>
      </c>
      <c r="G1207" s="79">
        <v>18080</v>
      </c>
      <c r="H1207" s="79"/>
      <c r="I1207" s="79">
        <v>-2.9000000000000001E-2</v>
      </c>
      <c r="J1207" s="79"/>
      <c r="K1207" s="71">
        <f>YEAR(Accion[[#This Row],[fecha]])</f>
        <v>2014</v>
      </c>
      <c r="L1207" s="79" t="str">
        <f>IF(Accion[[#This Row],[Precio Cierre]]=MAX(Accion[Precio Cierre]),Accion[[#This Row],[Precio Cierre]],"NA")</f>
        <v>NA</v>
      </c>
      <c r="M1207" s="79" t="str">
        <f>IF(Accion[[#This Row],[Precio Cierre]]=MIN(Accion[Precio Cierre]),Accion[[#This Row],[Precio Cierre]],"NA")</f>
        <v>NA</v>
      </c>
    </row>
    <row r="1208" spans="1:13" hidden="1">
      <c r="A1208" s="38" t="s">
        <v>90</v>
      </c>
      <c r="B1208" s="78">
        <v>41836</v>
      </c>
      <c r="C1208" s="79" t="s">
        <v>340</v>
      </c>
      <c r="D1208" s="79"/>
      <c r="E1208" s="79">
        <v>18960</v>
      </c>
      <c r="F1208" s="79">
        <v>18620</v>
      </c>
      <c r="G1208" s="79">
        <v>18620</v>
      </c>
      <c r="H1208" s="79"/>
      <c r="I1208" s="79">
        <v>-0.02</v>
      </c>
      <c r="J1208" s="79"/>
      <c r="K1208" s="71">
        <f>YEAR(Accion[[#This Row],[fecha]])</f>
        <v>2014</v>
      </c>
      <c r="L1208" s="79" t="str">
        <f>IF(Accion[[#This Row],[Precio Cierre]]=MAX(Accion[Precio Cierre]),Accion[[#This Row],[Precio Cierre]],"NA")</f>
        <v>NA</v>
      </c>
      <c r="M1208" s="79" t="str">
        <f>IF(Accion[[#This Row],[Precio Cierre]]=MIN(Accion[Precio Cierre]),Accion[[#This Row],[Precio Cierre]],"NA")</f>
        <v>NA</v>
      </c>
    </row>
    <row r="1209" spans="1:13" hidden="1">
      <c r="A1209" s="38" t="s">
        <v>90</v>
      </c>
      <c r="B1209" s="78">
        <v>41835</v>
      </c>
      <c r="C1209" s="79" t="s">
        <v>341</v>
      </c>
      <c r="D1209" s="79"/>
      <c r="E1209" s="79">
        <v>19000</v>
      </c>
      <c r="F1209" s="79">
        <v>18900</v>
      </c>
      <c r="G1209" s="79">
        <v>19000</v>
      </c>
      <c r="H1209" s="79"/>
      <c r="I1209" s="79">
        <v>-1.55E-2</v>
      </c>
      <c r="J1209" s="79"/>
      <c r="K1209" s="71">
        <f>YEAR(Accion[[#This Row],[fecha]])</f>
        <v>2014</v>
      </c>
      <c r="L1209" s="79" t="str">
        <f>IF(Accion[[#This Row],[Precio Cierre]]=MAX(Accion[Precio Cierre]),Accion[[#This Row],[Precio Cierre]],"NA")</f>
        <v>NA</v>
      </c>
      <c r="M1209" s="79" t="str">
        <f>IF(Accion[[#This Row],[Precio Cierre]]=MIN(Accion[Precio Cierre]),Accion[[#This Row],[Precio Cierre]],"NA")</f>
        <v>NA</v>
      </c>
    </row>
    <row r="1210" spans="1:13" hidden="1">
      <c r="A1210" s="38" t="s">
        <v>90</v>
      </c>
      <c r="B1210" s="78">
        <v>41834</v>
      </c>
      <c r="C1210" s="79" t="s">
        <v>342</v>
      </c>
      <c r="D1210" s="79"/>
      <c r="E1210" s="79">
        <v>19300</v>
      </c>
      <c r="F1210" s="79">
        <v>18940</v>
      </c>
      <c r="G1210" s="79">
        <v>19300</v>
      </c>
      <c r="H1210" s="79"/>
      <c r="I1210" s="79">
        <v>1.9E-2</v>
      </c>
      <c r="J1210" s="79"/>
      <c r="K1210" s="71">
        <f>YEAR(Accion[[#This Row],[fecha]])</f>
        <v>2014</v>
      </c>
      <c r="L1210" s="79" t="str">
        <f>IF(Accion[[#This Row],[Precio Cierre]]=MAX(Accion[Precio Cierre]),Accion[[#This Row],[Precio Cierre]],"NA")</f>
        <v>NA</v>
      </c>
      <c r="M1210" s="79" t="str">
        <f>IF(Accion[[#This Row],[Precio Cierre]]=MIN(Accion[Precio Cierre]),Accion[[#This Row],[Precio Cierre]],"NA")</f>
        <v>NA</v>
      </c>
    </row>
    <row r="1211" spans="1:13" hidden="1">
      <c r="A1211" s="38" t="s">
        <v>90</v>
      </c>
      <c r="B1211" s="78">
        <v>41831</v>
      </c>
      <c r="C1211" s="79" t="s">
        <v>343</v>
      </c>
      <c r="D1211" s="79"/>
      <c r="E1211" s="79">
        <v>18940</v>
      </c>
      <c r="F1211" s="79">
        <v>18440</v>
      </c>
      <c r="G1211" s="79">
        <v>18940</v>
      </c>
      <c r="H1211" s="79"/>
      <c r="I1211" s="79">
        <v>1.18E-2</v>
      </c>
      <c r="J1211" s="79"/>
      <c r="K1211" s="71">
        <f>YEAR(Accion[[#This Row],[fecha]])</f>
        <v>2014</v>
      </c>
      <c r="L1211" s="79" t="str">
        <f>IF(Accion[[#This Row],[Precio Cierre]]=MAX(Accion[Precio Cierre]),Accion[[#This Row],[Precio Cierre]],"NA")</f>
        <v>NA</v>
      </c>
      <c r="M1211" s="79" t="str">
        <f>IF(Accion[[#This Row],[Precio Cierre]]=MIN(Accion[Precio Cierre]),Accion[[#This Row],[Precio Cierre]],"NA")</f>
        <v>NA</v>
      </c>
    </row>
    <row r="1212" spans="1:13" hidden="1">
      <c r="A1212" s="38" t="s">
        <v>90</v>
      </c>
      <c r="B1212" s="78">
        <v>41830</v>
      </c>
      <c r="C1212" s="79" t="s">
        <v>344</v>
      </c>
      <c r="D1212" s="79"/>
      <c r="E1212" s="79">
        <v>19100</v>
      </c>
      <c r="F1212" s="79">
        <v>18720</v>
      </c>
      <c r="G1212" s="79">
        <v>18720</v>
      </c>
      <c r="H1212" s="79"/>
      <c r="I1212" s="79">
        <v>-3.9E-2</v>
      </c>
      <c r="J1212" s="79"/>
      <c r="K1212" s="71">
        <f>YEAR(Accion[[#This Row],[fecha]])</f>
        <v>2014</v>
      </c>
      <c r="L1212" s="79" t="str">
        <f>IF(Accion[[#This Row],[Precio Cierre]]=MAX(Accion[Precio Cierre]),Accion[[#This Row],[Precio Cierre]],"NA")</f>
        <v>NA</v>
      </c>
      <c r="M1212" s="79" t="str">
        <f>IF(Accion[[#This Row],[Precio Cierre]]=MIN(Accion[Precio Cierre]),Accion[[#This Row],[Precio Cierre]],"NA")</f>
        <v>NA</v>
      </c>
    </row>
    <row r="1213" spans="1:13" hidden="1">
      <c r="A1213" s="38" t="s">
        <v>90</v>
      </c>
      <c r="B1213" s="78">
        <v>41829</v>
      </c>
      <c r="C1213" s="79" t="s">
        <v>345</v>
      </c>
      <c r="D1213" s="79"/>
      <c r="E1213" s="79">
        <v>19480</v>
      </c>
      <c r="F1213" s="79">
        <v>18600</v>
      </c>
      <c r="G1213" s="79">
        <v>19480</v>
      </c>
      <c r="H1213" s="79"/>
      <c r="I1213" s="79">
        <v>4.7300000000000002E-2</v>
      </c>
      <c r="J1213" s="79"/>
      <c r="K1213" s="71">
        <f>YEAR(Accion[[#This Row],[fecha]])</f>
        <v>2014</v>
      </c>
      <c r="L1213" s="79" t="str">
        <f>IF(Accion[[#This Row],[Precio Cierre]]=MAX(Accion[Precio Cierre]),Accion[[#This Row],[Precio Cierre]],"NA")</f>
        <v>NA</v>
      </c>
      <c r="M1213" s="79" t="str">
        <f>IF(Accion[[#This Row],[Precio Cierre]]=MIN(Accion[Precio Cierre]),Accion[[#This Row],[Precio Cierre]],"NA")</f>
        <v>NA</v>
      </c>
    </row>
    <row r="1214" spans="1:13" hidden="1">
      <c r="A1214" s="38" t="s">
        <v>90</v>
      </c>
      <c r="B1214" s="78">
        <v>41828</v>
      </c>
      <c r="C1214" s="79" t="s">
        <v>346</v>
      </c>
      <c r="D1214" s="79"/>
      <c r="E1214" s="79">
        <v>18980</v>
      </c>
      <c r="F1214" s="79">
        <v>18580</v>
      </c>
      <c r="G1214" s="79">
        <v>18600</v>
      </c>
      <c r="H1214" s="79"/>
      <c r="I1214" s="79">
        <v>0</v>
      </c>
      <c r="J1214" s="79"/>
      <c r="K1214" s="71">
        <f>YEAR(Accion[[#This Row],[fecha]])</f>
        <v>2014</v>
      </c>
      <c r="L1214" s="79" t="str">
        <f>IF(Accion[[#This Row],[Precio Cierre]]=MAX(Accion[Precio Cierre]),Accion[[#This Row],[Precio Cierre]],"NA")</f>
        <v>NA</v>
      </c>
      <c r="M1214" s="79" t="str">
        <f>IF(Accion[[#This Row],[Precio Cierre]]=MIN(Accion[Precio Cierre]),Accion[[#This Row],[Precio Cierre]],"NA")</f>
        <v>NA</v>
      </c>
    </row>
    <row r="1215" spans="1:13" hidden="1">
      <c r="A1215" s="38" t="s">
        <v>90</v>
      </c>
      <c r="B1215" s="78">
        <v>41827</v>
      </c>
      <c r="C1215" s="79" t="s">
        <v>347</v>
      </c>
      <c r="D1215" s="79"/>
      <c r="E1215" s="79">
        <v>19900</v>
      </c>
      <c r="F1215" s="79">
        <v>18600</v>
      </c>
      <c r="G1215" s="79">
        <v>18600</v>
      </c>
      <c r="H1215" s="79"/>
      <c r="I1215" s="79">
        <v>-3.6299999999999999E-2</v>
      </c>
      <c r="J1215" s="79"/>
      <c r="K1215" s="71">
        <f>YEAR(Accion[[#This Row],[fecha]])</f>
        <v>2014</v>
      </c>
      <c r="L1215" s="79" t="str">
        <f>IF(Accion[[#This Row],[Precio Cierre]]=MAX(Accion[Precio Cierre]),Accion[[#This Row],[Precio Cierre]],"NA")</f>
        <v>NA</v>
      </c>
      <c r="M1215" s="79" t="str">
        <f>IF(Accion[[#This Row],[Precio Cierre]]=MIN(Accion[Precio Cierre]),Accion[[#This Row],[Precio Cierre]],"NA")</f>
        <v>NA</v>
      </c>
    </row>
    <row r="1216" spans="1:13" hidden="1">
      <c r="A1216" s="38" t="s">
        <v>90</v>
      </c>
      <c r="B1216" s="78">
        <v>41824</v>
      </c>
      <c r="C1216" s="79" t="s">
        <v>348</v>
      </c>
      <c r="D1216" s="79"/>
      <c r="E1216" s="79">
        <v>19700</v>
      </c>
      <c r="F1216" s="79">
        <v>18900</v>
      </c>
      <c r="G1216" s="79">
        <v>19300</v>
      </c>
      <c r="H1216" s="79"/>
      <c r="I1216" s="79">
        <v>1.7899999999999999E-2</v>
      </c>
      <c r="J1216" s="79"/>
      <c r="K1216" s="71">
        <f>YEAR(Accion[[#This Row],[fecha]])</f>
        <v>2014</v>
      </c>
      <c r="L1216" s="79" t="str">
        <f>IF(Accion[[#This Row],[Precio Cierre]]=MAX(Accion[Precio Cierre]),Accion[[#This Row],[Precio Cierre]],"NA")</f>
        <v>NA</v>
      </c>
      <c r="M1216" s="79" t="str">
        <f>IF(Accion[[#This Row],[Precio Cierre]]=MIN(Accion[Precio Cierre]),Accion[[#This Row],[Precio Cierre]],"NA")</f>
        <v>NA</v>
      </c>
    </row>
    <row r="1217" spans="1:13" hidden="1">
      <c r="A1217" s="38" t="s">
        <v>90</v>
      </c>
      <c r="B1217" s="78">
        <v>41823</v>
      </c>
      <c r="C1217" s="79" t="s">
        <v>349</v>
      </c>
      <c r="D1217" s="79"/>
      <c r="E1217" s="79">
        <v>19700</v>
      </c>
      <c r="F1217" s="79">
        <v>18720</v>
      </c>
      <c r="G1217" s="79">
        <v>18960</v>
      </c>
      <c r="H1217" s="79"/>
      <c r="I1217" s="79">
        <v>3.2000000000000002E-3</v>
      </c>
      <c r="J1217" s="79"/>
      <c r="K1217" s="71">
        <f>YEAR(Accion[[#This Row],[fecha]])</f>
        <v>2014</v>
      </c>
      <c r="L1217" s="79" t="str">
        <f>IF(Accion[[#This Row],[Precio Cierre]]=MAX(Accion[Precio Cierre]),Accion[[#This Row],[Precio Cierre]],"NA")</f>
        <v>NA</v>
      </c>
      <c r="M1217" s="79" t="str">
        <f>IF(Accion[[#This Row],[Precio Cierre]]=MIN(Accion[Precio Cierre]),Accion[[#This Row],[Precio Cierre]],"NA")</f>
        <v>NA</v>
      </c>
    </row>
    <row r="1218" spans="1:13" hidden="1">
      <c r="A1218" s="38" t="s">
        <v>90</v>
      </c>
      <c r="B1218" s="78">
        <v>41822</v>
      </c>
      <c r="C1218" s="79" t="s">
        <v>350</v>
      </c>
      <c r="D1218" s="79"/>
      <c r="E1218" s="79">
        <v>19000</v>
      </c>
      <c r="F1218" s="79">
        <v>18900</v>
      </c>
      <c r="G1218" s="79">
        <v>18900</v>
      </c>
      <c r="H1218" s="79"/>
      <c r="I1218" s="79">
        <v>-5.3E-3</v>
      </c>
      <c r="J1218" s="79"/>
      <c r="K1218" s="71">
        <f>YEAR(Accion[[#This Row],[fecha]])</f>
        <v>2014</v>
      </c>
      <c r="L1218" s="79" t="str">
        <f>IF(Accion[[#This Row],[Precio Cierre]]=MAX(Accion[Precio Cierre]),Accion[[#This Row],[Precio Cierre]],"NA")</f>
        <v>NA</v>
      </c>
      <c r="M1218" s="79" t="str">
        <f>IF(Accion[[#This Row],[Precio Cierre]]=MIN(Accion[Precio Cierre]),Accion[[#This Row],[Precio Cierre]],"NA")</f>
        <v>NA</v>
      </c>
    </row>
    <row r="1219" spans="1:13" hidden="1">
      <c r="A1219" s="38" t="s">
        <v>90</v>
      </c>
      <c r="B1219" s="78">
        <v>41821</v>
      </c>
      <c r="C1219" s="79" t="s">
        <v>351</v>
      </c>
      <c r="D1219" s="79"/>
      <c r="E1219" s="79">
        <v>19000</v>
      </c>
      <c r="F1219" s="79">
        <v>18320</v>
      </c>
      <c r="G1219" s="79">
        <v>19000</v>
      </c>
      <c r="H1219" s="79"/>
      <c r="I1219" s="79">
        <v>3.2599999999999997E-2</v>
      </c>
      <c r="J1219" s="79"/>
      <c r="K1219" s="71">
        <f>YEAR(Accion[[#This Row],[fecha]])</f>
        <v>2014</v>
      </c>
      <c r="L1219" s="79" t="str">
        <f>IF(Accion[[#This Row],[Precio Cierre]]=MAX(Accion[Precio Cierre]),Accion[[#This Row],[Precio Cierre]],"NA")</f>
        <v>NA</v>
      </c>
      <c r="M1219" s="79" t="str">
        <f>IF(Accion[[#This Row],[Precio Cierre]]=MIN(Accion[Precio Cierre]),Accion[[#This Row],[Precio Cierre]],"NA")</f>
        <v>NA</v>
      </c>
    </row>
    <row r="1220" spans="1:13" hidden="1">
      <c r="A1220" s="38" t="s">
        <v>90</v>
      </c>
      <c r="B1220" s="78">
        <v>41817</v>
      </c>
      <c r="C1220" s="79" t="s">
        <v>352</v>
      </c>
      <c r="D1220" s="79"/>
      <c r="E1220" s="79">
        <v>18800</v>
      </c>
      <c r="F1220" s="79">
        <v>18400</v>
      </c>
      <c r="G1220" s="79">
        <v>18400</v>
      </c>
      <c r="H1220" s="79"/>
      <c r="I1220" s="79">
        <v>-1.6E-2</v>
      </c>
      <c r="J1220" s="79"/>
      <c r="K1220" s="71">
        <f>YEAR(Accion[[#This Row],[fecha]])</f>
        <v>2014</v>
      </c>
      <c r="L1220" s="79" t="str">
        <f>IF(Accion[[#This Row],[Precio Cierre]]=MAX(Accion[Precio Cierre]),Accion[[#This Row],[Precio Cierre]],"NA")</f>
        <v>NA</v>
      </c>
      <c r="M1220" s="79" t="str">
        <f>IF(Accion[[#This Row],[Precio Cierre]]=MIN(Accion[Precio Cierre]),Accion[[#This Row],[Precio Cierre]],"NA")</f>
        <v>NA</v>
      </c>
    </row>
    <row r="1221" spans="1:13" hidden="1">
      <c r="A1221" s="38" t="s">
        <v>90</v>
      </c>
      <c r="B1221" s="78">
        <v>41816</v>
      </c>
      <c r="C1221" s="79" t="s">
        <v>353</v>
      </c>
      <c r="D1221" s="79"/>
      <c r="E1221" s="79">
        <v>18760</v>
      </c>
      <c r="F1221" s="79">
        <v>18700</v>
      </c>
      <c r="G1221" s="79">
        <v>18700</v>
      </c>
      <c r="H1221" s="79"/>
      <c r="I1221" s="79">
        <v>-5.3E-3</v>
      </c>
      <c r="J1221" s="79"/>
      <c r="K1221" s="71">
        <f>YEAR(Accion[[#This Row],[fecha]])</f>
        <v>2014</v>
      </c>
      <c r="L1221" s="79" t="str">
        <f>IF(Accion[[#This Row],[Precio Cierre]]=MAX(Accion[Precio Cierre]),Accion[[#This Row],[Precio Cierre]],"NA")</f>
        <v>NA</v>
      </c>
      <c r="M1221" s="79" t="str">
        <f>IF(Accion[[#This Row],[Precio Cierre]]=MIN(Accion[Precio Cierre]),Accion[[#This Row],[Precio Cierre]],"NA")</f>
        <v>NA</v>
      </c>
    </row>
    <row r="1222" spans="1:13" hidden="1">
      <c r="A1222" s="38" t="s">
        <v>90</v>
      </c>
      <c r="B1222" s="78">
        <v>41815</v>
      </c>
      <c r="C1222" s="79" t="s">
        <v>354</v>
      </c>
      <c r="D1222" s="79"/>
      <c r="E1222" s="79">
        <v>19000</v>
      </c>
      <c r="F1222" s="79">
        <v>18760</v>
      </c>
      <c r="G1222" s="79">
        <v>18800</v>
      </c>
      <c r="H1222" s="79"/>
      <c r="I1222" s="79">
        <v>-1.0500000000000001E-2</v>
      </c>
      <c r="J1222" s="79"/>
      <c r="K1222" s="71">
        <f>YEAR(Accion[[#This Row],[fecha]])</f>
        <v>2014</v>
      </c>
      <c r="L1222" s="79" t="str">
        <f>IF(Accion[[#This Row],[Precio Cierre]]=MAX(Accion[Precio Cierre]),Accion[[#This Row],[Precio Cierre]],"NA")</f>
        <v>NA</v>
      </c>
      <c r="M1222" s="79" t="str">
        <f>IF(Accion[[#This Row],[Precio Cierre]]=MIN(Accion[Precio Cierre]),Accion[[#This Row],[Precio Cierre]],"NA")</f>
        <v>NA</v>
      </c>
    </row>
    <row r="1223" spans="1:13" hidden="1">
      <c r="A1223" s="38" t="s">
        <v>90</v>
      </c>
      <c r="B1223" s="78">
        <v>41814</v>
      </c>
      <c r="C1223" s="79" t="s">
        <v>355</v>
      </c>
      <c r="D1223" s="79"/>
      <c r="E1223" s="79">
        <v>19200</v>
      </c>
      <c r="F1223" s="79">
        <v>19000</v>
      </c>
      <c r="G1223" s="79">
        <v>19000</v>
      </c>
      <c r="H1223" s="79"/>
      <c r="I1223" s="79">
        <v>-1.14E-2</v>
      </c>
      <c r="J1223" s="79"/>
      <c r="K1223" s="71">
        <f>YEAR(Accion[[#This Row],[fecha]])</f>
        <v>2014</v>
      </c>
      <c r="L1223" s="79" t="str">
        <f>IF(Accion[[#This Row],[Precio Cierre]]=MAX(Accion[Precio Cierre]),Accion[[#This Row],[Precio Cierre]],"NA")</f>
        <v>NA</v>
      </c>
      <c r="M1223" s="79" t="str">
        <f>IF(Accion[[#This Row],[Precio Cierre]]=MIN(Accion[Precio Cierre]),Accion[[#This Row],[Precio Cierre]],"NA")</f>
        <v>NA</v>
      </c>
    </row>
    <row r="1224" spans="1:13" hidden="1">
      <c r="A1224" s="38" t="s">
        <v>90</v>
      </c>
      <c r="B1224" s="78">
        <v>41810</v>
      </c>
      <c r="C1224" s="79" t="s">
        <v>356</v>
      </c>
      <c r="D1224" s="79"/>
      <c r="E1224" s="79">
        <v>19380</v>
      </c>
      <c r="F1224" s="79">
        <v>19140</v>
      </c>
      <c r="G1224" s="79">
        <v>19220</v>
      </c>
      <c r="H1224" s="79"/>
      <c r="I1224" s="79">
        <v>1.1599999999999999E-2</v>
      </c>
      <c r="J1224" s="79"/>
      <c r="K1224" s="71">
        <f>YEAR(Accion[[#This Row],[fecha]])</f>
        <v>2014</v>
      </c>
      <c r="L1224" s="79" t="str">
        <f>IF(Accion[[#This Row],[Precio Cierre]]=MAX(Accion[Precio Cierre]),Accion[[#This Row],[Precio Cierre]],"NA")</f>
        <v>NA</v>
      </c>
      <c r="M1224" s="79" t="str">
        <f>IF(Accion[[#This Row],[Precio Cierre]]=MIN(Accion[Precio Cierre]),Accion[[#This Row],[Precio Cierre]],"NA")</f>
        <v>NA</v>
      </c>
    </row>
    <row r="1225" spans="1:13" hidden="1">
      <c r="A1225" s="38" t="s">
        <v>90</v>
      </c>
      <c r="B1225" s="78">
        <v>41809</v>
      </c>
      <c r="C1225" s="79" t="s">
        <v>357</v>
      </c>
      <c r="D1225" s="79"/>
      <c r="E1225" s="79">
        <v>19500</v>
      </c>
      <c r="F1225" s="79">
        <v>19000</v>
      </c>
      <c r="G1225" s="79">
        <v>19000</v>
      </c>
      <c r="H1225" s="79"/>
      <c r="I1225" s="79">
        <v>1.1000000000000001E-3</v>
      </c>
      <c r="J1225" s="79"/>
      <c r="K1225" s="71">
        <f>YEAR(Accion[[#This Row],[fecha]])</f>
        <v>2014</v>
      </c>
      <c r="L1225" s="79" t="str">
        <f>IF(Accion[[#This Row],[Precio Cierre]]=MAX(Accion[Precio Cierre]),Accion[[#This Row],[Precio Cierre]],"NA")</f>
        <v>NA</v>
      </c>
      <c r="M1225" s="79" t="str">
        <f>IF(Accion[[#This Row],[Precio Cierre]]=MIN(Accion[Precio Cierre]),Accion[[#This Row],[Precio Cierre]],"NA")</f>
        <v>NA</v>
      </c>
    </row>
    <row r="1226" spans="1:13" hidden="1">
      <c r="A1226" s="38" t="s">
        <v>90</v>
      </c>
      <c r="B1226" s="78">
        <v>41808</v>
      </c>
      <c r="C1226" s="79" t="s">
        <v>358</v>
      </c>
      <c r="D1226" s="79"/>
      <c r="E1226" s="79">
        <v>19000</v>
      </c>
      <c r="F1226" s="79">
        <v>18380</v>
      </c>
      <c r="G1226" s="79">
        <v>18980</v>
      </c>
      <c r="H1226" s="79"/>
      <c r="I1226" s="79">
        <v>4.7500000000000001E-2</v>
      </c>
      <c r="J1226" s="79"/>
      <c r="K1226" s="71">
        <f>YEAR(Accion[[#This Row],[fecha]])</f>
        <v>2014</v>
      </c>
      <c r="L1226" s="79" t="str">
        <f>IF(Accion[[#This Row],[Precio Cierre]]=MAX(Accion[Precio Cierre]),Accion[[#This Row],[Precio Cierre]],"NA")</f>
        <v>NA</v>
      </c>
      <c r="M1226" s="79" t="str">
        <f>IF(Accion[[#This Row],[Precio Cierre]]=MIN(Accion[Precio Cierre]),Accion[[#This Row],[Precio Cierre]],"NA")</f>
        <v>NA</v>
      </c>
    </row>
    <row r="1227" spans="1:13" hidden="1">
      <c r="A1227" s="38" t="s">
        <v>90</v>
      </c>
      <c r="B1227" s="78">
        <v>41807</v>
      </c>
      <c r="C1227" s="79" t="s">
        <v>359</v>
      </c>
      <c r="D1227" s="79"/>
      <c r="E1227" s="79">
        <v>18800</v>
      </c>
      <c r="F1227" s="79">
        <v>18000</v>
      </c>
      <c r="G1227" s="79">
        <v>18120</v>
      </c>
      <c r="H1227" s="79"/>
      <c r="I1227" s="79">
        <v>-3.5099999999999999E-2</v>
      </c>
      <c r="J1227" s="79"/>
      <c r="K1227" s="71">
        <f>YEAR(Accion[[#This Row],[fecha]])</f>
        <v>2014</v>
      </c>
      <c r="L1227" s="79" t="str">
        <f>IF(Accion[[#This Row],[Precio Cierre]]=MAX(Accion[Precio Cierre]),Accion[[#This Row],[Precio Cierre]],"NA")</f>
        <v>NA</v>
      </c>
      <c r="M1227" s="79" t="str">
        <f>IF(Accion[[#This Row],[Precio Cierre]]=MIN(Accion[Precio Cierre]),Accion[[#This Row],[Precio Cierre]],"NA")</f>
        <v>NA</v>
      </c>
    </row>
    <row r="1228" spans="1:13" hidden="1">
      <c r="A1228" s="38" t="s">
        <v>90</v>
      </c>
      <c r="B1228" s="78">
        <v>41806</v>
      </c>
      <c r="C1228" s="79" t="s">
        <v>360</v>
      </c>
      <c r="D1228" s="79"/>
      <c r="E1228" s="79">
        <v>18780</v>
      </c>
      <c r="F1228" s="79">
        <v>18000</v>
      </c>
      <c r="G1228" s="79">
        <v>18780</v>
      </c>
      <c r="H1228" s="79"/>
      <c r="I1228" s="79">
        <v>1.29E-2</v>
      </c>
      <c r="J1228" s="79"/>
      <c r="K1228" s="71">
        <f>YEAR(Accion[[#This Row],[fecha]])</f>
        <v>2014</v>
      </c>
      <c r="L1228" s="79" t="str">
        <f>IF(Accion[[#This Row],[Precio Cierre]]=MAX(Accion[Precio Cierre]),Accion[[#This Row],[Precio Cierre]],"NA")</f>
        <v>NA</v>
      </c>
      <c r="M1228" s="79" t="str">
        <f>IF(Accion[[#This Row],[Precio Cierre]]=MIN(Accion[Precio Cierre]),Accion[[#This Row],[Precio Cierre]],"NA")</f>
        <v>NA</v>
      </c>
    </row>
    <row r="1229" spans="1:13" hidden="1">
      <c r="A1229" s="38" t="s">
        <v>90</v>
      </c>
      <c r="B1229" s="78">
        <v>41803</v>
      </c>
      <c r="C1229" s="79" t="s">
        <v>361</v>
      </c>
      <c r="D1229" s="79"/>
      <c r="E1229" s="79">
        <v>19000</v>
      </c>
      <c r="F1229" s="79">
        <v>18540</v>
      </c>
      <c r="G1229" s="79">
        <v>18540</v>
      </c>
      <c r="H1229" s="79"/>
      <c r="I1229" s="79">
        <v>-3.3399999999999999E-2</v>
      </c>
      <c r="J1229" s="79"/>
      <c r="K1229" s="71">
        <f>YEAR(Accion[[#This Row],[fecha]])</f>
        <v>2014</v>
      </c>
      <c r="L1229" s="79" t="str">
        <f>IF(Accion[[#This Row],[Precio Cierre]]=MAX(Accion[Precio Cierre]),Accion[[#This Row],[Precio Cierre]],"NA")</f>
        <v>NA</v>
      </c>
      <c r="M1229" s="79" t="str">
        <f>IF(Accion[[#This Row],[Precio Cierre]]=MIN(Accion[Precio Cierre]),Accion[[#This Row],[Precio Cierre]],"NA")</f>
        <v>NA</v>
      </c>
    </row>
    <row r="1230" spans="1:13" hidden="1">
      <c r="A1230" s="38" t="s">
        <v>90</v>
      </c>
      <c r="B1230" s="78">
        <v>41802</v>
      </c>
      <c r="C1230" s="79" t="s">
        <v>362</v>
      </c>
      <c r="D1230" s="79"/>
      <c r="E1230" s="79">
        <v>20300</v>
      </c>
      <c r="F1230" s="79">
        <v>19000</v>
      </c>
      <c r="G1230" s="79">
        <v>19180</v>
      </c>
      <c r="H1230" s="79"/>
      <c r="I1230" s="79">
        <v>-3.2300000000000002E-2</v>
      </c>
      <c r="J1230" s="79"/>
      <c r="K1230" s="71">
        <f>YEAR(Accion[[#This Row],[fecha]])</f>
        <v>2014</v>
      </c>
      <c r="L1230" s="79" t="str">
        <f>IF(Accion[[#This Row],[Precio Cierre]]=MAX(Accion[Precio Cierre]),Accion[[#This Row],[Precio Cierre]],"NA")</f>
        <v>NA</v>
      </c>
      <c r="M1230" s="79" t="str">
        <f>IF(Accion[[#This Row],[Precio Cierre]]=MIN(Accion[Precio Cierre]),Accion[[#This Row],[Precio Cierre]],"NA")</f>
        <v>NA</v>
      </c>
    </row>
    <row r="1231" spans="1:13" hidden="1">
      <c r="A1231" s="38" t="s">
        <v>90</v>
      </c>
      <c r="B1231" s="78">
        <v>41801</v>
      </c>
      <c r="C1231" s="79" t="s">
        <v>363</v>
      </c>
      <c r="D1231" s="79"/>
      <c r="E1231" s="79">
        <v>19820</v>
      </c>
      <c r="F1231" s="79">
        <v>18840</v>
      </c>
      <c r="G1231" s="79">
        <v>19820</v>
      </c>
      <c r="H1231" s="79"/>
      <c r="I1231" s="79">
        <v>5.4300000000000001E-2</v>
      </c>
      <c r="J1231" s="79"/>
      <c r="K1231" s="71">
        <f>YEAR(Accion[[#This Row],[fecha]])</f>
        <v>2014</v>
      </c>
      <c r="L1231" s="79">
        <f>IF(Accion[[#This Row],[Precio Cierre]]=MAX(Accion[Precio Cierre]),Accion[[#This Row],[Precio Cierre]],"NA")</f>
        <v>19820</v>
      </c>
      <c r="M1231" s="79" t="str">
        <f>IF(Accion[[#This Row],[Precio Cierre]]=MIN(Accion[Precio Cierre]),Accion[[#This Row],[Precio Cierre]],"NA")</f>
        <v>NA</v>
      </c>
    </row>
    <row r="1232" spans="1:13" hidden="1">
      <c r="A1232" s="38" t="s">
        <v>90</v>
      </c>
      <c r="B1232" s="78">
        <v>41800</v>
      </c>
      <c r="C1232" s="79" t="s">
        <v>364</v>
      </c>
      <c r="D1232" s="79"/>
      <c r="E1232" s="79">
        <v>18800</v>
      </c>
      <c r="F1232" s="79">
        <v>18100</v>
      </c>
      <c r="G1232" s="79">
        <v>18800</v>
      </c>
      <c r="H1232" s="79"/>
      <c r="I1232" s="79">
        <v>5.0299999999999997E-2</v>
      </c>
      <c r="J1232" s="79"/>
      <c r="K1232" s="71">
        <f>YEAR(Accion[[#This Row],[fecha]])</f>
        <v>2014</v>
      </c>
      <c r="L1232" s="79" t="str">
        <f>IF(Accion[[#This Row],[Precio Cierre]]=MAX(Accion[Precio Cierre]),Accion[[#This Row],[Precio Cierre]],"NA")</f>
        <v>NA</v>
      </c>
      <c r="M1232" s="79" t="str">
        <f>IF(Accion[[#This Row],[Precio Cierre]]=MIN(Accion[Precio Cierre]),Accion[[#This Row],[Precio Cierre]],"NA")</f>
        <v>NA</v>
      </c>
    </row>
    <row r="1233" spans="1:13" hidden="1">
      <c r="A1233" s="38" t="s">
        <v>90</v>
      </c>
      <c r="B1233" s="78">
        <v>41799</v>
      </c>
      <c r="C1233" s="79" t="s">
        <v>365</v>
      </c>
      <c r="D1233" s="79"/>
      <c r="E1233" s="79">
        <v>18000</v>
      </c>
      <c r="F1233" s="79">
        <v>17900</v>
      </c>
      <c r="G1233" s="79">
        <v>17900</v>
      </c>
      <c r="H1233" s="79"/>
      <c r="I1233" s="79">
        <v>-5.5999999999999999E-3</v>
      </c>
      <c r="J1233" s="79"/>
      <c r="K1233" s="71">
        <f>YEAR(Accion[[#This Row],[fecha]])</f>
        <v>2014</v>
      </c>
      <c r="L1233" s="79" t="str">
        <f>IF(Accion[[#This Row],[Precio Cierre]]=MAX(Accion[Precio Cierre]),Accion[[#This Row],[Precio Cierre]],"NA")</f>
        <v>NA</v>
      </c>
      <c r="M1233" s="79" t="str">
        <f>IF(Accion[[#This Row],[Precio Cierre]]=MIN(Accion[Precio Cierre]),Accion[[#This Row],[Precio Cierre]],"NA")</f>
        <v>NA</v>
      </c>
    </row>
    <row r="1234" spans="1:13" hidden="1">
      <c r="A1234" s="38" t="s">
        <v>90</v>
      </c>
      <c r="B1234" s="78">
        <v>41796</v>
      </c>
      <c r="C1234" s="79" t="s">
        <v>366</v>
      </c>
      <c r="D1234" s="79"/>
      <c r="E1234" s="79">
        <v>18000</v>
      </c>
      <c r="F1234" s="79">
        <v>17700</v>
      </c>
      <c r="G1234" s="79">
        <v>18000</v>
      </c>
      <c r="H1234" s="79"/>
      <c r="I1234" s="79">
        <v>1.12E-2</v>
      </c>
      <c r="J1234" s="79"/>
      <c r="K1234" s="71">
        <f>YEAR(Accion[[#This Row],[fecha]])</f>
        <v>2014</v>
      </c>
      <c r="L1234" s="79" t="str">
        <f>IF(Accion[[#This Row],[Precio Cierre]]=MAX(Accion[Precio Cierre]),Accion[[#This Row],[Precio Cierre]],"NA")</f>
        <v>NA</v>
      </c>
      <c r="M1234" s="79" t="str">
        <f>IF(Accion[[#This Row],[Precio Cierre]]=MIN(Accion[Precio Cierre]),Accion[[#This Row],[Precio Cierre]],"NA")</f>
        <v>NA</v>
      </c>
    </row>
    <row r="1235" spans="1:13" hidden="1">
      <c r="A1235" s="38" t="s">
        <v>90</v>
      </c>
      <c r="B1235" s="78">
        <v>41795</v>
      </c>
      <c r="C1235" s="79" t="s">
        <v>367</v>
      </c>
      <c r="D1235" s="79"/>
      <c r="E1235" s="79">
        <v>17800</v>
      </c>
      <c r="F1235" s="79">
        <v>17500</v>
      </c>
      <c r="G1235" s="79">
        <v>17800</v>
      </c>
      <c r="H1235" s="79"/>
      <c r="I1235" s="79">
        <v>2.8899999999999999E-2</v>
      </c>
      <c r="J1235" s="79"/>
      <c r="K1235" s="71">
        <f>YEAR(Accion[[#This Row],[fecha]])</f>
        <v>2014</v>
      </c>
      <c r="L1235" s="79" t="str">
        <f>IF(Accion[[#This Row],[Precio Cierre]]=MAX(Accion[Precio Cierre]),Accion[[#This Row],[Precio Cierre]],"NA")</f>
        <v>NA</v>
      </c>
      <c r="M1235" s="79" t="str">
        <f>IF(Accion[[#This Row],[Precio Cierre]]=MIN(Accion[Precio Cierre]),Accion[[#This Row],[Precio Cierre]],"NA")</f>
        <v>NA</v>
      </c>
    </row>
    <row r="1236" spans="1:13" hidden="1">
      <c r="A1236" s="38" t="s">
        <v>90</v>
      </c>
      <c r="B1236" s="78">
        <v>41794</v>
      </c>
      <c r="C1236" s="79" t="s">
        <v>368</v>
      </c>
      <c r="D1236" s="79"/>
      <c r="E1236" s="79">
        <v>17480</v>
      </c>
      <c r="F1236" s="79">
        <v>17000</v>
      </c>
      <c r="G1236" s="79">
        <v>17300</v>
      </c>
      <c r="H1236" s="79"/>
      <c r="I1236" s="79">
        <v>1.7600000000000001E-2</v>
      </c>
      <c r="J1236" s="79"/>
      <c r="K1236" s="71">
        <f>YEAR(Accion[[#This Row],[fecha]])</f>
        <v>2014</v>
      </c>
      <c r="L1236" s="79" t="str">
        <f>IF(Accion[[#This Row],[Precio Cierre]]=MAX(Accion[Precio Cierre]),Accion[[#This Row],[Precio Cierre]],"NA")</f>
        <v>NA</v>
      </c>
      <c r="M1236" s="79" t="str">
        <f>IF(Accion[[#This Row],[Precio Cierre]]=MIN(Accion[Precio Cierre]),Accion[[#This Row],[Precio Cierre]],"NA")</f>
        <v>NA</v>
      </c>
    </row>
    <row r="1237" spans="1:13" hidden="1">
      <c r="A1237" s="38" t="s">
        <v>90</v>
      </c>
      <c r="B1237" s="78">
        <v>41793</v>
      </c>
      <c r="C1237" s="79" t="s">
        <v>369</v>
      </c>
      <c r="D1237" s="79"/>
      <c r="E1237" s="79">
        <v>17800</v>
      </c>
      <c r="F1237" s="79">
        <v>17000</v>
      </c>
      <c r="G1237" s="79">
        <v>17000</v>
      </c>
      <c r="H1237" s="79"/>
      <c r="I1237" s="79">
        <v>-2.52E-2</v>
      </c>
      <c r="J1237" s="79"/>
      <c r="K1237" s="71">
        <f>YEAR(Accion[[#This Row],[fecha]])</f>
        <v>2014</v>
      </c>
      <c r="L1237" s="79" t="str">
        <f>IF(Accion[[#This Row],[Precio Cierre]]=MAX(Accion[Precio Cierre]),Accion[[#This Row],[Precio Cierre]],"NA")</f>
        <v>NA</v>
      </c>
      <c r="M1237" s="79" t="str">
        <f>IF(Accion[[#This Row],[Precio Cierre]]=MIN(Accion[Precio Cierre]),Accion[[#This Row],[Precio Cierre]],"NA")</f>
        <v>NA</v>
      </c>
    </row>
    <row r="1238" spans="1:13" hidden="1">
      <c r="A1238" s="38" t="s">
        <v>90</v>
      </c>
      <c r="B1238" s="78">
        <v>41789</v>
      </c>
      <c r="C1238" s="79" t="s">
        <v>370</v>
      </c>
      <c r="D1238" s="79"/>
      <c r="E1238" s="79">
        <v>17980</v>
      </c>
      <c r="F1238" s="79">
        <v>17420</v>
      </c>
      <c r="G1238" s="79">
        <v>17440</v>
      </c>
      <c r="H1238" s="79"/>
      <c r="I1238" s="79">
        <v>-2.46E-2</v>
      </c>
      <c r="J1238" s="79"/>
      <c r="K1238" s="71">
        <f>YEAR(Accion[[#This Row],[fecha]])</f>
        <v>2014</v>
      </c>
      <c r="L1238" s="79" t="str">
        <f>IF(Accion[[#This Row],[Precio Cierre]]=MAX(Accion[Precio Cierre]),Accion[[#This Row],[Precio Cierre]],"NA")</f>
        <v>NA</v>
      </c>
      <c r="M1238" s="79" t="str">
        <f>IF(Accion[[#This Row],[Precio Cierre]]=MIN(Accion[Precio Cierre]),Accion[[#This Row],[Precio Cierre]],"NA")</f>
        <v>NA</v>
      </c>
    </row>
    <row r="1239" spans="1:13" hidden="1">
      <c r="A1239" s="38" t="s">
        <v>90</v>
      </c>
      <c r="B1239" s="78">
        <v>41788</v>
      </c>
      <c r="C1239" s="79" t="s">
        <v>371</v>
      </c>
      <c r="D1239" s="79"/>
      <c r="E1239" s="79">
        <v>17880</v>
      </c>
      <c r="F1239" s="79">
        <v>17200</v>
      </c>
      <c r="G1239" s="79">
        <v>17880</v>
      </c>
      <c r="H1239" s="79"/>
      <c r="I1239" s="79">
        <v>0.03</v>
      </c>
      <c r="J1239" s="79"/>
      <c r="K1239" s="71">
        <f>YEAR(Accion[[#This Row],[fecha]])</f>
        <v>2014</v>
      </c>
      <c r="L1239" s="79" t="str">
        <f>IF(Accion[[#This Row],[Precio Cierre]]=MAX(Accion[Precio Cierre]),Accion[[#This Row],[Precio Cierre]],"NA")</f>
        <v>NA</v>
      </c>
      <c r="M1239" s="79" t="str">
        <f>IF(Accion[[#This Row],[Precio Cierre]]=MIN(Accion[Precio Cierre]),Accion[[#This Row],[Precio Cierre]],"NA")</f>
        <v>NA</v>
      </c>
    </row>
    <row r="1240" spans="1:13" hidden="1">
      <c r="A1240" s="38" t="s">
        <v>90</v>
      </c>
      <c r="B1240" s="78">
        <v>41787</v>
      </c>
      <c r="C1240" s="79" t="s">
        <v>372</v>
      </c>
      <c r="D1240" s="79"/>
      <c r="E1240" s="79">
        <v>17360</v>
      </c>
      <c r="F1240" s="79">
        <v>17120</v>
      </c>
      <c r="G1240" s="79">
        <v>17360</v>
      </c>
      <c r="H1240" s="79"/>
      <c r="I1240" s="79">
        <v>1.4E-2</v>
      </c>
      <c r="J1240" s="79"/>
      <c r="K1240" s="71">
        <f>YEAR(Accion[[#This Row],[fecha]])</f>
        <v>2014</v>
      </c>
      <c r="L1240" s="79" t="str">
        <f>IF(Accion[[#This Row],[Precio Cierre]]=MAX(Accion[Precio Cierre]),Accion[[#This Row],[Precio Cierre]],"NA")</f>
        <v>NA</v>
      </c>
      <c r="M1240" s="79" t="str">
        <f>IF(Accion[[#This Row],[Precio Cierre]]=MIN(Accion[Precio Cierre]),Accion[[#This Row],[Precio Cierre]],"NA")</f>
        <v>NA</v>
      </c>
    </row>
    <row r="1241" spans="1:13" hidden="1">
      <c r="A1241" s="38" t="s">
        <v>90</v>
      </c>
      <c r="B1241" s="78">
        <v>41786</v>
      </c>
      <c r="C1241" s="79" t="s">
        <v>373</v>
      </c>
      <c r="D1241" s="79"/>
      <c r="E1241" s="79">
        <v>17120</v>
      </c>
      <c r="F1241" s="79">
        <v>16800</v>
      </c>
      <c r="G1241" s="79">
        <v>17120</v>
      </c>
      <c r="H1241" s="79"/>
      <c r="I1241" s="79">
        <v>1.2999999999999999E-2</v>
      </c>
      <c r="J1241" s="79"/>
      <c r="K1241" s="71">
        <f>YEAR(Accion[[#This Row],[fecha]])</f>
        <v>2014</v>
      </c>
      <c r="L1241" s="79" t="str">
        <f>IF(Accion[[#This Row],[Precio Cierre]]=MAX(Accion[Precio Cierre]),Accion[[#This Row],[Precio Cierre]],"NA")</f>
        <v>NA</v>
      </c>
      <c r="M1241" s="79" t="str">
        <f>IF(Accion[[#This Row],[Precio Cierre]]=MIN(Accion[Precio Cierre]),Accion[[#This Row],[Precio Cierre]],"NA")</f>
        <v>NA</v>
      </c>
    </row>
    <row r="1242" spans="1:13" hidden="1">
      <c r="A1242" s="38" t="s">
        <v>90</v>
      </c>
      <c r="B1242" s="78">
        <v>41785</v>
      </c>
      <c r="C1242" s="79" t="s">
        <v>374</v>
      </c>
      <c r="D1242" s="79"/>
      <c r="E1242" s="79">
        <v>16900</v>
      </c>
      <c r="F1242" s="79">
        <v>16900</v>
      </c>
      <c r="G1242" s="79">
        <v>16900</v>
      </c>
      <c r="H1242" s="79"/>
      <c r="I1242" s="79">
        <v>0</v>
      </c>
      <c r="J1242" s="79"/>
      <c r="K1242" s="71">
        <f>YEAR(Accion[[#This Row],[fecha]])</f>
        <v>2014</v>
      </c>
      <c r="L1242" s="79" t="str">
        <f>IF(Accion[[#This Row],[Precio Cierre]]=MAX(Accion[Precio Cierre]),Accion[[#This Row],[Precio Cierre]],"NA")</f>
        <v>NA</v>
      </c>
      <c r="M1242" s="79" t="str">
        <f>IF(Accion[[#This Row],[Precio Cierre]]=MIN(Accion[Precio Cierre]),Accion[[#This Row],[Precio Cierre]],"NA")</f>
        <v>NA</v>
      </c>
    </row>
    <row r="1243" spans="1:13" hidden="1">
      <c r="A1243" s="38" t="s">
        <v>90</v>
      </c>
      <c r="B1243" s="78">
        <v>41782</v>
      </c>
      <c r="C1243" s="79" t="s">
        <v>375</v>
      </c>
      <c r="D1243" s="79"/>
      <c r="E1243" s="79">
        <v>16900</v>
      </c>
      <c r="F1243" s="79">
        <v>16760</v>
      </c>
      <c r="G1243" s="79">
        <v>16900</v>
      </c>
      <c r="H1243" s="79"/>
      <c r="I1243" s="79">
        <v>2.3E-2</v>
      </c>
      <c r="J1243" s="79"/>
      <c r="K1243" s="71">
        <f>YEAR(Accion[[#This Row],[fecha]])</f>
        <v>2014</v>
      </c>
      <c r="L1243" s="79" t="str">
        <f>IF(Accion[[#This Row],[Precio Cierre]]=MAX(Accion[Precio Cierre]),Accion[[#This Row],[Precio Cierre]],"NA")</f>
        <v>NA</v>
      </c>
      <c r="M1243" s="79" t="str">
        <f>IF(Accion[[#This Row],[Precio Cierre]]=MIN(Accion[Precio Cierre]),Accion[[#This Row],[Precio Cierre]],"NA")</f>
        <v>NA</v>
      </c>
    </row>
    <row r="1244" spans="1:13" hidden="1">
      <c r="A1244" s="38" t="s">
        <v>90</v>
      </c>
      <c r="B1244" s="78">
        <v>41781</v>
      </c>
      <c r="C1244" s="79" t="s">
        <v>376</v>
      </c>
      <c r="D1244" s="79"/>
      <c r="E1244" s="79">
        <v>17000</v>
      </c>
      <c r="F1244" s="79">
        <v>16440</v>
      </c>
      <c r="G1244" s="79">
        <v>16520</v>
      </c>
      <c r="H1244" s="79"/>
      <c r="I1244" s="79">
        <v>-2.5899999999999999E-2</v>
      </c>
      <c r="J1244" s="79"/>
      <c r="K1244" s="71">
        <f>YEAR(Accion[[#This Row],[fecha]])</f>
        <v>2014</v>
      </c>
      <c r="L1244" s="79" t="str">
        <f>IF(Accion[[#This Row],[Precio Cierre]]=MAX(Accion[Precio Cierre]),Accion[[#This Row],[Precio Cierre]],"NA")</f>
        <v>NA</v>
      </c>
      <c r="M1244" s="79" t="str">
        <f>IF(Accion[[#This Row],[Precio Cierre]]=MIN(Accion[Precio Cierre]),Accion[[#This Row],[Precio Cierre]],"NA")</f>
        <v>NA</v>
      </c>
    </row>
    <row r="1245" spans="1:13" hidden="1">
      <c r="A1245" s="38" t="s">
        <v>90</v>
      </c>
      <c r="B1245" s="78">
        <v>41780</v>
      </c>
      <c r="C1245" s="79" t="s">
        <v>377</v>
      </c>
      <c r="D1245" s="79"/>
      <c r="E1245" s="79">
        <v>17000</v>
      </c>
      <c r="F1245" s="79">
        <v>16720</v>
      </c>
      <c r="G1245" s="79">
        <v>16960</v>
      </c>
      <c r="H1245" s="79"/>
      <c r="I1245" s="79">
        <v>-7.0000000000000001E-3</v>
      </c>
      <c r="J1245" s="79"/>
      <c r="K1245" s="71">
        <f>YEAR(Accion[[#This Row],[fecha]])</f>
        <v>2014</v>
      </c>
      <c r="L1245" s="79" t="str">
        <f>IF(Accion[[#This Row],[Precio Cierre]]=MAX(Accion[Precio Cierre]),Accion[[#This Row],[Precio Cierre]],"NA")</f>
        <v>NA</v>
      </c>
      <c r="M1245" s="79" t="str">
        <f>IF(Accion[[#This Row],[Precio Cierre]]=MIN(Accion[Precio Cierre]),Accion[[#This Row],[Precio Cierre]],"NA")</f>
        <v>NA</v>
      </c>
    </row>
    <row r="1246" spans="1:13" hidden="1">
      <c r="A1246" s="38" t="s">
        <v>90</v>
      </c>
      <c r="B1246" s="78">
        <v>41779</v>
      </c>
      <c r="C1246" s="79" t="s">
        <v>378</v>
      </c>
      <c r="D1246" s="79"/>
      <c r="E1246" s="79">
        <v>17500</v>
      </c>
      <c r="F1246" s="79">
        <v>17020</v>
      </c>
      <c r="G1246" s="79">
        <v>17080</v>
      </c>
      <c r="H1246" s="79"/>
      <c r="I1246" s="79">
        <v>-2.4E-2</v>
      </c>
      <c r="J1246" s="79"/>
      <c r="K1246" s="71">
        <f>YEAR(Accion[[#This Row],[fecha]])</f>
        <v>2014</v>
      </c>
      <c r="L1246" s="79" t="str">
        <f>IF(Accion[[#This Row],[Precio Cierre]]=MAX(Accion[Precio Cierre]),Accion[[#This Row],[Precio Cierre]],"NA")</f>
        <v>NA</v>
      </c>
      <c r="M1246" s="79" t="str">
        <f>IF(Accion[[#This Row],[Precio Cierre]]=MIN(Accion[Precio Cierre]),Accion[[#This Row],[Precio Cierre]],"NA")</f>
        <v>NA</v>
      </c>
    </row>
    <row r="1247" spans="1:13" hidden="1">
      <c r="A1247" s="38" t="s">
        <v>90</v>
      </c>
      <c r="B1247" s="78">
        <v>41778</v>
      </c>
      <c r="C1247" s="79" t="s">
        <v>379</v>
      </c>
      <c r="D1247" s="79"/>
      <c r="E1247" s="79">
        <v>17780</v>
      </c>
      <c r="F1247" s="79">
        <v>17500</v>
      </c>
      <c r="G1247" s="79">
        <v>17500</v>
      </c>
      <c r="H1247" s="79"/>
      <c r="I1247" s="79">
        <v>-1.5699999999999999E-2</v>
      </c>
      <c r="J1247" s="79"/>
      <c r="K1247" s="71">
        <f>YEAR(Accion[[#This Row],[fecha]])</f>
        <v>2014</v>
      </c>
      <c r="L1247" s="79" t="str">
        <f>IF(Accion[[#This Row],[Precio Cierre]]=MAX(Accion[Precio Cierre]),Accion[[#This Row],[Precio Cierre]],"NA")</f>
        <v>NA</v>
      </c>
      <c r="M1247" s="79" t="str">
        <f>IF(Accion[[#This Row],[Precio Cierre]]=MIN(Accion[Precio Cierre]),Accion[[#This Row],[Precio Cierre]],"NA")</f>
        <v>NA</v>
      </c>
    </row>
    <row r="1248" spans="1:13" hidden="1">
      <c r="A1248" s="38" t="s">
        <v>90</v>
      </c>
      <c r="B1248" s="78">
        <v>41775</v>
      </c>
      <c r="C1248" s="79" t="s">
        <v>380</v>
      </c>
      <c r="D1248" s="79"/>
      <c r="E1248" s="79">
        <v>17780</v>
      </c>
      <c r="F1248" s="79">
        <v>17560</v>
      </c>
      <c r="G1248" s="79">
        <v>17780</v>
      </c>
      <c r="H1248" s="79"/>
      <c r="I1248" s="79">
        <v>3.3999999999999998E-3</v>
      </c>
      <c r="J1248" s="79"/>
      <c r="K1248" s="71">
        <f>YEAR(Accion[[#This Row],[fecha]])</f>
        <v>2014</v>
      </c>
      <c r="L1248" s="79" t="str">
        <f>IF(Accion[[#This Row],[Precio Cierre]]=MAX(Accion[Precio Cierre]),Accion[[#This Row],[Precio Cierre]],"NA")</f>
        <v>NA</v>
      </c>
      <c r="M1248" s="79" t="str">
        <f>IF(Accion[[#This Row],[Precio Cierre]]=MIN(Accion[Precio Cierre]),Accion[[#This Row],[Precio Cierre]],"NA")</f>
        <v>NA</v>
      </c>
    </row>
    <row r="1249" spans="1:13" hidden="1">
      <c r="A1249" s="38" t="s">
        <v>90</v>
      </c>
      <c r="B1249" s="78">
        <v>41774</v>
      </c>
      <c r="C1249" s="79" t="s">
        <v>381</v>
      </c>
      <c r="D1249" s="79"/>
      <c r="E1249" s="79">
        <v>17780</v>
      </c>
      <c r="F1249" s="79">
        <v>17360</v>
      </c>
      <c r="G1249" s="79">
        <v>17720</v>
      </c>
      <c r="H1249" s="79"/>
      <c r="I1249" s="79">
        <v>-2.3E-3</v>
      </c>
      <c r="J1249" s="79"/>
      <c r="K1249" s="71">
        <f>YEAR(Accion[[#This Row],[fecha]])</f>
        <v>2014</v>
      </c>
      <c r="L1249" s="79" t="str">
        <f>IF(Accion[[#This Row],[Precio Cierre]]=MAX(Accion[Precio Cierre]),Accion[[#This Row],[Precio Cierre]],"NA")</f>
        <v>NA</v>
      </c>
      <c r="M1249" s="79" t="str">
        <f>IF(Accion[[#This Row],[Precio Cierre]]=MIN(Accion[Precio Cierre]),Accion[[#This Row],[Precio Cierre]],"NA")</f>
        <v>NA</v>
      </c>
    </row>
    <row r="1250" spans="1:13" hidden="1">
      <c r="A1250" s="38" t="s">
        <v>90</v>
      </c>
      <c r="B1250" s="78">
        <v>41773</v>
      </c>
      <c r="C1250" s="79" t="s">
        <v>382</v>
      </c>
      <c r="D1250" s="79"/>
      <c r="E1250" s="79">
        <v>17780</v>
      </c>
      <c r="F1250" s="79">
        <v>17760</v>
      </c>
      <c r="G1250" s="79">
        <v>17760</v>
      </c>
      <c r="H1250" s="79"/>
      <c r="I1250" s="79">
        <v>-1.1000000000000001E-3</v>
      </c>
      <c r="J1250" s="79"/>
      <c r="K1250" s="71">
        <f>YEAR(Accion[[#This Row],[fecha]])</f>
        <v>2014</v>
      </c>
      <c r="L1250" s="79" t="str">
        <f>IF(Accion[[#This Row],[Precio Cierre]]=MAX(Accion[Precio Cierre]),Accion[[#This Row],[Precio Cierre]],"NA")</f>
        <v>NA</v>
      </c>
      <c r="M1250" s="79" t="str">
        <f>IF(Accion[[#This Row],[Precio Cierre]]=MIN(Accion[Precio Cierre]),Accion[[#This Row],[Precio Cierre]],"NA")</f>
        <v>NA</v>
      </c>
    </row>
    <row r="1251" spans="1:13" hidden="1">
      <c r="A1251" s="38" t="s">
        <v>90</v>
      </c>
      <c r="B1251" s="78">
        <v>41772</v>
      </c>
      <c r="C1251" s="79" t="s">
        <v>383</v>
      </c>
      <c r="D1251" s="79"/>
      <c r="E1251" s="79">
        <v>17780</v>
      </c>
      <c r="F1251" s="79">
        <v>17780</v>
      </c>
      <c r="G1251" s="79">
        <v>17780</v>
      </c>
      <c r="H1251" s="79"/>
      <c r="I1251" s="79">
        <v>2.18E-2</v>
      </c>
      <c r="J1251" s="79"/>
      <c r="K1251" s="71">
        <f>YEAR(Accion[[#This Row],[fecha]])</f>
        <v>2014</v>
      </c>
      <c r="L1251" s="79" t="str">
        <f>IF(Accion[[#This Row],[Precio Cierre]]=MAX(Accion[Precio Cierre]),Accion[[#This Row],[Precio Cierre]],"NA")</f>
        <v>NA</v>
      </c>
      <c r="M1251" s="79" t="str">
        <f>IF(Accion[[#This Row],[Precio Cierre]]=MIN(Accion[Precio Cierre]),Accion[[#This Row],[Precio Cierre]],"NA")</f>
        <v>NA</v>
      </c>
    </row>
    <row r="1252" spans="1:13" hidden="1">
      <c r="A1252" s="38" t="s">
        <v>90</v>
      </c>
      <c r="B1252" s="78">
        <v>41771</v>
      </c>
      <c r="C1252" s="79" t="s">
        <v>384</v>
      </c>
      <c r="D1252" s="79"/>
      <c r="E1252" s="79">
        <v>17400</v>
      </c>
      <c r="F1252" s="79">
        <v>16980</v>
      </c>
      <c r="G1252" s="79">
        <v>17400</v>
      </c>
      <c r="H1252" s="79"/>
      <c r="I1252" s="79">
        <v>2.47E-2</v>
      </c>
      <c r="J1252" s="79"/>
      <c r="K1252" s="71">
        <f>YEAR(Accion[[#This Row],[fecha]])</f>
        <v>2014</v>
      </c>
      <c r="L1252" s="79" t="str">
        <f>IF(Accion[[#This Row],[Precio Cierre]]=MAX(Accion[Precio Cierre]),Accion[[#This Row],[Precio Cierre]],"NA")</f>
        <v>NA</v>
      </c>
      <c r="M1252" s="79" t="str">
        <f>IF(Accion[[#This Row],[Precio Cierre]]=MIN(Accion[Precio Cierre]),Accion[[#This Row],[Precio Cierre]],"NA")</f>
        <v>NA</v>
      </c>
    </row>
    <row r="1253" spans="1:13" hidden="1">
      <c r="A1253" s="38" t="s">
        <v>90</v>
      </c>
      <c r="B1253" s="78">
        <v>41768</v>
      </c>
      <c r="C1253" s="79" t="s">
        <v>385</v>
      </c>
      <c r="D1253" s="79"/>
      <c r="E1253" s="79">
        <v>17020</v>
      </c>
      <c r="F1253" s="79">
        <v>16980</v>
      </c>
      <c r="G1253" s="79">
        <v>16980</v>
      </c>
      <c r="H1253" s="79"/>
      <c r="I1253" s="79">
        <v>-1.2800000000000001E-2</v>
      </c>
      <c r="J1253" s="79"/>
      <c r="K1253" s="71">
        <f>YEAR(Accion[[#This Row],[fecha]])</f>
        <v>2014</v>
      </c>
      <c r="L1253" s="79" t="str">
        <f>IF(Accion[[#This Row],[Precio Cierre]]=MAX(Accion[Precio Cierre]),Accion[[#This Row],[Precio Cierre]],"NA")</f>
        <v>NA</v>
      </c>
      <c r="M1253" s="79" t="str">
        <f>IF(Accion[[#This Row],[Precio Cierre]]=MIN(Accion[Precio Cierre]),Accion[[#This Row],[Precio Cierre]],"NA")</f>
        <v>NA</v>
      </c>
    </row>
    <row r="1254" spans="1:13" hidden="1">
      <c r="A1254" s="38" t="s">
        <v>90</v>
      </c>
      <c r="B1254" s="78">
        <v>41767</v>
      </c>
      <c r="C1254" s="79" t="s">
        <v>386</v>
      </c>
      <c r="D1254" s="79"/>
      <c r="E1254" s="79">
        <v>17300</v>
      </c>
      <c r="F1254" s="79">
        <v>17000</v>
      </c>
      <c r="G1254" s="79">
        <v>17200</v>
      </c>
      <c r="H1254" s="79"/>
      <c r="I1254" s="79">
        <v>3.1199999999999999E-2</v>
      </c>
      <c r="J1254" s="79"/>
      <c r="K1254" s="71">
        <f>YEAR(Accion[[#This Row],[fecha]])</f>
        <v>2014</v>
      </c>
      <c r="L1254" s="79" t="str">
        <f>IF(Accion[[#This Row],[Precio Cierre]]=MAX(Accion[Precio Cierre]),Accion[[#This Row],[Precio Cierre]],"NA")</f>
        <v>NA</v>
      </c>
      <c r="M1254" s="79" t="str">
        <f>IF(Accion[[#This Row],[Precio Cierre]]=MIN(Accion[Precio Cierre]),Accion[[#This Row],[Precio Cierre]],"NA")</f>
        <v>NA</v>
      </c>
    </row>
    <row r="1255" spans="1:13" hidden="1">
      <c r="A1255" s="38" t="s">
        <v>90</v>
      </c>
      <c r="B1255" s="78">
        <v>41766</v>
      </c>
      <c r="C1255" s="79" t="s">
        <v>387</v>
      </c>
      <c r="D1255" s="79"/>
      <c r="E1255" s="79">
        <v>16800</v>
      </c>
      <c r="F1255" s="79">
        <v>16620</v>
      </c>
      <c r="G1255" s="79">
        <v>16680</v>
      </c>
      <c r="H1255" s="79"/>
      <c r="I1255" s="79">
        <v>1.09E-2</v>
      </c>
      <c r="J1255" s="79"/>
      <c r="K1255" s="71">
        <f>YEAR(Accion[[#This Row],[fecha]])</f>
        <v>2014</v>
      </c>
      <c r="L1255" s="79" t="str">
        <f>IF(Accion[[#This Row],[Precio Cierre]]=MAX(Accion[Precio Cierre]),Accion[[#This Row],[Precio Cierre]],"NA")</f>
        <v>NA</v>
      </c>
      <c r="M1255" s="79" t="str">
        <f>IF(Accion[[#This Row],[Precio Cierre]]=MIN(Accion[Precio Cierre]),Accion[[#This Row],[Precio Cierre]],"NA")</f>
        <v>NA</v>
      </c>
    </row>
    <row r="1256" spans="1:13" hidden="1">
      <c r="A1256" s="38" t="s">
        <v>90</v>
      </c>
      <c r="B1256" s="78">
        <v>41765</v>
      </c>
      <c r="C1256" s="79" t="s">
        <v>388</v>
      </c>
      <c r="D1256" s="79"/>
      <c r="E1256" s="79">
        <v>16500</v>
      </c>
      <c r="F1256" s="79">
        <v>16280</v>
      </c>
      <c r="G1256" s="79">
        <v>16500</v>
      </c>
      <c r="H1256" s="79"/>
      <c r="I1256" s="79">
        <v>1.4800000000000001E-2</v>
      </c>
      <c r="J1256" s="79"/>
      <c r="K1256" s="71">
        <f>YEAR(Accion[[#This Row],[fecha]])</f>
        <v>2014</v>
      </c>
      <c r="L1256" s="79" t="str">
        <f>IF(Accion[[#This Row],[Precio Cierre]]=MAX(Accion[Precio Cierre]),Accion[[#This Row],[Precio Cierre]],"NA")</f>
        <v>NA</v>
      </c>
      <c r="M1256" s="79" t="str">
        <f>IF(Accion[[#This Row],[Precio Cierre]]=MIN(Accion[Precio Cierre]),Accion[[#This Row],[Precio Cierre]],"NA")</f>
        <v>NA</v>
      </c>
    </row>
    <row r="1257" spans="1:13" hidden="1">
      <c r="A1257" s="38" t="s">
        <v>90</v>
      </c>
      <c r="B1257" s="78">
        <v>41764</v>
      </c>
      <c r="C1257" s="79" t="s">
        <v>389</v>
      </c>
      <c r="D1257" s="79"/>
      <c r="E1257" s="79">
        <v>16900</v>
      </c>
      <c r="F1257" s="79">
        <v>16260</v>
      </c>
      <c r="G1257" s="79">
        <v>16260</v>
      </c>
      <c r="H1257" s="79"/>
      <c r="I1257" s="79">
        <v>-3.7900000000000003E-2</v>
      </c>
      <c r="J1257" s="79"/>
      <c r="K1257" s="71">
        <f>YEAR(Accion[[#This Row],[fecha]])</f>
        <v>2014</v>
      </c>
      <c r="L1257" s="79" t="str">
        <f>IF(Accion[[#This Row],[Precio Cierre]]=MAX(Accion[Precio Cierre]),Accion[[#This Row],[Precio Cierre]],"NA")</f>
        <v>NA</v>
      </c>
      <c r="M1257" s="79" t="str">
        <f>IF(Accion[[#This Row],[Precio Cierre]]=MIN(Accion[Precio Cierre]),Accion[[#This Row],[Precio Cierre]],"NA")</f>
        <v>NA</v>
      </c>
    </row>
    <row r="1258" spans="1:13" hidden="1">
      <c r="A1258" s="38" t="s">
        <v>90</v>
      </c>
      <c r="B1258" s="78">
        <v>41761</v>
      </c>
      <c r="C1258" s="79" t="s">
        <v>390</v>
      </c>
      <c r="D1258" s="79"/>
      <c r="E1258" s="79">
        <v>17900</v>
      </c>
      <c r="F1258" s="79">
        <v>16900</v>
      </c>
      <c r="G1258" s="79">
        <v>16900</v>
      </c>
      <c r="H1258" s="79"/>
      <c r="I1258" s="79">
        <v>-5.4800000000000001E-2</v>
      </c>
      <c r="J1258" s="79"/>
      <c r="K1258" s="71">
        <f>YEAR(Accion[[#This Row],[fecha]])</f>
        <v>2014</v>
      </c>
      <c r="L1258" s="79" t="str">
        <f>IF(Accion[[#This Row],[Precio Cierre]]=MAX(Accion[Precio Cierre]),Accion[[#This Row],[Precio Cierre]],"NA")</f>
        <v>NA</v>
      </c>
      <c r="M1258" s="79" t="str">
        <f>IF(Accion[[#This Row],[Precio Cierre]]=MIN(Accion[Precio Cierre]),Accion[[#This Row],[Precio Cierre]],"NA")</f>
        <v>NA</v>
      </c>
    </row>
    <row r="1259" spans="1:13" hidden="1">
      <c r="A1259" s="38" t="s">
        <v>90</v>
      </c>
      <c r="B1259" s="78">
        <v>41759</v>
      </c>
      <c r="C1259" s="79" t="s">
        <v>391</v>
      </c>
      <c r="D1259" s="79"/>
      <c r="E1259" s="79">
        <v>18100</v>
      </c>
      <c r="F1259" s="79">
        <v>17480</v>
      </c>
      <c r="G1259" s="79">
        <v>17880</v>
      </c>
      <c r="H1259" s="79"/>
      <c r="I1259" s="79">
        <v>2.1700000000000001E-2</v>
      </c>
      <c r="J1259" s="79"/>
      <c r="K1259" s="71">
        <f>YEAR(Accion[[#This Row],[fecha]])</f>
        <v>2014</v>
      </c>
      <c r="L1259" s="79" t="str">
        <f>IF(Accion[[#This Row],[Precio Cierre]]=MAX(Accion[Precio Cierre]),Accion[[#This Row],[Precio Cierre]],"NA")</f>
        <v>NA</v>
      </c>
      <c r="M1259" s="79" t="str">
        <f>IF(Accion[[#This Row],[Precio Cierre]]=MIN(Accion[Precio Cierre]),Accion[[#This Row],[Precio Cierre]],"NA")</f>
        <v>NA</v>
      </c>
    </row>
    <row r="1260" spans="1:13" hidden="1">
      <c r="A1260" s="38" t="s">
        <v>90</v>
      </c>
      <c r="B1260" s="78">
        <v>41758</v>
      </c>
      <c r="C1260" s="79" t="s">
        <v>392</v>
      </c>
      <c r="D1260" s="79"/>
      <c r="E1260" s="79">
        <v>17580</v>
      </c>
      <c r="F1260" s="79">
        <v>17400</v>
      </c>
      <c r="G1260" s="79">
        <v>17500</v>
      </c>
      <c r="H1260" s="79"/>
      <c r="I1260" s="79">
        <v>2.7E-2</v>
      </c>
      <c r="J1260" s="79"/>
      <c r="K1260" s="71">
        <f>YEAR(Accion[[#This Row],[fecha]])</f>
        <v>2014</v>
      </c>
      <c r="L1260" s="79" t="str">
        <f>IF(Accion[[#This Row],[Precio Cierre]]=MAX(Accion[Precio Cierre]),Accion[[#This Row],[Precio Cierre]],"NA")</f>
        <v>NA</v>
      </c>
      <c r="M1260" s="79" t="str">
        <f>IF(Accion[[#This Row],[Precio Cierre]]=MIN(Accion[Precio Cierre]),Accion[[#This Row],[Precio Cierre]],"NA")</f>
        <v>NA</v>
      </c>
    </row>
    <row r="1261" spans="1:13" hidden="1">
      <c r="A1261" s="38" t="s">
        <v>90</v>
      </c>
      <c r="B1261" s="78">
        <v>41757</v>
      </c>
      <c r="C1261" s="79" t="s">
        <v>393</v>
      </c>
      <c r="D1261" s="79"/>
      <c r="E1261" s="79">
        <v>17800</v>
      </c>
      <c r="F1261" s="79">
        <v>17040</v>
      </c>
      <c r="G1261" s="79">
        <v>17040</v>
      </c>
      <c r="H1261" s="79"/>
      <c r="I1261" s="79">
        <v>-3.1800000000000002E-2</v>
      </c>
      <c r="J1261" s="79"/>
      <c r="K1261" s="71">
        <f>YEAR(Accion[[#This Row],[fecha]])</f>
        <v>2014</v>
      </c>
      <c r="L1261" s="79" t="str">
        <f>IF(Accion[[#This Row],[Precio Cierre]]=MAX(Accion[Precio Cierre]),Accion[[#This Row],[Precio Cierre]],"NA")</f>
        <v>NA</v>
      </c>
      <c r="M1261" s="79" t="str">
        <f>IF(Accion[[#This Row],[Precio Cierre]]=MIN(Accion[Precio Cierre]),Accion[[#This Row],[Precio Cierre]],"NA")</f>
        <v>NA</v>
      </c>
    </row>
    <row r="1262" spans="1:13" hidden="1">
      <c r="A1262" s="38" t="s">
        <v>90</v>
      </c>
      <c r="B1262" s="78">
        <v>41754</v>
      </c>
      <c r="C1262" s="79" t="s">
        <v>394</v>
      </c>
      <c r="D1262" s="79"/>
      <c r="E1262" s="79">
        <v>17600</v>
      </c>
      <c r="F1262" s="79">
        <v>17580</v>
      </c>
      <c r="G1262" s="79">
        <v>17600</v>
      </c>
      <c r="H1262" s="79"/>
      <c r="I1262" s="79">
        <v>1.1000000000000001E-3</v>
      </c>
      <c r="J1262" s="79"/>
      <c r="K1262" s="71">
        <f>YEAR(Accion[[#This Row],[fecha]])</f>
        <v>2014</v>
      </c>
      <c r="L1262" s="79" t="str">
        <f>IF(Accion[[#This Row],[Precio Cierre]]=MAX(Accion[Precio Cierre]),Accion[[#This Row],[Precio Cierre]],"NA")</f>
        <v>NA</v>
      </c>
      <c r="M1262" s="79" t="str">
        <f>IF(Accion[[#This Row],[Precio Cierre]]=MIN(Accion[Precio Cierre]),Accion[[#This Row],[Precio Cierre]],"NA")</f>
        <v>NA</v>
      </c>
    </row>
    <row r="1263" spans="1:13" hidden="1">
      <c r="A1263" s="38" t="s">
        <v>90</v>
      </c>
      <c r="B1263" s="78">
        <v>41753</v>
      </c>
      <c r="C1263" s="79" t="s">
        <v>395</v>
      </c>
      <c r="D1263" s="79"/>
      <c r="E1263" s="79">
        <v>17600</v>
      </c>
      <c r="F1263" s="79">
        <v>17140</v>
      </c>
      <c r="G1263" s="79">
        <v>17580</v>
      </c>
      <c r="H1263" s="79"/>
      <c r="I1263" s="79">
        <v>2.0899999999999998E-2</v>
      </c>
      <c r="J1263" s="79"/>
      <c r="K1263" s="71">
        <f>YEAR(Accion[[#This Row],[fecha]])</f>
        <v>2014</v>
      </c>
      <c r="L1263" s="79" t="str">
        <f>IF(Accion[[#This Row],[Precio Cierre]]=MAX(Accion[Precio Cierre]),Accion[[#This Row],[Precio Cierre]],"NA")</f>
        <v>NA</v>
      </c>
      <c r="M1263" s="79" t="str">
        <f>IF(Accion[[#This Row],[Precio Cierre]]=MIN(Accion[Precio Cierre]),Accion[[#This Row],[Precio Cierre]],"NA")</f>
        <v>NA</v>
      </c>
    </row>
    <row r="1264" spans="1:13" hidden="1">
      <c r="A1264" s="38" t="s">
        <v>90</v>
      </c>
      <c r="B1264" s="78">
        <v>41752</v>
      </c>
      <c r="C1264" s="79" t="s">
        <v>396</v>
      </c>
      <c r="D1264" s="79"/>
      <c r="E1264" s="79">
        <v>17220</v>
      </c>
      <c r="F1264" s="79">
        <v>16400</v>
      </c>
      <c r="G1264" s="79">
        <v>17220</v>
      </c>
      <c r="H1264" s="79"/>
      <c r="I1264" s="79">
        <v>5.3900000000000003E-2</v>
      </c>
      <c r="J1264" s="79"/>
      <c r="K1264" s="71">
        <f>YEAR(Accion[[#This Row],[fecha]])</f>
        <v>2014</v>
      </c>
      <c r="L1264" s="79" t="str">
        <f>IF(Accion[[#This Row],[Precio Cierre]]=MAX(Accion[Precio Cierre]),Accion[[#This Row],[Precio Cierre]],"NA")</f>
        <v>NA</v>
      </c>
      <c r="M1264" s="79" t="str">
        <f>IF(Accion[[#This Row],[Precio Cierre]]=MIN(Accion[Precio Cierre]),Accion[[#This Row],[Precio Cierre]],"NA")</f>
        <v>NA</v>
      </c>
    </row>
    <row r="1265" spans="1:13" hidden="1">
      <c r="A1265" s="38" t="s">
        <v>90</v>
      </c>
      <c r="B1265" s="78">
        <v>41751</v>
      </c>
      <c r="C1265" s="79" t="s">
        <v>397</v>
      </c>
      <c r="D1265" s="79"/>
      <c r="E1265" s="79">
        <v>16340</v>
      </c>
      <c r="F1265" s="79">
        <v>16120</v>
      </c>
      <c r="G1265" s="79">
        <v>16340</v>
      </c>
      <c r="H1265" s="79"/>
      <c r="I1265" s="79">
        <v>7.4000000000000003E-3</v>
      </c>
      <c r="J1265" s="79"/>
      <c r="K1265" s="71">
        <f>YEAR(Accion[[#This Row],[fecha]])</f>
        <v>2014</v>
      </c>
      <c r="L1265" s="79" t="str">
        <f>IF(Accion[[#This Row],[Precio Cierre]]=MAX(Accion[Precio Cierre]),Accion[[#This Row],[Precio Cierre]],"NA")</f>
        <v>NA</v>
      </c>
      <c r="M1265" s="79" t="str">
        <f>IF(Accion[[#This Row],[Precio Cierre]]=MIN(Accion[Precio Cierre]),Accion[[#This Row],[Precio Cierre]],"NA")</f>
        <v>NA</v>
      </c>
    </row>
    <row r="1266" spans="1:13" hidden="1">
      <c r="A1266" s="38" t="s">
        <v>90</v>
      </c>
      <c r="B1266" s="78">
        <v>41750</v>
      </c>
      <c r="C1266" s="79" t="s">
        <v>398</v>
      </c>
      <c r="D1266" s="79"/>
      <c r="E1266" s="79">
        <v>16400</v>
      </c>
      <c r="F1266" s="79">
        <v>16180</v>
      </c>
      <c r="G1266" s="79">
        <v>16220</v>
      </c>
      <c r="H1266" s="79"/>
      <c r="I1266" s="79">
        <v>0</v>
      </c>
      <c r="J1266" s="79"/>
      <c r="K1266" s="71">
        <f>YEAR(Accion[[#This Row],[fecha]])</f>
        <v>2014</v>
      </c>
      <c r="L1266" s="79" t="str">
        <f>IF(Accion[[#This Row],[Precio Cierre]]=MAX(Accion[Precio Cierre]),Accion[[#This Row],[Precio Cierre]],"NA")</f>
        <v>NA</v>
      </c>
      <c r="M1266" s="79" t="str">
        <f>IF(Accion[[#This Row],[Precio Cierre]]=MIN(Accion[Precio Cierre]),Accion[[#This Row],[Precio Cierre]],"NA")</f>
        <v>NA</v>
      </c>
    </row>
    <row r="1267" spans="1:13" hidden="1">
      <c r="A1267" s="38" t="s">
        <v>90</v>
      </c>
      <c r="B1267" s="78">
        <v>41745</v>
      </c>
      <c r="C1267" s="79" t="s">
        <v>399</v>
      </c>
      <c r="D1267" s="79"/>
      <c r="E1267" s="79">
        <v>16900</v>
      </c>
      <c r="F1267" s="79">
        <v>16220</v>
      </c>
      <c r="G1267" s="79">
        <v>16220</v>
      </c>
      <c r="H1267" s="79"/>
      <c r="I1267" s="79">
        <v>-2.9899999999999999E-2</v>
      </c>
      <c r="J1267" s="79"/>
      <c r="K1267" s="71">
        <f>YEAR(Accion[[#This Row],[fecha]])</f>
        <v>2014</v>
      </c>
      <c r="L1267" s="79" t="str">
        <f>IF(Accion[[#This Row],[Precio Cierre]]=MAX(Accion[Precio Cierre]),Accion[[#This Row],[Precio Cierre]],"NA")</f>
        <v>NA</v>
      </c>
      <c r="M1267" s="79" t="str">
        <f>IF(Accion[[#This Row],[Precio Cierre]]=MIN(Accion[Precio Cierre]),Accion[[#This Row],[Precio Cierre]],"NA")</f>
        <v>NA</v>
      </c>
    </row>
    <row r="1268" spans="1:13" hidden="1">
      <c r="A1268" s="38" t="s">
        <v>90</v>
      </c>
      <c r="B1268" s="78">
        <v>41744</v>
      </c>
      <c r="C1268" s="79" t="s">
        <v>400</v>
      </c>
      <c r="D1268" s="79"/>
      <c r="E1268" s="79">
        <v>16960</v>
      </c>
      <c r="F1268" s="79">
        <v>16560</v>
      </c>
      <c r="G1268" s="79">
        <v>16720</v>
      </c>
      <c r="H1268" s="79"/>
      <c r="I1268" s="79">
        <v>-1.6500000000000001E-2</v>
      </c>
      <c r="J1268" s="79"/>
      <c r="K1268" s="71">
        <f>YEAR(Accion[[#This Row],[fecha]])</f>
        <v>2014</v>
      </c>
      <c r="L1268" s="79" t="str">
        <f>IF(Accion[[#This Row],[Precio Cierre]]=MAX(Accion[Precio Cierre]),Accion[[#This Row],[Precio Cierre]],"NA")</f>
        <v>NA</v>
      </c>
      <c r="M1268" s="79" t="str">
        <f>IF(Accion[[#This Row],[Precio Cierre]]=MIN(Accion[Precio Cierre]),Accion[[#This Row],[Precio Cierre]],"NA")</f>
        <v>NA</v>
      </c>
    </row>
    <row r="1269" spans="1:13" hidden="1">
      <c r="A1269" s="38" t="s">
        <v>90</v>
      </c>
      <c r="B1269" s="78">
        <v>41743</v>
      </c>
      <c r="C1269" s="79" t="s">
        <v>401</v>
      </c>
      <c r="D1269" s="79"/>
      <c r="E1269" s="79">
        <v>17000</v>
      </c>
      <c r="F1269" s="79">
        <v>16960</v>
      </c>
      <c r="G1269" s="79">
        <v>17000</v>
      </c>
      <c r="H1269" s="79"/>
      <c r="I1269" s="79">
        <v>1.1999999999999999E-3</v>
      </c>
      <c r="J1269" s="79"/>
      <c r="K1269" s="71">
        <f>YEAR(Accion[[#This Row],[fecha]])</f>
        <v>2014</v>
      </c>
      <c r="L1269" s="79" t="str">
        <f>IF(Accion[[#This Row],[Precio Cierre]]=MAX(Accion[Precio Cierre]),Accion[[#This Row],[Precio Cierre]],"NA")</f>
        <v>NA</v>
      </c>
      <c r="M1269" s="79" t="str">
        <f>IF(Accion[[#This Row],[Precio Cierre]]=MIN(Accion[Precio Cierre]),Accion[[#This Row],[Precio Cierre]],"NA")</f>
        <v>NA</v>
      </c>
    </row>
    <row r="1270" spans="1:13" hidden="1">
      <c r="A1270" s="38" t="s">
        <v>90</v>
      </c>
      <c r="B1270" s="78">
        <v>41740</v>
      </c>
      <c r="C1270" s="79" t="s">
        <v>402</v>
      </c>
      <c r="D1270" s="79"/>
      <c r="E1270" s="79">
        <v>17500</v>
      </c>
      <c r="F1270" s="79">
        <v>16980</v>
      </c>
      <c r="G1270" s="79">
        <v>16980</v>
      </c>
      <c r="H1270" s="79"/>
      <c r="I1270" s="79">
        <v>-2.9700000000000001E-2</v>
      </c>
      <c r="J1270" s="79"/>
      <c r="K1270" s="71">
        <f>YEAR(Accion[[#This Row],[fecha]])</f>
        <v>2014</v>
      </c>
      <c r="L1270" s="79" t="str">
        <f>IF(Accion[[#This Row],[Precio Cierre]]=MAX(Accion[Precio Cierre]),Accion[[#This Row],[Precio Cierre]],"NA")</f>
        <v>NA</v>
      </c>
      <c r="M1270" s="79" t="str">
        <f>IF(Accion[[#This Row],[Precio Cierre]]=MIN(Accion[Precio Cierre]),Accion[[#This Row],[Precio Cierre]],"NA")</f>
        <v>NA</v>
      </c>
    </row>
    <row r="1271" spans="1:13" hidden="1">
      <c r="A1271" s="38" t="s">
        <v>90</v>
      </c>
      <c r="B1271" s="78">
        <v>41739</v>
      </c>
      <c r="C1271" s="79" t="s">
        <v>403</v>
      </c>
      <c r="D1271" s="79"/>
      <c r="E1271" s="79">
        <v>17500</v>
      </c>
      <c r="F1271" s="79">
        <v>17100</v>
      </c>
      <c r="G1271" s="79">
        <v>17500</v>
      </c>
      <c r="H1271" s="79"/>
      <c r="I1271" s="79">
        <v>2.8199999999999999E-2</v>
      </c>
      <c r="J1271" s="79"/>
      <c r="K1271" s="71">
        <f>YEAR(Accion[[#This Row],[fecha]])</f>
        <v>2014</v>
      </c>
      <c r="L1271" s="79" t="str">
        <f>IF(Accion[[#This Row],[Precio Cierre]]=MAX(Accion[Precio Cierre]),Accion[[#This Row],[Precio Cierre]],"NA")</f>
        <v>NA</v>
      </c>
      <c r="M1271" s="79" t="str">
        <f>IF(Accion[[#This Row],[Precio Cierre]]=MIN(Accion[Precio Cierre]),Accion[[#This Row],[Precio Cierre]],"NA")</f>
        <v>NA</v>
      </c>
    </row>
    <row r="1272" spans="1:13" hidden="1">
      <c r="A1272" s="38" t="s">
        <v>90</v>
      </c>
      <c r="B1272" s="78">
        <v>41738</v>
      </c>
      <c r="C1272" s="79" t="s">
        <v>404</v>
      </c>
      <c r="D1272" s="79"/>
      <c r="E1272" s="79">
        <v>17900</v>
      </c>
      <c r="F1272" s="79">
        <v>17020</v>
      </c>
      <c r="G1272" s="79">
        <v>17020</v>
      </c>
      <c r="H1272" s="79"/>
      <c r="I1272" s="79">
        <v>-4.9200000000000001E-2</v>
      </c>
      <c r="J1272" s="79"/>
      <c r="K1272" s="71">
        <f>YEAR(Accion[[#This Row],[fecha]])</f>
        <v>2014</v>
      </c>
      <c r="L1272" s="79" t="str">
        <f>IF(Accion[[#This Row],[Precio Cierre]]=MAX(Accion[Precio Cierre]),Accion[[#This Row],[Precio Cierre]],"NA")</f>
        <v>NA</v>
      </c>
      <c r="M1272" s="79" t="str">
        <f>IF(Accion[[#This Row],[Precio Cierre]]=MIN(Accion[Precio Cierre]),Accion[[#This Row],[Precio Cierre]],"NA")</f>
        <v>NA</v>
      </c>
    </row>
    <row r="1273" spans="1:13" hidden="1">
      <c r="A1273" s="38" t="s">
        <v>90</v>
      </c>
      <c r="B1273" s="78">
        <v>41737</v>
      </c>
      <c r="C1273" s="79" t="s">
        <v>405</v>
      </c>
      <c r="D1273" s="79"/>
      <c r="E1273" s="79">
        <v>17900</v>
      </c>
      <c r="F1273" s="79">
        <v>17520</v>
      </c>
      <c r="G1273" s="79">
        <v>17900</v>
      </c>
      <c r="H1273" s="79"/>
      <c r="I1273" s="79">
        <v>0</v>
      </c>
      <c r="J1273" s="79"/>
      <c r="K1273" s="71">
        <f>YEAR(Accion[[#This Row],[fecha]])</f>
        <v>2014</v>
      </c>
      <c r="L1273" s="79" t="str">
        <f>IF(Accion[[#This Row],[Precio Cierre]]=MAX(Accion[Precio Cierre]),Accion[[#This Row],[Precio Cierre]],"NA")</f>
        <v>NA</v>
      </c>
      <c r="M1273" s="79" t="str">
        <f>IF(Accion[[#This Row],[Precio Cierre]]=MIN(Accion[Precio Cierre]),Accion[[#This Row],[Precio Cierre]],"NA")</f>
        <v>NA</v>
      </c>
    </row>
    <row r="1274" spans="1:13" hidden="1">
      <c r="A1274" s="38" t="s">
        <v>90</v>
      </c>
      <c r="B1274" s="78">
        <v>41736</v>
      </c>
      <c r="C1274" s="79" t="s">
        <v>406</v>
      </c>
      <c r="D1274" s="79"/>
      <c r="E1274" s="79">
        <v>17920</v>
      </c>
      <c r="F1274" s="79">
        <v>17500</v>
      </c>
      <c r="G1274" s="79">
        <v>17900</v>
      </c>
      <c r="H1274" s="79"/>
      <c r="I1274" s="79">
        <v>-1.1000000000000001E-3</v>
      </c>
      <c r="J1274" s="79"/>
      <c r="K1274" s="71">
        <f>YEAR(Accion[[#This Row],[fecha]])</f>
        <v>2014</v>
      </c>
      <c r="L1274" s="79" t="str">
        <f>IF(Accion[[#This Row],[Precio Cierre]]=MAX(Accion[Precio Cierre]),Accion[[#This Row],[Precio Cierre]],"NA")</f>
        <v>NA</v>
      </c>
      <c r="M1274" s="79" t="str">
        <f>IF(Accion[[#This Row],[Precio Cierre]]=MIN(Accion[Precio Cierre]),Accion[[#This Row],[Precio Cierre]],"NA")</f>
        <v>NA</v>
      </c>
    </row>
    <row r="1275" spans="1:13" hidden="1">
      <c r="A1275" s="38" t="s">
        <v>90</v>
      </c>
      <c r="B1275" s="78">
        <v>41733</v>
      </c>
      <c r="C1275" s="79" t="s">
        <v>407</v>
      </c>
      <c r="D1275" s="79"/>
      <c r="E1275" s="79">
        <v>17920</v>
      </c>
      <c r="F1275" s="79">
        <v>17000</v>
      </c>
      <c r="G1275" s="79">
        <v>17920</v>
      </c>
      <c r="H1275" s="79"/>
      <c r="I1275" s="79">
        <v>5.4100000000000002E-2</v>
      </c>
      <c r="J1275" s="79"/>
      <c r="K1275" s="71">
        <f>YEAR(Accion[[#This Row],[fecha]])</f>
        <v>2014</v>
      </c>
      <c r="L1275" s="79" t="str">
        <f>IF(Accion[[#This Row],[Precio Cierre]]=MAX(Accion[Precio Cierre]),Accion[[#This Row],[Precio Cierre]],"NA")</f>
        <v>NA</v>
      </c>
      <c r="M1275" s="79" t="str">
        <f>IF(Accion[[#This Row],[Precio Cierre]]=MIN(Accion[Precio Cierre]),Accion[[#This Row],[Precio Cierre]],"NA")</f>
        <v>NA</v>
      </c>
    </row>
    <row r="1276" spans="1:13" hidden="1">
      <c r="A1276" s="38" t="s">
        <v>90</v>
      </c>
      <c r="B1276" s="78">
        <v>41732</v>
      </c>
      <c r="C1276" s="79" t="s">
        <v>408</v>
      </c>
      <c r="D1276" s="79"/>
      <c r="E1276" s="79">
        <v>17020</v>
      </c>
      <c r="F1276" s="79">
        <v>16700</v>
      </c>
      <c r="G1276" s="79">
        <v>17000</v>
      </c>
      <c r="H1276" s="79"/>
      <c r="I1276" s="79">
        <v>0</v>
      </c>
      <c r="J1276" s="79"/>
      <c r="K1276" s="71">
        <f>YEAR(Accion[[#This Row],[fecha]])</f>
        <v>2014</v>
      </c>
      <c r="L1276" s="79" t="str">
        <f>IF(Accion[[#This Row],[Precio Cierre]]=MAX(Accion[Precio Cierre]),Accion[[#This Row],[Precio Cierre]],"NA")</f>
        <v>NA</v>
      </c>
      <c r="M1276" s="79" t="str">
        <f>IF(Accion[[#This Row],[Precio Cierre]]=MIN(Accion[Precio Cierre]),Accion[[#This Row],[Precio Cierre]],"NA")</f>
        <v>NA</v>
      </c>
    </row>
    <row r="1277" spans="1:13" hidden="1">
      <c r="A1277" s="38" t="s">
        <v>90</v>
      </c>
      <c r="B1277" s="78">
        <v>41731</v>
      </c>
      <c r="C1277" s="79" t="s">
        <v>409</v>
      </c>
      <c r="D1277" s="79"/>
      <c r="E1277" s="79">
        <v>17000</v>
      </c>
      <c r="F1277" s="79">
        <v>16480</v>
      </c>
      <c r="G1277" s="79">
        <v>17000</v>
      </c>
      <c r="H1277" s="79"/>
      <c r="I1277" s="79">
        <v>3.0300000000000001E-2</v>
      </c>
      <c r="J1277" s="79"/>
      <c r="K1277" s="71">
        <f>YEAR(Accion[[#This Row],[fecha]])</f>
        <v>2014</v>
      </c>
      <c r="L1277" s="79" t="str">
        <f>IF(Accion[[#This Row],[Precio Cierre]]=MAX(Accion[Precio Cierre]),Accion[[#This Row],[Precio Cierre]],"NA")</f>
        <v>NA</v>
      </c>
      <c r="M1277" s="79" t="str">
        <f>IF(Accion[[#This Row],[Precio Cierre]]=MIN(Accion[Precio Cierre]),Accion[[#This Row],[Precio Cierre]],"NA")</f>
        <v>NA</v>
      </c>
    </row>
    <row r="1278" spans="1:13" hidden="1">
      <c r="A1278" s="38" t="s">
        <v>90</v>
      </c>
      <c r="B1278" s="78">
        <v>41730</v>
      </c>
      <c r="C1278" s="79" t="s">
        <v>410</v>
      </c>
      <c r="D1278" s="79"/>
      <c r="E1278" s="79">
        <v>16500</v>
      </c>
      <c r="F1278" s="79">
        <v>16300</v>
      </c>
      <c r="G1278" s="79">
        <v>16500</v>
      </c>
      <c r="H1278" s="79"/>
      <c r="I1278" s="79">
        <v>4.8999999999999998E-3</v>
      </c>
      <c r="J1278" s="79"/>
      <c r="K1278" s="71">
        <f>YEAR(Accion[[#This Row],[fecha]])</f>
        <v>2014</v>
      </c>
      <c r="L1278" s="79" t="str">
        <f>IF(Accion[[#This Row],[Precio Cierre]]=MAX(Accion[Precio Cierre]),Accion[[#This Row],[Precio Cierre]],"NA")</f>
        <v>NA</v>
      </c>
      <c r="M1278" s="79" t="str">
        <f>IF(Accion[[#This Row],[Precio Cierre]]=MIN(Accion[Precio Cierre]),Accion[[#This Row],[Precio Cierre]],"NA")</f>
        <v>NA</v>
      </c>
    </row>
    <row r="1279" spans="1:13" hidden="1">
      <c r="A1279" s="38" t="s">
        <v>90</v>
      </c>
      <c r="B1279" s="78">
        <v>41729</v>
      </c>
      <c r="C1279" s="79" t="s">
        <v>411</v>
      </c>
      <c r="D1279" s="79"/>
      <c r="E1279" s="79">
        <v>16420</v>
      </c>
      <c r="F1279" s="79">
        <v>16300</v>
      </c>
      <c r="G1279" s="79">
        <v>16420</v>
      </c>
      <c r="H1279" s="79"/>
      <c r="I1279" s="79">
        <v>1.61E-2</v>
      </c>
      <c r="J1279" s="79"/>
      <c r="K1279" s="71">
        <f>YEAR(Accion[[#This Row],[fecha]])</f>
        <v>2014</v>
      </c>
      <c r="L1279" s="79" t="str">
        <f>IF(Accion[[#This Row],[Precio Cierre]]=MAX(Accion[Precio Cierre]),Accion[[#This Row],[Precio Cierre]],"NA")</f>
        <v>NA</v>
      </c>
      <c r="M1279" s="79" t="str">
        <f>IF(Accion[[#This Row],[Precio Cierre]]=MIN(Accion[Precio Cierre]),Accion[[#This Row],[Precio Cierre]],"NA")</f>
        <v>NA</v>
      </c>
    </row>
    <row r="1280" spans="1:13" hidden="1">
      <c r="A1280" s="38" t="s">
        <v>90</v>
      </c>
      <c r="B1280" s="78">
        <v>41726</v>
      </c>
      <c r="C1280" s="79" t="s">
        <v>412</v>
      </c>
      <c r="D1280" s="79"/>
      <c r="E1280" s="79">
        <v>16300</v>
      </c>
      <c r="F1280" s="79">
        <v>16000</v>
      </c>
      <c r="G1280" s="79">
        <v>16160</v>
      </c>
      <c r="H1280" s="79"/>
      <c r="I1280" s="79">
        <v>-8.6E-3</v>
      </c>
      <c r="J1280" s="79"/>
      <c r="K1280" s="71">
        <f>YEAR(Accion[[#This Row],[fecha]])</f>
        <v>2014</v>
      </c>
      <c r="L1280" s="79" t="str">
        <f>IF(Accion[[#This Row],[Precio Cierre]]=MAX(Accion[Precio Cierre]),Accion[[#This Row],[Precio Cierre]],"NA")</f>
        <v>NA</v>
      </c>
      <c r="M1280" s="79" t="str">
        <f>IF(Accion[[#This Row],[Precio Cierre]]=MIN(Accion[Precio Cierre]),Accion[[#This Row],[Precio Cierre]],"NA")</f>
        <v>NA</v>
      </c>
    </row>
    <row r="1281" spans="1:13" hidden="1">
      <c r="A1281" s="38" t="s">
        <v>90</v>
      </c>
      <c r="B1281" s="78">
        <v>41725</v>
      </c>
      <c r="C1281" s="79" t="s">
        <v>413</v>
      </c>
      <c r="D1281" s="79"/>
      <c r="E1281" s="79">
        <v>16300</v>
      </c>
      <c r="F1281" s="79">
        <v>16000</v>
      </c>
      <c r="G1281" s="79">
        <v>16300</v>
      </c>
      <c r="H1281" s="79"/>
      <c r="I1281" s="79">
        <v>1.8800000000000001E-2</v>
      </c>
      <c r="J1281" s="79"/>
      <c r="K1281" s="71">
        <f>YEAR(Accion[[#This Row],[fecha]])</f>
        <v>2014</v>
      </c>
      <c r="L1281" s="79" t="str">
        <f>IF(Accion[[#This Row],[Precio Cierre]]=MAX(Accion[Precio Cierre]),Accion[[#This Row],[Precio Cierre]],"NA")</f>
        <v>NA</v>
      </c>
      <c r="M1281" s="79" t="str">
        <f>IF(Accion[[#This Row],[Precio Cierre]]=MIN(Accion[Precio Cierre]),Accion[[#This Row],[Precio Cierre]],"NA")</f>
        <v>NA</v>
      </c>
    </row>
    <row r="1282" spans="1:13" hidden="1">
      <c r="A1282" s="38" t="s">
        <v>90</v>
      </c>
      <c r="B1282" s="78">
        <v>41724</v>
      </c>
      <c r="C1282" s="79" t="s">
        <v>414</v>
      </c>
      <c r="D1282" s="79"/>
      <c r="E1282" s="79">
        <v>16080</v>
      </c>
      <c r="F1282" s="79">
        <v>15900</v>
      </c>
      <c r="G1282" s="79">
        <v>16000</v>
      </c>
      <c r="H1282" s="79"/>
      <c r="I1282" s="79">
        <v>6.3E-3</v>
      </c>
      <c r="J1282" s="79"/>
      <c r="K1282" s="71">
        <f>YEAR(Accion[[#This Row],[fecha]])</f>
        <v>2014</v>
      </c>
      <c r="L1282" s="79" t="str">
        <f>IF(Accion[[#This Row],[Precio Cierre]]=MAX(Accion[Precio Cierre]),Accion[[#This Row],[Precio Cierre]],"NA")</f>
        <v>NA</v>
      </c>
      <c r="M1282" s="79" t="str">
        <f>IF(Accion[[#This Row],[Precio Cierre]]=MIN(Accion[Precio Cierre]),Accion[[#This Row],[Precio Cierre]],"NA")</f>
        <v>NA</v>
      </c>
    </row>
    <row r="1283" spans="1:13" hidden="1">
      <c r="A1283" s="38" t="s">
        <v>90</v>
      </c>
      <c r="B1283" s="78">
        <v>41723</v>
      </c>
      <c r="C1283" s="79" t="s">
        <v>415</v>
      </c>
      <c r="D1283" s="79"/>
      <c r="E1283" s="79">
        <v>15900</v>
      </c>
      <c r="F1283" s="79">
        <v>15420</v>
      </c>
      <c r="G1283" s="79">
        <v>15900</v>
      </c>
      <c r="H1283" s="79"/>
      <c r="I1283" s="79">
        <v>3.6499999999999998E-2</v>
      </c>
      <c r="J1283" s="79"/>
      <c r="K1283" s="71">
        <f>YEAR(Accion[[#This Row],[fecha]])</f>
        <v>2014</v>
      </c>
      <c r="L1283" s="79" t="str">
        <f>IF(Accion[[#This Row],[Precio Cierre]]=MAX(Accion[Precio Cierre]),Accion[[#This Row],[Precio Cierre]],"NA")</f>
        <v>NA</v>
      </c>
      <c r="M1283" s="79" t="str">
        <f>IF(Accion[[#This Row],[Precio Cierre]]=MIN(Accion[Precio Cierre]),Accion[[#This Row],[Precio Cierre]],"NA")</f>
        <v>NA</v>
      </c>
    </row>
    <row r="1284" spans="1:13" hidden="1">
      <c r="A1284" s="38" t="s">
        <v>90</v>
      </c>
      <c r="B1284" s="78">
        <v>41719</v>
      </c>
      <c r="C1284" s="79" t="s">
        <v>416</v>
      </c>
      <c r="D1284" s="79"/>
      <c r="E1284" s="79">
        <v>16000</v>
      </c>
      <c r="F1284" s="79">
        <v>15340</v>
      </c>
      <c r="G1284" s="79">
        <v>15340</v>
      </c>
      <c r="H1284" s="79"/>
      <c r="I1284" s="79">
        <v>-5.3100000000000001E-2</v>
      </c>
      <c r="J1284" s="79"/>
      <c r="K1284" s="71">
        <f>YEAR(Accion[[#This Row],[fecha]])</f>
        <v>2014</v>
      </c>
      <c r="L1284" s="79" t="str">
        <f>IF(Accion[[#This Row],[Precio Cierre]]=MAX(Accion[Precio Cierre]),Accion[[#This Row],[Precio Cierre]],"NA")</f>
        <v>NA</v>
      </c>
      <c r="M1284" s="79" t="str">
        <f>IF(Accion[[#This Row],[Precio Cierre]]=MIN(Accion[Precio Cierre]),Accion[[#This Row],[Precio Cierre]],"NA")</f>
        <v>NA</v>
      </c>
    </row>
    <row r="1285" spans="1:13" hidden="1">
      <c r="A1285" s="38" t="s">
        <v>90</v>
      </c>
      <c r="B1285" s="78">
        <v>41718</v>
      </c>
      <c r="C1285" s="79" t="s">
        <v>417</v>
      </c>
      <c r="D1285" s="79"/>
      <c r="E1285" s="79">
        <v>16200</v>
      </c>
      <c r="F1285" s="79">
        <v>15900</v>
      </c>
      <c r="G1285" s="79">
        <v>16200</v>
      </c>
      <c r="H1285" s="79"/>
      <c r="I1285" s="79">
        <v>3.1800000000000002E-2</v>
      </c>
      <c r="J1285" s="79"/>
      <c r="K1285" s="71">
        <f>YEAR(Accion[[#This Row],[fecha]])</f>
        <v>2014</v>
      </c>
      <c r="L1285" s="79" t="str">
        <f>IF(Accion[[#This Row],[Precio Cierre]]=MAX(Accion[Precio Cierre]),Accion[[#This Row],[Precio Cierre]],"NA")</f>
        <v>NA</v>
      </c>
      <c r="M1285" s="79" t="str">
        <f>IF(Accion[[#This Row],[Precio Cierre]]=MIN(Accion[Precio Cierre]),Accion[[#This Row],[Precio Cierre]],"NA")</f>
        <v>NA</v>
      </c>
    </row>
    <row r="1286" spans="1:13" hidden="1">
      <c r="A1286" s="38" t="s">
        <v>90</v>
      </c>
      <c r="B1286" s="78">
        <v>41717</v>
      </c>
      <c r="C1286" s="79" t="s">
        <v>418</v>
      </c>
      <c r="D1286" s="79"/>
      <c r="E1286" s="79">
        <v>15960</v>
      </c>
      <c r="F1286" s="79">
        <v>15700</v>
      </c>
      <c r="G1286" s="79">
        <v>15700</v>
      </c>
      <c r="H1286" s="79"/>
      <c r="I1286" s="79">
        <v>-1.2999999999999999E-3</v>
      </c>
      <c r="J1286" s="79"/>
      <c r="K1286" s="71">
        <f>YEAR(Accion[[#This Row],[fecha]])</f>
        <v>2014</v>
      </c>
      <c r="L1286" s="79" t="str">
        <f>IF(Accion[[#This Row],[Precio Cierre]]=MAX(Accion[Precio Cierre]),Accion[[#This Row],[Precio Cierre]],"NA")</f>
        <v>NA</v>
      </c>
      <c r="M1286" s="79" t="str">
        <f>IF(Accion[[#This Row],[Precio Cierre]]=MIN(Accion[Precio Cierre]),Accion[[#This Row],[Precio Cierre]],"NA")</f>
        <v>NA</v>
      </c>
    </row>
    <row r="1287" spans="1:13" hidden="1">
      <c r="A1287" s="38" t="s">
        <v>90</v>
      </c>
      <c r="B1287" s="78">
        <v>41716</v>
      </c>
      <c r="C1287" s="79" t="s">
        <v>419</v>
      </c>
      <c r="D1287" s="79"/>
      <c r="E1287" s="79">
        <v>16000</v>
      </c>
      <c r="F1287" s="79">
        <v>15720</v>
      </c>
      <c r="G1287" s="79">
        <v>15720</v>
      </c>
      <c r="H1287" s="79"/>
      <c r="I1287" s="79">
        <v>-3.56E-2</v>
      </c>
      <c r="J1287" s="79"/>
      <c r="K1287" s="71">
        <f>YEAR(Accion[[#This Row],[fecha]])</f>
        <v>2014</v>
      </c>
      <c r="L1287" s="79" t="str">
        <f>IF(Accion[[#This Row],[Precio Cierre]]=MAX(Accion[Precio Cierre]),Accion[[#This Row],[Precio Cierre]],"NA")</f>
        <v>NA</v>
      </c>
      <c r="M1287" s="79" t="str">
        <f>IF(Accion[[#This Row],[Precio Cierre]]=MIN(Accion[Precio Cierre]),Accion[[#This Row],[Precio Cierre]],"NA")</f>
        <v>NA</v>
      </c>
    </row>
    <row r="1288" spans="1:13" hidden="1">
      <c r="A1288" s="38" t="s">
        <v>90</v>
      </c>
      <c r="B1288" s="78">
        <v>41715</v>
      </c>
      <c r="C1288" s="79" t="s">
        <v>420</v>
      </c>
      <c r="D1288" s="79"/>
      <c r="E1288" s="79">
        <v>16300</v>
      </c>
      <c r="F1288" s="79">
        <v>16080</v>
      </c>
      <c r="G1288" s="79">
        <v>16300</v>
      </c>
      <c r="H1288" s="79"/>
      <c r="I1288" s="79">
        <v>1.6199999999999999E-2</v>
      </c>
      <c r="J1288" s="79"/>
      <c r="K1288" s="71">
        <f>YEAR(Accion[[#This Row],[fecha]])</f>
        <v>2014</v>
      </c>
      <c r="L1288" s="79" t="str">
        <f>IF(Accion[[#This Row],[Precio Cierre]]=MAX(Accion[Precio Cierre]),Accion[[#This Row],[Precio Cierre]],"NA")</f>
        <v>NA</v>
      </c>
      <c r="M1288" s="79" t="str">
        <f>IF(Accion[[#This Row],[Precio Cierre]]=MIN(Accion[Precio Cierre]),Accion[[#This Row],[Precio Cierre]],"NA")</f>
        <v>NA</v>
      </c>
    </row>
    <row r="1289" spans="1:13" hidden="1">
      <c r="A1289" s="38" t="s">
        <v>90</v>
      </c>
      <c r="B1289" s="78">
        <v>41712</v>
      </c>
      <c r="C1289" s="79" t="s">
        <v>421</v>
      </c>
      <c r="D1289" s="79"/>
      <c r="E1289" s="79">
        <v>16040</v>
      </c>
      <c r="F1289" s="79">
        <v>15600</v>
      </c>
      <c r="G1289" s="79">
        <v>16040</v>
      </c>
      <c r="H1289" s="79"/>
      <c r="I1289" s="79">
        <v>2.1700000000000001E-2</v>
      </c>
      <c r="J1289" s="79"/>
      <c r="K1289" s="71">
        <f>YEAR(Accion[[#This Row],[fecha]])</f>
        <v>2014</v>
      </c>
      <c r="L1289" s="79" t="str">
        <f>IF(Accion[[#This Row],[Precio Cierre]]=MAX(Accion[Precio Cierre]),Accion[[#This Row],[Precio Cierre]],"NA")</f>
        <v>NA</v>
      </c>
      <c r="M1289" s="79" t="str">
        <f>IF(Accion[[#This Row],[Precio Cierre]]=MIN(Accion[Precio Cierre]),Accion[[#This Row],[Precio Cierre]],"NA")</f>
        <v>NA</v>
      </c>
    </row>
    <row r="1290" spans="1:13" hidden="1">
      <c r="A1290" s="38" t="s">
        <v>90</v>
      </c>
      <c r="B1290" s="78">
        <v>41711</v>
      </c>
      <c r="C1290" s="79" t="s">
        <v>422</v>
      </c>
      <c r="D1290" s="79"/>
      <c r="E1290" s="79">
        <v>15700</v>
      </c>
      <c r="F1290" s="79">
        <v>15460</v>
      </c>
      <c r="G1290" s="79">
        <v>15700</v>
      </c>
      <c r="H1290" s="79"/>
      <c r="I1290" s="79">
        <v>1.8200000000000001E-2</v>
      </c>
      <c r="J1290" s="79"/>
      <c r="K1290" s="71">
        <f>YEAR(Accion[[#This Row],[fecha]])</f>
        <v>2014</v>
      </c>
      <c r="L1290" s="79" t="str">
        <f>IF(Accion[[#This Row],[Precio Cierre]]=MAX(Accion[Precio Cierre]),Accion[[#This Row],[Precio Cierre]],"NA")</f>
        <v>NA</v>
      </c>
      <c r="M1290" s="79" t="str">
        <f>IF(Accion[[#This Row],[Precio Cierre]]=MIN(Accion[Precio Cierre]),Accion[[#This Row],[Precio Cierre]],"NA")</f>
        <v>NA</v>
      </c>
    </row>
    <row r="1291" spans="1:13" hidden="1">
      <c r="A1291" s="38" t="s">
        <v>90</v>
      </c>
      <c r="B1291" s="78">
        <v>41710</v>
      </c>
      <c r="C1291" s="79" t="s">
        <v>423</v>
      </c>
      <c r="D1291" s="79"/>
      <c r="E1291" s="79">
        <v>16260</v>
      </c>
      <c r="F1291" s="79">
        <v>15420</v>
      </c>
      <c r="G1291" s="79">
        <v>15420</v>
      </c>
      <c r="H1291" s="79"/>
      <c r="I1291" s="79">
        <v>-5.1700000000000003E-2</v>
      </c>
      <c r="J1291" s="79"/>
      <c r="K1291" s="71">
        <f>YEAR(Accion[[#This Row],[fecha]])</f>
        <v>2014</v>
      </c>
      <c r="L1291" s="79" t="str">
        <f>IF(Accion[[#This Row],[Precio Cierre]]=MAX(Accion[Precio Cierre]),Accion[[#This Row],[Precio Cierre]],"NA")</f>
        <v>NA</v>
      </c>
      <c r="M1291" s="79" t="str">
        <f>IF(Accion[[#This Row],[Precio Cierre]]=MIN(Accion[Precio Cierre]),Accion[[#This Row],[Precio Cierre]],"NA")</f>
        <v>NA</v>
      </c>
    </row>
    <row r="1292" spans="1:13" hidden="1">
      <c r="A1292" s="38" t="s">
        <v>90</v>
      </c>
      <c r="B1292" s="78">
        <v>41709</v>
      </c>
      <c r="C1292" s="79" t="s">
        <v>424</v>
      </c>
      <c r="D1292" s="79"/>
      <c r="E1292" s="79">
        <v>16360</v>
      </c>
      <c r="F1292" s="79">
        <v>16260</v>
      </c>
      <c r="G1292" s="79">
        <v>16260</v>
      </c>
      <c r="H1292" s="79"/>
      <c r="I1292" s="79">
        <v>0</v>
      </c>
      <c r="J1292" s="79"/>
      <c r="K1292" s="71">
        <f>YEAR(Accion[[#This Row],[fecha]])</f>
        <v>2014</v>
      </c>
      <c r="L1292" s="79" t="str">
        <f>IF(Accion[[#This Row],[Precio Cierre]]=MAX(Accion[Precio Cierre]),Accion[[#This Row],[Precio Cierre]],"NA")</f>
        <v>NA</v>
      </c>
      <c r="M1292" s="79" t="str">
        <f>IF(Accion[[#This Row],[Precio Cierre]]=MIN(Accion[Precio Cierre]),Accion[[#This Row],[Precio Cierre]],"NA")</f>
        <v>NA</v>
      </c>
    </row>
    <row r="1293" spans="1:13" hidden="1">
      <c r="A1293" s="38" t="s">
        <v>90</v>
      </c>
      <c r="B1293" s="78">
        <v>41708</v>
      </c>
      <c r="C1293" s="79" t="s">
        <v>425</v>
      </c>
      <c r="D1293" s="79"/>
      <c r="E1293" s="79">
        <v>16260</v>
      </c>
      <c r="F1293" s="79">
        <v>16260</v>
      </c>
      <c r="G1293" s="79">
        <v>16260</v>
      </c>
      <c r="H1293" s="79"/>
      <c r="I1293" s="79">
        <v>1.8800000000000001E-2</v>
      </c>
      <c r="J1293" s="79"/>
      <c r="K1293" s="71">
        <f>YEAR(Accion[[#This Row],[fecha]])</f>
        <v>2014</v>
      </c>
      <c r="L1293" s="79" t="str">
        <f>IF(Accion[[#This Row],[Precio Cierre]]=MAX(Accion[Precio Cierre]),Accion[[#This Row],[Precio Cierre]],"NA")</f>
        <v>NA</v>
      </c>
      <c r="M1293" s="79" t="str">
        <f>IF(Accion[[#This Row],[Precio Cierre]]=MIN(Accion[Precio Cierre]),Accion[[#This Row],[Precio Cierre]],"NA")</f>
        <v>NA</v>
      </c>
    </row>
    <row r="1294" spans="1:13" hidden="1">
      <c r="A1294" s="38" t="s">
        <v>90</v>
      </c>
      <c r="B1294" s="78">
        <v>41705</v>
      </c>
      <c r="C1294" s="79" t="s">
        <v>426</v>
      </c>
      <c r="D1294" s="79"/>
      <c r="E1294" s="79">
        <v>16360</v>
      </c>
      <c r="F1294" s="79">
        <v>15920</v>
      </c>
      <c r="G1294" s="79">
        <v>15960</v>
      </c>
      <c r="H1294" s="79"/>
      <c r="I1294" s="79">
        <v>-2.5000000000000001E-3</v>
      </c>
      <c r="J1294" s="79"/>
      <c r="K1294" s="71">
        <f>YEAR(Accion[[#This Row],[fecha]])</f>
        <v>2014</v>
      </c>
      <c r="L1294" s="79" t="str">
        <f>IF(Accion[[#This Row],[Precio Cierre]]=MAX(Accion[Precio Cierre]),Accion[[#This Row],[Precio Cierre]],"NA")</f>
        <v>NA</v>
      </c>
      <c r="M1294" s="79" t="str">
        <f>IF(Accion[[#This Row],[Precio Cierre]]=MIN(Accion[Precio Cierre]),Accion[[#This Row],[Precio Cierre]],"NA")</f>
        <v>NA</v>
      </c>
    </row>
    <row r="1295" spans="1:13" hidden="1">
      <c r="A1295" s="38" t="s">
        <v>90</v>
      </c>
      <c r="B1295" s="78">
        <v>41704</v>
      </c>
      <c r="C1295" s="79" t="s">
        <v>427</v>
      </c>
      <c r="D1295" s="79"/>
      <c r="E1295" s="79">
        <v>16020</v>
      </c>
      <c r="F1295" s="79">
        <v>15900</v>
      </c>
      <c r="G1295" s="79">
        <v>16000</v>
      </c>
      <c r="H1295" s="79"/>
      <c r="I1295" s="79">
        <v>0</v>
      </c>
      <c r="J1295" s="79"/>
      <c r="K1295" s="71">
        <f>YEAR(Accion[[#This Row],[fecha]])</f>
        <v>2014</v>
      </c>
      <c r="L1295" s="79" t="str">
        <f>IF(Accion[[#This Row],[Precio Cierre]]=MAX(Accion[Precio Cierre]),Accion[[#This Row],[Precio Cierre]],"NA")</f>
        <v>NA</v>
      </c>
      <c r="M1295" s="79" t="str">
        <f>IF(Accion[[#This Row],[Precio Cierre]]=MIN(Accion[Precio Cierre]),Accion[[#This Row],[Precio Cierre]],"NA")</f>
        <v>NA</v>
      </c>
    </row>
    <row r="1296" spans="1:13" hidden="1">
      <c r="A1296" s="38" t="s">
        <v>90</v>
      </c>
      <c r="B1296" s="78">
        <v>41703</v>
      </c>
      <c r="C1296" s="79" t="s">
        <v>428</v>
      </c>
      <c r="D1296" s="79"/>
      <c r="E1296" s="79">
        <v>16180</v>
      </c>
      <c r="F1296" s="79">
        <v>16000</v>
      </c>
      <c r="G1296" s="79">
        <v>16000</v>
      </c>
      <c r="H1296" s="79"/>
      <c r="I1296" s="79">
        <v>-3.0300000000000001E-2</v>
      </c>
      <c r="J1296" s="79"/>
      <c r="K1296" s="71">
        <f>YEAR(Accion[[#This Row],[fecha]])</f>
        <v>2014</v>
      </c>
      <c r="L1296" s="79" t="str">
        <f>IF(Accion[[#This Row],[Precio Cierre]]=MAX(Accion[Precio Cierre]),Accion[[#This Row],[Precio Cierre]],"NA")</f>
        <v>NA</v>
      </c>
      <c r="M1296" s="79" t="str">
        <f>IF(Accion[[#This Row],[Precio Cierre]]=MIN(Accion[Precio Cierre]),Accion[[#This Row],[Precio Cierre]],"NA")</f>
        <v>NA</v>
      </c>
    </row>
    <row r="1297" spans="1:13" hidden="1">
      <c r="A1297" s="38" t="s">
        <v>90</v>
      </c>
      <c r="B1297" s="78">
        <v>41702</v>
      </c>
      <c r="C1297" s="79" t="s">
        <v>429</v>
      </c>
      <c r="D1297" s="79"/>
      <c r="E1297" s="79">
        <v>16500</v>
      </c>
      <c r="F1297" s="79">
        <v>16100</v>
      </c>
      <c r="G1297" s="79">
        <v>16500</v>
      </c>
      <c r="H1297" s="79"/>
      <c r="I1297" s="79">
        <v>2.4799999999999999E-2</v>
      </c>
      <c r="J1297" s="79"/>
      <c r="K1297" s="71">
        <f>YEAR(Accion[[#This Row],[fecha]])</f>
        <v>2014</v>
      </c>
      <c r="L1297" s="79" t="str">
        <f>IF(Accion[[#This Row],[Precio Cierre]]=MAX(Accion[Precio Cierre]),Accion[[#This Row],[Precio Cierre]],"NA")</f>
        <v>NA</v>
      </c>
      <c r="M1297" s="79" t="str">
        <f>IF(Accion[[#This Row],[Precio Cierre]]=MIN(Accion[Precio Cierre]),Accion[[#This Row],[Precio Cierre]],"NA")</f>
        <v>NA</v>
      </c>
    </row>
    <row r="1298" spans="1:13" hidden="1">
      <c r="A1298" s="38" t="s">
        <v>90</v>
      </c>
      <c r="B1298" s="78">
        <v>41701</v>
      </c>
      <c r="C1298" s="79" t="s">
        <v>430</v>
      </c>
      <c r="D1298" s="79"/>
      <c r="E1298" s="79">
        <v>16300</v>
      </c>
      <c r="F1298" s="79">
        <v>16100</v>
      </c>
      <c r="G1298" s="79">
        <v>16100</v>
      </c>
      <c r="H1298" s="79"/>
      <c r="I1298" s="79">
        <v>-1.23E-2</v>
      </c>
      <c r="J1298" s="79"/>
      <c r="K1298" s="71">
        <f>YEAR(Accion[[#This Row],[fecha]])</f>
        <v>2014</v>
      </c>
      <c r="L1298" s="79" t="str">
        <f>IF(Accion[[#This Row],[Precio Cierre]]=MAX(Accion[Precio Cierre]),Accion[[#This Row],[Precio Cierre]],"NA")</f>
        <v>NA</v>
      </c>
      <c r="M1298" s="79" t="str">
        <f>IF(Accion[[#This Row],[Precio Cierre]]=MIN(Accion[Precio Cierre]),Accion[[#This Row],[Precio Cierre]],"NA")</f>
        <v>NA</v>
      </c>
    </row>
    <row r="1299" spans="1:13" hidden="1">
      <c r="A1299" s="38" t="s">
        <v>90</v>
      </c>
      <c r="B1299" s="78">
        <v>41698</v>
      </c>
      <c r="C1299" s="79" t="s">
        <v>431</v>
      </c>
      <c r="D1299" s="79"/>
      <c r="E1299" s="79">
        <v>16300</v>
      </c>
      <c r="F1299" s="79">
        <v>15760</v>
      </c>
      <c r="G1299" s="79">
        <v>16300</v>
      </c>
      <c r="H1299" s="79"/>
      <c r="I1299" s="79">
        <v>3.8199999999999998E-2</v>
      </c>
      <c r="J1299" s="79"/>
      <c r="K1299" s="71">
        <f>YEAR(Accion[[#This Row],[fecha]])</f>
        <v>2014</v>
      </c>
      <c r="L1299" s="79" t="str">
        <f>IF(Accion[[#This Row],[Precio Cierre]]=MAX(Accion[Precio Cierre]),Accion[[#This Row],[Precio Cierre]],"NA")</f>
        <v>NA</v>
      </c>
      <c r="M1299" s="79" t="str">
        <f>IF(Accion[[#This Row],[Precio Cierre]]=MIN(Accion[Precio Cierre]),Accion[[#This Row],[Precio Cierre]],"NA")</f>
        <v>NA</v>
      </c>
    </row>
    <row r="1300" spans="1:13" hidden="1">
      <c r="A1300" s="38" t="s">
        <v>90</v>
      </c>
      <c r="B1300" s="78">
        <v>41697</v>
      </c>
      <c r="C1300" s="79" t="s">
        <v>432</v>
      </c>
      <c r="D1300" s="79"/>
      <c r="E1300" s="79">
        <v>15700</v>
      </c>
      <c r="F1300" s="79">
        <v>15540</v>
      </c>
      <c r="G1300" s="79">
        <v>15700</v>
      </c>
      <c r="H1300" s="79"/>
      <c r="I1300" s="79">
        <v>-3.8E-3</v>
      </c>
      <c r="J1300" s="79"/>
      <c r="K1300" s="71">
        <f>YEAR(Accion[[#This Row],[fecha]])</f>
        <v>2014</v>
      </c>
      <c r="L1300" s="79" t="str">
        <f>IF(Accion[[#This Row],[Precio Cierre]]=MAX(Accion[Precio Cierre]),Accion[[#This Row],[Precio Cierre]],"NA")</f>
        <v>NA</v>
      </c>
      <c r="M1300" s="79" t="str">
        <f>IF(Accion[[#This Row],[Precio Cierre]]=MIN(Accion[Precio Cierre]),Accion[[#This Row],[Precio Cierre]],"NA")</f>
        <v>NA</v>
      </c>
    </row>
    <row r="1301" spans="1:13" hidden="1">
      <c r="A1301" s="38" t="s">
        <v>90</v>
      </c>
      <c r="B1301" s="78">
        <v>41696</v>
      </c>
      <c r="C1301" s="79" t="s">
        <v>433</v>
      </c>
      <c r="D1301" s="79"/>
      <c r="E1301" s="79">
        <v>15760</v>
      </c>
      <c r="F1301" s="79">
        <v>15360</v>
      </c>
      <c r="G1301" s="79">
        <v>15760</v>
      </c>
      <c r="H1301" s="79"/>
      <c r="I1301" s="79">
        <v>4.2299999999999997E-2</v>
      </c>
      <c r="J1301" s="79"/>
      <c r="K1301" s="71">
        <f>YEAR(Accion[[#This Row],[fecha]])</f>
        <v>2014</v>
      </c>
      <c r="L1301" s="79" t="str">
        <f>IF(Accion[[#This Row],[Precio Cierre]]=MAX(Accion[Precio Cierre]),Accion[[#This Row],[Precio Cierre]],"NA")</f>
        <v>NA</v>
      </c>
      <c r="M1301" s="79" t="str">
        <f>IF(Accion[[#This Row],[Precio Cierre]]=MIN(Accion[Precio Cierre]),Accion[[#This Row],[Precio Cierre]],"NA")</f>
        <v>NA</v>
      </c>
    </row>
    <row r="1302" spans="1:13" hidden="1">
      <c r="A1302" s="38" t="s">
        <v>90</v>
      </c>
      <c r="B1302" s="78">
        <v>41695</v>
      </c>
      <c r="C1302" s="79" t="s">
        <v>434</v>
      </c>
      <c r="D1302" s="79"/>
      <c r="E1302" s="79">
        <v>15360</v>
      </c>
      <c r="F1302" s="79">
        <v>15000</v>
      </c>
      <c r="G1302" s="79">
        <v>15120</v>
      </c>
      <c r="H1302" s="79"/>
      <c r="I1302" s="79">
        <v>-9.1999999999999998E-3</v>
      </c>
      <c r="J1302" s="79"/>
      <c r="K1302" s="71">
        <f>YEAR(Accion[[#This Row],[fecha]])</f>
        <v>2014</v>
      </c>
      <c r="L1302" s="79" t="str">
        <f>IF(Accion[[#This Row],[Precio Cierre]]=MAX(Accion[Precio Cierre]),Accion[[#This Row],[Precio Cierre]],"NA")</f>
        <v>NA</v>
      </c>
      <c r="M1302" s="79" t="str">
        <f>IF(Accion[[#This Row],[Precio Cierre]]=MIN(Accion[Precio Cierre]),Accion[[#This Row],[Precio Cierre]],"NA")</f>
        <v>NA</v>
      </c>
    </row>
    <row r="1303" spans="1:13" hidden="1">
      <c r="A1303" s="38" t="s">
        <v>90</v>
      </c>
      <c r="B1303" s="78">
        <v>41694</v>
      </c>
      <c r="C1303" s="79" t="s">
        <v>435</v>
      </c>
      <c r="D1303" s="79"/>
      <c r="E1303" s="79">
        <v>15380</v>
      </c>
      <c r="F1303" s="79">
        <v>15000</v>
      </c>
      <c r="G1303" s="79">
        <v>15260</v>
      </c>
      <c r="H1303" s="79"/>
      <c r="I1303" s="79">
        <v>1.7299999999999999E-2</v>
      </c>
      <c r="J1303" s="79"/>
      <c r="K1303" s="71">
        <f>YEAR(Accion[[#This Row],[fecha]])</f>
        <v>2014</v>
      </c>
      <c r="L1303" s="79" t="str">
        <f>IF(Accion[[#This Row],[Precio Cierre]]=MAX(Accion[Precio Cierre]),Accion[[#This Row],[Precio Cierre]],"NA")</f>
        <v>NA</v>
      </c>
      <c r="M1303" s="79" t="str">
        <f>IF(Accion[[#This Row],[Precio Cierre]]=MIN(Accion[Precio Cierre]),Accion[[#This Row],[Precio Cierre]],"NA")</f>
        <v>NA</v>
      </c>
    </row>
    <row r="1304" spans="1:13" hidden="1">
      <c r="A1304" s="38" t="s">
        <v>90</v>
      </c>
      <c r="B1304" s="78">
        <v>41691</v>
      </c>
      <c r="C1304" s="79" t="s">
        <v>436</v>
      </c>
      <c r="D1304" s="79"/>
      <c r="E1304" s="79">
        <v>15240</v>
      </c>
      <c r="F1304" s="79">
        <v>14740</v>
      </c>
      <c r="G1304" s="79">
        <v>15000</v>
      </c>
      <c r="H1304" s="79"/>
      <c r="I1304" s="79">
        <v>-1.5699999999999999E-2</v>
      </c>
      <c r="J1304" s="79"/>
      <c r="K1304" s="71">
        <f>YEAR(Accion[[#This Row],[fecha]])</f>
        <v>2014</v>
      </c>
      <c r="L1304" s="79" t="str">
        <f>IF(Accion[[#This Row],[Precio Cierre]]=MAX(Accion[Precio Cierre]),Accion[[#This Row],[Precio Cierre]],"NA")</f>
        <v>NA</v>
      </c>
      <c r="M1304" s="79" t="str">
        <f>IF(Accion[[#This Row],[Precio Cierre]]=MIN(Accion[Precio Cierre]),Accion[[#This Row],[Precio Cierre]],"NA")</f>
        <v>NA</v>
      </c>
    </row>
    <row r="1305" spans="1:13" hidden="1">
      <c r="A1305" s="38" t="s">
        <v>90</v>
      </c>
      <c r="B1305" s="78">
        <v>41690</v>
      </c>
      <c r="C1305" s="79" t="s">
        <v>437</v>
      </c>
      <c r="D1305" s="79"/>
      <c r="E1305" s="79">
        <v>15560</v>
      </c>
      <c r="F1305" s="79">
        <v>15240</v>
      </c>
      <c r="G1305" s="79">
        <v>15240</v>
      </c>
      <c r="H1305" s="79"/>
      <c r="I1305" s="79">
        <v>-5.4600000000000003E-2</v>
      </c>
      <c r="J1305" s="79"/>
      <c r="K1305" s="71">
        <f>YEAR(Accion[[#This Row],[fecha]])</f>
        <v>2014</v>
      </c>
      <c r="L1305" s="79" t="str">
        <f>IF(Accion[[#This Row],[Precio Cierre]]=MAX(Accion[Precio Cierre]),Accion[[#This Row],[Precio Cierre]],"NA")</f>
        <v>NA</v>
      </c>
      <c r="M1305" s="79" t="str">
        <f>IF(Accion[[#This Row],[Precio Cierre]]=MIN(Accion[Precio Cierre]),Accion[[#This Row],[Precio Cierre]],"NA")</f>
        <v>NA</v>
      </c>
    </row>
    <row r="1306" spans="1:13" hidden="1">
      <c r="A1306" s="38" t="s">
        <v>90</v>
      </c>
      <c r="B1306" s="78">
        <v>41689</v>
      </c>
      <c r="C1306" s="79" t="s">
        <v>438</v>
      </c>
      <c r="D1306" s="79"/>
      <c r="E1306" s="79">
        <v>16120</v>
      </c>
      <c r="F1306" s="79">
        <v>16000</v>
      </c>
      <c r="G1306" s="79">
        <v>16120</v>
      </c>
      <c r="H1306" s="79"/>
      <c r="I1306" s="79">
        <v>0</v>
      </c>
      <c r="J1306" s="79"/>
      <c r="K1306" s="71">
        <f>YEAR(Accion[[#This Row],[fecha]])</f>
        <v>2014</v>
      </c>
      <c r="L1306" s="79" t="str">
        <f>IF(Accion[[#This Row],[Precio Cierre]]=MAX(Accion[Precio Cierre]),Accion[[#This Row],[Precio Cierre]],"NA")</f>
        <v>NA</v>
      </c>
      <c r="M1306" s="79" t="str">
        <f>IF(Accion[[#This Row],[Precio Cierre]]=MIN(Accion[Precio Cierre]),Accion[[#This Row],[Precio Cierre]],"NA")</f>
        <v>NA</v>
      </c>
    </row>
    <row r="1307" spans="1:13" hidden="1">
      <c r="A1307" s="38" t="s">
        <v>90</v>
      </c>
      <c r="B1307" s="78">
        <v>41688</v>
      </c>
      <c r="C1307" s="79" t="s">
        <v>439</v>
      </c>
      <c r="D1307" s="79"/>
      <c r="E1307" s="79">
        <v>16120</v>
      </c>
      <c r="F1307" s="79">
        <v>15280</v>
      </c>
      <c r="G1307" s="79">
        <v>16120</v>
      </c>
      <c r="H1307" s="79"/>
      <c r="I1307" s="79">
        <v>5.5E-2</v>
      </c>
      <c r="J1307" s="79"/>
      <c r="K1307" s="71">
        <f>YEAR(Accion[[#This Row],[fecha]])</f>
        <v>2014</v>
      </c>
      <c r="L1307" s="79" t="str">
        <f>IF(Accion[[#This Row],[Precio Cierre]]=MAX(Accion[Precio Cierre]),Accion[[#This Row],[Precio Cierre]],"NA")</f>
        <v>NA</v>
      </c>
      <c r="M1307" s="79" t="str">
        <f>IF(Accion[[#This Row],[Precio Cierre]]=MIN(Accion[Precio Cierre]),Accion[[#This Row],[Precio Cierre]],"NA")</f>
        <v>NA</v>
      </c>
    </row>
    <row r="1308" spans="1:13" hidden="1">
      <c r="A1308" s="38" t="s">
        <v>90</v>
      </c>
      <c r="B1308" s="78">
        <v>41687</v>
      </c>
      <c r="C1308" s="79" t="s">
        <v>440</v>
      </c>
      <c r="D1308" s="79"/>
      <c r="E1308" s="79">
        <v>15300</v>
      </c>
      <c r="F1308" s="79">
        <v>15000</v>
      </c>
      <c r="G1308" s="79">
        <v>15280</v>
      </c>
      <c r="H1308" s="79"/>
      <c r="I1308" s="79">
        <v>-1.2999999999999999E-3</v>
      </c>
      <c r="J1308" s="79"/>
      <c r="K1308" s="71">
        <f>YEAR(Accion[[#This Row],[fecha]])</f>
        <v>2014</v>
      </c>
      <c r="L1308" s="79" t="str">
        <f>IF(Accion[[#This Row],[Precio Cierre]]=MAX(Accion[Precio Cierre]),Accion[[#This Row],[Precio Cierre]],"NA")</f>
        <v>NA</v>
      </c>
      <c r="M1308" s="79" t="str">
        <f>IF(Accion[[#This Row],[Precio Cierre]]=MIN(Accion[Precio Cierre]),Accion[[#This Row],[Precio Cierre]],"NA")</f>
        <v>NA</v>
      </c>
    </row>
    <row r="1309" spans="1:13" hidden="1">
      <c r="A1309" s="38" t="s">
        <v>90</v>
      </c>
      <c r="B1309" s="78">
        <v>41684</v>
      </c>
      <c r="C1309" s="79" t="s">
        <v>441</v>
      </c>
      <c r="D1309" s="79"/>
      <c r="E1309" s="79">
        <v>15380</v>
      </c>
      <c r="F1309" s="79">
        <v>15300</v>
      </c>
      <c r="G1309" s="79">
        <v>15300</v>
      </c>
      <c r="H1309" s="79"/>
      <c r="I1309" s="79">
        <v>-5.1999999999999998E-3</v>
      </c>
      <c r="J1309" s="79"/>
      <c r="K1309" s="71">
        <f>YEAR(Accion[[#This Row],[fecha]])</f>
        <v>2014</v>
      </c>
      <c r="L1309" s="79" t="str">
        <f>IF(Accion[[#This Row],[Precio Cierre]]=MAX(Accion[Precio Cierre]),Accion[[#This Row],[Precio Cierre]],"NA")</f>
        <v>NA</v>
      </c>
      <c r="M1309" s="79" t="str">
        <f>IF(Accion[[#This Row],[Precio Cierre]]=MIN(Accion[Precio Cierre]),Accion[[#This Row],[Precio Cierre]],"NA")</f>
        <v>NA</v>
      </c>
    </row>
    <row r="1310" spans="1:13" hidden="1">
      <c r="A1310" s="38" t="s">
        <v>90</v>
      </c>
      <c r="B1310" s="78">
        <v>41683</v>
      </c>
      <c r="C1310" s="79" t="s">
        <v>442</v>
      </c>
      <c r="D1310" s="79"/>
      <c r="E1310" s="79">
        <v>15660</v>
      </c>
      <c r="F1310" s="79">
        <v>14700</v>
      </c>
      <c r="G1310" s="79">
        <v>15380</v>
      </c>
      <c r="H1310" s="79"/>
      <c r="I1310" s="79">
        <v>3.5000000000000003E-2</v>
      </c>
      <c r="J1310" s="79"/>
      <c r="K1310" s="71">
        <f>YEAR(Accion[[#This Row],[fecha]])</f>
        <v>2014</v>
      </c>
      <c r="L1310" s="79" t="str">
        <f>IF(Accion[[#This Row],[Precio Cierre]]=MAX(Accion[Precio Cierre]),Accion[[#This Row],[Precio Cierre]],"NA")</f>
        <v>NA</v>
      </c>
      <c r="M1310" s="79" t="str">
        <f>IF(Accion[[#This Row],[Precio Cierre]]=MIN(Accion[Precio Cierre]),Accion[[#This Row],[Precio Cierre]],"NA")</f>
        <v>NA</v>
      </c>
    </row>
    <row r="1311" spans="1:13" hidden="1">
      <c r="A1311" s="38" t="s">
        <v>90</v>
      </c>
      <c r="B1311" s="78">
        <v>41682</v>
      </c>
      <c r="C1311" s="79" t="s">
        <v>443</v>
      </c>
      <c r="D1311" s="79"/>
      <c r="E1311" s="79">
        <v>14860</v>
      </c>
      <c r="F1311" s="79">
        <v>14100</v>
      </c>
      <c r="G1311" s="79">
        <v>14860</v>
      </c>
      <c r="H1311" s="79"/>
      <c r="I1311" s="79">
        <v>5.3900000000000003E-2</v>
      </c>
      <c r="J1311" s="79"/>
      <c r="K1311" s="71">
        <f>YEAR(Accion[[#This Row],[fecha]])</f>
        <v>2014</v>
      </c>
      <c r="L1311" s="79" t="str">
        <f>IF(Accion[[#This Row],[Precio Cierre]]=MAX(Accion[Precio Cierre]),Accion[[#This Row],[Precio Cierre]],"NA")</f>
        <v>NA</v>
      </c>
      <c r="M1311" s="79" t="str">
        <f>IF(Accion[[#This Row],[Precio Cierre]]=MIN(Accion[Precio Cierre]),Accion[[#This Row],[Precio Cierre]],"NA")</f>
        <v>NA</v>
      </c>
    </row>
    <row r="1312" spans="1:13" hidden="1">
      <c r="A1312" s="38" t="s">
        <v>90</v>
      </c>
      <c r="B1312" s="78">
        <v>41681</v>
      </c>
      <c r="C1312" s="79" t="s">
        <v>444</v>
      </c>
      <c r="D1312" s="79"/>
      <c r="E1312" s="79">
        <v>14280</v>
      </c>
      <c r="F1312" s="79">
        <v>13900</v>
      </c>
      <c r="G1312" s="79">
        <v>14100</v>
      </c>
      <c r="H1312" s="79"/>
      <c r="I1312" s="79">
        <v>0.01</v>
      </c>
      <c r="J1312" s="79"/>
      <c r="K1312" s="71">
        <f>YEAR(Accion[[#This Row],[fecha]])</f>
        <v>2014</v>
      </c>
      <c r="L1312" s="79" t="str">
        <f>IF(Accion[[#This Row],[Precio Cierre]]=MAX(Accion[Precio Cierre]),Accion[[#This Row],[Precio Cierre]],"NA")</f>
        <v>NA</v>
      </c>
      <c r="M1312" s="79" t="str">
        <f>IF(Accion[[#This Row],[Precio Cierre]]=MIN(Accion[Precio Cierre]),Accion[[#This Row],[Precio Cierre]],"NA")</f>
        <v>NA</v>
      </c>
    </row>
    <row r="1313" spans="1:13" hidden="1">
      <c r="A1313" s="38" t="s">
        <v>90</v>
      </c>
      <c r="B1313" s="78">
        <v>41680</v>
      </c>
      <c r="C1313" s="79" t="s">
        <v>445</v>
      </c>
      <c r="D1313" s="79"/>
      <c r="E1313" s="79">
        <v>13960</v>
      </c>
      <c r="F1313" s="79">
        <v>13600</v>
      </c>
      <c r="G1313" s="79">
        <v>13960</v>
      </c>
      <c r="H1313" s="79"/>
      <c r="I1313" s="79">
        <v>2.6499999999999999E-2</v>
      </c>
      <c r="J1313" s="79"/>
      <c r="K1313" s="71">
        <f>YEAR(Accion[[#This Row],[fecha]])</f>
        <v>2014</v>
      </c>
      <c r="L1313" s="79" t="str">
        <f>IF(Accion[[#This Row],[Precio Cierre]]=MAX(Accion[Precio Cierre]),Accion[[#This Row],[Precio Cierre]],"NA")</f>
        <v>NA</v>
      </c>
      <c r="M1313" s="79" t="str">
        <f>IF(Accion[[#This Row],[Precio Cierre]]=MIN(Accion[Precio Cierre]),Accion[[#This Row],[Precio Cierre]],"NA")</f>
        <v>NA</v>
      </c>
    </row>
    <row r="1314" spans="1:13" hidden="1">
      <c r="A1314" s="38" t="s">
        <v>90</v>
      </c>
      <c r="B1314" s="78">
        <v>41677</v>
      </c>
      <c r="C1314" s="79" t="s">
        <v>446</v>
      </c>
      <c r="D1314" s="79"/>
      <c r="E1314" s="79">
        <v>13880</v>
      </c>
      <c r="F1314" s="79">
        <v>13500</v>
      </c>
      <c r="G1314" s="79">
        <v>13600</v>
      </c>
      <c r="H1314" s="79"/>
      <c r="I1314" s="79">
        <v>4.4000000000000003E-3</v>
      </c>
      <c r="J1314" s="79"/>
      <c r="K1314" s="71">
        <f>YEAR(Accion[[#This Row],[fecha]])</f>
        <v>2014</v>
      </c>
      <c r="L1314" s="79" t="str">
        <f>IF(Accion[[#This Row],[Precio Cierre]]=MAX(Accion[Precio Cierre]),Accion[[#This Row],[Precio Cierre]],"NA")</f>
        <v>NA</v>
      </c>
      <c r="M1314" s="79" t="str">
        <f>IF(Accion[[#This Row],[Precio Cierre]]=MIN(Accion[Precio Cierre]),Accion[[#This Row],[Precio Cierre]],"NA")</f>
        <v>NA</v>
      </c>
    </row>
    <row r="1315" spans="1:13" hidden="1">
      <c r="A1315" s="38" t="s">
        <v>90</v>
      </c>
      <c r="B1315" s="78">
        <v>41676</v>
      </c>
      <c r="C1315" s="79" t="s">
        <v>447</v>
      </c>
      <c r="D1315" s="79"/>
      <c r="E1315" s="79">
        <v>13600</v>
      </c>
      <c r="F1315" s="79">
        <v>13220</v>
      </c>
      <c r="G1315" s="79">
        <v>13540</v>
      </c>
      <c r="H1315" s="79"/>
      <c r="I1315" s="79">
        <v>3.0000000000000001E-3</v>
      </c>
      <c r="J1315" s="79"/>
      <c r="K1315" s="71">
        <f>YEAR(Accion[[#This Row],[fecha]])</f>
        <v>2014</v>
      </c>
      <c r="L1315" s="79" t="str">
        <f>IF(Accion[[#This Row],[Precio Cierre]]=MAX(Accion[Precio Cierre]),Accion[[#This Row],[Precio Cierre]],"NA")</f>
        <v>NA</v>
      </c>
      <c r="M1315" s="79" t="str">
        <f>IF(Accion[[#This Row],[Precio Cierre]]=MIN(Accion[Precio Cierre]),Accion[[#This Row],[Precio Cierre]],"NA")</f>
        <v>NA</v>
      </c>
    </row>
    <row r="1316" spans="1:13" hidden="1">
      <c r="A1316" s="38" t="s">
        <v>90</v>
      </c>
      <c r="B1316" s="78">
        <v>41675</v>
      </c>
      <c r="C1316" s="79" t="s">
        <v>448</v>
      </c>
      <c r="D1316" s="79"/>
      <c r="E1316" s="79">
        <v>13500</v>
      </c>
      <c r="F1316" s="79">
        <v>13200</v>
      </c>
      <c r="G1316" s="79">
        <v>13500</v>
      </c>
      <c r="H1316" s="79"/>
      <c r="I1316" s="79">
        <v>3.85E-2</v>
      </c>
      <c r="J1316" s="79"/>
      <c r="K1316" s="71">
        <f>YEAR(Accion[[#This Row],[fecha]])</f>
        <v>2014</v>
      </c>
      <c r="L1316" s="79" t="str">
        <f>IF(Accion[[#This Row],[Precio Cierre]]=MAX(Accion[Precio Cierre]),Accion[[#This Row],[Precio Cierre]],"NA")</f>
        <v>NA</v>
      </c>
      <c r="M1316" s="79" t="str">
        <f>IF(Accion[[#This Row],[Precio Cierre]]=MIN(Accion[Precio Cierre]),Accion[[#This Row],[Precio Cierre]],"NA")</f>
        <v>NA</v>
      </c>
    </row>
    <row r="1317" spans="1:13" hidden="1">
      <c r="A1317" s="38" t="s">
        <v>90</v>
      </c>
      <c r="B1317" s="78">
        <v>41674</v>
      </c>
      <c r="C1317" s="79" t="s">
        <v>449</v>
      </c>
      <c r="D1317" s="79"/>
      <c r="E1317" s="79">
        <v>13140</v>
      </c>
      <c r="F1317" s="79">
        <v>12760</v>
      </c>
      <c r="G1317" s="79">
        <v>13000</v>
      </c>
      <c r="H1317" s="79"/>
      <c r="I1317" s="79">
        <v>1.8800000000000001E-2</v>
      </c>
      <c r="J1317" s="79"/>
      <c r="K1317" s="71">
        <f>YEAR(Accion[[#This Row],[fecha]])</f>
        <v>2014</v>
      </c>
      <c r="L1317" s="79" t="str">
        <f>IF(Accion[[#This Row],[Precio Cierre]]=MAX(Accion[Precio Cierre]),Accion[[#This Row],[Precio Cierre]],"NA")</f>
        <v>NA</v>
      </c>
      <c r="M1317" s="79" t="str">
        <f>IF(Accion[[#This Row],[Precio Cierre]]=MIN(Accion[Precio Cierre]),Accion[[#This Row],[Precio Cierre]],"NA")</f>
        <v>NA</v>
      </c>
    </row>
    <row r="1318" spans="1:13" hidden="1">
      <c r="A1318" s="38" t="s">
        <v>90</v>
      </c>
      <c r="B1318" s="78">
        <v>41673</v>
      </c>
      <c r="C1318" s="79" t="s">
        <v>450</v>
      </c>
      <c r="D1318" s="79"/>
      <c r="E1318" s="79">
        <v>13500</v>
      </c>
      <c r="F1318" s="79">
        <v>12760</v>
      </c>
      <c r="G1318" s="79">
        <v>12760</v>
      </c>
      <c r="H1318" s="79"/>
      <c r="I1318" s="79">
        <v>-5.4800000000000001E-2</v>
      </c>
      <c r="J1318" s="79"/>
      <c r="K1318" s="71">
        <f>YEAR(Accion[[#This Row],[fecha]])</f>
        <v>2014</v>
      </c>
      <c r="L1318" s="79" t="str">
        <f>IF(Accion[[#This Row],[Precio Cierre]]=MAX(Accion[Precio Cierre]),Accion[[#This Row],[Precio Cierre]],"NA")</f>
        <v>NA</v>
      </c>
      <c r="M1318" s="79" t="str">
        <f>IF(Accion[[#This Row],[Precio Cierre]]=MIN(Accion[Precio Cierre]),Accion[[#This Row],[Precio Cierre]],"NA")</f>
        <v>NA</v>
      </c>
    </row>
    <row r="1319" spans="1:13" hidden="1">
      <c r="A1319" s="38" t="s">
        <v>90</v>
      </c>
      <c r="B1319" s="78">
        <v>41670</v>
      </c>
      <c r="C1319" s="79" t="s">
        <v>451</v>
      </c>
      <c r="D1319" s="79"/>
      <c r="E1319" s="79">
        <v>13500</v>
      </c>
      <c r="F1319" s="79">
        <v>13280</v>
      </c>
      <c r="G1319" s="79">
        <v>13500</v>
      </c>
      <c r="H1319" s="79"/>
      <c r="I1319" s="79">
        <v>0</v>
      </c>
      <c r="J1319" s="79"/>
      <c r="K1319" s="71">
        <f>YEAR(Accion[[#This Row],[fecha]])</f>
        <v>2014</v>
      </c>
      <c r="L1319" s="79" t="str">
        <f>IF(Accion[[#This Row],[Precio Cierre]]=MAX(Accion[Precio Cierre]),Accion[[#This Row],[Precio Cierre]],"NA")</f>
        <v>NA</v>
      </c>
      <c r="M1319" s="79" t="str">
        <f>IF(Accion[[#This Row],[Precio Cierre]]=MIN(Accion[Precio Cierre]),Accion[[#This Row],[Precio Cierre]],"NA")</f>
        <v>NA</v>
      </c>
    </row>
    <row r="1320" spans="1:13" hidden="1">
      <c r="A1320" s="38" t="s">
        <v>90</v>
      </c>
      <c r="B1320" s="78">
        <v>41669</v>
      </c>
      <c r="C1320" s="79" t="s">
        <v>452</v>
      </c>
      <c r="D1320" s="79"/>
      <c r="E1320" s="79">
        <v>13520</v>
      </c>
      <c r="F1320" s="79">
        <v>13400</v>
      </c>
      <c r="G1320" s="79">
        <v>13500</v>
      </c>
      <c r="H1320" s="79"/>
      <c r="I1320" s="79">
        <v>0</v>
      </c>
      <c r="J1320" s="79"/>
      <c r="K1320" s="71">
        <f>YEAR(Accion[[#This Row],[fecha]])</f>
        <v>2014</v>
      </c>
      <c r="L1320" s="79" t="str">
        <f>IF(Accion[[#This Row],[Precio Cierre]]=MAX(Accion[Precio Cierre]),Accion[[#This Row],[Precio Cierre]],"NA")</f>
        <v>NA</v>
      </c>
      <c r="M1320" s="79" t="str">
        <f>IF(Accion[[#This Row],[Precio Cierre]]=MIN(Accion[Precio Cierre]),Accion[[#This Row],[Precio Cierre]],"NA")</f>
        <v>NA</v>
      </c>
    </row>
    <row r="1321" spans="1:13" hidden="1">
      <c r="A1321" s="38" t="s">
        <v>90</v>
      </c>
      <c r="B1321" s="78">
        <v>41668</v>
      </c>
      <c r="C1321" s="79" t="s">
        <v>453</v>
      </c>
      <c r="D1321" s="79"/>
      <c r="E1321" s="79">
        <v>13700</v>
      </c>
      <c r="F1321" s="79">
        <v>13400</v>
      </c>
      <c r="G1321" s="79">
        <v>13500</v>
      </c>
      <c r="H1321" s="79"/>
      <c r="I1321" s="79">
        <v>3.0000000000000001E-3</v>
      </c>
      <c r="J1321" s="79"/>
      <c r="K1321" s="71">
        <f>YEAR(Accion[[#This Row],[fecha]])</f>
        <v>2014</v>
      </c>
      <c r="L1321" s="79" t="str">
        <f>IF(Accion[[#This Row],[Precio Cierre]]=MAX(Accion[Precio Cierre]),Accion[[#This Row],[Precio Cierre]],"NA")</f>
        <v>NA</v>
      </c>
      <c r="M1321" s="79" t="str">
        <f>IF(Accion[[#This Row],[Precio Cierre]]=MIN(Accion[Precio Cierre]),Accion[[#This Row],[Precio Cierre]],"NA")</f>
        <v>NA</v>
      </c>
    </row>
    <row r="1322" spans="1:13" hidden="1">
      <c r="A1322" s="38" t="s">
        <v>90</v>
      </c>
      <c r="B1322" s="78">
        <v>41667</v>
      </c>
      <c r="C1322" s="79" t="s">
        <v>454</v>
      </c>
      <c r="D1322" s="79"/>
      <c r="E1322" s="79">
        <v>14000</v>
      </c>
      <c r="F1322" s="79">
        <v>13460</v>
      </c>
      <c r="G1322" s="79">
        <v>13460</v>
      </c>
      <c r="H1322" s="79"/>
      <c r="I1322" s="79">
        <v>-3.8600000000000002E-2</v>
      </c>
      <c r="J1322" s="79"/>
      <c r="K1322" s="71">
        <f>YEAR(Accion[[#This Row],[fecha]])</f>
        <v>2014</v>
      </c>
      <c r="L1322" s="79" t="str">
        <f>IF(Accion[[#This Row],[Precio Cierre]]=MAX(Accion[Precio Cierre]),Accion[[#This Row],[Precio Cierre]],"NA")</f>
        <v>NA</v>
      </c>
      <c r="M1322" s="79" t="str">
        <f>IF(Accion[[#This Row],[Precio Cierre]]=MIN(Accion[Precio Cierre]),Accion[[#This Row],[Precio Cierre]],"NA")</f>
        <v>NA</v>
      </c>
    </row>
    <row r="1323" spans="1:13" hidden="1">
      <c r="A1323" s="38" t="s">
        <v>90</v>
      </c>
      <c r="B1323" s="78">
        <v>41666</v>
      </c>
      <c r="C1323" s="79" t="s">
        <v>455</v>
      </c>
      <c r="D1323" s="79"/>
      <c r="E1323" s="79">
        <v>14280</v>
      </c>
      <c r="F1323" s="79">
        <v>13980</v>
      </c>
      <c r="G1323" s="79">
        <v>14000</v>
      </c>
      <c r="H1323" s="79"/>
      <c r="I1323" s="79">
        <v>-1.8200000000000001E-2</v>
      </c>
      <c r="J1323" s="79"/>
      <c r="K1323" s="71">
        <f>YEAR(Accion[[#This Row],[fecha]])</f>
        <v>2014</v>
      </c>
      <c r="L1323" s="79" t="str">
        <f>IF(Accion[[#This Row],[Precio Cierre]]=MAX(Accion[Precio Cierre]),Accion[[#This Row],[Precio Cierre]],"NA")</f>
        <v>NA</v>
      </c>
      <c r="M1323" s="79" t="str">
        <f>IF(Accion[[#This Row],[Precio Cierre]]=MIN(Accion[Precio Cierre]),Accion[[#This Row],[Precio Cierre]],"NA")</f>
        <v>NA</v>
      </c>
    </row>
    <row r="1324" spans="1:13" hidden="1">
      <c r="A1324" s="38" t="s">
        <v>90</v>
      </c>
      <c r="B1324" s="78">
        <v>41663</v>
      </c>
      <c r="C1324" s="79" t="s">
        <v>456</v>
      </c>
      <c r="D1324" s="79"/>
      <c r="E1324" s="79">
        <v>14400</v>
      </c>
      <c r="F1324" s="79">
        <v>14240</v>
      </c>
      <c r="G1324" s="79">
        <v>14260</v>
      </c>
      <c r="H1324" s="79"/>
      <c r="I1324" s="79">
        <v>-2.46E-2</v>
      </c>
      <c r="J1324" s="79"/>
      <c r="K1324" s="71">
        <f>YEAR(Accion[[#This Row],[fecha]])</f>
        <v>2014</v>
      </c>
      <c r="L1324" s="79" t="str">
        <f>IF(Accion[[#This Row],[Precio Cierre]]=MAX(Accion[Precio Cierre]),Accion[[#This Row],[Precio Cierre]],"NA")</f>
        <v>NA</v>
      </c>
      <c r="M1324" s="79" t="str">
        <f>IF(Accion[[#This Row],[Precio Cierre]]=MIN(Accion[Precio Cierre]),Accion[[#This Row],[Precio Cierre]],"NA")</f>
        <v>NA</v>
      </c>
    </row>
    <row r="1325" spans="1:13" hidden="1">
      <c r="A1325" s="38" t="s">
        <v>90</v>
      </c>
      <c r="B1325" s="78">
        <v>41662</v>
      </c>
      <c r="C1325" s="79" t="s">
        <v>457</v>
      </c>
      <c r="D1325" s="79"/>
      <c r="E1325" s="79">
        <v>15000</v>
      </c>
      <c r="F1325" s="79">
        <v>14560</v>
      </c>
      <c r="G1325" s="79">
        <v>14620</v>
      </c>
      <c r="H1325" s="79"/>
      <c r="I1325" s="79">
        <v>-2.53E-2</v>
      </c>
      <c r="J1325" s="79"/>
      <c r="K1325" s="71">
        <f>YEAR(Accion[[#This Row],[fecha]])</f>
        <v>2014</v>
      </c>
      <c r="L1325" s="79" t="str">
        <f>IF(Accion[[#This Row],[Precio Cierre]]=MAX(Accion[Precio Cierre]),Accion[[#This Row],[Precio Cierre]],"NA")</f>
        <v>NA</v>
      </c>
      <c r="M1325" s="79" t="str">
        <f>IF(Accion[[#This Row],[Precio Cierre]]=MIN(Accion[Precio Cierre]),Accion[[#This Row],[Precio Cierre]],"NA")</f>
        <v>NA</v>
      </c>
    </row>
    <row r="1326" spans="1:13" hidden="1">
      <c r="A1326" s="38" t="s">
        <v>90</v>
      </c>
      <c r="B1326" s="78">
        <v>41661</v>
      </c>
      <c r="C1326" s="79" t="s">
        <v>458</v>
      </c>
      <c r="D1326" s="79"/>
      <c r="E1326" s="79">
        <v>15200</v>
      </c>
      <c r="F1326" s="79">
        <v>14840</v>
      </c>
      <c r="G1326" s="79">
        <v>15000</v>
      </c>
      <c r="H1326" s="79"/>
      <c r="I1326" s="79">
        <v>0</v>
      </c>
      <c r="J1326" s="79"/>
      <c r="K1326" s="71">
        <f>YEAR(Accion[[#This Row],[fecha]])</f>
        <v>2014</v>
      </c>
      <c r="L1326" s="79" t="str">
        <f>IF(Accion[[#This Row],[Precio Cierre]]=MAX(Accion[Precio Cierre]),Accion[[#This Row],[Precio Cierre]],"NA")</f>
        <v>NA</v>
      </c>
      <c r="M1326" s="79" t="str">
        <f>IF(Accion[[#This Row],[Precio Cierre]]=MIN(Accion[Precio Cierre]),Accion[[#This Row],[Precio Cierre]],"NA")</f>
        <v>NA</v>
      </c>
    </row>
    <row r="1327" spans="1:13" hidden="1">
      <c r="A1327" s="38" t="s">
        <v>90</v>
      </c>
      <c r="B1327" s="78">
        <v>41660</v>
      </c>
      <c r="C1327" s="79" t="s">
        <v>459</v>
      </c>
      <c r="D1327" s="79"/>
      <c r="E1327" s="79">
        <v>15100</v>
      </c>
      <c r="F1327" s="79">
        <v>15000</v>
      </c>
      <c r="G1327" s="79">
        <v>15000</v>
      </c>
      <c r="H1327" s="79"/>
      <c r="I1327" s="79">
        <v>-5.3E-3</v>
      </c>
      <c r="J1327" s="79"/>
      <c r="K1327" s="71">
        <f>YEAR(Accion[[#This Row],[fecha]])</f>
        <v>2014</v>
      </c>
      <c r="L1327" s="79" t="str">
        <f>IF(Accion[[#This Row],[Precio Cierre]]=MAX(Accion[Precio Cierre]),Accion[[#This Row],[Precio Cierre]],"NA")</f>
        <v>NA</v>
      </c>
      <c r="M1327" s="79" t="str">
        <f>IF(Accion[[#This Row],[Precio Cierre]]=MIN(Accion[Precio Cierre]),Accion[[#This Row],[Precio Cierre]],"NA")</f>
        <v>NA</v>
      </c>
    </row>
    <row r="1328" spans="1:13" hidden="1">
      <c r="A1328" s="38" t="s">
        <v>90</v>
      </c>
      <c r="B1328" s="78">
        <v>41659</v>
      </c>
      <c r="C1328" s="79" t="s">
        <v>460</v>
      </c>
      <c r="D1328" s="79"/>
      <c r="E1328" s="79">
        <v>15380</v>
      </c>
      <c r="F1328" s="79">
        <v>15080</v>
      </c>
      <c r="G1328" s="79">
        <v>15080</v>
      </c>
      <c r="H1328" s="79"/>
      <c r="I1328" s="79">
        <v>-1.5699999999999999E-2</v>
      </c>
      <c r="J1328" s="79"/>
      <c r="K1328" s="71">
        <f>YEAR(Accion[[#This Row],[fecha]])</f>
        <v>2014</v>
      </c>
      <c r="L1328" s="79" t="str">
        <f>IF(Accion[[#This Row],[Precio Cierre]]=MAX(Accion[Precio Cierre]),Accion[[#This Row],[Precio Cierre]],"NA")</f>
        <v>NA</v>
      </c>
      <c r="M1328" s="79" t="str">
        <f>IF(Accion[[#This Row],[Precio Cierre]]=MIN(Accion[Precio Cierre]),Accion[[#This Row],[Precio Cierre]],"NA")</f>
        <v>NA</v>
      </c>
    </row>
    <row r="1329" spans="1:13" hidden="1">
      <c r="A1329" s="38" t="s">
        <v>90</v>
      </c>
      <c r="B1329" s="78">
        <v>41656</v>
      </c>
      <c r="C1329" s="79" t="s">
        <v>461</v>
      </c>
      <c r="D1329" s="79"/>
      <c r="E1329" s="79">
        <v>15320</v>
      </c>
      <c r="F1329" s="79">
        <v>14800</v>
      </c>
      <c r="G1329" s="79">
        <v>15320</v>
      </c>
      <c r="H1329" s="79"/>
      <c r="I1329" s="79">
        <v>2.1299999999999999E-2</v>
      </c>
      <c r="J1329" s="79"/>
      <c r="K1329" s="71">
        <f>YEAR(Accion[[#This Row],[fecha]])</f>
        <v>2014</v>
      </c>
      <c r="L1329" s="79" t="str">
        <f>IF(Accion[[#This Row],[Precio Cierre]]=MAX(Accion[Precio Cierre]),Accion[[#This Row],[Precio Cierre]],"NA")</f>
        <v>NA</v>
      </c>
      <c r="M1329" s="79" t="str">
        <f>IF(Accion[[#This Row],[Precio Cierre]]=MIN(Accion[Precio Cierre]),Accion[[#This Row],[Precio Cierre]],"NA")</f>
        <v>NA</v>
      </c>
    </row>
    <row r="1330" spans="1:13" hidden="1">
      <c r="A1330" s="38" t="s">
        <v>90</v>
      </c>
      <c r="B1330" s="78">
        <v>41655</v>
      </c>
      <c r="C1330" s="79" t="s">
        <v>462</v>
      </c>
      <c r="D1330" s="79"/>
      <c r="E1330" s="79">
        <v>15000</v>
      </c>
      <c r="F1330" s="79">
        <v>14960</v>
      </c>
      <c r="G1330" s="79">
        <v>15000</v>
      </c>
      <c r="H1330" s="79"/>
      <c r="I1330" s="79">
        <v>0</v>
      </c>
      <c r="J1330" s="79"/>
      <c r="K1330" s="71">
        <f>YEAR(Accion[[#This Row],[fecha]])</f>
        <v>2014</v>
      </c>
      <c r="L1330" s="79" t="str">
        <f>IF(Accion[[#This Row],[Precio Cierre]]=MAX(Accion[Precio Cierre]),Accion[[#This Row],[Precio Cierre]],"NA")</f>
        <v>NA</v>
      </c>
      <c r="M1330" s="79" t="str">
        <f>IF(Accion[[#This Row],[Precio Cierre]]=MIN(Accion[Precio Cierre]),Accion[[#This Row],[Precio Cierre]],"NA")</f>
        <v>NA</v>
      </c>
    </row>
    <row r="1331" spans="1:13" hidden="1">
      <c r="A1331" s="38" t="s">
        <v>90</v>
      </c>
      <c r="B1331" s="78">
        <v>41654</v>
      </c>
      <c r="C1331" s="79" t="s">
        <v>463</v>
      </c>
      <c r="D1331" s="79"/>
      <c r="E1331" s="79">
        <v>15280</v>
      </c>
      <c r="F1331" s="79">
        <v>15000</v>
      </c>
      <c r="G1331" s="79">
        <v>15000</v>
      </c>
      <c r="H1331" s="79"/>
      <c r="I1331" s="79">
        <v>-2.47E-2</v>
      </c>
      <c r="J1331" s="79"/>
      <c r="K1331" s="71">
        <f>YEAR(Accion[[#This Row],[fecha]])</f>
        <v>2014</v>
      </c>
      <c r="L1331" s="79" t="str">
        <f>IF(Accion[[#This Row],[Precio Cierre]]=MAX(Accion[Precio Cierre]),Accion[[#This Row],[Precio Cierre]],"NA")</f>
        <v>NA</v>
      </c>
      <c r="M1331" s="79" t="str">
        <f>IF(Accion[[#This Row],[Precio Cierre]]=MIN(Accion[Precio Cierre]),Accion[[#This Row],[Precio Cierre]],"NA")</f>
        <v>NA</v>
      </c>
    </row>
    <row r="1332" spans="1:13" hidden="1">
      <c r="A1332" s="38" t="s">
        <v>90</v>
      </c>
      <c r="B1332" s="78">
        <v>41653</v>
      </c>
      <c r="C1332" s="79" t="s">
        <v>464</v>
      </c>
      <c r="D1332" s="79"/>
      <c r="E1332" s="79">
        <v>15400</v>
      </c>
      <c r="F1332" s="79">
        <v>15280</v>
      </c>
      <c r="G1332" s="79">
        <v>15380</v>
      </c>
      <c r="H1332" s="79"/>
      <c r="I1332" s="79">
        <v>1.2999999999999999E-3</v>
      </c>
      <c r="J1332" s="79"/>
      <c r="K1332" s="71">
        <f>YEAR(Accion[[#This Row],[fecha]])</f>
        <v>2014</v>
      </c>
      <c r="L1332" s="79" t="str">
        <f>IF(Accion[[#This Row],[Precio Cierre]]=MAX(Accion[Precio Cierre]),Accion[[#This Row],[Precio Cierre]],"NA")</f>
        <v>NA</v>
      </c>
      <c r="M1332" s="79" t="str">
        <f>IF(Accion[[#This Row],[Precio Cierre]]=MIN(Accion[Precio Cierre]),Accion[[#This Row],[Precio Cierre]],"NA")</f>
        <v>NA</v>
      </c>
    </row>
    <row r="1333" spans="1:13" hidden="1">
      <c r="A1333" s="38" t="s">
        <v>90</v>
      </c>
      <c r="B1333" s="78">
        <v>41652</v>
      </c>
      <c r="C1333" s="79" t="s">
        <v>465</v>
      </c>
      <c r="D1333" s="79"/>
      <c r="E1333" s="79">
        <v>15360</v>
      </c>
      <c r="F1333" s="79">
        <v>15300</v>
      </c>
      <c r="G1333" s="79">
        <v>15360</v>
      </c>
      <c r="H1333" s="79"/>
      <c r="I1333" s="79">
        <v>-5.1999999999999998E-3</v>
      </c>
      <c r="J1333" s="79"/>
      <c r="K1333" s="71">
        <f>YEAR(Accion[[#This Row],[fecha]])</f>
        <v>2014</v>
      </c>
      <c r="L1333" s="79" t="str">
        <f>IF(Accion[[#This Row],[Precio Cierre]]=MAX(Accion[Precio Cierre]),Accion[[#This Row],[Precio Cierre]],"NA")</f>
        <v>NA</v>
      </c>
      <c r="M1333" s="79" t="str">
        <f>IF(Accion[[#This Row],[Precio Cierre]]=MIN(Accion[Precio Cierre]),Accion[[#This Row],[Precio Cierre]],"NA")</f>
        <v>NA</v>
      </c>
    </row>
    <row r="1334" spans="1:13" hidden="1">
      <c r="A1334" s="38" t="s">
        <v>90</v>
      </c>
      <c r="B1334" s="78">
        <v>41649</v>
      </c>
      <c r="C1334" s="79" t="s">
        <v>466</v>
      </c>
      <c r="D1334" s="79"/>
      <c r="E1334" s="79">
        <v>15440</v>
      </c>
      <c r="F1334" s="79">
        <v>15200</v>
      </c>
      <c r="G1334" s="79">
        <v>15440</v>
      </c>
      <c r="H1334" s="79"/>
      <c r="I1334" s="79">
        <v>1.7100000000000001E-2</v>
      </c>
      <c r="J1334" s="79"/>
      <c r="K1334" s="71">
        <f>YEAR(Accion[[#This Row],[fecha]])</f>
        <v>2014</v>
      </c>
      <c r="L1334" s="79" t="str">
        <f>IF(Accion[[#This Row],[Precio Cierre]]=MAX(Accion[Precio Cierre]),Accion[[#This Row],[Precio Cierre]],"NA")</f>
        <v>NA</v>
      </c>
      <c r="M1334" s="79" t="str">
        <f>IF(Accion[[#This Row],[Precio Cierre]]=MIN(Accion[Precio Cierre]),Accion[[#This Row],[Precio Cierre]],"NA")</f>
        <v>NA</v>
      </c>
    </row>
    <row r="1335" spans="1:13" hidden="1">
      <c r="A1335" s="38" t="s">
        <v>90</v>
      </c>
      <c r="B1335" s="78">
        <v>41648</v>
      </c>
      <c r="C1335" s="79" t="s">
        <v>467</v>
      </c>
      <c r="D1335" s="79"/>
      <c r="E1335" s="79">
        <v>15200</v>
      </c>
      <c r="F1335" s="79">
        <v>15140</v>
      </c>
      <c r="G1335" s="79">
        <v>15180</v>
      </c>
      <c r="H1335" s="79"/>
      <c r="I1335" s="79">
        <v>-1.2999999999999999E-3</v>
      </c>
      <c r="J1335" s="79"/>
      <c r="K1335" s="71">
        <f>YEAR(Accion[[#This Row],[fecha]])</f>
        <v>2014</v>
      </c>
      <c r="L1335" s="79" t="str">
        <f>IF(Accion[[#This Row],[Precio Cierre]]=MAX(Accion[Precio Cierre]),Accion[[#This Row],[Precio Cierre]],"NA")</f>
        <v>NA</v>
      </c>
      <c r="M1335" s="79" t="str">
        <f>IF(Accion[[#This Row],[Precio Cierre]]=MIN(Accion[Precio Cierre]),Accion[[#This Row],[Precio Cierre]],"NA")</f>
        <v>NA</v>
      </c>
    </row>
    <row r="1336" spans="1:13" hidden="1">
      <c r="A1336" s="38" t="s">
        <v>90</v>
      </c>
      <c r="B1336" s="78">
        <v>41647</v>
      </c>
      <c r="C1336" s="79" t="s">
        <v>468</v>
      </c>
      <c r="D1336" s="79"/>
      <c r="E1336" s="79">
        <v>15200</v>
      </c>
      <c r="F1336" s="79">
        <v>15100</v>
      </c>
      <c r="G1336" s="79">
        <v>15200</v>
      </c>
      <c r="H1336" s="79"/>
      <c r="I1336" s="79">
        <v>6.6E-3</v>
      </c>
      <c r="J1336" s="79"/>
      <c r="K1336" s="71">
        <f>YEAR(Accion[[#This Row],[fecha]])</f>
        <v>2014</v>
      </c>
      <c r="L1336" s="79" t="str">
        <f>IF(Accion[[#This Row],[Precio Cierre]]=MAX(Accion[Precio Cierre]),Accion[[#This Row],[Precio Cierre]],"NA")</f>
        <v>NA</v>
      </c>
      <c r="M1336" s="79" t="str">
        <f>IF(Accion[[#This Row],[Precio Cierre]]=MIN(Accion[Precio Cierre]),Accion[[#This Row],[Precio Cierre]],"NA")</f>
        <v>NA</v>
      </c>
    </row>
    <row r="1337" spans="1:13" hidden="1">
      <c r="A1337" s="38" t="s">
        <v>90</v>
      </c>
      <c r="B1337" s="78">
        <v>41646</v>
      </c>
      <c r="C1337" s="79" t="s">
        <v>469</v>
      </c>
      <c r="D1337" s="79"/>
      <c r="E1337" s="79">
        <v>15200</v>
      </c>
      <c r="F1337" s="79">
        <v>15000</v>
      </c>
      <c r="G1337" s="79">
        <v>15100</v>
      </c>
      <c r="H1337" s="79"/>
      <c r="I1337" s="79">
        <v>1.34E-2</v>
      </c>
      <c r="J1337" s="79"/>
      <c r="K1337" s="71">
        <f>YEAR(Accion[[#This Row],[fecha]])</f>
        <v>2014</v>
      </c>
      <c r="L1337" s="79" t="str">
        <f>IF(Accion[[#This Row],[Precio Cierre]]=MAX(Accion[Precio Cierre]),Accion[[#This Row],[Precio Cierre]],"NA")</f>
        <v>NA</v>
      </c>
      <c r="M1337" s="79" t="str">
        <f>IF(Accion[[#This Row],[Precio Cierre]]=MIN(Accion[Precio Cierre]),Accion[[#This Row],[Precio Cierre]],"NA")</f>
        <v>NA</v>
      </c>
    </row>
    <row r="1338" spans="1:13" hidden="1">
      <c r="A1338" s="38" t="s">
        <v>90</v>
      </c>
      <c r="B1338" s="78">
        <v>41642</v>
      </c>
      <c r="C1338" s="79" t="s">
        <v>470</v>
      </c>
      <c r="D1338" s="79"/>
      <c r="E1338" s="79">
        <v>14900</v>
      </c>
      <c r="F1338" s="79">
        <v>14700</v>
      </c>
      <c r="G1338" s="79">
        <v>14900</v>
      </c>
      <c r="H1338" s="79"/>
      <c r="I1338" s="79">
        <v>1.3599999999999999E-2</v>
      </c>
      <c r="J1338" s="79"/>
      <c r="K1338" s="71">
        <f>YEAR(Accion[[#This Row],[fecha]])</f>
        <v>2014</v>
      </c>
      <c r="L1338" s="79" t="str">
        <f>IF(Accion[[#This Row],[Precio Cierre]]=MAX(Accion[Precio Cierre]),Accion[[#This Row],[Precio Cierre]],"NA")</f>
        <v>NA</v>
      </c>
      <c r="M1338" s="79" t="str">
        <f>IF(Accion[[#This Row],[Precio Cierre]]=MIN(Accion[Precio Cierre]),Accion[[#This Row],[Precio Cierre]],"NA")</f>
        <v>NA</v>
      </c>
    </row>
    <row r="1339" spans="1:13" hidden="1">
      <c r="A1339" s="38" t="s">
        <v>90</v>
      </c>
      <c r="B1339" s="78">
        <v>41641</v>
      </c>
      <c r="C1339" s="79" t="s">
        <v>471</v>
      </c>
      <c r="D1339" s="79"/>
      <c r="E1339" s="79">
        <v>14800</v>
      </c>
      <c r="F1339" s="79">
        <v>14700</v>
      </c>
      <c r="G1339" s="79">
        <v>14700</v>
      </c>
      <c r="H1339" s="79"/>
      <c r="I1339" s="79">
        <v>-6.7999999999999996E-3</v>
      </c>
      <c r="J1339" s="79"/>
      <c r="K1339" s="71">
        <f>YEAR(Accion[[#This Row],[fecha]])</f>
        <v>2014</v>
      </c>
      <c r="L1339" s="79" t="str">
        <f>IF(Accion[[#This Row],[Precio Cierre]]=MAX(Accion[Precio Cierre]),Accion[[#This Row],[Precio Cierre]],"NA")</f>
        <v>NA</v>
      </c>
      <c r="M1339" s="79" t="str">
        <f>IF(Accion[[#This Row],[Precio Cierre]]=MIN(Accion[Precio Cierre]),Accion[[#This Row],[Precio Cierre]],"NA")</f>
        <v>NA</v>
      </c>
    </row>
    <row r="1340" spans="1:13" hidden="1">
      <c r="A1340" s="38" t="s">
        <v>90</v>
      </c>
      <c r="B1340" s="78">
        <v>41638</v>
      </c>
      <c r="C1340" s="79" t="s">
        <v>472</v>
      </c>
      <c r="D1340" s="79"/>
      <c r="E1340" s="79">
        <v>14800</v>
      </c>
      <c r="F1340" s="79">
        <v>14600</v>
      </c>
      <c r="G1340" s="79">
        <v>14800</v>
      </c>
      <c r="H1340" s="79"/>
      <c r="I1340" s="79">
        <v>2.07E-2</v>
      </c>
      <c r="J1340" s="79"/>
      <c r="K1340" s="71">
        <f>YEAR(Accion[[#This Row],[fecha]])</f>
        <v>2013</v>
      </c>
      <c r="L1340" s="79" t="str">
        <f>IF(Accion[[#This Row],[Precio Cierre]]=MAX(Accion[Precio Cierre]),Accion[[#This Row],[Precio Cierre]],"NA")</f>
        <v>NA</v>
      </c>
      <c r="M1340" s="79" t="str">
        <f>IF(Accion[[#This Row],[Precio Cierre]]=MIN(Accion[Precio Cierre]),Accion[[#This Row],[Precio Cierre]],"NA")</f>
        <v>NA</v>
      </c>
    </row>
    <row r="1341" spans="1:13" hidden="1">
      <c r="A1341" s="38" t="s">
        <v>90</v>
      </c>
      <c r="B1341" s="78">
        <v>41635</v>
      </c>
      <c r="C1341" s="79" t="s">
        <v>473</v>
      </c>
      <c r="D1341" s="79"/>
      <c r="E1341" s="79">
        <v>14540</v>
      </c>
      <c r="F1341" s="79">
        <v>14500</v>
      </c>
      <c r="G1341" s="79">
        <v>14500</v>
      </c>
      <c r="H1341" s="79"/>
      <c r="I1341" s="79">
        <v>-6.7999999999999996E-3</v>
      </c>
      <c r="J1341" s="79"/>
      <c r="K1341" s="71">
        <f>YEAR(Accion[[#This Row],[fecha]])</f>
        <v>2013</v>
      </c>
      <c r="L1341" s="79" t="str">
        <f>IF(Accion[[#This Row],[Precio Cierre]]=MAX(Accion[Precio Cierre]),Accion[[#This Row],[Precio Cierre]],"NA")</f>
        <v>NA</v>
      </c>
      <c r="M1341" s="79" t="str">
        <f>IF(Accion[[#This Row],[Precio Cierre]]=MIN(Accion[Precio Cierre]),Accion[[#This Row],[Precio Cierre]],"NA")</f>
        <v>NA</v>
      </c>
    </row>
    <row r="1342" spans="1:13" hidden="1">
      <c r="A1342" s="38" t="s">
        <v>90</v>
      </c>
      <c r="B1342" s="78">
        <v>41634</v>
      </c>
      <c r="C1342" s="79" t="s">
        <v>474</v>
      </c>
      <c r="D1342" s="79"/>
      <c r="E1342" s="79">
        <v>14600</v>
      </c>
      <c r="F1342" s="79">
        <v>14500</v>
      </c>
      <c r="G1342" s="79">
        <v>14600</v>
      </c>
      <c r="H1342" s="79"/>
      <c r="I1342" s="79">
        <v>6.8999999999999999E-3</v>
      </c>
      <c r="J1342" s="79"/>
      <c r="K1342" s="71">
        <f>YEAR(Accion[[#This Row],[fecha]])</f>
        <v>2013</v>
      </c>
      <c r="L1342" s="79" t="str">
        <f>IF(Accion[[#This Row],[Precio Cierre]]=MAX(Accion[Precio Cierre]),Accion[[#This Row],[Precio Cierre]],"NA")</f>
        <v>NA</v>
      </c>
      <c r="M1342" s="79" t="str">
        <f>IF(Accion[[#This Row],[Precio Cierre]]=MIN(Accion[Precio Cierre]),Accion[[#This Row],[Precio Cierre]],"NA")</f>
        <v>NA</v>
      </c>
    </row>
    <row r="1343" spans="1:13" hidden="1">
      <c r="A1343" s="38" t="s">
        <v>90</v>
      </c>
      <c r="B1343" s="78">
        <v>41632</v>
      </c>
      <c r="C1343" s="79" t="s">
        <v>475</v>
      </c>
      <c r="D1343" s="79"/>
      <c r="E1343" s="79">
        <v>14500</v>
      </c>
      <c r="F1343" s="79">
        <v>14500</v>
      </c>
      <c r="G1343" s="79">
        <v>14500</v>
      </c>
      <c r="H1343" s="79"/>
      <c r="I1343" s="79">
        <v>-1.3599999999999999E-2</v>
      </c>
      <c r="J1343" s="79"/>
      <c r="K1343" s="71">
        <f>YEAR(Accion[[#This Row],[fecha]])</f>
        <v>2013</v>
      </c>
      <c r="L1343" s="79" t="str">
        <f>IF(Accion[[#This Row],[Precio Cierre]]=MAX(Accion[Precio Cierre]),Accion[[#This Row],[Precio Cierre]],"NA")</f>
        <v>NA</v>
      </c>
      <c r="M1343" s="79" t="str">
        <f>IF(Accion[[#This Row],[Precio Cierre]]=MIN(Accion[Precio Cierre]),Accion[[#This Row],[Precio Cierre]],"NA")</f>
        <v>NA</v>
      </c>
    </row>
    <row r="1344" spans="1:13" hidden="1">
      <c r="A1344" s="38" t="s">
        <v>90</v>
      </c>
      <c r="B1344" s="78">
        <v>41631</v>
      </c>
      <c r="C1344" s="79" t="s">
        <v>476</v>
      </c>
      <c r="D1344" s="79"/>
      <c r="E1344" s="79">
        <v>14900</v>
      </c>
      <c r="F1344" s="79">
        <v>14300</v>
      </c>
      <c r="G1344" s="79">
        <v>14700</v>
      </c>
      <c r="H1344" s="79"/>
      <c r="I1344" s="79">
        <v>-1.7399999999999999E-2</v>
      </c>
      <c r="J1344" s="79"/>
      <c r="K1344" s="71">
        <f>YEAR(Accion[[#This Row],[fecha]])</f>
        <v>2013</v>
      </c>
      <c r="L1344" s="79" t="str">
        <f>IF(Accion[[#This Row],[Precio Cierre]]=MAX(Accion[Precio Cierre]),Accion[[#This Row],[Precio Cierre]],"NA")</f>
        <v>NA</v>
      </c>
      <c r="M1344" s="79" t="str">
        <f>IF(Accion[[#This Row],[Precio Cierre]]=MIN(Accion[Precio Cierre]),Accion[[#This Row],[Precio Cierre]],"NA")</f>
        <v>NA</v>
      </c>
    </row>
    <row r="1345" spans="1:13" hidden="1">
      <c r="A1345" s="38" t="s">
        <v>90</v>
      </c>
      <c r="B1345" s="78">
        <v>41628</v>
      </c>
      <c r="C1345" s="79" t="s">
        <v>477</v>
      </c>
      <c r="D1345" s="79"/>
      <c r="E1345" s="79">
        <v>15020</v>
      </c>
      <c r="F1345" s="79">
        <v>14940</v>
      </c>
      <c r="G1345" s="79">
        <v>14960</v>
      </c>
      <c r="H1345" s="79"/>
      <c r="I1345" s="79">
        <v>-4.0000000000000001E-3</v>
      </c>
      <c r="J1345" s="79"/>
      <c r="K1345" s="71">
        <f>YEAR(Accion[[#This Row],[fecha]])</f>
        <v>2013</v>
      </c>
      <c r="L1345" s="79" t="str">
        <f>IF(Accion[[#This Row],[Precio Cierre]]=MAX(Accion[Precio Cierre]),Accion[[#This Row],[Precio Cierre]],"NA")</f>
        <v>NA</v>
      </c>
      <c r="M1345" s="79" t="str">
        <f>IF(Accion[[#This Row],[Precio Cierre]]=MIN(Accion[Precio Cierre]),Accion[[#This Row],[Precio Cierre]],"NA")</f>
        <v>NA</v>
      </c>
    </row>
    <row r="1346" spans="1:13" hidden="1">
      <c r="A1346" s="38" t="s">
        <v>90</v>
      </c>
      <c r="B1346" s="78">
        <v>41627</v>
      </c>
      <c r="C1346" s="79" t="s">
        <v>478</v>
      </c>
      <c r="D1346" s="79"/>
      <c r="E1346" s="79">
        <v>15260</v>
      </c>
      <c r="F1346" s="79">
        <v>15020</v>
      </c>
      <c r="G1346" s="79">
        <v>15020</v>
      </c>
      <c r="H1346" s="79"/>
      <c r="I1346" s="79">
        <v>-1.18E-2</v>
      </c>
      <c r="J1346" s="79"/>
      <c r="K1346" s="71">
        <f>YEAR(Accion[[#This Row],[fecha]])</f>
        <v>2013</v>
      </c>
      <c r="L1346" s="79" t="str">
        <f>IF(Accion[[#This Row],[Precio Cierre]]=MAX(Accion[Precio Cierre]),Accion[[#This Row],[Precio Cierre]],"NA")</f>
        <v>NA</v>
      </c>
      <c r="M1346" s="79" t="str">
        <f>IF(Accion[[#This Row],[Precio Cierre]]=MIN(Accion[Precio Cierre]),Accion[[#This Row],[Precio Cierre]],"NA")</f>
        <v>NA</v>
      </c>
    </row>
    <row r="1347" spans="1:13" hidden="1">
      <c r="A1347" s="38" t="s">
        <v>90</v>
      </c>
      <c r="B1347" s="78">
        <v>41626</v>
      </c>
      <c r="C1347" s="79" t="s">
        <v>479</v>
      </c>
      <c r="D1347" s="79"/>
      <c r="E1347" s="79">
        <v>15200</v>
      </c>
      <c r="F1347" s="79">
        <v>14700</v>
      </c>
      <c r="G1347" s="79">
        <v>15200</v>
      </c>
      <c r="H1347" s="79"/>
      <c r="I1347" s="79">
        <v>3.4000000000000002E-2</v>
      </c>
      <c r="J1347" s="79"/>
      <c r="K1347" s="71">
        <f>YEAR(Accion[[#This Row],[fecha]])</f>
        <v>2013</v>
      </c>
      <c r="L1347" s="79" t="str">
        <f>IF(Accion[[#This Row],[Precio Cierre]]=MAX(Accion[Precio Cierre]),Accion[[#This Row],[Precio Cierre]],"NA")</f>
        <v>NA</v>
      </c>
      <c r="M1347" s="79" t="str">
        <f>IF(Accion[[#This Row],[Precio Cierre]]=MIN(Accion[Precio Cierre]),Accion[[#This Row],[Precio Cierre]],"NA")</f>
        <v>NA</v>
      </c>
    </row>
    <row r="1348" spans="1:13" hidden="1">
      <c r="A1348" s="38" t="s">
        <v>90</v>
      </c>
      <c r="B1348" s="78">
        <v>41625</v>
      </c>
      <c r="C1348" s="79" t="s">
        <v>480</v>
      </c>
      <c r="D1348" s="79"/>
      <c r="E1348" s="79">
        <v>14740</v>
      </c>
      <c r="F1348" s="79">
        <v>14700</v>
      </c>
      <c r="G1348" s="79">
        <v>14700</v>
      </c>
      <c r="H1348" s="79"/>
      <c r="I1348" s="79">
        <v>-2.7000000000000001E-3</v>
      </c>
      <c r="J1348" s="79"/>
      <c r="K1348" s="71">
        <f>YEAR(Accion[[#This Row],[fecha]])</f>
        <v>2013</v>
      </c>
      <c r="L1348" s="79" t="str">
        <f>IF(Accion[[#This Row],[Precio Cierre]]=MAX(Accion[Precio Cierre]),Accion[[#This Row],[Precio Cierre]],"NA")</f>
        <v>NA</v>
      </c>
      <c r="M1348" s="79" t="str">
        <f>IF(Accion[[#This Row],[Precio Cierre]]=MIN(Accion[Precio Cierre]),Accion[[#This Row],[Precio Cierre]],"NA")</f>
        <v>NA</v>
      </c>
    </row>
    <row r="1349" spans="1:13" hidden="1">
      <c r="A1349" s="38" t="s">
        <v>90</v>
      </c>
      <c r="B1349" s="78">
        <v>41624</v>
      </c>
      <c r="C1349" s="79" t="s">
        <v>481</v>
      </c>
      <c r="D1349" s="79"/>
      <c r="E1349" s="79">
        <v>14740</v>
      </c>
      <c r="F1349" s="79">
        <v>14680</v>
      </c>
      <c r="G1349" s="79">
        <v>14740</v>
      </c>
      <c r="H1349" s="79"/>
      <c r="I1349" s="79">
        <v>1.4E-3</v>
      </c>
      <c r="J1349" s="79"/>
      <c r="K1349" s="71">
        <f>YEAR(Accion[[#This Row],[fecha]])</f>
        <v>2013</v>
      </c>
      <c r="L1349" s="79" t="str">
        <f>IF(Accion[[#This Row],[Precio Cierre]]=MAX(Accion[Precio Cierre]),Accion[[#This Row],[Precio Cierre]],"NA")</f>
        <v>NA</v>
      </c>
      <c r="M1349" s="79" t="str">
        <f>IF(Accion[[#This Row],[Precio Cierre]]=MIN(Accion[Precio Cierre]),Accion[[#This Row],[Precio Cierre]],"NA")</f>
        <v>NA</v>
      </c>
    </row>
    <row r="1350" spans="1:13" hidden="1">
      <c r="A1350" s="38" t="s">
        <v>90</v>
      </c>
      <c r="B1350" s="78">
        <v>41621</v>
      </c>
      <c r="C1350" s="79" t="s">
        <v>482</v>
      </c>
      <c r="D1350" s="79"/>
      <c r="E1350" s="79">
        <v>14900</v>
      </c>
      <c r="F1350" s="79">
        <v>14700</v>
      </c>
      <c r="G1350" s="79">
        <v>14720</v>
      </c>
      <c r="H1350" s="79"/>
      <c r="I1350" s="79">
        <v>-1.8700000000000001E-2</v>
      </c>
      <c r="J1350" s="79"/>
      <c r="K1350" s="71">
        <f>YEAR(Accion[[#This Row],[fecha]])</f>
        <v>2013</v>
      </c>
      <c r="L1350" s="79" t="str">
        <f>IF(Accion[[#This Row],[Precio Cierre]]=MAX(Accion[Precio Cierre]),Accion[[#This Row],[Precio Cierre]],"NA")</f>
        <v>NA</v>
      </c>
      <c r="M1350" s="79" t="str">
        <f>IF(Accion[[#This Row],[Precio Cierre]]=MIN(Accion[Precio Cierre]),Accion[[#This Row],[Precio Cierre]],"NA")</f>
        <v>NA</v>
      </c>
    </row>
    <row r="1351" spans="1:13" hidden="1">
      <c r="A1351" s="38" t="s">
        <v>90</v>
      </c>
      <c r="B1351" s="78">
        <v>41620</v>
      </c>
      <c r="C1351" s="79" t="s">
        <v>483</v>
      </c>
      <c r="D1351" s="79"/>
      <c r="E1351" s="79">
        <v>15100</v>
      </c>
      <c r="F1351" s="79">
        <v>14820</v>
      </c>
      <c r="G1351" s="79">
        <v>15000</v>
      </c>
      <c r="H1351" s="79"/>
      <c r="I1351" s="79">
        <v>1.0800000000000001E-2</v>
      </c>
      <c r="J1351" s="79"/>
      <c r="K1351" s="71">
        <f>YEAR(Accion[[#This Row],[fecha]])</f>
        <v>2013</v>
      </c>
      <c r="L1351" s="79" t="str">
        <f>IF(Accion[[#This Row],[Precio Cierre]]=MAX(Accion[Precio Cierre]),Accion[[#This Row],[Precio Cierre]],"NA")</f>
        <v>NA</v>
      </c>
      <c r="M1351" s="79" t="str">
        <f>IF(Accion[[#This Row],[Precio Cierre]]=MIN(Accion[Precio Cierre]),Accion[[#This Row],[Precio Cierre]],"NA")</f>
        <v>NA</v>
      </c>
    </row>
    <row r="1352" spans="1:13" hidden="1">
      <c r="A1352" s="38" t="s">
        <v>90</v>
      </c>
      <c r="B1352" s="78">
        <v>41619</v>
      </c>
      <c r="C1352" s="79" t="s">
        <v>484</v>
      </c>
      <c r="D1352" s="79"/>
      <c r="E1352" s="79">
        <v>14840</v>
      </c>
      <c r="F1352" s="79">
        <v>14320</v>
      </c>
      <c r="G1352" s="79">
        <v>14840</v>
      </c>
      <c r="H1352" s="79"/>
      <c r="I1352" s="79">
        <v>4.5100000000000001E-2</v>
      </c>
      <c r="J1352" s="79"/>
      <c r="K1352" s="71">
        <f>YEAR(Accion[[#This Row],[fecha]])</f>
        <v>2013</v>
      </c>
      <c r="L1352" s="79" t="str">
        <f>IF(Accion[[#This Row],[Precio Cierre]]=MAX(Accion[Precio Cierre]),Accion[[#This Row],[Precio Cierre]],"NA")</f>
        <v>NA</v>
      </c>
      <c r="M1352" s="79" t="str">
        <f>IF(Accion[[#This Row],[Precio Cierre]]=MIN(Accion[Precio Cierre]),Accion[[#This Row],[Precio Cierre]],"NA")</f>
        <v>NA</v>
      </c>
    </row>
    <row r="1353" spans="1:13" hidden="1">
      <c r="A1353" s="38" t="s">
        <v>90</v>
      </c>
      <c r="B1353" s="78">
        <v>41618</v>
      </c>
      <c r="C1353" s="79" t="s">
        <v>485</v>
      </c>
      <c r="D1353" s="79"/>
      <c r="E1353" s="79">
        <v>14200</v>
      </c>
      <c r="F1353" s="79">
        <v>13780</v>
      </c>
      <c r="G1353" s="79">
        <v>14200</v>
      </c>
      <c r="H1353" s="79"/>
      <c r="I1353" s="79">
        <v>3.2000000000000001E-2</v>
      </c>
      <c r="J1353" s="79"/>
      <c r="K1353" s="71">
        <f>YEAR(Accion[[#This Row],[fecha]])</f>
        <v>2013</v>
      </c>
      <c r="L1353" s="79" t="str">
        <f>IF(Accion[[#This Row],[Precio Cierre]]=MAX(Accion[Precio Cierre]),Accion[[#This Row],[Precio Cierre]],"NA")</f>
        <v>NA</v>
      </c>
      <c r="M1353" s="79" t="str">
        <f>IF(Accion[[#This Row],[Precio Cierre]]=MIN(Accion[Precio Cierre]),Accion[[#This Row],[Precio Cierre]],"NA")</f>
        <v>NA</v>
      </c>
    </row>
    <row r="1354" spans="1:13" hidden="1">
      <c r="A1354" s="38" t="s">
        <v>90</v>
      </c>
      <c r="B1354" s="78">
        <v>41617</v>
      </c>
      <c r="C1354" s="79" t="s">
        <v>486</v>
      </c>
      <c r="D1354" s="79"/>
      <c r="E1354" s="79">
        <v>13760</v>
      </c>
      <c r="F1354" s="79">
        <v>13500</v>
      </c>
      <c r="G1354" s="79">
        <v>13760</v>
      </c>
      <c r="H1354" s="79"/>
      <c r="I1354" s="79">
        <v>1.78E-2</v>
      </c>
      <c r="J1354" s="79"/>
      <c r="K1354" s="71">
        <f>YEAR(Accion[[#This Row],[fecha]])</f>
        <v>2013</v>
      </c>
      <c r="L1354" s="79" t="str">
        <f>IF(Accion[[#This Row],[Precio Cierre]]=MAX(Accion[Precio Cierre]),Accion[[#This Row],[Precio Cierre]],"NA")</f>
        <v>NA</v>
      </c>
      <c r="M1354" s="79" t="str">
        <f>IF(Accion[[#This Row],[Precio Cierre]]=MIN(Accion[Precio Cierre]),Accion[[#This Row],[Precio Cierre]],"NA")</f>
        <v>NA</v>
      </c>
    </row>
    <row r="1355" spans="1:13" hidden="1">
      <c r="A1355" s="38" t="s">
        <v>90</v>
      </c>
      <c r="B1355" s="78">
        <v>41614</v>
      </c>
      <c r="C1355" s="79" t="s">
        <v>487</v>
      </c>
      <c r="D1355" s="79"/>
      <c r="E1355" s="79">
        <v>13640</v>
      </c>
      <c r="F1355" s="79">
        <v>13500</v>
      </c>
      <c r="G1355" s="79">
        <v>13520</v>
      </c>
      <c r="H1355" s="79"/>
      <c r="I1355" s="79">
        <v>0</v>
      </c>
      <c r="J1355" s="79"/>
      <c r="K1355" s="71">
        <f>YEAR(Accion[[#This Row],[fecha]])</f>
        <v>2013</v>
      </c>
      <c r="L1355" s="79" t="str">
        <f>IF(Accion[[#This Row],[Precio Cierre]]=MAX(Accion[Precio Cierre]),Accion[[#This Row],[Precio Cierre]],"NA")</f>
        <v>NA</v>
      </c>
      <c r="M1355" s="79" t="str">
        <f>IF(Accion[[#This Row],[Precio Cierre]]=MIN(Accion[Precio Cierre]),Accion[[#This Row],[Precio Cierre]],"NA")</f>
        <v>NA</v>
      </c>
    </row>
    <row r="1356" spans="1:13" hidden="1">
      <c r="A1356" s="38" t="s">
        <v>90</v>
      </c>
      <c r="B1356" s="78">
        <v>41613</v>
      </c>
      <c r="C1356" s="79" t="s">
        <v>429</v>
      </c>
      <c r="D1356" s="79"/>
      <c r="E1356" s="79">
        <v>13600</v>
      </c>
      <c r="F1356" s="79">
        <v>13400</v>
      </c>
      <c r="G1356" s="79">
        <v>13520</v>
      </c>
      <c r="H1356" s="79"/>
      <c r="I1356" s="79">
        <v>1.2E-2</v>
      </c>
      <c r="J1356" s="79"/>
      <c r="K1356" s="71">
        <f>YEAR(Accion[[#This Row],[fecha]])</f>
        <v>2013</v>
      </c>
      <c r="L1356" s="79" t="str">
        <f>IF(Accion[[#This Row],[Precio Cierre]]=MAX(Accion[Precio Cierre]),Accion[[#This Row],[Precio Cierre]],"NA")</f>
        <v>NA</v>
      </c>
      <c r="M1356" s="79" t="str">
        <f>IF(Accion[[#This Row],[Precio Cierre]]=MIN(Accion[Precio Cierre]),Accion[[#This Row],[Precio Cierre]],"NA")</f>
        <v>NA</v>
      </c>
    </row>
    <row r="1357" spans="1:13" hidden="1">
      <c r="A1357" s="38" t="s">
        <v>90</v>
      </c>
      <c r="B1357" s="78">
        <v>41612</v>
      </c>
      <c r="C1357" s="79" t="s">
        <v>488</v>
      </c>
      <c r="D1357" s="79"/>
      <c r="E1357" s="79">
        <v>13700</v>
      </c>
      <c r="F1357" s="79">
        <v>13360</v>
      </c>
      <c r="G1357" s="79">
        <v>13360</v>
      </c>
      <c r="H1357" s="79"/>
      <c r="I1357" s="79">
        <v>-3.0499999999999999E-2</v>
      </c>
      <c r="J1357" s="79"/>
      <c r="K1357" s="71">
        <f>YEAR(Accion[[#This Row],[fecha]])</f>
        <v>2013</v>
      </c>
      <c r="L1357" s="79" t="str">
        <f>IF(Accion[[#This Row],[Precio Cierre]]=MAX(Accion[Precio Cierre]),Accion[[#This Row],[Precio Cierre]],"NA")</f>
        <v>NA</v>
      </c>
      <c r="M1357" s="79" t="str">
        <f>IF(Accion[[#This Row],[Precio Cierre]]=MIN(Accion[Precio Cierre]),Accion[[#This Row],[Precio Cierre]],"NA")</f>
        <v>NA</v>
      </c>
    </row>
    <row r="1358" spans="1:13" hidden="1">
      <c r="A1358" s="38" t="s">
        <v>90</v>
      </c>
      <c r="B1358" s="78">
        <v>41611</v>
      </c>
      <c r="C1358" s="79" t="s">
        <v>489</v>
      </c>
      <c r="D1358" s="79"/>
      <c r="E1358" s="79">
        <v>13960</v>
      </c>
      <c r="F1358" s="79">
        <v>13780</v>
      </c>
      <c r="G1358" s="79">
        <v>13780</v>
      </c>
      <c r="H1358" s="79"/>
      <c r="I1358" s="79">
        <v>4.4000000000000003E-3</v>
      </c>
      <c r="J1358" s="79"/>
      <c r="K1358" s="71">
        <f>YEAR(Accion[[#This Row],[fecha]])</f>
        <v>2013</v>
      </c>
      <c r="L1358" s="79" t="str">
        <f>IF(Accion[[#This Row],[Precio Cierre]]=MAX(Accion[Precio Cierre]),Accion[[#This Row],[Precio Cierre]],"NA")</f>
        <v>NA</v>
      </c>
      <c r="M1358" s="79" t="str">
        <f>IF(Accion[[#This Row],[Precio Cierre]]=MIN(Accion[Precio Cierre]),Accion[[#This Row],[Precio Cierre]],"NA")</f>
        <v>NA</v>
      </c>
    </row>
    <row r="1359" spans="1:13" hidden="1">
      <c r="A1359" s="38" t="s">
        <v>90</v>
      </c>
      <c r="B1359" s="78">
        <v>41610</v>
      </c>
      <c r="C1359" s="79" t="s">
        <v>490</v>
      </c>
      <c r="D1359" s="79"/>
      <c r="E1359" s="79">
        <v>14500</v>
      </c>
      <c r="F1359" s="79">
        <v>13700</v>
      </c>
      <c r="G1359" s="79">
        <v>13720</v>
      </c>
      <c r="H1359" s="79"/>
      <c r="I1359" s="79">
        <v>-4.19E-2</v>
      </c>
      <c r="J1359" s="79"/>
      <c r="K1359" s="71">
        <f>YEAR(Accion[[#This Row],[fecha]])</f>
        <v>2013</v>
      </c>
      <c r="L1359" s="79" t="str">
        <f>IF(Accion[[#This Row],[Precio Cierre]]=MAX(Accion[Precio Cierre]),Accion[[#This Row],[Precio Cierre]],"NA")</f>
        <v>NA</v>
      </c>
      <c r="M1359" s="79" t="str">
        <f>IF(Accion[[#This Row],[Precio Cierre]]=MIN(Accion[Precio Cierre]),Accion[[#This Row],[Precio Cierre]],"NA")</f>
        <v>NA</v>
      </c>
    </row>
    <row r="1360" spans="1:13" hidden="1">
      <c r="A1360" s="38" t="s">
        <v>90</v>
      </c>
      <c r="B1360" s="78">
        <v>41607</v>
      </c>
      <c r="C1360" s="79" t="s">
        <v>491</v>
      </c>
      <c r="D1360" s="79"/>
      <c r="E1360" s="79">
        <v>14500</v>
      </c>
      <c r="F1360" s="79">
        <v>14320</v>
      </c>
      <c r="G1360" s="79">
        <v>14320</v>
      </c>
      <c r="H1360" s="79"/>
      <c r="I1360" s="79">
        <v>0</v>
      </c>
      <c r="J1360" s="79"/>
      <c r="K1360" s="71">
        <f>YEAR(Accion[[#This Row],[fecha]])</f>
        <v>2013</v>
      </c>
      <c r="L1360" s="79" t="str">
        <f>IF(Accion[[#This Row],[Precio Cierre]]=MAX(Accion[Precio Cierre]),Accion[[#This Row],[Precio Cierre]],"NA")</f>
        <v>NA</v>
      </c>
      <c r="M1360" s="79" t="str">
        <f>IF(Accion[[#This Row],[Precio Cierre]]=MIN(Accion[Precio Cierre]),Accion[[#This Row],[Precio Cierre]],"NA")</f>
        <v>NA</v>
      </c>
    </row>
    <row r="1361" spans="1:13" hidden="1">
      <c r="A1361" s="38" t="s">
        <v>90</v>
      </c>
      <c r="B1361" s="78">
        <v>41606</v>
      </c>
      <c r="C1361" s="79" t="s">
        <v>198</v>
      </c>
      <c r="D1361" s="79"/>
      <c r="E1361" s="79">
        <v>14320</v>
      </c>
      <c r="F1361" s="79">
        <v>14300</v>
      </c>
      <c r="G1361" s="79">
        <v>14320</v>
      </c>
      <c r="H1361" s="79"/>
      <c r="I1361" s="79">
        <v>0</v>
      </c>
      <c r="J1361" s="79"/>
      <c r="K1361" s="71">
        <f>YEAR(Accion[[#This Row],[fecha]])</f>
        <v>2013</v>
      </c>
      <c r="L1361" s="79" t="str">
        <f>IF(Accion[[#This Row],[Precio Cierre]]=MAX(Accion[Precio Cierre]),Accion[[#This Row],[Precio Cierre]],"NA")</f>
        <v>NA</v>
      </c>
      <c r="M1361" s="79" t="str">
        <f>IF(Accion[[#This Row],[Precio Cierre]]=MIN(Accion[Precio Cierre]),Accion[[#This Row],[Precio Cierre]],"NA")</f>
        <v>NA</v>
      </c>
    </row>
    <row r="1362" spans="1:13" hidden="1">
      <c r="A1362" s="38" t="s">
        <v>90</v>
      </c>
      <c r="B1362" s="34">
        <v>41605</v>
      </c>
      <c r="C1362" s="35" t="s">
        <v>492</v>
      </c>
      <c r="D1362" s="35"/>
      <c r="E1362" s="35">
        <v>14600</v>
      </c>
      <c r="F1362" s="35">
        <v>14320</v>
      </c>
      <c r="G1362" s="35">
        <v>14320</v>
      </c>
      <c r="H1362" s="35"/>
      <c r="I1362" s="35">
        <v>-1.24E-2</v>
      </c>
      <c r="J1362" s="35"/>
      <c r="K1362" s="71">
        <f>YEAR(Accion[[#This Row],[fecha]])</f>
        <v>2013</v>
      </c>
      <c r="L1362" s="35" t="str">
        <f>IF(Accion[[#This Row],[Precio Cierre]]=MAX(Accion[Precio Cierre]),Accion[[#This Row],[Precio Cierre]],"NA")</f>
        <v>NA</v>
      </c>
      <c r="M1362" s="35" t="str">
        <f>IF(Accion[[#This Row],[Precio Cierre]]=MIN(Accion[Precio Cierre]),Accion[[#This Row],[Precio Cierre]],"NA")</f>
        <v>NA</v>
      </c>
    </row>
    <row r="1363" spans="1:13" hidden="1">
      <c r="A1363" s="313" t="s">
        <v>90</v>
      </c>
      <c r="B1363" s="78">
        <v>41604</v>
      </c>
      <c r="C1363" s="79" t="s">
        <v>493</v>
      </c>
      <c r="D1363" s="79"/>
      <c r="E1363" s="79">
        <v>14500</v>
      </c>
      <c r="F1363" s="79">
        <v>14120</v>
      </c>
      <c r="G1363" s="79">
        <v>14500</v>
      </c>
      <c r="H1363" s="79"/>
      <c r="I1363" s="79">
        <v>2.69E-2</v>
      </c>
      <c r="J1363" s="79"/>
      <c r="K1363" s="71">
        <f>YEAR(Accion[[#This Row],[fecha]])</f>
        <v>2013</v>
      </c>
      <c r="L1363" s="79" t="str">
        <f>IF(Accion[[#This Row],[Precio Cierre]]=MAX(Accion[Precio Cierre]),Accion[[#This Row],[Precio Cierre]],"NA")</f>
        <v>NA</v>
      </c>
      <c r="M1363" s="79" t="str">
        <f>IF(Accion[[#This Row],[Precio Cierre]]=MIN(Accion[Precio Cierre]),Accion[[#This Row],[Precio Cierre]],"NA")</f>
        <v>NA</v>
      </c>
    </row>
    <row r="1364" spans="1:13" hidden="1">
      <c r="A1364" s="313" t="s">
        <v>90</v>
      </c>
      <c r="B1364" s="78">
        <v>41603</v>
      </c>
      <c r="C1364" s="79" t="s">
        <v>494</v>
      </c>
      <c r="D1364" s="79"/>
      <c r="E1364" s="79">
        <v>14180</v>
      </c>
      <c r="F1364" s="79">
        <v>13900</v>
      </c>
      <c r="G1364" s="79">
        <v>14120</v>
      </c>
      <c r="H1364" s="79"/>
      <c r="I1364" s="79">
        <v>1.29E-2</v>
      </c>
      <c r="J1364" s="79"/>
      <c r="K1364" s="71">
        <f>YEAR(Accion[[#This Row],[fecha]])</f>
        <v>2013</v>
      </c>
      <c r="L1364" s="79" t="str">
        <f>IF(Accion[[#This Row],[Precio Cierre]]=MAX(Accion[Precio Cierre]),Accion[[#This Row],[Precio Cierre]],"NA")</f>
        <v>NA</v>
      </c>
      <c r="M1364" s="79" t="str">
        <f>IF(Accion[[#This Row],[Precio Cierre]]=MIN(Accion[Precio Cierre]),Accion[[#This Row],[Precio Cierre]],"NA")</f>
        <v>NA</v>
      </c>
    </row>
    <row r="1365" spans="1:13" hidden="1">
      <c r="A1365" s="313" t="s">
        <v>90</v>
      </c>
      <c r="B1365" s="78">
        <v>41600</v>
      </c>
      <c r="C1365" s="79" t="s">
        <v>495</v>
      </c>
      <c r="D1365" s="79"/>
      <c r="E1365" s="79">
        <v>14000</v>
      </c>
      <c r="F1365" s="79">
        <v>13920</v>
      </c>
      <c r="G1365" s="79">
        <v>13940</v>
      </c>
      <c r="H1365" s="79"/>
      <c r="I1365" s="79">
        <v>-1.4E-3</v>
      </c>
      <c r="J1365" s="79"/>
      <c r="K1365" s="71">
        <f>YEAR(Accion[[#This Row],[fecha]])</f>
        <v>2013</v>
      </c>
      <c r="L1365" s="79" t="str">
        <f>IF(Accion[[#This Row],[Precio Cierre]]=MAX(Accion[Precio Cierre]),Accion[[#This Row],[Precio Cierre]],"NA")</f>
        <v>NA</v>
      </c>
      <c r="M1365" s="79" t="str">
        <f>IF(Accion[[#This Row],[Precio Cierre]]=MIN(Accion[Precio Cierre]),Accion[[#This Row],[Precio Cierre]],"NA")</f>
        <v>NA</v>
      </c>
    </row>
    <row r="1366" spans="1:13" hidden="1">
      <c r="A1366" s="313" t="s">
        <v>90</v>
      </c>
      <c r="B1366" s="78">
        <v>41599</v>
      </c>
      <c r="C1366" s="79" t="s">
        <v>496</v>
      </c>
      <c r="D1366" s="79"/>
      <c r="E1366" s="79">
        <v>13960</v>
      </c>
      <c r="F1366" s="79">
        <v>13800</v>
      </c>
      <c r="G1366" s="79">
        <v>13960</v>
      </c>
      <c r="H1366" s="79"/>
      <c r="I1366" s="79">
        <v>1.01E-2</v>
      </c>
      <c r="J1366" s="79"/>
      <c r="K1366" s="71">
        <f>YEAR(Accion[[#This Row],[fecha]])</f>
        <v>2013</v>
      </c>
      <c r="L1366" s="79" t="str">
        <f>IF(Accion[[#This Row],[Precio Cierre]]=MAX(Accion[Precio Cierre]),Accion[[#This Row],[Precio Cierre]],"NA")</f>
        <v>NA</v>
      </c>
      <c r="M1366" s="79" t="str">
        <f>IF(Accion[[#This Row],[Precio Cierre]]=MIN(Accion[Precio Cierre]),Accion[[#This Row],[Precio Cierre]],"NA")</f>
        <v>NA</v>
      </c>
    </row>
    <row r="1367" spans="1:13" hidden="1">
      <c r="A1367" s="313" t="s">
        <v>90</v>
      </c>
      <c r="B1367" s="78">
        <v>41598</v>
      </c>
      <c r="C1367" s="79" t="s">
        <v>497</v>
      </c>
      <c r="D1367" s="79"/>
      <c r="E1367" s="79">
        <v>14000</v>
      </c>
      <c r="F1367" s="79">
        <v>13800</v>
      </c>
      <c r="G1367" s="79">
        <v>13820</v>
      </c>
      <c r="H1367" s="79"/>
      <c r="I1367" s="79">
        <v>-5.7999999999999996E-3</v>
      </c>
      <c r="J1367" s="79"/>
      <c r="K1367" s="71">
        <f>YEAR(Accion[[#This Row],[fecha]])</f>
        <v>2013</v>
      </c>
      <c r="L1367" s="79" t="str">
        <f>IF(Accion[[#This Row],[Precio Cierre]]=MAX(Accion[Precio Cierre]),Accion[[#This Row],[Precio Cierre]],"NA")</f>
        <v>NA</v>
      </c>
      <c r="M1367" s="79" t="str">
        <f>IF(Accion[[#This Row],[Precio Cierre]]=MIN(Accion[Precio Cierre]),Accion[[#This Row],[Precio Cierre]],"NA")</f>
        <v>NA</v>
      </c>
    </row>
    <row r="1368" spans="1:13" hidden="1">
      <c r="A1368" s="313" t="s">
        <v>90</v>
      </c>
      <c r="B1368" s="78">
        <v>41597</v>
      </c>
      <c r="C1368" s="79" t="s">
        <v>498</v>
      </c>
      <c r="D1368" s="79"/>
      <c r="E1368" s="79">
        <v>13900</v>
      </c>
      <c r="F1368" s="79">
        <v>13740</v>
      </c>
      <c r="G1368" s="79">
        <v>13900</v>
      </c>
      <c r="H1368" s="79"/>
      <c r="I1368" s="79">
        <v>0</v>
      </c>
      <c r="J1368" s="79"/>
      <c r="K1368" s="71">
        <f>YEAR(Accion[[#This Row],[fecha]])</f>
        <v>2013</v>
      </c>
      <c r="L1368" s="79" t="str">
        <f>IF(Accion[[#This Row],[Precio Cierre]]=MAX(Accion[Precio Cierre]),Accion[[#This Row],[Precio Cierre]],"NA")</f>
        <v>NA</v>
      </c>
      <c r="M1368" s="79" t="str">
        <f>IF(Accion[[#This Row],[Precio Cierre]]=MIN(Accion[Precio Cierre]),Accion[[#This Row],[Precio Cierre]],"NA")</f>
        <v>NA</v>
      </c>
    </row>
    <row r="1369" spans="1:13" hidden="1">
      <c r="A1369" s="313" t="s">
        <v>90</v>
      </c>
      <c r="B1369" s="78">
        <v>41596</v>
      </c>
      <c r="C1369" s="79" t="s">
        <v>499</v>
      </c>
      <c r="D1369" s="79"/>
      <c r="E1369" s="79">
        <v>14000</v>
      </c>
      <c r="F1369" s="79">
        <v>13720</v>
      </c>
      <c r="G1369" s="79">
        <v>13900</v>
      </c>
      <c r="H1369" s="79"/>
      <c r="I1369" s="79">
        <v>1.1599999999999999E-2</v>
      </c>
      <c r="J1369" s="79"/>
      <c r="K1369" s="71">
        <f>YEAR(Accion[[#This Row],[fecha]])</f>
        <v>2013</v>
      </c>
      <c r="L1369" s="79" t="str">
        <f>IF(Accion[[#This Row],[Precio Cierre]]=MAX(Accion[Precio Cierre]),Accion[[#This Row],[Precio Cierre]],"NA")</f>
        <v>NA</v>
      </c>
      <c r="M1369" s="79" t="str">
        <f>IF(Accion[[#This Row],[Precio Cierre]]=MIN(Accion[Precio Cierre]),Accion[[#This Row],[Precio Cierre]],"NA")</f>
        <v>NA</v>
      </c>
    </row>
    <row r="1370" spans="1:13" hidden="1">
      <c r="A1370" s="313" t="s">
        <v>90</v>
      </c>
      <c r="B1370" s="78">
        <v>41593</v>
      </c>
      <c r="C1370" s="79" t="s">
        <v>500</v>
      </c>
      <c r="D1370" s="79"/>
      <c r="E1370" s="79">
        <v>13740</v>
      </c>
      <c r="F1370" s="79">
        <v>13640</v>
      </c>
      <c r="G1370" s="79">
        <v>13740</v>
      </c>
      <c r="H1370" s="79"/>
      <c r="I1370" s="79">
        <v>1.5E-3</v>
      </c>
      <c r="J1370" s="79"/>
      <c r="K1370" s="71">
        <f>YEAR(Accion[[#This Row],[fecha]])</f>
        <v>2013</v>
      </c>
      <c r="L1370" s="79" t="str">
        <f>IF(Accion[[#This Row],[Precio Cierre]]=MAX(Accion[Precio Cierre]),Accion[[#This Row],[Precio Cierre]],"NA")</f>
        <v>NA</v>
      </c>
      <c r="M1370" s="79" t="str">
        <f>IF(Accion[[#This Row],[Precio Cierre]]=MIN(Accion[Precio Cierre]),Accion[[#This Row],[Precio Cierre]],"NA")</f>
        <v>NA</v>
      </c>
    </row>
    <row r="1371" spans="1:13" hidden="1">
      <c r="A1371" s="313" t="s">
        <v>90</v>
      </c>
      <c r="B1371" s="78">
        <v>41592</v>
      </c>
      <c r="C1371" s="79" t="s">
        <v>501</v>
      </c>
      <c r="D1371" s="79"/>
      <c r="E1371" s="79">
        <v>13900</v>
      </c>
      <c r="F1371" s="79">
        <v>13700</v>
      </c>
      <c r="G1371" s="79">
        <v>13720</v>
      </c>
      <c r="H1371" s="79"/>
      <c r="I1371" s="79">
        <v>-1.5E-3</v>
      </c>
      <c r="J1371" s="79"/>
      <c r="K1371" s="71">
        <f>YEAR(Accion[[#This Row],[fecha]])</f>
        <v>2013</v>
      </c>
      <c r="L1371" s="79" t="str">
        <f>IF(Accion[[#This Row],[Precio Cierre]]=MAX(Accion[Precio Cierre]),Accion[[#This Row],[Precio Cierre]],"NA")</f>
        <v>NA</v>
      </c>
      <c r="M1371" s="79" t="str">
        <f>IF(Accion[[#This Row],[Precio Cierre]]=MIN(Accion[Precio Cierre]),Accion[[#This Row],[Precio Cierre]],"NA")</f>
        <v>NA</v>
      </c>
    </row>
    <row r="1372" spans="1:13" hidden="1">
      <c r="A1372" s="313" t="s">
        <v>90</v>
      </c>
      <c r="B1372" s="78">
        <v>41591</v>
      </c>
      <c r="C1372" s="79" t="s">
        <v>502</v>
      </c>
      <c r="D1372" s="79"/>
      <c r="E1372" s="79">
        <v>13900</v>
      </c>
      <c r="F1372" s="79">
        <v>13740</v>
      </c>
      <c r="G1372" s="79">
        <v>13740</v>
      </c>
      <c r="H1372" s="79"/>
      <c r="I1372" s="79">
        <v>-1.15E-2</v>
      </c>
      <c r="J1372" s="79"/>
      <c r="K1372" s="71">
        <f>YEAR(Accion[[#This Row],[fecha]])</f>
        <v>2013</v>
      </c>
      <c r="L1372" s="79" t="str">
        <f>IF(Accion[[#This Row],[Precio Cierre]]=MAX(Accion[Precio Cierre]),Accion[[#This Row],[Precio Cierre]],"NA")</f>
        <v>NA</v>
      </c>
      <c r="M1372" s="79" t="str">
        <f>IF(Accion[[#This Row],[Precio Cierre]]=MIN(Accion[Precio Cierre]),Accion[[#This Row],[Precio Cierre]],"NA")</f>
        <v>NA</v>
      </c>
    </row>
    <row r="1373" spans="1:13" hidden="1">
      <c r="A1373" s="313" t="s">
        <v>90</v>
      </c>
      <c r="B1373" s="78">
        <v>41590</v>
      </c>
      <c r="C1373" s="79" t="s">
        <v>503</v>
      </c>
      <c r="D1373" s="79"/>
      <c r="E1373" s="79">
        <v>13900</v>
      </c>
      <c r="F1373" s="79">
        <v>13740</v>
      </c>
      <c r="G1373" s="79">
        <v>13900</v>
      </c>
      <c r="H1373" s="79"/>
      <c r="I1373" s="79">
        <v>0</v>
      </c>
      <c r="J1373" s="79"/>
      <c r="K1373" s="71">
        <f>YEAR(Accion[[#This Row],[fecha]])</f>
        <v>2013</v>
      </c>
      <c r="L1373" s="79" t="str">
        <f>IF(Accion[[#This Row],[Precio Cierre]]=MAX(Accion[Precio Cierre]),Accion[[#This Row],[Precio Cierre]],"NA")</f>
        <v>NA</v>
      </c>
      <c r="M1373" s="79" t="str">
        <f>IF(Accion[[#This Row],[Precio Cierre]]=MIN(Accion[Precio Cierre]),Accion[[#This Row],[Precio Cierre]],"NA")</f>
        <v>NA</v>
      </c>
    </row>
    <row r="1374" spans="1:13" hidden="1">
      <c r="A1374" s="313" t="s">
        <v>90</v>
      </c>
      <c r="B1374" s="78">
        <v>41586</v>
      </c>
      <c r="C1374" s="79" t="s">
        <v>504</v>
      </c>
      <c r="D1374" s="79"/>
      <c r="E1374" s="79">
        <v>13900</v>
      </c>
      <c r="F1374" s="79">
        <v>13600</v>
      </c>
      <c r="G1374" s="79">
        <v>13900</v>
      </c>
      <c r="H1374" s="79"/>
      <c r="I1374" s="79">
        <v>2.9600000000000001E-2</v>
      </c>
      <c r="J1374" s="79"/>
      <c r="K1374" s="71">
        <f>YEAR(Accion[[#This Row],[fecha]])</f>
        <v>2013</v>
      </c>
      <c r="L1374" s="79" t="str">
        <f>IF(Accion[[#This Row],[Precio Cierre]]=MAX(Accion[Precio Cierre]),Accion[[#This Row],[Precio Cierre]],"NA")</f>
        <v>NA</v>
      </c>
      <c r="M1374" s="79" t="str">
        <f>IF(Accion[[#This Row],[Precio Cierre]]=MIN(Accion[Precio Cierre]),Accion[[#This Row],[Precio Cierre]],"NA")</f>
        <v>NA</v>
      </c>
    </row>
    <row r="1375" spans="1:13" hidden="1">
      <c r="A1375" s="313" t="s">
        <v>90</v>
      </c>
      <c r="B1375" s="78">
        <v>41585</v>
      </c>
      <c r="C1375" s="79" t="s">
        <v>505</v>
      </c>
      <c r="D1375" s="79"/>
      <c r="E1375" s="79">
        <v>14180</v>
      </c>
      <c r="F1375" s="79">
        <v>13500</v>
      </c>
      <c r="G1375" s="79">
        <v>13500</v>
      </c>
      <c r="H1375" s="79"/>
      <c r="I1375" s="79">
        <v>-3.5700000000000003E-2</v>
      </c>
      <c r="J1375" s="79"/>
      <c r="K1375" s="71">
        <f>YEAR(Accion[[#This Row],[fecha]])</f>
        <v>2013</v>
      </c>
      <c r="L1375" s="79" t="str">
        <f>IF(Accion[[#This Row],[Precio Cierre]]=MAX(Accion[Precio Cierre]),Accion[[#This Row],[Precio Cierre]],"NA")</f>
        <v>NA</v>
      </c>
      <c r="M1375" s="79" t="str">
        <f>IF(Accion[[#This Row],[Precio Cierre]]=MIN(Accion[Precio Cierre]),Accion[[#This Row],[Precio Cierre]],"NA")</f>
        <v>NA</v>
      </c>
    </row>
    <row r="1376" spans="1:13" hidden="1">
      <c r="A1376" s="313" t="s">
        <v>90</v>
      </c>
      <c r="B1376" s="78">
        <v>41584</v>
      </c>
      <c r="C1376" s="79" t="s">
        <v>506</v>
      </c>
      <c r="D1376" s="79"/>
      <c r="E1376" s="79">
        <v>14280</v>
      </c>
      <c r="F1376" s="79">
        <v>13900</v>
      </c>
      <c r="G1376" s="79">
        <v>14000</v>
      </c>
      <c r="H1376" s="79"/>
      <c r="I1376" s="79">
        <v>-2.1000000000000001E-2</v>
      </c>
      <c r="J1376" s="79"/>
      <c r="K1376" s="71">
        <f>YEAR(Accion[[#This Row],[fecha]])</f>
        <v>2013</v>
      </c>
      <c r="L1376" s="79" t="str">
        <f>IF(Accion[[#This Row],[Precio Cierre]]=MAX(Accion[Precio Cierre]),Accion[[#This Row],[Precio Cierre]],"NA")</f>
        <v>NA</v>
      </c>
      <c r="M1376" s="79" t="str">
        <f>IF(Accion[[#This Row],[Precio Cierre]]=MIN(Accion[Precio Cierre]),Accion[[#This Row],[Precio Cierre]],"NA")</f>
        <v>NA</v>
      </c>
    </row>
    <row r="1377" spans="1:13" hidden="1">
      <c r="A1377" s="313" t="s">
        <v>90</v>
      </c>
      <c r="B1377" s="78">
        <v>41583</v>
      </c>
      <c r="C1377" s="79" t="s">
        <v>507</v>
      </c>
      <c r="D1377" s="79"/>
      <c r="E1377" s="79">
        <v>14420</v>
      </c>
      <c r="F1377" s="79">
        <v>14300</v>
      </c>
      <c r="G1377" s="79">
        <v>14300</v>
      </c>
      <c r="H1377" s="79"/>
      <c r="I1377" s="79">
        <v>-1.24E-2</v>
      </c>
      <c r="J1377" s="79"/>
      <c r="K1377" s="71">
        <f>YEAR(Accion[[#This Row],[fecha]])</f>
        <v>2013</v>
      </c>
      <c r="L1377" s="79" t="str">
        <f>IF(Accion[[#This Row],[Precio Cierre]]=MAX(Accion[Precio Cierre]),Accion[[#This Row],[Precio Cierre]],"NA")</f>
        <v>NA</v>
      </c>
      <c r="M1377" s="79" t="str">
        <f>IF(Accion[[#This Row],[Precio Cierre]]=MIN(Accion[Precio Cierre]),Accion[[#This Row],[Precio Cierre]],"NA")</f>
        <v>NA</v>
      </c>
    </row>
    <row r="1378" spans="1:13" hidden="1">
      <c r="A1378" s="313" t="s">
        <v>90</v>
      </c>
      <c r="B1378" s="78">
        <v>41579</v>
      </c>
      <c r="C1378" s="79" t="s">
        <v>508</v>
      </c>
      <c r="D1378" s="79"/>
      <c r="E1378" s="79">
        <v>14500</v>
      </c>
      <c r="F1378" s="79">
        <v>14480</v>
      </c>
      <c r="G1378" s="79">
        <v>14480</v>
      </c>
      <c r="H1378" s="79"/>
      <c r="I1378" s="79">
        <v>0</v>
      </c>
      <c r="J1378" s="79"/>
      <c r="K1378" s="71">
        <f>YEAR(Accion[[#This Row],[fecha]])</f>
        <v>2013</v>
      </c>
      <c r="L1378" s="79" t="str">
        <f>IF(Accion[[#This Row],[Precio Cierre]]=MAX(Accion[Precio Cierre]),Accion[[#This Row],[Precio Cierre]],"NA")</f>
        <v>NA</v>
      </c>
      <c r="M1378" s="79" t="str">
        <f>IF(Accion[[#This Row],[Precio Cierre]]=MIN(Accion[Precio Cierre]),Accion[[#This Row],[Precio Cierre]],"NA")</f>
        <v>NA</v>
      </c>
    </row>
    <row r="1379" spans="1:13" hidden="1">
      <c r="A1379" s="313" t="s">
        <v>90</v>
      </c>
      <c r="B1379" s="78">
        <v>41578</v>
      </c>
      <c r="C1379" s="79" t="s">
        <v>509</v>
      </c>
      <c r="D1379" s="79"/>
      <c r="E1379" s="79">
        <v>14620</v>
      </c>
      <c r="F1379" s="79">
        <v>14440</v>
      </c>
      <c r="G1379" s="79">
        <v>14480</v>
      </c>
      <c r="H1379" s="79"/>
      <c r="I1379" s="79">
        <v>2.8E-3</v>
      </c>
      <c r="J1379" s="79"/>
      <c r="K1379" s="71">
        <f>YEAR(Accion[[#This Row],[fecha]])</f>
        <v>2013</v>
      </c>
      <c r="L1379" s="79" t="str">
        <f>IF(Accion[[#This Row],[Precio Cierre]]=MAX(Accion[Precio Cierre]),Accion[[#This Row],[Precio Cierre]],"NA")</f>
        <v>NA</v>
      </c>
      <c r="M1379" s="79" t="str">
        <f>IF(Accion[[#This Row],[Precio Cierre]]=MIN(Accion[Precio Cierre]),Accion[[#This Row],[Precio Cierre]],"NA")</f>
        <v>NA</v>
      </c>
    </row>
    <row r="1380" spans="1:13" hidden="1">
      <c r="A1380" s="313" t="s">
        <v>90</v>
      </c>
      <c r="B1380" s="78">
        <v>41577</v>
      </c>
      <c r="C1380" s="79" t="s">
        <v>510</v>
      </c>
      <c r="D1380" s="79"/>
      <c r="E1380" s="79">
        <v>14500</v>
      </c>
      <c r="F1380" s="79">
        <v>14400</v>
      </c>
      <c r="G1380" s="79">
        <v>14440</v>
      </c>
      <c r="H1380" s="79"/>
      <c r="I1380" s="79">
        <v>-1.4E-3</v>
      </c>
      <c r="J1380" s="79"/>
      <c r="K1380" s="71">
        <f>YEAR(Accion[[#This Row],[fecha]])</f>
        <v>2013</v>
      </c>
      <c r="L1380" s="79" t="str">
        <f>IF(Accion[[#This Row],[Precio Cierre]]=MAX(Accion[Precio Cierre]),Accion[[#This Row],[Precio Cierre]],"NA")</f>
        <v>NA</v>
      </c>
      <c r="M1380" s="79" t="str">
        <f>IF(Accion[[#This Row],[Precio Cierre]]=MIN(Accion[Precio Cierre]),Accion[[#This Row],[Precio Cierre]],"NA")</f>
        <v>NA</v>
      </c>
    </row>
    <row r="1381" spans="1:13" hidden="1">
      <c r="A1381" s="313" t="s">
        <v>90</v>
      </c>
      <c r="B1381" s="78">
        <v>41576</v>
      </c>
      <c r="C1381" s="79" t="s">
        <v>511</v>
      </c>
      <c r="D1381" s="79"/>
      <c r="E1381" s="79">
        <v>14500</v>
      </c>
      <c r="F1381" s="79">
        <v>14460</v>
      </c>
      <c r="G1381" s="79">
        <v>14460</v>
      </c>
      <c r="H1381" s="79"/>
      <c r="I1381" s="79">
        <v>1.4E-3</v>
      </c>
      <c r="J1381" s="79"/>
      <c r="K1381" s="71">
        <f>YEAR(Accion[[#This Row],[fecha]])</f>
        <v>2013</v>
      </c>
      <c r="L1381" s="79" t="str">
        <f>IF(Accion[[#This Row],[Precio Cierre]]=MAX(Accion[Precio Cierre]),Accion[[#This Row],[Precio Cierre]],"NA")</f>
        <v>NA</v>
      </c>
      <c r="M1381" s="79" t="str">
        <f>IF(Accion[[#This Row],[Precio Cierre]]=MIN(Accion[Precio Cierre]),Accion[[#This Row],[Precio Cierre]],"NA")</f>
        <v>NA</v>
      </c>
    </row>
    <row r="1382" spans="1:13" hidden="1">
      <c r="A1382" s="313" t="s">
        <v>90</v>
      </c>
      <c r="B1382" s="78">
        <v>41575</v>
      </c>
      <c r="C1382" s="79" t="s">
        <v>512</v>
      </c>
      <c r="D1382" s="79"/>
      <c r="E1382" s="79">
        <v>14500</v>
      </c>
      <c r="F1382" s="79">
        <v>14440</v>
      </c>
      <c r="G1382" s="79">
        <v>14440</v>
      </c>
      <c r="H1382" s="79"/>
      <c r="I1382" s="79">
        <v>-4.1000000000000003E-3</v>
      </c>
      <c r="J1382" s="79"/>
      <c r="K1382" s="71">
        <f>YEAR(Accion[[#This Row],[fecha]])</f>
        <v>2013</v>
      </c>
      <c r="L1382" s="79" t="str">
        <f>IF(Accion[[#This Row],[Precio Cierre]]=MAX(Accion[Precio Cierre]),Accion[[#This Row],[Precio Cierre]],"NA")</f>
        <v>NA</v>
      </c>
      <c r="M1382" s="79" t="str">
        <f>IF(Accion[[#This Row],[Precio Cierre]]=MIN(Accion[Precio Cierre]),Accion[[#This Row],[Precio Cierre]],"NA")</f>
        <v>NA</v>
      </c>
    </row>
    <row r="1383" spans="1:13" hidden="1">
      <c r="A1383" s="313" t="s">
        <v>90</v>
      </c>
      <c r="B1383" s="78">
        <v>41572</v>
      </c>
      <c r="C1383" s="79" t="s">
        <v>513</v>
      </c>
      <c r="D1383" s="79"/>
      <c r="E1383" s="79">
        <v>14500</v>
      </c>
      <c r="F1383" s="79">
        <v>14460</v>
      </c>
      <c r="G1383" s="79">
        <v>14500</v>
      </c>
      <c r="H1383" s="79"/>
      <c r="I1383" s="79">
        <v>0</v>
      </c>
      <c r="J1383" s="79"/>
      <c r="K1383" s="71">
        <f>YEAR(Accion[[#This Row],[fecha]])</f>
        <v>2013</v>
      </c>
      <c r="L1383" s="79" t="str">
        <f>IF(Accion[[#This Row],[Precio Cierre]]=MAX(Accion[Precio Cierre]),Accion[[#This Row],[Precio Cierre]],"NA")</f>
        <v>NA</v>
      </c>
      <c r="M1383" s="79" t="str">
        <f>IF(Accion[[#This Row],[Precio Cierre]]=MIN(Accion[Precio Cierre]),Accion[[#This Row],[Precio Cierre]],"NA")</f>
        <v>NA</v>
      </c>
    </row>
    <row r="1384" spans="1:13" hidden="1">
      <c r="A1384" s="313" t="s">
        <v>90</v>
      </c>
      <c r="B1384" s="78">
        <v>41571</v>
      </c>
      <c r="C1384" s="79" t="s">
        <v>514</v>
      </c>
      <c r="D1384" s="79"/>
      <c r="E1384" s="79">
        <v>14500</v>
      </c>
      <c r="F1384" s="79">
        <v>14460</v>
      </c>
      <c r="G1384" s="79">
        <v>14500</v>
      </c>
      <c r="H1384" s="79"/>
      <c r="I1384" s="79">
        <v>0</v>
      </c>
      <c r="J1384" s="79"/>
      <c r="K1384" s="71">
        <f>YEAR(Accion[[#This Row],[fecha]])</f>
        <v>2013</v>
      </c>
      <c r="L1384" s="79" t="str">
        <f>IF(Accion[[#This Row],[Precio Cierre]]=MAX(Accion[Precio Cierre]),Accion[[#This Row],[Precio Cierre]],"NA")</f>
        <v>NA</v>
      </c>
      <c r="M1384" s="79" t="str">
        <f>IF(Accion[[#This Row],[Precio Cierre]]=MIN(Accion[Precio Cierre]),Accion[[#This Row],[Precio Cierre]],"NA")</f>
        <v>NA</v>
      </c>
    </row>
    <row r="1385" spans="1:13" hidden="1">
      <c r="A1385" s="313" t="s">
        <v>90</v>
      </c>
      <c r="B1385" s="78">
        <v>41570</v>
      </c>
      <c r="C1385" s="79" t="s">
        <v>515</v>
      </c>
      <c r="D1385" s="79"/>
      <c r="E1385" s="79">
        <v>14520</v>
      </c>
      <c r="F1385" s="79">
        <v>14420</v>
      </c>
      <c r="G1385" s="79">
        <v>14500</v>
      </c>
      <c r="H1385" s="79"/>
      <c r="I1385" s="79">
        <v>-9.5999999999999992E-3</v>
      </c>
      <c r="J1385" s="79"/>
      <c r="K1385" s="71">
        <f>YEAR(Accion[[#This Row],[fecha]])</f>
        <v>2013</v>
      </c>
      <c r="L1385" s="79" t="str">
        <f>IF(Accion[[#This Row],[Precio Cierre]]=MAX(Accion[Precio Cierre]),Accion[[#This Row],[Precio Cierre]],"NA")</f>
        <v>NA</v>
      </c>
      <c r="M1385" s="79" t="str">
        <f>IF(Accion[[#This Row],[Precio Cierre]]=MIN(Accion[Precio Cierre]),Accion[[#This Row],[Precio Cierre]],"NA")</f>
        <v>NA</v>
      </c>
    </row>
    <row r="1386" spans="1:13" hidden="1">
      <c r="A1386" s="313" t="s">
        <v>90</v>
      </c>
      <c r="B1386" s="78">
        <v>41569</v>
      </c>
      <c r="C1386" s="79" t="s">
        <v>516</v>
      </c>
      <c r="D1386" s="79"/>
      <c r="E1386" s="79">
        <v>14680</v>
      </c>
      <c r="F1386" s="79">
        <v>14620</v>
      </c>
      <c r="G1386" s="79">
        <v>14640</v>
      </c>
      <c r="H1386" s="79"/>
      <c r="I1386" s="79">
        <v>0</v>
      </c>
      <c r="J1386" s="79"/>
      <c r="K1386" s="71">
        <f>YEAR(Accion[[#This Row],[fecha]])</f>
        <v>2013</v>
      </c>
      <c r="L1386" s="79" t="str">
        <f>IF(Accion[[#This Row],[Precio Cierre]]=MAX(Accion[Precio Cierre]),Accion[[#This Row],[Precio Cierre]],"NA")</f>
        <v>NA</v>
      </c>
      <c r="M1386" s="79" t="str">
        <f>IF(Accion[[#This Row],[Precio Cierre]]=MIN(Accion[Precio Cierre]),Accion[[#This Row],[Precio Cierre]],"NA")</f>
        <v>NA</v>
      </c>
    </row>
    <row r="1387" spans="1:13" hidden="1">
      <c r="A1387" s="313" t="s">
        <v>90</v>
      </c>
      <c r="B1387" s="78">
        <v>41568</v>
      </c>
      <c r="C1387" s="79" t="s">
        <v>517</v>
      </c>
      <c r="D1387" s="79"/>
      <c r="E1387" s="79">
        <v>14700</v>
      </c>
      <c r="F1387" s="79">
        <v>14620</v>
      </c>
      <c r="G1387" s="79">
        <v>14640</v>
      </c>
      <c r="H1387" s="79"/>
      <c r="I1387" s="79">
        <v>-8.0999999999999996E-3</v>
      </c>
      <c r="J1387" s="79"/>
      <c r="K1387" s="71">
        <f>YEAR(Accion[[#This Row],[fecha]])</f>
        <v>2013</v>
      </c>
      <c r="L1387" s="79" t="str">
        <f>IF(Accion[[#This Row],[Precio Cierre]]=MAX(Accion[Precio Cierre]),Accion[[#This Row],[Precio Cierre]],"NA")</f>
        <v>NA</v>
      </c>
      <c r="M1387" s="79" t="str">
        <f>IF(Accion[[#This Row],[Precio Cierre]]=MIN(Accion[Precio Cierre]),Accion[[#This Row],[Precio Cierre]],"NA")</f>
        <v>NA</v>
      </c>
    </row>
    <row r="1388" spans="1:13" hidden="1">
      <c r="A1388" s="313" t="s">
        <v>90</v>
      </c>
      <c r="B1388" s="78">
        <v>41565</v>
      </c>
      <c r="C1388" s="79" t="s">
        <v>518</v>
      </c>
      <c r="D1388" s="79"/>
      <c r="E1388" s="79">
        <v>14760</v>
      </c>
      <c r="F1388" s="79">
        <v>14600</v>
      </c>
      <c r="G1388" s="79">
        <v>14760</v>
      </c>
      <c r="H1388" s="79"/>
      <c r="I1388" s="79">
        <v>5.4000000000000003E-3</v>
      </c>
      <c r="J1388" s="79"/>
      <c r="K1388" s="71">
        <f>YEAR(Accion[[#This Row],[fecha]])</f>
        <v>2013</v>
      </c>
      <c r="L1388" s="79" t="str">
        <f>IF(Accion[[#This Row],[Precio Cierre]]=MAX(Accion[Precio Cierre]),Accion[[#This Row],[Precio Cierre]],"NA")</f>
        <v>NA</v>
      </c>
      <c r="M1388" s="79" t="str">
        <f>IF(Accion[[#This Row],[Precio Cierre]]=MIN(Accion[Precio Cierre]),Accion[[#This Row],[Precio Cierre]],"NA")</f>
        <v>NA</v>
      </c>
    </row>
    <row r="1389" spans="1:13" hidden="1">
      <c r="A1389" s="313" t="s">
        <v>90</v>
      </c>
      <c r="B1389" s="78">
        <v>41564</v>
      </c>
      <c r="C1389" s="79" t="s">
        <v>519</v>
      </c>
      <c r="D1389" s="79"/>
      <c r="E1389" s="79">
        <v>14700</v>
      </c>
      <c r="F1389" s="79">
        <v>14680</v>
      </c>
      <c r="G1389" s="79">
        <v>14680</v>
      </c>
      <c r="H1389" s="79"/>
      <c r="I1389" s="79">
        <v>4.1000000000000003E-3</v>
      </c>
      <c r="J1389" s="79"/>
      <c r="K1389" s="71">
        <f>YEAR(Accion[[#This Row],[fecha]])</f>
        <v>2013</v>
      </c>
      <c r="L1389" s="79" t="str">
        <f>IF(Accion[[#This Row],[Precio Cierre]]=MAX(Accion[Precio Cierre]),Accion[[#This Row],[Precio Cierre]],"NA")</f>
        <v>NA</v>
      </c>
      <c r="M1389" s="79" t="str">
        <f>IF(Accion[[#This Row],[Precio Cierre]]=MIN(Accion[Precio Cierre]),Accion[[#This Row],[Precio Cierre]],"NA")</f>
        <v>NA</v>
      </c>
    </row>
    <row r="1390" spans="1:13" hidden="1">
      <c r="A1390" s="313" t="s">
        <v>90</v>
      </c>
      <c r="B1390" s="78">
        <v>41563</v>
      </c>
      <c r="C1390" s="79" t="s">
        <v>520</v>
      </c>
      <c r="D1390" s="79"/>
      <c r="E1390" s="79">
        <v>14700</v>
      </c>
      <c r="F1390" s="79">
        <v>14580</v>
      </c>
      <c r="G1390" s="79">
        <v>14620</v>
      </c>
      <c r="H1390" s="79"/>
      <c r="I1390" s="79">
        <v>-5.4000000000000003E-3</v>
      </c>
      <c r="J1390" s="79"/>
      <c r="K1390" s="71">
        <f>YEAR(Accion[[#This Row],[fecha]])</f>
        <v>2013</v>
      </c>
      <c r="L1390" s="79" t="str">
        <f>IF(Accion[[#This Row],[Precio Cierre]]=MAX(Accion[Precio Cierre]),Accion[[#This Row],[Precio Cierre]],"NA")</f>
        <v>NA</v>
      </c>
      <c r="M1390" s="79" t="str">
        <f>IF(Accion[[#This Row],[Precio Cierre]]=MIN(Accion[Precio Cierre]),Accion[[#This Row],[Precio Cierre]],"NA")</f>
        <v>NA</v>
      </c>
    </row>
    <row r="1391" spans="1:13" hidden="1">
      <c r="A1391" s="313" t="s">
        <v>90</v>
      </c>
      <c r="B1391" s="78">
        <v>41562</v>
      </c>
      <c r="C1391" s="79" t="s">
        <v>521</v>
      </c>
      <c r="D1391" s="79"/>
      <c r="E1391" s="79">
        <v>14700</v>
      </c>
      <c r="F1391" s="79">
        <v>14500</v>
      </c>
      <c r="G1391" s="79">
        <v>14700</v>
      </c>
      <c r="H1391" s="79"/>
      <c r="I1391" s="79">
        <v>8.2000000000000007E-3</v>
      </c>
      <c r="J1391" s="79"/>
      <c r="K1391" s="71">
        <f>YEAR(Accion[[#This Row],[fecha]])</f>
        <v>2013</v>
      </c>
      <c r="L1391" s="79" t="str">
        <f>IF(Accion[[#This Row],[Precio Cierre]]=MAX(Accion[Precio Cierre]),Accion[[#This Row],[Precio Cierre]],"NA")</f>
        <v>NA</v>
      </c>
      <c r="M1391" s="79" t="str">
        <f>IF(Accion[[#This Row],[Precio Cierre]]=MIN(Accion[Precio Cierre]),Accion[[#This Row],[Precio Cierre]],"NA")</f>
        <v>NA</v>
      </c>
    </row>
    <row r="1392" spans="1:13" hidden="1">
      <c r="A1392" s="313" t="s">
        <v>90</v>
      </c>
      <c r="B1392" s="78">
        <v>41558</v>
      </c>
      <c r="C1392" s="79" t="s">
        <v>522</v>
      </c>
      <c r="D1392" s="79"/>
      <c r="E1392" s="79">
        <v>14600</v>
      </c>
      <c r="F1392" s="79">
        <v>14580</v>
      </c>
      <c r="G1392" s="79">
        <v>14580</v>
      </c>
      <c r="H1392" s="79"/>
      <c r="I1392" s="79">
        <v>1.4E-3</v>
      </c>
      <c r="J1392" s="79"/>
      <c r="K1392" s="71">
        <f>YEAR(Accion[[#This Row],[fecha]])</f>
        <v>2013</v>
      </c>
      <c r="L1392" s="79" t="str">
        <f>IF(Accion[[#This Row],[Precio Cierre]]=MAX(Accion[Precio Cierre]),Accion[[#This Row],[Precio Cierre]],"NA")</f>
        <v>NA</v>
      </c>
      <c r="M1392" s="79" t="str">
        <f>IF(Accion[[#This Row],[Precio Cierre]]=MIN(Accion[Precio Cierre]),Accion[[#This Row],[Precio Cierre]],"NA")</f>
        <v>NA</v>
      </c>
    </row>
    <row r="1393" spans="1:13" hidden="1">
      <c r="A1393" s="313" t="s">
        <v>90</v>
      </c>
      <c r="B1393" s="78">
        <v>41557</v>
      </c>
      <c r="C1393" s="79" t="s">
        <v>523</v>
      </c>
      <c r="D1393" s="79"/>
      <c r="E1393" s="79">
        <v>14600</v>
      </c>
      <c r="F1393" s="79">
        <v>14540</v>
      </c>
      <c r="G1393" s="79">
        <v>14560</v>
      </c>
      <c r="H1393" s="79"/>
      <c r="I1393" s="79">
        <v>-1.4E-3</v>
      </c>
      <c r="J1393" s="79"/>
      <c r="K1393" s="71">
        <f>YEAR(Accion[[#This Row],[fecha]])</f>
        <v>2013</v>
      </c>
      <c r="L1393" s="79" t="str">
        <f>IF(Accion[[#This Row],[Precio Cierre]]=MAX(Accion[Precio Cierre]),Accion[[#This Row],[Precio Cierre]],"NA")</f>
        <v>NA</v>
      </c>
      <c r="M1393" s="79" t="str">
        <f>IF(Accion[[#This Row],[Precio Cierre]]=MIN(Accion[Precio Cierre]),Accion[[#This Row],[Precio Cierre]],"NA")</f>
        <v>NA</v>
      </c>
    </row>
    <row r="1394" spans="1:13" hidden="1">
      <c r="A1394" s="313" t="s">
        <v>90</v>
      </c>
      <c r="B1394" s="78">
        <v>41556</v>
      </c>
      <c r="C1394" s="79" t="s">
        <v>524</v>
      </c>
      <c r="D1394" s="79"/>
      <c r="E1394" s="79">
        <v>14800</v>
      </c>
      <c r="F1394" s="79">
        <v>14580</v>
      </c>
      <c r="G1394" s="79">
        <v>14580</v>
      </c>
      <c r="H1394" s="79"/>
      <c r="I1394" s="79">
        <v>-1.49E-2</v>
      </c>
      <c r="J1394" s="79"/>
      <c r="K1394" s="71">
        <f>YEAR(Accion[[#This Row],[fecha]])</f>
        <v>2013</v>
      </c>
      <c r="L1394" s="79" t="str">
        <f>IF(Accion[[#This Row],[Precio Cierre]]=MAX(Accion[Precio Cierre]),Accion[[#This Row],[Precio Cierre]],"NA")</f>
        <v>NA</v>
      </c>
      <c r="M1394" s="79" t="str">
        <f>IF(Accion[[#This Row],[Precio Cierre]]=MIN(Accion[Precio Cierre]),Accion[[#This Row],[Precio Cierre]],"NA")</f>
        <v>NA</v>
      </c>
    </row>
    <row r="1395" spans="1:13" hidden="1">
      <c r="A1395" s="313" t="s">
        <v>90</v>
      </c>
      <c r="B1395" s="78">
        <v>41555</v>
      </c>
      <c r="C1395" s="79" t="s">
        <v>525</v>
      </c>
      <c r="D1395" s="79"/>
      <c r="E1395" s="79">
        <v>14800</v>
      </c>
      <c r="F1395" s="79">
        <v>14700</v>
      </c>
      <c r="G1395" s="79">
        <v>14800</v>
      </c>
      <c r="H1395" s="79"/>
      <c r="I1395" s="79">
        <v>0</v>
      </c>
      <c r="J1395" s="79"/>
      <c r="K1395" s="71">
        <f>YEAR(Accion[[#This Row],[fecha]])</f>
        <v>2013</v>
      </c>
      <c r="L1395" s="79" t="str">
        <f>IF(Accion[[#This Row],[Precio Cierre]]=MAX(Accion[Precio Cierre]),Accion[[#This Row],[Precio Cierre]],"NA")</f>
        <v>NA</v>
      </c>
      <c r="M1395" s="79" t="str">
        <f>IF(Accion[[#This Row],[Precio Cierre]]=MIN(Accion[Precio Cierre]),Accion[[#This Row],[Precio Cierre]],"NA")</f>
        <v>NA</v>
      </c>
    </row>
    <row r="1396" spans="1:13" hidden="1">
      <c r="A1396" s="313" t="s">
        <v>90</v>
      </c>
      <c r="B1396" s="78">
        <v>41554</v>
      </c>
      <c r="C1396" s="79" t="s">
        <v>526</v>
      </c>
      <c r="D1396" s="79"/>
      <c r="E1396" s="79">
        <v>14800</v>
      </c>
      <c r="F1396" s="79">
        <v>14700</v>
      </c>
      <c r="G1396" s="79">
        <v>14800</v>
      </c>
      <c r="H1396" s="79"/>
      <c r="I1396" s="79">
        <v>0</v>
      </c>
      <c r="J1396" s="79"/>
      <c r="K1396" s="71">
        <f>YEAR(Accion[[#This Row],[fecha]])</f>
        <v>2013</v>
      </c>
      <c r="L1396" s="79" t="str">
        <f>IF(Accion[[#This Row],[Precio Cierre]]=MAX(Accion[Precio Cierre]),Accion[[#This Row],[Precio Cierre]],"NA")</f>
        <v>NA</v>
      </c>
      <c r="M1396" s="79" t="str">
        <f>IF(Accion[[#This Row],[Precio Cierre]]=MIN(Accion[Precio Cierre]),Accion[[#This Row],[Precio Cierre]],"NA")</f>
        <v>NA</v>
      </c>
    </row>
    <row r="1397" spans="1:13" hidden="1">
      <c r="A1397" s="313" t="s">
        <v>90</v>
      </c>
      <c r="B1397" s="78">
        <v>41551</v>
      </c>
      <c r="C1397" s="79" t="s">
        <v>527</v>
      </c>
      <c r="D1397" s="79"/>
      <c r="E1397" s="79">
        <v>14800</v>
      </c>
      <c r="F1397" s="79">
        <v>14420</v>
      </c>
      <c r="G1397" s="79">
        <v>14800</v>
      </c>
      <c r="H1397" s="79"/>
      <c r="I1397" s="79">
        <v>0</v>
      </c>
      <c r="J1397" s="79"/>
      <c r="K1397" s="71">
        <f>YEAR(Accion[[#This Row],[fecha]])</f>
        <v>2013</v>
      </c>
      <c r="L1397" s="79" t="str">
        <f>IF(Accion[[#This Row],[Precio Cierre]]=MAX(Accion[Precio Cierre]),Accion[[#This Row],[Precio Cierre]],"NA")</f>
        <v>NA</v>
      </c>
      <c r="M1397" s="79" t="str">
        <f>IF(Accion[[#This Row],[Precio Cierre]]=MIN(Accion[Precio Cierre]),Accion[[#This Row],[Precio Cierre]],"NA")</f>
        <v>NA</v>
      </c>
    </row>
    <row r="1398" spans="1:13" hidden="1">
      <c r="A1398" s="313" t="s">
        <v>90</v>
      </c>
      <c r="B1398" s="78">
        <v>41550</v>
      </c>
      <c r="C1398" s="79" t="s">
        <v>528</v>
      </c>
      <c r="D1398" s="79"/>
      <c r="E1398" s="79">
        <v>14800</v>
      </c>
      <c r="F1398" s="79">
        <v>14560</v>
      </c>
      <c r="G1398" s="79">
        <v>14800</v>
      </c>
      <c r="H1398" s="79"/>
      <c r="I1398" s="79">
        <v>1.6500000000000001E-2</v>
      </c>
      <c r="J1398" s="79"/>
      <c r="K1398" s="71">
        <f>YEAR(Accion[[#This Row],[fecha]])</f>
        <v>2013</v>
      </c>
      <c r="L1398" s="79" t="str">
        <f>IF(Accion[[#This Row],[Precio Cierre]]=MAX(Accion[Precio Cierre]),Accion[[#This Row],[Precio Cierre]],"NA")</f>
        <v>NA</v>
      </c>
      <c r="M1398" s="79" t="str">
        <f>IF(Accion[[#This Row],[Precio Cierre]]=MIN(Accion[Precio Cierre]),Accion[[#This Row],[Precio Cierre]],"NA")</f>
        <v>NA</v>
      </c>
    </row>
    <row r="1399" spans="1:13" hidden="1">
      <c r="A1399" s="313" t="s">
        <v>90</v>
      </c>
      <c r="B1399" s="78">
        <v>41549</v>
      </c>
      <c r="C1399" s="79" t="s">
        <v>529</v>
      </c>
      <c r="D1399" s="79"/>
      <c r="E1399" s="79">
        <v>14800</v>
      </c>
      <c r="F1399" s="79">
        <v>14500</v>
      </c>
      <c r="G1399" s="79">
        <v>14560</v>
      </c>
      <c r="H1399" s="79"/>
      <c r="I1399" s="79">
        <v>-1.2200000000000001E-2</v>
      </c>
      <c r="J1399" s="79"/>
      <c r="K1399" s="71">
        <f>YEAR(Accion[[#This Row],[fecha]])</f>
        <v>2013</v>
      </c>
      <c r="L1399" s="79" t="str">
        <f>IF(Accion[[#This Row],[Precio Cierre]]=MAX(Accion[Precio Cierre]),Accion[[#This Row],[Precio Cierre]],"NA")</f>
        <v>NA</v>
      </c>
      <c r="M1399" s="79" t="str">
        <f>IF(Accion[[#This Row],[Precio Cierre]]=MIN(Accion[Precio Cierre]),Accion[[#This Row],[Precio Cierre]],"NA")</f>
        <v>NA</v>
      </c>
    </row>
    <row r="1400" spans="1:13" hidden="1">
      <c r="A1400" s="313" t="s">
        <v>90</v>
      </c>
      <c r="B1400" s="78">
        <v>41548</v>
      </c>
      <c r="C1400" s="79" t="s">
        <v>530</v>
      </c>
      <c r="D1400" s="79"/>
      <c r="E1400" s="79">
        <v>15000</v>
      </c>
      <c r="F1400" s="79">
        <v>14740</v>
      </c>
      <c r="G1400" s="79">
        <v>14740</v>
      </c>
      <c r="H1400" s="79"/>
      <c r="I1400" s="79">
        <v>-1.7299999999999999E-2</v>
      </c>
      <c r="J1400" s="79"/>
      <c r="K1400" s="71">
        <f>YEAR(Accion[[#This Row],[fecha]])</f>
        <v>2013</v>
      </c>
      <c r="L1400" s="79" t="str">
        <f>IF(Accion[[#This Row],[Precio Cierre]]=MAX(Accion[Precio Cierre]),Accion[[#This Row],[Precio Cierre]],"NA")</f>
        <v>NA</v>
      </c>
      <c r="M1400" s="79" t="str">
        <f>IF(Accion[[#This Row],[Precio Cierre]]=MIN(Accion[Precio Cierre]),Accion[[#This Row],[Precio Cierre]],"NA")</f>
        <v>NA</v>
      </c>
    </row>
    <row r="1401" spans="1:13" hidden="1">
      <c r="A1401" s="313" t="s">
        <v>90</v>
      </c>
      <c r="B1401" s="78">
        <v>41547</v>
      </c>
      <c r="C1401" s="79" t="s">
        <v>531</v>
      </c>
      <c r="D1401" s="79"/>
      <c r="E1401" s="79">
        <v>15000</v>
      </c>
      <c r="F1401" s="79">
        <v>14800</v>
      </c>
      <c r="G1401" s="79">
        <v>15000</v>
      </c>
      <c r="H1401" s="79"/>
      <c r="I1401" s="79">
        <v>1.2999999999999999E-3</v>
      </c>
      <c r="J1401" s="79"/>
      <c r="K1401" s="71">
        <f>YEAR(Accion[[#This Row],[fecha]])</f>
        <v>2013</v>
      </c>
      <c r="L1401" s="79" t="str">
        <f>IF(Accion[[#This Row],[Precio Cierre]]=MAX(Accion[Precio Cierre]),Accion[[#This Row],[Precio Cierre]],"NA")</f>
        <v>NA</v>
      </c>
      <c r="M1401" s="79" t="str">
        <f>IF(Accion[[#This Row],[Precio Cierre]]=MIN(Accion[Precio Cierre]),Accion[[#This Row],[Precio Cierre]],"NA")</f>
        <v>NA</v>
      </c>
    </row>
    <row r="1402" spans="1:13" hidden="1">
      <c r="A1402" s="313" t="s">
        <v>90</v>
      </c>
      <c r="B1402" s="78">
        <v>41544</v>
      </c>
      <c r="C1402" s="79" t="s">
        <v>532</v>
      </c>
      <c r="D1402" s="79"/>
      <c r="E1402" s="79">
        <v>14980</v>
      </c>
      <c r="F1402" s="79">
        <v>14900</v>
      </c>
      <c r="G1402" s="79">
        <v>14980</v>
      </c>
      <c r="H1402" s="79"/>
      <c r="I1402" s="79">
        <v>5.4000000000000003E-3</v>
      </c>
      <c r="J1402" s="79"/>
      <c r="K1402" s="71">
        <f>YEAR(Accion[[#This Row],[fecha]])</f>
        <v>2013</v>
      </c>
      <c r="L1402" s="79" t="str">
        <f>IF(Accion[[#This Row],[Precio Cierre]]=MAX(Accion[Precio Cierre]),Accion[[#This Row],[Precio Cierre]],"NA")</f>
        <v>NA</v>
      </c>
      <c r="M1402" s="79" t="str">
        <f>IF(Accion[[#This Row],[Precio Cierre]]=MIN(Accion[Precio Cierre]),Accion[[#This Row],[Precio Cierre]],"NA")</f>
        <v>NA</v>
      </c>
    </row>
    <row r="1403" spans="1:13" hidden="1">
      <c r="A1403" s="313" t="s">
        <v>90</v>
      </c>
      <c r="B1403" s="78">
        <v>41543</v>
      </c>
      <c r="C1403" s="79" t="s">
        <v>533</v>
      </c>
      <c r="D1403" s="79"/>
      <c r="E1403" s="79">
        <v>14960</v>
      </c>
      <c r="F1403" s="79">
        <v>14900</v>
      </c>
      <c r="G1403" s="79">
        <v>14900</v>
      </c>
      <c r="H1403" s="79"/>
      <c r="I1403" s="79">
        <v>-6.7000000000000002E-3</v>
      </c>
      <c r="J1403" s="79"/>
      <c r="K1403" s="71">
        <f>YEAR(Accion[[#This Row],[fecha]])</f>
        <v>2013</v>
      </c>
      <c r="L1403" s="79" t="str">
        <f>IF(Accion[[#This Row],[Precio Cierre]]=MAX(Accion[Precio Cierre]),Accion[[#This Row],[Precio Cierre]],"NA")</f>
        <v>NA</v>
      </c>
      <c r="M1403" s="79" t="str">
        <f>IF(Accion[[#This Row],[Precio Cierre]]=MIN(Accion[Precio Cierre]),Accion[[#This Row],[Precio Cierre]],"NA")</f>
        <v>NA</v>
      </c>
    </row>
    <row r="1404" spans="1:13" hidden="1">
      <c r="A1404" s="313" t="s">
        <v>90</v>
      </c>
      <c r="B1404" s="78">
        <v>41542</v>
      </c>
      <c r="C1404" s="79" t="s">
        <v>534</v>
      </c>
      <c r="D1404" s="79"/>
      <c r="E1404" s="79">
        <v>15000</v>
      </c>
      <c r="F1404" s="79">
        <v>14980</v>
      </c>
      <c r="G1404" s="79">
        <v>15000</v>
      </c>
      <c r="H1404" s="79"/>
      <c r="I1404" s="79">
        <v>1.2999999999999999E-3</v>
      </c>
      <c r="J1404" s="79"/>
      <c r="K1404" s="71">
        <f>YEAR(Accion[[#This Row],[fecha]])</f>
        <v>2013</v>
      </c>
      <c r="L1404" s="79" t="str">
        <f>IF(Accion[[#This Row],[Precio Cierre]]=MAX(Accion[Precio Cierre]),Accion[[#This Row],[Precio Cierre]],"NA")</f>
        <v>NA</v>
      </c>
      <c r="M1404" s="79" t="str">
        <f>IF(Accion[[#This Row],[Precio Cierre]]=MIN(Accion[Precio Cierre]),Accion[[#This Row],[Precio Cierre]],"NA")</f>
        <v>NA</v>
      </c>
    </row>
    <row r="1405" spans="1:13" hidden="1">
      <c r="A1405" s="313" t="s">
        <v>90</v>
      </c>
      <c r="B1405" s="78">
        <v>41541</v>
      </c>
      <c r="C1405" s="79" t="s">
        <v>535</v>
      </c>
      <c r="D1405" s="79"/>
      <c r="E1405" s="79">
        <v>15000</v>
      </c>
      <c r="F1405" s="79">
        <v>14960</v>
      </c>
      <c r="G1405" s="79">
        <v>14980</v>
      </c>
      <c r="H1405" s="79"/>
      <c r="I1405" s="79">
        <v>-1.2999999999999999E-3</v>
      </c>
      <c r="J1405" s="79"/>
      <c r="K1405" s="71">
        <f>YEAR(Accion[[#This Row],[fecha]])</f>
        <v>2013</v>
      </c>
      <c r="L1405" s="79" t="str">
        <f>IF(Accion[[#This Row],[Precio Cierre]]=MAX(Accion[Precio Cierre]),Accion[[#This Row],[Precio Cierre]],"NA")</f>
        <v>NA</v>
      </c>
      <c r="M1405" s="79" t="str">
        <f>IF(Accion[[#This Row],[Precio Cierre]]=MIN(Accion[Precio Cierre]),Accion[[#This Row],[Precio Cierre]],"NA")</f>
        <v>NA</v>
      </c>
    </row>
    <row r="1406" spans="1:13" hidden="1">
      <c r="A1406" s="313" t="s">
        <v>90</v>
      </c>
      <c r="B1406" s="78">
        <v>41540</v>
      </c>
      <c r="C1406" s="79" t="s">
        <v>536</v>
      </c>
      <c r="D1406" s="79"/>
      <c r="E1406" s="79">
        <v>15000</v>
      </c>
      <c r="F1406" s="79">
        <v>14820</v>
      </c>
      <c r="G1406" s="79">
        <v>15000</v>
      </c>
      <c r="H1406" s="79"/>
      <c r="I1406" s="79">
        <v>2.0400000000000001E-2</v>
      </c>
      <c r="J1406" s="79"/>
      <c r="K1406" s="71">
        <f>YEAR(Accion[[#This Row],[fecha]])</f>
        <v>2013</v>
      </c>
      <c r="L1406" s="79" t="str">
        <f>IF(Accion[[#This Row],[Precio Cierre]]=MAX(Accion[Precio Cierre]),Accion[[#This Row],[Precio Cierre]],"NA")</f>
        <v>NA</v>
      </c>
      <c r="M1406" s="79" t="str">
        <f>IF(Accion[[#This Row],[Precio Cierre]]=MIN(Accion[Precio Cierre]),Accion[[#This Row],[Precio Cierre]],"NA")</f>
        <v>NA</v>
      </c>
    </row>
    <row r="1407" spans="1:13" hidden="1">
      <c r="A1407" s="313" t="s">
        <v>90</v>
      </c>
      <c r="B1407" s="78">
        <v>41537</v>
      </c>
      <c r="C1407" s="79" t="s">
        <v>537</v>
      </c>
      <c r="D1407" s="79"/>
      <c r="E1407" s="79">
        <v>14980</v>
      </c>
      <c r="F1407" s="79">
        <v>14700</v>
      </c>
      <c r="G1407" s="79">
        <v>14700</v>
      </c>
      <c r="H1407" s="79"/>
      <c r="I1407" s="79">
        <v>-0.02</v>
      </c>
      <c r="J1407" s="79"/>
      <c r="K1407" s="71">
        <f>YEAR(Accion[[#This Row],[fecha]])</f>
        <v>2013</v>
      </c>
      <c r="L1407" s="79" t="str">
        <f>IF(Accion[[#This Row],[Precio Cierre]]=MAX(Accion[Precio Cierre]),Accion[[#This Row],[Precio Cierre]],"NA")</f>
        <v>NA</v>
      </c>
      <c r="M1407" s="79" t="str">
        <f>IF(Accion[[#This Row],[Precio Cierre]]=MIN(Accion[Precio Cierre]),Accion[[#This Row],[Precio Cierre]],"NA")</f>
        <v>NA</v>
      </c>
    </row>
    <row r="1408" spans="1:13" hidden="1">
      <c r="A1408" s="313" t="s">
        <v>90</v>
      </c>
      <c r="B1408" s="78">
        <v>41536</v>
      </c>
      <c r="C1408" s="79" t="s">
        <v>538</v>
      </c>
      <c r="D1408" s="79"/>
      <c r="E1408" s="79">
        <v>15000</v>
      </c>
      <c r="F1408" s="79">
        <v>14960</v>
      </c>
      <c r="G1408" s="79">
        <v>15000</v>
      </c>
      <c r="H1408" s="79"/>
      <c r="I1408" s="79">
        <v>0</v>
      </c>
      <c r="J1408" s="79"/>
      <c r="K1408" s="71">
        <f>YEAR(Accion[[#This Row],[fecha]])</f>
        <v>2013</v>
      </c>
      <c r="L1408" s="79" t="str">
        <f>IF(Accion[[#This Row],[Precio Cierre]]=MAX(Accion[Precio Cierre]),Accion[[#This Row],[Precio Cierre]],"NA")</f>
        <v>NA</v>
      </c>
      <c r="M1408" s="79" t="str">
        <f>IF(Accion[[#This Row],[Precio Cierre]]=MIN(Accion[Precio Cierre]),Accion[[#This Row],[Precio Cierre]],"NA")</f>
        <v>NA</v>
      </c>
    </row>
    <row r="1409" spans="1:13" hidden="1">
      <c r="A1409" s="313" t="s">
        <v>90</v>
      </c>
      <c r="B1409" s="78">
        <v>41535</v>
      </c>
      <c r="C1409" s="79" t="s">
        <v>539</v>
      </c>
      <c r="D1409" s="79"/>
      <c r="E1409" s="79">
        <v>15000</v>
      </c>
      <c r="F1409" s="79">
        <v>14960</v>
      </c>
      <c r="G1409" s="79">
        <v>15000</v>
      </c>
      <c r="H1409" s="79"/>
      <c r="I1409" s="79">
        <v>1.2999999999999999E-3</v>
      </c>
      <c r="J1409" s="79"/>
      <c r="K1409" s="71">
        <f>YEAR(Accion[[#This Row],[fecha]])</f>
        <v>2013</v>
      </c>
      <c r="L1409" s="79" t="str">
        <f>IF(Accion[[#This Row],[Precio Cierre]]=MAX(Accion[Precio Cierre]),Accion[[#This Row],[Precio Cierre]],"NA")</f>
        <v>NA</v>
      </c>
      <c r="M1409" s="79" t="str">
        <f>IF(Accion[[#This Row],[Precio Cierre]]=MIN(Accion[Precio Cierre]),Accion[[#This Row],[Precio Cierre]],"NA")</f>
        <v>NA</v>
      </c>
    </row>
    <row r="1410" spans="1:13" hidden="1">
      <c r="A1410" s="313" t="s">
        <v>90</v>
      </c>
      <c r="B1410" s="78">
        <v>41534</v>
      </c>
      <c r="C1410" s="79" t="s">
        <v>540</v>
      </c>
      <c r="D1410" s="79"/>
      <c r="E1410" s="79">
        <v>15000</v>
      </c>
      <c r="F1410" s="79">
        <v>14900</v>
      </c>
      <c r="G1410" s="79">
        <v>14980</v>
      </c>
      <c r="H1410" s="79"/>
      <c r="I1410" s="79">
        <v>5.4000000000000003E-3</v>
      </c>
      <c r="J1410" s="79"/>
      <c r="K1410" s="71">
        <f>YEAR(Accion[[#This Row],[fecha]])</f>
        <v>2013</v>
      </c>
      <c r="L1410" s="79" t="str">
        <f>IF(Accion[[#This Row],[Precio Cierre]]=MAX(Accion[Precio Cierre]),Accion[[#This Row],[Precio Cierre]],"NA")</f>
        <v>NA</v>
      </c>
      <c r="M1410" s="79" t="str">
        <f>IF(Accion[[#This Row],[Precio Cierre]]=MIN(Accion[Precio Cierre]),Accion[[#This Row],[Precio Cierre]],"NA")</f>
        <v>NA</v>
      </c>
    </row>
    <row r="1411" spans="1:13" hidden="1">
      <c r="A1411" s="313" t="s">
        <v>90</v>
      </c>
      <c r="B1411" s="78">
        <v>41533</v>
      </c>
      <c r="C1411" s="79" t="s">
        <v>541</v>
      </c>
      <c r="D1411" s="79"/>
      <c r="E1411" s="79">
        <v>15000</v>
      </c>
      <c r="F1411" s="79">
        <v>14900</v>
      </c>
      <c r="G1411" s="79">
        <v>14900</v>
      </c>
      <c r="H1411" s="79"/>
      <c r="I1411" s="79">
        <v>-1.32E-2</v>
      </c>
      <c r="J1411" s="79"/>
      <c r="K1411" s="71">
        <f>YEAR(Accion[[#This Row],[fecha]])</f>
        <v>2013</v>
      </c>
      <c r="L1411" s="79" t="str">
        <f>IF(Accion[[#This Row],[Precio Cierre]]=MAX(Accion[Precio Cierre]),Accion[[#This Row],[Precio Cierre]],"NA")</f>
        <v>NA</v>
      </c>
      <c r="M1411" s="79" t="str">
        <f>IF(Accion[[#This Row],[Precio Cierre]]=MIN(Accion[Precio Cierre]),Accion[[#This Row],[Precio Cierre]],"NA")</f>
        <v>NA</v>
      </c>
    </row>
    <row r="1412" spans="1:13" hidden="1">
      <c r="A1412" s="313" t="s">
        <v>90</v>
      </c>
      <c r="B1412" s="78">
        <v>41530</v>
      </c>
      <c r="C1412" s="79" t="s">
        <v>542</v>
      </c>
      <c r="D1412" s="79"/>
      <c r="E1412" s="79">
        <v>15100</v>
      </c>
      <c r="F1412" s="79">
        <v>14900</v>
      </c>
      <c r="G1412" s="79">
        <v>15100</v>
      </c>
      <c r="H1412" s="79"/>
      <c r="I1412" s="79">
        <v>1.0699999999999999E-2</v>
      </c>
      <c r="J1412" s="79"/>
      <c r="K1412" s="71">
        <f>YEAR(Accion[[#This Row],[fecha]])</f>
        <v>2013</v>
      </c>
      <c r="L1412" s="79" t="str">
        <f>IF(Accion[[#This Row],[Precio Cierre]]=MAX(Accion[Precio Cierre]),Accion[[#This Row],[Precio Cierre]],"NA")</f>
        <v>NA</v>
      </c>
      <c r="M1412" s="79" t="str">
        <f>IF(Accion[[#This Row],[Precio Cierre]]=MIN(Accion[Precio Cierre]),Accion[[#This Row],[Precio Cierre]],"NA")</f>
        <v>NA</v>
      </c>
    </row>
    <row r="1413" spans="1:13" hidden="1">
      <c r="A1413" s="313" t="s">
        <v>90</v>
      </c>
      <c r="B1413" s="78">
        <v>41529</v>
      </c>
      <c r="C1413" s="79" t="s">
        <v>543</v>
      </c>
      <c r="D1413" s="79"/>
      <c r="E1413" s="79">
        <v>15000</v>
      </c>
      <c r="F1413" s="79">
        <v>14580</v>
      </c>
      <c r="G1413" s="79">
        <v>14940</v>
      </c>
      <c r="H1413" s="79"/>
      <c r="I1413" s="79">
        <v>-4.0000000000000001E-3</v>
      </c>
      <c r="J1413" s="79"/>
      <c r="K1413" s="71">
        <f>YEAR(Accion[[#This Row],[fecha]])</f>
        <v>2013</v>
      </c>
      <c r="L1413" s="79" t="str">
        <f>IF(Accion[[#This Row],[Precio Cierre]]=MAX(Accion[Precio Cierre]),Accion[[#This Row],[Precio Cierre]],"NA")</f>
        <v>NA</v>
      </c>
      <c r="M1413" s="79" t="str">
        <f>IF(Accion[[#This Row],[Precio Cierre]]=MIN(Accion[Precio Cierre]),Accion[[#This Row],[Precio Cierre]],"NA")</f>
        <v>NA</v>
      </c>
    </row>
    <row r="1414" spans="1:13" hidden="1">
      <c r="A1414" s="313" t="s">
        <v>90</v>
      </c>
      <c r="B1414" s="78">
        <v>41528</v>
      </c>
      <c r="C1414" s="79" t="s">
        <v>544</v>
      </c>
      <c r="D1414" s="79"/>
      <c r="E1414" s="79">
        <v>15000</v>
      </c>
      <c r="F1414" s="79">
        <v>14980</v>
      </c>
      <c r="G1414" s="79">
        <v>15000</v>
      </c>
      <c r="H1414" s="79"/>
      <c r="I1414" s="79">
        <v>0</v>
      </c>
      <c r="J1414" s="79"/>
      <c r="K1414" s="71">
        <f>YEAR(Accion[[#This Row],[fecha]])</f>
        <v>2013</v>
      </c>
      <c r="L1414" s="79" t="str">
        <f>IF(Accion[[#This Row],[Precio Cierre]]=MAX(Accion[Precio Cierre]),Accion[[#This Row],[Precio Cierre]],"NA")</f>
        <v>NA</v>
      </c>
      <c r="M1414" s="79" t="str">
        <f>IF(Accion[[#This Row],[Precio Cierre]]=MIN(Accion[Precio Cierre]),Accion[[#This Row],[Precio Cierre]],"NA")</f>
        <v>NA</v>
      </c>
    </row>
    <row r="1415" spans="1:13" hidden="1">
      <c r="A1415" s="313" t="s">
        <v>90</v>
      </c>
      <c r="B1415" s="78">
        <v>41527</v>
      </c>
      <c r="C1415" s="79" t="s">
        <v>545</v>
      </c>
      <c r="D1415" s="79"/>
      <c r="E1415" s="79">
        <v>15000</v>
      </c>
      <c r="F1415" s="79">
        <v>14980</v>
      </c>
      <c r="G1415" s="79">
        <v>15000</v>
      </c>
      <c r="H1415" s="79"/>
      <c r="I1415" s="79">
        <v>0</v>
      </c>
      <c r="J1415" s="79"/>
      <c r="K1415" s="71">
        <f>YEAR(Accion[[#This Row],[fecha]])</f>
        <v>2013</v>
      </c>
      <c r="L1415" s="79" t="str">
        <f>IF(Accion[[#This Row],[Precio Cierre]]=MAX(Accion[Precio Cierre]),Accion[[#This Row],[Precio Cierre]],"NA")</f>
        <v>NA</v>
      </c>
      <c r="M1415" s="79" t="str">
        <f>IF(Accion[[#This Row],[Precio Cierre]]=MIN(Accion[Precio Cierre]),Accion[[#This Row],[Precio Cierre]],"NA")</f>
        <v>NA</v>
      </c>
    </row>
    <row r="1416" spans="1:13" hidden="1">
      <c r="A1416" s="313" t="s">
        <v>90</v>
      </c>
      <c r="B1416" s="78">
        <v>41526</v>
      </c>
      <c r="C1416" s="79" t="s">
        <v>546</v>
      </c>
      <c r="D1416" s="79"/>
      <c r="E1416" s="79">
        <v>15000</v>
      </c>
      <c r="F1416" s="79">
        <v>14460</v>
      </c>
      <c r="G1416" s="79">
        <v>15000</v>
      </c>
      <c r="H1416" s="79"/>
      <c r="I1416" s="79">
        <v>0</v>
      </c>
      <c r="J1416" s="79"/>
      <c r="K1416" s="71">
        <f>YEAR(Accion[[#This Row],[fecha]])</f>
        <v>2013</v>
      </c>
      <c r="L1416" s="79" t="str">
        <f>IF(Accion[[#This Row],[Precio Cierre]]=MAX(Accion[Precio Cierre]),Accion[[#This Row],[Precio Cierre]],"NA")</f>
        <v>NA</v>
      </c>
      <c r="M1416" s="79" t="str">
        <f>IF(Accion[[#This Row],[Precio Cierre]]=MIN(Accion[Precio Cierre]),Accion[[#This Row],[Precio Cierre]],"NA")</f>
        <v>NA</v>
      </c>
    </row>
    <row r="1417" spans="1:13" hidden="1">
      <c r="A1417" s="313" t="s">
        <v>90</v>
      </c>
      <c r="B1417" s="78">
        <v>41523</v>
      </c>
      <c r="C1417" s="79" t="s">
        <v>547</v>
      </c>
      <c r="D1417" s="79"/>
      <c r="E1417" s="79">
        <v>15100</v>
      </c>
      <c r="F1417" s="79">
        <v>14920</v>
      </c>
      <c r="G1417" s="79">
        <v>15000</v>
      </c>
      <c r="H1417" s="79"/>
      <c r="I1417" s="79">
        <v>5.4000000000000003E-3</v>
      </c>
      <c r="J1417" s="79"/>
      <c r="K1417" s="71">
        <f>YEAR(Accion[[#This Row],[fecha]])</f>
        <v>2013</v>
      </c>
      <c r="L1417" s="79" t="str">
        <f>IF(Accion[[#This Row],[Precio Cierre]]=MAX(Accion[Precio Cierre]),Accion[[#This Row],[Precio Cierre]],"NA")</f>
        <v>NA</v>
      </c>
      <c r="M1417" s="79" t="str">
        <f>IF(Accion[[#This Row],[Precio Cierre]]=MIN(Accion[Precio Cierre]),Accion[[#This Row],[Precio Cierre]],"NA")</f>
        <v>NA</v>
      </c>
    </row>
    <row r="1418" spans="1:13" hidden="1">
      <c r="A1418" s="313" t="s">
        <v>90</v>
      </c>
      <c r="B1418" s="78">
        <v>41522</v>
      </c>
      <c r="C1418" s="79" t="s">
        <v>548</v>
      </c>
      <c r="D1418" s="79"/>
      <c r="E1418" s="79">
        <v>15100</v>
      </c>
      <c r="F1418" s="79">
        <v>14920</v>
      </c>
      <c r="G1418" s="79">
        <v>14920</v>
      </c>
      <c r="H1418" s="79"/>
      <c r="I1418" s="79">
        <v>-1.06E-2</v>
      </c>
      <c r="J1418" s="79"/>
      <c r="K1418" s="71">
        <f>YEAR(Accion[[#This Row],[fecha]])</f>
        <v>2013</v>
      </c>
      <c r="L1418" s="79" t="str">
        <f>IF(Accion[[#This Row],[Precio Cierre]]=MAX(Accion[Precio Cierre]),Accion[[#This Row],[Precio Cierre]],"NA")</f>
        <v>NA</v>
      </c>
      <c r="M1418" s="79" t="str">
        <f>IF(Accion[[#This Row],[Precio Cierre]]=MIN(Accion[Precio Cierre]),Accion[[#This Row],[Precio Cierre]],"NA")</f>
        <v>NA</v>
      </c>
    </row>
    <row r="1419" spans="1:13" hidden="1">
      <c r="A1419" s="313" t="s">
        <v>90</v>
      </c>
      <c r="B1419" s="78">
        <v>41521</v>
      </c>
      <c r="C1419" s="79" t="s">
        <v>549</v>
      </c>
      <c r="D1419" s="79"/>
      <c r="E1419" s="79">
        <v>15100</v>
      </c>
      <c r="F1419" s="79">
        <v>14980</v>
      </c>
      <c r="G1419" s="79">
        <v>15080</v>
      </c>
      <c r="H1419" s="79"/>
      <c r="I1419" s="79">
        <v>5.3E-3</v>
      </c>
      <c r="J1419" s="79"/>
      <c r="K1419" s="71">
        <f>YEAR(Accion[[#This Row],[fecha]])</f>
        <v>2013</v>
      </c>
      <c r="L1419" s="79" t="str">
        <f>IF(Accion[[#This Row],[Precio Cierre]]=MAX(Accion[Precio Cierre]),Accion[[#This Row],[Precio Cierre]],"NA")</f>
        <v>NA</v>
      </c>
      <c r="M1419" s="79" t="str">
        <f>IF(Accion[[#This Row],[Precio Cierre]]=MIN(Accion[Precio Cierre]),Accion[[#This Row],[Precio Cierre]],"NA")</f>
        <v>NA</v>
      </c>
    </row>
    <row r="1420" spans="1:13" hidden="1">
      <c r="A1420" s="313" t="s">
        <v>90</v>
      </c>
      <c r="B1420" s="78">
        <v>41520</v>
      </c>
      <c r="C1420" s="79" t="s">
        <v>550</v>
      </c>
      <c r="D1420" s="79"/>
      <c r="E1420" s="79">
        <v>15200</v>
      </c>
      <c r="F1420" s="79">
        <v>15000</v>
      </c>
      <c r="G1420" s="79">
        <v>15000</v>
      </c>
      <c r="H1420" s="79"/>
      <c r="I1420" s="79">
        <v>-6.6E-3</v>
      </c>
      <c r="J1420" s="79"/>
      <c r="K1420" s="71">
        <f>YEAR(Accion[[#This Row],[fecha]])</f>
        <v>2013</v>
      </c>
      <c r="L1420" s="79" t="str">
        <f>IF(Accion[[#This Row],[Precio Cierre]]=MAX(Accion[Precio Cierre]),Accion[[#This Row],[Precio Cierre]],"NA")</f>
        <v>NA</v>
      </c>
      <c r="M1420" s="79" t="str">
        <f>IF(Accion[[#This Row],[Precio Cierre]]=MIN(Accion[Precio Cierre]),Accion[[#This Row],[Precio Cierre]],"NA")</f>
        <v>NA</v>
      </c>
    </row>
    <row r="1421" spans="1:13" hidden="1">
      <c r="A1421" s="313" t="s">
        <v>90</v>
      </c>
      <c r="B1421" s="78">
        <v>41519</v>
      </c>
      <c r="C1421" s="79" t="s">
        <v>551</v>
      </c>
      <c r="D1421" s="79"/>
      <c r="E1421" s="79">
        <v>15100</v>
      </c>
      <c r="F1421" s="79">
        <v>15000</v>
      </c>
      <c r="G1421" s="79">
        <v>15100</v>
      </c>
      <c r="H1421" s="79"/>
      <c r="I1421" s="79">
        <v>6.7000000000000002E-3</v>
      </c>
      <c r="J1421" s="79"/>
      <c r="K1421" s="71">
        <f>YEAR(Accion[[#This Row],[fecha]])</f>
        <v>2013</v>
      </c>
      <c r="L1421" s="79" t="str">
        <f>IF(Accion[[#This Row],[Precio Cierre]]=MAX(Accion[Precio Cierre]),Accion[[#This Row],[Precio Cierre]],"NA")</f>
        <v>NA</v>
      </c>
      <c r="M1421" s="79" t="str">
        <f>IF(Accion[[#This Row],[Precio Cierre]]=MIN(Accion[Precio Cierre]),Accion[[#This Row],[Precio Cierre]],"NA")</f>
        <v>NA</v>
      </c>
    </row>
    <row r="1422" spans="1:13">
      <c r="A1422" s="313" t="s">
        <v>659</v>
      </c>
      <c r="B1422" s="313"/>
      <c r="C1422" s="313"/>
      <c r="D1422" s="79">
        <f>SUBTOTAL(101,Accion[Volumen])</f>
        <v>1805937420.6318681</v>
      </c>
      <c r="E1422" s="313"/>
      <c r="F1422" s="313"/>
      <c r="G1422" s="313"/>
      <c r="H1422" s="313"/>
      <c r="I1422" s="313"/>
      <c r="J1422" s="313"/>
      <c r="K1422" s="313"/>
      <c r="L1422" s="313"/>
      <c r="M1422" s="313">
        <f>SUBTOTAL(103,Accion[Mínimo Valor])</f>
        <v>364</v>
      </c>
    </row>
  </sheetData>
  <mergeCells count="1">
    <mergeCell ref="B1:J1"/>
  </mergeCells>
  <pageMargins left="0.7" right="0.7" top="0.75" bottom="0.75" header="0.3" footer="0.3"/>
  <pageSetup paperSize="9" orientation="portrait"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4"/>
  <sheetViews>
    <sheetView topLeftCell="A21" workbookViewId="0">
      <selection activeCell="A20" sqref="A20"/>
    </sheetView>
  </sheetViews>
  <sheetFormatPr baseColWidth="10" defaultColWidth="11" defaultRowHeight="15.75"/>
  <cols>
    <col min="1" max="1" width="18.5" customWidth="1"/>
    <col min="2" max="2" width="22.375" customWidth="1"/>
    <col min="4" max="4" width="20.5" customWidth="1"/>
    <col min="5" max="5" width="21" bestFit="1" customWidth="1"/>
    <col min="6" max="6" width="12.875" bestFit="1" customWidth="1"/>
  </cols>
  <sheetData>
    <row r="1" spans="1:6">
      <c r="A1" s="82" t="s">
        <v>564</v>
      </c>
      <c r="B1" s="82"/>
      <c r="E1" s="82" t="s">
        <v>565</v>
      </c>
      <c r="F1" s="82"/>
    </row>
    <row r="3" spans="1:6">
      <c r="A3" t="s">
        <v>552</v>
      </c>
      <c r="B3">
        <v>12596.340872374798</v>
      </c>
      <c r="E3" t="s">
        <v>552</v>
      </c>
      <c r="F3">
        <v>12596.340872374798</v>
      </c>
    </row>
    <row r="4" spans="1:6">
      <c r="A4" t="s">
        <v>553</v>
      </c>
      <c r="B4">
        <v>85.022102818114178</v>
      </c>
      <c r="E4" t="s">
        <v>553</v>
      </c>
      <c r="F4">
        <v>85.022102818114178</v>
      </c>
    </row>
    <row r="5" spans="1:6">
      <c r="A5" t="s">
        <v>554</v>
      </c>
      <c r="B5">
        <v>11910</v>
      </c>
      <c r="E5" t="s">
        <v>554</v>
      </c>
      <c r="F5">
        <v>11910</v>
      </c>
    </row>
    <row r="6" spans="1:6">
      <c r="A6" t="s">
        <v>555</v>
      </c>
      <c r="B6">
        <v>15000</v>
      </c>
      <c r="E6" t="s">
        <v>555</v>
      </c>
      <c r="F6">
        <v>15000</v>
      </c>
    </row>
    <row r="7" spans="1:6">
      <c r="A7" t="s">
        <v>556</v>
      </c>
      <c r="B7">
        <v>2991.5217471892306</v>
      </c>
      <c r="E7" t="s">
        <v>556</v>
      </c>
      <c r="F7">
        <v>2991.5217471892306</v>
      </c>
    </row>
    <row r="8" spans="1:6">
      <c r="A8" t="s">
        <v>557</v>
      </c>
      <c r="B8">
        <v>8949202.3639061078</v>
      </c>
      <c r="E8" t="s">
        <v>557</v>
      </c>
      <c r="F8">
        <v>8949202.3639061078</v>
      </c>
    </row>
    <row r="9" spans="1:6">
      <c r="A9" t="s">
        <v>558</v>
      </c>
      <c r="B9">
        <v>-0.22556959091783968</v>
      </c>
      <c r="E9" t="s">
        <v>558</v>
      </c>
      <c r="F9">
        <v>-0.22556959091783968</v>
      </c>
    </row>
    <row r="10" spans="1:6">
      <c r="A10" t="s">
        <v>559</v>
      </c>
      <c r="B10">
        <v>0.30839021426036056</v>
      </c>
      <c r="E10" t="s">
        <v>559</v>
      </c>
      <c r="F10">
        <v>0.30839021426036056</v>
      </c>
    </row>
    <row r="11" spans="1:6">
      <c r="A11" t="s">
        <v>560</v>
      </c>
      <c r="B11">
        <v>14520</v>
      </c>
      <c r="E11" t="s">
        <v>560</v>
      </c>
      <c r="F11">
        <v>14520</v>
      </c>
    </row>
    <row r="12" spans="1:6">
      <c r="A12" t="s">
        <v>561</v>
      </c>
      <c r="B12">
        <v>5300</v>
      </c>
      <c r="E12" t="s">
        <v>561</v>
      </c>
      <c r="F12">
        <v>5300</v>
      </c>
    </row>
    <row r="13" spans="1:6">
      <c r="A13" t="s">
        <v>562</v>
      </c>
      <c r="B13">
        <v>19820</v>
      </c>
      <c r="E13" t="s">
        <v>562</v>
      </c>
      <c r="F13">
        <v>19820</v>
      </c>
    </row>
    <row r="14" spans="1:6">
      <c r="A14" t="s">
        <v>563</v>
      </c>
      <c r="B14">
        <v>15594270</v>
      </c>
      <c r="E14" t="s">
        <v>563</v>
      </c>
      <c r="F14">
        <v>15594270</v>
      </c>
    </row>
    <row r="15" spans="1:6" ht="16.5" thickBot="1">
      <c r="A15" s="80" t="s">
        <v>68</v>
      </c>
      <c r="B15" s="80">
        <v>1238</v>
      </c>
      <c r="E15" s="80" t="s">
        <v>68</v>
      </c>
      <c r="F15" s="80">
        <v>1238</v>
      </c>
    </row>
    <row r="17" spans="1:7" ht="16.5" thickBot="1"/>
    <row r="18" spans="1:7">
      <c r="A18" s="81" t="s">
        <v>566</v>
      </c>
      <c r="B18" s="81" t="s">
        <v>568</v>
      </c>
      <c r="C18" s="81" t="s">
        <v>569</v>
      </c>
      <c r="E18" s="81" t="s">
        <v>566</v>
      </c>
      <c r="F18" s="81" t="s">
        <v>568</v>
      </c>
      <c r="G18" s="81" t="s">
        <v>569</v>
      </c>
    </row>
    <row r="19" spans="1:7">
      <c r="A19">
        <v>5300</v>
      </c>
      <c r="B19">
        <v>1</v>
      </c>
      <c r="C19" s="3">
        <v>8.0775444264943462E-4</v>
      </c>
      <c r="E19">
        <v>5300</v>
      </c>
      <c r="F19">
        <v>1</v>
      </c>
      <c r="G19" s="3">
        <v>4.1322314049586778E-3</v>
      </c>
    </row>
    <row r="20" spans="1:7">
      <c r="A20">
        <v>5714.8571428571431</v>
      </c>
      <c r="B20">
        <v>11</v>
      </c>
      <c r="C20" s="3">
        <v>9.6930533117932146E-3</v>
      </c>
      <c r="E20">
        <v>5736</v>
      </c>
      <c r="F20">
        <v>11</v>
      </c>
      <c r="G20" s="3">
        <v>4.9586776859504134E-2</v>
      </c>
    </row>
    <row r="21" spans="1:7">
      <c r="A21">
        <v>6129.7142857142853</v>
      </c>
      <c r="B21">
        <v>8</v>
      </c>
      <c r="C21" s="3">
        <v>1.6155088852988692E-2</v>
      </c>
      <c r="E21">
        <v>6172</v>
      </c>
      <c r="F21">
        <v>8</v>
      </c>
      <c r="G21" s="3">
        <v>8.2644628099173556E-2</v>
      </c>
    </row>
    <row r="22" spans="1:7">
      <c r="A22">
        <v>6544.5714285714284</v>
      </c>
      <c r="B22">
        <v>8</v>
      </c>
      <c r="C22" s="3">
        <v>2.2617124394184167E-2</v>
      </c>
      <c r="E22">
        <v>6608</v>
      </c>
      <c r="F22">
        <v>8</v>
      </c>
      <c r="G22" s="3">
        <v>0.11570247933884298</v>
      </c>
    </row>
    <row r="23" spans="1:7">
      <c r="A23">
        <v>6959.4285714285716</v>
      </c>
      <c r="B23">
        <v>4</v>
      </c>
      <c r="C23" s="3">
        <v>2.5848142164781908E-2</v>
      </c>
      <c r="E23">
        <v>7044</v>
      </c>
      <c r="F23">
        <v>4</v>
      </c>
      <c r="G23" s="3">
        <v>0.13223140495867769</v>
      </c>
    </row>
    <row r="24" spans="1:7">
      <c r="A24">
        <v>7374.2857142857138</v>
      </c>
      <c r="B24">
        <v>9</v>
      </c>
      <c r="C24" s="3">
        <v>3.3117932148626815E-2</v>
      </c>
      <c r="E24">
        <v>7480</v>
      </c>
      <c r="F24">
        <v>11</v>
      </c>
      <c r="G24" s="3">
        <v>0.17768595041322313</v>
      </c>
    </row>
    <row r="25" spans="1:7">
      <c r="A25">
        <v>7789.1428571428569</v>
      </c>
      <c r="B25">
        <v>8</v>
      </c>
      <c r="C25" s="3">
        <v>3.9579967689822297E-2</v>
      </c>
      <c r="E25">
        <v>7916</v>
      </c>
      <c r="F25">
        <v>8</v>
      </c>
      <c r="G25" s="3">
        <v>0.21074380165289255</v>
      </c>
    </row>
    <row r="26" spans="1:7">
      <c r="A26">
        <v>8204</v>
      </c>
      <c r="B26">
        <v>15</v>
      </c>
      <c r="C26" s="3">
        <v>5.1696284329563816E-2</v>
      </c>
      <c r="E26">
        <v>8352</v>
      </c>
      <c r="F26">
        <v>22</v>
      </c>
      <c r="G26" s="3">
        <v>0.30165289256198347</v>
      </c>
    </row>
    <row r="27" spans="1:7">
      <c r="A27">
        <v>8618.8571428571431</v>
      </c>
      <c r="B27">
        <v>22</v>
      </c>
      <c r="C27" s="3">
        <v>6.9466882067851371E-2</v>
      </c>
      <c r="E27">
        <v>8788</v>
      </c>
      <c r="F27">
        <v>26</v>
      </c>
      <c r="G27" s="3">
        <v>0.40909090909090912</v>
      </c>
    </row>
    <row r="28" spans="1:7">
      <c r="A28">
        <v>9033.7142857142862</v>
      </c>
      <c r="B28">
        <v>33</v>
      </c>
      <c r="C28" s="3">
        <v>9.6122778675282711E-2</v>
      </c>
      <c r="E28">
        <v>9224</v>
      </c>
      <c r="F28">
        <v>21</v>
      </c>
      <c r="G28" s="3">
        <v>0.49586776859504134</v>
      </c>
    </row>
    <row r="29" spans="1:7">
      <c r="A29">
        <v>9448.5714285714275</v>
      </c>
      <c r="B29">
        <v>36</v>
      </c>
      <c r="C29" s="3">
        <v>0.12520193861066237</v>
      </c>
      <c r="E29">
        <v>9660</v>
      </c>
      <c r="F29">
        <v>21</v>
      </c>
      <c r="G29" s="3">
        <v>0.5826446280991735</v>
      </c>
    </row>
    <row r="30" spans="1:7">
      <c r="A30">
        <v>9863.4285714285725</v>
      </c>
      <c r="B30">
        <v>33</v>
      </c>
      <c r="C30" s="3">
        <v>0.15185783521809371</v>
      </c>
      <c r="E30">
        <v>10096</v>
      </c>
      <c r="F30">
        <v>10</v>
      </c>
      <c r="G30" s="3">
        <v>0.62396694214876036</v>
      </c>
    </row>
    <row r="31" spans="1:7">
      <c r="A31">
        <v>10278.285714285714</v>
      </c>
      <c r="B31">
        <v>37</v>
      </c>
      <c r="C31" s="3">
        <v>0.18174474959612277</v>
      </c>
      <c r="E31">
        <v>10532</v>
      </c>
      <c r="F31">
        <v>6</v>
      </c>
      <c r="G31" s="3">
        <v>0.64876033057851235</v>
      </c>
    </row>
    <row r="32" spans="1:7">
      <c r="A32">
        <v>10693.142857142857</v>
      </c>
      <c r="B32">
        <v>53</v>
      </c>
      <c r="C32" s="3">
        <v>0.2245557350565428</v>
      </c>
      <c r="E32">
        <v>10968</v>
      </c>
      <c r="F32">
        <v>41</v>
      </c>
      <c r="G32" s="3">
        <v>0.81818181818181823</v>
      </c>
    </row>
    <row r="33" spans="1:7">
      <c r="A33">
        <v>11108</v>
      </c>
      <c r="B33">
        <v>134</v>
      </c>
      <c r="C33" s="3">
        <v>0.33279483037156704</v>
      </c>
      <c r="E33">
        <v>11404</v>
      </c>
      <c r="F33">
        <v>29</v>
      </c>
      <c r="G33" s="3">
        <v>0.93801652892561982</v>
      </c>
    </row>
    <row r="34" spans="1:7" ht="16.5" thickBot="1">
      <c r="A34">
        <v>11522.857142857141</v>
      </c>
      <c r="B34">
        <v>91</v>
      </c>
      <c r="C34" s="3">
        <v>0.40630048465266561</v>
      </c>
      <c r="E34" s="80" t="s">
        <v>567</v>
      </c>
      <c r="F34" s="80">
        <v>15</v>
      </c>
      <c r="G34" s="83">
        <v>1</v>
      </c>
    </row>
    <row r="35" spans="1:7">
      <c r="A35">
        <v>11937.714285714286</v>
      </c>
      <c r="B35">
        <v>117</v>
      </c>
      <c r="C35" s="3">
        <v>0.50080775444264947</v>
      </c>
    </row>
    <row r="36" spans="1:7">
      <c r="A36">
        <v>12352.571428571428</v>
      </c>
      <c r="B36">
        <v>37</v>
      </c>
      <c r="C36" s="3">
        <v>0.53069466882067851</v>
      </c>
    </row>
    <row r="37" spans="1:7">
      <c r="A37">
        <v>12767.428571428571</v>
      </c>
      <c r="B37">
        <v>74</v>
      </c>
      <c r="C37" s="3">
        <v>0.5904684975767367</v>
      </c>
    </row>
    <row r="38" spans="1:7">
      <c r="A38">
        <v>13182.285714285714</v>
      </c>
      <c r="B38">
        <v>66</v>
      </c>
      <c r="C38" s="3">
        <v>0.64378029079159937</v>
      </c>
    </row>
    <row r="39" spans="1:7">
      <c r="A39">
        <v>13597.142857142857</v>
      </c>
      <c r="B39">
        <v>46</v>
      </c>
      <c r="C39" s="3">
        <v>0.68093699515347339</v>
      </c>
    </row>
    <row r="40" spans="1:7">
      <c r="A40">
        <v>14012</v>
      </c>
      <c r="B40">
        <v>45</v>
      </c>
      <c r="C40" s="3">
        <v>0.71728594507269794</v>
      </c>
    </row>
    <row r="41" spans="1:7">
      <c r="A41">
        <v>14426.857142857143</v>
      </c>
      <c r="B41">
        <v>21</v>
      </c>
      <c r="C41" s="3">
        <v>0.73424878836833607</v>
      </c>
    </row>
    <row r="42" spans="1:7">
      <c r="A42">
        <v>14841.714285714284</v>
      </c>
      <c r="B42">
        <v>46</v>
      </c>
      <c r="C42" s="3">
        <v>0.77140549273020997</v>
      </c>
    </row>
    <row r="43" spans="1:7">
      <c r="A43">
        <v>15256.571428571428</v>
      </c>
      <c r="B43">
        <v>53</v>
      </c>
      <c r="C43" s="3">
        <v>0.81421647819063003</v>
      </c>
    </row>
    <row r="44" spans="1:7">
      <c r="A44">
        <v>15671.428571428571</v>
      </c>
      <c r="B44">
        <v>21</v>
      </c>
      <c r="C44" s="3">
        <v>0.83117932148626816</v>
      </c>
    </row>
    <row r="45" spans="1:7">
      <c r="A45">
        <v>16086.285714285714</v>
      </c>
      <c r="B45">
        <v>29</v>
      </c>
      <c r="C45" s="3">
        <v>0.8546042003231018</v>
      </c>
    </row>
    <row r="46" spans="1:7">
      <c r="A46">
        <v>16501.142857142855</v>
      </c>
      <c r="B46">
        <v>23</v>
      </c>
      <c r="C46" s="3">
        <v>0.87318255250403876</v>
      </c>
    </row>
    <row r="47" spans="1:7">
      <c r="A47">
        <v>16916</v>
      </c>
      <c r="B47">
        <v>9</v>
      </c>
      <c r="C47" s="3">
        <v>0.88045234248788373</v>
      </c>
    </row>
    <row r="48" spans="1:7">
      <c r="A48">
        <v>17330.857142857141</v>
      </c>
      <c r="B48">
        <v>19</v>
      </c>
      <c r="C48" s="3">
        <v>0.89579967689822293</v>
      </c>
    </row>
    <row r="49" spans="1:3">
      <c r="A49">
        <v>17745.714285714283</v>
      </c>
      <c r="B49">
        <v>20</v>
      </c>
      <c r="C49" s="3">
        <v>0.91195476575121159</v>
      </c>
    </row>
    <row r="50" spans="1:3">
      <c r="A50">
        <v>18160.571428571428</v>
      </c>
      <c r="B50">
        <v>45</v>
      </c>
      <c r="C50" s="3">
        <v>0.94830371567043614</v>
      </c>
    </row>
    <row r="51" spans="1:3">
      <c r="A51">
        <v>18575.428571428572</v>
      </c>
      <c r="B51">
        <v>16</v>
      </c>
      <c r="C51" s="3">
        <v>0.96122778675282716</v>
      </c>
    </row>
    <row r="52" spans="1:3">
      <c r="A52">
        <v>18990.285714285714</v>
      </c>
      <c r="B52">
        <v>29</v>
      </c>
      <c r="C52" s="3">
        <v>0.98465266558966069</v>
      </c>
    </row>
    <row r="53" spans="1:3">
      <c r="A53">
        <v>19405.142857142855</v>
      </c>
      <c r="B53">
        <v>17</v>
      </c>
      <c r="C53" s="3">
        <v>0.99838449111470118</v>
      </c>
    </row>
    <row r="54" spans="1:3" ht="16.5" thickBot="1">
      <c r="A54" s="80" t="s">
        <v>567</v>
      </c>
      <c r="B54" s="80">
        <v>2</v>
      </c>
      <c r="C54" s="83">
        <v>1</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2:F22"/>
  <sheetViews>
    <sheetView topLeftCell="A3" workbookViewId="0">
      <selection activeCell="B9" sqref="B9"/>
    </sheetView>
  </sheetViews>
  <sheetFormatPr baseColWidth="10" defaultColWidth="11" defaultRowHeight="15.75"/>
  <cols>
    <col min="1" max="1" width="56.875" customWidth="1"/>
    <col min="2" max="2" width="16" customWidth="1"/>
    <col min="3" max="3" width="12.125" bestFit="1" customWidth="1"/>
    <col min="4" max="4" width="12.875" bestFit="1" customWidth="1"/>
    <col min="5" max="5" width="14.875" bestFit="1" customWidth="1"/>
    <col min="6" max="6" width="12.875" bestFit="1" customWidth="1"/>
  </cols>
  <sheetData>
    <row r="2" spans="1:6">
      <c r="A2" t="s">
        <v>54</v>
      </c>
      <c r="B2" t="s">
        <v>63</v>
      </c>
      <c r="C2" t="s">
        <v>62</v>
      </c>
      <c r="D2" t="s">
        <v>61</v>
      </c>
      <c r="E2" t="s">
        <v>60</v>
      </c>
      <c r="F2" t="s">
        <v>695</v>
      </c>
    </row>
    <row r="3" spans="1:6" ht="18">
      <c r="A3" t="s">
        <v>44</v>
      </c>
      <c r="B3" s="6">
        <v>7910</v>
      </c>
      <c r="C3" s="6">
        <v>7315</v>
      </c>
      <c r="D3" s="6">
        <v>7525</v>
      </c>
      <c r="E3" s="6">
        <v>7133</v>
      </c>
      <c r="F3" s="6">
        <v>6649</v>
      </c>
    </row>
    <row r="4" spans="1:6" ht="18">
      <c r="A4" t="s">
        <v>156</v>
      </c>
      <c r="B4" s="6">
        <v>7074</v>
      </c>
      <c r="C4" s="6">
        <v>6636</v>
      </c>
      <c r="D4" s="6">
        <v>6569</v>
      </c>
      <c r="E4" s="6">
        <v>6241</v>
      </c>
      <c r="F4" s="6">
        <v>5855</v>
      </c>
    </row>
    <row r="5" spans="1:6" ht="18">
      <c r="A5" t="s">
        <v>45</v>
      </c>
      <c r="B5" s="6">
        <v>3497</v>
      </c>
      <c r="C5" s="6">
        <v>3395</v>
      </c>
      <c r="D5" s="6">
        <v>3079</v>
      </c>
      <c r="E5" s="6">
        <v>2908</v>
      </c>
      <c r="F5" s="6">
        <v>2604</v>
      </c>
    </row>
    <row r="6" spans="1:6" ht="18">
      <c r="A6" t="s">
        <v>46</v>
      </c>
      <c r="B6" s="6">
        <v>8671</v>
      </c>
      <c r="C6" s="6">
        <v>8447</v>
      </c>
      <c r="D6" s="6">
        <v>7264</v>
      </c>
      <c r="E6" s="6">
        <v>6985</v>
      </c>
      <c r="F6" s="6">
        <v>6265</v>
      </c>
    </row>
    <row r="7" spans="1:6" ht="18">
      <c r="A7" t="s">
        <v>47</v>
      </c>
      <c r="B7" s="42">
        <f>+'ER Proyectado'!D3/1000</f>
        <v>1724.71</v>
      </c>
      <c r="C7" s="42">
        <f>+'ER Proyectado'!E3/1000</f>
        <v>1427.058</v>
      </c>
      <c r="D7" s="42">
        <f>+'ER Proyectado'!F3/1000</f>
        <v>1315.326</v>
      </c>
      <c r="E7" s="42">
        <f>+'ER Proyectado'!G3/1000</f>
        <v>1206.453</v>
      </c>
      <c r="F7" s="42">
        <f>+'ER Proyectado'!H3/1000</f>
        <v>1108.329</v>
      </c>
    </row>
    <row r="8" spans="1:6" ht="18">
      <c r="A8" t="s">
        <v>48</v>
      </c>
      <c r="B8" s="42">
        <f>+'ER Proyectado'!D5/1000</f>
        <v>855.322</v>
      </c>
      <c r="C8" s="42">
        <f>+'ER Proyectado'!E5/1000</f>
        <v>677.41200000000003</v>
      </c>
      <c r="D8" s="42">
        <f>+'ER Proyectado'!F5/1000</f>
        <v>638.46600000000001</v>
      </c>
      <c r="E8" s="42">
        <f>+'ER Proyectado'!G5/1000</f>
        <v>536.26499999999999</v>
      </c>
      <c r="F8" s="42">
        <f>+'ER Proyectado'!H5/1000</f>
        <v>458.65899999999999</v>
      </c>
    </row>
    <row r="9" spans="1:6" ht="18">
      <c r="A9" s="45" t="s">
        <v>958</v>
      </c>
      <c r="B9" s="5">
        <f>+'ER Proyectado'!O5</f>
        <v>0.49592221300972339</v>
      </c>
      <c r="C9" s="5">
        <f>+'ER Proyectado'!P5</f>
        <v>0.47469128795045473</v>
      </c>
      <c r="D9" s="5">
        <f>+'ER Proyectado'!Q5</f>
        <v>0.48540513910619876</v>
      </c>
      <c r="E9" s="5">
        <f>+'ER Proyectado'!R5</f>
        <v>0.44449721621977817</v>
      </c>
      <c r="F9" s="5">
        <f>+'ER Proyectado'!S5</f>
        <v>0.41382928715210016</v>
      </c>
    </row>
    <row r="10" spans="1:6" ht="18">
      <c r="A10" t="s">
        <v>959</v>
      </c>
      <c r="B10" s="42">
        <f>+'ER Proyectado'!D9/1000</f>
        <v>481.13099999999997</v>
      </c>
      <c r="C10" s="42">
        <f>+'ER Proyectado'!E9/1000</f>
        <v>364.81799999999998</v>
      </c>
      <c r="D10" s="42">
        <f>+'ER Proyectado'!F9/1000</f>
        <v>342.46600000000001</v>
      </c>
      <c r="E10" s="42">
        <f>+'ER Proyectado'!G9/1000</f>
        <v>238.72200000000001</v>
      </c>
      <c r="F10" s="42">
        <f>+'ER Proyectado'!H9/1000</f>
        <v>167.81100000000001</v>
      </c>
    </row>
    <row r="11" spans="1:6" ht="18">
      <c r="A11" s="45" t="s">
        <v>960</v>
      </c>
      <c r="B11" s="348">
        <f>+'ER Proyectado'!O9</f>
        <v>0.27896341993726481</v>
      </c>
      <c r="C11" s="348">
        <f>+'ER Proyectado'!P9</f>
        <v>0.25564342864831002</v>
      </c>
      <c r="D11" s="348">
        <f>+'ER Proyectado'!Q9</f>
        <v>0.26036587127449773</v>
      </c>
      <c r="E11" s="348">
        <f>+'ER Proyectado'!R9</f>
        <v>0.19787094897190358</v>
      </c>
      <c r="F11" s="348">
        <f>+'ER Proyectado'!S9</f>
        <v>0.15140901302772011</v>
      </c>
    </row>
    <row r="12" spans="1:6" ht="18">
      <c r="A12" t="s">
        <v>154</v>
      </c>
      <c r="B12" s="42">
        <f>+'ER Proyectado'!D23/1000</f>
        <v>273.39800000000002</v>
      </c>
      <c r="C12" s="42">
        <f>+'ER Proyectado'!E23/1000</f>
        <v>95.491</v>
      </c>
      <c r="D12" s="42">
        <f>+'ER Proyectado'!F23/1000</f>
        <v>139.76900000000001</v>
      </c>
      <c r="E12" s="42">
        <f>+'ER Proyectado'!G23/1000</f>
        <v>46.094999999999999</v>
      </c>
      <c r="F12" s="42">
        <f>+'ER Proyectado'!H23/1000</f>
        <v>62.756</v>
      </c>
    </row>
    <row r="13" spans="1:6" ht="18">
      <c r="A13" t="s">
        <v>152</v>
      </c>
      <c r="B13" s="42">
        <f>+'ER Proyectado'!D14/1000</f>
        <v>576.94000000000005</v>
      </c>
      <c r="C13" s="42">
        <f>+'ER Proyectado'!E14/1000</f>
        <v>449.77199999999999</v>
      </c>
      <c r="D13" s="42">
        <f>+'ER Proyectado'!F14/1000</f>
        <v>423.65</v>
      </c>
      <c r="E13" s="42">
        <f>+'ER Proyectado'!G14/1000</f>
        <v>314.108</v>
      </c>
      <c r="F13" s="42">
        <f>+'ER Proyectado'!H14/1000</f>
        <v>242.50700000000001</v>
      </c>
    </row>
    <row r="14" spans="1:6" ht="18">
      <c r="A14" t="s">
        <v>96</v>
      </c>
      <c r="B14" s="349">
        <f t="shared" ref="B14:D14" si="0">+B13/B7</f>
        <v>0.33451420818572403</v>
      </c>
      <c r="C14" s="349">
        <f t="shared" si="0"/>
        <v>0.31517429564881033</v>
      </c>
      <c r="D14" s="349">
        <f t="shared" si="0"/>
        <v>0.32208745208412209</v>
      </c>
      <c r="E14" s="349">
        <f>+E13/E7</f>
        <v>0.26035659905524711</v>
      </c>
      <c r="F14" s="349">
        <f>+F13/F7</f>
        <v>0.21880416374560263</v>
      </c>
    </row>
    <row r="15" spans="1:6" ht="18">
      <c r="A15" t="s">
        <v>845</v>
      </c>
      <c r="B15" s="42">
        <f>+FCL!C11/1000</f>
        <v>284.29700000000003</v>
      </c>
      <c r="C15" s="42">
        <f>+FCL!D11/1000</f>
        <v>207.286</v>
      </c>
      <c r="D15" s="42">
        <f>+FCL!E11/1000</f>
        <v>147.04300000000001</v>
      </c>
      <c r="E15" s="42">
        <f>+FCL!F11/1000</f>
        <v>157.18</v>
      </c>
      <c r="F15" s="42">
        <f>+FCL!H11/1000</f>
        <v>139.42500000000001</v>
      </c>
    </row>
    <row r="16" spans="1:6" ht="18">
      <c r="A16" t="s">
        <v>49</v>
      </c>
      <c r="B16" s="42">
        <f>(+'BG Proyectado'!E23+'BG Proyectado'!E25+'BG Proyectado'!E30+'BG Proyectado'!E31-'BG Proyectado'!E6)/1000</f>
        <v>1167.1659999999999</v>
      </c>
      <c r="C16" s="42">
        <f>(+'BG Proyectado'!F23+'BG Proyectado'!F25+'BG Proyectado'!F30+'BG Proyectado'!F31-'BG Proyectado'!F6)/1000</f>
        <v>1053.3779999999999</v>
      </c>
      <c r="D16" s="42">
        <f>(+'BG Proyectado'!G23+'BG Proyectado'!G25+'BG Proyectado'!G30+'BG Proyectado'!G31-'BG Proyectado'!G6)/1000</f>
        <v>971.02</v>
      </c>
      <c r="E16" s="42">
        <f>(+'BG Proyectado'!H23+'BG Proyectado'!H25+'BG Proyectado'!H30+'BG Proyectado'!H31-'BG Proyectado'!H6)/1000</f>
        <v>915.18700000000001</v>
      </c>
      <c r="F16" s="42">
        <f>(+'BG Proyectado'!I23+'BG Proyectado'!I25+'BG Proyectado'!I30+'BG Proyectado'!I31-'BG Proyectado'!I6)/1000</f>
        <v>847.98099999999999</v>
      </c>
    </row>
    <row r="17" spans="1:6" ht="18">
      <c r="A17" t="s">
        <v>50</v>
      </c>
      <c r="B17" s="42">
        <f>(+'BG Proyectado'!E23+'BG Proyectado'!E25+'BG Proyectado'!E30+'BG Proyectado'!E31)/1000</f>
        <v>1218.9380000000001</v>
      </c>
      <c r="C17" s="42">
        <f>(+'BG Proyectado'!F23+'BG Proyectado'!F25+'BG Proyectado'!F30+'BG Proyectado'!F31)/1000</f>
        <v>1107.0129999999999</v>
      </c>
      <c r="D17" s="42">
        <f>(+'BG Proyectado'!G23+'BG Proyectado'!G25+'BG Proyectado'!G30+'BG Proyectado'!G31)/1000</f>
        <v>1015.927</v>
      </c>
      <c r="E17" s="42">
        <f>(+'BG Proyectado'!H23+'BG Proyectado'!H25+'BG Proyectado'!H30+'BG Proyectado'!H31)/1000</f>
        <v>960.34100000000001</v>
      </c>
      <c r="F17" s="42">
        <f>(+'BG Proyectado'!I23+'BG Proyectado'!I25+'BG Proyectado'!I30+'BG Proyectado'!I31)/1000</f>
        <v>885.10699999999997</v>
      </c>
    </row>
    <row r="18" spans="1:6">
      <c r="A18" t="s">
        <v>153</v>
      </c>
      <c r="B18" s="43">
        <f>+'ER Proyectado'!D25</f>
        <v>0.49160484366871388</v>
      </c>
      <c r="C18" s="43">
        <f>+'ER Proyectado'!E25</f>
        <v>0.17163025117914985</v>
      </c>
      <c r="D18" s="43">
        <f>+'ER Proyectado'!F25</f>
        <v>0.25109057436085469</v>
      </c>
      <c r="E18" s="43">
        <f>+'ER Proyectado'!G25</f>
        <v>8.2782480087244162E-2</v>
      </c>
      <c r="F18" s="43">
        <f>+'ER Proyectado'!H25</f>
        <v>0.11265183969011346</v>
      </c>
    </row>
    <row r="19" spans="1:6">
      <c r="A19" t="s">
        <v>155</v>
      </c>
      <c r="B19" s="4">
        <f>+'ER Proyectado'!D24</f>
        <v>556133658</v>
      </c>
      <c r="C19" s="4">
        <f>+'ER Proyectado'!E24</f>
        <v>556376276</v>
      </c>
      <c r="D19" s="4">
        <f>+'ER Proyectado'!F24</f>
        <v>556647737</v>
      </c>
      <c r="E19" s="4">
        <f>+'ER Proyectado'!G24</f>
        <v>556820718</v>
      </c>
      <c r="F19" s="4">
        <f>+'ER Proyectado'!H24</f>
        <v>557079229</v>
      </c>
    </row>
    <row r="20" spans="1:6">
      <c r="A20" t="s">
        <v>51</v>
      </c>
      <c r="B20" s="4">
        <v>4915</v>
      </c>
      <c r="C20" s="4">
        <v>4813</v>
      </c>
      <c r="D20" s="4">
        <v>4707</v>
      </c>
      <c r="E20" s="4">
        <v>4297</v>
      </c>
      <c r="F20" s="4">
        <v>4067</v>
      </c>
    </row>
    <row r="22" spans="1:6">
      <c r="B22" s="49"/>
      <c r="C22" s="49"/>
      <c r="D22" s="49"/>
      <c r="E22" s="49"/>
      <c r="F22" s="49"/>
    </row>
  </sheetData>
  <pageMargins left="0.7" right="0.7" top="0.75" bottom="0.75" header="0.3" footer="0.3"/>
  <legacyDrawing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2:I21"/>
  <sheetViews>
    <sheetView showGridLines="0" workbookViewId="0">
      <selection activeCell="A15" sqref="A15"/>
    </sheetView>
  </sheetViews>
  <sheetFormatPr baseColWidth="10" defaultColWidth="11" defaultRowHeight="15.75"/>
  <cols>
    <col min="1" max="1" width="14" customWidth="1"/>
    <col min="2" max="2" width="17.75" customWidth="1"/>
    <col min="4" max="4" width="11.125" bestFit="1" customWidth="1"/>
  </cols>
  <sheetData>
    <row r="2" spans="1:9" ht="36">
      <c r="A2" s="363" t="s">
        <v>994</v>
      </c>
      <c r="B2" s="363"/>
      <c r="C2" s="361"/>
      <c r="D2" s="361"/>
      <c r="E2" s="361"/>
      <c r="F2" s="361"/>
      <c r="G2" s="361"/>
      <c r="H2" s="361"/>
      <c r="I2" s="361"/>
    </row>
    <row r="3" spans="1:9" ht="36">
      <c r="A3" s="684" t="s">
        <v>885</v>
      </c>
      <c r="B3" s="684"/>
      <c r="C3" s="361"/>
      <c r="D3" s="361"/>
    </row>
    <row r="4" spans="1:9" ht="18.75">
      <c r="A4" s="364" t="s">
        <v>995</v>
      </c>
      <c r="B4" s="364" t="s">
        <v>996</v>
      </c>
    </row>
    <row r="5" spans="1:9" ht="16.5" thickBot="1">
      <c r="A5" s="365">
        <v>2013</v>
      </c>
      <c r="B5" s="366">
        <v>11251933</v>
      </c>
    </row>
    <row r="6" spans="1:9" ht="16.5" thickBot="1">
      <c r="A6" s="367">
        <v>2014</v>
      </c>
      <c r="B6" s="368">
        <v>12402371.172668064</v>
      </c>
    </row>
    <row r="7" spans="1:9" ht="16.5" thickBot="1">
      <c r="A7" s="367">
        <v>2015</v>
      </c>
      <c r="B7" s="368">
        <v>13046716.954787362</v>
      </c>
    </row>
    <row r="8" spans="1:9" ht="16.5" thickBot="1">
      <c r="A8" s="367">
        <v>2016</v>
      </c>
      <c r="B8" s="368">
        <v>12495402.033103116</v>
      </c>
    </row>
    <row r="9" spans="1:9" ht="16.5" thickBot="1">
      <c r="A9" s="367">
        <v>2017</v>
      </c>
      <c r="B9" s="368">
        <v>12298842.963330001</v>
      </c>
    </row>
    <row r="10" spans="1:9" ht="16.5" thickBot="1">
      <c r="A10" s="367">
        <v>2018</v>
      </c>
      <c r="B10" s="368">
        <v>12452242.242273821</v>
      </c>
    </row>
    <row r="13" spans="1:9" ht="26.25">
      <c r="A13" s="363" t="s">
        <v>994</v>
      </c>
    </row>
    <row r="14" spans="1:9" ht="26.25">
      <c r="A14" s="684" t="s">
        <v>997</v>
      </c>
      <c r="B14" s="684"/>
    </row>
    <row r="15" spans="1:9" ht="18.75">
      <c r="A15" s="364" t="s">
        <v>995</v>
      </c>
      <c r="B15" s="364" t="s">
        <v>700</v>
      </c>
      <c r="C15" s="364" t="s">
        <v>1243</v>
      </c>
    </row>
    <row r="16" spans="1:9" ht="16.5" thickBot="1">
      <c r="A16" s="365">
        <v>2013</v>
      </c>
      <c r="B16" s="366">
        <v>7423590.7590000005</v>
      </c>
      <c r="C16" s="413" t="s">
        <v>1242</v>
      </c>
    </row>
    <row r="17" spans="1:3" ht="16.5" thickBot="1">
      <c r="A17" s="367">
        <v>2014</v>
      </c>
      <c r="B17" s="368">
        <v>7990386.6856563138</v>
      </c>
      <c r="C17" s="414">
        <v>7.5999999999999998E-2</v>
      </c>
    </row>
    <row r="18" spans="1:3" ht="16.5" thickBot="1">
      <c r="A18" s="367">
        <v>2015</v>
      </c>
      <c r="B18" s="368">
        <v>8503698.9100028165</v>
      </c>
      <c r="C18" s="414">
        <v>6.4000000000000001E-2</v>
      </c>
    </row>
    <row r="19" spans="1:3" ht="16.5" thickBot="1">
      <c r="A19" s="367">
        <v>2016</v>
      </c>
      <c r="B19" s="368">
        <v>7759735.3029999994</v>
      </c>
      <c r="C19" s="414">
        <v>-8.6999999999999994E-2</v>
      </c>
    </row>
    <row r="20" spans="1:3" ht="16.5" thickBot="1">
      <c r="A20" s="367">
        <v>2017</v>
      </c>
      <c r="B20" s="368">
        <v>6936150.6460000006</v>
      </c>
      <c r="C20" s="414">
        <v>-0.106</v>
      </c>
    </row>
    <row r="21" spans="1:3" ht="16.5" thickBot="1">
      <c r="A21" s="367">
        <v>2018</v>
      </c>
      <c r="B21" s="368">
        <v>6666913.381000001</v>
      </c>
      <c r="C21" s="414">
        <v>-3.9E-2</v>
      </c>
    </row>
  </sheetData>
  <mergeCells count="2">
    <mergeCell ref="A3:B3"/>
    <mergeCell ref="A14:B14"/>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G103"/>
  <sheetViews>
    <sheetView showGridLines="0" topLeftCell="B7" workbookViewId="0">
      <selection activeCell="B20" sqref="B20"/>
    </sheetView>
  </sheetViews>
  <sheetFormatPr baseColWidth="10" defaultColWidth="11" defaultRowHeight="15.75"/>
  <cols>
    <col min="2" max="2" width="58.5" style="242" customWidth="1"/>
    <col min="3" max="3" width="14.25" bestFit="1" customWidth="1"/>
    <col min="4" max="4" width="14.375" customWidth="1"/>
    <col min="6" max="6" width="36" bestFit="1" customWidth="1"/>
    <col min="7" max="7" width="21.125" bestFit="1" customWidth="1"/>
  </cols>
  <sheetData>
    <row r="1" spans="1:7">
      <c r="B1"/>
    </row>
    <row r="2" spans="1:7">
      <c r="B2"/>
    </row>
    <row r="3" spans="1:7" ht="56.25">
      <c r="A3" t="s">
        <v>1282</v>
      </c>
      <c r="B3" s="364" t="s">
        <v>998</v>
      </c>
      <c r="C3" s="369" t="s">
        <v>999</v>
      </c>
      <c r="D3" s="369" t="s">
        <v>1000</v>
      </c>
      <c r="F3" s="84" t="s">
        <v>570</v>
      </c>
      <c r="G3" t="s">
        <v>1285</v>
      </c>
    </row>
    <row r="4" spans="1:7" ht="15" customHeight="1" thickBot="1">
      <c r="A4" t="str">
        <f>B4</f>
        <v>CEMEX ESPAÑA S.A.</v>
      </c>
      <c r="B4" s="370" t="s">
        <v>1001</v>
      </c>
      <c r="C4" s="371">
        <v>407890342</v>
      </c>
      <c r="D4" s="372">
        <v>0.73219999999999996</v>
      </c>
      <c r="F4" s="45" t="s">
        <v>1001</v>
      </c>
      <c r="G4" s="3">
        <v>0.73219999999999996</v>
      </c>
    </row>
    <row r="5" spans="1:7" ht="15" customHeight="1" thickBot="1">
      <c r="A5" t="s">
        <v>1283</v>
      </c>
      <c r="B5" s="373" t="s">
        <v>1002</v>
      </c>
      <c r="C5" s="374">
        <v>21064552</v>
      </c>
      <c r="D5" s="375">
        <v>3.78E-2</v>
      </c>
      <c r="F5" s="45" t="s">
        <v>1283</v>
      </c>
      <c r="G5" s="3">
        <v>0.10429999999999999</v>
      </c>
    </row>
    <row r="6" spans="1:7" ht="15" customHeight="1" thickBot="1">
      <c r="A6" t="s">
        <v>1283</v>
      </c>
      <c r="B6" s="373" t="s">
        <v>1003</v>
      </c>
      <c r="C6" s="374">
        <v>17596061</v>
      </c>
      <c r="D6" s="375">
        <v>3.1600000000000003E-2</v>
      </c>
      <c r="F6" s="45" t="s">
        <v>1284</v>
      </c>
      <c r="G6" s="3">
        <v>0.1638</v>
      </c>
    </row>
    <row r="7" spans="1:7" ht="15" customHeight="1" thickBot="1">
      <c r="A7" t="s">
        <v>1284</v>
      </c>
      <c r="B7" s="373" t="s">
        <v>1004</v>
      </c>
      <c r="C7" s="374">
        <v>13302569</v>
      </c>
      <c r="D7" s="375">
        <v>2.3900000000000001E-2</v>
      </c>
      <c r="F7" s="45" t="s">
        <v>571</v>
      </c>
      <c r="G7" s="3">
        <v>1.0003</v>
      </c>
    </row>
    <row r="8" spans="1:7" ht="15" customHeight="1" thickBot="1">
      <c r="A8" t="s">
        <v>1284</v>
      </c>
      <c r="B8" s="373" t="s">
        <v>1005</v>
      </c>
      <c r="C8" s="374">
        <v>6959475</v>
      </c>
      <c r="D8" s="375">
        <v>1.2500000000000001E-2</v>
      </c>
    </row>
    <row r="9" spans="1:7" ht="15" customHeight="1" thickBot="1">
      <c r="A9" t="s">
        <v>1284</v>
      </c>
      <c r="B9" s="373" t="s">
        <v>1006</v>
      </c>
      <c r="C9" s="374">
        <v>6059041</v>
      </c>
      <c r="D9" s="375">
        <v>1.09E-2</v>
      </c>
    </row>
    <row r="10" spans="1:7" ht="15" customHeight="1" thickBot="1">
      <c r="A10" t="s">
        <v>1283</v>
      </c>
      <c r="B10" s="373" t="s">
        <v>1007</v>
      </c>
      <c r="C10" s="374">
        <v>5900179</v>
      </c>
      <c r="D10" s="375">
        <v>1.06E-2</v>
      </c>
      <c r="F10" t="str">
        <f>F4</f>
        <v>CEMEX ESPAÑA S.A.</v>
      </c>
      <c r="G10" s="7">
        <f>G4</f>
        <v>0.73219999999999996</v>
      </c>
    </row>
    <row r="11" spans="1:7" ht="15" customHeight="1" thickBot="1">
      <c r="A11" t="s">
        <v>1284</v>
      </c>
      <c r="B11" s="373" t="s">
        <v>1008</v>
      </c>
      <c r="C11" s="374">
        <v>4330666</v>
      </c>
      <c r="D11" s="375">
        <v>7.7999999999999996E-3</v>
      </c>
      <c r="F11" t="str">
        <f t="shared" ref="F11:G11" si="0">F5</f>
        <v>Fondo Pensiones Y Cesantias Colombianas</v>
      </c>
      <c r="G11" s="7">
        <f t="shared" si="0"/>
        <v>0.10429999999999999</v>
      </c>
    </row>
    <row r="12" spans="1:7" ht="15" customHeight="1" thickBot="1">
      <c r="A12" t="s">
        <v>1283</v>
      </c>
      <c r="B12" s="373" t="s">
        <v>1009</v>
      </c>
      <c r="C12" s="374">
        <v>3766068</v>
      </c>
      <c r="D12" s="375">
        <v>6.7999999999999996E-3</v>
      </c>
      <c r="F12" t="s">
        <v>1382</v>
      </c>
      <c r="G12" s="7">
        <f t="shared" ref="G12" si="1">G6</f>
        <v>0.1638</v>
      </c>
    </row>
    <row r="13" spans="1:7" ht="15" customHeight="1" thickBot="1">
      <c r="A13" t="s">
        <v>1283</v>
      </c>
      <c r="B13" s="373" t="s">
        <v>1010</v>
      </c>
      <c r="C13" s="374">
        <v>3092647</v>
      </c>
      <c r="D13" s="375">
        <v>5.5999999999999999E-3</v>
      </c>
    </row>
    <row r="14" spans="1:7" ht="15" customHeight="1" thickBot="1">
      <c r="A14" t="s">
        <v>1284</v>
      </c>
      <c r="B14" s="373" t="s">
        <v>1011</v>
      </c>
      <c r="C14" s="374">
        <v>2714977</v>
      </c>
      <c r="D14" s="375">
        <v>4.8999999999999998E-3</v>
      </c>
    </row>
    <row r="15" spans="1:7" ht="15" customHeight="1" thickBot="1">
      <c r="A15" t="s">
        <v>1284</v>
      </c>
      <c r="B15" s="373" t="s">
        <v>1012</v>
      </c>
      <c r="C15" s="374">
        <v>2269969</v>
      </c>
      <c r="D15" s="375">
        <v>4.1000000000000003E-3</v>
      </c>
    </row>
    <row r="16" spans="1:7" ht="15" customHeight="1" thickBot="1">
      <c r="A16" t="s">
        <v>1284</v>
      </c>
      <c r="B16" s="373" t="s">
        <v>1013</v>
      </c>
      <c r="C16" s="374">
        <v>2056300</v>
      </c>
      <c r="D16" s="375">
        <v>3.7000000000000002E-3</v>
      </c>
    </row>
    <row r="17" spans="1:4" ht="15" customHeight="1" thickBot="1">
      <c r="A17" t="s">
        <v>1284</v>
      </c>
      <c r="B17" s="373" t="s">
        <v>1014</v>
      </c>
      <c r="C17" s="374">
        <v>1993598</v>
      </c>
      <c r="D17" s="375">
        <v>3.5999999999999999E-3</v>
      </c>
    </row>
    <row r="18" spans="1:4" ht="15" customHeight="1" thickBot="1">
      <c r="A18" t="s">
        <v>1284</v>
      </c>
      <c r="B18" s="373" t="s">
        <v>1015</v>
      </c>
      <c r="C18" s="374">
        <v>1901177</v>
      </c>
      <c r="D18" s="375">
        <v>3.3999999999999998E-3</v>
      </c>
    </row>
    <row r="19" spans="1:4" ht="15" customHeight="1" thickBot="1">
      <c r="A19" t="s">
        <v>1283</v>
      </c>
      <c r="B19" s="373" t="s">
        <v>1016</v>
      </c>
      <c r="C19" s="374">
        <v>1874006</v>
      </c>
      <c r="D19" s="375">
        <v>3.3999999999999998E-3</v>
      </c>
    </row>
    <row r="20" spans="1:4" ht="15" customHeight="1" thickBot="1">
      <c r="A20" t="s">
        <v>1283</v>
      </c>
      <c r="B20" s="373" t="s">
        <v>1017</v>
      </c>
      <c r="C20" s="374">
        <v>1844632</v>
      </c>
      <c r="D20" s="375">
        <v>3.3E-3</v>
      </c>
    </row>
    <row r="21" spans="1:4" ht="15" customHeight="1" thickBot="1">
      <c r="A21" t="s">
        <v>1283</v>
      </c>
      <c r="B21" s="373" t="s">
        <v>1018</v>
      </c>
      <c r="C21" s="374">
        <v>1574244</v>
      </c>
      <c r="D21" s="375">
        <v>2.8E-3</v>
      </c>
    </row>
    <row r="22" spans="1:4" ht="15" customHeight="1" thickBot="1">
      <c r="A22" t="s">
        <v>1284</v>
      </c>
      <c r="B22" s="373" t="s">
        <v>1019</v>
      </c>
      <c r="C22" s="374">
        <v>1546000</v>
      </c>
      <c r="D22" s="375">
        <v>2.8E-3</v>
      </c>
    </row>
    <row r="23" spans="1:4" ht="15" customHeight="1" thickBot="1">
      <c r="A23" t="s">
        <v>1283</v>
      </c>
      <c r="B23" s="373" t="s">
        <v>1020</v>
      </c>
      <c r="C23" s="374">
        <v>1329266</v>
      </c>
      <c r="D23" s="375">
        <v>2.3999999999999998E-3</v>
      </c>
    </row>
    <row r="24" spans="1:4" ht="15" customHeight="1" thickBot="1">
      <c r="A24" t="s">
        <v>1284</v>
      </c>
      <c r="B24" s="373" t="s">
        <v>1021</v>
      </c>
      <c r="C24" s="374">
        <v>48013460</v>
      </c>
      <c r="D24" s="375">
        <v>8.6199999999999999E-2</v>
      </c>
    </row>
    <row r="25" spans="1:4" ht="15" customHeight="1">
      <c r="B25" s="376" t="s">
        <v>1022</v>
      </c>
      <c r="C25" s="377">
        <f>SUM(C4:C24)</f>
        <v>557079229</v>
      </c>
      <c r="D25" s="378">
        <f>SUM(D4:D24)</f>
        <v>1.0003000000000002</v>
      </c>
    </row>
    <row r="26" spans="1:4">
      <c r="B26" s="379"/>
      <c r="C26" s="379"/>
      <c r="D26" s="242"/>
    </row>
    <row r="27" spans="1:4">
      <c r="B27" s="380"/>
      <c r="C27" s="50"/>
    </row>
    <row r="28" spans="1:4">
      <c r="B28" s="380"/>
      <c r="C28" s="50"/>
    </row>
    <row r="29" spans="1:4">
      <c r="B29" s="380"/>
    </row>
    <row r="30" spans="1:4">
      <c r="B30" s="380"/>
    </row>
    <row r="31" spans="1:4">
      <c r="B31" s="380"/>
    </row>
    <row r="32" spans="1:4">
      <c r="B32" s="380"/>
    </row>
    <row r="33" spans="2:2">
      <c r="B33" s="380"/>
    </row>
    <row r="34" spans="2:2">
      <c r="B34" s="380"/>
    </row>
    <row r="35" spans="2:2">
      <c r="B35" s="380"/>
    </row>
    <row r="36" spans="2:2">
      <c r="B36" s="380"/>
    </row>
    <row r="37" spans="2:2">
      <c r="B37" s="380"/>
    </row>
    <row r="38" spans="2:2">
      <c r="B38" s="380"/>
    </row>
    <row r="39" spans="2:2">
      <c r="B39" s="380"/>
    </row>
    <row r="40" spans="2:2">
      <c r="B40" s="380"/>
    </row>
    <row r="41" spans="2:2">
      <c r="B41" s="380"/>
    </row>
    <row r="42" spans="2:2">
      <c r="B42" s="380"/>
    </row>
    <row r="43" spans="2:2">
      <c r="B43" s="380"/>
    </row>
    <row r="44" spans="2:2">
      <c r="B44" s="380"/>
    </row>
    <row r="45" spans="2:2">
      <c r="B45" s="380"/>
    </row>
    <row r="46" spans="2:2">
      <c r="B46" s="380"/>
    </row>
    <row r="47" spans="2:2">
      <c r="B47" s="380"/>
    </row>
    <row r="48" spans="2:2">
      <c r="B48" s="380"/>
    </row>
    <row r="49" spans="2:2">
      <c r="B49" s="380"/>
    </row>
    <row r="50" spans="2:2">
      <c r="B50" s="380"/>
    </row>
    <row r="51" spans="2:2">
      <c r="B51" s="380"/>
    </row>
    <row r="52" spans="2:2">
      <c r="B52" s="380"/>
    </row>
    <row r="53" spans="2:2">
      <c r="B53" s="380"/>
    </row>
    <row r="54" spans="2:2">
      <c r="B54" s="380"/>
    </row>
    <row r="55" spans="2:2">
      <c r="B55" s="380"/>
    </row>
    <row r="56" spans="2:2">
      <c r="B56" s="380"/>
    </row>
    <row r="57" spans="2:2">
      <c r="B57" s="380"/>
    </row>
    <row r="58" spans="2:2">
      <c r="B58" s="380"/>
    </row>
    <row r="59" spans="2:2">
      <c r="B59" s="380"/>
    </row>
    <row r="60" spans="2:2">
      <c r="B60" s="380"/>
    </row>
    <row r="61" spans="2:2">
      <c r="B61" s="380"/>
    </row>
    <row r="62" spans="2:2">
      <c r="B62" s="380"/>
    </row>
    <row r="63" spans="2:2">
      <c r="B63" s="380"/>
    </row>
    <row r="64" spans="2:2">
      <c r="B64" s="380"/>
    </row>
    <row r="65" spans="2:2">
      <c r="B65" s="380"/>
    </row>
    <row r="66" spans="2:2">
      <c r="B66" s="380"/>
    </row>
    <row r="67" spans="2:2">
      <c r="B67" s="380"/>
    </row>
    <row r="68" spans="2:2">
      <c r="B68" s="380"/>
    </row>
    <row r="69" spans="2:2">
      <c r="B69" s="380"/>
    </row>
    <row r="70" spans="2:2">
      <c r="B70" s="380"/>
    </row>
    <row r="71" spans="2:2">
      <c r="B71" s="380"/>
    </row>
    <row r="72" spans="2:2">
      <c r="B72" s="380"/>
    </row>
    <row r="73" spans="2:2">
      <c r="B73" s="380"/>
    </row>
    <row r="74" spans="2:2">
      <c r="B74" s="380"/>
    </row>
    <row r="75" spans="2:2">
      <c r="B75" s="380"/>
    </row>
    <row r="76" spans="2:2">
      <c r="B76" s="380"/>
    </row>
    <row r="77" spans="2:2">
      <c r="B77" s="380"/>
    </row>
    <row r="78" spans="2:2">
      <c r="B78" s="380"/>
    </row>
    <row r="79" spans="2:2">
      <c r="B79" s="380"/>
    </row>
    <row r="80" spans="2:2">
      <c r="B80" s="380"/>
    </row>
    <row r="81" spans="2:2">
      <c r="B81" s="380"/>
    </row>
    <row r="82" spans="2:2">
      <c r="B82" s="380"/>
    </row>
    <row r="83" spans="2:2">
      <c r="B83" s="380"/>
    </row>
    <row r="84" spans="2:2">
      <c r="B84" s="380"/>
    </row>
    <row r="85" spans="2:2">
      <c r="B85" s="380"/>
    </row>
    <row r="86" spans="2:2">
      <c r="B86" s="380"/>
    </row>
    <row r="87" spans="2:2">
      <c r="B87" s="380"/>
    </row>
    <row r="88" spans="2:2">
      <c r="B88" s="380"/>
    </row>
    <row r="89" spans="2:2">
      <c r="B89" s="380"/>
    </row>
    <row r="90" spans="2:2">
      <c r="B90" s="380"/>
    </row>
    <row r="91" spans="2:2">
      <c r="B91" s="380"/>
    </row>
    <row r="92" spans="2:2">
      <c r="B92" s="380"/>
    </row>
    <row r="93" spans="2:2">
      <c r="B93" s="380"/>
    </row>
    <row r="94" spans="2:2">
      <c r="B94" s="380"/>
    </row>
    <row r="95" spans="2:2">
      <c r="B95" s="380"/>
    </row>
    <row r="96" spans="2:2">
      <c r="B96" s="380"/>
    </row>
    <row r="97" spans="2:2">
      <c r="B97" s="380"/>
    </row>
    <row r="98" spans="2:2">
      <c r="B98" s="380"/>
    </row>
    <row r="99" spans="2:2">
      <c r="B99" s="380"/>
    </row>
    <row r="100" spans="2:2">
      <c r="B100" s="380"/>
    </row>
    <row r="101" spans="2:2">
      <c r="B101" s="380"/>
    </row>
    <row r="102" spans="2:2">
      <c r="B102" s="380"/>
    </row>
    <row r="103" spans="2:2">
      <c r="B103" s="380"/>
    </row>
  </sheetData>
  <pageMargins left="0.7" right="0.7" top="0.75" bottom="0.75" header="0.3" footer="0.3"/>
  <pageSetup paperSize="9"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2:H25"/>
  <sheetViews>
    <sheetView showGridLines="0" workbookViewId="0">
      <selection activeCell="C14" sqref="C14"/>
    </sheetView>
  </sheetViews>
  <sheetFormatPr baseColWidth="10" defaultColWidth="11" defaultRowHeight="15.75"/>
  <cols>
    <col min="1" max="1" width="53" bestFit="1" customWidth="1"/>
    <col min="2" max="2" width="14.875" customWidth="1"/>
    <col min="3" max="3" width="15.75" bestFit="1" customWidth="1"/>
    <col min="4" max="5" width="12.125" bestFit="1" customWidth="1"/>
    <col min="6" max="6" width="14" bestFit="1" customWidth="1"/>
    <col min="7" max="7" width="14.375" bestFit="1" customWidth="1"/>
  </cols>
  <sheetData>
    <row r="2" spans="1:8">
      <c r="A2" t="s">
        <v>1023</v>
      </c>
    </row>
    <row r="4" spans="1:8" ht="37.5">
      <c r="A4" s="364" t="s">
        <v>820</v>
      </c>
      <c r="B4" s="369" t="s">
        <v>1024</v>
      </c>
      <c r="C4" s="369" t="s">
        <v>1025</v>
      </c>
      <c r="D4" s="364" t="s">
        <v>1026</v>
      </c>
      <c r="E4" s="369" t="s">
        <v>1027</v>
      </c>
      <c r="F4" s="369" t="s">
        <v>1028</v>
      </c>
      <c r="G4" s="364" t="s">
        <v>32</v>
      </c>
    </row>
    <row r="5" spans="1:8" ht="16.5" thickBot="1">
      <c r="A5" s="381" t="s">
        <v>1029</v>
      </c>
      <c r="B5" s="382">
        <v>0.99199999999999999</v>
      </c>
      <c r="C5" s="366">
        <v>1509363196</v>
      </c>
      <c r="D5" s="366">
        <v>350591268</v>
      </c>
      <c r="E5" s="366">
        <v>723452133</v>
      </c>
      <c r="F5" s="366">
        <v>631357185</v>
      </c>
      <c r="G5" s="366">
        <v>92094948</v>
      </c>
      <c r="H5" s="50"/>
    </row>
    <row r="6" spans="1:8" ht="16.5" thickBot="1">
      <c r="A6" t="s">
        <v>1030</v>
      </c>
      <c r="B6" s="7">
        <v>0.995</v>
      </c>
      <c r="C6" s="4">
        <v>29462981</v>
      </c>
      <c r="D6" s="4">
        <v>34551377</v>
      </c>
      <c r="E6" s="4">
        <v>28456917</v>
      </c>
      <c r="F6" s="4">
        <v>30507929</v>
      </c>
      <c r="G6" s="4">
        <v>-2051013</v>
      </c>
      <c r="H6" s="50"/>
    </row>
    <row r="7" spans="1:8" ht="16.5" thickBot="1">
      <c r="A7" s="383" t="s">
        <v>1031</v>
      </c>
      <c r="B7" s="384">
        <v>0.995</v>
      </c>
      <c r="C7" s="368">
        <v>38248728</v>
      </c>
      <c r="D7" s="368">
        <v>12194316</v>
      </c>
      <c r="E7" s="368">
        <v>50929646</v>
      </c>
      <c r="F7" s="368">
        <v>38707625</v>
      </c>
      <c r="G7" s="368">
        <v>12222021</v>
      </c>
      <c r="H7" s="50"/>
    </row>
    <row r="8" spans="1:8" ht="16.5" thickBot="1">
      <c r="A8" t="s">
        <v>1032</v>
      </c>
      <c r="B8" s="7">
        <v>0.995</v>
      </c>
      <c r="C8" s="4">
        <v>265687935</v>
      </c>
      <c r="D8" s="4">
        <v>194562983</v>
      </c>
      <c r="E8" s="4">
        <v>14233</v>
      </c>
      <c r="F8" s="4">
        <v>34619346</v>
      </c>
      <c r="G8" s="4">
        <v>-34605113</v>
      </c>
      <c r="H8" s="50"/>
    </row>
    <row r="9" spans="1:8" ht="16.5" thickBot="1">
      <c r="A9" s="383" t="s">
        <v>1033</v>
      </c>
      <c r="B9" s="384">
        <v>0.99</v>
      </c>
      <c r="C9" s="368">
        <v>13090484</v>
      </c>
      <c r="D9" s="368">
        <v>7867361</v>
      </c>
      <c r="E9" s="368">
        <v>7120257</v>
      </c>
      <c r="F9" s="368">
        <v>6386386</v>
      </c>
      <c r="G9" s="368">
        <v>733871</v>
      </c>
      <c r="H9" s="50"/>
    </row>
    <row r="10" spans="1:8" ht="16.5" thickBot="1">
      <c r="A10" t="s">
        <v>1034</v>
      </c>
      <c r="B10" s="7">
        <v>0.94</v>
      </c>
      <c r="C10" s="4">
        <v>51963619</v>
      </c>
      <c r="D10" s="4">
        <v>37659884</v>
      </c>
      <c r="E10" s="4">
        <v>91651925</v>
      </c>
      <c r="F10" s="4">
        <v>90152282</v>
      </c>
      <c r="G10" s="4">
        <v>1499643</v>
      </c>
      <c r="H10" s="50"/>
    </row>
    <row r="11" spans="1:8" ht="16.5" thickBot="1">
      <c r="A11" s="383" t="s">
        <v>1035</v>
      </c>
      <c r="B11" s="384">
        <v>0.91449999999999998</v>
      </c>
      <c r="C11" s="368">
        <v>27190584</v>
      </c>
      <c r="D11" s="368">
        <v>108390</v>
      </c>
      <c r="E11" s="368">
        <v>0</v>
      </c>
      <c r="F11" s="368">
        <v>402633</v>
      </c>
      <c r="G11" s="368">
        <v>-402633</v>
      </c>
      <c r="H11" s="50"/>
    </row>
    <row r="12" spans="1:8" ht="16.5" thickBot="1">
      <c r="A12" t="s">
        <v>1036</v>
      </c>
      <c r="B12" s="7">
        <v>0.46</v>
      </c>
      <c r="C12" s="4">
        <v>16455562</v>
      </c>
      <c r="D12" s="4">
        <v>14427735</v>
      </c>
      <c r="E12" s="4">
        <v>68218986</v>
      </c>
      <c r="F12" s="4">
        <v>68280280</v>
      </c>
      <c r="G12" s="4">
        <v>-61294</v>
      </c>
      <c r="H12" s="50"/>
    </row>
    <row r="13" spans="1:8" ht="16.5" thickBot="1">
      <c r="A13" s="383" t="s">
        <v>1037</v>
      </c>
      <c r="B13" s="384">
        <v>0.4</v>
      </c>
      <c r="C13" s="368">
        <v>404374</v>
      </c>
      <c r="D13" s="368">
        <v>57806</v>
      </c>
      <c r="E13" s="368">
        <v>188899</v>
      </c>
      <c r="F13" s="368">
        <v>76214</v>
      </c>
      <c r="G13" s="368">
        <v>112685</v>
      </c>
      <c r="H13" s="50"/>
    </row>
    <row r="14" spans="1:8">
      <c r="A14" s="385"/>
      <c r="B14" s="386"/>
      <c r="C14" s="387">
        <f>SUM(C5:C13)</f>
        <v>1951867463</v>
      </c>
      <c r="D14" s="387">
        <f t="shared" ref="D14:G14" si="0">SUM(D5:D13)</f>
        <v>652021120</v>
      </c>
      <c r="E14" s="387">
        <f t="shared" si="0"/>
        <v>970032996</v>
      </c>
      <c r="F14" s="387">
        <f t="shared" si="0"/>
        <v>900489880</v>
      </c>
      <c r="G14" s="387">
        <f t="shared" si="0"/>
        <v>69543115</v>
      </c>
    </row>
    <row r="15" spans="1:8">
      <c r="B15" s="7"/>
      <c r="C15" s="141"/>
      <c r="E15" s="50"/>
      <c r="F15" s="50"/>
      <c r="G15" s="50"/>
    </row>
    <row r="16" spans="1:8">
      <c r="C16" s="141"/>
    </row>
    <row r="17" spans="3:3">
      <c r="C17" s="141"/>
    </row>
    <row r="18" spans="3:3">
      <c r="C18" s="141"/>
    </row>
    <row r="19" spans="3:3">
      <c r="C19" s="141"/>
    </row>
    <row r="20" spans="3:3">
      <c r="C20" s="141"/>
    </row>
    <row r="21" spans="3:3">
      <c r="C21" s="141"/>
    </row>
    <row r="22" spans="3:3">
      <c r="C22" s="141"/>
    </row>
    <row r="23" spans="3:3">
      <c r="C23" s="141"/>
    </row>
    <row r="24" spans="3:3">
      <c r="C24" s="191"/>
    </row>
    <row r="25" spans="3:3">
      <c r="C25" s="191"/>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2:C18"/>
  <sheetViews>
    <sheetView showGridLines="0" workbookViewId="0">
      <selection activeCell="B13" sqref="B13"/>
    </sheetView>
  </sheetViews>
  <sheetFormatPr baseColWidth="10" defaultColWidth="11" defaultRowHeight="15.75"/>
  <cols>
    <col min="1" max="1" width="34.75" bestFit="1" customWidth="1"/>
    <col min="2" max="2" width="49.875" bestFit="1" customWidth="1"/>
  </cols>
  <sheetData>
    <row r="2" spans="1:3">
      <c r="A2" s="150" t="s">
        <v>1038</v>
      </c>
    </row>
    <row r="4" spans="1:3" ht="18.75">
      <c r="A4" s="364" t="s">
        <v>1039</v>
      </c>
      <c r="B4" s="369" t="s">
        <v>1040</v>
      </c>
    </row>
    <row r="5" spans="1:3" ht="15" customHeight="1">
      <c r="A5" s="388" t="s">
        <v>1041</v>
      </c>
      <c r="B5" s="389" t="s">
        <v>1042</v>
      </c>
      <c r="C5" s="390"/>
    </row>
    <row r="6" spans="1:3" ht="15" customHeight="1">
      <c r="A6" s="390"/>
      <c r="B6" s="389" t="s">
        <v>1043</v>
      </c>
      <c r="C6" s="390"/>
    </row>
    <row r="7" spans="1:3" ht="15" customHeight="1" thickBot="1">
      <c r="A7" s="391"/>
      <c r="B7" s="392" t="s">
        <v>1044</v>
      </c>
      <c r="C7" s="390"/>
    </row>
    <row r="8" spans="1:3" ht="15" customHeight="1">
      <c r="A8" s="390"/>
      <c r="B8" s="390"/>
      <c r="C8" s="390"/>
    </row>
    <row r="9" spans="1:3" ht="15" customHeight="1" thickBot="1">
      <c r="A9" s="393" t="s">
        <v>1045</v>
      </c>
      <c r="B9" s="393" t="s">
        <v>1046</v>
      </c>
      <c r="C9" s="390"/>
    </row>
    <row r="10" spans="1:3" ht="15" customHeight="1">
      <c r="A10" s="390"/>
      <c r="B10" s="390"/>
      <c r="C10" s="390"/>
    </row>
    <row r="11" spans="1:3" ht="15" customHeight="1" thickBot="1">
      <c r="A11" s="393" t="s">
        <v>1047</v>
      </c>
      <c r="B11" s="393" t="s">
        <v>1048</v>
      </c>
      <c r="C11" s="390"/>
    </row>
    <row r="12" spans="1:3" ht="15" customHeight="1">
      <c r="A12" s="390"/>
      <c r="B12" s="390"/>
      <c r="C12" s="390"/>
    </row>
    <row r="13" spans="1:3" ht="15" customHeight="1" thickBot="1">
      <c r="A13" s="393" t="s">
        <v>1049</v>
      </c>
      <c r="B13" s="393" t="s">
        <v>1050</v>
      </c>
      <c r="C13" s="390"/>
    </row>
    <row r="14" spans="1:3" ht="15" customHeight="1">
      <c r="A14" s="390"/>
      <c r="B14" s="390"/>
      <c r="C14" s="390"/>
    </row>
    <row r="15" spans="1:3" ht="15" customHeight="1" thickBot="1">
      <c r="A15" s="393" t="s">
        <v>1051</v>
      </c>
      <c r="B15" s="393" t="s">
        <v>1052</v>
      </c>
      <c r="C15" s="390"/>
    </row>
    <row r="16" spans="1:3" ht="15" customHeight="1">
      <c r="A16" s="390"/>
      <c r="B16" s="390"/>
      <c r="C16" s="390"/>
    </row>
    <row r="17" spans="1:3" ht="15" customHeight="1" thickBot="1">
      <c r="A17" s="393" t="s">
        <v>1053</v>
      </c>
      <c r="B17" s="393" t="s">
        <v>1054</v>
      </c>
      <c r="C17" s="390"/>
    </row>
    <row r="18" spans="1:3">
      <c r="A18" s="390"/>
      <c r="B18" s="390"/>
      <c r="C18" s="390"/>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C12"/>
  <sheetViews>
    <sheetView workbookViewId="0">
      <selection activeCell="A12" sqref="A1:A12"/>
    </sheetView>
  </sheetViews>
  <sheetFormatPr baseColWidth="10" defaultColWidth="11" defaultRowHeight="15.75"/>
  <cols>
    <col min="1" max="1" width="14.125" bestFit="1" customWidth="1"/>
    <col min="2" max="2" width="16.875" bestFit="1" customWidth="1"/>
  </cols>
  <sheetData>
    <row r="1" spans="1:3">
      <c r="A1" t="s">
        <v>1055</v>
      </c>
    </row>
    <row r="2" spans="1:3">
      <c r="B2" t="s">
        <v>35</v>
      </c>
      <c r="C2" t="s">
        <v>1056</v>
      </c>
    </row>
    <row r="3" spans="1:3">
      <c r="A3" t="s">
        <v>1057</v>
      </c>
      <c r="B3" s="4">
        <v>84</v>
      </c>
      <c r="C3" s="162">
        <v>1.486</v>
      </c>
    </row>
    <row r="4" spans="1:3">
      <c r="A4" t="s">
        <v>1058</v>
      </c>
    </row>
    <row r="5" spans="1:3">
      <c r="A5" t="s">
        <v>1059</v>
      </c>
    </row>
    <row r="6" spans="1:3">
      <c r="A6" t="s">
        <v>1060</v>
      </c>
    </row>
    <row r="10" spans="1:3">
      <c r="C10" t="s">
        <v>1061</v>
      </c>
    </row>
    <row r="11" spans="1:3">
      <c r="A11" t="s">
        <v>699</v>
      </c>
      <c r="B11" t="s">
        <v>1062</v>
      </c>
      <c r="C11">
        <v>5.7</v>
      </c>
    </row>
    <row r="12" spans="1:3">
      <c r="A12" t="s">
        <v>700</v>
      </c>
      <c r="B12" t="s">
        <v>1063</v>
      </c>
      <c r="C12">
        <v>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7"/>
  <sheetViews>
    <sheetView workbookViewId="0">
      <selection activeCell="A2" sqref="A2"/>
    </sheetView>
  </sheetViews>
  <sheetFormatPr baseColWidth="10" defaultColWidth="9" defaultRowHeight="15.75"/>
  <cols>
    <col min="1" max="1" width="12.375" bestFit="1" customWidth="1"/>
    <col min="2" max="2" width="15.25" bestFit="1" customWidth="1"/>
    <col min="3" max="3" width="10.875" bestFit="1" customWidth="1"/>
    <col min="4" max="6" width="11.875" bestFit="1" customWidth="1"/>
  </cols>
  <sheetData>
    <row r="1" spans="1:6">
      <c r="A1" s="84" t="s">
        <v>698</v>
      </c>
      <c r="B1" s="84" t="s">
        <v>611</v>
      </c>
    </row>
    <row r="2" spans="1:6">
      <c r="A2" s="84" t="s">
        <v>697</v>
      </c>
      <c r="B2" t="s">
        <v>55</v>
      </c>
      <c r="C2" t="s">
        <v>57</v>
      </c>
      <c r="D2" t="s">
        <v>56</v>
      </c>
      <c r="E2" t="s">
        <v>58</v>
      </c>
      <c r="F2" t="s">
        <v>683</v>
      </c>
    </row>
    <row r="3" spans="1:6">
      <c r="A3" s="45">
        <v>2014</v>
      </c>
      <c r="B3">
        <v>993686.36499999999</v>
      </c>
      <c r="C3">
        <v>152572.454</v>
      </c>
      <c r="D3">
        <v>315384.44300000003</v>
      </c>
      <c r="E3">
        <v>263718.283</v>
      </c>
      <c r="F3">
        <v>1725361.5449999999</v>
      </c>
    </row>
    <row r="4" spans="1:6">
      <c r="A4" s="45">
        <v>2015</v>
      </c>
      <c r="B4">
        <v>724957.34199999995</v>
      </c>
      <c r="C4">
        <v>167000.413</v>
      </c>
      <c r="D4">
        <v>284644.41200000001</v>
      </c>
      <c r="E4">
        <v>250964.27100000001</v>
      </c>
      <c r="F4">
        <v>1427566.4379999998</v>
      </c>
    </row>
    <row r="5" spans="1:6">
      <c r="A5" s="45">
        <v>2016</v>
      </c>
      <c r="B5">
        <v>665286.321</v>
      </c>
      <c r="C5">
        <v>132589.40100000001</v>
      </c>
      <c r="D5">
        <v>256417.45300000001</v>
      </c>
      <c r="E5">
        <v>261509.32</v>
      </c>
      <c r="F5">
        <v>1315802.4950000001</v>
      </c>
    </row>
    <row r="6" spans="1:6">
      <c r="A6" s="45">
        <v>2017</v>
      </c>
      <c r="B6">
        <v>565758.19900000002</v>
      </c>
      <c r="C6">
        <v>128847.357</v>
      </c>
      <c r="D6">
        <v>266189.40700000001</v>
      </c>
      <c r="E6">
        <v>282462.29700000002</v>
      </c>
      <c r="F6">
        <v>1243257.26</v>
      </c>
    </row>
    <row r="7" spans="1:6">
      <c r="A7" s="45" t="s">
        <v>683</v>
      </c>
      <c r="B7">
        <v>2949688.227</v>
      </c>
      <c r="C7">
        <v>581009.625</v>
      </c>
      <c r="D7">
        <v>1122635.7149999999</v>
      </c>
      <c r="E7">
        <v>1058654.1710000001</v>
      </c>
      <c r="F7">
        <v>5711987.7379999999</v>
      </c>
    </row>
  </sheetData>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9"/>
  <sheetViews>
    <sheetView zoomScale="90" zoomScaleNormal="90" workbookViewId="0">
      <selection activeCell="H84" sqref="H84"/>
    </sheetView>
  </sheetViews>
  <sheetFormatPr baseColWidth="10" defaultColWidth="11" defaultRowHeight="15.75"/>
  <cols>
    <col min="1" max="1" width="9.5" bestFit="1" customWidth="1"/>
    <col min="2" max="2" width="37" bestFit="1" customWidth="1"/>
    <col min="3" max="3" width="7.75" bestFit="1" customWidth="1"/>
    <col min="4" max="4" width="9.375" bestFit="1" customWidth="1"/>
    <col min="5" max="5" width="14.375" bestFit="1" customWidth="1"/>
    <col min="6" max="6" width="12" bestFit="1" customWidth="1"/>
    <col min="7" max="7" width="14.125" bestFit="1" customWidth="1"/>
    <col min="8" max="8" width="20.5" bestFit="1" customWidth="1"/>
    <col min="9" max="9" width="10.125" bestFit="1" customWidth="1"/>
  </cols>
  <sheetData>
    <row r="1" spans="1:6" ht="18">
      <c r="A1" t="s">
        <v>53</v>
      </c>
      <c r="B1" s="2" t="s">
        <v>54</v>
      </c>
      <c r="C1" s="2" t="s">
        <v>64</v>
      </c>
      <c r="D1" s="2" t="s">
        <v>65</v>
      </c>
    </row>
    <row r="2" spans="1:6" ht="18" hidden="1">
      <c r="A2" t="s">
        <v>55</v>
      </c>
      <c r="B2" s="2" t="s">
        <v>47</v>
      </c>
      <c r="C2" s="2">
        <v>2014</v>
      </c>
      <c r="D2" s="2">
        <v>993323</v>
      </c>
    </row>
    <row r="3" spans="1:6" ht="18" hidden="1">
      <c r="A3" t="s">
        <v>55</v>
      </c>
      <c r="B3" s="2" t="s">
        <v>59</v>
      </c>
      <c r="C3" s="2">
        <v>2014</v>
      </c>
      <c r="D3" s="2">
        <v>363</v>
      </c>
    </row>
    <row r="4" spans="1:6" ht="18" hidden="1">
      <c r="A4" t="s">
        <v>55</v>
      </c>
      <c r="B4" s="2" t="s">
        <v>52</v>
      </c>
      <c r="C4" s="2">
        <v>2014</v>
      </c>
      <c r="D4" s="7">
        <v>0.36499999999999999</v>
      </c>
    </row>
    <row r="5" spans="1:6" ht="18" hidden="1">
      <c r="A5" t="s">
        <v>56</v>
      </c>
      <c r="B5" s="2" t="s">
        <v>47</v>
      </c>
      <c r="C5" s="2">
        <v>2014</v>
      </c>
      <c r="D5" s="2">
        <v>315244</v>
      </c>
    </row>
    <row r="6" spans="1:6" ht="18" hidden="1">
      <c r="A6" t="s">
        <v>56</v>
      </c>
      <c r="B6" s="2" t="s">
        <v>59</v>
      </c>
      <c r="C6" s="2">
        <v>2014</v>
      </c>
      <c r="D6" s="2">
        <v>140</v>
      </c>
    </row>
    <row r="7" spans="1:6" ht="18" hidden="1">
      <c r="A7" t="s">
        <v>56</v>
      </c>
      <c r="B7" s="2" t="s">
        <v>52</v>
      </c>
      <c r="C7" s="2">
        <v>2014</v>
      </c>
      <c r="D7" s="3">
        <v>0.443</v>
      </c>
    </row>
    <row r="8" spans="1:6" ht="18" hidden="1">
      <c r="A8" t="s">
        <v>57</v>
      </c>
      <c r="B8" s="2" t="s">
        <v>47</v>
      </c>
      <c r="C8" s="2">
        <v>2014</v>
      </c>
      <c r="D8" s="2">
        <v>152503</v>
      </c>
    </row>
    <row r="9" spans="1:6" ht="18" hidden="1">
      <c r="A9" t="s">
        <v>57</v>
      </c>
      <c r="B9" s="2" t="s">
        <v>59</v>
      </c>
      <c r="C9" s="2">
        <v>2014</v>
      </c>
      <c r="D9" s="2">
        <v>69</v>
      </c>
    </row>
    <row r="10" spans="1:6" ht="18" hidden="1">
      <c r="A10" t="s">
        <v>57</v>
      </c>
      <c r="B10" s="2" t="s">
        <v>52</v>
      </c>
      <c r="C10" s="2">
        <v>2014</v>
      </c>
      <c r="D10" s="3">
        <v>0.45400000000000001</v>
      </c>
    </row>
    <row r="11" spans="1:6" ht="18" hidden="1">
      <c r="A11" t="s">
        <v>58</v>
      </c>
      <c r="B11" s="2" t="s">
        <v>47</v>
      </c>
      <c r="C11" s="2">
        <v>2014</v>
      </c>
      <c r="D11" s="2">
        <f>276829-13189</f>
        <v>263640</v>
      </c>
    </row>
    <row r="12" spans="1:6" ht="18" hidden="1">
      <c r="A12" t="s">
        <v>58</v>
      </c>
      <c r="B12" s="2" t="s">
        <v>59</v>
      </c>
      <c r="C12" s="2">
        <v>2014</v>
      </c>
      <c r="D12" s="2">
        <v>78</v>
      </c>
    </row>
    <row r="13" spans="1:6" ht="18" hidden="1">
      <c r="A13" t="s">
        <v>58</v>
      </c>
      <c r="B13" s="2" t="s">
        <v>52</v>
      </c>
      <c r="C13" s="2">
        <v>2014</v>
      </c>
      <c r="D13" s="3">
        <v>0.28299999999999997</v>
      </c>
    </row>
    <row r="14" spans="1:6" ht="18">
      <c r="A14" t="s">
        <v>55</v>
      </c>
      <c r="B14" s="2" t="s">
        <v>47</v>
      </c>
      <c r="C14" s="2">
        <v>2015</v>
      </c>
      <c r="D14" s="2">
        <v>724709</v>
      </c>
      <c r="E14" s="2"/>
      <c r="F14" s="2"/>
    </row>
    <row r="15" spans="1:6" ht="18" hidden="1">
      <c r="A15" t="s">
        <v>55</v>
      </c>
      <c r="B15" s="2" t="s">
        <v>59</v>
      </c>
      <c r="C15" s="2">
        <v>2015</v>
      </c>
      <c r="D15" s="2">
        <v>248</v>
      </c>
      <c r="E15" s="2"/>
      <c r="F15" s="2"/>
    </row>
    <row r="16" spans="1:6" ht="18" hidden="1">
      <c r="A16" t="s">
        <v>55</v>
      </c>
      <c r="B16" s="2" t="s">
        <v>52</v>
      </c>
      <c r="C16" s="2">
        <v>2015</v>
      </c>
      <c r="D16" s="8">
        <v>0.34200000000000003</v>
      </c>
    </row>
    <row r="17" spans="1:4" ht="18">
      <c r="A17" t="s">
        <v>56</v>
      </c>
      <c r="B17" s="2" t="s">
        <v>47</v>
      </c>
      <c r="C17" s="2">
        <v>2015</v>
      </c>
      <c r="D17" s="2">
        <v>284527</v>
      </c>
    </row>
    <row r="18" spans="1:4" ht="18" hidden="1">
      <c r="A18" t="s">
        <v>56</v>
      </c>
      <c r="B18" s="2" t="s">
        <v>59</v>
      </c>
      <c r="C18" s="2">
        <v>2015</v>
      </c>
      <c r="D18" s="2">
        <v>117</v>
      </c>
    </row>
    <row r="19" spans="1:4" ht="18" hidden="1">
      <c r="A19" t="s">
        <v>56</v>
      </c>
      <c r="B19" s="2" t="s">
        <v>52</v>
      </c>
      <c r="C19" s="2">
        <v>2015</v>
      </c>
      <c r="D19" s="5">
        <v>0.41199999999999998</v>
      </c>
    </row>
    <row r="20" spans="1:4" ht="18">
      <c r="A20" t="s">
        <v>57</v>
      </c>
      <c r="B20" s="2" t="s">
        <v>47</v>
      </c>
      <c r="C20" s="2">
        <v>2015</v>
      </c>
      <c r="D20" s="2">
        <v>166931</v>
      </c>
    </row>
    <row r="21" spans="1:4" ht="18" hidden="1">
      <c r="A21" t="s">
        <v>57</v>
      </c>
      <c r="B21" s="2" t="s">
        <v>59</v>
      </c>
      <c r="C21" s="2">
        <v>2015</v>
      </c>
      <c r="D21" s="2">
        <v>69</v>
      </c>
    </row>
    <row r="22" spans="1:4" ht="18" hidden="1">
      <c r="A22" t="s">
        <v>57</v>
      </c>
      <c r="B22" s="2" t="s">
        <v>52</v>
      </c>
      <c r="C22" s="2">
        <v>2015</v>
      </c>
      <c r="D22" s="5">
        <v>0.41299999999999998</v>
      </c>
    </row>
    <row r="23" spans="1:4" ht="18">
      <c r="A23" t="s">
        <v>58</v>
      </c>
      <c r="B23" s="2" t="s">
        <v>47</v>
      </c>
      <c r="C23" s="2">
        <v>2015</v>
      </c>
      <c r="D23" s="2">
        <f>268542-17651</f>
        <v>250891</v>
      </c>
    </row>
    <row r="24" spans="1:4" ht="18" hidden="1">
      <c r="A24" t="s">
        <v>58</v>
      </c>
      <c r="B24" s="2" t="s">
        <v>59</v>
      </c>
      <c r="C24" s="2">
        <v>2015</v>
      </c>
      <c r="D24" s="2">
        <v>73</v>
      </c>
    </row>
    <row r="25" spans="1:4" ht="18" hidden="1">
      <c r="A25" t="s">
        <v>58</v>
      </c>
      <c r="B25" s="2" t="s">
        <v>52</v>
      </c>
      <c r="C25" s="2">
        <v>2015</v>
      </c>
      <c r="D25" s="5">
        <v>0.27100000000000002</v>
      </c>
    </row>
    <row r="26" spans="1:4" ht="18" hidden="1">
      <c r="A26" t="s">
        <v>55</v>
      </c>
      <c r="B26" s="2" t="s">
        <v>47</v>
      </c>
      <c r="C26" s="2">
        <v>2016</v>
      </c>
      <c r="D26" s="2">
        <v>665072</v>
      </c>
    </row>
    <row r="27" spans="1:4" ht="18" hidden="1">
      <c r="A27" t="s">
        <v>55</v>
      </c>
      <c r="B27" s="2" t="s">
        <v>59</v>
      </c>
      <c r="C27" s="2">
        <v>2016</v>
      </c>
      <c r="D27" s="2">
        <v>214</v>
      </c>
    </row>
    <row r="28" spans="1:4" ht="18" hidden="1">
      <c r="A28" t="s">
        <v>55</v>
      </c>
      <c r="B28" s="2" t="s">
        <v>52</v>
      </c>
      <c r="C28" s="2">
        <v>2016</v>
      </c>
      <c r="D28" s="8">
        <v>0.32100000000000001</v>
      </c>
    </row>
    <row r="29" spans="1:4" ht="18" hidden="1">
      <c r="A29" t="s">
        <v>56</v>
      </c>
      <c r="B29" s="2" t="s">
        <v>47</v>
      </c>
      <c r="C29" s="2">
        <v>2016</v>
      </c>
      <c r="D29" s="2">
        <v>256301</v>
      </c>
    </row>
    <row r="30" spans="1:4" ht="18" hidden="1">
      <c r="A30" t="s">
        <v>56</v>
      </c>
      <c r="B30" s="2" t="s">
        <v>59</v>
      </c>
      <c r="C30" s="2">
        <v>2016</v>
      </c>
      <c r="D30" s="2">
        <v>116</v>
      </c>
    </row>
    <row r="31" spans="1:4" ht="18" hidden="1">
      <c r="A31" t="s">
        <v>56</v>
      </c>
      <c r="B31" s="2" t="s">
        <v>52</v>
      </c>
      <c r="C31" s="2">
        <v>2016</v>
      </c>
      <c r="D31" s="5">
        <v>0.45300000000000001</v>
      </c>
    </row>
    <row r="32" spans="1:4" ht="18" hidden="1">
      <c r="A32" t="s">
        <v>57</v>
      </c>
      <c r="B32" s="2" t="s">
        <v>47</v>
      </c>
      <c r="C32" s="2">
        <v>2016</v>
      </c>
      <c r="D32" s="2">
        <v>132528</v>
      </c>
    </row>
    <row r="33" spans="1:4" ht="18" hidden="1">
      <c r="A33" t="s">
        <v>57</v>
      </c>
      <c r="B33" s="2" t="s">
        <v>59</v>
      </c>
      <c r="C33" s="2">
        <v>2016</v>
      </c>
      <c r="D33" s="2">
        <v>61</v>
      </c>
    </row>
    <row r="34" spans="1:4" ht="18" hidden="1">
      <c r="A34" t="s">
        <v>57</v>
      </c>
      <c r="B34" s="2" t="s">
        <v>52</v>
      </c>
      <c r="C34" s="2">
        <v>2016</v>
      </c>
      <c r="D34" s="5">
        <v>0.40100000000000002</v>
      </c>
    </row>
    <row r="35" spans="1:4" ht="18" hidden="1">
      <c r="A35" t="s">
        <v>58</v>
      </c>
      <c r="B35" s="2" t="s">
        <v>47</v>
      </c>
      <c r="C35" s="2">
        <v>2016</v>
      </c>
      <c r="D35" s="2">
        <v>261425</v>
      </c>
    </row>
    <row r="36" spans="1:4" ht="18" hidden="1">
      <c r="A36" t="s">
        <v>58</v>
      </c>
      <c r="B36" s="2" t="s">
        <v>59</v>
      </c>
      <c r="C36" s="2">
        <v>2016</v>
      </c>
      <c r="D36" s="2">
        <v>84</v>
      </c>
    </row>
    <row r="37" spans="1:4" ht="18" hidden="1">
      <c r="A37" t="s">
        <v>58</v>
      </c>
      <c r="B37" s="2" t="s">
        <v>52</v>
      </c>
      <c r="C37" s="2">
        <v>2016</v>
      </c>
      <c r="D37" s="5">
        <v>0.32</v>
      </c>
    </row>
    <row r="38" spans="1:4" ht="18" hidden="1">
      <c r="A38" t="s">
        <v>55</v>
      </c>
      <c r="B38" s="2" t="s">
        <v>47</v>
      </c>
      <c r="C38" s="2">
        <v>2017</v>
      </c>
      <c r="D38" s="2">
        <v>565645</v>
      </c>
    </row>
    <row r="39" spans="1:4" ht="18" hidden="1">
      <c r="A39" t="s">
        <v>55</v>
      </c>
      <c r="B39" s="2" t="s">
        <v>59</v>
      </c>
      <c r="C39" s="2">
        <v>2017</v>
      </c>
      <c r="D39" s="2">
        <v>113</v>
      </c>
    </row>
    <row r="40" spans="1:4" ht="18" hidden="1">
      <c r="A40" t="s">
        <v>55</v>
      </c>
      <c r="B40" s="2" t="s">
        <v>52</v>
      </c>
      <c r="C40" s="2">
        <v>2017</v>
      </c>
      <c r="D40" s="8">
        <v>0.19900000000000001</v>
      </c>
    </row>
    <row r="41" spans="1:4" ht="18" hidden="1">
      <c r="A41" t="s">
        <v>56</v>
      </c>
      <c r="B41" s="2" t="s">
        <v>47</v>
      </c>
      <c r="C41" s="2">
        <v>2017</v>
      </c>
      <c r="D41" s="2">
        <v>266081</v>
      </c>
    </row>
    <row r="42" spans="1:4" ht="18" hidden="1">
      <c r="A42" t="s">
        <v>56</v>
      </c>
      <c r="B42" s="2" t="s">
        <v>59</v>
      </c>
      <c r="C42" s="2">
        <v>2017</v>
      </c>
      <c r="D42" s="2">
        <v>108</v>
      </c>
    </row>
    <row r="43" spans="1:4" ht="18" hidden="1">
      <c r="A43" t="s">
        <v>56</v>
      </c>
      <c r="B43" s="2" t="s">
        <v>52</v>
      </c>
      <c r="C43" s="2">
        <v>2017</v>
      </c>
      <c r="D43" s="5">
        <v>0.40699999999999997</v>
      </c>
    </row>
    <row r="44" spans="1:4" ht="18" hidden="1">
      <c r="A44" t="s">
        <v>57</v>
      </c>
      <c r="B44" s="2" t="s">
        <v>47</v>
      </c>
      <c r="C44" s="2">
        <v>2017</v>
      </c>
      <c r="D44" s="2">
        <v>128794</v>
      </c>
    </row>
    <row r="45" spans="1:4" ht="18" hidden="1">
      <c r="A45" t="s">
        <v>57</v>
      </c>
      <c r="B45" s="2" t="s">
        <v>59</v>
      </c>
      <c r="C45" s="2">
        <v>2017</v>
      </c>
      <c r="D45" s="2">
        <v>53</v>
      </c>
    </row>
    <row r="46" spans="1:4" ht="18" hidden="1">
      <c r="A46" t="s">
        <v>57</v>
      </c>
      <c r="B46" s="2" t="s">
        <v>52</v>
      </c>
      <c r="C46" s="2">
        <v>2017</v>
      </c>
      <c r="D46" s="5">
        <v>0.35699999999999998</v>
      </c>
    </row>
    <row r="47" spans="1:4" ht="18" hidden="1">
      <c r="A47" t="s">
        <v>58</v>
      </c>
      <c r="B47" s="2" t="s">
        <v>47</v>
      </c>
      <c r="C47" s="2">
        <v>2017</v>
      </c>
      <c r="D47" s="2">
        <v>282377</v>
      </c>
    </row>
    <row r="48" spans="1:4" ht="18" hidden="1">
      <c r="A48" t="s">
        <v>58</v>
      </c>
      <c r="B48" s="2" t="s">
        <v>59</v>
      </c>
      <c r="C48" s="2">
        <v>2017</v>
      </c>
      <c r="D48" s="2">
        <v>85</v>
      </c>
    </row>
    <row r="49" spans="1:11" ht="18" hidden="1">
      <c r="A49" t="s">
        <v>58</v>
      </c>
      <c r="B49" s="2" t="s">
        <v>52</v>
      </c>
      <c r="C49" s="2">
        <v>2017</v>
      </c>
      <c r="D49" s="5">
        <v>0.29699999999999999</v>
      </c>
    </row>
    <row r="56" spans="1:11" ht="18">
      <c r="A56" s="152" t="s">
        <v>53</v>
      </c>
      <c r="B56" s="154" t="s">
        <v>54</v>
      </c>
      <c r="C56" s="154" t="s">
        <v>64</v>
      </c>
      <c r="D56" s="155" t="s">
        <v>65</v>
      </c>
      <c r="E56" s="159" t="s">
        <v>699</v>
      </c>
      <c r="F56" s="159" t="s">
        <v>700</v>
      </c>
      <c r="G56" s="159" t="s">
        <v>701</v>
      </c>
      <c r="H56" s="159" t="s">
        <v>703</v>
      </c>
      <c r="I56" s="159" t="s">
        <v>702</v>
      </c>
      <c r="J56" s="159" t="s">
        <v>659</v>
      </c>
    </row>
    <row r="57" spans="1:11" ht="18">
      <c r="A57" s="153" t="s">
        <v>55</v>
      </c>
      <c r="B57" s="156" t="s">
        <v>47</v>
      </c>
      <c r="C57" s="156">
        <v>2017</v>
      </c>
      <c r="D57" s="157">
        <v>565645</v>
      </c>
      <c r="E57" s="4">
        <v>293905</v>
      </c>
      <c r="F57" s="6">
        <v>204275</v>
      </c>
      <c r="G57" s="6">
        <v>11267</v>
      </c>
      <c r="H57" s="6">
        <v>56202</v>
      </c>
      <c r="I57" s="6">
        <v>-4</v>
      </c>
      <c r="J57" s="50">
        <f>SUM(E57:I57)</f>
        <v>565645</v>
      </c>
    </row>
    <row r="58" spans="1:11" ht="18">
      <c r="A58" s="153" t="s">
        <v>55</v>
      </c>
      <c r="B58" s="156" t="s">
        <v>47</v>
      </c>
      <c r="C58" s="156">
        <v>2016</v>
      </c>
      <c r="D58" s="157">
        <v>665072</v>
      </c>
      <c r="E58" s="4">
        <v>375094</v>
      </c>
      <c r="F58" s="6">
        <v>232903</v>
      </c>
      <c r="G58" s="6">
        <v>13166</v>
      </c>
      <c r="H58" s="6">
        <v>43991</v>
      </c>
      <c r="I58" s="6">
        <v>-82</v>
      </c>
      <c r="J58" s="50">
        <f>SUM(E58:I58)</f>
        <v>665072</v>
      </c>
    </row>
    <row r="59" spans="1:11">
      <c r="E59" s="7">
        <f t="shared" ref="E59:J59" si="0">(E57-E58)/E58</f>
        <v>-0.21644974326435507</v>
      </c>
      <c r="F59" s="7">
        <f t="shared" si="0"/>
        <v>-0.1229181247128633</v>
      </c>
      <c r="G59" s="7">
        <f t="shared" si="0"/>
        <v>-0.1442351511468935</v>
      </c>
      <c r="H59" s="7">
        <f t="shared" si="0"/>
        <v>0.27757950489872929</v>
      </c>
      <c r="I59" s="7">
        <f t="shared" si="0"/>
        <v>-0.95121951219512191</v>
      </c>
      <c r="J59" s="7">
        <f t="shared" si="0"/>
        <v>-0.14949809945389372</v>
      </c>
    </row>
    <row r="60" spans="1:11">
      <c r="C60" t="s">
        <v>85</v>
      </c>
      <c r="E60" s="158">
        <v>-0.06</v>
      </c>
      <c r="F60" s="158">
        <v>-0.13</v>
      </c>
      <c r="G60" s="158">
        <v>-0.17</v>
      </c>
      <c r="H60" s="158">
        <v>0</v>
      </c>
      <c r="I60" s="158">
        <v>0</v>
      </c>
    </row>
    <row r="61" spans="1:11">
      <c r="C61" t="s">
        <v>704</v>
      </c>
      <c r="E61" s="158">
        <v>-0.17</v>
      </c>
      <c r="F61" s="158">
        <v>0</v>
      </c>
      <c r="G61" s="158">
        <v>7.0000000000000007E-2</v>
      </c>
      <c r="H61" s="158">
        <v>0</v>
      </c>
      <c r="I61" s="158">
        <v>0</v>
      </c>
    </row>
    <row r="62" spans="1:11">
      <c r="C62">
        <v>2015</v>
      </c>
      <c r="E62" s="4">
        <v>398623</v>
      </c>
      <c r="F62" s="4">
        <v>274024</v>
      </c>
      <c r="G62" s="4">
        <v>15772</v>
      </c>
      <c r="H62" s="4">
        <v>36290</v>
      </c>
      <c r="I62" s="4">
        <v>0</v>
      </c>
      <c r="J62" s="50">
        <f>SUM(E62:I62)</f>
        <v>724709</v>
      </c>
      <c r="K62" s="141">
        <f>+J62/J66-1</f>
        <v>-0.27041959161320139</v>
      </c>
    </row>
    <row r="63" spans="1:11">
      <c r="E63" s="141">
        <f t="shared" ref="E63:H63" si="1">(E58-E62)/E62</f>
        <v>-5.9025695958336573E-2</v>
      </c>
      <c r="F63" s="141">
        <f t="shared" si="1"/>
        <v>-0.15006349808775873</v>
      </c>
      <c r="G63" s="141">
        <f t="shared" si="1"/>
        <v>-0.16522952066954097</v>
      </c>
      <c r="H63" s="141">
        <f t="shared" si="1"/>
        <v>0.21220721961972996</v>
      </c>
      <c r="I63" s="141"/>
      <c r="J63" s="141">
        <f>(J58-J62)/J62</f>
        <v>-8.2290960923625894E-2</v>
      </c>
    </row>
    <row r="64" spans="1:11">
      <c r="C64" t="s">
        <v>85</v>
      </c>
      <c r="E64" s="4">
        <v>0</v>
      </c>
      <c r="F64" s="158">
        <v>-0.08</v>
      </c>
      <c r="G64" s="158">
        <v>-0.13</v>
      </c>
      <c r="H64" s="158">
        <v>0</v>
      </c>
    </row>
    <row r="65" spans="3:10">
      <c r="C65" t="s">
        <v>704</v>
      </c>
      <c r="E65" s="160">
        <v>-0.08</v>
      </c>
      <c r="F65" s="158">
        <v>-0.05</v>
      </c>
      <c r="G65" s="158">
        <v>0.01</v>
      </c>
      <c r="H65" s="158">
        <v>0</v>
      </c>
    </row>
    <row r="66" spans="3:10">
      <c r="C66">
        <v>2014</v>
      </c>
      <c r="E66">
        <v>565283</v>
      </c>
      <c r="F66" s="4">
        <v>366677</v>
      </c>
      <c r="G66" s="4">
        <v>18558</v>
      </c>
      <c r="H66" s="4">
        <v>42805</v>
      </c>
      <c r="I66" s="4"/>
      <c r="J66" s="50">
        <f>SUM(E66:I66)</f>
        <v>993323</v>
      </c>
    </row>
    <row r="67" spans="3:10">
      <c r="E67" s="141">
        <f t="shared" ref="E67:H67" si="2">(E62-E66)/E66</f>
        <v>-0.29482577753090045</v>
      </c>
      <c r="F67" s="141">
        <f t="shared" si="2"/>
        <v>-0.25268287893704816</v>
      </c>
      <c r="G67" s="141">
        <f t="shared" si="2"/>
        <v>-0.15012393576894062</v>
      </c>
      <c r="H67" s="141">
        <f t="shared" si="2"/>
        <v>-0.15220184557878752</v>
      </c>
      <c r="I67" s="141"/>
      <c r="J67" s="141">
        <f>(J62-J66)/J66</f>
        <v>-0.27041959161320134</v>
      </c>
    </row>
    <row r="68" spans="3:10">
      <c r="C68" t="s">
        <v>85</v>
      </c>
      <c r="E68" s="158">
        <v>-0.09</v>
      </c>
      <c r="F68" s="158">
        <v>-0.03</v>
      </c>
      <c r="G68" s="158">
        <v>-0.06</v>
      </c>
      <c r="H68" s="158">
        <v>0</v>
      </c>
      <c r="I68" s="158">
        <v>0</v>
      </c>
      <c r="J68" s="4"/>
    </row>
    <row r="69" spans="3:10">
      <c r="C69" t="s">
        <v>704</v>
      </c>
      <c r="E69" s="158">
        <v>-0.22</v>
      </c>
      <c r="F69" s="158">
        <v>-0.23</v>
      </c>
      <c r="G69" s="158">
        <v>-0.23</v>
      </c>
      <c r="H69" s="158">
        <v>0</v>
      </c>
      <c r="I69" s="158">
        <v>0</v>
      </c>
      <c r="J69" s="4"/>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Y81"/>
  <sheetViews>
    <sheetView showGridLines="0" zoomScale="70" zoomScaleNormal="70" workbookViewId="0">
      <selection activeCell="J39" sqref="J39:P52"/>
    </sheetView>
  </sheetViews>
  <sheetFormatPr baseColWidth="10" defaultColWidth="11" defaultRowHeight="15.75"/>
  <cols>
    <col min="1" max="1" width="21.25" bestFit="1" customWidth="1"/>
    <col min="2" max="2" width="12.625" bestFit="1" customWidth="1"/>
    <col min="4" max="8" width="15.75" bestFit="1" customWidth="1"/>
    <col min="9" max="9" width="9.75" customWidth="1"/>
    <col min="10" max="10" width="25.125" customWidth="1"/>
    <col min="11" max="11" width="22" bestFit="1" customWidth="1"/>
    <col min="12" max="16" width="14.625" bestFit="1" customWidth="1"/>
    <col min="17" max="17" width="12.125" bestFit="1" customWidth="1"/>
    <col min="25" max="25" width="7.625" customWidth="1"/>
  </cols>
  <sheetData>
    <row r="1" spans="3:25" ht="56.25" customHeight="1">
      <c r="C1" s="621" t="s">
        <v>182</v>
      </c>
      <c r="D1" s="621"/>
      <c r="E1" s="621"/>
      <c r="F1" s="621"/>
      <c r="G1" s="621"/>
      <c r="H1" s="621"/>
      <c r="I1" s="621"/>
      <c r="J1" s="621"/>
      <c r="K1" s="621"/>
      <c r="L1" s="621"/>
      <c r="M1" s="621"/>
      <c r="N1" s="621"/>
      <c r="O1" s="621"/>
      <c r="P1" s="621"/>
      <c r="Q1" s="621"/>
      <c r="R1" s="621"/>
      <c r="S1" s="621"/>
      <c r="T1" s="621"/>
      <c r="U1" s="621"/>
      <c r="V1" s="621"/>
      <c r="W1" s="621"/>
      <c r="X1" s="621"/>
      <c r="Y1" s="621"/>
    </row>
    <row r="3" spans="3:25" ht="18.75">
      <c r="G3" s="622"/>
      <c r="H3" s="622"/>
      <c r="I3" s="622"/>
    </row>
    <row r="5" spans="3:25" ht="26.25">
      <c r="G5" s="623">
        <f>AVERAGE(Accion[Volumen])</f>
        <v>3542771044.9667616</v>
      </c>
      <c r="H5" s="623"/>
      <c r="I5" s="623"/>
    </row>
    <row r="11" spans="3:25">
      <c r="G11" s="620"/>
      <c r="H11" s="620"/>
      <c r="I11" s="620"/>
    </row>
    <row r="12" spans="3:25">
      <c r="G12" s="620"/>
      <c r="H12" s="620"/>
      <c r="I12" s="620"/>
    </row>
    <row r="13" spans="3:25">
      <c r="H13" s="73"/>
      <c r="I13" s="73"/>
    </row>
    <row r="14" spans="3:25">
      <c r="G14" s="74"/>
      <c r="H14" s="73"/>
      <c r="I14" s="73"/>
    </row>
    <row r="15" spans="3:25">
      <c r="I15" s="74"/>
    </row>
    <row r="16" spans="3:25">
      <c r="H16" s="74"/>
      <c r="I16" s="74"/>
    </row>
    <row r="20" spans="1:9">
      <c r="A20" s="9" t="str">
        <f>ResultadosOpertivosyFinancieros[[#Headers],[Concepto]]</f>
        <v>Concepto</v>
      </c>
      <c r="B20" s="9"/>
      <c r="C20" s="9"/>
      <c r="D20" s="75" t="str">
        <f>'Rs Oper y Fin Desta'!B2</f>
        <v>2014</v>
      </c>
      <c r="E20" s="75" t="str">
        <f>'Rs Oper y Fin Desta'!C2</f>
        <v>2015</v>
      </c>
      <c r="F20" s="75" t="str">
        <f>'Rs Oper y Fin Desta'!D2</f>
        <v>2016</v>
      </c>
      <c r="G20" s="75" t="str">
        <f>'Rs Oper y Fin Desta'!E2</f>
        <v>2017</v>
      </c>
      <c r="H20" s="75">
        <v>2018</v>
      </c>
      <c r="I20" s="75" t="s">
        <v>167</v>
      </c>
    </row>
    <row r="21" spans="1:9">
      <c r="A21" s="619" t="str">
        <f>'Rs Oper y Fin Desta'!A3</f>
        <v>Volumen de cemento consolidado</v>
      </c>
      <c r="B21" s="619"/>
      <c r="C21" s="619"/>
      <c r="D21" s="70">
        <f>'Rs Oper y Fin Desta'!B3</f>
        <v>7910</v>
      </c>
      <c r="E21" s="70">
        <f>'Rs Oper y Fin Desta'!C3</f>
        <v>7315</v>
      </c>
      <c r="F21" s="70">
        <f>'Rs Oper y Fin Desta'!D3</f>
        <v>7525</v>
      </c>
      <c r="G21" s="70">
        <f>'Rs Oper y Fin Desta'!E3</f>
        <v>7133</v>
      </c>
      <c r="H21" s="70">
        <f>'Rs Oper y Fin Desta'!F3</f>
        <v>6649</v>
      </c>
      <c r="I21" s="70"/>
    </row>
    <row r="22" spans="1:9">
      <c r="A22" s="619" t="str">
        <f>'Rs Oper y Fin Desta'!A4</f>
        <v>Volumen de cemento gris doméstico consolidado</v>
      </c>
      <c r="B22" s="619"/>
      <c r="C22" s="619"/>
      <c r="D22" s="70">
        <f>'Rs Oper y Fin Desta'!B4</f>
        <v>7074</v>
      </c>
      <c r="E22" s="70">
        <f>'Rs Oper y Fin Desta'!C4</f>
        <v>6636</v>
      </c>
      <c r="F22" s="70">
        <f>'Rs Oper y Fin Desta'!D4</f>
        <v>6569</v>
      </c>
      <c r="G22" s="70">
        <f>'Rs Oper y Fin Desta'!E4</f>
        <v>6241</v>
      </c>
      <c r="H22" s="70">
        <f>'Rs Oper y Fin Desta'!F4</f>
        <v>5855</v>
      </c>
    </row>
    <row r="23" spans="1:9">
      <c r="A23" s="619" t="str">
        <f>'Rs Oper y Fin Desta'!A5</f>
        <v>Volumen de concreto consolidado</v>
      </c>
      <c r="B23" s="619"/>
      <c r="C23" s="619"/>
      <c r="D23" s="70">
        <f>'Rs Oper y Fin Desta'!B5</f>
        <v>3497</v>
      </c>
      <c r="E23" s="70">
        <f>'Rs Oper y Fin Desta'!C5</f>
        <v>3395</v>
      </c>
      <c r="F23" s="70">
        <f>'Rs Oper y Fin Desta'!D5</f>
        <v>3079</v>
      </c>
      <c r="G23" s="70">
        <f>'Rs Oper y Fin Desta'!E5</f>
        <v>2908</v>
      </c>
      <c r="H23" s="70">
        <f>'Rs Oper y Fin Desta'!F5</f>
        <v>2604</v>
      </c>
    </row>
    <row r="24" spans="1:9">
      <c r="A24" s="619" t="str">
        <f>'Rs Oper y Fin Desta'!A6</f>
        <v>Volumen de agregados consolidado</v>
      </c>
      <c r="B24" s="619"/>
      <c r="C24" s="619"/>
      <c r="D24" s="70">
        <f>'Rs Oper y Fin Desta'!B6</f>
        <v>8671</v>
      </c>
      <c r="E24" s="70">
        <f>'Rs Oper y Fin Desta'!C6</f>
        <v>8447</v>
      </c>
      <c r="F24" s="70">
        <f>'Rs Oper y Fin Desta'!D6</f>
        <v>7264</v>
      </c>
      <c r="G24" s="70">
        <f>'Rs Oper y Fin Desta'!E6</f>
        <v>6985</v>
      </c>
      <c r="H24" s="70">
        <f>'Rs Oper y Fin Desta'!F6</f>
        <v>6265</v>
      </c>
    </row>
    <row r="25" spans="1:9">
      <c r="A25" s="619" t="str">
        <f>'Rs Oper y Fin Desta'!A18</f>
        <v>Utilidad por acción</v>
      </c>
      <c r="B25" s="619"/>
      <c r="C25" s="619"/>
      <c r="D25" s="70">
        <f>'Rs Oper y Fin Desta'!B18</f>
        <v>0.49160484366871388</v>
      </c>
      <c r="E25" s="70">
        <f>'Rs Oper y Fin Desta'!C18</f>
        <v>0.17163025117914985</v>
      </c>
      <c r="F25" s="70">
        <f>'Rs Oper y Fin Desta'!D18</f>
        <v>0.25109057436085469</v>
      </c>
      <c r="G25" s="70">
        <f>'Rs Oper y Fin Desta'!E18</f>
        <v>8.2782480087244162E-2</v>
      </c>
      <c r="H25" s="70">
        <f>'Rs Oper y Fin Desta'!F18</f>
        <v>0.11265183969011346</v>
      </c>
    </row>
    <row r="26" spans="1:9">
      <c r="A26" s="619" t="str">
        <f>'Rs Oper y Fin Desta'!A19</f>
        <v>Acciones en circulación al final del Periodo</v>
      </c>
      <c r="B26" s="619"/>
      <c r="C26" s="619"/>
      <c r="D26" s="70">
        <f>'Rs Oper y Fin Desta'!B19</f>
        <v>556133658</v>
      </c>
      <c r="E26" s="70">
        <f>'Rs Oper y Fin Desta'!C19</f>
        <v>556376276</v>
      </c>
      <c r="F26" s="70">
        <f>'Rs Oper y Fin Desta'!D19</f>
        <v>556647737</v>
      </c>
      <c r="G26" s="70">
        <f>'Rs Oper y Fin Desta'!E19</f>
        <v>556820718</v>
      </c>
      <c r="H26" s="70">
        <f>'Rs Oper y Fin Desta'!F19</f>
        <v>557079229</v>
      </c>
    </row>
    <row r="27" spans="1:9">
      <c r="A27" s="619" t="str">
        <f>'Rs Oper y Fin Desta'!A20</f>
        <v>Empleados</v>
      </c>
      <c r="B27" s="619"/>
      <c r="C27" s="619"/>
      <c r="D27" s="70">
        <f>'Rs Oper y Fin Desta'!B20</f>
        <v>4915</v>
      </c>
      <c r="E27" s="70">
        <f>'Rs Oper y Fin Desta'!C20</f>
        <v>4813</v>
      </c>
      <c r="F27" s="70">
        <f>'Rs Oper y Fin Desta'!D20</f>
        <v>4707</v>
      </c>
      <c r="G27" s="70">
        <f>'Rs Oper y Fin Desta'!E20</f>
        <v>4297</v>
      </c>
      <c r="H27" s="70">
        <f>'Rs Oper y Fin Desta'!F20</f>
        <v>4067</v>
      </c>
    </row>
    <row r="39" spans="10:16">
      <c r="J39" s="9" t="str">
        <f>'Indicadores Estrategicos'!B2</f>
        <v>INDICADOR FINANCIERO</v>
      </c>
      <c r="K39" s="75" t="str">
        <f>'Indicadores Estrategicos'!D2</f>
        <v>2013</v>
      </c>
      <c r="L39" s="75" t="str">
        <f>'Indicadores Estrategicos'!E2</f>
        <v>2014</v>
      </c>
      <c r="M39" s="75" t="str">
        <f>'Indicadores Estrategicos'!F2</f>
        <v>2015</v>
      </c>
      <c r="N39" s="75" t="str">
        <f>'Indicadores Estrategicos'!G2</f>
        <v>2016</v>
      </c>
      <c r="O39" s="75" t="str">
        <f>'Indicadores Estrategicos'!H2</f>
        <v>2017</v>
      </c>
      <c r="P39" s="75" t="str">
        <f>'Indicadores Estrategicos'!I2</f>
        <v>2018</v>
      </c>
    </row>
    <row r="40" spans="10:16">
      <c r="J40" s="10" t="str">
        <f>'Indicadores Estrategicos'!B3</f>
        <v>EBITDA</v>
      </c>
      <c r="K40" s="72">
        <f>'Indicadores Estrategicos'!D3</f>
        <v>632682</v>
      </c>
      <c r="L40" s="72">
        <f>'Indicadores Estrategicos'!E3</f>
        <v>576940</v>
      </c>
      <c r="M40" s="72">
        <f>'Indicadores Estrategicos'!F3</f>
        <v>449772</v>
      </c>
      <c r="N40" s="72">
        <f>'Indicadores Estrategicos'!G3</f>
        <v>423650</v>
      </c>
      <c r="O40" s="72">
        <f>'Indicadores Estrategicos'!H3</f>
        <v>314108</v>
      </c>
      <c r="P40" s="72">
        <f>'Indicadores Estrategicos'!I3</f>
        <v>242507</v>
      </c>
    </row>
    <row r="41" spans="10:16">
      <c r="J41" s="10" t="str">
        <f>'Indicadores Estrategicos'!B4</f>
        <v>Margen Ebitda</v>
      </c>
      <c r="K41" s="141">
        <f>'Indicadores Estrategicos'!D4</f>
        <v>0.36150860857223177</v>
      </c>
      <c r="L41" s="141">
        <f>'Indicadores Estrategicos'!E4</f>
        <v>0.33451420818572397</v>
      </c>
      <c r="M41" s="141">
        <f>'Indicadores Estrategicos'!F4</f>
        <v>0.31517429564881033</v>
      </c>
      <c r="N41" s="141">
        <f>'Indicadores Estrategicos'!G4</f>
        <v>0.32208745208412209</v>
      </c>
      <c r="O41" s="141">
        <f>'Indicadores Estrategicos'!H4</f>
        <v>0.26035659905524705</v>
      </c>
      <c r="P41" s="141">
        <f>'Indicadores Estrategicos'!I4</f>
        <v>0.2188041637456026</v>
      </c>
    </row>
    <row r="42" spans="10:16">
      <c r="J42" s="10" t="str">
        <f>'Indicadores Estrategicos'!B5</f>
        <v>KTNO</v>
      </c>
      <c r="K42" s="72">
        <f>'Indicadores Estrategicos'!D5</f>
        <v>0</v>
      </c>
      <c r="L42" s="72">
        <f>'Indicadores Estrategicos'!E5</f>
        <v>33629</v>
      </c>
      <c r="M42" s="72">
        <f>'Indicadores Estrategicos'!F5</f>
        <v>54447</v>
      </c>
      <c r="N42" s="72">
        <f>'Indicadores Estrategicos'!G5</f>
        <v>32363</v>
      </c>
      <c r="O42" s="72">
        <f>'Indicadores Estrategicos'!H5</f>
        <v>-21248</v>
      </c>
      <c r="P42" s="72">
        <f>'Indicadores Estrategicos'!I5</f>
        <v>-52540</v>
      </c>
    </row>
    <row r="43" spans="10:16">
      <c r="J43" s="10" t="str">
        <f>'Indicadores Estrategicos'!B6</f>
        <v>PKT</v>
      </c>
      <c r="K43" s="70">
        <f>'Indicadores Estrategicos'!D6</f>
        <v>0</v>
      </c>
      <c r="L43" s="70">
        <f>'Indicadores Estrategicos'!E6</f>
        <v>1.949835044732158E-2</v>
      </c>
      <c r="M43" s="70">
        <f>'Indicadores Estrategicos'!F6</f>
        <v>3.8153319626812648E-2</v>
      </c>
      <c r="N43" s="70">
        <f>'Indicadores Estrategicos'!G6</f>
        <v>2.4604546705531555E-2</v>
      </c>
      <c r="O43" s="70">
        <f>'Indicadores Estrategicos'!H6</f>
        <v>-1.7611958360582634E-2</v>
      </c>
      <c r="P43" s="70">
        <f>'Indicadores Estrategicos'!I6</f>
        <v>-4.7404696619866481E-2</v>
      </c>
    </row>
    <row r="44" spans="10:16">
      <c r="J44" s="10" t="str">
        <f>'Indicadores Estrategicos'!B7</f>
        <v>Cobertura de Intereses</v>
      </c>
      <c r="K44" s="70">
        <f>'Indicadores Estrategicos'!D7</f>
        <v>5.5614528577205045</v>
      </c>
      <c r="L44" s="70">
        <f>'Indicadores Estrategicos'!E7</f>
        <v>6.3786222069895739</v>
      </c>
      <c r="M44" s="70">
        <f>'Indicadores Estrategicos'!F7</f>
        <v>6.0987687801703094</v>
      </c>
      <c r="N44" s="70">
        <f>'Indicadores Estrategicos'!G7</f>
        <v>6.6506020313652847</v>
      </c>
      <c r="O44" s="70">
        <f>'Indicadores Estrategicos'!H7</f>
        <v>4.9656633362843055</v>
      </c>
      <c r="P44" s="70">
        <f>'Indicadores Estrategicos'!I7</f>
        <v>4.1102881355932199</v>
      </c>
    </row>
    <row r="45" spans="10:16">
      <c r="J45" s="10" t="str">
        <f>'Indicadores Estrategicos'!B8</f>
        <v>Deuda Bruta / EBITDA</v>
      </c>
      <c r="K45" s="70">
        <f>'Indicadores Estrategicos'!D8</f>
        <v>2.3200991967528712</v>
      </c>
      <c r="L45" s="70">
        <f>'Indicadores Estrategicos'!E8</f>
        <v>2.1127638922591605</v>
      </c>
      <c r="M45" s="70">
        <f>'Indicadores Estrategicos'!F8</f>
        <v>2.461275935362806</v>
      </c>
      <c r="N45" s="70">
        <f>'Indicadores Estrategicos'!G8</f>
        <v>2.3980337542782957</v>
      </c>
      <c r="O45" s="70">
        <f>'Indicadores Estrategicos'!H8</f>
        <v>3.0573592522317163</v>
      </c>
      <c r="P45" s="70">
        <f>'Indicadores Estrategicos'!I8</f>
        <v>3.6498204175549573</v>
      </c>
    </row>
    <row r="46" spans="10:16">
      <c r="J46" s="10" t="str">
        <f>'Indicadores Estrategicos'!B9</f>
        <v>Deuda Neta / EBITDA</v>
      </c>
      <c r="K46" s="70">
        <f>'Indicadores Estrategicos'!D9</f>
        <v>2.198883483329698</v>
      </c>
      <c r="L46" s="70">
        <f>'Indicadores Estrategicos'!E9</f>
        <v>2.0230283911671925</v>
      </c>
      <c r="M46" s="70">
        <f>'Indicadores Estrategicos'!F9</f>
        <v>2.3420266268242576</v>
      </c>
      <c r="N46" s="70">
        <f>'Indicadores Estrategicos'!G9</f>
        <v>2.2920335182343914</v>
      </c>
      <c r="O46" s="70">
        <f>'Indicadores Estrategicos'!H9</f>
        <v>2.9136061482038027</v>
      </c>
      <c r="P46" s="70">
        <f>'Indicadores Estrategicos'!I9</f>
        <v>3.496727929503066</v>
      </c>
    </row>
    <row r="47" spans="10:16">
      <c r="J47" s="10" t="str">
        <f>'Indicadores Estrategicos'!B10</f>
        <v xml:space="preserve">UODI </v>
      </c>
      <c r="K47" s="72">
        <f>'Indicadores Estrategicos'!D10</f>
        <v>397459</v>
      </c>
      <c r="L47" s="72">
        <f>'Indicadores Estrategicos'!E10</f>
        <v>336425</v>
      </c>
      <c r="M47" s="72">
        <f>'Indicadores Estrategicos'!F10</f>
        <v>272349</v>
      </c>
      <c r="N47" s="72">
        <f>'Indicadores Estrategicos'!G10</f>
        <v>234673</v>
      </c>
      <c r="O47" s="72">
        <f>'Indicadores Estrategicos'!H10</f>
        <v>181828</v>
      </c>
      <c r="P47" s="72">
        <f>'Indicadores Estrategicos'!I10</f>
        <v>131218</v>
      </c>
    </row>
    <row r="48" spans="10:16">
      <c r="J48" s="10" t="str">
        <f>'Indicadores Estrategicos'!B11</f>
        <v>Activo de operación inicial</v>
      </c>
      <c r="K48" s="72">
        <f>'Indicadores Estrategicos'!D11</f>
        <v>3378849</v>
      </c>
      <c r="L48" s="72">
        <f>'Indicadores Estrategicos'!E11</f>
        <v>3178239</v>
      </c>
      <c r="M48" s="72">
        <f>'Indicadores Estrategicos'!F11</f>
        <v>2955569</v>
      </c>
      <c r="N48" s="72">
        <f>'Indicadores Estrategicos'!G11</f>
        <v>3055247</v>
      </c>
      <c r="O48" s="72">
        <f>'Indicadores Estrategicos'!H11</f>
        <v>2934590</v>
      </c>
      <c r="P48" s="72">
        <f>'Indicadores Estrategicos'!I11</f>
        <v>2669851</v>
      </c>
    </row>
    <row r="49" spans="3:16">
      <c r="J49" s="10" t="str">
        <f>'Indicadores Estrategicos'!B12</f>
        <v>Rentabilidad del activo neto</v>
      </c>
      <c r="K49" s="76">
        <f>'Indicadores Estrategicos'!D12</f>
        <v>0.11828341307995355</v>
      </c>
      <c r="L49" s="76">
        <f>'Indicadores Estrategicos'!E12</f>
        <v>0.10666532657963287</v>
      </c>
      <c r="M49" s="76">
        <f>'Indicadores Estrategicos'!F12</f>
        <v>9.280298061029045E-2</v>
      </c>
      <c r="N49" s="76">
        <f>'Indicadores Estrategicos'!G12</f>
        <v>7.7142766039208291E-2</v>
      </c>
      <c r="O49" s="76">
        <f>'Indicadores Estrategicos'!H12</f>
        <v>6.217891570240925E-2</v>
      </c>
      <c r="P49" s="76">
        <f>'Indicadores Estrategicos'!I12</f>
        <v>4.9227456298805684E-2</v>
      </c>
    </row>
    <row r="50" spans="3:16">
      <c r="J50" s="10" t="str">
        <f>'Indicadores Estrategicos'!B13</f>
        <v>ROIC</v>
      </c>
      <c r="K50" s="76">
        <f>'Indicadores Estrategicos'!D13</f>
        <v>0.19725457832962734</v>
      </c>
      <c r="L50" s="76">
        <f>'Indicadores Estrategicos'!E13</f>
        <v>0.10483287595278545</v>
      </c>
      <c r="M50" s="76">
        <f>'Indicadores Estrategicos'!F13</f>
        <v>8.7217322397240366E-2</v>
      </c>
      <c r="N50" s="76">
        <f>'Indicadores Estrategicos'!G13</f>
        <v>7.9739239735236972E-2</v>
      </c>
      <c r="O50" s="76">
        <f>'Indicadores Estrategicos'!H13</f>
        <v>5.650616897967544E-2</v>
      </c>
      <c r="P50" s="76">
        <f>'Indicadores Estrategicos'!I13</f>
        <v>4.2360467711127586E-2</v>
      </c>
    </row>
    <row r="51" spans="3:16">
      <c r="J51" s="10" t="str">
        <f>'Indicadores Estrategicos'!B14</f>
        <v>ROE</v>
      </c>
      <c r="K51" s="76">
        <f>'Indicadores Estrategicos'!D14</f>
        <v>0.19448238890292119</v>
      </c>
      <c r="L51" s="76">
        <f>'Indicadores Estrategicos'!E14</f>
        <v>0.19515422936000509</v>
      </c>
      <c r="M51" s="76">
        <f>'Indicadores Estrategicos'!F14</f>
        <v>7.251664053037063E-2</v>
      </c>
      <c r="N51" s="76">
        <f>'Indicadores Estrategicos'!G14</f>
        <v>9.4828656547104942E-2</v>
      </c>
      <c r="O51" s="76">
        <f>'Indicadores Estrategicos'!H14</f>
        <v>2.9872751604781454E-2</v>
      </c>
      <c r="P51" s="76">
        <f>'Indicadores Estrategicos'!I14</f>
        <v>4.1352107701563189E-2</v>
      </c>
    </row>
    <row r="52" spans="3:16">
      <c r="J52" s="10" t="str">
        <f>'Indicadores Estrategicos'!B15</f>
        <v>ROA</v>
      </c>
      <c r="K52" s="76">
        <f>'Indicadores Estrategicos'!D15</f>
        <v>6.884294082441679E-2</v>
      </c>
      <c r="L52" s="76">
        <f>'Indicadores Estrategicos'!E15</f>
        <v>7.8473796908098303E-2</v>
      </c>
      <c r="M52" s="76">
        <f>'Indicadores Estrategicos'!F15</f>
        <v>2.9869593641399718E-2</v>
      </c>
      <c r="N52" s="76">
        <f>'Indicadores Estrategicos'!G15</f>
        <v>4.242307064249088E-2</v>
      </c>
      <c r="O52" s="76">
        <f>'Indicadores Estrategicos'!H15</f>
        <v>1.3993671502849584E-2</v>
      </c>
      <c r="P52" s="76">
        <f>'Indicadores Estrategicos'!I15</f>
        <v>2.0590718296360531E-2</v>
      </c>
    </row>
    <row r="64" spans="3:16">
      <c r="C64" s="617">
        <f>'WACC '!C25</f>
        <v>9.0944453726414964E-2</v>
      </c>
      <c r="D64" s="618"/>
      <c r="E64" s="618"/>
      <c r="F64" s="618"/>
      <c r="G64" s="618"/>
    </row>
    <row r="65" spans="1:17">
      <c r="C65" s="618"/>
      <c r="D65" s="618"/>
      <c r="E65" s="618"/>
      <c r="F65" s="618"/>
      <c r="G65" s="618"/>
    </row>
    <row r="66" spans="1:17">
      <c r="C66" s="618"/>
      <c r="D66" s="618"/>
      <c r="E66" s="618"/>
      <c r="F66" s="618"/>
      <c r="G66" s="618"/>
    </row>
    <row r="67" spans="1:17">
      <c r="C67" s="618"/>
      <c r="D67" s="618"/>
      <c r="E67" s="618"/>
      <c r="F67" s="618"/>
      <c r="G67" s="618"/>
    </row>
    <row r="68" spans="1:17">
      <c r="C68" s="618"/>
      <c r="D68" s="618"/>
      <c r="E68" s="618"/>
      <c r="F68" s="618"/>
      <c r="G68" s="618"/>
    </row>
    <row r="69" spans="1:17">
      <c r="C69" s="618"/>
      <c r="D69" s="618"/>
      <c r="E69" s="618"/>
      <c r="F69" s="618"/>
      <c r="G69" s="618"/>
    </row>
    <row r="72" spans="1:17">
      <c r="J72" s="84" t="s">
        <v>54</v>
      </c>
      <c r="K72" t="s">
        <v>804</v>
      </c>
    </row>
    <row r="73" spans="1:17" ht="18.75">
      <c r="A73" s="308" t="s">
        <v>1084</v>
      </c>
      <c r="B73" s="308">
        <v>2014</v>
      </c>
      <c r="C73" s="308">
        <v>2015</v>
      </c>
      <c r="D73" s="308">
        <v>2016</v>
      </c>
      <c r="E73" s="308">
        <v>2017</v>
      </c>
      <c r="F73" s="308">
        <v>2018</v>
      </c>
    </row>
    <row r="74" spans="1:17">
      <c r="A74" s="246" t="s">
        <v>39</v>
      </c>
      <c r="B74" s="41">
        <f>Indicadores!E31</f>
        <v>576940</v>
      </c>
      <c r="C74" s="41">
        <f>Indicadores!F31</f>
        <v>449772</v>
      </c>
      <c r="D74" s="41">
        <f>Indicadores!G31</f>
        <v>423650</v>
      </c>
      <c r="E74" s="41">
        <f>Indicadores!H31</f>
        <v>314108</v>
      </c>
      <c r="F74" s="41">
        <f>Indicadores!I31</f>
        <v>242507</v>
      </c>
      <c r="K74" s="84" t="s">
        <v>964</v>
      </c>
    </row>
    <row r="75" spans="1:17">
      <c r="A75" s="246" t="s">
        <v>927</v>
      </c>
      <c r="B75" s="41">
        <f>Indicadores!E38</f>
        <v>336425</v>
      </c>
      <c r="C75" s="41">
        <f>Indicadores!F38</f>
        <v>272349</v>
      </c>
      <c r="D75" s="41">
        <f>Indicadores!G38</f>
        <v>234673</v>
      </c>
      <c r="E75" s="41">
        <f>Indicadores!H38</f>
        <v>181828</v>
      </c>
      <c r="F75" s="41">
        <f>Indicadores!I38</f>
        <v>131218</v>
      </c>
      <c r="J75" s="84" t="s">
        <v>689</v>
      </c>
      <c r="K75" t="s">
        <v>55</v>
      </c>
      <c r="L75" t="s">
        <v>57</v>
      </c>
      <c r="M75" t="s">
        <v>638</v>
      </c>
      <c r="N75" t="s">
        <v>644</v>
      </c>
      <c r="O75" t="s">
        <v>610</v>
      </c>
      <c r="P75" t="s">
        <v>712</v>
      </c>
      <c r="Q75" t="s">
        <v>571</v>
      </c>
    </row>
    <row r="76" spans="1:17">
      <c r="A76" s="357" t="s">
        <v>928</v>
      </c>
      <c r="B76" s="41">
        <f>+FCL!C11</f>
        <v>284297</v>
      </c>
      <c r="C76" s="41">
        <f>+FCL!D11</f>
        <v>207286</v>
      </c>
      <c r="D76" s="41">
        <f>+FCL!E11</f>
        <v>147043</v>
      </c>
      <c r="E76" s="41">
        <f>+FCL!F11</f>
        <v>157180</v>
      </c>
      <c r="F76" s="41">
        <f>+FCL!H11</f>
        <v>139425</v>
      </c>
      <c r="J76" s="45" t="s">
        <v>1085</v>
      </c>
      <c r="K76" s="191">
        <v>0.13600000000000001</v>
      </c>
      <c r="L76" s="191">
        <v>2.1000000000000001E-2</v>
      </c>
      <c r="M76" s="191">
        <v>5.6000000000000001E-2</v>
      </c>
      <c r="N76" s="191">
        <v>0.2903</v>
      </c>
      <c r="O76" s="191">
        <v>0.21199999999999999</v>
      </c>
      <c r="P76" s="191">
        <v>-0.152</v>
      </c>
      <c r="Q76" s="191">
        <v>0.56329999999999991</v>
      </c>
    </row>
    <row r="77" spans="1:17">
      <c r="A77" s="246" t="s">
        <v>164</v>
      </c>
      <c r="B77" s="76">
        <f>Indicadores!E42</f>
        <v>0.19515422936000509</v>
      </c>
      <c r="C77" s="76">
        <f>Indicadores!F42</f>
        <v>7.251664053037063E-2</v>
      </c>
      <c r="D77" s="76">
        <f>Indicadores!G42</f>
        <v>9.4828656547104942E-2</v>
      </c>
      <c r="E77" s="76">
        <f>Indicadores!H42</f>
        <v>2.9872751604781454E-2</v>
      </c>
      <c r="F77" s="76">
        <f>Indicadores!I42</f>
        <v>4.1352107701563189E-2</v>
      </c>
      <c r="J77" s="45" t="s">
        <v>1086</v>
      </c>
      <c r="K77" s="191">
        <v>7.0000000000000007E-2</v>
      </c>
      <c r="L77" s="191">
        <v>9.4E-2</v>
      </c>
      <c r="M77" s="191">
        <v>3.9E-2</v>
      </c>
      <c r="N77" s="191">
        <v>0.21310000000000001</v>
      </c>
      <c r="O77" s="191">
        <v>0.122</v>
      </c>
      <c r="P77" s="191">
        <v>6.6000000000000003E-2</v>
      </c>
      <c r="Q77" s="191">
        <v>0.60410000000000008</v>
      </c>
    </row>
    <row r="78" spans="1:17">
      <c r="A78" s="246" t="s">
        <v>165</v>
      </c>
      <c r="B78" s="76">
        <f>Indicadores!E43</f>
        <v>7.8473796908098303E-2</v>
      </c>
      <c r="C78" s="76">
        <f>Indicadores!F43</f>
        <v>2.9869593641399718E-2</v>
      </c>
      <c r="D78" s="76">
        <f>Indicadores!G43</f>
        <v>4.242307064249088E-2</v>
      </c>
      <c r="E78" s="76">
        <f>Indicadores!H43</f>
        <v>1.3993671502849584E-2</v>
      </c>
      <c r="F78" s="76">
        <f>Indicadores!I43</f>
        <v>2.0590718296360531E-2</v>
      </c>
      <c r="J78" s="45" t="s">
        <v>1087</v>
      </c>
      <c r="K78" s="191">
        <v>-1.2999999999999999E-2</v>
      </c>
      <c r="L78" s="191">
        <v>-3.4000000000000002E-2</v>
      </c>
      <c r="M78" s="191">
        <v>4.2999999999999997E-2</v>
      </c>
      <c r="N78" s="191">
        <v>-5.0900000000000001E-2</v>
      </c>
      <c r="O78" s="191">
        <v>8.4000000000000005E-2</v>
      </c>
      <c r="P78" s="191">
        <v>0.10299999999999999</v>
      </c>
      <c r="Q78" s="191">
        <v>0.1321</v>
      </c>
    </row>
    <row r="79" spans="1:17">
      <c r="A79" s="246" t="s">
        <v>163</v>
      </c>
      <c r="B79" s="76">
        <f>Indicadores!E41</f>
        <v>0.10483287595278545</v>
      </c>
      <c r="C79" s="76">
        <f>Indicadores!F41</f>
        <v>8.7217322397240366E-2</v>
      </c>
      <c r="D79" s="76">
        <f>Indicadores!G41</f>
        <v>7.9739239735236972E-2</v>
      </c>
      <c r="E79" s="76">
        <f>Indicadores!H41</f>
        <v>5.650616897967544E-2</v>
      </c>
      <c r="F79" s="76">
        <f>Indicadores!I41</f>
        <v>4.2360467711127586E-2</v>
      </c>
      <c r="J79" s="45" t="s">
        <v>1088</v>
      </c>
      <c r="K79" s="459">
        <v>4.0000000000000001E-3</v>
      </c>
      <c r="L79" s="459">
        <v>-5.5E-2</v>
      </c>
      <c r="M79" s="459">
        <v>5.2999999999999999E-2</v>
      </c>
      <c r="N79" s="459">
        <v>4.9399999999999999E-2</v>
      </c>
      <c r="O79" s="459">
        <v>0.06</v>
      </c>
      <c r="P79" s="459">
        <v>2.1999999999999999E-2</v>
      </c>
      <c r="Q79" s="459">
        <v>0.13339999999999999</v>
      </c>
    </row>
    <row r="80" spans="1:17">
      <c r="A80" s="246" t="s">
        <v>929</v>
      </c>
      <c r="B80" s="41">
        <f>Indicadores!E44</f>
        <v>-134401</v>
      </c>
      <c r="C80" s="41">
        <f>Indicadores!F44</f>
        <v>-186628</v>
      </c>
      <c r="D80" s="41">
        <f>Indicadores!G44</f>
        <v>-187408</v>
      </c>
      <c r="E80" s="41">
        <f>Indicadores!H44</f>
        <v>-68878</v>
      </c>
      <c r="F80" s="41">
        <f>Indicadores!I44</f>
        <v>-2950</v>
      </c>
      <c r="J80" s="45" t="s">
        <v>1089</v>
      </c>
      <c r="K80" s="459">
        <v>4.2000000000000003E-2</v>
      </c>
      <c r="L80" s="459">
        <v>0.218</v>
      </c>
      <c r="M80" s="459"/>
      <c r="N80" s="459">
        <v>-7.7700000000000005E-2</v>
      </c>
      <c r="O80" s="459">
        <v>2.1000000000000001E-2</v>
      </c>
      <c r="P80" s="459">
        <v>4.7E-2</v>
      </c>
      <c r="Q80" s="459">
        <v>0.25030000000000002</v>
      </c>
    </row>
    <row r="81" spans="1:6">
      <c r="A81" s="246" t="s">
        <v>1083</v>
      </c>
      <c r="B81" s="7">
        <f>Indicadores!E32</f>
        <v>0.33451420818572397</v>
      </c>
      <c r="C81" s="7">
        <f>Indicadores!F32</f>
        <v>0.31517429564881033</v>
      </c>
      <c r="D81" s="7">
        <f>Indicadores!G32</f>
        <v>0.32208745208412209</v>
      </c>
      <c r="E81" s="7">
        <f>Indicadores!H32</f>
        <v>0.26035659905524705</v>
      </c>
      <c r="F81" s="7">
        <f>Indicadores!I32</f>
        <v>0.2188041637456026</v>
      </c>
    </row>
  </sheetData>
  <mergeCells count="12">
    <mergeCell ref="C1:Y1"/>
    <mergeCell ref="A21:C21"/>
    <mergeCell ref="A22:C22"/>
    <mergeCell ref="A23:C23"/>
    <mergeCell ref="A24:C24"/>
    <mergeCell ref="G3:I3"/>
    <mergeCell ref="G5:I5"/>
    <mergeCell ref="C64:G69"/>
    <mergeCell ref="A25:C25"/>
    <mergeCell ref="A26:C26"/>
    <mergeCell ref="A27:C27"/>
    <mergeCell ref="G11:I12"/>
  </mergeCells>
  <pageMargins left="0.7" right="0.7" top="0.75" bottom="0.75" header="0.3" footer="0.3"/>
  <pageSetup paperSize="9" orientation="portrait" r:id="rId2"/>
  <drawing r:id="rId3"/>
  <extLst>
    <ext xmlns:x14="http://schemas.microsoft.com/office/spreadsheetml/2009/9/main" uri="{05C60535-1F16-4fd2-B633-F4F36F0B64E0}">
      <x14:sparklineGroups xmlns:xm="http://schemas.microsoft.com/office/excel/2006/main">
        <x14:sparklineGroup displayEmptyCellsAs="gap" markers="1" high="1" low="1" first="1" last="1" negative="1">
          <x14:colorSeries rgb="FF376092"/>
          <x14:colorNegative rgb="FFD00000"/>
          <x14:colorAxis rgb="FF000000"/>
          <x14:colorMarkers rgb="FFD00000"/>
          <x14:colorFirst rgb="FFD00000"/>
          <x14:colorLast rgb="FFD00000"/>
          <x14:colorHigh rgb="FFD00000"/>
          <x14:colorLow rgb="FFD00000"/>
          <x14:sparklines>
            <x14:sparkline>
              <xm:f>Dashboard!D21:G21</xm:f>
              <xm:sqref>I21</xm:sqref>
            </x14:sparkline>
            <x14:sparkline>
              <xm:f>Dashboard!D22:G22</xm:f>
              <xm:sqref>I22</xm:sqref>
            </x14:sparkline>
            <x14:sparkline>
              <xm:f>Dashboard!D23:G23</xm:f>
              <xm:sqref>I23</xm:sqref>
            </x14:sparkline>
            <x14:sparkline>
              <xm:f>Dashboard!D24:G24</xm:f>
              <xm:sqref>I24</xm:sqref>
            </x14:sparkline>
            <x14:sparkline>
              <xm:f>Dashboard!D25:G25</xm:f>
              <xm:sqref>I25</xm:sqref>
            </x14:sparkline>
            <x14:sparkline>
              <xm:f>Dashboard!D26:G26</xm:f>
              <xm:sqref>I26</xm:sqref>
            </x14:sparkline>
            <x14:sparkline>
              <xm:f>Dashboard!D27:G27</xm:f>
              <xm:sqref>I27</xm:sqref>
            </x14:sparkline>
          </x14:sparklines>
        </x14:sparklineGroup>
      </x14:sparklineGroups>
    </ex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2:K74"/>
  <sheetViews>
    <sheetView showGridLines="0" workbookViewId="0">
      <selection activeCell="A10" sqref="A10"/>
    </sheetView>
  </sheetViews>
  <sheetFormatPr baseColWidth="10" defaultColWidth="11" defaultRowHeight="15.75"/>
  <cols>
    <col min="1" max="1" width="46.375" customWidth="1"/>
    <col min="2" max="3" width="11.875" bestFit="1" customWidth="1"/>
    <col min="8" max="8" width="14.5" customWidth="1"/>
  </cols>
  <sheetData>
    <row r="2" spans="1:11">
      <c r="A2" s="54"/>
    </row>
    <row r="3" spans="1:11">
      <c r="A3" s="9" t="s">
        <v>68</v>
      </c>
      <c r="B3" s="9" t="s">
        <v>63</v>
      </c>
      <c r="C3" s="9" t="s">
        <v>62</v>
      </c>
    </row>
    <row r="4" spans="1:11">
      <c r="A4" s="10" t="s">
        <v>0</v>
      </c>
    </row>
    <row r="5" spans="1:11">
      <c r="A5" s="20" t="s">
        <v>1</v>
      </c>
    </row>
    <row r="6" spans="1:11">
      <c r="A6" s="21" t="s">
        <v>2</v>
      </c>
      <c r="B6" s="11">
        <v>51772</v>
      </c>
      <c r="C6" s="23">
        <v>53635</v>
      </c>
      <c r="D6" s="1">
        <f>+B6-C6</f>
        <v>-1863</v>
      </c>
      <c r="H6" t="s">
        <v>866</v>
      </c>
      <c r="I6" s="253">
        <f>SUM(D7:D12)+D24+D26+D27</f>
        <v>54447</v>
      </c>
      <c r="J6" s="1">
        <f>+I6</f>
        <v>54447</v>
      </c>
    </row>
    <row r="7" spans="1:11">
      <c r="A7" s="21" t="s">
        <v>3</v>
      </c>
      <c r="B7" s="11">
        <v>122003</v>
      </c>
      <c r="C7" s="23">
        <v>91568</v>
      </c>
      <c r="D7" s="253">
        <f t="shared" ref="D7:D18" si="0">+B7-C7</f>
        <v>30435</v>
      </c>
    </row>
    <row r="8" spans="1:11">
      <c r="A8" s="21" t="s">
        <v>4</v>
      </c>
      <c r="B8" s="11">
        <v>270</v>
      </c>
      <c r="C8" s="23">
        <v>3222</v>
      </c>
      <c r="D8" s="253">
        <f t="shared" si="0"/>
        <v>-2952</v>
      </c>
      <c r="H8" t="s">
        <v>867</v>
      </c>
      <c r="I8" s="255">
        <f>+D23+D25+D30+D31</f>
        <v>-111925</v>
      </c>
      <c r="J8" s="1">
        <f t="shared" ref="J8:J9" si="1">+I8</f>
        <v>-111925</v>
      </c>
    </row>
    <row r="9" spans="1:11">
      <c r="A9" s="21" t="s">
        <v>5</v>
      </c>
      <c r="B9" s="11">
        <v>19523</v>
      </c>
      <c r="C9" s="23">
        <v>12694</v>
      </c>
      <c r="D9" s="253">
        <f t="shared" si="0"/>
        <v>6829</v>
      </c>
      <c r="H9" t="s">
        <v>868</v>
      </c>
      <c r="I9" s="256">
        <f>+D15+D18+D32+D33+D34</f>
        <v>-96682</v>
      </c>
      <c r="J9" s="1">
        <f t="shared" si="1"/>
        <v>-96682</v>
      </c>
    </row>
    <row r="10" spans="1:11">
      <c r="A10" s="21" t="s">
        <v>91</v>
      </c>
      <c r="B10" s="11">
        <v>13959</v>
      </c>
      <c r="C10" s="23">
        <v>25695</v>
      </c>
      <c r="D10" s="253">
        <f t="shared" si="0"/>
        <v>-11736</v>
      </c>
      <c r="I10" s="492" t="s">
        <v>1381</v>
      </c>
    </row>
    <row r="11" spans="1:11">
      <c r="A11" s="21" t="s">
        <v>6</v>
      </c>
      <c r="B11" s="11">
        <v>102821</v>
      </c>
      <c r="C11" s="23">
        <v>86134</v>
      </c>
      <c r="D11" s="253">
        <f t="shared" si="0"/>
        <v>16687</v>
      </c>
      <c r="H11" t="s">
        <v>869</v>
      </c>
      <c r="I11" s="258">
        <v>84954</v>
      </c>
    </row>
    <row r="12" spans="1:11">
      <c r="A12" s="21" t="s">
        <v>7</v>
      </c>
      <c r="B12" s="11">
        <v>18347</v>
      </c>
      <c r="C12" s="23">
        <v>14421</v>
      </c>
      <c r="D12" s="253">
        <f t="shared" si="0"/>
        <v>3926</v>
      </c>
      <c r="H12" t="s">
        <v>854</v>
      </c>
      <c r="I12" s="258">
        <v>-186628</v>
      </c>
      <c r="J12" s="1">
        <f t="shared" ref="J12" si="2">+I12</f>
        <v>-186628</v>
      </c>
    </row>
    <row r="13" spans="1:11">
      <c r="A13" s="20" t="s">
        <v>8</v>
      </c>
      <c r="B13" s="11">
        <f t="shared" ref="B13:C13" si="3">SUM(B6:B12)</f>
        <v>328695</v>
      </c>
      <c r="C13" s="23">
        <f t="shared" si="3"/>
        <v>287369</v>
      </c>
      <c r="D13" s="1"/>
      <c r="H13" t="s">
        <v>870</v>
      </c>
      <c r="I13" s="258">
        <v>62366</v>
      </c>
      <c r="K13" s="50">
        <f>63569-I13</f>
        <v>1203</v>
      </c>
    </row>
    <row r="14" spans="1:11">
      <c r="A14" s="20" t="s">
        <v>9</v>
      </c>
      <c r="B14" s="41"/>
      <c r="D14" s="1">
        <f t="shared" si="0"/>
        <v>0</v>
      </c>
      <c r="H14" t="s">
        <v>862</v>
      </c>
      <c r="I14" s="258">
        <v>279450</v>
      </c>
    </row>
    <row r="15" spans="1:11">
      <c r="A15" s="21" t="s">
        <v>92</v>
      </c>
      <c r="B15" s="11">
        <v>24215</v>
      </c>
      <c r="C15" s="23">
        <v>20868</v>
      </c>
      <c r="D15" s="257">
        <f t="shared" si="0"/>
        <v>3347</v>
      </c>
      <c r="H15" t="s">
        <v>659</v>
      </c>
      <c r="I15" s="260">
        <f>SUM(I11:I14)</f>
        <v>240142</v>
      </c>
    </row>
    <row r="16" spans="1:11">
      <c r="A16" s="21" t="s">
        <v>10</v>
      </c>
      <c r="B16" s="11">
        <v>1114921</v>
      </c>
      <c r="C16" s="23">
        <v>1093359</v>
      </c>
      <c r="D16" s="259">
        <f t="shared" si="0"/>
        <v>21562</v>
      </c>
    </row>
    <row r="17" spans="1:10">
      <c r="A17" s="21" t="s">
        <v>80</v>
      </c>
      <c r="B17" s="11">
        <v>2005474</v>
      </c>
      <c r="C17" s="23">
        <v>1786895</v>
      </c>
      <c r="D17" s="259">
        <f t="shared" si="0"/>
        <v>218579</v>
      </c>
      <c r="H17" t="s">
        <v>871</v>
      </c>
      <c r="I17" s="49">
        <f>+D41</f>
        <v>-180813</v>
      </c>
      <c r="J17" s="49">
        <f>+I17</f>
        <v>-180813</v>
      </c>
    </row>
    <row r="18" spans="1:10">
      <c r="A18" s="21" t="s">
        <v>93</v>
      </c>
      <c r="B18" s="11">
        <v>10635</v>
      </c>
      <c r="C18" s="23">
        <v>8439</v>
      </c>
      <c r="D18" s="257">
        <f t="shared" si="0"/>
        <v>2196</v>
      </c>
      <c r="H18" t="s">
        <v>872</v>
      </c>
      <c r="I18" s="50">
        <f>+I14</f>
        <v>279450</v>
      </c>
      <c r="J18" s="50">
        <f>+I18</f>
        <v>279450</v>
      </c>
    </row>
    <row r="19" spans="1:10">
      <c r="A19" s="20" t="s">
        <v>11</v>
      </c>
      <c r="B19" s="11">
        <f>B18+B17+B16+B15</f>
        <v>3155245</v>
      </c>
      <c r="C19" s="23">
        <f>C18+C17+C16+C15</f>
        <v>2909561</v>
      </c>
      <c r="D19" s="1"/>
      <c r="I19" s="261">
        <f>+I17+I18</f>
        <v>98637</v>
      </c>
    </row>
    <row r="20" spans="1:10">
      <c r="A20" s="10" t="s">
        <v>12</v>
      </c>
      <c r="B20" s="11">
        <f t="shared" ref="B20:C20" si="4">B19+B13</f>
        <v>3483940</v>
      </c>
      <c r="C20" s="23">
        <f t="shared" si="4"/>
        <v>3196930</v>
      </c>
      <c r="D20" s="1"/>
    </row>
    <row r="21" spans="1:10">
      <c r="A21" s="10" t="s">
        <v>13</v>
      </c>
      <c r="B21" s="27"/>
      <c r="C21" s="27"/>
    </row>
    <row r="22" spans="1:10">
      <c r="A22" s="20" t="s">
        <v>14</v>
      </c>
      <c r="B22" s="30"/>
      <c r="C22" s="30"/>
    </row>
    <row r="23" spans="1:10">
      <c r="A23" s="21" t="s">
        <v>15</v>
      </c>
      <c r="B23" s="11">
        <v>5259</v>
      </c>
      <c r="C23" s="23">
        <v>8067</v>
      </c>
      <c r="D23" s="255">
        <f>+C23-B23</f>
        <v>2808</v>
      </c>
    </row>
    <row r="24" spans="1:10">
      <c r="A24" s="21" t="s">
        <v>16</v>
      </c>
      <c r="B24" s="11">
        <v>103095</v>
      </c>
      <c r="C24" s="23">
        <v>120274</v>
      </c>
      <c r="D24" s="254">
        <f t="shared" ref="D24:D27" si="5">+C24-B24</f>
        <v>17179</v>
      </c>
    </row>
    <row r="25" spans="1:10">
      <c r="A25" s="21" t="s">
        <v>17</v>
      </c>
      <c r="B25" s="11">
        <v>165246</v>
      </c>
      <c r="C25" s="23">
        <v>268512</v>
      </c>
      <c r="D25" s="255">
        <f t="shared" si="5"/>
        <v>103266</v>
      </c>
    </row>
    <row r="26" spans="1:10">
      <c r="A26" s="21" t="s">
        <v>18</v>
      </c>
      <c r="B26" s="11">
        <v>71303</v>
      </c>
      <c r="C26" s="23">
        <v>50634</v>
      </c>
      <c r="D26" s="254">
        <f t="shared" si="5"/>
        <v>-20669</v>
      </c>
    </row>
    <row r="27" spans="1:10">
      <c r="A27" s="21" t="s">
        <v>19</v>
      </c>
      <c r="B27" s="11">
        <v>62010</v>
      </c>
      <c r="C27" s="23">
        <v>76758</v>
      </c>
      <c r="D27" s="254">
        <f t="shared" si="5"/>
        <v>14748</v>
      </c>
    </row>
    <row r="28" spans="1:10">
      <c r="A28" s="20" t="s">
        <v>20</v>
      </c>
      <c r="B28" s="11">
        <f>SUM(B23:B27)</f>
        <v>406913</v>
      </c>
      <c r="C28" s="23">
        <f t="shared" ref="C28" si="6">SUM(C23:C27)</f>
        <v>524245</v>
      </c>
    </row>
    <row r="29" spans="1:10">
      <c r="A29" s="20" t="s">
        <v>21</v>
      </c>
      <c r="B29" s="11"/>
      <c r="C29" s="22"/>
    </row>
    <row r="30" spans="1:10">
      <c r="A30" s="21" t="s">
        <v>22</v>
      </c>
      <c r="B30" s="11">
        <v>10510</v>
      </c>
      <c r="C30" s="23">
        <v>8046</v>
      </c>
      <c r="D30" s="255">
        <f t="shared" ref="D30:D34" si="7">+C30-B30</f>
        <v>-2464</v>
      </c>
    </row>
    <row r="31" spans="1:10">
      <c r="A31" s="21" t="s">
        <v>23</v>
      </c>
      <c r="B31" s="11">
        <v>1037923</v>
      </c>
      <c r="C31" s="23">
        <v>822388</v>
      </c>
      <c r="D31" s="255">
        <f t="shared" si="7"/>
        <v>-215535</v>
      </c>
    </row>
    <row r="32" spans="1:10">
      <c r="A32" s="21" t="s">
        <v>24</v>
      </c>
      <c r="B32" s="11">
        <v>50769</v>
      </c>
      <c r="C32" s="23">
        <v>32384</v>
      </c>
      <c r="D32" s="256">
        <f t="shared" si="7"/>
        <v>-18385</v>
      </c>
    </row>
    <row r="33" spans="1:6">
      <c r="A33" s="21" t="s">
        <v>94</v>
      </c>
      <c r="B33" s="11">
        <v>565517</v>
      </c>
      <c r="C33" s="23">
        <v>484522</v>
      </c>
      <c r="D33" s="256">
        <f t="shared" si="7"/>
        <v>-80995</v>
      </c>
    </row>
    <row r="34" spans="1:6">
      <c r="A34" s="21" t="s">
        <v>25</v>
      </c>
      <c r="B34" s="11">
        <v>11375</v>
      </c>
      <c r="C34" s="23">
        <v>8530</v>
      </c>
      <c r="D34" s="256">
        <f t="shared" si="7"/>
        <v>-2845</v>
      </c>
    </row>
    <row r="35" spans="1:6">
      <c r="A35" s="20" t="s">
        <v>26</v>
      </c>
      <c r="B35" s="11">
        <f>SUM(B30:B34)</f>
        <v>1676094</v>
      </c>
      <c r="C35" s="23">
        <f t="shared" ref="C35" si="8">SUM(C30:C34)</f>
        <v>1355870</v>
      </c>
    </row>
    <row r="36" spans="1:6">
      <c r="A36" s="10" t="s">
        <v>27</v>
      </c>
      <c r="B36" s="11">
        <f>B35+B28</f>
        <v>2083007</v>
      </c>
      <c r="C36" s="23">
        <f t="shared" ref="C36" si="9">C35+C28</f>
        <v>1880115</v>
      </c>
    </row>
    <row r="37" spans="1:6">
      <c r="A37" s="10" t="s">
        <v>28</v>
      </c>
      <c r="B37" s="27"/>
      <c r="C37" s="27"/>
    </row>
    <row r="38" spans="1:6">
      <c r="A38" s="20" t="s">
        <v>81</v>
      </c>
      <c r="B38" s="30"/>
      <c r="C38" s="30"/>
    </row>
    <row r="39" spans="1:6">
      <c r="A39" s="21" t="s">
        <v>29</v>
      </c>
      <c r="B39" s="11">
        <v>718124</v>
      </c>
      <c r="C39" s="23">
        <v>718124</v>
      </c>
      <c r="D39" s="49">
        <f>+C39-B39</f>
        <v>0</v>
      </c>
    </row>
    <row r="40" spans="1:6">
      <c r="A40" s="21" t="s">
        <v>82</v>
      </c>
      <c r="B40" s="11">
        <v>745225</v>
      </c>
      <c r="C40" s="23">
        <v>746862</v>
      </c>
      <c r="D40" s="49">
        <f t="shared" ref="D40:D45" si="10">+C40-B40</f>
        <v>1637</v>
      </c>
    </row>
    <row r="41" spans="1:6">
      <c r="A41" s="21" t="s">
        <v>30</v>
      </c>
      <c r="B41" s="11">
        <v>-695574</v>
      </c>
      <c r="C41" s="23">
        <v>-876387</v>
      </c>
      <c r="D41" s="261">
        <f t="shared" si="10"/>
        <v>-180813</v>
      </c>
      <c r="F41" s="49"/>
    </row>
    <row r="42" spans="1:6">
      <c r="A42" s="21" t="s">
        <v>31</v>
      </c>
      <c r="B42" s="11">
        <v>353998</v>
      </c>
      <c r="C42" s="23">
        <v>627396</v>
      </c>
      <c r="D42" s="251">
        <f t="shared" si="10"/>
        <v>273398</v>
      </c>
    </row>
    <row r="43" spans="1:6">
      <c r="A43" s="21" t="s">
        <v>32</v>
      </c>
      <c r="B43" s="11">
        <v>273398</v>
      </c>
      <c r="C43" s="23">
        <v>95491</v>
      </c>
      <c r="D43" s="49">
        <f t="shared" si="10"/>
        <v>-177907</v>
      </c>
      <c r="E43" s="250">
        <f>+D43-C43</f>
        <v>-273398</v>
      </c>
    </row>
    <row r="44" spans="1:6">
      <c r="A44" s="20" t="s">
        <v>83</v>
      </c>
      <c r="B44" s="11">
        <f t="shared" ref="B44:C44" si="11">SUM(B39:B43)</f>
        <v>1395171</v>
      </c>
      <c r="C44" s="11">
        <f t="shared" si="11"/>
        <v>1311486</v>
      </c>
      <c r="D44" s="49"/>
    </row>
    <row r="45" spans="1:6">
      <c r="A45" s="10" t="s">
        <v>78</v>
      </c>
      <c r="B45" s="11">
        <v>5762</v>
      </c>
      <c r="C45" s="23">
        <v>5329</v>
      </c>
      <c r="D45" s="49">
        <f t="shared" si="10"/>
        <v>-433</v>
      </c>
    </row>
    <row r="46" spans="1:6">
      <c r="A46" s="10" t="s">
        <v>33</v>
      </c>
      <c r="B46" s="11">
        <f t="shared" ref="B46:C46" si="12">B45+B44</f>
        <v>1400933</v>
      </c>
      <c r="C46" s="11">
        <f t="shared" si="12"/>
        <v>1316815</v>
      </c>
    </row>
    <row r="47" spans="1:6">
      <c r="A47" s="10" t="s">
        <v>34</v>
      </c>
      <c r="B47" s="11">
        <f t="shared" ref="B47:C47" si="13">B46+B36</f>
        <v>3483940</v>
      </c>
      <c r="C47" s="11">
        <f t="shared" si="13"/>
        <v>3196930</v>
      </c>
    </row>
    <row r="48" spans="1:6">
      <c r="B48" s="240">
        <f t="shared" ref="B48:C48" si="14">+B45/B44</f>
        <v>4.1299596966966777E-3</v>
      </c>
      <c r="C48" s="240">
        <f t="shared" si="14"/>
        <v>4.0633296886127641E-3</v>
      </c>
    </row>
    <row r="49" spans="1:8">
      <c r="B49" s="1"/>
      <c r="C49" s="1"/>
      <c r="D49" s="1"/>
    </row>
    <row r="50" spans="1:8">
      <c r="A50" s="248" t="s">
        <v>10</v>
      </c>
      <c r="C50" s="4">
        <v>-145626</v>
      </c>
    </row>
    <row r="51" spans="1:8">
      <c r="A51" s="248" t="s">
        <v>80</v>
      </c>
      <c r="B51" s="49"/>
      <c r="C51" s="4">
        <v>-133824</v>
      </c>
    </row>
    <row r="52" spans="1:8">
      <c r="B52" s="76"/>
      <c r="C52" s="252">
        <f>+C50+C51+184894</f>
        <v>-94556</v>
      </c>
    </row>
    <row r="53" spans="1:8">
      <c r="B53" s="49"/>
      <c r="C53" s="49"/>
    </row>
    <row r="54" spans="1:8">
      <c r="A54" s="246" t="s">
        <v>35</v>
      </c>
      <c r="B54" s="49"/>
      <c r="D54" s="11">
        <v>1427058</v>
      </c>
      <c r="E54" s="262">
        <f>+D54</f>
        <v>1427058</v>
      </c>
    </row>
    <row r="55" spans="1:8">
      <c r="A55" s="246" t="s">
        <v>36</v>
      </c>
      <c r="B55" s="76"/>
      <c r="D55" s="11">
        <v>-749646</v>
      </c>
      <c r="E55" s="262">
        <f>+D55</f>
        <v>-749646</v>
      </c>
    </row>
    <row r="56" spans="1:8">
      <c r="A56" s="246" t="s">
        <v>37</v>
      </c>
      <c r="D56" s="14">
        <f t="shared" ref="D56" si="15">D54+D55</f>
        <v>677412</v>
      </c>
      <c r="E56" s="263"/>
    </row>
    <row r="57" spans="1:8">
      <c r="A57" s="246" t="s">
        <v>72</v>
      </c>
      <c r="D57" s="11">
        <v>-208918</v>
      </c>
      <c r="E57" s="262">
        <f>+D57</f>
        <v>-208918</v>
      </c>
    </row>
    <row r="58" spans="1:8">
      <c r="A58" s="246" t="s">
        <v>71</v>
      </c>
      <c r="D58" s="11">
        <v>-103676</v>
      </c>
      <c r="E58" s="262">
        <f t="shared" ref="E58:E69" si="16">+D58</f>
        <v>-103676</v>
      </c>
    </row>
    <row r="59" spans="1:8">
      <c r="A59" s="246" t="s">
        <v>73</v>
      </c>
      <c r="D59" s="11">
        <v>-312594</v>
      </c>
      <c r="E59" s="49"/>
      <c r="G59" t="s">
        <v>873</v>
      </c>
      <c r="H59" s="262">
        <f>SUM(E54:E58)-D63</f>
        <v>449772</v>
      </c>
    </row>
    <row r="60" spans="1:8">
      <c r="A60" s="246" t="s">
        <v>74</v>
      </c>
      <c r="D60" s="15">
        <f t="shared" ref="D60" si="17">D59+D56</f>
        <v>364818</v>
      </c>
      <c r="G60" t="s">
        <v>797</v>
      </c>
      <c r="H60" s="249">
        <f>+E69</f>
        <v>-92469</v>
      </c>
    </row>
    <row r="61" spans="1:8">
      <c r="A61" s="246" t="s">
        <v>38</v>
      </c>
      <c r="D61" s="11">
        <v>-83360</v>
      </c>
      <c r="E61" s="266">
        <f t="shared" si="16"/>
        <v>-83360</v>
      </c>
      <c r="G61" t="s">
        <v>702</v>
      </c>
      <c r="H61" s="266">
        <f>+E61</f>
        <v>-83360</v>
      </c>
    </row>
    <row r="62" spans="1:8">
      <c r="A62" s="246" t="s">
        <v>75</v>
      </c>
      <c r="D62" s="15">
        <f>D61+D60</f>
        <v>281458</v>
      </c>
      <c r="G62" t="s">
        <v>874</v>
      </c>
      <c r="H62" s="265">
        <f>+E65</f>
        <v>-73748</v>
      </c>
    </row>
    <row r="63" spans="1:8">
      <c r="A63" s="246" t="s">
        <v>76</v>
      </c>
      <c r="D63" s="264">
        <v>-84954</v>
      </c>
      <c r="E63" s="49"/>
      <c r="G63" t="s">
        <v>856</v>
      </c>
      <c r="H63" s="267">
        <f>+E66+E67+E72</f>
        <v>-19750</v>
      </c>
    </row>
    <row r="64" spans="1:8">
      <c r="A64" s="246" t="s">
        <v>39</v>
      </c>
      <c r="D64" s="16">
        <f>D60-D63</f>
        <v>449772</v>
      </c>
    </row>
    <row r="65" spans="1:11">
      <c r="A65" s="246" t="s">
        <v>40</v>
      </c>
      <c r="D65" s="11">
        <v>-73748</v>
      </c>
      <c r="E65" s="265">
        <f t="shared" si="16"/>
        <v>-73748</v>
      </c>
      <c r="H65" s="49">
        <f>SUM(H59:H64)</f>
        <v>180445</v>
      </c>
      <c r="I65" s="49">
        <f>+H65-E73</f>
        <v>84954</v>
      </c>
      <c r="J65" s="49">
        <f>+I13+D40+D45</f>
        <v>63570</v>
      </c>
    </row>
    <row r="66" spans="1:11">
      <c r="A66" s="246" t="s">
        <v>70</v>
      </c>
      <c r="D66" s="11">
        <v>-1016</v>
      </c>
      <c r="E66" s="267">
        <f t="shared" si="16"/>
        <v>-1016</v>
      </c>
      <c r="J66" s="1">
        <f>SUM(J6:J18)</f>
        <v>-242151</v>
      </c>
      <c r="K66" t="s">
        <v>875</v>
      </c>
    </row>
    <row r="67" spans="1:11">
      <c r="A67" s="246" t="s">
        <v>77</v>
      </c>
      <c r="D67" s="11">
        <v>-18173</v>
      </c>
      <c r="E67" s="267">
        <f t="shared" si="16"/>
        <v>-18173</v>
      </c>
      <c r="J67" s="49">
        <f>+H65</f>
        <v>180445</v>
      </c>
      <c r="K67" t="s">
        <v>876</v>
      </c>
    </row>
    <row r="68" spans="1:11">
      <c r="A68" s="246" t="s">
        <v>41</v>
      </c>
      <c r="D68" s="15">
        <f>SUM(D65:D67)+D62</f>
        <v>188521</v>
      </c>
      <c r="J68" s="49">
        <f>+B6</f>
        <v>51772</v>
      </c>
      <c r="K68" t="s">
        <v>877</v>
      </c>
    </row>
    <row r="69" spans="1:11">
      <c r="A69" s="246" t="s">
        <v>42</v>
      </c>
      <c r="D69" s="11">
        <v>-92469</v>
      </c>
      <c r="E69" s="249">
        <f t="shared" si="16"/>
        <v>-92469</v>
      </c>
      <c r="J69" s="1">
        <f>SUM(J65:J68)</f>
        <v>53636</v>
      </c>
    </row>
    <row r="70" spans="1:11">
      <c r="A70" s="246" t="s">
        <v>43</v>
      </c>
      <c r="D70" s="15">
        <f>+D68+D69</f>
        <v>96052</v>
      </c>
      <c r="J70" s="1">
        <f>+J69-C6</f>
        <v>1</v>
      </c>
    </row>
    <row r="71" spans="1:11">
      <c r="A71" s="246" t="s">
        <v>861</v>
      </c>
      <c r="D71" s="15"/>
    </row>
    <row r="72" spans="1:11">
      <c r="A72" s="246" t="s">
        <v>78</v>
      </c>
      <c r="D72" s="11">
        <v>-561</v>
      </c>
      <c r="E72" s="267">
        <f t="shared" ref="E72" si="18">+D72</f>
        <v>-561</v>
      </c>
    </row>
    <row r="73" spans="1:11" ht="16.5" thickBot="1">
      <c r="A73" s="247" t="s">
        <v>79</v>
      </c>
      <c r="D73" s="19">
        <f>+D70+D72</f>
        <v>95491</v>
      </c>
      <c r="E73" s="49">
        <f>SUM(E54:E72)</f>
        <v>95491</v>
      </c>
    </row>
    <row r="74" spans="1:11" ht="16.5" thickTop="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Z55"/>
  <sheetViews>
    <sheetView showGridLines="0" zoomScale="75" zoomScaleNormal="75" workbookViewId="0">
      <pane xSplit="3" ySplit="3" topLeftCell="E4" activePane="bottomRight" state="frozen"/>
      <selection activeCell="B26" sqref="B26"/>
      <selection pane="topRight" activeCell="B26" sqref="B26"/>
      <selection pane="bottomLeft" activeCell="B26" sqref="B26"/>
      <selection pane="bottomRight" activeCell="C17" sqref="C17"/>
    </sheetView>
  </sheetViews>
  <sheetFormatPr baseColWidth="10" defaultColWidth="11" defaultRowHeight="15.75"/>
  <cols>
    <col min="1" max="1" width="7.375" bestFit="1" customWidth="1"/>
    <col min="2" max="2" width="24.125" hidden="1" customWidth="1"/>
    <col min="3" max="3" width="61.5" customWidth="1"/>
    <col min="4" max="4" width="14.75" hidden="1" customWidth="1"/>
    <col min="5" max="5" width="14.75" bestFit="1" customWidth="1"/>
    <col min="6" max="6" width="14.25" bestFit="1" customWidth="1"/>
    <col min="7" max="8" width="14.75" bestFit="1" customWidth="1"/>
    <col min="9" max="9" width="14.25" bestFit="1" customWidth="1"/>
    <col min="10" max="10" width="14.125" bestFit="1" customWidth="1"/>
    <col min="11" max="11" width="17" hidden="1" customWidth="1"/>
    <col min="12" max="15" width="17" bestFit="1" customWidth="1"/>
    <col min="16" max="16" width="23.625" bestFit="1" customWidth="1"/>
    <col min="17" max="20" width="15.125" bestFit="1" customWidth="1"/>
    <col min="21" max="21" width="21.75" bestFit="1" customWidth="1"/>
    <col min="22" max="22" width="10.625" bestFit="1" customWidth="1"/>
    <col min="23" max="24" width="14.75" bestFit="1" customWidth="1"/>
    <col min="25" max="25" width="20.5" bestFit="1" customWidth="1"/>
  </cols>
  <sheetData>
    <row r="1" spans="1:26" ht="32.1" customHeight="1">
      <c r="D1" s="624" t="s">
        <v>174</v>
      </c>
      <c r="E1" s="624"/>
      <c r="F1" s="624"/>
      <c r="G1" s="624"/>
      <c r="H1" s="624"/>
      <c r="I1" s="624"/>
      <c r="J1" s="624"/>
      <c r="K1" s="624"/>
      <c r="L1" s="624"/>
      <c r="M1" s="624"/>
      <c r="N1" s="624"/>
      <c r="O1" s="624"/>
      <c r="P1" s="624"/>
      <c r="Q1" s="624"/>
      <c r="R1" s="624"/>
      <c r="S1" s="624"/>
      <c r="T1" s="624"/>
      <c r="U1" s="624"/>
      <c r="V1" s="624"/>
      <c r="W1" s="624"/>
      <c r="X1" s="624"/>
    </row>
    <row r="2" spans="1:26">
      <c r="C2" s="54"/>
      <c r="D2" s="624"/>
      <c r="E2" s="624"/>
      <c r="F2" s="624"/>
      <c r="G2" s="624"/>
      <c r="H2" s="624"/>
      <c r="I2" s="624"/>
      <c r="J2" s="624"/>
      <c r="K2" s="624"/>
      <c r="L2" s="624"/>
      <c r="M2" s="624"/>
      <c r="N2" s="624"/>
      <c r="O2" s="624"/>
      <c r="P2" s="624"/>
      <c r="Q2" s="624"/>
      <c r="R2" s="624"/>
      <c r="S2" s="624"/>
      <c r="T2" s="624"/>
      <c r="U2" s="624"/>
      <c r="V2" s="624"/>
      <c r="W2" s="624"/>
      <c r="X2" s="624"/>
    </row>
    <row r="3" spans="1:26" ht="35.85" customHeight="1">
      <c r="A3" s="9" t="s">
        <v>69</v>
      </c>
      <c r="B3" s="44" t="s">
        <v>66</v>
      </c>
      <c r="C3" s="9" t="s">
        <v>68</v>
      </c>
      <c r="D3" s="9" t="s">
        <v>168</v>
      </c>
      <c r="E3" s="9" t="s">
        <v>63</v>
      </c>
      <c r="F3" s="9" t="s">
        <v>62</v>
      </c>
      <c r="G3" s="9" t="s">
        <v>61</v>
      </c>
      <c r="H3" s="9" t="s">
        <v>60</v>
      </c>
      <c r="I3" s="9" t="s">
        <v>695</v>
      </c>
      <c r="J3" s="9" t="s">
        <v>167</v>
      </c>
      <c r="K3" s="44" t="s">
        <v>1308</v>
      </c>
      <c r="L3" s="44" t="s">
        <v>1309</v>
      </c>
      <c r="M3" s="44" t="s">
        <v>1310</v>
      </c>
      <c r="N3" s="44" t="s">
        <v>1311</v>
      </c>
      <c r="O3" s="44" t="s">
        <v>1312</v>
      </c>
      <c r="P3" s="44" t="s">
        <v>1313</v>
      </c>
      <c r="Q3" s="44" t="s">
        <v>1261</v>
      </c>
      <c r="R3" s="44" t="s">
        <v>1262</v>
      </c>
      <c r="S3" s="44" t="s">
        <v>1263</v>
      </c>
      <c r="T3" s="44" t="s">
        <v>1264</v>
      </c>
      <c r="U3" s="44" t="s">
        <v>1265</v>
      </c>
      <c r="V3" s="44" t="s">
        <v>169</v>
      </c>
      <c r="W3" s="44" t="s">
        <v>1371</v>
      </c>
      <c r="X3" s="44" t="s">
        <v>602</v>
      </c>
      <c r="Y3" s="44" t="s">
        <v>884</v>
      </c>
      <c r="Z3" s="148"/>
    </row>
    <row r="4" spans="1:26">
      <c r="A4" s="17">
        <v>1</v>
      </c>
      <c r="B4" t="s">
        <v>0</v>
      </c>
      <c r="C4" s="10" t="s">
        <v>0</v>
      </c>
      <c r="P4" s="49"/>
      <c r="U4" s="191"/>
      <c r="Y4" s="49"/>
    </row>
    <row r="5" spans="1:26">
      <c r="A5" s="17">
        <v>2</v>
      </c>
      <c r="B5" t="s">
        <v>0</v>
      </c>
      <c r="C5" s="20" t="s">
        <v>1</v>
      </c>
      <c r="P5" s="49"/>
      <c r="U5" s="191"/>
      <c r="Y5" s="49"/>
    </row>
    <row r="6" spans="1:26">
      <c r="A6" s="17">
        <v>3</v>
      </c>
      <c r="B6" t="s">
        <v>0</v>
      </c>
      <c r="C6" s="21" t="s">
        <v>2</v>
      </c>
      <c r="D6" s="11">
        <v>76691</v>
      </c>
      <c r="E6" s="11">
        <v>51772</v>
      </c>
      <c r="F6" s="23">
        <v>53635</v>
      </c>
      <c r="G6" s="11">
        <v>44907</v>
      </c>
      <c r="H6" s="11">
        <v>45154</v>
      </c>
      <c r="I6" s="11">
        <v>37126</v>
      </c>
      <c r="J6" s="11"/>
      <c r="K6" s="24">
        <f t="shared" ref="K6:K13" si="0">D6/D$20</f>
        <v>1.9990814094369799E-2</v>
      </c>
      <c r="L6" s="24">
        <f t="shared" ref="L6:L13" si="1">E6/$E$20</f>
        <v>1.4860187029627376E-2</v>
      </c>
      <c r="M6" s="24">
        <f t="shared" ref="M6:P13" si="2">F6/F$20</f>
        <v>1.6777032966001759E-2</v>
      </c>
      <c r="N6" s="24">
        <f t="shared" si="2"/>
        <v>1.3630295940747503E-2</v>
      </c>
      <c r="O6" s="24">
        <f t="shared" si="2"/>
        <v>1.370799963205706E-2</v>
      </c>
      <c r="P6" s="24">
        <f t="shared" si="2"/>
        <v>1.2181321426966044E-2</v>
      </c>
      <c r="Q6" s="12">
        <f t="shared" ref="Q6:U13" si="3">(E6-D6)/E6</f>
        <v>-0.48132195008885109</v>
      </c>
      <c r="R6" s="12">
        <f t="shared" si="3"/>
        <v>3.4734781392747272E-2</v>
      </c>
      <c r="S6" s="12">
        <f t="shared" si="3"/>
        <v>-0.19435722715834947</v>
      </c>
      <c r="T6" s="12">
        <f t="shared" si="3"/>
        <v>5.4701687558134388E-3</v>
      </c>
      <c r="U6" s="12">
        <f t="shared" si="3"/>
        <v>-0.21623659968755049</v>
      </c>
      <c r="V6" s="11"/>
      <c r="W6" s="11">
        <f>AVERAGE(BalanceGeneral[[#This Row],[2014]:[2017]])</f>
        <v>48867</v>
      </c>
      <c r="X6" s="11">
        <f>AVERAGE(BalanceGeneral[[#This Row],[2016]:[2017]])</f>
        <v>45030.5</v>
      </c>
      <c r="Y6" s="11">
        <f>AVERAGE(BalanceGeneral[[#This Row],[2017]:[2018]])</f>
        <v>41140</v>
      </c>
    </row>
    <row r="7" spans="1:26">
      <c r="A7" s="17">
        <v>4</v>
      </c>
      <c r="B7" t="s">
        <v>0</v>
      </c>
      <c r="C7" s="21" t="s">
        <v>3</v>
      </c>
      <c r="D7" s="11">
        <v>164195</v>
      </c>
      <c r="E7" s="11">
        <v>122003</v>
      </c>
      <c r="F7" s="23">
        <v>91568</v>
      </c>
      <c r="G7" s="11">
        <v>100344</v>
      </c>
      <c r="H7" s="11">
        <v>115475</v>
      </c>
      <c r="I7" s="11">
        <v>87465</v>
      </c>
      <c r="J7" s="11"/>
      <c r="K7" s="24">
        <f t="shared" si="0"/>
        <v>4.2800220628562015E-2</v>
      </c>
      <c r="L7" s="24">
        <f t="shared" si="1"/>
        <v>3.5018685740856613E-2</v>
      </c>
      <c r="M7" s="24">
        <f t="shared" si="2"/>
        <v>2.8642478878173748E-2</v>
      </c>
      <c r="N7" s="24">
        <f t="shared" si="2"/>
        <v>3.0456686393621653E-2</v>
      </c>
      <c r="O7" s="24">
        <f t="shared" si="2"/>
        <v>3.5056279787212402E-2</v>
      </c>
      <c r="P7" s="24">
        <f t="shared" si="2"/>
        <v>2.8697928099164605E-2</v>
      </c>
      <c r="Q7" s="12">
        <f t="shared" si="3"/>
        <v>-0.3458275616173373</v>
      </c>
      <c r="R7" s="12">
        <f t="shared" si="3"/>
        <v>-0.33237593919273106</v>
      </c>
      <c r="S7" s="12">
        <f t="shared" si="3"/>
        <v>8.7459140556485696E-2</v>
      </c>
      <c r="T7" s="12">
        <f t="shared" si="3"/>
        <v>0.13103269105867071</v>
      </c>
      <c r="U7" s="12">
        <f t="shared" si="3"/>
        <v>-0.32024238266735267</v>
      </c>
      <c r="V7" s="11"/>
      <c r="W7" s="11">
        <f>AVERAGE(BalanceGeneral[[#This Row],[2014]:[2017]])</f>
        <v>107347.5</v>
      </c>
      <c r="X7" s="11">
        <f>AVERAGE(BalanceGeneral[[#This Row],[2016]:[2017]])</f>
        <v>107909.5</v>
      </c>
      <c r="Y7" s="11">
        <f>AVERAGE(BalanceGeneral[[#This Row],[2017]:[2018]])</f>
        <v>101470</v>
      </c>
    </row>
    <row r="8" spans="1:26">
      <c r="A8" s="17">
        <v>5</v>
      </c>
      <c r="B8" t="s">
        <v>0</v>
      </c>
      <c r="C8" s="21" t="s">
        <v>4</v>
      </c>
      <c r="D8" s="11">
        <v>895</v>
      </c>
      <c r="E8" s="11">
        <v>270</v>
      </c>
      <c r="F8" s="23">
        <v>3222</v>
      </c>
      <c r="G8" s="11">
        <v>4484</v>
      </c>
      <c r="H8" s="11">
        <v>9647</v>
      </c>
      <c r="I8" s="11">
        <v>21138</v>
      </c>
      <c r="J8" s="11"/>
      <c r="K8" s="52">
        <f t="shared" si="0"/>
        <v>2.3329697897355586E-4</v>
      </c>
      <c r="L8" s="24">
        <f t="shared" si="1"/>
        <v>7.7498464382279832E-5</v>
      </c>
      <c r="M8" s="24">
        <f t="shared" si="2"/>
        <v>1.0078418983212019E-3</v>
      </c>
      <c r="N8" s="24">
        <f t="shared" si="2"/>
        <v>1.3609959916786203E-3</v>
      </c>
      <c r="O8" s="24">
        <f t="shared" si="2"/>
        <v>2.9286679463714055E-3</v>
      </c>
      <c r="P8" s="24">
        <f t="shared" si="2"/>
        <v>6.9355376911923788E-3</v>
      </c>
      <c r="Q8" s="12">
        <f t="shared" si="3"/>
        <v>-2.3148148148148149</v>
      </c>
      <c r="R8" s="12">
        <f t="shared" si="3"/>
        <v>0.91620111731843579</v>
      </c>
      <c r="S8" s="12">
        <f t="shared" si="3"/>
        <v>0.28144513826940232</v>
      </c>
      <c r="T8" s="12">
        <f t="shared" si="3"/>
        <v>0.53519228775785221</v>
      </c>
      <c r="U8" s="12">
        <f t="shared" si="3"/>
        <v>0.54361812848897717</v>
      </c>
      <c r="V8" s="11"/>
      <c r="W8" s="11">
        <f>AVERAGE(BalanceGeneral[[#This Row],[2014]:[2017]])</f>
        <v>4405.75</v>
      </c>
      <c r="X8" s="11">
        <f>AVERAGE(BalanceGeneral[[#This Row],[2016]:[2017]])</f>
        <v>7065.5</v>
      </c>
      <c r="Y8" s="11">
        <f>AVERAGE(BalanceGeneral[[#This Row],[2017]:[2018]])</f>
        <v>15392.5</v>
      </c>
    </row>
    <row r="9" spans="1:26">
      <c r="A9" s="17">
        <v>6</v>
      </c>
      <c r="B9" t="s">
        <v>0</v>
      </c>
      <c r="C9" s="21" t="s">
        <v>5</v>
      </c>
      <c r="D9" s="11">
        <v>21048</v>
      </c>
      <c r="E9" s="11">
        <v>19523</v>
      </c>
      <c r="F9" s="23">
        <v>12694</v>
      </c>
      <c r="G9" s="11">
        <v>16854</v>
      </c>
      <c r="H9" s="11">
        <v>14834</v>
      </c>
      <c r="I9" s="11">
        <v>14007</v>
      </c>
      <c r="J9" s="11"/>
      <c r="K9" s="24">
        <f t="shared" si="0"/>
        <v>5.4865193446205626E-3</v>
      </c>
      <c r="L9" s="24">
        <f t="shared" si="1"/>
        <v>5.6037130375379595E-3</v>
      </c>
      <c r="M9" s="24">
        <f t="shared" si="2"/>
        <v>3.9706843753225755E-3</v>
      </c>
      <c r="N9" s="24">
        <f t="shared" si="2"/>
        <v>5.1155723558767774E-3</v>
      </c>
      <c r="O9" s="24">
        <f t="shared" si="2"/>
        <v>4.5033544435029993E-3</v>
      </c>
      <c r="P9" s="24">
        <f t="shared" si="2"/>
        <v>4.5958026511747395E-3</v>
      </c>
      <c r="Q9" s="12">
        <f t="shared" si="3"/>
        <v>-7.811299492905803E-2</v>
      </c>
      <c r="R9" s="12">
        <f t="shared" si="3"/>
        <v>-0.53797069481644877</v>
      </c>
      <c r="S9" s="12">
        <f t="shared" si="3"/>
        <v>0.24682567936394922</v>
      </c>
      <c r="T9" s="12">
        <f t="shared" si="3"/>
        <v>-0.13617365511662397</v>
      </c>
      <c r="U9" s="12">
        <f t="shared" si="3"/>
        <v>-5.9041907617619759E-2</v>
      </c>
      <c r="V9" s="11"/>
      <c r="W9" s="11">
        <f>AVERAGE(BalanceGeneral[[#This Row],[2014]:[2017]])</f>
        <v>15976.25</v>
      </c>
      <c r="X9" s="11">
        <f>AVERAGE(BalanceGeneral[[#This Row],[2016]:[2017]])</f>
        <v>15844</v>
      </c>
      <c r="Y9" s="11">
        <f>AVERAGE(BalanceGeneral[[#This Row],[2017]:[2018]])</f>
        <v>14420.5</v>
      </c>
    </row>
    <row r="10" spans="1:26">
      <c r="A10" s="17">
        <v>7</v>
      </c>
      <c r="B10" t="s">
        <v>0</v>
      </c>
      <c r="C10" s="21" t="s">
        <v>91</v>
      </c>
      <c r="D10" s="11">
        <v>64080</v>
      </c>
      <c r="E10" s="11">
        <v>13959</v>
      </c>
      <c r="F10" s="23">
        <v>25695</v>
      </c>
      <c r="G10" s="11">
        <v>11940</v>
      </c>
      <c r="H10" s="11">
        <v>33757</v>
      </c>
      <c r="I10" s="11">
        <v>29696</v>
      </c>
      <c r="J10" s="11"/>
      <c r="K10" s="24">
        <f t="shared" si="0"/>
        <v>1.6703542360475374E-2</v>
      </c>
      <c r="L10" s="24">
        <f t="shared" si="1"/>
        <v>4.0066706085638672E-3</v>
      </c>
      <c r="M10" s="24">
        <f t="shared" si="2"/>
        <v>8.0373983790699207E-3</v>
      </c>
      <c r="N10" s="24">
        <f t="shared" si="2"/>
        <v>3.6240615835510096E-3</v>
      </c>
      <c r="O10" s="24">
        <f t="shared" si="2"/>
        <v>1.0248060937665547E-2</v>
      </c>
      <c r="P10" s="24">
        <f t="shared" si="2"/>
        <v>9.7434822252648722E-3</v>
      </c>
      <c r="Q10" s="12">
        <f t="shared" si="3"/>
        <v>-3.5905867182462927</v>
      </c>
      <c r="R10" s="12">
        <f t="shared" si="3"/>
        <v>0.45674255691768828</v>
      </c>
      <c r="S10" s="12">
        <f t="shared" si="3"/>
        <v>-1.1520100502512562</v>
      </c>
      <c r="T10" s="12">
        <f t="shared" si="3"/>
        <v>0.64629558313831204</v>
      </c>
      <c r="U10" s="12">
        <f t="shared" si="3"/>
        <v>-0.13675242456896552</v>
      </c>
      <c r="V10" s="11"/>
      <c r="W10" s="11">
        <f>AVERAGE(BalanceGeneral[[#This Row],[2014]:[2017]])</f>
        <v>21337.75</v>
      </c>
      <c r="X10" s="11">
        <f>AVERAGE(BalanceGeneral[[#This Row],[2016]:[2017]])</f>
        <v>22848.5</v>
      </c>
      <c r="Y10" s="11">
        <f>AVERAGE(BalanceGeneral[[#This Row],[2017]:[2018]])</f>
        <v>31726.5</v>
      </c>
    </row>
    <row r="11" spans="1:26">
      <c r="A11" s="17">
        <v>8</v>
      </c>
      <c r="B11" t="s">
        <v>0</v>
      </c>
      <c r="C11" s="21" t="s">
        <v>6</v>
      </c>
      <c r="D11" s="11">
        <v>103683</v>
      </c>
      <c r="E11" s="11">
        <v>102821</v>
      </c>
      <c r="F11" s="23">
        <v>86134</v>
      </c>
      <c r="G11" s="11">
        <v>71595</v>
      </c>
      <c r="H11" s="11">
        <v>82675</v>
      </c>
      <c r="I11" s="11">
        <v>81172</v>
      </c>
      <c r="J11" s="11"/>
      <c r="K11" s="24">
        <f t="shared" si="0"/>
        <v>2.7026738179793511E-2</v>
      </c>
      <c r="L11" s="24">
        <f t="shared" si="1"/>
        <v>2.9512850393519981E-2</v>
      </c>
      <c r="M11" s="24">
        <f t="shared" si="2"/>
        <v>2.6942723175046059E-2</v>
      </c>
      <c r="N11" s="24">
        <f t="shared" si="2"/>
        <v>2.1730710977749961E-2</v>
      </c>
      <c r="O11" s="24">
        <f t="shared" si="2"/>
        <v>2.5098748052892708E-2</v>
      </c>
      <c r="P11" s="24">
        <f t="shared" si="2"/>
        <v>2.6633147197912186E-2</v>
      </c>
      <c r="Q11" s="12">
        <f t="shared" si="3"/>
        <v>-8.383501424806216E-3</v>
      </c>
      <c r="R11" s="12">
        <f t="shared" si="3"/>
        <v>-0.19373302064225509</v>
      </c>
      <c r="S11" s="12">
        <f t="shared" si="3"/>
        <v>-0.20307284028214262</v>
      </c>
      <c r="T11" s="12">
        <f t="shared" si="3"/>
        <v>0.13401874811006956</v>
      </c>
      <c r="U11" s="12">
        <f t="shared" si="3"/>
        <v>-1.8516237126102598E-2</v>
      </c>
      <c r="V11" s="11"/>
      <c r="W11" s="11">
        <f>AVERAGE(BalanceGeneral[[#This Row],[2014]:[2017]])</f>
        <v>85806.25</v>
      </c>
      <c r="X11" s="11">
        <f>AVERAGE(BalanceGeneral[[#This Row],[2016]:[2017]])</f>
        <v>77135</v>
      </c>
      <c r="Y11" s="11">
        <f>AVERAGE(BalanceGeneral[[#This Row],[2017]:[2018]])</f>
        <v>81923.5</v>
      </c>
    </row>
    <row r="12" spans="1:26">
      <c r="A12" s="17">
        <v>9</v>
      </c>
      <c r="B12" t="s">
        <v>0</v>
      </c>
      <c r="C12" s="21" t="s">
        <v>7</v>
      </c>
      <c r="D12" s="11">
        <v>19227</v>
      </c>
      <c r="E12" s="11">
        <v>18347</v>
      </c>
      <c r="F12" s="23">
        <v>14421</v>
      </c>
      <c r="G12" s="11">
        <v>11247</v>
      </c>
      <c r="H12" s="11">
        <v>25745</v>
      </c>
      <c r="I12" s="11">
        <v>38567</v>
      </c>
      <c r="J12" s="11"/>
      <c r="K12" s="24">
        <f t="shared" si="0"/>
        <v>5.0118447091894508E-3</v>
      </c>
      <c r="L12" s="24">
        <f t="shared" si="1"/>
        <v>5.2661641704506964E-3</v>
      </c>
      <c r="M12" s="24">
        <f t="shared" si="2"/>
        <v>4.51089013522348E-3</v>
      </c>
      <c r="N12" s="24">
        <f t="shared" si="2"/>
        <v>3.4137203207871194E-3</v>
      </c>
      <c r="O12" s="24">
        <f t="shared" si="2"/>
        <v>7.8157516615872131E-3</v>
      </c>
      <c r="P12" s="24">
        <f t="shared" si="2"/>
        <v>1.2654124426919126E-2</v>
      </c>
      <c r="Q12" s="12">
        <f t="shared" si="3"/>
        <v>-4.7964244835667955E-2</v>
      </c>
      <c r="R12" s="12">
        <f t="shared" si="3"/>
        <v>-0.27224186949587409</v>
      </c>
      <c r="S12" s="12">
        <f t="shared" si="3"/>
        <v>-0.2822085889570552</v>
      </c>
      <c r="T12" s="12">
        <f t="shared" si="3"/>
        <v>0.56313847348999801</v>
      </c>
      <c r="U12" s="12">
        <f t="shared" si="3"/>
        <v>0.33246039360074675</v>
      </c>
      <c r="V12" s="11"/>
      <c r="W12" s="11">
        <f>AVERAGE(BalanceGeneral[[#This Row],[2014]:[2017]])</f>
        <v>17440</v>
      </c>
      <c r="X12" s="11">
        <f>AVERAGE(BalanceGeneral[[#This Row],[2016]:[2017]])</f>
        <v>18496</v>
      </c>
      <c r="Y12" s="11">
        <f>AVERAGE(BalanceGeneral[[#This Row],[2017]:[2018]])</f>
        <v>32156</v>
      </c>
    </row>
    <row r="13" spans="1:26">
      <c r="A13" s="17">
        <v>10</v>
      </c>
      <c r="B13" t="s">
        <v>0</v>
      </c>
      <c r="C13" s="20" t="s">
        <v>8</v>
      </c>
      <c r="D13" s="11">
        <f t="shared" ref="D13:I13" si="4">SUM(D6:D12)</f>
        <v>449819</v>
      </c>
      <c r="E13" s="11">
        <f t="shared" si="4"/>
        <v>328695</v>
      </c>
      <c r="F13" s="23">
        <f t="shared" si="4"/>
        <v>287369</v>
      </c>
      <c r="G13" s="11">
        <f t="shared" si="4"/>
        <v>261371</v>
      </c>
      <c r="H13" s="11">
        <f t="shared" si="4"/>
        <v>327287</v>
      </c>
      <c r="I13" s="11">
        <f t="shared" si="4"/>
        <v>309171</v>
      </c>
      <c r="J13" s="11"/>
      <c r="K13" s="24">
        <f t="shared" si="0"/>
        <v>0.11725297629598427</v>
      </c>
      <c r="L13" s="24">
        <f t="shared" si="1"/>
        <v>9.4345769444938776E-2</v>
      </c>
      <c r="M13" s="24">
        <f t="shared" si="2"/>
        <v>8.9889049807158741E-2</v>
      </c>
      <c r="N13" s="24">
        <f t="shared" si="2"/>
        <v>7.9332043564012647E-2</v>
      </c>
      <c r="O13" s="24">
        <f t="shared" si="2"/>
        <v>9.9358862461289332E-2</v>
      </c>
      <c r="P13" s="24">
        <f t="shared" si="2"/>
        <v>0.10144134371859395</v>
      </c>
      <c r="Q13" s="12">
        <f t="shared" si="3"/>
        <v>-0.36849967294908653</v>
      </c>
      <c r="R13" s="12">
        <f t="shared" si="3"/>
        <v>-0.14380813518507563</v>
      </c>
      <c r="S13" s="12">
        <f t="shared" si="3"/>
        <v>-9.9467806298326897E-2</v>
      </c>
      <c r="T13" s="12">
        <f t="shared" si="3"/>
        <v>0.20140121666916191</v>
      </c>
      <c r="U13" s="12">
        <f t="shared" si="3"/>
        <v>-5.859540513178791E-2</v>
      </c>
      <c r="V13" s="11"/>
      <c r="W13" s="11">
        <f>AVERAGE(BalanceGeneral[[#This Row],[2014]:[2017]])</f>
        <v>301180.5</v>
      </c>
      <c r="X13" s="11">
        <f>AVERAGE(BalanceGeneral[[#This Row],[2016]:[2017]])</f>
        <v>294329</v>
      </c>
      <c r="Y13" s="11">
        <f>AVERAGE(BalanceGeneral[[#This Row],[2017]:[2018]])</f>
        <v>318229</v>
      </c>
    </row>
    <row r="14" spans="1:26">
      <c r="A14" s="17">
        <v>11</v>
      </c>
      <c r="B14" t="s">
        <v>0</v>
      </c>
      <c r="C14" s="20" t="s">
        <v>9</v>
      </c>
      <c r="D14" s="41"/>
      <c r="E14" s="41"/>
      <c r="J14" s="41"/>
      <c r="K14" s="41"/>
      <c r="L14" s="41"/>
      <c r="M14" s="41"/>
      <c r="N14" s="41"/>
      <c r="O14" s="41"/>
      <c r="P14" s="41"/>
      <c r="U14" s="191"/>
      <c r="Y14" s="11"/>
    </row>
    <row r="15" spans="1:26">
      <c r="A15" s="17">
        <v>12</v>
      </c>
      <c r="B15" t="s">
        <v>0</v>
      </c>
      <c r="C15" s="21" t="s">
        <v>92</v>
      </c>
      <c r="D15" s="11">
        <v>18623</v>
      </c>
      <c r="E15" s="11">
        <v>24215</v>
      </c>
      <c r="F15" s="23">
        <v>20868</v>
      </c>
      <c r="G15" s="11">
        <v>13186</v>
      </c>
      <c r="H15" s="11">
        <v>10319</v>
      </c>
      <c r="I15" s="11">
        <v>4306</v>
      </c>
      <c r="J15" s="11"/>
      <c r="K15" s="24">
        <f t="shared" ref="K15:K20" si="5">D15/D$20</f>
        <v>4.8544018317592521E-3</v>
      </c>
      <c r="L15" s="24">
        <f t="shared" ref="L15:L20" si="6">E15/$E$20</f>
        <v>6.9504641296922447E-3</v>
      </c>
      <c r="M15" s="24">
        <f t="shared" ref="M15:O20" si="7">F15/F$20</f>
        <v>6.5275123321436503E-3</v>
      </c>
      <c r="N15" s="24">
        <f t="shared" si="7"/>
        <v>4.0022509246820451E-3</v>
      </c>
      <c r="O15" s="24">
        <f t="shared" si="7"/>
        <v>3.1326759136111261E-3</v>
      </c>
      <c r="P15" s="24">
        <f t="shared" ref="P15:P20" si="8">I15/I$20</f>
        <v>1.4128311712685393E-3</v>
      </c>
      <c r="Q15" s="12">
        <f t="shared" ref="Q15:U20" si="9">(E15-D15)/E15</f>
        <v>0.23093124096634318</v>
      </c>
      <c r="R15" s="12">
        <f t="shared" si="9"/>
        <v>-0.1603891125167721</v>
      </c>
      <c r="S15" s="12">
        <f t="shared" si="9"/>
        <v>-0.58258759290156226</v>
      </c>
      <c r="T15" s="12">
        <f t="shared" si="9"/>
        <v>-0.27783699970927417</v>
      </c>
      <c r="U15" s="12">
        <f t="shared" si="9"/>
        <v>-1.3964235949837436</v>
      </c>
      <c r="V15" s="11"/>
      <c r="W15" s="11">
        <f>AVERAGE(BalanceGeneral[[#This Row],[2014]:[2017]])</f>
        <v>17147</v>
      </c>
      <c r="X15" s="11">
        <f>AVERAGE(BalanceGeneral[[#This Row],[2016]:[2017]])</f>
        <v>11752.5</v>
      </c>
      <c r="Y15" s="11">
        <f>AVERAGE(BalanceGeneral[[#This Row],[2017]:[2018]])</f>
        <v>7312.5</v>
      </c>
    </row>
    <row r="16" spans="1:26">
      <c r="A16" s="17">
        <v>13</v>
      </c>
      <c r="B16" t="s">
        <v>0</v>
      </c>
      <c r="C16" s="21" t="s">
        <v>10</v>
      </c>
      <c r="D16" s="11">
        <v>1205574</v>
      </c>
      <c r="E16" s="11">
        <v>1114921</v>
      </c>
      <c r="F16" s="23">
        <v>1093359</v>
      </c>
      <c r="G16" s="11">
        <v>1236150</v>
      </c>
      <c r="H16" s="11">
        <v>1250521</v>
      </c>
      <c r="I16" s="11">
        <v>1162672</v>
      </c>
      <c r="J16" s="11"/>
      <c r="K16" s="24">
        <f t="shared" si="5"/>
        <v>0.31425337668052022</v>
      </c>
      <c r="L16" s="24">
        <f t="shared" si="6"/>
        <v>0.32001727928724377</v>
      </c>
      <c r="M16" s="24">
        <f t="shared" si="7"/>
        <v>0.34200279643282777</v>
      </c>
      <c r="N16" s="24">
        <f t="shared" si="7"/>
        <v>0.37519964208597828</v>
      </c>
      <c r="O16" s="24">
        <f t="shared" si="7"/>
        <v>0.37963727261991465</v>
      </c>
      <c r="P16" s="24">
        <f t="shared" si="8"/>
        <v>0.38148147783584185</v>
      </c>
      <c r="Q16" s="12">
        <f t="shared" si="9"/>
        <v>-8.1308899913088012E-2</v>
      </c>
      <c r="R16" s="12">
        <f t="shared" si="9"/>
        <v>-1.9720878503766831E-2</v>
      </c>
      <c r="S16" s="12">
        <f t="shared" si="9"/>
        <v>0.11551268049993933</v>
      </c>
      <c r="T16" s="12">
        <f t="shared" si="9"/>
        <v>1.1492010130177742E-2</v>
      </c>
      <c r="U16" s="12">
        <f t="shared" si="9"/>
        <v>-7.5557852945628695E-2</v>
      </c>
      <c r="V16" s="11"/>
      <c r="W16" s="11">
        <f>AVERAGE(BalanceGeneral[[#This Row],[2014]:[2017]])</f>
        <v>1173737.75</v>
      </c>
      <c r="X16" s="11">
        <f>AVERAGE(BalanceGeneral[[#This Row],[2016]:[2017]])</f>
        <v>1243335.5</v>
      </c>
      <c r="Y16" s="11">
        <f>AVERAGE(BalanceGeneral[[#This Row],[2017]:[2018]])</f>
        <v>1206596.5</v>
      </c>
    </row>
    <row r="17" spans="1:25">
      <c r="A17" s="17">
        <v>14</v>
      </c>
      <c r="B17" t="s">
        <v>0</v>
      </c>
      <c r="C17" s="21" t="s">
        <v>80</v>
      </c>
      <c r="D17" s="11">
        <v>2154652</v>
      </c>
      <c r="E17" s="11">
        <v>2005474</v>
      </c>
      <c r="F17" s="23">
        <v>1786895</v>
      </c>
      <c r="G17" s="11">
        <v>1773548</v>
      </c>
      <c r="H17" s="11">
        <v>1694998</v>
      </c>
      <c r="I17" s="11">
        <v>1555413</v>
      </c>
      <c r="J17" s="11"/>
      <c r="K17" s="24">
        <f t="shared" si="5"/>
        <v>0.56164670652439108</v>
      </c>
      <c r="L17" s="24">
        <f t="shared" si="6"/>
        <v>0.57563390873551212</v>
      </c>
      <c r="M17" s="24">
        <f t="shared" si="7"/>
        <v>0.55894092144651275</v>
      </c>
      <c r="N17" s="24">
        <f t="shared" si="7"/>
        <v>0.53831215857485148</v>
      </c>
      <c r="O17" s="24">
        <f t="shared" si="7"/>
        <v>0.51457306020147608</v>
      </c>
      <c r="P17" s="24">
        <f t="shared" si="8"/>
        <v>0.51034277069120126</v>
      </c>
      <c r="Q17" s="12">
        <f t="shared" si="9"/>
        <v>-7.4385407140656029E-2</v>
      </c>
      <c r="R17" s="12">
        <f t="shared" si="9"/>
        <v>-0.12232335979450387</v>
      </c>
      <c r="S17" s="12">
        <f t="shared" si="9"/>
        <v>-7.525592766589909E-3</v>
      </c>
      <c r="T17" s="12">
        <f t="shared" si="9"/>
        <v>-4.6342237571961736E-2</v>
      </c>
      <c r="U17" s="12">
        <f t="shared" si="9"/>
        <v>-8.9741438447537722E-2</v>
      </c>
      <c r="V17" s="11"/>
      <c r="W17" s="11">
        <f>AVERAGE(BalanceGeneral[[#This Row],[2014]:[2017]])</f>
        <v>1815228.75</v>
      </c>
      <c r="X17" s="11">
        <f>AVERAGE(BalanceGeneral[[#This Row],[2016]:[2017]])</f>
        <v>1734273</v>
      </c>
      <c r="Y17" s="11">
        <f>AVERAGE(BalanceGeneral[[#This Row],[2017]:[2018]])</f>
        <v>1625205.5</v>
      </c>
    </row>
    <row r="18" spans="1:25">
      <c r="A18" s="17">
        <v>15</v>
      </c>
      <c r="B18" t="s">
        <v>0</v>
      </c>
      <c r="C18" s="21" t="s">
        <v>93</v>
      </c>
      <c r="D18" s="11">
        <v>7644</v>
      </c>
      <c r="E18" s="11">
        <v>10635</v>
      </c>
      <c r="F18" s="23">
        <v>8439</v>
      </c>
      <c r="G18" s="11">
        <v>10391</v>
      </c>
      <c r="H18" s="11">
        <v>10864</v>
      </c>
      <c r="I18" s="11">
        <v>16219</v>
      </c>
      <c r="J18" s="11"/>
      <c r="K18" s="24">
        <f t="shared" si="5"/>
        <v>1.9925386673450961E-3</v>
      </c>
      <c r="L18" s="24">
        <f t="shared" si="6"/>
        <v>3.0525784026131336E-3</v>
      </c>
      <c r="M18" s="24">
        <f t="shared" si="7"/>
        <v>2.6397199813571145E-3</v>
      </c>
      <c r="N18" s="24">
        <f t="shared" si="7"/>
        <v>3.1539048504755896E-3</v>
      </c>
      <c r="O18" s="24">
        <f t="shared" si="7"/>
        <v>3.2981288037088161E-3</v>
      </c>
      <c r="P18" s="24">
        <f t="shared" si="8"/>
        <v>5.3215765830943893E-3</v>
      </c>
      <c r="Q18" s="12">
        <f t="shared" si="9"/>
        <v>0.28124118476727783</v>
      </c>
      <c r="R18" s="12">
        <f t="shared" si="9"/>
        <v>-0.26022040526128687</v>
      </c>
      <c r="S18" s="12">
        <f t="shared" si="9"/>
        <v>0.1878548744105476</v>
      </c>
      <c r="T18" s="12">
        <f t="shared" si="9"/>
        <v>4.3538291605301913E-2</v>
      </c>
      <c r="U18" s="12">
        <f t="shared" si="9"/>
        <v>0.33016832110487698</v>
      </c>
      <c r="V18" s="11"/>
      <c r="W18" s="11">
        <f>AVERAGE(BalanceGeneral[[#This Row],[2014]:[2017]])</f>
        <v>10082.25</v>
      </c>
      <c r="X18" s="11">
        <f>AVERAGE(BalanceGeneral[[#This Row],[2016]:[2017]])</f>
        <v>10627.5</v>
      </c>
      <c r="Y18" s="11">
        <f>AVERAGE(BalanceGeneral[[#This Row],[2017]:[2018]])</f>
        <v>13541.5</v>
      </c>
    </row>
    <row r="19" spans="1:25">
      <c r="A19" s="17">
        <v>16</v>
      </c>
      <c r="B19" t="s">
        <v>0</v>
      </c>
      <c r="C19" s="20" t="s">
        <v>11</v>
      </c>
      <c r="D19" s="11">
        <f>D18+D17+D16+D15</f>
        <v>3386493</v>
      </c>
      <c r="E19" s="11">
        <f>E18+E17+E16+E15</f>
        <v>3155245</v>
      </c>
      <c r="F19" s="23">
        <f>F18+F17+F16+F15</f>
        <v>2909561</v>
      </c>
      <c r="G19" s="11">
        <f>SUM(G15:G18)</f>
        <v>3033275</v>
      </c>
      <c r="H19" s="11">
        <f>SUM(H15:H18)</f>
        <v>2966702</v>
      </c>
      <c r="I19" s="11">
        <f>I18+I17+I16+I15</f>
        <v>2738610</v>
      </c>
      <c r="J19" s="11"/>
      <c r="K19" s="24">
        <f t="shared" si="5"/>
        <v>0.8827470237040157</v>
      </c>
      <c r="L19" s="24">
        <f t="shared" si="6"/>
        <v>0.90565423055506122</v>
      </c>
      <c r="M19" s="24">
        <f t="shared" si="7"/>
        <v>0.91011095019284127</v>
      </c>
      <c r="N19" s="24">
        <f t="shared" si="7"/>
        <v>0.92066795643598731</v>
      </c>
      <c r="O19" s="24">
        <f t="shared" si="7"/>
        <v>0.90064113753871067</v>
      </c>
      <c r="P19" s="24">
        <f t="shared" si="8"/>
        <v>0.89855865628140608</v>
      </c>
      <c r="Q19" s="12">
        <f t="shared" si="9"/>
        <v>-7.3290029775817722E-2</v>
      </c>
      <c r="R19" s="12">
        <f t="shared" si="9"/>
        <v>-8.444022998658561E-2</v>
      </c>
      <c r="S19" s="12">
        <f t="shared" si="9"/>
        <v>4.0785619503671773E-2</v>
      </c>
      <c r="T19" s="12">
        <f t="shared" si="9"/>
        <v>-2.2440069814898832E-2</v>
      </c>
      <c r="U19" s="12">
        <f t="shared" si="9"/>
        <v>-8.3287507166044092E-2</v>
      </c>
      <c r="V19" s="11"/>
      <c r="W19" s="11">
        <f>AVERAGE(BalanceGeneral[[#This Row],[2014]:[2017]])</f>
        <v>3016195.75</v>
      </c>
      <c r="X19" s="11">
        <f>AVERAGE(BalanceGeneral[[#This Row],[2016]:[2017]])</f>
        <v>2999988.5</v>
      </c>
      <c r="Y19" s="11">
        <f>AVERAGE(BalanceGeneral[[#This Row],[2017]:[2018]])</f>
        <v>2852656</v>
      </c>
    </row>
    <row r="20" spans="1:25">
      <c r="A20" s="17">
        <v>17</v>
      </c>
      <c r="B20" t="s">
        <v>0</v>
      </c>
      <c r="C20" s="10" t="s">
        <v>12</v>
      </c>
      <c r="D20" s="11">
        <f t="shared" ref="D20:I20" si="10">D19+D13</f>
        <v>3836312</v>
      </c>
      <c r="E20" s="11">
        <f t="shared" si="10"/>
        <v>3483940</v>
      </c>
      <c r="F20" s="23">
        <f t="shared" si="10"/>
        <v>3196930</v>
      </c>
      <c r="G20" s="11">
        <f t="shared" si="10"/>
        <v>3294646</v>
      </c>
      <c r="H20" s="11">
        <f t="shared" si="10"/>
        <v>3293989</v>
      </c>
      <c r="I20" s="11">
        <f t="shared" si="10"/>
        <v>3047781</v>
      </c>
      <c r="J20" s="11"/>
      <c r="K20" s="24">
        <f t="shared" si="5"/>
        <v>1</v>
      </c>
      <c r="L20" s="24">
        <f t="shared" si="6"/>
        <v>1</v>
      </c>
      <c r="M20" s="24">
        <f t="shared" si="7"/>
        <v>1</v>
      </c>
      <c r="N20" s="24">
        <f t="shared" si="7"/>
        <v>1</v>
      </c>
      <c r="O20" s="24">
        <f t="shared" si="7"/>
        <v>1</v>
      </c>
      <c r="P20" s="24">
        <f t="shared" si="8"/>
        <v>1</v>
      </c>
      <c r="Q20" s="12">
        <f t="shared" si="9"/>
        <v>-0.10114181070856559</v>
      </c>
      <c r="R20" s="12">
        <f t="shared" si="9"/>
        <v>-8.9776754573919357E-2</v>
      </c>
      <c r="S20" s="12">
        <f t="shared" si="9"/>
        <v>2.9659028617945601E-2</v>
      </c>
      <c r="T20" s="12">
        <f t="shared" si="9"/>
        <v>-1.9945421797097683E-4</v>
      </c>
      <c r="U20" s="12">
        <f t="shared" si="9"/>
        <v>-8.0782707156452513E-2</v>
      </c>
      <c r="V20" s="11"/>
      <c r="W20" s="11">
        <f>AVERAGE(BalanceGeneral[[#This Row],[2014]:[2017]])</f>
        <v>3317376.25</v>
      </c>
      <c r="X20" s="11">
        <f>AVERAGE(BalanceGeneral[[#This Row],[2016]:[2017]])</f>
        <v>3294317.5</v>
      </c>
      <c r="Y20" s="11">
        <f>AVERAGE(BalanceGeneral[[#This Row],[2017]:[2018]])</f>
        <v>3170885</v>
      </c>
    </row>
    <row r="21" spans="1:25">
      <c r="A21" s="17">
        <v>18</v>
      </c>
      <c r="B21" t="s">
        <v>67</v>
      </c>
      <c r="C21" s="10" t="s">
        <v>13</v>
      </c>
      <c r="D21" s="26"/>
      <c r="E21" s="27"/>
      <c r="F21" s="27"/>
      <c r="I21" s="41"/>
      <c r="K21" s="27"/>
      <c r="L21" s="27"/>
      <c r="M21" s="27"/>
      <c r="N21" s="27"/>
      <c r="O21" s="27"/>
      <c r="P21" s="27"/>
      <c r="Q21" s="27"/>
      <c r="R21" s="27"/>
      <c r="S21" s="27"/>
      <c r="T21" s="27"/>
      <c r="U21" s="27"/>
      <c r="V21" s="27"/>
      <c r="W21" s="41"/>
      <c r="X21" s="41"/>
      <c r="Y21" s="11"/>
    </row>
    <row r="22" spans="1:25">
      <c r="A22" s="17">
        <v>19</v>
      </c>
      <c r="B22" t="s">
        <v>67</v>
      </c>
      <c r="C22" s="20" t="s">
        <v>14</v>
      </c>
      <c r="D22" s="29"/>
      <c r="E22" s="30"/>
      <c r="F22" s="30"/>
      <c r="I22" s="41"/>
      <c r="K22" s="30"/>
      <c r="L22" s="30"/>
      <c r="M22" s="30"/>
      <c r="N22" s="30"/>
      <c r="O22" s="30"/>
      <c r="P22" s="30"/>
      <c r="Q22" s="30"/>
      <c r="R22" s="30"/>
      <c r="S22" s="30"/>
      <c r="T22" s="30"/>
      <c r="U22" s="30"/>
      <c r="V22" s="30"/>
      <c r="W22" s="41"/>
      <c r="X22" s="41"/>
      <c r="Y22" s="11"/>
    </row>
    <row r="23" spans="1:25">
      <c r="A23" s="17">
        <v>20</v>
      </c>
      <c r="B23" t="s">
        <v>67</v>
      </c>
      <c r="C23" s="21" t="s">
        <v>15</v>
      </c>
      <c r="D23" s="11">
        <v>6805</v>
      </c>
      <c r="E23" s="11">
        <v>5259</v>
      </c>
      <c r="F23" s="23">
        <v>8067</v>
      </c>
      <c r="G23" s="11">
        <v>24050</v>
      </c>
      <c r="H23" s="11">
        <v>17523</v>
      </c>
      <c r="I23" s="11">
        <v>7135</v>
      </c>
      <c r="J23" s="11"/>
      <c r="K23" s="24">
        <f t="shared" ref="K23:P28" si="11">D23/D$36</f>
        <v>2.745797275830165E-3</v>
      </c>
      <c r="L23" s="24">
        <f t="shared" si="11"/>
        <v>2.524715471431445E-3</v>
      </c>
      <c r="M23" s="24">
        <f t="shared" si="11"/>
        <v>4.2906949840834201E-3</v>
      </c>
      <c r="N23" s="24">
        <f t="shared" si="11"/>
        <v>1.3208951330094714E-2</v>
      </c>
      <c r="O23" s="24">
        <f t="shared" si="11"/>
        <v>1.0007744393881244E-2</v>
      </c>
      <c r="P23" s="24">
        <f t="shared" si="11"/>
        <v>4.662850122207845E-3</v>
      </c>
      <c r="Q23" s="12">
        <f t="shared" ref="Q23:U28" si="12">(E23-D23)/E23</f>
        <v>-0.29397223806807377</v>
      </c>
      <c r="R23" s="12">
        <f t="shared" si="12"/>
        <v>0.34808478988471553</v>
      </c>
      <c r="S23" s="12">
        <f t="shared" si="12"/>
        <v>0.66457380457380455</v>
      </c>
      <c r="T23" s="12">
        <f t="shared" si="12"/>
        <v>-0.37248188095645723</v>
      </c>
      <c r="U23" s="12">
        <f t="shared" si="12"/>
        <v>-1.4559215136650316</v>
      </c>
      <c r="V23" s="11"/>
      <c r="W23" s="11">
        <f>AVERAGE(BalanceGeneral[[#This Row],[2014]:[2017]])</f>
        <v>13724.75</v>
      </c>
      <c r="X23" s="11">
        <f>AVERAGE(BalanceGeneral[[#This Row],[2016]:[2017]])</f>
        <v>20786.5</v>
      </c>
      <c r="Y23" s="11">
        <f>AVERAGE(BalanceGeneral[[#This Row],[2017]:[2018]])</f>
        <v>12329</v>
      </c>
    </row>
    <row r="24" spans="1:25">
      <c r="A24" s="17">
        <v>21</v>
      </c>
      <c r="B24" t="s">
        <v>67</v>
      </c>
      <c r="C24" s="21" t="s">
        <v>16</v>
      </c>
      <c r="D24" s="11">
        <v>129427</v>
      </c>
      <c r="E24" s="11">
        <v>103095</v>
      </c>
      <c r="F24" s="23">
        <v>120274</v>
      </c>
      <c r="G24" s="11">
        <v>151447</v>
      </c>
      <c r="H24" s="11">
        <v>165969</v>
      </c>
      <c r="I24" s="11">
        <v>149523</v>
      </c>
      <c r="J24" s="11"/>
      <c r="K24" s="24">
        <f t="shared" si="11"/>
        <v>5.2223409848474761E-2</v>
      </c>
      <c r="L24" s="24">
        <f t="shared" si="11"/>
        <v>4.9493352638757336E-2</v>
      </c>
      <c r="M24" s="24">
        <f t="shared" si="11"/>
        <v>6.3971618757363249E-2</v>
      </c>
      <c r="N24" s="24">
        <f t="shared" si="11"/>
        <v>8.3179045824900377E-2</v>
      </c>
      <c r="O24" s="24">
        <f t="shared" si="11"/>
        <v>9.478829705575964E-2</v>
      </c>
      <c r="P24" s="24">
        <f t="shared" si="11"/>
        <v>9.7715954985687956E-2</v>
      </c>
      <c r="Q24" s="12">
        <f t="shared" si="12"/>
        <v>-0.25541490857946553</v>
      </c>
      <c r="R24" s="12">
        <f t="shared" si="12"/>
        <v>0.14283219981043285</v>
      </c>
      <c r="S24" s="12">
        <f t="shared" si="12"/>
        <v>0.20583438430606085</v>
      </c>
      <c r="T24" s="12">
        <f t="shared" si="12"/>
        <v>8.749826774879646E-2</v>
      </c>
      <c r="U24" s="12">
        <f t="shared" si="12"/>
        <v>-0.10998976746052447</v>
      </c>
      <c r="V24" s="11"/>
      <c r="W24" s="11">
        <f>AVERAGE(BalanceGeneral[[#This Row],[2014]:[2017]])</f>
        <v>135196.25</v>
      </c>
      <c r="X24" s="11">
        <f>AVERAGE(BalanceGeneral[[#This Row],[2016]:[2017]])</f>
        <v>158708</v>
      </c>
      <c r="Y24" s="11">
        <f>AVERAGE(BalanceGeneral[[#This Row],[2017]:[2018]])</f>
        <v>157746</v>
      </c>
    </row>
    <row r="25" spans="1:25">
      <c r="A25" s="17">
        <v>22</v>
      </c>
      <c r="B25" t="s">
        <v>67</v>
      </c>
      <c r="C25" s="21" t="s">
        <v>17</v>
      </c>
      <c r="D25" s="11">
        <v>336084</v>
      </c>
      <c r="E25" s="11">
        <v>165246</v>
      </c>
      <c r="F25" s="23">
        <v>268512</v>
      </c>
      <c r="G25" s="11">
        <v>171054</v>
      </c>
      <c r="H25" s="11">
        <v>358134</v>
      </c>
      <c r="I25" s="11">
        <v>42870</v>
      </c>
      <c r="J25" s="11"/>
      <c r="K25" s="24">
        <f t="shared" si="11"/>
        <v>0.1356088951726826</v>
      </c>
      <c r="L25" s="24">
        <f t="shared" si="11"/>
        <v>7.9330506330511613E-2</v>
      </c>
      <c r="M25" s="24">
        <f t="shared" si="11"/>
        <v>0.14281679578110915</v>
      </c>
      <c r="N25" s="24">
        <f t="shared" si="11"/>
        <v>9.394777383858717E-2</v>
      </c>
      <c r="O25" s="24">
        <f t="shared" si="11"/>
        <v>0.20453766653873567</v>
      </c>
      <c r="P25" s="24">
        <f t="shared" si="11"/>
        <v>2.8016311806454142E-2</v>
      </c>
      <c r="Q25" s="12">
        <f t="shared" si="12"/>
        <v>-1.0338404560473475</v>
      </c>
      <c r="R25" s="12">
        <f t="shared" si="12"/>
        <v>0.38458616374687166</v>
      </c>
      <c r="S25" s="12">
        <f t="shared" si="12"/>
        <v>-0.56974990353923327</v>
      </c>
      <c r="T25" s="12">
        <f t="shared" si="12"/>
        <v>0.52237430682370289</v>
      </c>
      <c r="U25" s="12">
        <f t="shared" si="12"/>
        <v>-7.3539538138558429</v>
      </c>
      <c r="V25" s="11"/>
      <c r="W25" s="11">
        <f>AVERAGE(BalanceGeneral[[#This Row],[2014]:[2017]])</f>
        <v>240736.5</v>
      </c>
      <c r="X25" s="11">
        <f>AVERAGE(BalanceGeneral[[#This Row],[2016]:[2017]])</f>
        <v>264594</v>
      </c>
      <c r="Y25" s="11">
        <f>AVERAGE(BalanceGeneral[[#This Row],[2017]:[2018]])</f>
        <v>200502</v>
      </c>
    </row>
    <row r="26" spans="1:25">
      <c r="A26" s="17">
        <v>23</v>
      </c>
      <c r="B26" t="s">
        <v>67</v>
      </c>
      <c r="C26" s="21" t="s">
        <v>18</v>
      </c>
      <c r="D26" s="11">
        <v>93240</v>
      </c>
      <c r="E26" s="11">
        <v>71303</v>
      </c>
      <c r="F26" s="23">
        <v>50634</v>
      </c>
      <c r="G26" s="11">
        <v>41493</v>
      </c>
      <c r="H26" s="11">
        <v>31341</v>
      </c>
      <c r="I26" s="11">
        <v>29555</v>
      </c>
      <c r="J26" s="11"/>
      <c r="K26" s="24">
        <f t="shared" si="11"/>
        <v>3.7622062894695746E-2</v>
      </c>
      <c r="L26" s="24">
        <f t="shared" si="11"/>
        <v>3.4230801912811623E-2</v>
      </c>
      <c r="M26" s="24">
        <f t="shared" si="11"/>
        <v>2.6931331328136843E-2</v>
      </c>
      <c r="N26" s="24">
        <f t="shared" si="11"/>
        <v>2.2789148338445739E-2</v>
      </c>
      <c r="O26" s="24">
        <f t="shared" si="11"/>
        <v>1.7899487362245736E-2</v>
      </c>
      <c r="P26" s="24">
        <f t="shared" si="11"/>
        <v>1.9314721143917708E-2</v>
      </c>
      <c r="Q26" s="12">
        <f t="shared" si="12"/>
        <v>-0.30765886428341022</v>
      </c>
      <c r="R26" s="12">
        <f t="shared" si="12"/>
        <v>-0.40820397361456728</v>
      </c>
      <c r="S26" s="12">
        <f t="shared" si="12"/>
        <v>-0.22030221965150748</v>
      </c>
      <c r="T26" s="12">
        <f t="shared" si="12"/>
        <v>-0.32392074279697519</v>
      </c>
      <c r="U26" s="12">
        <f t="shared" si="12"/>
        <v>-6.0429707325325661E-2</v>
      </c>
      <c r="V26" s="11"/>
      <c r="W26" s="11">
        <f>AVERAGE(BalanceGeneral[[#This Row],[2014]:[2017]])</f>
        <v>48692.75</v>
      </c>
      <c r="X26" s="11">
        <f>AVERAGE(BalanceGeneral[[#This Row],[2016]:[2017]])</f>
        <v>36417</v>
      </c>
      <c r="Y26" s="11">
        <f>AVERAGE(BalanceGeneral[[#This Row],[2017]:[2018]])</f>
        <v>30448</v>
      </c>
    </row>
    <row r="27" spans="1:25">
      <c r="A27" s="17">
        <v>24</v>
      </c>
      <c r="B27" t="s">
        <v>67</v>
      </c>
      <c r="C27" s="21" t="s">
        <v>19</v>
      </c>
      <c r="D27" s="11">
        <v>76317</v>
      </c>
      <c r="E27" s="11">
        <v>62010</v>
      </c>
      <c r="F27" s="23">
        <v>76758</v>
      </c>
      <c r="G27" s="11">
        <v>69819</v>
      </c>
      <c r="H27" s="11">
        <v>109870</v>
      </c>
      <c r="I27" s="11">
        <v>65474</v>
      </c>
      <c r="J27" s="11"/>
      <c r="K27" s="24">
        <f t="shared" si="11"/>
        <v>3.0793682689130152E-2</v>
      </c>
      <c r="L27" s="24">
        <f t="shared" si="11"/>
        <v>2.9769463088698215E-2</v>
      </c>
      <c r="M27" s="24">
        <f t="shared" si="11"/>
        <v>4.0826226055321081E-2</v>
      </c>
      <c r="N27" s="24">
        <f t="shared" si="11"/>
        <v>3.8346601784444191E-2</v>
      </c>
      <c r="O27" s="24">
        <f t="shared" si="11"/>
        <v>6.2749008534824638E-2</v>
      </c>
      <c r="P27" s="24">
        <f t="shared" si="11"/>
        <v>4.2788430119332366E-2</v>
      </c>
      <c r="Q27" s="12">
        <f t="shared" si="12"/>
        <v>-0.23072085147556845</v>
      </c>
      <c r="R27" s="12">
        <f t="shared" si="12"/>
        <v>0.19213632455248963</v>
      </c>
      <c r="S27" s="12">
        <f t="shared" si="12"/>
        <v>-9.9385554075538174E-2</v>
      </c>
      <c r="T27" s="12">
        <f t="shared" si="12"/>
        <v>0.36453080913807229</v>
      </c>
      <c r="U27" s="12">
        <f t="shared" si="12"/>
        <v>-0.67807068454653752</v>
      </c>
      <c r="V27" s="11"/>
      <c r="W27" s="11">
        <f>AVERAGE(BalanceGeneral[[#This Row],[2014]:[2017]])</f>
        <v>79614.25</v>
      </c>
      <c r="X27" s="11">
        <f>AVERAGE(BalanceGeneral[[#This Row],[2016]:[2017]])</f>
        <v>89844.5</v>
      </c>
      <c r="Y27" s="11">
        <f>AVERAGE(BalanceGeneral[[#This Row],[2017]:[2018]])</f>
        <v>87672</v>
      </c>
    </row>
    <row r="28" spans="1:25">
      <c r="A28" s="17">
        <v>25</v>
      </c>
      <c r="B28" t="s">
        <v>67</v>
      </c>
      <c r="C28" s="20" t="s">
        <v>20</v>
      </c>
      <c r="D28" s="11">
        <f>SUM(D23:D27)</f>
        <v>641873</v>
      </c>
      <c r="E28" s="11">
        <f>SUM(E23:E27)</f>
        <v>406913</v>
      </c>
      <c r="F28" s="23">
        <f t="shared" ref="F28" si="13">SUM(F23:F27)</f>
        <v>524245</v>
      </c>
      <c r="G28" s="11">
        <f>SUM(G23:G27)</f>
        <v>457863</v>
      </c>
      <c r="H28" s="11">
        <f>SUM(H23:H27)</f>
        <v>682837</v>
      </c>
      <c r="I28" s="11">
        <f>SUM(I23:I27)</f>
        <v>294557</v>
      </c>
      <c r="J28" s="11"/>
      <c r="K28" s="24">
        <f t="shared" si="11"/>
        <v>0.25899384788081342</v>
      </c>
      <c r="L28" s="24">
        <f t="shared" si="11"/>
        <v>0.19534883944221024</v>
      </c>
      <c r="M28" s="24">
        <f t="shared" si="11"/>
        <v>0.27883666690601372</v>
      </c>
      <c r="N28" s="24">
        <f t="shared" si="11"/>
        <v>0.2514715211164722</v>
      </c>
      <c r="O28" s="24">
        <f t="shared" si="11"/>
        <v>0.38998220388544691</v>
      </c>
      <c r="P28" s="24">
        <f t="shared" si="11"/>
        <v>0.19249826817760002</v>
      </c>
      <c r="Q28" s="12">
        <f t="shared" si="12"/>
        <v>-0.57742072629775898</v>
      </c>
      <c r="R28" s="12">
        <f t="shared" si="12"/>
        <v>0.22381138589781496</v>
      </c>
      <c r="S28" s="12">
        <f t="shared" si="12"/>
        <v>-0.14498223267658666</v>
      </c>
      <c r="T28" s="12">
        <f t="shared" si="12"/>
        <v>0.32946955129847971</v>
      </c>
      <c r="U28" s="12">
        <f t="shared" si="12"/>
        <v>-1.3181828983863904</v>
      </c>
      <c r="V28" s="11"/>
      <c r="W28" s="11">
        <f>AVERAGE(BalanceGeneral[[#This Row],[2014]:[2017]])</f>
        <v>517964.5</v>
      </c>
      <c r="X28" s="11">
        <f>AVERAGE(BalanceGeneral[[#This Row],[2016]:[2017]])</f>
        <v>570350</v>
      </c>
      <c r="Y28" s="11">
        <f>AVERAGE(BalanceGeneral[[#This Row],[2017]:[2018]])</f>
        <v>488697</v>
      </c>
    </row>
    <row r="29" spans="1:25">
      <c r="A29" s="17">
        <v>26</v>
      </c>
      <c r="B29" t="s">
        <v>67</v>
      </c>
      <c r="C29" s="20" t="s">
        <v>21</v>
      </c>
      <c r="D29" s="11"/>
      <c r="E29" s="11"/>
      <c r="F29" s="22"/>
      <c r="I29" s="22"/>
      <c r="K29" s="24"/>
      <c r="L29" s="24"/>
      <c r="M29" s="24"/>
      <c r="N29" s="24"/>
      <c r="O29" s="24"/>
      <c r="P29" s="24"/>
      <c r="Q29" s="22"/>
      <c r="R29" s="22"/>
      <c r="S29" s="22"/>
      <c r="T29" s="22"/>
      <c r="U29" s="287"/>
      <c r="V29" s="11"/>
      <c r="W29" s="22"/>
      <c r="X29" s="22"/>
      <c r="Y29" s="11"/>
    </row>
    <row r="30" spans="1:25">
      <c r="A30" s="17">
        <v>27</v>
      </c>
      <c r="B30" t="s">
        <v>67</v>
      </c>
      <c r="C30" s="21" t="s">
        <v>22</v>
      </c>
      <c r="D30" s="11">
        <v>18797</v>
      </c>
      <c r="E30" s="11">
        <v>10510</v>
      </c>
      <c r="F30" s="23">
        <v>8046</v>
      </c>
      <c r="G30" s="11">
        <v>529</v>
      </c>
      <c r="H30" s="11">
        <v>0</v>
      </c>
      <c r="I30" s="11">
        <v>0</v>
      </c>
      <c r="J30" s="11"/>
      <c r="K30" s="24">
        <f t="shared" ref="K30:P36" si="14">D30/D$36</f>
        <v>7.5845336361175034E-3</v>
      </c>
      <c r="L30" s="24">
        <f t="shared" si="14"/>
        <v>5.0455903412710565E-3</v>
      </c>
      <c r="M30" s="24">
        <f t="shared" si="14"/>
        <v>4.2795254545599602E-3</v>
      </c>
      <c r="N30" s="24">
        <f t="shared" si="14"/>
        <v>2.9054200638753029E-4</v>
      </c>
      <c r="O30" s="24">
        <f t="shared" si="14"/>
        <v>0</v>
      </c>
      <c r="P30" s="24">
        <f t="shared" si="14"/>
        <v>0</v>
      </c>
      <c r="Q30" s="12">
        <f t="shared" ref="Q30:S36" si="15">(E30-D30)/E30</f>
        <v>-0.78848715509039013</v>
      </c>
      <c r="R30" s="12">
        <f t="shared" si="15"/>
        <v>-0.30623912503107131</v>
      </c>
      <c r="S30" s="12">
        <f t="shared" si="15"/>
        <v>-14.209829867674857</v>
      </c>
      <c r="T30" s="12">
        <f>IF(H30&lt;&gt;0,(H30-G30)/H30,0)</f>
        <v>0</v>
      </c>
      <c r="U30" s="12">
        <v>0</v>
      </c>
      <c r="V30" s="11"/>
      <c r="W30" s="11">
        <f>AVERAGE(BalanceGeneral[[#This Row],[2014]:[2017]])</f>
        <v>4771.25</v>
      </c>
      <c r="X30" s="11">
        <f>AVERAGE(BalanceGeneral[[#This Row],[2016]:[2017]])</f>
        <v>264.5</v>
      </c>
      <c r="Y30" s="11">
        <f>AVERAGE(BalanceGeneral[[#This Row],[2017]:[2018]])</f>
        <v>0</v>
      </c>
    </row>
    <row r="31" spans="1:25">
      <c r="A31" s="17">
        <v>28</v>
      </c>
      <c r="B31" t="s">
        <v>67</v>
      </c>
      <c r="C31" s="21" t="s">
        <v>23</v>
      </c>
      <c r="D31" s="11">
        <v>1106199</v>
      </c>
      <c r="E31" s="11">
        <v>1037923</v>
      </c>
      <c r="F31" s="23">
        <v>822388</v>
      </c>
      <c r="G31" s="11">
        <v>820294</v>
      </c>
      <c r="H31" s="11">
        <v>584684</v>
      </c>
      <c r="I31" s="11">
        <v>835102</v>
      </c>
      <c r="J31" s="11"/>
      <c r="K31" s="24">
        <f t="shared" si="14"/>
        <v>0.44634800892374027</v>
      </c>
      <c r="L31" s="24">
        <f t="shared" si="14"/>
        <v>0.49828109075005511</v>
      </c>
      <c r="M31" s="24">
        <f t="shared" si="14"/>
        <v>0.43741366884472493</v>
      </c>
      <c r="N31" s="24">
        <f t="shared" si="14"/>
        <v>0.45052904458913573</v>
      </c>
      <c r="O31" s="24">
        <f t="shared" si="14"/>
        <v>0.33392501416378823</v>
      </c>
      <c r="P31" s="24">
        <f t="shared" si="14"/>
        <v>0.54575409428956068</v>
      </c>
      <c r="Q31" s="12">
        <f t="shared" si="15"/>
        <v>-6.5781372992023496E-2</v>
      </c>
      <c r="R31" s="12">
        <f t="shared" si="15"/>
        <v>-0.26208432029650236</v>
      </c>
      <c r="S31" s="12">
        <f t="shared" si="15"/>
        <v>-2.5527432847247452E-3</v>
      </c>
      <c r="T31" s="12">
        <f t="shared" ref="T31:U36" si="16">(H31-G31)/H31</f>
        <v>-0.4029698093329046</v>
      </c>
      <c r="U31" s="12">
        <f t="shared" si="16"/>
        <v>0.29986516617131798</v>
      </c>
      <c r="V31" s="11"/>
      <c r="W31" s="11">
        <f>AVERAGE(BalanceGeneral[[#This Row],[2014]:[2017]])</f>
        <v>816322.25</v>
      </c>
      <c r="X31" s="11">
        <f>AVERAGE(BalanceGeneral[[#This Row],[2016]:[2017]])</f>
        <v>702489</v>
      </c>
      <c r="Y31" s="11">
        <f>AVERAGE(BalanceGeneral[[#This Row],[2017]:[2018]])</f>
        <v>709893</v>
      </c>
    </row>
    <row r="32" spans="1:25">
      <c r="A32" s="17">
        <v>29</v>
      </c>
      <c r="B32" t="s">
        <v>67</v>
      </c>
      <c r="C32" s="21" t="s">
        <v>24</v>
      </c>
      <c r="D32" s="11">
        <v>63418</v>
      </c>
      <c r="E32" s="11">
        <v>50769</v>
      </c>
      <c r="F32" s="23">
        <v>32384</v>
      </c>
      <c r="G32" s="11">
        <v>38401</v>
      </c>
      <c r="H32" s="11">
        <v>40415</v>
      </c>
      <c r="I32" s="11">
        <v>36661</v>
      </c>
      <c r="J32" s="11"/>
      <c r="K32" s="24">
        <f t="shared" si="14"/>
        <v>2.5588974524408139E-2</v>
      </c>
      <c r="L32" s="24">
        <f t="shared" si="14"/>
        <v>2.4372937776973386E-2</v>
      </c>
      <c r="M32" s="24">
        <f t="shared" si="14"/>
        <v>1.7224478289891841E-2</v>
      </c>
      <c r="N32" s="24">
        <f t="shared" si="14"/>
        <v>2.109093305725435E-2</v>
      </c>
      <c r="O32" s="24">
        <f t="shared" si="14"/>
        <v>2.3081834713160443E-2</v>
      </c>
      <c r="P32" s="24">
        <f t="shared" si="14"/>
        <v>2.3958619247408802E-2</v>
      </c>
      <c r="Q32" s="12">
        <f t="shared" si="15"/>
        <v>-0.24914810218834327</v>
      </c>
      <c r="R32" s="12">
        <f t="shared" si="15"/>
        <v>-0.56771862648221338</v>
      </c>
      <c r="S32" s="12">
        <f t="shared" si="15"/>
        <v>0.1566886279003151</v>
      </c>
      <c r="T32" s="12">
        <f t="shared" si="16"/>
        <v>4.9832982803414576E-2</v>
      </c>
      <c r="U32" s="12">
        <f t="shared" si="16"/>
        <v>-0.10239764327214206</v>
      </c>
      <c r="V32" s="11"/>
      <c r="W32" s="11">
        <f>AVERAGE(BalanceGeneral[[#This Row],[2014]:[2017]])</f>
        <v>40492.25</v>
      </c>
      <c r="X32" s="11">
        <f>AVERAGE(BalanceGeneral[[#This Row],[2016]:[2017]])</f>
        <v>39408</v>
      </c>
      <c r="Y32" s="11">
        <f>AVERAGE(BalanceGeneral[[#This Row],[2017]:[2018]])</f>
        <v>38538</v>
      </c>
    </row>
    <row r="33" spans="1:25">
      <c r="A33" s="17">
        <v>30</v>
      </c>
      <c r="B33" t="s">
        <v>67</v>
      </c>
      <c r="C33" s="21" t="s">
        <v>94</v>
      </c>
      <c r="D33" s="11">
        <v>635903</v>
      </c>
      <c r="E33" s="11">
        <v>565517</v>
      </c>
      <c r="F33" s="23">
        <v>484522</v>
      </c>
      <c r="G33" s="11">
        <v>487922</v>
      </c>
      <c r="H33" s="11">
        <v>427382</v>
      </c>
      <c r="I33" s="11">
        <v>346285</v>
      </c>
      <c r="J33" s="11"/>
      <c r="K33" s="24">
        <f t="shared" si="14"/>
        <v>0.25658497062339886</v>
      </c>
      <c r="L33" s="24">
        <f t="shared" si="14"/>
        <v>0.27149068630110218</v>
      </c>
      <c r="M33" s="24">
        <f t="shared" si="14"/>
        <v>0.25770870398885176</v>
      </c>
      <c r="N33" s="24">
        <f t="shared" si="14"/>
        <v>0.26798078797848124</v>
      </c>
      <c r="O33" s="24">
        <f t="shared" si="14"/>
        <v>0.24408661841840745</v>
      </c>
      <c r="P33" s="24">
        <f t="shared" si="14"/>
        <v>0.22630344142519182</v>
      </c>
      <c r="Q33" s="12">
        <f t="shared" si="15"/>
        <v>-0.12446310190498253</v>
      </c>
      <c r="R33" s="12">
        <f t="shared" si="15"/>
        <v>-0.16716475206492171</v>
      </c>
      <c r="S33" s="12">
        <f t="shared" si="15"/>
        <v>6.9683269047101787E-3</v>
      </c>
      <c r="T33" s="12">
        <f t="shared" si="16"/>
        <v>-0.14165313466641086</v>
      </c>
      <c r="U33" s="12">
        <f t="shared" si="16"/>
        <v>-0.23419148966891434</v>
      </c>
      <c r="V33" s="11"/>
      <c r="W33" s="11">
        <f>AVERAGE(BalanceGeneral[[#This Row],[2014]:[2017]])</f>
        <v>491335.75</v>
      </c>
      <c r="X33" s="11">
        <f>AVERAGE(BalanceGeneral[[#This Row],[2016]:[2017]])</f>
        <v>457652</v>
      </c>
      <c r="Y33" s="11">
        <f>AVERAGE(BalanceGeneral[[#This Row],[2017]:[2018]])</f>
        <v>386833.5</v>
      </c>
    </row>
    <row r="34" spans="1:25">
      <c r="A34" s="17">
        <v>31</v>
      </c>
      <c r="B34" t="s">
        <v>67</v>
      </c>
      <c r="C34" s="21" t="s">
        <v>25</v>
      </c>
      <c r="D34" s="11">
        <v>12143</v>
      </c>
      <c r="E34" s="11">
        <v>11375</v>
      </c>
      <c r="F34" s="23">
        <v>8530</v>
      </c>
      <c r="G34" s="11">
        <v>15726</v>
      </c>
      <c r="H34" s="11">
        <v>15626</v>
      </c>
      <c r="I34" s="11">
        <v>17575</v>
      </c>
      <c r="J34" s="11"/>
      <c r="K34" s="24">
        <f t="shared" si="14"/>
        <v>4.8996644115217773E-3</v>
      </c>
      <c r="L34" s="24">
        <f t="shared" si="14"/>
        <v>5.4608553883880367E-3</v>
      </c>
      <c r="M34" s="24">
        <f t="shared" si="14"/>
        <v>4.5369565159578008E-3</v>
      </c>
      <c r="N34" s="24">
        <f t="shared" si="14"/>
        <v>8.6371712522690016E-3</v>
      </c>
      <c r="O34" s="24">
        <f t="shared" si="14"/>
        <v>8.924328819196959E-3</v>
      </c>
      <c r="P34" s="24">
        <f t="shared" si="14"/>
        <v>1.1485576860238664E-2</v>
      </c>
      <c r="Q34" s="12">
        <f t="shared" si="15"/>
        <v>-6.7516483516483511E-2</v>
      </c>
      <c r="R34" s="12">
        <f t="shared" si="15"/>
        <v>-0.33352872215709262</v>
      </c>
      <c r="S34" s="12">
        <f t="shared" si="15"/>
        <v>0.45758616304209587</v>
      </c>
      <c r="T34" s="12">
        <f t="shared" si="16"/>
        <v>-6.3995904262127224E-3</v>
      </c>
      <c r="U34" s="12">
        <f t="shared" si="16"/>
        <v>0.11089615931721195</v>
      </c>
      <c r="V34" s="11"/>
      <c r="W34" s="11">
        <f>AVERAGE(BalanceGeneral[[#This Row],[2014]:[2017]])</f>
        <v>12814.25</v>
      </c>
      <c r="X34" s="11">
        <f>AVERAGE(BalanceGeneral[[#This Row],[2016]:[2017]])</f>
        <v>15676</v>
      </c>
      <c r="Y34" s="11">
        <f>AVERAGE(BalanceGeneral[[#This Row],[2017]:[2018]])</f>
        <v>16600.5</v>
      </c>
    </row>
    <row r="35" spans="1:25">
      <c r="A35" s="17">
        <v>32</v>
      </c>
      <c r="B35" t="s">
        <v>67</v>
      </c>
      <c r="C35" s="20" t="s">
        <v>26</v>
      </c>
      <c r="D35" s="11">
        <f>SUM(D30:D34)</f>
        <v>1836460</v>
      </c>
      <c r="E35" s="11">
        <f>SUM(E30:E34)</f>
        <v>1676094</v>
      </c>
      <c r="F35" s="23">
        <f t="shared" ref="F35" si="17">SUM(F30:F34)</f>
        <v>1355870</v>
      </c>
      <c r="G35" s="11">
        <f>SUM(G30:G34)</f>
        <v>1362872</v>
      </c>
      <c r="H35" s="11">
        <f>SUM(H30:H34)</f>
        <v>1068107</v>
      </c>
      <c r="I35" s="11">
        <f>SUM(I30:I34)</f>
        <v>1235623</v>
      </c>
      <c r="J35" s="11"/>
      <c r="K35" s="24">
        <f t="shared" si="14"/>
        <v>0.74100615211918652</v>
      </c>
      <c r="L35" s="24">
        <f t="shared" si="14"/>
        <v>0.80465116055778974</v>
      </c>
      <c r="M35" s="24">
        <f t="shared" si="14"/>
        <v>0.72116333309398628</v>
      </c>
      <c r="N35" s="24">
        <f t="shared" si="14"/>
        <v>0.7485284788835278</v>
      </c>
      <c r="O35" s="24">
        <f t="shared" si="14"/>
        <v>0.61001779611455309</v>
      </c>
      <c r="P35" s="24">
        <f t="shared" si="14"/>
        <v>0.80750173182239993</v>
      </c>
      <c r="Q35" s="12">
        <f t="shared" si="15"/>
        <v>-9.5678404671814349E-2</v>
      </c>
      <c r="R35" s="12">
        <f t="shared" si="15"/>
        <v>-0.23617603457558614</v>
      </c>
      <c r="S35" s="12">
        <f t="shared" si="15"/>
        <v>5.1376798408067671E-3</v>
      </c>
      <c r="T35" s="12">
        <f t="shared" si="16"/>
        <v>-0.27596954237730864</v>
      </c>
      <c r="U35" s="12">
        <f t="shared" si="16"/>
        <v>0.13557209601957879</v>
      </c>
      <c r="V35" s="11"/>
      <c r="W35" s="11">
        <f>AVERAGE(BalanceGeneral[[#This Row],[2014]:[2017]])</f>
        <v>1365735.75</v>
      </c>
      <c r="X35" s="11">
        <f>AVERAGE(BalanceGeneral[[#This Row],[2016]:[2017]])</f>
        <v>1215489.5</v>
      </c>
      <c r="Y35" s="11">
        <f>AVERAGE(BalanceGeneral[[#This Row],[2017]:[2018]])</f>
        <v>1151865</v>
      </c>
    </row>
    <row r="36" spans="1:25">
      <c r="A36" s="17">
        <v>33</v>
      </c>
      <c r="B36" t="s">
        <v>67</v>
      </c>
      <c r="C36" s="10" t="s">
        <v>27</v>
      </c>
      <c r="D36" s="11">
        <f>D35+D28</f>
        <v>2478333</v>
      </c>
      <c r="E36" s="11">
        <f>E35+E28</f>
        <v>2083007</v>
      </c>
      <c r="F36" s="23">
        <f t="shared" ref="F36" si="18">F35+F28</f>
        <v>1880115</v>
      </c>
      <c r="G36" s="11">
        <f>G35+G28</f>
        <v>1820735</v>
      </c>
      <c r="H36" s="11">
        <f>H35+H28</f>
        <v>1750944</v>
      </c>
      <c r="I36" s="11">
        <f>I35+I28</f>
        <v>1530180</v>
      </c>
      <c r="J36" s="11"/>
      <c r="K36" s="24">
        <f t="shared" si="14"/>
        <v>1</v>
      </c>
      <c r="L36" s="24">
        <f t="shared" si="14"/>
        <v>1</v>
      </c>
      <c r="M36" s="24">
        <f t="shared" si="14"/>
        <v>1</v>
      </c>
      <c r="N36" s="24">
        <f t="shared" si="14"/>
        <v>1</v>
      </c>
      <c r="O36" s="24">
        <f t="shared" si="14"/>
        <v>1</v>
      </c>
      <c r="P36" s="24">
        <f t="shared" si="14"/>
        <v>1</v>
      </c>
      <c r="Q36" s="12">
        <f t="shared" si="15"/>
        <v>-0.1897862081116386</v>
      </c>
      <c r="R36" s="12">
        <f t="shared" si="15"/>
        <v>-0.10791467543208794</v>
      </c>
      <c r="S36" s="12">
        <f t="shared" si="15"/>
        <v>-3.2613202909813892E-2</v>
      </c>
      <c r="T36" s="12">
        <f t="shared" si="16"/>
        <v>-3.9859070307217137E-2</v>
      </c>
      <c r="U36" s="12">
        <f t="shared" si="16"/>
        <v>-0.14427322275810689</v>
      </c>
      <c r="V36" s="11"/>
      <c r="W36" s="11">
        <f>AVERAGE(BalanceGeneral[[#This Row],[2014]:[2017]])</f>
        <v>1883700.25</v>
      </c>
      <c r="X36" s="11">
        <f>AVERAGE(BalanceGeneral[[#This Row],[2016]:[2017]])</f>
        <v>1785839.5</v>
      </c>
      <c r="Y36" s="11">
        <f>AVERAGE(BalanceGeneral[[#This Row],[2017]:[2018]])</f>
        <v>1640562</v>
      </c>
    </row>
    <row r="37" spans="1:25">
      <c r="A37" s="17">
        <v>34</v>
      </c>
      <c r="B37" t="s">
        <v>601</v>
      </c>
      <c r="C37" s="10" t="s">
        <v>28</v>
      </c>
      <c r="D37" s="26"/>
      <c r="E37" s="27"/>
      <c r="F37" s="27"/>
      <c r="I37" s="28"/>
      <c r="K37" s="27"/>
      <c r="L37" s="27"/>
      <c r="M37" s="27"/>
      <c r="N37" s="27"/>
      <c r="O37" s="27"/>
      <c r="P37" s="27"/>
      <c r="Q37" s="27"/>
      <c r="R37" s="27"/>
      <c r="S37" s="27"/>
      <c r="T37" s="27"/>
      <c r="U37" s="27"/>
      <c r="V37" s="27"/>
      <c r="W37" s="27"/>
      <c r="X37" s="28"/>
      <c r="Y37" s="11"/>
    </row>
    <row r="38" spans="1:25">
      <c r="A38" s="17">
        <v>35</v>
      </c>
      <c r="B38" t="s">
        <v>601</v>
      </c>
      <c r="C38" s="20" t="s">
        <v>81</v>
      </c>
      <c r="D38" s="29"/>
      <c r="E38" s="30"/>
      <c r="F38" s="30"/>
      <c r="I38" s="31"/>
      <c r="K38" s="30"/>
      <c r="L38" s="30"/>
      <c r="M38" s="30"/>
      <c r="N38" s="30"/>
      <c r="O38" s="30"/>
      <c r="P38" s="30"/>
      <c r="Q38" s="30"/>
      <c r="R38" s="30"/>
      <c r="S38" s="30"/>
      <c r="T38" s="30"/>
      <c r="U38" s="30"/>
      <c r="V38" s="30"/>
      <c r="W38" s="30"/>
      <c r="X38" s="31"/>
      <c r="Y38" s="11"/>
    </row>
    <row r="39" spans="1:25">
      <c r="A39" s="17">
        <v>36</v>
      </c>
      <c r="B39" t="s">
        <v>601</v>
      </c>
      <c r="C39" s="21" t="s">
        <v>29</v>
      </c>
      <c r="D39" s="11">
        <v>718124</v>
      </c>
      <c r="E39" s="11">
        <v>718124</v>
      </c>
      <c r="F39" s="23">
        <v>718124</v>
      </c>
      <c r="G39" s="11">
        <v>718124</v>
      </c>
      <c r="H39" s="11">
        <v>718124</v>
      </c>
      <c r="I39" s="11">
        <v>718124</v>
      </c>
      <c r="J39" s="11"/>
      <c r="K39" s="24">
        <f>D39/D$46</f>
        <v>0.52881819232845284</v>
      </c>
      <c r="L39" s="24">
        <f t="shared" ref="L39:P46" si="19">E39/E$46</f>
        <v>0.51260410026746461</v>
      </c>
      <c r="M39" s="24">
        <f t="shared" si="19"/>
        <v>0.54534919483754363</v>
      </c>
      <c r="N39" s="24">
        <f t="shared" si="19"/>
        <v>0.487223448362893</v>
      </c>
      <c r="O39" s="24">
        <f t="shared" si="19"/>
        <v>0.46539407470294125</v>
      </c>
      <c r="P39" s="24">
        <f t="shared" si="19"/>
        <v>0.47319684159406855</v>
      </c>
      <c r="Q39" s="12">
        <f t="shared" ref="Q39:Q47" si="20">(E39-D39)/E39</f>
        <v>0</v>
      </c>
      <c r="R39" s="12">
        <f t="shared" ref="R39:R47" si="21">(F39-E39)/F39</f>
        <v>0</v>
      </c>
      <c r="S39" s="12">
        <f t="shared" ref="S39:S47" si="22">(G39-F39)/G39</f>
        <v>0</v>
      </c>
      <c r="T39" s="12">
        <f t="shared" ref="T39:T47" si="23">(H39-G39)/H39</f>
        <v>0</v>
      </c>
      <c r="U39" s="12">
        <f t="shared" ref="U39:U47" si="24">(I39-H39)/I39</f>
        <v>0</v>
      </c>
      <c r="V39" s="11"/>
      <c r="W39" s="11">
        <f>AVERAGE(BalanceGeneral[[#This Row],[2014]:[2017]])</f>
        <v>718124</v>
      </c>
      <c r="X39" s="11">
        <f>AVERAGE(BalanceGeneral[[#This Row],[2016]:[2017]])</f>
        <v>718124</v>
      </c>
      <c r="Y39" s="11">
        <f>AVERAGE(BalanceGeneral[[#This Row],[2017]:[2018]])</f>
        <v>718124</v>
      </c>
    </row>
    <row r="40" spans="1:25">
      <c r="A40" s="17">
        <v>37</v>
      </c>
      <c r="B40" t="s">
        <v>601</v>
      </c>
      <c r="C40" s="21" t="s">
        <v>82</v>
      </c>
      <c r="D40" s="11">
        <v>744689</v>
      </c>
      <c r="E40" s="11">
        <v>745225</v>
      </c>
      <c r="F40" s="23">
        <v>746862</v>
      </c>
      <c r="G40" s="11">
        <v>748694</v>
      </c>
      <c r="H40" s="11">
        <v>749863</v>
      </c>
      <c r="I40" s="11">
        <v>751608</v>
      </c>
      <c r="J40" s="11"/>
      <c r="K40" s="24">
        <f t="shared" ref="K40:K46" si="25">D40/D$46</f>
        <v>0.54838035050615652</v>
      </c>
      <c r="L40" s="24">
        <f t="shared" si="19"/>
        <v>0.53194906537286224</v>
      </c>
      <c r="M40" s="24">
        <f t="shared" si="19"/>
        <v>0.56717306531289513</v>
      </c>
      <c r="N40" s="24">
        <f t="shared" si="19"/>
        <v>0.50796418508308849</v>
      </c>
      <c r="O40" s="24">
        <f t="shared" si="19"/>
        <v>0.48596314430233728</v>
      </c>
      <c r="P40" s="24">
        <f t="shared" si="19"/>
        <v>0.49526061197903798</v>
      </c>
      <c r="Q40" s="12">
        <f t="shared" si="20"/>
        <v>7.1924586534268171E-4</v>
      </c>
      <c r="R40" s="12">
        <f t="shared" si="21"/>
        <v>2.1918373139883942E-3</v>
      </c>
      <c r="S40" s="12">
        <f t="shared" si="22"/>
        <v>2.4469275832316008E-3</v>
      </c>
      <c r="T40" s="12">
        <f t="shared" si="23"/>
        <v>1.5589514351288169E-3</v>
      </c>
      <c r="U40" s="12">
        <f t="shared" si="24"/>
        <v>2.3216889655245819E-3</v>
      </c>
      <c r="V40" s="11"/>
      <c r="W40" s="11">
        <f>AVERAGE(BalanceGeneral[[#This Row],[2014]:[2017]])</f>
        <v>747661</v>
      </c>
      <c r="X40" s="11">
        <f>AVERAGE(BalanceGeneral[[#This Row],[2016]:[2017]])</f>
        <v>749278.5</v>
      </c>
      <c r="Y40" s="11">
        <f>AVERAGE(BalanceGeneral[[#This Row],[2017]:[2018]])</f>
        <v>750735.5</v>
      </c>
    </row>
    <row r="41" spans="1:25">
      <c r="A41" s="17">
        <v>38</v>
      </c>
      <c r="B41" t="s">
        <v>601</v>
      </c>
      <c r="C41" s="21" t="s">
        <v>30</v>
      </c>
      <c r="D41" s="11">
        <v>-473821</v>
      </c>
      <c r="E41" s="11">
        <v>-695574</v>
      </c>
      <c r="F41" s="23">
        <v>-876387</v>
      </c>
      <c r="G41" s="11">
        <v>-860376</v>
      </c>
      <c r="H41" s="11">
        <v>-838603</v>
      </c>
      <c r="I41" s="11">
        <v>-928326</v>
      </c>
      <c r="J41" s="11"/>
      <c r="K41" s="24">
        <f t="shared" si="25"/>
        <v>-0.34891629399276425</v>
      </c>
      <c r="L41" s="24">
        <f t="shared" si="19"/>
        <v>-0.49650768452167232</v>
      </c>
      <c r="M41" s="24">
        <f t="shared" si="19"/>
        <v>-0.66553540170790881</v>
      </c>
      <c r="N41" s="24">
        <f t="shared" si="19"/>
        <v>-0.58373673851406227</v>
      </c>
      <c r="O41" s="24">
        <f t="shared" si="19"/>
        <v>-0.54347280863487457</v>
      </c>
      <c r="P41" s="24">
        <f t="shared" si="19"/>
        <v>-0.61170623899167176</v>
      </c>
      <c r="Q41" s="12">
        <f t="shared" si="20"/>
        <v>0.31880576329765059</v>
      </c>
      <c r="R41" s="12">
        <f t="shared" si="21"/>
        <v>0.20631638762327603</v>
      </c>
      <c r="S41" s="12">
        <f t="shared" si="22"/>
        <v>-1.8609305698903737E-2</v>
      </c>
      <c r="T41" s="12">
        <f t="shared" si="23"/>
        <v>-2.596341773163225E-2</v>
      </c>
      <c r="U41" s="12">
        <f t="shared" si="24"/>
        <v>9.6650314652395819E-2</v>
      </c>
      <c r="V41" s="11"/>
      <c r="W41" s="11">
        <f>AVERAGE(BalanceGeneral[[#This Row],[2014]:[2017]])</f>
        <v>-817735</v>
      </c>
      <c r="X41" s="11">
        <f>AVERAGE(BalanceGeneral[[#This Row],[2016]:[2017]])</f>
        <v>-849489.5</v>
      </c>
      <c r="Y41" s="11">
        <f>AVERAGE(BalanceGeneral[[#This Row],[2017]:[2018]])</f>
        <v>-883464.5</v>
      </c>
    </row>
    <row r="42" spans="1:25">
      <c r="A42" s="17">
        <v>39</v>
      </c>
      <c r="B42" t="s">
        <v>601</v>
      </c>
      <c r="C42" s="21" t="s">
        <v>31</v>
      </c>
      <c r="D42" s="11">
        <v>89895</v>
      </c>
      <c r="E42" s="11">
        <v>353998</v>
      </c>
      <c r="F42" s="23">
        <v>627396</v>
      </c>
      <c r="G42" s="11">
        <v>722887</v>
      </c>
      <c r="H42" s="11">
        <v>862656</v>
      </c>
      <c r="I42" s="11">
        <v>908143</v>
      </c>
      <c r="J42" s="11"/>
      <c r="K42" s="24">
        <f t="shared" si="25"/>
        <v>6.6197636340473598E-2</v>
      </c>
      <c r="L42" s="24">
        <f t="shared" si="19"/>
        <v>0.2526873162385353</v>
      </c>
      <c r="M42" s="24">
        <f t="shared" si="19"/>
        <v>0.47644961516993656</v>
      </c>
      <c r="N42" s="24">
        <f t="shared" si="19"/>
        <v>0.49045498676650084</v>
      </c>
      <c r="O42" s="24">
        <f t="shared" si="19"/>
        <v>0.55906081805780128</v>
      </c>
      <c r="P42" s="24">
        <f t="shared" si="19"/>
        <v>0.59840695940500832</v>
      </c>
      <c r="Q42" s="12">
        <f t="shared" si="20"/>
        <v>0.74605788733269685</v>
      </c>
      <c r="R42" s="12">
        <f t="shared" si="21"/>
        <v>0.43576624651735107</v>
      </c>
      <c r="S42" s="12">
        <f t="shared" si="22"/>
        <v>0.13209671774426709</v>
      </c>
      <c r="T42" s="12">
        <f t="shared" si="23"/>
        <v>0.16202170969656501</v>
      </c>
      <c r="U42" s="12">
        <f t="shared" si="24"/>
        <v>5.0087926681150433E-2</v>
      </c>
      <c r="V42" s="11"/>
      <c r="W42" s="11">
        <f>AVERAGE(BalanceGeneral[[#This Row],[2014]:[2017]])</f>
        <v>641734.25</v>
      </c>
      <c r="X42" s="11">
        <f>AVERAGE(BalanceGeneral[[#This Row],[2016]:[2017]])</f>
        <v>792771.5</v>
      </c>
      <c r="Y42" s="11">
        <f>AVERAGE(BalanceGeneral[[#This Row],[2017]:[2018]])</f>
        <v>885399.5</v>
      </c>
    </row>
    <row r="43" spans="1:25">
      <c r="A43" s="17">
        <v>40</v>
      </c>
      <c r="B43" t="s">
        <v>601</v>
      </c>
      <c r="C43" s="21" t="s">
        <v>32</v>
      </c>
      <c r="D43" s="11">
        <v>264103</v>
      </c>
      <c r="E43" s="11">
        <v>273398</v>
      </c>
      <c r="F43" s="23">
        <v>95491</v>
      </c>
      <c r="G43" s="11">
        <v>139769</v>
      </c>
      <c r="H43" s="11">
        <v>46095</v>
      </c>
      <c r="I43" s="11">
        <v>62756</v>
      </c>
      <c r="J43" s="11"/>
      <c r="K43" s="24">
        <f t="shared" si="25"/>
        <v>0.19448238890292119</v>
      </c>
      <c r="L43" s="24">
        <f t="shared" si="19"/>
        <v>0.19515422936000509</v>
      </c>
      <c r="M43" s="24">
        <f t="shared" si="19"/>
        <v>7.251664053037063E-2</v>
      </c>
      <c r="N43" s="24">
        <f t="shared" si="19"/>
        <v>9.4828656547104942E-2</v>
      </c>
      <c r="O43" s="24">
        <f t="shared" si="19"/>
        <v>2.9872751604781454E-2</v>
      </c>
      <c r="P43" s="24">
        <f t="shared" si="19"/>
        <v>4.1352107701563189E-2</v>
      </c>
      <c r="Q43" s="12">
        <f t="shared" si="20"/>
        <v>3.3998054118903574E-2</v>
      </c>
      <c r="R43" s="12">
        <f t="shared" si="21"/>
        <v>-1.8630761014126986</v>
      </c>
      <c r="S43" s="12">
        <f t="shared" si="22"/>
        <v>0.31679413890061459</v>
      </c>
      <c r="T43" s="12">
        <f t="shared" si="23"/>
        <v>-2.0321943811693242</v>
      </c>
      <c r="U43" s="12">
        <f t="shared" si="24"/>
        <v>0.26548855886289757</v>
      </c>
      <c r="V43" s="11"/>
      <c r="W43" s="11">
        <f>AVERAGE(BalanceGeneral[[#This Row],[2014]:[2017]])</f>
        <v>138688.25</v>
      </c>
      <c r="X43" s="11">
        <f>AVERAGE(BalanceGeneral[[#This Row],[2016]:[2017]])</f>
        <v>92932</v>
      </c>
      <c r="Y43" s="11">
        <f>AVERAGE(BalanceGeneral[[#This Row],[2017]:[2018]])</f>
        <v>54425.5</v>
      </c>
    </row>
    <row r="44" spans="1:25">
      <c r="A44" s="17">
        <v>41</v>
      </c>
      <c r="B44" t="s">
        <v>601</v>
      </c>
      <c r="C44" s="20" t="s">
        <v>83</v>
      </c>
      <c r="D44" s="11">
        <f t="shared" ref="D44:I44" si="26">SUM(D39:D43)</f>
        <v>1342990</v>
      </c>
      <c r="E44" s="11">
        <f t="shared" si="26"/>
        <v>1395171</v>
      </c>
      <c r="F44" s="11">
        <f t="shared" si="26"/>
        <v>1311486</v>
      </c>
      <c r="G44" s="11">
        <f t="shared" si="26"/>
        <v>1469098</v>
      </c>
      <c r="H44" s="11">
        <f t="shared" si="26"/>
        <v>1538135</v>
      </c>
      <c r="I44" s="11">
        <f t="shared" si="26"/>
        <v>1512305</v>
      </c>
      <c r="J44" s="11"/>
      <c r="K44" s="24">
        <f t="shared" si="25"/>
        <v>0.98896227408523996</v>
      </c>
      <c r="L44" s="24">
        <f t="shared" si="19"/>
        <v>0.99588702671719487</v>
      </c>
      <c r="M44" s="24">
        <f t="shared" si="19"/>
        <v>0.99595311414283705</v>
      </c>
      <c r="N44" s="24">
        <f t="shared" si="19"/>
        <v>0.99673453824552505</v>
      </c>
      <c r="O44" s="24">
        <f t="shared" si="19"/>
        <v>0.99681798003298672</v>
      </c>
      <c r="P44" s="24">
        <f t="shared" si="19"/>
        <v>0.99651028168800626</v>
      </c>
      <c r="Q44" s="12">
        <f t="shared" si="20"/>
        <v>3.7401150109914842E-2</v>
      </c>
      <c r="R44" s="12">
        <f t="shared" si="21"/>
        <v>-6.3809297239924789E-2</v>
      </c>
      <c r="S44" s="12">
        <f t="shared" si="22"/>
        <v>0.10728487820417698</v>
      </c>
      <c r="T44" s="12">
        <f t="shared" si="23"/>
        <v>4.488357653912043E-2</v>
      </c>
      <c r="U44" s="12">
        <f t="shared" si="24"/>
        <v>-1.707988798555847E-2</v>
      </c>
      <c r="V44" s="11"/>
      <c r="W44" s="11">
        <f>AVERAGE(BalanceGeneral[[#This Row],[2014]:[2017]])</f>
        <v>1428472.5</v>
      </c>
      <c r="X44" s="11">
        <f>AVERAGE(BalanceGeneral[[#This Row],[2016]:[2017]])</f>
        <v>1503616.5</v>
      </c>
      <c r="Y44" s="11">
        <f>AVERAGE(BalanceGeneral[[#This Row],[2017]:[2018]])</f>
        <v>1525220</v>
      </c>
    </row>
    <row r="45" spans="1:25">
      <c r="A45" s="17">
        <v>42</v>
      </c>
      <c r="B45" t="s">
        <v>601</v>
      </c>
      <c r="C45" s="10" t="s">
        <v>78</v>
      </c>
      <c r="D45" s="11">
        <v>14989</v>
      </c>
      <c r="E45" s="11">
        <v>5762</v>
      </c>
      <c r="F45" s="23">
        <v>5329</v>
      </c>
      <c r="G45" s="11">
        <v>4813</v>
      </c>
      <c r="H45" s="11">
        <v>4910</v>
      </c>
      <c r="I45" s="11">
        <v>5296</v>
      </c>
      <c r="J45" s="11"/>
      <c r="K45" s="24">
        <f t="shared" si="25"/>
        <v>1.1037725914760096E-2</v>
      </c>
      <c r="L45" s="24">
        <f t="shared" si="19"/>
        <v>4.1129732828051021E-3</v>
      </c>
      <c r="M45" s="24">
        <f t="shared" si="19"/>
        <v>4.0468858571629275E-3</v>
      </c>
      <c r="N45" s="24">
        <f t="shared" si="19"/>
        <v>3.2654617544749989E-3</v>
      </c>
      <c r="O45" s="24">
        <f t="shared" si="19"/>
        <v>3.1820199670132758E-3</v>
      </c>
      <c r="P45" s="24">
        <f t="shared" si="19"/>
        <v>3.4897183119937322E-3</v>
      </c>
      <c r="Q45" s="12">
        <f t="shared" si="20"/>
        <v>-1.6013536966331134</v>
      </c>
      <c r="R45" s="12">
        <f t="shared" si="21"/>
        <v>-8.1253518483768064E-2</v>
      </c>
      <c r="S45" s="12">
        <f t="shared" si="22"/>
        <v>-0.10720964055682526</v>
      </c>
      <c r="T45" s="12">
        <f t="shared" si="23"/>
        <v>1.9755600814663953E-2</v>
      </c>
      <c r="U45" s="12">
        <f t="shared" si="24"/>
        <v>7.288519637462236E-2</v>
      </c>
      <c r="V45" s="11"/>
      <c r="W45" s="11">
        <f>AVERAGE(BalanceGeneral[[#This Row],[2014]:[2017]])</f>
        <v>5203.5</v>
      </c>
      <c r="X45" s="11">
        <f>AVERAGE(BalanceGeneral[[#This Row],[2016]:[2017]])</f>
        <v>4861.5</v>
      </c>
      <c r="Y45" s="11">
        <f>AVERAGE(BalanceGeneral[[#This Row],[2017]:[2018]])</f>
        <v>5103</v>
      </c>
    </row>
    <row r="46" spans="1:25">
      <c r="A46" s="17">
        <v>43</v>
      </c>
      <c r="B46" t="s">
        <v>601</v>
      </c>
      <c r="C46" s="10" t="s">
        <v>967</v>
      </c>
      <c r="D46" s="11">
        <f t="shared" ref="D46:I46" si="27">D45+D44</f>
        <v>1357979</v>
      </c>
      <c r="E46" s="11">
        <f t="shared" si="27"/>
        <v>1400933</v>
      </c>
      <c r="F46" s="11">
        <f t="shared" si="27"/>
        <v>1316815</v>
      </c>
      <c r="G46" s="11">
        <f t="shared" si="27"/>
        <v>1473911</v>
      </c>
      <c r="H46" s="11">
        <f t="shared" si="27"/>
        <v>1543045</v>
      </c>
      <c r="I46" s="11">
        <f t="shared" si="27"/>
        <v>1517601</v>
      </c>
      <c r="J46" s="11"/>
      <c r="K46" s="24">
        <f t="shared" si="25"/>
        <v>1</v>
      </c>
      <c r="L46" s="24">
        <f t="shared" si="19"/>
        <v>1</v>
      </c>
      <c r="M46" s="24">
        <f t="shared" si="19"/>
        <v>1</v>
      </c>
      <c r="N46" s="24">
        <f t="shared" si="19"/>
        <v>1</v>
      </c>
      <c r="O46" s="24">
        <f t="shared" si="19"/>
        <v>1</v>
      </c>
      <c r="P46" s="24">
        <f t="shared" si="19"/>
        <v>1</v>
      </c>
      <c r="Q46" s="12">
        <f t="shared" si="20"/>
        <v>3.0660995208193396E-2</v>
      </c>
      <c r="R46" s="12">
        <f t="shared" si="21"/>
        <v>-6.387989201216572E-2</v>
      </c>
      <c r="S46" s="12">
        <f t="shared" si="22"/>
        <v>0.10658445455661841</v>
      </c>
      <c r="T46" s="12">
        <f t="shared" si="23"/>
        <v>4.480361881863458E-2</v>
      </c>
      <c r="U46" s="12">
        <f t="shared" si="24"/>
        <v>-1.6765935183226686E-2</v>
      </c>
      <c r="V46" s="11"/>
      <c r="W46" s="11">
        <f>AVERAGE(BalanceGeneral[[#This Row],[2014]:[2017]])</f>
        <v>1433676</v>
      </c>
      <c r="X46" s="11">
        <f>AVERAGE(BalanceGeneral[[#This Row],[2016]:[2017]])</f>
        <v>1508478</v>
      </c>
      <c r="Y46" s="49">
        <f>AVERAGE(BalanceGeneral[[#This Row],[2017]:[2018]])</f>
        <v>1530323</v>
      </c>
    </row>
    <row r="47" spans="1:25">
      <c r="A47" s="17">
        <v>44</v>
      </c>
      <c r="B47" t="s">
        <v>1306</v>
      </c>
      <c r="C47" s="10" t="s">
        <v>34</v>
      </c>
      <c r="D47" s="11">
        <f t="shared" ref="D47:I47" si="28">D46+D36</f>
        <v>3836312</v>
      </c>
      <c r="E47" s="11">
        <f t="shared" si="28"/>
        <v>3483940</v>
      </c>
      <c r="F47" s="11">
        <f t="shared" si="28"/>
        <v>3196930</v>
      </c>
      <c r="G47" s="11">
        <f t="shared" si="28"/>
        <v>3294646</v>
      </c>
      <c r="H47" s="11">
        <f t="shared" si="28"/>
        <v>3293989</v>
      </c>
      <c r="I47" s="11">
        <f t="shared" si="28"/>
        <v>3047781</v>
      </c>
      <c r="J47" s="11"/>
      <c r="K47" s="24" t="s">
        <v>166</v>
      </c>
      <c r="L47" s="24" t="s">
        <v>166</v>
      </c>
      <c r="M47" s="24" t="s">
        <v>166</v>
      </c>
      <c r="N47" s="24" t="s">
        <v>166</v>
      </c>
      <c r="O47" s="24" t="s">
        <v>166</v>
      </c>
      <c r="P47" s="24" t="s">
        <v>166</v>
      </c>
      <c r="Q47" s="12">
        <f t="shared" si="20"/>
        <v>-0.10114181070856559</v>
      </c>
      <c r="R47" s="12">
        <f t="shared" si="21"/>
        <v>-8.9776754573919357E-2</v>
      </c>
      <c r="S47" s="12">
        <f t="shared" si="22"/>
        <v>2.9659028617945601E-2</v>
      </c>
      <c r="T47" s="12">
        <f t="shared" si="23"/>
        <v>-1.9945421797097683E-4</v>
      </c>
      <c r="U47" s="12">
        <f t="shared" si="24"/>
        <v>-8.0782707156452513E-2</v>
      </c>
      <c r="V47" s="11"/>
      <c r="W47" s="11">
        <f>AVERAGE(BalanceGeneral[[#This Row],[2014]:[2017]])</f>
        <v>3317376.25</v>
      </c>
      <c r="X47" s="11">
        <f>AVERAGE(BalanceGeneral[[#This Row],[2016]:[2017]])</f>
        <v>3294317.5</v>
      </c>
      <c r="Y47" s="49">
        <f>AVERAGE(BalanceGeneral[[#This Row],[2017]:[2018]])</f>
        <v>3170885</v>
      </c>
    </row>
    <row r="48" spans="1:25" hidden="1">
      <c r="D48" s="460">
        <f>+D45/D44</f>
        <v>1.1160917058205943E-2</v>
      </c>
      <c r="E48" s="460">
        <f t="shared" ref="E48:I48" si="29">+E45/E44</f>
        <v>4.1299596966966777E-3</v>
      </c>
      <c r="F48" s="460">
        <f t="shared" si="29"/>
        <v>4.0633296886127641E-3</v>
      </c>
      <c r="G48" s="460">
        <f t="shared" si="29"/>
        <v>3.2761599294260832E-3</v>
      </c>
      <c r="H48" s="460">
        <f t="shared" si="29"/>
        <v>3.1921775396827976E-3</v>
      </c>
      <c r="I48" s="460">
        <f t="shared" si="29"/>
        <v>3.50193909297397E-3</v>
      </c>
      <c r="J48" s="461"/>
      <c r="K48" s="462"/>
      <c r="L48" s="462"/>
      <c r="M48" s="462"/>
      <c r="N48" s="462"/>
      <c r="O48" s="462"/>
      <c r="P48" s="462"/>
      <c r="Q48" s="238"/>
      <c r="R48" s="238"/>
      <c r="S48" s="238"/>
      <c r="T48" s="238"/>
      <c r="U48" s="238"/>
      <c r="V48" s="462"/>
      <c r="W48" s="239"/>
      <c r="X48" s="239"/>
    </row>
    <row r="49" spans="3:10" hidden="1">
      <c r="D49" s="1"/>
      <c r="E49" s="1"/>
      <c r="F49" s="1"/>
      <c r="G49" s="1"/>
      <c r="H49" s="1"/>
      <c r="I49" s="1"/>
      <c r="J49" s="1"/>
    </row>
    <row r="50" spans="3:10" hidden="1">
      <c r="C50" s="248" t="s">
        <v>878</v>
      </c>
      <c r="E50" s="11">
        <v>-155700</v>
      </c>
      <c r="F50" s="11">
        <v>-145625</v>
      </c>
      <c r="G50" s="11">
        <v>32790</v>
      </c>
      <c r="H50" s="11">
        <f>-675+34</f>
        <v>-641</v>
      </c>
      <c r="I50" s="11">
        <f>-67795+608</f>
        <v>-67187</v>
      </c>
      <c r="J50" s="49"/>
    </row>
    <row r="51" spans="3:10" hidden="1">
      <c r="C51" s="248" t="s">
        <v>1307</v>
      </c>
      <c r="D51" s="49"/>
      <c r="E51" s="11">
        <v>-122723</v>
      </c>
      <c r="F51" s="11">
        <v>-133824</v>
      </c>
      <c r="G51" s="11">
        <v>12302</v>
      </c>
      <c r="H51" s="11">
        <v>-10281</v>
      </c>
      <c r="I51" s="11">
        <v>-85137</v>
      </c>
    </row>
    <row r="52" spans="3:10" hidden="1">
      <c r="C52" s="248" t="s">
        <v>879</v>
      </c>
      <c r="D52" s="76"/>
      <c r="E52" s="11">
        <v>0</v>
      </c>
      <c r="F52" s="11">
        <v>62366</v>
      </c>
      <c r="G52" s="11">
        <v>21872</v>
      </c>
      <c r="H52" s="11">
        <v>46749</v>
      </c>
      <c r="I52" s="11">
        <v>2756</v>
      </c>
    </row>
    <row r="53" spans="3:10">
      <c r="E53" s="49"/>
      <c r="F53" s="49"/>
      <c r="G53" s="49"/>
      <c r="H53" s="49"/>
      <c r="I53" s="49"/>
    </row>
    <row r="54" spans="3:10">
      <c r="E54" s="49"/>
      <c r="F54" s="49"/>
      <c r="G54" s="49"/>
      <c r="H54" s="49"/>
      <c r="I54" s="49"/>
    </row>
    <row r="55" spans="3:10">
      <c r="E55" s="76"/>
      <c r="F55" s="76"/>
      <c r="G55" s="76"/>
      <c r="H55" s="76"/>
      <c r="I55" s="76"/>
    </row>
  </sheetData>
  <dataConsolidate/>
  <mergeCells count="1">
    <mergeCell ref="D1:X2"/>
  </mergeCells>
  <conditionalFormatting sqref="Q6">
    <cfRule type="iconSet" priority="70">
      <iconSet>
        <cfvo type="percent" val="0"/>
        <cfvo type="num" val="0"/>
        <cfvo type="num" val="0"/>
      </iconSet>
    </cfRule>
  </conditionalFormatting>
  <conditionalFormatting sqref="Q7:Q13">
    <cfRule type="iconSet" priority="68">
      <iconSet>
        <cfvo type="percent" val="0"/>
        <cfvo type="num" val="0"/>
        <cfvo type="num" val="0"/>
      </iconSet>
    </cfRule>
  </conditionalFormatting>
  <conditionalFormatting sqref="Q15:Q20">
    <cfRule type="iconSet" priority="66">
      <iconSet>
        <cfvo type="percent" val="0"/>
        <cfvo type="num" val="0"/>
        <cfvo type="num" val="0"/>
      </iconSet>
    </cfRule>
  </conditionalFormatting>
  <conditionalFormatting sqref="Q23:Q28">
    <cfRule type="iconSet" priority="64">
      <iconSet>
        <cfvo type="percent" val="0"/>
        <cfvo type="num" val="0"/>
        <cfvo type="num" val="0"/>
      </iconSet>
    </cfRule>
  </conditionalFormatting>
  <conditionalFormatting sqref="Q30:Q36">
    <cfRule type="iconSet" priority="62">
      <iconSet>
        <cfvo type="percent" val="0"/>
        <cfvo type="num" val="0"/>
        <cfvo type="num" val="0"/>
      </iconSet>
    </cfRule>
  </conditionalFormatting>
  <conditionalFormatting sqref="Q39:Q47">
    <cfRule type="iconSet" priority="60">
      <iconSet>
        <cfvo type="percent" val="0"/>
        <cfvo type="num" val="0"/>
        <cfvo type="num" val="0"/>
      </iconSet>
    </cfRule>
  </conditionalFormatting>
  <conditionalFormatting sqref="R6:R13">
    <cfRule type="iconSet" priority="58">
      <iconSet>
        <cfvo type="percent" val="0"/>
        <cfvo type="num" val="0"/>
        <cfvo type="num" val="0"/>
      </iconSet>
    </cfRule>
  </conditionalFormatting>
  <conditionalFormatting sqref="R15:R20">
    <cfRule type="iconSet" priority="56">
      <iconSet>
        <cfvo type="percent" val="0"/>
        <cfvo type="num" val="0"/>
        <cfvo type="num" val="0"/>
      </iconSet>
    </cfRule>
  </conditionalFormatting>
  <conditionalFormatting sqref="R23:R28">
    <cfRule type="iconSet" priority="54">
      <iconSet>
        <cfvo type="percent" val="0"/>
        <cfvo type="num" val="0"/>
        <cfvo type="num" val="0"/>
      </iconSet>
    </cfRule>
  </conditionalFormatting>
  <conditionalFormatting sqref="R30:R36">
    <cfRule type="iconSet" priority="52">
      <iconSet>
        <cfvo type="percent" val="0"/>
        <cfvo type="num" val="0"/>
        <cfvo type="num" val="0"/>
      </iconSet>
    </cfRule>
  </conditionalFormatting>
  <conditionalFormatting sqref="R39:R47">
    <cfRule type="iconSet" priority="50">
      <iconSet>
        <cfvo type="percent" val="0"/>
        <cfvo type="num" val="0"/>
        <cfvo type="num" val="0"/>
      </iconSet>
    </cfRule>
  </conditionalFormatting>
  <conditionalFormatting sqref="S6:S13">
    <cfRule type="iconSet" priority="48">
      <iconSet>
        <cfvo type="percent" val="0"/>
        <cfvo type="num" val="0"/>
        <cfvo type="num" val="0"/>
      </iconSet>
    </cfRule>
  </conditionalFormatting>
  <conditionalFormatting sqref="S15:S20">
    <cfRule type="iconSet" priority="46">
      <iconSet>
        <cfvo type="percent" val="0"/>
        <cfvo type="num" val="0"/>
        <cfvo type="num" val="0"/>
      </iconSet>
    </cfRule>
  </conditionalFormatting>
  <conditionalFormatting sqref="S23:S28">
    <cfRule type="iconSet" priority="44">
      <iconSet>
        <cfvo type="percent" val="0"/>
        <cfvo type="num" val="0"/>
        <cfvo type="num" val="0"/>
      </iconSet>
    </cfRule>
  </conditionalFormatting>
  <conditionalFormatting sqref="S30:S36">
    <cfRule type="iconSet" priority="42">
      <iconSet>
        <cfvo type="percent" val="0"/>
        <cfvo type="num" val="0"/>
        <cfvo type="num" val="0"/>
      </iconSet>
    </cfRule>
  </conditionalFormatting>
  <conditionalFormatting sqref="S39:S47">
    <cfRule type="iconSet" priority="40">
      <iconSet>
        <cfvo type="percent" val="0"/>
        <cfvo type="num" val="0"/>
        <cfvo type="num" val="0"/>
      </iconSet>
    </cfRule>
  </conditionalFormatting>
  <conditionalFormatting sqref="T6:U13">
    <cfRule type="iconSet" priority="38">
      <iconSet>
        <cfvo type="percent" val="0"/>
        <cfvo type="num" val="0"/>
        <cfvo type="num" val="0"/>
      </iconSet>
    </cfRule>
  </conditionalFormatting>
  <conditionalFormatting sqref="T15:U20">
    <cfRule type="iconSet" priority="36">
      <iconSet>
        <cfvo type="percent" val="0"/>
        <cfvo type="num" val="0"/>
        <cfvo type="num" val="0"/>
      </iconSet>
    </cfRule>
  </conditionalFormatting>
  <conditionalFormatting sqref="T23:U28">
    <cfRule type="iconSet" priority="34">
      <iconSet>
        <cfvo type="percent" val="0"/>
        <cfvo type="num" val="0"/>
        <cfvo type="num" val="0"/>
      </iconSet>
    </cfRule>
  </conditionalFormatting>
  <conditionalFormatting sqref="T30:U36">
    <cfRule type="iconSet" priority="32">
      <iconSet>
        <cfvo type="percent" val="0"/>
        <cfvo type="num" val="0"/>
        <cfvo type="num" val="0"/>
      </iconSet>
    </cfRule>
  </conditionalFormatting>
  <conditionalFormatting sqref="T39:U47">
    <cfRule type="iconSet" priority="30">
      <iconSet>
        <cfvo type="percent" val="0"/>
        <cfvo type="num" val="0"/>
        <cfvo type="num" val="0"/>
      </iconSet>
    </cfRule>
  </conditionalFormatting>
  <conditionalFormatting sqref="K6:K20">
    <cfRule type="dataBar" priority="28">
      <dataBar>
        <cfvo type="min"/>
        <cfvo type="max"/>
        <color rgb="FFFFB628"/>
      </dataBar>
      <extLst>
        <ext xmlns:x14="http://schemas.microsoft.com/office/spreadsheetml/2009/9/main" uri="{B025F937-C7B1-47D3-B67F-A62EFF666E3E}">
          <x14:id>{C3E7B129-3341-4413-BB26-2B7C9CAD17D5}</x14:id>
        </ext>
      </extLst>
    </cfRule>
  </conditionalFormatting>
  <conditionalFormatting sqref="L6:O20">
    <cfRule type="dataBar" priority="27">
      <dataBar>
        <cfvo type="min"/>
        <cfvo type="max"/>
        <color rgb="FF63C384"/>
      </dataBar>
      <extLst>
        <ext xmlns:x14="http://schemas.microsoft.com/office/spreadsheetml/2009/9/main" uri="{B025F937-C7B1-47D3-B67F-A62EFF666E3E}">
          <x14:id>{0F5F1406-33B1-402D-AF1F-AF5A1A736450}</x14:id>
        </ext>
      </extLst>
    </cfRule>
  </conditionalFormatting>
  <conditionalFormatting sqref="K23:O36">
    <cfRule type="dataBar" priority="26">
      <dataBar>
        <cfvo type="min"/>
        <cfvo type="max"/>
        <color rgb="FFFF555A"/>
      </dataBar>
      <extLst>
        <ext xmlns:x14="http://schemas.microsoft.com/office/spreadsheetml/2009/9/main" uri="{B025F937-C7B1-47D3-B67F-A62EFF666E3E}">
          <x14:id>{76F21551-7E57-4F21-81DC-954BD21EBF12}</x14:id>
        </ext>
      </extLst>
    </cfRule>
  </conditionalFormatting>
  <conditionalFormatting sqref="K6:O20">
    <cfRule type="dataBar" priority="25">
      <dataBar>
        <cfvo type="min"/>
        <cfvo type="max"/>
        <color rgb="FF63C384"/>
      </dataBar>
      <extLst>
        <ext xmlns:x14="http://schemas.microsoft.com/office/spreadsheetml/2009/9/main" uri="{B025F937-C7B1-47D3-B67F-A62EFF666E3E}">
          <x14:id>{E8DE2CE4-E28E-46AA-BE8E-0D217AEBA4C2}</x14:id>
        </ext>
      </extLst>
    </cfRule>
  </conditionalFormatting>
  <conditionalFormatting sqref="K39">
    <cfRule type="dataBar" priority="24">
      <dataBar>
        <cfvo type="min"/>
        <cfvo type="max"/>
        <color rgb="FFFFB628"/>
      </dataBar>
      <extLst>
        <ext xmlns:x14="http://schemas.microsoft.com/office/spreadsheetml/2009/9/main" uri="{B025F937-C7B1-47D3-B67F-A62EFF666E3E}">
          <x14:id>{D910D2F4-C5DA-4A74-A60E-72B02897F2D5}</x14:id>
        </ext>
      </extLst>
    </cfRule>
  </conditionalFormatting>
  <conditionalFormatting sqref="K40:K46">
    <cfRule type="dataBar" priority="13">
      <dataBar>
        <cfvo type="min"/>
        <cfvo type="max"/>
        <color rgb="FFFFB628"/>
      </dataBar>
      <extLst>
        <ext xmlns:x14="http://schemas.microsoft.com/office/spreadsheetml/2009/9/main" uri="{B025F937-C7B1-47D3-B67F-A62EFF666E3E}">
          <x14:id>{C8E7E903-639F-4C4E-9A56-BB8AD46F1078}</x14:id>
        </ext>
      </extLst>
    </cfRule>
  </conditionalFormatting>
  <conditionalFormatting sqref="L39:O39">
    <cfRule type="dataBar" priority="12">
      <dataBar>
        <cfvo type="min"/>
        <cfvo type="max"/>
        <color rgb="FFFFB628"/>
      </dataBar>
      <extLst>
        <ext xmlns:x14="http://schemas.microsoft.com/office/spreadsheetml/2009/9/main" uri="{B025F937-C7B1-47D3-B67F-A62EFF666E3E}">
          <x14:id>{C72DCCB2-6144-8842-8721-E8DEDBDC6B54}</x14:id>
        </ext>
      </extLst>
    </cfRule>
  </conditionalFormatting>
  <conditionalFormatting sqref="L40:O46">
    <cfRule type="dataBar" priority="11">
      <dataBar>
        <cfvo type="min"/>
        <cfvo type="max"/>
        <color rgb="FFFFB628"/>
      </dataBar>
      <extLst>
        <ext xmlns:x14="http://schemas.microsoft.com/office/spreadsheetml/2009/9/main" uri="{B025F937-C7B1-47D3-B67F-A62EFF666E3E}">
          <x14:id>{F01AF57D-BB7E-774A-9FA0-3F3BE2625086}</x14:id>
        </ext>
      </extLst>
    </cfRule>
  </conditionalFormatting>
  <conditionalFormatting sqref="P6:P20">
    <cfRule type="dataBar" priority="10">
      <dataBar>
        <cfvo type="min"/>
        <cfvo type="max"/>
        <color rgb="FF63C384"/>
      </dataBar>
      <extLst>
        <ext xmlns:x14="http://schemas.microsoft.com/office/spreadsheetml/2009/9/main" uri="{B025F937-C7B1-47D3-B67F-A62EFF666E3E}">
          <x14:id>{E8619D2D-A834-4EB5-8CD9-2F53AB10CCB5}</x14:id>
        </ext>
      </extLst>
    </cfRule>
  </conditionalFormatting>
  <conditionalFormatting sqref="P29">
    <cfRule type="dataBar" priority="9">
      <dataBar>
        <cfvo type="min"/>
        <cfvo type="max"/>
        <color rgb="FFFF555A"/>
      </dataBar>
      <extLst>
        <ext xmlns:x14="http://schemas.microsoft.com/office/spreadsheetml/2009/9/main" uri="{B025F937-C7B1-47D3-B67F-A62EFF666E3E}">
          <x14:id>{F93375DD-C691-4A00-A374-1B6C94F5FD51}</x14:id>
        </ext>
      </extLst>
    </cfRule>
  </conditionalFormatting>
  <conditionalFormatting sqref="P6:P20">
    <cfRule type="dataBar" priority="8">
      <dataBar>
        <cfvo type="min"/>
        <cfvo type="max"/>
        <color rgb="FF63C384"/>
      </dataBar>
      <extLst>
        <ext xmlns:x14="http://schemas.microsoft.com/office/spreadsheetml/2009/9/main" uri="{B025F937-C7B1-47D3-B67F-A62EFF666E3E}">
          <x14:id>{6CEB73CE-277C-4476-8006-E1ADD7C0E9C8}</x14:id>
        </ext>
      </extLst>
    </cfRule>
  </conditionalFormatting>
  <conditionalFormatting sqref="P36">
    <cfRule type="dataBar" priority="5">
      <dataBar>
        <cfvo type="min"/>
        <cfvo type="max"/>
        <color rgb="FFFF555A"/>
      </dataBar>
      <extLst>
        <ext xmlns:x14="http://schemas.microsoft.com/office/spreadsheetml/2009/9/main" uri="{B025F937-C7B1-47D3-B67F-A62EFF666E3E}">
          <x14:id>{69801242-51A3-486E-90D4-8C93DD0F4C89}</x14:id>
        </ext>
      </extLst>
    </cfRule>
  </conditionalFormatting>
  <conditionalFormatting sqref="P30:P35">
    <cfRule type="dataBar" priority="4">
      <dataBar>
        <cfvo type="min"/>
        <cfvo type="max"/>
        <color rgb="FFFF555A"/>
      </dataBar>
      <extLst>
        <ext xmlns:x14="http://schemas.microsoft.com/office/spreadsheetml/2009/9/main" uri="{B025F937-C7B1-47D3-B67F-A62EFF666E3E}">
          <x14:id>{62F410D0-23AE-45CA-857F-4AF53D2CC4E7}</x14:id>
        </ext>
      </extLst>
    </cfRule>
  </conditionalFormatting>
  <conditionalFormatting sqref="P23:P28">
    <cfRule type="dataBar" priority="3">
      <dataBar>
        <cfvo type="min"/>
        <cfvo type="max"/>
        <color rgb="FFFF555A"/>
      </dataBar>
      <extLst>
        <ext xmlns:x14="http://schemas.microsoft.com/office/spreadsheetml/2009/9/main" uri="{B025F937-C7B1-47D3-B67F-A62EFF666E3E}">
          <x14:id>{A02CFDFB-CBD6-4786-9B3D-96FC7B8061E3}</x14:id>
        </ext>
      </extLst>
    </cfRule>
  </conditionalFormatting>
  <conditionalFormatting sqref="P39">
    <cfRule type="dataBar" priority="2">
      <dataBar>
        <cfvo type="min"/>
        <cfvo type="max"/>
        <color rgb="FFFFB628"/>
      </dataBar>
      <extLst>
        <ext xmlns:x14="http://schemas.microsoft.com/office/spreadsheetml/2009/9/main" uri="{B025F937-C7B1-47D3-B67F-A62EFF666E3E}">
          <x14:id>{873173CE-A8C8-46A9-9DE1-2675F842A142}</x14:id>
        </ext>
      </extLst>
    </cfRule>
  </conditionalFormatting>
  <conditionalFormatting sqref="P40:P46">
    <cfRule type="dataBar" priority="1">
      <dataBar>
        <cfvo type="min"/>
        <cfvo type="max"/>
        <color rgb="FFFFB628"/>
      </dataBar>
      <extLst>
        <ext xmlns:x14="http://schemas.microsoft.com/office/spreadsheetml/2009/9/main" uri="{B025F937-C7B1-47D3-B67F-A62EFF666E3E}">
          <x14:id>{47E5FACD-FDDB-48C7-9E7D-51CC745EE561}</x14:id>
        </ext>
      </extLst>
    </cfRule>
  </conditionalFormatting>
  <pageMargins left="0.75" right="0.75" top="1" bottom="1" header="0.5" footer="0.5"/>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C3E7B129-3341-4413-BB26-2B7C9CAD17D5}">
            <x14:dataBar minLength="0" maxLength="100" border="1" negativeBarBorderColorSameAsPositive="0">
              <x14:cfvo type="autoMin"/>
              <x14:cfvo type="autoMax"/>
              <x14:borderColor rgb="FFFFB628"/>
              <x14:negativeFillColor rgb="FFFF0000"/>
              <x14:negativeBorderColor rgb="FFFF0000"/>
              <x14:axisColor rgb="FF000000"/>
            </x14:dataBar>
          </x14:cfRule>
          <xm:sqref>K6:K20</xm:sqref>
        </x14:conditionalFormatting>
        <x14:conditionalFormatting xmlns:xm="http://schemas.microsoft.com/office/excel/2006/main">
          <x14:cfRule type="dataBar" id="{0F5F1406-33B1-402D-AF1F-AF5A1A736450}">
            <x14:dataBar minLength="0" maxLength="100" border="1" negativeBarBorderColorSameAsPositive="0">
              <x14:cfvo type="autoMin"/>
              <x14:cfvo type="autoMax"/>
              <x14:borderColor rgb="FF63C384"/>
              <x14:negativeFillColor rgb="FFFF0000"/>
              <x14:negativeBorderColor rgb="FFFF0000"/>
              <x14:axisColor rgb="FF000000"/>
            </x14:dataBar>
          </x14:cfRule>
          <xm:sqref>L6:O20</xm:sqref>
        </x14:conditionalFormatting>
        <x14:conditionalFormatting xmlns:xm="http://schemas.microsoft.com/office/excel/2006/main">
          <x14:cfRule type="dataBar" id="{76F21551-7E57-4F21-81DC-954BD21EBF12}">
            <x14:dataBar minLength="0" maxLength="100" border="1" negativeBarBorderColorSameAsPositive="0">
              <x14:cfvo type="autoMin"/>
              <x14:cfvo type="autoMax"/>
              <x14:borderColor rgb="FFFF555A"/>
              <x14:negativeFillColor rgb="FFFF0000"/>
              <x14:negativeBorderColor rgb="FFFF0000"/>
              <x14:axisColor rgb="FF000000"/>
            </x14:dataBar>
          </x14:cfRule>
          <xm:sqref>K23:O36</xm:sqref>
        </x14:conditionalFormatting>
        <x14:conditionalFormatting xmlns:xm="http://schemas.microsoft.com/office/excel/2006/main">
          <x14:cfRule type="dataBar" id="{E8DE2CE4-E28E-46AA-BE8E-0D217AEBA4C2}">
            <x14:dataBar minLength="0" maxLength="100" border="1" negativeBarBorderColorSameAsPositive="0">
              <x14:cfvo type="autoMin"/>
              <x14:cfvo type="autoMax"/>
              <x14:borderColor rgb="FF63C384"/>
              <x14:negativeFillColor rgb="FFFF0000"/>
              <x14:negativeBorderColor rgb="FFFF0000"/>
              <x14:axisColor rgb="FF000000"/>
            </x14:dataBar>
          </x14:cfRule>
          <xm:sqref>K6:O20</xm:sqref>
        </x14:conditionalFormatting>
        <x14:conditionalFormatting xmlns:xm="http://schemas.microsoft.com/office/excel/2006/main">
          <x14:cfRule type="dataBar" id="{D910D2F4-C5DA-4A74-A60E-72B02897F2D5}">
            <x14:dataBar minLength="0" maxLength="100" border="1" negativeBarBorderColorSameAsPositive="0">
              <x14:cfvo type="autoMin"/>
              <x14:cfvo type="autoMax"/>
              <x14:borderColor rgb="FFFFB628"/>
              <x14:negativeFillColor rgb="FFFF0000"/>
              <x14:negativeBorderColor rgb="FFFF0000"/>
              <x14:axisColor rgb="FF000000"/>
            </x14:dataBar>
          </x14:cfRule>
          <xm:sqref>K39</xm:sqref>
        </x14:conditionalFormatting>
        <x14:conditionalFormatting xmlns:xm="http://schemas.microsoft.com/office/excel/2006/main">
          <x14:cfRule type="dataBar" id="{C8E7E903-639F-4C4E-9A56-BB8AD46F1078}">
            <x14:dataBar minLength="0" maxLength="100" border="1" negativeBarBorderColorSameAsPositive="0">
              <x14:cfvo type="autoMin"/>
              <x14:cfvo type="autoMax"/>
              <x14:borderColor rgb="FFFFB628"/>
              <x14:negativeFillColor rgb="FFFF0000"/>
              <x14:negativeBorderColor rgb="FFFF0000"/>
              <x14:axisColor rgb="FF000000"/>
            </x14:dataBar>
          </x14:cfRule>
          <xm:sqref>K40:K46</xm:sqref>
        </x14:conditionalFormatting>
        <x14:conditionalFormatting xmlns:xm="http://schemas.microsoft.com/office/excel/2006/main">
          <x14:cfRule type="dataBar" id="{C72DCCB2-6144-8842-8721-E8DEDBDC6B54}">
            <x14:dataBar minLength="0" maxLength="100" border="1" negativeBarBorderColorSameAsPositive="0">
              <x14:cfvo type="autoMin"/>
              <x14:cfvo type="autoMax"/>
              <x14:borderColor rgb="FFFFB628"/>
              <x14:negativeFillColor rgb="FFFF0000"/>
              <x14:negativeBorderColor rgb="FFFF0000"/>
              <x14:axisColor rgb="FF000000"/>
            </x14:dataBar>
          </x14:cfRule>
          <xm:sqref>L39:O39</xm:sqref>
        </x14:conditionalFormatting>
        <x14:conditionalFormatting xmlns:xm="http://schemas.microsoft.com/office/excel/2006/main">
          <x14:cfRule type="dataBar" id="{F01AF57D-BB7E-774A-9FA0-3F3BE2625086}">
            <x14:dataBar minLength="0" maxLength="100" border="1" negativeBarBorderColorSameAsPositive="0">
              <x14:cfvo type="autoMin"/>
              <x14:cfvo type="autoMax"/>
              <x14:borderColor rgb="FFFFB628"/>
              <x14:negativeFillColor rgb="FFFF0000"/>
              <x14:negativeBorderColor rgb="FFFF0000"/>
              <x14:axisColor rgb="FF000000"/>
            </x14:dataBar>
          </x14:cfRule>
          <xm:sqref>L40:O46</xm:sqref>
        </x14:conditionalFormatting>
        <x14:conditionalFormatting xmlns:xm="http://schemas.microsoft.com/office/excel/2006/main">
          <x14:cfRule type="dataBar" id="{E8619D2D-A834-4EB5-8CD9-2F53AB10CCB5}">
            <x14:dataBar minLength="0" maxLength="100" border="1" negativeBarBorderColorSameAsPositive="0">
              <x14:cfvo type="autoMin"/>
              <x14:cfvo type="autoMax"/>
              <x14:borderColor rgb="FF63C384"/>
              <x14:negativeFillColor rgb="FFFF0000"/>
              <x14:negativeBorderColor rgb="FFFF0000"/>
              <x14:axisColor rgb="FF000000"/>
            </x14:dataBar>
          </x14:cfRule>
          <xm:sqref>P6:P20</xm:sqref>
        </x14:conditionalFormatting>
        <x14:conditionalFormatting xmlns:xm="http://schemas.microsoft.com/office/excel/2006/main">
          <x14:cfRule type="dataBar" id="{F93375DD-C691-4A00-A374-1B6C94F5FD51}">
            <x14:dataBar minLength="0" maxLength="100" border="1" negativeBarBorderColorSameAsPositive="0">
              <x14:cfvo type="autoMin"/>
              <x14:cfvo type="autoMax"/>
              <x14:borderColor rgb="FFFF555A"/>
              <x14:negativeFillColor rgb="FFFF0000"/>
              <x14:negativeBorderColor rgb="FFFF0000"/>
              <x14:axisColor rgb="FF000000"/>
            </x14:dataBar>
          </x14:cfRule>
          <xm:sqref>P29</xm:sqref>
        </x14:conditionalFormatting>
        <x14:conditionalFormatting xmlns:xm="http://schemas.microsoft.com/office/excel/2006/main">
          <x14:cfRule type="dataBar" id="{6CEB73CE-277C-4476-8006-E1ADD7C0E9C8}">
            <x14:dataBar minLength="0" maxLength="100" border="1" negativeBarBorderColorSameAsPositive="0">
              <x14:cfvo type="autoMin"/>
              <x14:cfvo type="autoMax"/>
              <x14:borderColor rgb="FF63C384"/>
              <x14:negativeFillColor rgb="FFFF0000"/>
              <x14:negativeBorderColor rgb="FFFF0000"/>
              <x14:axisColor rgb="FF000000"/>
            </x14:dataBar>
          </x14:cfRule>
          <xm:sqref>P6:P20</xm:sqref>
        </x14:conditionalFormatting>
        <x14:conditionalFormatting xmlns:xm="http://schemas.microsoft.com/office/excel/2006/main">
          <x14:cfRule type="dataBar" id="{69801242-51A3-486E-90D4-8C93DD0F4C89}">
            <x14:dataBar minLength="0" maxLength="100" border="1" negativeBarBorderColorSameAsPositive="0">
              <x14:cfvo type="autoMin"/>
              <x14:cfvo type="autoMax"/>
              <x14:borderColor rgb="FFFF555A"/>
              <x14:negativeFillColor rgb="FFFF0000"/>
              <x14:negativeBorderColor rgb="FFFF0000"/>
              <x14:axisColor rgb="FF000000"/>
            </x14:dataBar>
          </x14:cfRule>
          <xm:sqref>P36</xm:sqref>
        </x14:conditionalFormatting>
        <x14:conditionalFormatting xmlns:xm="http://schemas.microsoft.com/office/excel/2006/main">
          <x14:cfRule type="dataBar" id="{62F410D0-23AE-45CA-857F-4AF53D2CC4E7}">
            <x14:dataBar minLength="0" maxLength="100" border="1" negativeBarBorderColorSameAsPositive="0">
              <x14:cfvo type="autoMin"/>
              <x14:cfvo type="autoMax"/>
              <x14:borderColor rgb="FFFF555A"/>
              <x14:negativeFillColor rgb="FFFF0000"/>
              <x14:negativeBorderColor rgb="FFFF0000"/>
              <x14:axisColor rgb="FF000000"/>
            </x14:dataBar>
          </x14:cfRule>
          <xm:sqref>P30:P35</xm:sqref>
        </x14:conditionalFormatting>
        <x14:conditionalFormatting xmlns:xm="http://schemas.microsoft.com/office/excel/2006/main">
          <x14:cfRule type="dataBar" id="{A02CFDFB-CBD6-4786-9B3D-96FC7B8061E3}">
            <x14:dataBar minLength="0" maxLength="100" border="1" negativeBarBorderColorSameAsPositive="0">
              <x14:cfvo type="autoMin"/>
              <x14:cfvo type="autoMax"/>
              <x14:borderColor rgb="FFFF555A"/>
              <x14:negativeFillColor rgb="FFFF0000"/>
              <x14:negativeBorderColor rgb="FFFF0000"/>
              <x14:axisColor rgb="FF000000"/>
            </x14:dataBar>
          </x14:cfRule>
          <xm:sqref>P23:P28</xm:sqref>
        </x14:conditionalFormatting>
        <x14:conditionalFormatting xmlns:xm="http://schemas.microsoft.com/office/excel/2006/main">
          <x14:cfRule type="dataBar" id="{873173CE-A8C8-46A9-9DE1-2675F842A142}">
            <x14:dataBar minLength="0" maxLength="100" border="1" negativeBarBorderColorSameAsPositive="0">
              <x14:cfvo type="autoMin"/>
              <x14:cfvo type="autoMax"/>
              <x14:borderColor rgb="FFFFB628"/>
              <x14:negativeFillColor rgb="FFFF0000"/>
              <x14:negativeBorderColor rgb="FFFF0000"/>
              <x14:axisColor rgb="FF000000"/>
            </x14:dataBar>
          </x14:cfRule>
          <xm:sqref>P39</xm:sqref>
        </x14:conditionalFormatting>
        <x14:conditionalFormatting xmlns:xm="http://schemas.microsoft.com/office/excel/2006/main">
          <x14:cfRule type="dataBar" id="{47E5FACD-FDDB-48C7-9E7D-51CC745EE561}">
            <x14:dataBar minLength="0" maxLength="100" border="1" negativeBarBorderColorSameAsPositive="0">
              <x14:cfvo type="autoMin"/>
              <x14:cfvo type="autoMax"/>
              <x14:borderColor rgb="FFFFB628"/>
              <x14:negativeFillColor rgb="FFFF0000"/>
              <x14:negativeBorderColor rgb="FFFF0000"/>
              <x14:axisColor rgb="FF000000"/>
            </x14:dataBar>
          </x14:cfRule>
          <xm:sqref>P40:P46</xm:sqref>
        </x14:conditionalFormatting>
      </x14:conditionalFormattings>
    </ext>
    <ext xmlns:x14="http://schemas.microsoft.com/office/spreadsheetml/2009/9/main" uri="{05C60535-1F16-4fd2-B633-F4F36F0B64E0}">
      <x14:sparklineGroups xmlns:xm="http://schemas.microsoft.com/office/excel/2006/main">
        <x14:sparklineGroup displayEmptyCellsAs="gap" markers="1" high="1" low="1">
          <x14:colorSeries rgb="FF5F5F5F"/>
          <x14:colorNegative rgb="FFFFB620"/>
          <x14:colorAxis rgb="FF000000"/>
          <x14:colorMarkers rgb="FFD70077"/>
          <x14:colorFirst rgb="FF5687C2"/>
          <x14:colorLast rgb="FF359CEB"/>
          <x14:colorHigh rgb="FF56BE79"/>
          <x14:colorLow rgb="FFFF5055"/>
          <x14:sparklines>
            <x14:sparkline>
              <xm:f>'Balance General'!D6:I6</xm:f>
              <xm:sqref>J6</xm:sqref>
            </x14:sparkline>
            <x14:sparkline>
              <xm:f>'Balance General'!D7:I7</xm:f>
              <xm:sqref>J7</xm:sqref>
            </x14:sparkline>
            <x14:sparkline>
              <xm:f>'Balance General'!D8:I8</xm:f>
              <xm:sqref>J8</xm:sqref>
            </x14:sparkline>
            <x14:sparkline>
              <xm:f>'Balance General'!D9:I9</xm:f>
              <xm:sqref>J9</xm:sqref>
            </x14:sparkline>
            <x14:sparkline>
              <xm:f>'Balance General'!D10:I10</xm:f>
              <xm:sqref>J10</xm:sqref>
            </x14:sparkline>
            <x14:sparkline>
              <xm:f>'Balance General'!D11:I11</xm:f>
              <xm:sqref>J11</xm:sqref>
            </x14:sparkline>
            <x14:sparkline>
              <xm:f>'Balance General'!D12:I12</xm:f>
              <xm:sqref>J12</xm:sqref>
            </x14:sparkline>
            <x14:sparkline>
              <xm:f>'Balance General'!D13:I13</xm:f>
              <xm:sqref>J13</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'Balance General'!D15:I15</xm:f>
              <xm:sqref>J15</xm:sqref>
            </x14:sparkline>
            <x14:sparkline>
              <xm:f>'Balance General'!D16:I16</xm:f>
              <xm:sqref>J16</xm:sqref>
            </x14:sparkline>
            <x14:sparkline>
              <xm:f>'Balance General'!D17:I17</xm:f>
              <xm:sqref>J17</xm:sqref>
            </x14:sparkline>
            <x14:sparkline>
              <xm:f>'Balance General'!D18:I18</xm:f>
              <xm:sqref>J18</xm:sqref>
            </x14:sparkline>
            <x14:sparkline>
              <xm:f>'Balance General'!D19:I19</xm:f>
              <xm:sqref>J19</xm:sqref>
            </x14:sparkline>
            <x14:sparkline>
              <xm:f>'Balance General'!D20:I20</xm:f>
              <xm:sqref>J20</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'Balance General'!D23:I23</xm:f>
              <xm:sqref>J23</xm:sqref>
            </x14:sparkline>
            <x14:sparkline>
              <xm:f>'Balance General'!D24:I24</xm:f>
              <xm:sqref>J24</xm:sqref>
            </x14:sparkline>
            <x14:sparkline>
              <xm:f>'Balance General'!D25:I25</xm:f>
              <xm:sqref>J25</xm:sqref>
            </x14:sparkline>
            <x14:sparkline>
              <xm:f>'Balance General'!D26:I26</xm:f>
              <xm:sqref>J26</xm:sqref>
            </x14:sparkline>
            <x14:sparkline>
              <xm:f>'Balance General'!D27:I27</xm:f>
              <xm:sqref>J27</xm:sqref>
            </x14:sparkline>
            <x14:sparkline>
              <xm:f>'Balance General'!D28:I28</xm:f>
              <xm:sqref>J28</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'Balance General'!D30:I30</xm:f>
              <xm:sqref>J30</xm:sqref>
            </x14:sparkline>
            <x14:sparkline>
              <xm:f>'Balance General'!D31:I31</xm:f>
              <xm:sqref>J31</xm:sqref>
            </x14:sparkline>
            <x14:sparkline>
              <xm:f>'Balance General'!D32:I32</xm:f>
              <xm:sqref>J32</xm:sqref>
            </x14:sparkline>
            <x14:sparkline>
              <xm:f>'Balance General'!D33:I33</xm:f>
              <xm:sqref>J33</xm:sqref>
            </x14:sparkline>
            <x14:sparkline>
              <xm:f>'Balance General'!D34:I34</xm:f>
              <xm:sqref>J34</xm:sqref>
            </x14:sparkline>
            <x14:sparkline>
              <xm:f>'Balance General'!D35:I35</xm:f>
              <xm:sqref>J35</xm:sqref>
            </x14:sparkline>
            <x14:sparkline>
              <xm:f>'Balance General'!D36:I36</xm:f>
              <xm:sqref>J36</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'Balance General'!D39:I39</xm:f>
              <xm:sqref>J39</xm:sqref>
            </x14:sparkline>
            <x14:sparkline>
              <xm:f>'Balance General'!D40:I40</xm:f>
              <xm:sqref>J40</xm:sqref>
            </x14:sparkline>
            <x14:sparkline>
              <xm:f>'Balance General'!D41:I41</xm:f>
              <xm:sqref>J41</xm:sqref>
            </x14:sparkline>
            <x14:sparkline>
              <xm:f>'Balance General'!D42:I42</xm:f>
              <xm:sqref>J42</xm:sqref>
            </x14:sparkline>
            <x14:sparkline>
              <xm:f>'Balance General'!D43:I43</xm:f>
              <xm:sqref>J43</xm:sqref>
            </x14:sparkline>
            <x14:sparkline>
              <xm:f>'Balance General'!D44:I44</xm:f>
              <xm:sqref>J44</xm:sqref>
            </x14:sparkline>
            <x14:sparkline>
              <xm:f>'Balance General'!D45:I45</xm:f>
              <xm:sqref>J45</xm:sqref>
            </x14:sparkline>
            <x14:sparkline>
              <xm:f>'Balance General'!D46:I46</xm:f>
              <xm:sqref>J46</xm:sqref>
            </x14:sparkline>
            <x14:sparkline>
              <xm:f>'Balance General'!D47:I47</xm:f>
              <xm:sqref>J47</xm:sqref>
            </x14:sparkline>
          </x14:sparklines>
        </x14:sparklineGroup>
        <x14:sparklineGroup displayEmptyCellsAs="gap" markers="1" high="1" low="1" first="1" last="1" negative="1">
          <x14:colorSeries rgb="FF5687C2"/>
          <x14:colorNegative rgb="FFFFB620"/>
          <x14:colorAxis rgb="FF000000"/>
          <x14:colorMarkers rgb="FFD70077"/>
          <x14:colorFirst rgb="FF777777"/>
          <x14:colorLast rgb="FF359CEB"/>
          <x14:colorHigh rgb="FF56BE79"/>
          <x14:colorLow rgb="FFFF5055"/>
          <x14:sparklines>
            <x14:sparkline>
              <xm:f>'Balance General'!Q6:T6</xm:f>
              <xm:sqref>V6</xm:sqref>
            </x14:sparkline>
            <x14:sparkline>
              <xm:f>'Balance General'!Q7:T7</xm:f>
              <xm:sqref>V7</xm:sqref>
            </x14:sparkline>
            <x14:sparkline>
              <xm:f>'Balance General'!Q8:T8</xm:f>
              <xm:sqref>V8</xm:sqref>
            </x14:sparkline>
            <x14:sparkline>
              <xm:f>'Balance General'!Q9:T9</xm:f>
              <xm:sqref>V9</xm:sqref>
            </x14:sparkline>
            <x14:sparkline>
              <xm:f>'Balance General'!Q10:T10</xm:f>
              <xm:sqref>V10</xm:sqref>
            </x14:sparkline>
            <x14:sparkline>
              <xm:f>'Balance General'!Q11:T11</xm:f>
              <xm:sqref>V11</xm:sqref>
            </x14:sparkline>
            <x14:sparkline>
              <xm:f>'Balance General'!Q12:T12</xm:f>
              <xm:sqref>V12</xm:sqref>
            </x14:sparkline>
            <x14:sparkline>
              <xm:f>'Balance General'!Q13:T13</xm:f>
              <xm:sqref>V13</xm:sqref>
            </x14:sparkline>
            <x14:sparkline>
              <xm:f>'Balance General'!Q14:T14</xm:f>
              <xm:sqref>V14</xm:sqref>
            </x14:sparkline>
            <x14:sparkline>
              <xm:f>'Balance General'!Q15:T15</xm:f>
              <xm:sqref>V15</xm:sqref>
            </x14:sparkline>
            <x14:sparkline>
              <xm:f>'Balance General'!Q16:T16</xm:f>
              <xm:sqref>V16</xm:sqref>
            </x14:sparkline>
            <x14:sparkline>
              <xm:f>'Balance General'!Q17:T17</xm:f>
              <xm:sqref>V17</xm:sqref>
            </x14:sparkline>
            <x14:sparkline>
              <xm:f>'Balance General'!Q18:T18</xm:f>
              <xm:sqref>V18</xm:sqref>
            </x14:sparkline>
            <x14:sparkline>
              <xm:f>'Balance General'!Q19:T19</xm:f>
              <xm:sqref>V19</xm:sqref>
            </x14:sparkline>
            <x14:sparkline>
              <xm:f>'Balance General'!Q20:T20</xm:f>
              <xm:sqref>V20</xm:sqref>
            </x14:sparkline>
            <x14:sparkline>
              <xm:f>'Balance General'!Q21:T21</xm:f>
              <xm:sqref>V21</xm:sqref>
            </x14:sparkline>
            <x14:sparkline>
              <xm:f>'Balance General'!Q23:T23</xm:f>
              <xm:sqref>V23</xm:sqref>
            </x14:sparkline>
            <x14:sparkline>
              <xm:f>'Balance General'!Q24:T24</xm:f>
              <xm:sqref>V24</xm:sqref>
            </x14:sparkline>
            <x14:sparkline>
              <xm:f>'Balance General'!Q25:T25</xm:f>
              <xm:sqref>V25</xm:sqref>
            </x14:sparkline>
            <x14:sparkline>
              <xm:f>'Balance General'!Q26:T26</xm:f>
              <xm:sqref>V26</xm:sqref>
            </x14:sparkline>
            <x14:sparkline>
              <xm:f>'Balance General'!Q27:T27</xm:f>
              <xm:sqref>V27</xm:sqref>
            </x14:sparkline>
            <x14:sparkline>
              <xm:f>'Balance General'!Q28:T28</xm:f>
              <xm:sqref>V28</xm:sqref>
            </x14:sparkline>
            <x14:sparkline>
              <xm:f>'Balance General'!Q29:T29</xm:f>
              <xm:sqref>V29</xm:sqref>
            </x14:sparkline>
            <x14:sparkline>
              <xm:f>'Balance General'!Q30:T30</xm:f>
              <xm:sqref>V30</xm:sqref>
            </x14:sparkline>
            <x14:sparkline>
              <xm:f>'Balance General'!Q31:T31</xm:f>
              <xm:sqref>V31</xm:sqref>
            </x14:sparkline>
            <x14:sparkline>
              <xm:f>'Balance General'!Q32:T32</xm:f>
              <xm:sqref>V32</xm:sqref>
            </x14:sparkline>
            <x14:sparkline>
              <xm:f>'Balance General'!Q33:T33</xm:f>
              <xm:sqref>V33</xm:sqref>
            </x14:sparkline>
            <x14:sparkline>
              <xm:f>'Balance General'!Q34:T34</xm:f>
              <xm:sqref>V34</xm:sqref>
            </x14:sparkline>
            <x14:sparkline>
              <xm:f>'Balance General'!Q35:T35</xm:f>
              <xm:sqref>V35</xm:sqref>
            </x14:sparkline>
            <x14:sparkline>
              <xm:f>'Balance General'!Q36:T36</xm:f>
              <xm:sqref>V36</xm:sqref>
            </x14:sparkline>
            <x14:sparkline>
              <xm:f>'Balance General'!Q37:T37</xm:f>
              <xm:sqref>V37</xm:sqref>
            </x14:sparkline>
            <x14:sparkline>
              <xm:f>'Balance General'!Q38:T38</xm:f>
              <xm:sqref>V38</xm:sqref>
            </x14:sparkline>
            <x14:sparkline>
              <xm:f>'Balance General'!Q39:T39</xm:f>
              <xm:sqref>V39</xm:sqref>
            </x14:sparkline>
            <x14:sparkline>
              <xm:f>'Balance General'!Q40:T40</xm:f>
              <xm:sqref>V40</xm:sqref>
            </x14:sparkline>
            <x14:sparkline>
              <xm:f>'Balance General'!Q41:T41</xm:f>
              <xm:sqref>V41</xm:sqref>
            </x14:sparkline>
            <x14:sparkline>
              <xm:f>'Balance General'!Q42:T42</xm:f>
              <xm:sqref>V42</xm:sqref>
            </x14:sparkline>
            <x14:sparkline>
              <xm:f>'Balance General'!Q43:T43</xm:f>
              <xm:sqref>V43</xm:sqref>
            </x14:sparkline>
            <x14:sparkline>
              <xm:f>'Balance General'!Q44:T44</xm:f>
              <xm:sqref>V44</xm:sqref>
            </x14:sparkline>
            <x14:sparkline>
              <xm:f>'Balance General'!Q45:T45</xm:f>
              <xm:sqref>V45</xm:sqref>
            </x14:sparkline>
            <x14:sparkline>
              <xm:f>'Balance General'!Q46:T46</xm:f>
              <xm:sqref>V46</xm:sqref>
            </x14:sparkline>
            <x14:sparkline>
              <xm:f>'Balance General'!Q47:T47</xm:f>
              <xm:sqref>V47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Y25"/>
  <sheetViews>
    <sheetView showGridLines="0" zoomScale="80" zoomScaleNormal="80" workbookViewId="0">
      <pane xSplit="2" ySplit="2" topLeftCell="D3" activePane="bottomRight" state="frozen"/>
      <selection activeCell="B26" sqref="B26"/>
      <selection pane="topRight" activeCell="B26" sqref="B26"/>
      <selection pane="bottomLeft" activeCell="B26" sqref="B26"/>
      <selection pane="bottomRight" activeCell="E8" sqref="E8"/>
    </sheetView>
  </sheetViews>
  <sheetFormatPr baseColWidth="10" defaultColWidth="13.375" defaultRowHeight="15.75"/>
  <cols>
    <col min="2" max="2" width="32.125" customWidth="1"/>
    <col min="3" max="3" width="0" hidden="1" customWidth="1"/>
    <col min="9" max="9" width="12.5" hidden="1" customWidth="1"/>
    <col min="10" max="10" width="12.5" bestFit="1" customWidth="1"/>
    <col min="11" max="12" width="8.875" customWidth="1"/>
    <col min="13" max="16" width="12.625" customWidth="1"/>
    <col min="19" max="19" width="15.875" customWidth="1"/>
  </cols>
  <sheetData>
    <row r="1" spans="1:25" ht="46.5" customHeight="1">
      <c r="B1" s="625" t="s">
        <v>176</v>
      </c>
      <c r="C1" s="625"/>
      <c r="D1" s="625"/>
      <c r="E1" s="625"/>
      <c r="F1" s="625"/>
      <c r="G1" s="625"/>
      <c r="H1" s="625"/>
      <c r="I1" s="625"/>
      <c r="J1" s="625"/>
      <c r="K1" s="625"/>
      <c r="L1" s="625"/>
      <c r="M1" s="625"/>
      <c r="N1" s="625"/>
      <c r="O1" s="625"/>
      <c r="P1" s="625"/>
    </row>
    <row r="2" spans="1:25" ht="56.25">
      <c r="A2" s="9" t="s">
        <v>69</v>
      </c>
      <c r="B2" s="25" t="s">
        <v>68</v>
      </c>
      <c r="C2" s="25" t="s">
        <v>168</v>
      </c>
      <c r="D2" s="25" t="s">
        <v>63</v>
      </c>
      <c r="E2" s="25" t="s">
        <v>62</v>
      </c>
      <c r="F2" s="25" t="s">
        <v>61</v>
      </c>
      <c r="G2" s="25" t="s">
        <v>60</v>
      </c>
      <c r="H2" s="25" t="s">
        <v>695</v>
      </c>
      <c r="I2" s="63" t="s">
        <v>605</v>
      </c>
      <c r="J2" s="63" t="s">
        <v>606</v>
      </c>
      <c r="K2" s="63" t="s">
        <v>607</v>
      </c>
      <c r="L2" s="63" t="s">
        <v>608</v>
      </c>
      <c r="M2" s="63" t="s">
        <v>609</v>
      </c>
      <c r="N2" s="63" t="s">
        <v>696</v>
      </c>
      <c r="O2" s="63" t="s">
        <v>1266</v>
      </c>
      <c r="P2" s="63" t="s">
        <v>1267</v>
      </c>
      <c r="Q2" s="63" t="s">
        <v>1268</v>
      </c>
      <c r="R2" s="63" t="s">
        <v>1269</v>
      </c>
      <c r="S2" s="63" t="s">
        <v>1270</v>
      </c>
      <c r="T2" s="63" t="s">
        <v>604</v>
      </c>
      <c r="U2" s="63" t="s">
        <v>602</v>
      </c>
      <c r="V2" s="286" t="s">
        <v>884</v>
      </c>
    </row>
    <row r="3" spans="1:25">
      <c r="A3" s="17">
        <v>1</v>
      </c>
      <c r="B3" s="10" t="s">
        <v>35</v>
      </c>
      <c r="C3" s="18">
        <v>1750116</v>
      </c>
      <c r="D3" s="18">
        <v>1724710</v>
      </c>
      <c r="E3" s="11">
        <v>1427058</v>
      </c>
      <c r="F3" s="11">
        <v>1315326</v>
      </c>
      <c r="G3" s="11">
        <v>1206453</v>
      </c>
      <c r="H3" s="11">
        <v>1108329</v>
      </c>
      <c r="I3" s="51">
        <f t="shared" ref="I3:I22" si="0">+C3/C$3</f>
        <v>1</v>
      </c>
      <c r="J3" s="51">
        <f t="shared" ref="J3:J22" si="1">+D3/D$3</f>
        <v>1</v>
      </c>
      <c r="K3" s="51">
        <f t="shared" ref="K3:K22" si="2">+E3/E$3</f>
        <v>1</v>
      </c>
      <c r="L3" s="51">
        <f t="shared" ref="L3:L22" si="3">+F3/F$3</f>
        <v>1</v>
      </c>
      <c r="M3" s="143">
        <f t="shared" ref="M3:M22" si="4">+G3/G$3</f>
        <v>1</v>
      </c>
      <c r="N3" s="143">
        <f t="shared" ref="N3:N22" si="5">+H3/H$3</f>
        <v>1</v>
      </c>
      <c r="O3" s="143">
        <f t="shared" ref="O3:O22" si="6">IFERROR((D3-C3)/D3,)</f>
        <v>-1.4730592389445182E-2</v>
      </c>
      <c r="P3" s="143">
        <f t="shared" ref="P3:P22" si="7">IFERROR((E3-D3)/E3,)</f>
        <v>-0.20857736686245409</v>
      </c>
      <c r="Q3" s="143">
        <f t="shared" ref="Q3:Q22" si="8">IFERROR((F3-E3)/F3,)</f>
        <v>-8.4946241464093311E-2</v>
      </c>
      <c r="R3" s="143">
        <f t="shared" ref="R3:R22" si="9">IFERROR((G3-F3)/G3,)</f>
        <v>-9.0242222448781675E-2</v>
      </c>
      <c r="S3" s="143">
        <f t="shared" ref="S3:S22" si="10">IFERROR((H3-G3)/H3,)</f>
        <v>-8.8533278475976002E-2</v>
      </c>
      <c r="T3" s="18">
        <f>AVERAGE(EstadosDeResultados[[#This Row],[2013]:[2017]])</f>
        <v>1484732.6</v>
      </c>
      <c r="U3" s="18">
        <f>AVERAGE(EstadosDeResultados[[#This Row],[2016]:[2017]])</f>
        <v>1260889.5</v>
      </c>
      <c r="V3" s="18">
        <f>AVERAGE(EstadosDeResultados[[#This Row],[2017]:[2018]])</f>
        <v>1157391</v>
      </c>
      <c r="X3" s="4"/>
      <c r="Y3" s="76"/>
    </row>
    <row r="4" spans="1:25">
      <c r="A4" s="17">
        <v>2</v>
      </c>
      <c r="B4" s="10" t="s">
        <v>36</v>
      </c>
      <c r="C4" s="18">
        <v>-852161</v>
      </c>
      <c r="D4" s="18">
        <v>-869388</v>
      </c>
      <c r="E4" s="11">
        <v>-749646</v>
      </c>
      <c r="F4" s="11">
        <v>-676860</v>
      </c>
      <c r="G4" s="11">
        <v>-670188</v>
      </c>
      <c r="H4" s="11">
        <v>-649670</v>
      </c>
      <c r="I4" s="51">
        <f t="shared" si="0"/>
        <v>-0.4869168672248011</v>
      </c>
      <c r="J4" s="51">
        <f t="shared" si="1"/>
        <v>-0.50407778699027661</v>
      </c>
      <c r="K4" s="51">
        <f t="shared" si="2"/>
        <v>-0.52530871204954532</v>
      </c>
      <c r="L4" s="51">
        <f t="shared" si="3"/>
        <v>-0.51459486089380124</v>
      </c>
      <c r="M4" s="52">
        <f t="shared" si="4"/>
        <v>-0.55550278378022189</v>
      </c>
      <c r="N4" s="52">
        <f t="shared" si="5"/>
        <v>-0.5861707128478999</v>
      </c>
      <c r="O4" s="52">
        <f t="shared" si="6"/>
        <v>1.9815088314998598E-2</v>
      </c>
      <c r="P4" s="52">
        <f t="shared" si="7"/>
        <v>-0.15973139321759872</v>
      </c>
      <c r="Q4" s="52">
        <f t="shared" si="8"/>
        <v>-0.10753479301480365</v>
      </c>
      <c r="R4" s="52">
        <f t="shared" si="9"/>
        <v>-9.9554154953535434E-3</v>
      </c>
      <c r="S4" s="52">
        <f t="shared" si="10"/>
        <v>-3.1582187880000619E-2</v>
      </c>
      <c r="T4" s="18">
        <f>AVERAGE(EstadosDeResultados[[#This Row],[2013]:[2017]])</f>
        <v>-763648.6</v>
      </c>
      <c r="U4" s="18">
        <f>AVERAGE(EstadosDeResultados[[#This Row],[2016]:[2017]])</f>
        <v>-673524</v>
      </c>
      <c r="V4" s="18">
        <f>AVERAGE(EstadosDeResultados[[#This Row],[2017]:[2018]])</f>
        <v>-659929</v>
      </c>
      <c r="X4" s="4"/>
      <c r="Y4" s="76"/>
    </row>
    <row r="5" spans="1:25">
      <c r="A5" s="17">
        <v>3</v>
      </c>
      <c r="B5" s="10" t="s">
        <v>37</v>
      </c>
      <c r="C5" s="13">
        <f t="shared" ref="C5:H5" si="11">C3+C4</f>
        <v>897955</v>
      </c>
      <c r="D5" s="13">
        <f t="shared" si="11"/>
        <v>855322</v>
      </c>
      <c r="E5" s="14">
        <f t="shared" si="11"/>
        <v>677412</v>
      </c>
      <c r="F5" s="14">
        <f t="shared" si="11"/>
        <v>638466</v>
      </c>
      <c r="G5" s="14">
        <f t="shared" si="11"/>
        <v>536265</v>
      </c>
      <c r="H5" s="14">
        <f t="shared" si="11"/>
        <v>458659</v>
      </c>
      <c r="I5" s="51">
        <f t="shared" si="0"/>
        <v>0.5130831327751989</v>
      </c>
      <c r="J5" s="51">
        <f t="shared" si="1"/>
        <v>0.49592221300972339</v>
      </c>
      <c r="K5" s="51">
        <f t="shared" si="2"/>
        <v>0.47469128795045473</v>
      </c>
      <c r="L5" s="51">
        <f t="shared" si="3"/>
        <v>0.48540513910619876</v>
      </c>
      <c r="M5" s="52">
        <f t="shared" si="4"/>
        <v>0.44449721621977817</v>
      </c>
      <c r="N5" s="52">
        <f>+H5/H$3</f>
        <v>0.41382928715210016</v>
      </c>
      <c r="O5" s="52">
        <f t="shared" si="6"/>
        <v>-4.9844386090852337E-2</v>
      </c>
      <c r="P5" s="52">
        <f t="shared" si="7"/>
        <v>-0.26263189905109446</v>
      </c>
      <c r="Q5" s="52">
        <f t="shared" si="8"/>
        <v>-6.0999332775746866E-2</v>
      </c>
      <c r="R5" s="52">
        <f t="shared" si="9"/>
        <v>-0.1905792844955386</v>
      </c>
      <c r="S5" s="52">
        <f t="shared" si="10"/>
        <v>-0.16920195613734823</v>
      </c>
      <c r="T5" s="13">
        <f>AVERAGE(EstadosDeResultados[[#This Row],[2013]:[2017]])</f>
        <v>721084</v>
      </c>
      <c r="U5" s="13">
        <f>AVERAGE(EstadosDeResultados[[#This Row],[2016]:[2017]])</f>
        <v>587365.5</v>
      </c>
      <c r="V5" s="13">
        <f>AVERAGE(EstadosDeResultados[[#This Row],[2017]:[2018]])</f>
        <v>497462</v>
      </c>
      <c r="X5" s="76"/>
    </row>
    <row r="6" spans="1:25">
      <c r="A6" s="17">
        <v>4</v>
      </c>
      <c r="B6" s="10" t="s">
        <v>72</v>
      </c>
      <c r="C6" s="11">
        <v>-246422</v>
      </c>
      <c r="D6" s="11">
        <v>-240731</v>
      </c>
      <c r="E6" s="11">
        <v>-208918</v>
      </c>
      <c r="F6" s="11">
        <v>-202367</v>
      </c>
      <c r="G6" s="11">
        <v>-196495</v>
      </c>
      <c r="H6" s="11">
        <v>-185194</v>
      </c>
      <c r="I6" s="51">
        <f t="shared" si="0"/>
        <v>-0.14080323818535456</v>
      </c>
      <c r="J6" s="51">
        <f t="shared" si="1"/>
        <v>-0.13957766812971456</v>
      </c>
      <c r="K6" s="51">
        <f t="shared" si="2"/>
        <v>-0.14639769371672351</v>
      </c>
      <c r="L6" s="51">
        <f t="shared" si="3"/>
        <v>-0.15385311322060083</v>
      </c>
      <c r="M6" s="52">
        <f t="shared" si="4"/>
        <v>-0.16286999990882364</v>
      </c>
      <c r="N6" s="52">
        <f t="shared" si="5"/>
        <v>-0.16709298412294543</v>
      </c>
      <c r="O6" s="52">
        <f t="shared" si="6"/>
        <v>-2.3640494992335843E-2</v>
      </c>
      <c r="P6" s="52">
        <f t="shared" si="7"/>
        <v>-0.15227505528484861</v>
      </c>
      <c r="Q6" s="52">
        <f t="shared" si="8"/>
        <v>-3.2371878814233548E-2</v>
      </c>
      <c r="R6" s="52">
        <f t="shared" si="9"/>
        <v>-2.9883712053741827E-2</v>
      </c>
      <c r="S6" s="52">
        <f t="shared" si="10"/>
        <v>-6.1022495329222326E-2</v>
      </c>
      <c r="T6" s="11">
        <f>AVERAGE(EstadosDeResultados[[#This Row],[2013]:[2017]])</f>
        <v>-218986.6</v>
      </c>
      <c r="U6" s="11">
        <f>AVERAGE(EstadosDeResultados[[#This Row],[2016]:[2017]])</f>
        <v>-199431</v>
      </c>
      <c r="V6" s="11">
        <f>AVERAGE(EstadosDeResultados[[#This Row],[2017]:[2018]])</f>
        <v>-190844.5</v>
      </c>
    </row>
    <row r="7" spans="1:25">
      <c r="A7" s="17">
        <v>5</v>
      </c>
      <c r="B7" s="10" t="s">
        <v>71</v>
      </c>
      <c r="C7" s="11">
        <v>-116237</v>
      </c>
      <c r="D7" s="11">
        <v>-133460</v>
      </c>
      <c r="E7" s="11">
        <v>-103676</v>
      </c>
      <c r="F7" s="11">
        <v>-93633</v>
      </c>
      <c r="G7" s="11">
        <v>-101048</v>
      </c>
      <c r="H7" s="11">
        <v>-105654</v>
      </c>
      <c r="I7" s="51">
        <f t="shared" si="0"/>
        <v>-6.6416740376066499E-2</v>
      </c>
      <c r="J7" s="51">
        <f t="shared" si="1"/>
        <v>-7.7381124942744003E-2</v>
      </c>
      <c r="K7" s="51">
        <f t="shared" si="2"/>
        <v>-7.26501655854212E-2</v>
      </c>
      <c r="L7" s="51">
        <f t="shared" si="3"/>
        <v>-7.1186154611100214E-2</v>
      </c>
      <c r="M7" s="52">
        <f t="shared" si="4"/>
        <v>-8.3756267339050922E-2</v>
      </c>
      <c r="N7" s="52">
        <f t="shared" si="5"/>
        <v>-9.5327290001434598E-2</v>
      </c>
      <c r="O7" s="52">
        <f t="shared" si="6"/>
        <v>0.1290499025925371</v>
      </c>
      <c r="P7" s="52">
        <f t="shared" si="7"/>
        <v>-0.28727960183649059</v>
      </c>
      <c r="Q7" s="52">
        <f t="shared" si="8"/>
        <v>-0.10725919280595517</v>
      </c>
      <c r="R7" s="52">
        <f t="shared" si="9"/>
        <v>7.3380967461008625E-2</v>
      </c>
      <c r="S7" s="52">
        <f t="shared" si="10"/>
        <v>4.3595131277566396E-2</v>
      </c>
      <c r="T7" s="11">
        <f>AVERAGE(EstadosDeResultados[[#This Row],[2013]:[2017]])</f>
        <v>-109610.8</v>
      </c>
      <c r="U7" s="11">
        <f>AVERAGE(EstadosDeResultados[[#This Row],[2016]:[2017]])</f>
        <v>-97340.5</v>
      </c>
      <c r="V7" s="11">
        <f>AVERAGE(EstadosDeResultados[[#This Row],[2017]:[2018]])</f>
        <v>-103351</v>
      </c>
    </row>
    <row r="8" spans="1:25">
      <c r="A8" s="17">
        <v>6</v>
      </c>
      <c r="B8" s="10" t="s">
        <v>73</v>
      </c>
      <c r="C8" s="11">
        <f>C7+C6</f>
        <v>-362659</v>
      </c>
      <c r="D8" s="15">
        <f>D7+D6</f>
        <v>-374191</v>
      </c>
      <c r="E8" s="15">
        <v>-312594</v>
      </c>
      <c r="F8" s="15">
        <f>F7+F6</f>
        <v>-296000</v>
      </c>
      <c r="G8" s="15">
        <f>G7+G6</f>
        <v>-297543</v>
      </c>
      <c r="H8" s="15">
        <f t="shared" ref="H8" si="12">H7+H6</f>
        <v>-290848</v>
      </c>
      <c r="I8" s="51">
        <f t="shared" si="0"/>
        <v>-0.20721997856142108</v>
      </c>
      <c r="J8" s="51">
        <f t="shared" si="1"/>
        <v>-0.21695879307245855</v>
      </c>
      <c r="K8" s="51">
        <f t="shared" si="2"/>
        <v>-0.21904785930214468</v>
      </c>
      <c r="L8" s="51">
        <f t="shared" si="3"/>
        <v>-0.22503926783170103</v>
      </c>
      <c r="M8" s="52">
        <f t="shared" si="4"/>
        <v>-0.24662626724787456</v>
      </c>
      <c r="N8" s="52">
        <f t="shared" si="5"/>
        <v>-0.26242027412438002</v>
      </c>
      <c r="O8" s="52">
        <f t="shared" si="6"/>
        <v>3.0818485746583964E-2</v>
      </c>
      <c r="P8" s="52">
        <f t="shared" si="7"/>
        <v>-0.19705112702099209</v>
      </c>
      <c r="Q8" s="52">
        <f t="shared" si="8"/>
        <v>-5.606081081081081E-2</v>
      </c>
      <c r="R8" s="52">
        <f t="shared" si="9"/>
        <v>5.1858050769132526E-3</v>
      </c>
      <c r="S8" s="52">
        <f t="shared" si="10"/>
        <v>-2.3018896468258335E-2</v>
      </c>
      <c r="T8" s="11">
        <f>AVERAGE(EstadosDeResultados[[#This Row],[2013]:[2017]])</f>
        <v>-328597.40000000002</v>
      </c>
      <c r="U8" s="11">
        <f>AVERAGE(EstadosDeResultados[[#This Row],[2016]:[2017]])</f>
        <v>-296771.5</v>
      </c>
      <c r="V8" s="11">
        <f>AVERAGE(EstadosDeResultados[[#This Row],[2017]:[2018]])</f>
        <v>-294195.5</v>
      </c>
    </row>
    <row r="9" spans="1:25">
      <c r="A9" s="17">
        <v>7</v>
      </c>
      <c r="B9" s="10" t="s">
        <v>74</v>
      </c>
      <c r="C9" s="15">
        <f t="shared" ref="C9:H9" si="13">C8+C5</f>
        <v>535296</v>
      </c>
      <c r="D9" s="15">
        <f t="shared" si="13"/>
        <v>481131</v>
      </c>
      <c r="E9" s="15">
        <f t="shared" si="13"/>
        <v>364818</v>
      </c>
      <c r="F9" s="15">
        <f t="shared" si="13"/>
        <v>342466</v>
      </c>
      <c r="G9" s="15">
        <f t="shared" si="13"/>
        <v>238722</v>
      </c>
      <c r="H9" s="15">
        <f t="shared" si="13"/>
        <v>167811</v>
      </c>
      <c r="I9" s="51">
        <f t="shared" si="0"/>
        <v>0.30586315421377785</v>
      </c>
      <c r="J9" s="51">
        <f t="shared" si="1"/>
        <v>0.27896341993726481</v>
      </c>
      <c r="K9" s="51">
        <f t="shared" si="2"/>
        <v>0.25564342864831002</v>
      </c>
      <c r="L9" s="51">
        <f t="shared" si="3"/>
        <v>0.26036587127449773</v>
      </c>
      <c r="M9" s="52">
        <f t="shared" si="4"/>
        <v>0.19787094897190358</v>
      </c>
      <c r="N9" s="52">
        <f t="shared" si="5"/>
        <v>0.15140901302772011</v>
      </c>
      <c r="O9" s="52">
        <f t="shared" si="6"/>
        <v>-0.11257848694014728</v>
      </c>
      <c r="P9" s="52">
        <f t="shared" si="7"/>
        <v>-0.31882472904297487</v>
      </c>
      <c r="Q9" s="52">
        <f t="shared" si="8"/>
        <v>-6.5267793007189032E-2</v>
      </c>
      <c r="R9" s="52">
        <f t="shared" si="9"/>
        <v>-0.4345808094771324</v>
      </c>
      <c r="S9" s="52">
        <f t="shared" si="10"/>
        <v>-0.42256467096912598</v>
      </c>
      <c r="T9" s="15">
        <f>AVERAGE(EstadosDeResultados[[#This Row],[2013]:[2017]])</f>
        <v>392486.6</v>
      </c>
      <c r="U9" s="15">
        <f>AVERAGE(EstadosDeResultados[[#This Row],[2016]:[2017]])</f>
        <v>290594</v>
      </c>
      <c r="V9" s="15">
        <f>AVERAGE(EstadosDeResultados[[#This Row],[2017]:[2018]])</f>
        <v>203266.5</v>
      </c>
    </row>
    <row r="10" spans="1:25">
      <c r="A10" s="17">
        <v>8</v>
      </c>
      <c r="B10" s="10" t="s">
        <v>38</v>
      </c>
      <c r="C10" s="11">
        <v>-15742</v>
      </c>
      <c r="D10" s="11">
        <v>-2758</v>
      </c>
      <c r="E10" s="11">
        <v>-83360</v>
      </c>
      <c r="F10" s="11">
        <v>-30219</v>
      </c>
      <c r="G10" s="11">
        <v>-34386</v>
      </c>
      <c r="H10" s="11">
        <v>3757</v>
      </c>
      <c r="I10" s="51">
        <f t="shared" si="0"/>
        <v>-8.9948323425418659E-3</v>
      </c>
      <c r="J10" s="51">
        <f t="shared" si="1"/>
        <v>-1.5991094154959385E-3</v>
      </c>
      <c r="K10" s="51">
        <f t="shared" si="2"/>
        <v>-5.8413883668358257E-2</v>
      </c>
      <c r="L10" s="51">
        <f t="shared" si="3"/>
        <v>-2.2974532549345183E-2</v>
      </c>
      <c r="M10" s="52">
        <f t="shared" si="4"/>
        <v>-2.8501731936511409E-2</v>
      </c>
      <c r="N10" s="52">
        <f t="shared" si="5"/>
        <v>3.3897876893954773E-3</v>
      </c>
      <c r="O10" s="52">
        <f t="shared" si="6"/>
        <v>-4.7077592458303119</v>
      </c>
      <c r="P10" s="52">
        <f t="shared" si="7"/>
        <v>0.96691458733205371</v>
      </c>
      <c r="Q10" s="52">
        <f t="shared" si="8"/>
        <v>-1.7585294020318343</v>
      </c>
      <c r="R10" s="52">
        <f t="shared" si="9"/>
        <v>0.12118303960914326</v>
      </c>
      <c r="S10" s="52">
        <f t="shared" si="10"/>
        <v>10.152515304764441</v>
      </c>
      <c r="T10" s="11">
        <f>AVERAGE(EstadosDeResultados[[#This Row],[2013]:[2017]])</f>
        <v>-33293</v>
      </c>
      <c r="U10" s="11">
        <f>AVERAGE(EstadosDeResultados[[#This Row],[2016]:[2017]])</f>
        <v>-32302.5</v>
      </c>
      <c r="V10" s="11">
        <f>AVERAGE(EstadosDeResultados[[#This Row],[2017]:[2018]])</f>
        <v>-15314.5</v>
      </c>
    </row>
    <row r="11" spans="1:25">
      <c r="A11" s="17">
        <v>9</v>
      </c>
      <c r="B11" s="10" t="s">
        <v>75</v>
      </c>
      <c r="C11" s="16">
        <f>C10+C9</f>
        <v>519554</v>
      </c>
      <c r="D11" s="16">
        <f>D10+D9</f>
        <v>478373</v>
      </c>
      <c r="E11" s="15">
        <f>E10+E9</f>
        <v>281458</v>
      </c>
      <c r="F11" s="15">
        <f>F10+F9</f>
        <v>312247</v>
      </c>
      <c r="G11" s="16">
        <f>G10+G9</f>
        <v>204336</v>
      </c>
      <c r="H11" s="16">
        <f t="shared" ref="H11" si="14">H10+H9</f>
        <v>171568</v>
      </c>
      <c r="I11" s="51">
        <f t="shared" si="0"/>
        <v>0.29686832187123596</v>
      </c>
      <c r="J11" s="51">
        <f t="shared" si="1"/>
        <v>0.27736431052176885</v>
      </c>
      <c r="K11" s="51">
        <f t="shared" si="2"/>
        <v>0.19722954497995177</v>
      </c>
      <c r="L11" s="51">
        <f t="shared" si="3"/>
        <v>0.23739133872515256</v>
      </c>
      <c r="M11" s="52">
        <f t="shared" si="4"/>
        <v>0.16936921703539218</v>
      </c>
      <c r="N11" s="52">
        <f t="shared" si="5"/>
        <v>0.15479880071711558</v>
      </c>
      <c r="O11" s="52">
        <f t="shared" si="6"/>
        <v>-8.6085544125609093E-2</v>
      </c>
      <c r="P11" s="52">
        <f t="shared" si="7"/>
        <v>-0.69962481080658567</v>
      </c>
      <c r="Q11" s="52">
        <f t="shared" si="8"/>
        <v>9.8604630308697927E-2</v>
      </c>
      <c r="R11" s="52">
        <f t="shared" si="9"/>
        <v>-0.52810566909404122</v>
      </c>
      <c r="S11" s="52">
        <f t="shared" si="10"/>
        <v>-0.19099132705399607</v>
      </c>
      <c r="T11" s="16">
        <f>AVERAGE(EstadosDeResultados[[#This Row],[2013]:[2017]])</f>
        <v>359193.59999999998</v>
      </c>
      <c r="U11" s="16">
        <f>AVERAGE(EstadosDeResultados[[#This Row],[2016]:[2017]])</f>
        <v>258291.5</v>
      </c>
      <c r="V11" s="16">
        <f>AVERAGE(EstadosDeResultados[[#This Row],[2017]:[2018]])</f>
        <v>187952</v>
      </c>
    </row>
    <row r="12" spans="1:25" ht="15" customHeight="1">
      <c r="A12" s="17">
        <v>10</v>
      </c>
      <c r="B12" s="10" t="s">
        <v>76</v>
      </c>
      <c r="C12" s="11">
        <v>-97386</v>
      </c>
      <c r="D12" s="11">
        <v>-95809</v>
      </c>
      <c r="E12" s="11">
        <v>-84954</v>
      </c>
      <c r="F12" s="11">
        <v>-81184</v>
      </c>
      <c r="G12" s="11">
        <v>-75386</v>
      </c>
      <c r="H12" s="11">
        <v>-74696</v>
      </c>
      <c r="I12" s="51">
        <f t="shared" si="0"/>
        <v>-5.5645454358453951E-2</v>
      </c>
      <c r="J12" s="51">
        <f t="shared" si="1"/>
        <v>-5.555078824845916E-2</v>
      </c>
      <c r="K12" s="51">
        <f t="shared" si="2"/>
        <v>-5.953086700050033E-2</v>
      </c>
      <c r="L12" s="51">
        <f t="shared" si="3"/>
        <v>-6.172158080962438E-2</v>
      </c>
      <c r="M12" s="52">
        <f t="shared" si="4"/>
        <v>-6.2485650083343489E-2</v>
      </c>
      <c r="N12" s="52">
        <f t="shared" si="5"/>
        <v>-6.7395150717882504E-2</v>
      </c>
      <c r="O12" s="52">
        <f t="shared" si="6"/>
        <v>-1.6459831539834463E-2</v>
      </c>
      <c r="P12" s="52">
        <f t="shared" si="7"/>
        <v>-0.12777503119335171</v>
      </c>
      <c r="Q12" s="52">
        <f t="shared" si="8"/>
        <v>-4.6437721718565236E-2</v>
      </c>
      <c r="R12" s="52">
        <f t="shared" si="9"/>
        <v>-7.6910832250019892E-2</v>
      </c>
      <c r="S12" s="52">
        <f t="shared" si="10"/>
        <v>-9.2374424333297629E-3</v>
      </c>
      <c r="T12" s="11">
        <f>AVERAGE(EstadosDeResultados[[#This Row],[2013]:[2017]])</f>
        <v>-86943.8</v>
      </c>
      <c r="U12" s="11">
        <f>AVERAGE(EstadosDeResultados[[#This Row],[2016]:[2017]])</f>
        <v>-78285</v>
      </c>
      <c r="V12" s="11">
        <f>AVERAGE(EstadosDeResultados[[#This Row],[2017]:[2018]])</f>
        <v>-75041</v>
      </c>
    </row>
    <row r="13" spans="1:25">
      <c r="A13" s="17">
        <v>11</v>
      </c>
      <c r="B13" s="10" t="s">
        <v>39</v>
      </c>
      <c r="C13" s="16">
        <f>C9-C12</f>
        <v>632682</v>
      </c>
      <c r="D13" s="16">
        <f>D9-D12</f>
        <v>576940</v>
      </c>
      <c r="E13" s="16">
        <f>E9-E12</f>
        <v>449772</v>
      </c>
      <c r="F13" s="16">
        <f t="shared" ref="F13:H13" si="15">F9-F12</f>
        <v>423650</v>
      </c>
      <c r="G13" s="16">
        <f t="shared" si="15"/>
        <v>314108</v>
      </c>
      <c r="H13" s="16">
        <f t="shared" si="15"/>
        <v>242507</v>
      </c>
      <c r="I13" s="51">
        <f t="shared" si="0"/>
        <v>0.36150860857223177</v>
      </c>
      <c r="J13" s="51">
        <f t="shared" si="1"/>
        <v>0.33451420818572397</v>
      </c>
      <c r="K13" s="51">
        <f t="shared" si="2"/>
        <v>0.31517429564881033</v>
      </c>
      <c r="L13" s="51">
        <f t="shared" si="3"/>
        <v>0.32208745208412209</v>
      </c>
      <c r="M13" s="52">
        <f t="shared" si="4"/>
        <v>0.26035659905524705</v>
      </c>
      <c r="N13" s="52">
        <f t="shared" si="5"/>
        <v>0.2188041637456026</v>
      </c>
      <c r="O13" s="52">
        <f t="shared" si="6"/>
        <v>-9.6616632578777686E-2</v>
      </c>
      <c r="P13" s="52">
        <f t="shared" si="7"/>
        <v>-0.28273880988589772</v>
      </c>
      <c r="Q13" s="52">
        <f t="shared" si="8"/>
        <v>-6.1659388646288213E-2</v>
      </c>
      <c r="R13" s="52">
        <f t="shared" si="9"/>
        <v>-0.34873992384784852</v>
      </c>
      <c r="S13" s="52">
        <f t="shared" si="10"/>
        <v>-0.29525333289348349</v>
      </c>
      <c r="T13" s="16">
        <f>AVERAGE(EstadosDeResultados[[#This Row],[2013]:[2017]])</f>
        <v>479430.40000000002</v>
      </c>
      <c r="U13" s="16">
        <f>AVERAGE(EstadosDeResultados[[#This Row],[2016]:[2017]])</f>
        <v>368879</v>
      </c>
      <c r="V13" s="16">
        <f>AVERAGE(EstadosDeResultados[[#This Row],[2017]:[2018]])</f>
        <v>278307.5</v>
      </c>
    </row>
    <row r="14" spans="1:25">
      <c r="A14" s="17">
        <v>12</v>
      </c>
      <c r="B14" s="10" t="s">
        <v>40</v>
      </c>
      <c r="C14" s="11">
        <v>-113762</v>
      </c>
      <c r="D14" s="11">
        <v>-90449</v>
      </c>
      <c r="E14" s="11">
        <v>-73748</v>
      </c>
      <c r="F14" s="11">
        <v>-63701</v>
      </c>
      <c r="G14" s="11">
        <v>-63256</v>
      </c>
      <c r="H14" s="11">
        <v>-59000</v>
      </c>
      <c r="I14" s="51">
        <f t="shared" si="0"/>
        <v>-6.5002548402505897E-2</v>
      </c>
      <c r="J14" s="51">
        <f t="shared" si="1"/>
        <v>-5.2443019406161036E-2</v>
      </c>
      <c r="K14" s="51">
        <f t="shared" si="2"/>
        <v>-5.1678348041915609E-2</v>
      </c>
      <c r="L14" s="51">
        <f t="shared" si="3"/>
        <v>-4.8429818919416175E-2</v>
      </c>
      <c r="M14" s="52">
        <f t="shared" si="4"/>
        <v>-5.2431383568195364E-2</v>
      </c>
      <c r="N14" s="52">
        <f t="shared" si="5"/>
        <v>-5.3233290836926579E-2</v>
      </c>
      <c r="O14" s="52">
        <f t="shared" si="6"/>
        <v>-0.25774745989452619</v>
      </c>
      <c r="P14" s="52">
        <f t="shared" si="7"/>
        <v>-0.22646037858653795</v>
      </c>
      <c r="Q14" s="52">
        <f t="shared" si="8"/>
        <v>-0.15772122886610884</v>
      </c>
      <c r="R14" s="52">
        <f t="shared" si="9"/>
        <v>-7.0349057796888831E-3</v>
      </c>
      <c r="S14" s="52">
        <f t="shared" si="10"/>
        <v>-7.2135593220338981E-2</v>
      </c>
      <c r="T14" s="11">
        <f>AVERAGE(EstadosDeResultados[[#This Row],[2013]:[2017]])</f>
        <v>-80983.199999999997</v>
      </c>
      <c r="U14" s="11">
        <f>AVERAGE(EstadosDeResultados[[#This Row],[2016]:[2017]])</f>
        <v>-63478.5</v>
      </c>
      <c r="V14" s="11">
        <f>AVERAGE(EstadosDeResultados[[#This Row],[2017]:[2018]])</f>
        <v>-61128</v>
      </c>
    </row>
    <row r="15" spans="1:25">
      <c r="A15" s="17">
        <v>13</v>
      </c>
      <c r="B15" s="10" t="s">
        <v>70</v>
      </c>
      <c r="C15" s="11">
        <v>-2090</v>
      </c>
      <c r="D15" s="11">
        <v>-2196</v>
      </c>
      <c r="E15" s="11">
        <v>-1016</v>
      </c>
      <c r="F15" s="11">
        <v>-3492</v>
      </c>
      <c r="G15" s="11">
        <v>-3293</v>
      </c>
      <c r="H15" s="11">
        <v>-1722</v>
      </c>
      <c r="I15" s="51">
        <f t="shared" si="0"/>
        <v>-1.1942065554511815E-3</v>
      </c>
      <c r="J15" s="51">
        <f t="shared" si="1"/>
        <v>-1.2732575331505006E-3</v>
      </c>
      <c r="K15" s="51">
        <f t="shared" si="2"/>
        <v>-7.1195424432643939E-4</v>
      </c>
      <c r="L15" s="51">
        <f t="shared" si="3"/>
        <v>-2.6548551461766895E-3</v>
      </c>
      <c r="M15" s="52">
        <f t="shared" si="4"/>
        <v>-2.729488840427269E-3</v>
      </c>
      <c r="N15" s="52">
        <f t="shared" si="5"/>
        <v>-1.5536902851048741E-3</v>
      </c>
      <c r="O15" s="52">
        <f t="shared" si="6"/>
        <v>4.8269581056466303E-2</v>
      </c>
      <c r="P15" s="52">
        <f t="shared" si="7"/>
        <v>-1.1614173228346456</v>
      </c>
      <c r="Q15" s="52">
        <f t="shared" si="8"/>
        <v>0.70904925544100805</v>
      </c>
      <c r="R15" s="52">
        <f t="shared" si="9"/>
        <v>-6.0431217734588524E-2</v>
      </c>
      <c r="S15" s="52">
        <f t="shared" si="10"/>
        <v>-0.91231126596980261</v>
      </c>
      <c r="T15" s="11">
        <f>AVERAGE(EstadosDeResultados[[#This Row],[2013]:[2017]])</f>
        <v>-2417.4</v>
      </c>
      <c r="U15" s="11">
        <f>AVERAGE(EstadosDeResultados[[#This Row],[2016]:[2017]])</f>
        <v>-3392.5</v>
      </c>
      <c r="V15" s="11">
        <f>AVERAGE(EstadosDeResultados[[#This Row],[2017]:[2018]])</f>
        <v>-2507.5</v>
      </c>
    </row>
    <row r="16" spans="1:25">
      <c r="A16" s="17">
        <v>14</v>
      </c>
      <c r="B16" s="10" t="s">
        <v>77</v>
      </c>
      <c r="C16" s="11">
        <v>-1138</v>
      </c>
      <c r="D16" s="11">
        <v>33349</v>
      </c>
      <c r="E16" s="11">
        <v>-18173</v>
      </c>
      <c r="F16" s="11">
        <v>3008</v>
      </c>
      <c r="G16" s="11">
        <v>-1356</v>
      </c>
      <c r="H16" s="11">
        <v>-1747</v>
      </c>
      <c r="I16" s="51">
        <f t="shared" si="0"/>
        <v>-6.5024261248968645E-4</v>
      </c>
      <c r="J16" s="51">
        <f t="shared" si="1"/>
        <v>1.9336004313768692E-2</v>
      </c>
      <c r="K16" s="51">
        <f t="shared" si="2"/>
        <v>-1.2734591025732661E-2</v>
      </c>
      <c r="L16" s="51">
        <f t="shared" si="3"/>
        <v>2.2868855325599889E-3</v>
      </c>
      <c r="M16" s="52">
        <f t="shared" si="4"/>
        <v>-1.1239559270025438E-3</v>
      </c>
      <c r="N16" s="52">
        <f t="shared" si="5"/>
        <v>-1.5762467642730634E-3</v>
      </c>
      <c r="O16" s="52">
        <f t="shared" si="6"/>
        <v>1.0341239617379832</v>
      </c>
      <c r="P16" s="52">
        <f t="shared" si="7"/>
        <v>2.8350850162328731</v>
      </c>
      <c r="Q16" s="52">
        <f t="shared" si="8"/>
        <v>7.0415558510638299</v>
      </c>
      <c r="R16" s="52">
        <f t="shared" si="9"/>
        <v>3.2182890855457229</v>
      </c>
      <c r="S16" s="52">
        <f t="shared" si="10"/>
        <v>0.22381224957069262</v>
      </c>
      <c r="T16" s="11">
        <f>AVERAGE(EstadosDeResultados[[#This Row],[2013]:[2017]])</f>
        <v>3138</v>
      </c>
      <c r="U16" s="11">
        <f>AVERAGE(EstadosDeResultados[[#This Row],[2016]:[2017]])</f>
        <v>826</v>
      </c>
      <c r="V16" s="11">
        <f>AVERAGE(EstadosDeResultados[[#This Row],[2017]:[2018]])</f>
        <v>-1551.5</v>
      </c>
    </row>
    <row r="17" spans="1:22">
      <c r="A17" s="17">
        <v>15</v>
      </c>
      <c r="B17" s="10" t="s">
        <v>41</v>
      </c>
      <c r="C17" s="13">
        <f>SUM(C14:C16)+C11</f>
        <v>402564</v>
      </c>
      <c r="D17" s="13">
        <f>SUM(D14:D16)+D11</f>
        <v>419077</v>
      </c>
      <c r="E17" s="15">
        <f>SUM(E14:E16)+E11</f>
        <v>188521</v>
      </c>
      <c r="F17" s="15">
        <f>SUM(F14:F16)+F11</f>
        <v>248062</v>
      </c>
      <c r="G17" s="15">
        <f>SUM(G14:G16)+G11</f>
        <v>136431</v>
      </c>
      <c r="H17" s="15">
        <f t="shared" ref="H17" si="16">SUM(H14:H16)+H11</f>
        <v>109099</v>
      </c>
      <c r="I17" s="51">
        <f t="shared" si="0"/>
        <v>0.2300213243007892</v>
      </c>
      <c r="J17" s="51">
        <f t="shared" si="1"/>
        <v>0.24298403789622602</v>
      </c>
      <c r="K17" s="51">
        <f t="shared" si="2"/>
        <v>0.13210465166797705</v>
      </c>
      <c r="L17" s="51">
        <f t="shared" si="3"/>
        <v>0.18859355019211968</v>
      </c>
      <c r="M17" s="52">
        <f t="shared" si="4"/>
        <v>0.113084388699767</v>
      </c>
      <c r="N17" s="52">
        <f t="shared" si="5"/>
        <v>9.8435572830811072E-2</v>
      </c>
      <c r="O17" s="52">
        <f t="shared" si="6"/>
        <v>3.9403260021428042E-2</v>
      </c>
      <c r="P17" s="52">
        <f t="shared" si="7"/>
        <v>-1.2229725070416559</v>
      </c>
      <c r="Q17" s="52">
        <f t="shared" si="8"/>
        <v>0.24002467125154195</v>
      </c>
      <c r="R17" s="52">
        <f t="shared" si="9"/>
        <v>-0.81822313110656664</v>
      </c>
      <c r="S17" s="52">
        <f t="shared" si="10"/>
        <v>-0.25052475274750458</v>
      </c>
      <c r="T17" s="13">
        <f>AVERAGE(EstadosDeResultados[[#This Row],[2013]:[2017]])</f>
        <v>278931</v>
      </c>
      <c r="U17" s="13">
        <f>AVERAGE(EstadosDeResultados[[#This Row],[2016]:[2017]])</f>
        <v>192246.5</v>
      </c>
      <c r="V17" s="13">
        <f>AVERAGE(EstadosDeResultados[[#This Row],[2017]:[2018]])</f>
        <v>122765</v>
      </c>
    </row>
    <row r="18" spans="1:22">
      <c r="A18" s="17">
        <v>16</v>
      </c>
      <c r="B18" s="10" t="s">
        <v>42</v>
      </c>
      <c r="C18" s="11">
        <v>-137837</v>
      </c>
      <c r="D18" s="11">
        <v>-144706</v>
      </c>
      <c r="E18" s="11">
        <v>-92469</v>
      </c>
      <c r="F18" s="11">
        <v>-107793</v>
      </c>
      <c r="G18" s="11">
        <v>-56894</v>
      </c>
      <c r="H18" s="11">
        <v>-36593</v>
      </c>
      <c r="I18" s="51">
        <f t="shared" si="0"/>
        <v>-7.8758779418049998E-2</v>
      </c>
      <c r="J18" s="51">
        <f t="shared" si="1"/>
        <v>-8.3901641435371738E-2</v>
      </c>
      <c r="K18" s="51">
        <f t="shared" si="2"/>
        <v>-6.4796945884470006E-2</v>
      </c>
      <c r="L18" s="51">
        <f t="shared" si="3"/>
        <v>-8.1951546612778883E-2</v>
      </c>
      <c r="M18" s="52">
        <f t="shared" si="4"/>
        <v>-4.7158074123069861E-2</v>
      </c>
      <c r="N18" s="52">
        <f t="shared" si="5"/>
        <v>-3.3016369688061938E-2</v>
      </c>
      <c r="O18" s="52">
        <f t="shared" si="6"/>
        <v>4.7468660594584884E-2</v>
      </c>
      <c r="P18" s="52">
        <f t="shared" si="7"/>
        <v>-0.5649136467356628</v>
      </c>
      <c r="Q18" s="52">
        <f t="shared" si="8"/>
        <v>0.14216136483816202</v>
      </c>
      <c r="R18" s="52">
        <f t="shared" si="9"/>
        <v>-0.89462860758603724</v>
      </c>
      <c r="S18" s="52">
        <f t="shared" si="10"/>
        <v>-0.55477823627469736</v>
      </c>
      <c r="T18" s="11">
        <f>AVERAGE(EstadosDeResultados[[#This Row],[2013]:[2017]])</f>
        <v>-107939.8</v>
      </c>
      <c r="U18" s="11">
        <f>AVERAGE(EstadosDeResultados[[#This Row],[2016]:[2017]])</f>
        <v>-82343.5</v>
      </c>
      <c r="V18" s="11">
        <f>AVERAGE(EstadosDeResultados[[#This Row],[2017]:[2018]])</f>
        <v>-46743.5</v>
      </c>
    </row>
    <row r="19" spans="1:22">
      <c r="A19" s="17">
        <v>17</v>
      </c>
      <c r="B19" s="10" t="s">
        <v>968</v>
      </c>
      <c r="C19" s="15">
        <f t="shared" ref="C19:D19" si="17">+C17+C18</f>
        <v>264727</v>
      </c>
      <c r="D19" s="15">
        <f t="shared" si="17"/>
        <v>274371</v>
      </c>
      <c r="E19" s="15">
        <f>+E17+E18</f>
        <v>96052</v>
      </c>
      <c r="F19" s="15">
        <f>+F17+F18</f>
        <v>140269</v>
      </c>
      <c r="G19" s="15">
        <f>+G17+G18</f>
        <v>79537</v>
      </c>
      <c r="H19" s="15">
        <f>+H17+H18</f>
        <v>72506</v>
      </c>
      <c r="I19" s="51">
        <f t="shared" si="0"/>
        <v>0.15126254488273921</v>
      </c>
      <c r="J19" s="51">
        <f t="shared" si="1"/>
        <v>0.15908239646085429</v>
      </c>
      <c r="K19" s="51">
        <f t="shared" si="2"/>
        <v>6.7307705783507046E-2</v>
      </c>
      <c r="L19" s="51">
        <f t="shared" si="3"/>
        <v>0.10664200357934078</v>
      </c>
      <c r="M19" s="52">
        <f t="shared" si="4"/>
        <v>6.5926314576697148E-2</v>
      </c>
      <c r="N19" s="52">
        <f t="shared" si="5"/>
        <v>6.5419203142749127E-2</v>
      </c>
      <c r="O19" s="52">
        <f t="shared" si="6"/>
        <v>3.5149487372936647E-2</v>
      </c>
      <c r="P19" s="52">
        <f t="shared" si="7"/>
        <v>-1.85648398783992</v>
      </c>
      <c r="Q19" s="52">
        <f t="shared" si="8"/>
        <v>0.31523002231426761</v>
      </c>
      <c r="R19" s="52">
        <f t="shared" si="9"/>
        <v>-0.76356915649320445</v>
      </c>
      <c r="S19" s="52">
        <f t="shared" si="10"/>
        <v>-9.6971285135023302E-2</v>
      </c>
      <c r="T19" s="16">
        <f>AVERAGE(EstadosDeResultados[[#This Row],[2013]:[2017]])</f>
        <v>170991.2</v>
      </c>
      <c r="U19" s="16">
        <f>AVERAGE(EstadosDeResultados[[#This Row],[2016]:[2017]])</f>
        <v>109903</v>
      </c>
      <c r="V19" s="16">
        <f>AVERAGE(EstadosDeResultados[[#This Row],[2017]:[2018]])</f>
        <v>76021.5</v>
      </c>
    </row>
    <row r="20" spans="1:22">
      <c r="A20" s="17">
        <v>18</v>
      </c>
      <c r="B20" s="10" t="s">
        <v>861</v>
      </c>
      <c r="C20" s="16"/>
      <c r="D20" s="16"/>
      <c r="E20" s="15"/>
      <c r="F20" s="15"/>
      <c r="G20" s="11">
        <v>-33126</v>
      </c>
      <c r="H20" s="11">
        <v>-9556</v>
      </c>
      <c r="I20" s="51">
        <f t="shared" ref="I20:N20" si="18">+C20/C$3</f>
        <v>0</v>
      </c>
      <c r="J20" s="51">
        <f t="shared" si="18"/>
        <v>0</v>
      </c>
      <c r="K20" s="51">
        <f t="shared" si="18"/>
        <v>0</v>
      </c>
      <c r="L20" s="51">
        <f t="shared" si="18"/>
        <v>0</v>
      </c>
      <c r="M20" s="52">
        <f t="shared" si="18"/>
        <v>-2.7457348110535594E-2</v>
      </c>
      <c r="N20" s="52">
        <f t="shared" si="18"/>
        <v>-8.6219885972486504E-3</v>
      </c>
      <c r="O20" s="52">
        <f t="shared" si="6"/>
        <v>0</v>
      </c>
      <c r="P20" s="52">
        <f t="shared" si="7"/>
        <v>0</v>
      </c>
      <c r="Q20" s="52">
        <f t="shared" si="8"/>
        <v>0</v>
      </c>
      <c r="R20" s="52">
        <f t="shared" si="9"/>
        <v>1</v>
      </c>
      <c r="S20" s="52">
        <f t="shared" si="10"/>
        <v>-2.4665131854332358</v>
      </c>
      <c r="T20" s="16">
        <f>AVERAGE(EstadosDeResultados[[#This Row],[2013]:[2017]])</f>
        <v>-33126</v>
      </c>
      <c r="U20" s="16">
        <f>AVERAGE(EstadosDeResultados[[#This Row],[2016]:[2017]])</f>
        <v>-33126</v>
      </c>
      <c r="V20" s="16">
        <f>AVERAGE(EstadosDeResultados[[#This Row],[2017]:[2018]])</f>
        <v>-21341</v>
      </c>
    </row>
    <row r="21" spans="1:22">
      <c r="A21" s="17">
        <v>19</v>
      </c>
      <c r="B21" s="10" t="s">
        <v>78</v>
      </c>
      <c r="C21" s="11">
        <v>-624</v>
      </c>
      <c r="D21" s="11">
        <v>-973</v>
      </c>
      <c r="E21" s="11">
        <v>-561</v>
      </c>
      <c r="F21" s="11">
        <v>-500</v>
      </c>
      <c r="G21" s="11">
        <v>-316</v>
      </c>
      <c r="H21" s="11">
        <v>-194</v>
      </c>
      <c r="I21" s="51">
        <f t="shared" si="0"/>
        <v>-3.565477945461901E-4</v>
      </c>
      <c r="J21" s="51">
        <f t="shared" si="1"/>
        <v>-5.6415281409628285E-4</v>
      </c>
      <c r="K21" s="51">
        <f t="shared" si="2"/>
        <v>-3.9311646758576036E-4</v>
      </c>
      <c r="L21" s="51">
        <f t="shared" si="3"/>
        <v>-3.8013389836435985E-4</v>
      </c>
      <c r="M21" s="52">
        <f t="shared" si="4"/>
        <v>-2.6192483254631555E-4</v>
      </c>
      <c r="N21" s="52">
        <f t="shared" si="5"/>
        <v>-1.7503827834514842E-4</v>
      </c>
      <c r="O21" s="52">
        <f t="shared" si="6"/>
        <v>0.35868448098663924</v>
      </c>
      <c r="P21" s="52">
        <f t="shared" si="7"/>
        <v>-0.73440285204991085</v>
      </c>
      <c r="Q21" s="52">
        <f t="shared" si="8"/>
        <v>-0.122</v>
      </c>
      <c r="R21" s="52">
        <f t="shared" si="9"/>
        <v>-0.58227848101265822</v>
      </c>
      <c r="S21" s="52">
        <f t="shared" si="10"/>
        <v>-0.62886597938144329</v>
      </c>
      <c r="T21" s="11">
        <f>AVERAGE(EstadosDeResultados[[#This Row],[2013]:[2017]])</f>
        <v>-594.79999999999995</v>
      </c>
      <c r="U21" s="11">
        <f>AVERAGE(EstadosDeResultados[[#This Row],[2016]:[2017]])</f>
        <v>-408</v>
      </c>
      <c r="V21" s="11">
        <f>AVERAGE(EstadosDeResultados[[#This Row],[2017]:[2018]])</f>
        <v>-255</v>
      </c>
    </row>
    <row r="22" spans="1:22" ht="16.5" thickBot="1">
      <c r="A22" s="17">
        <v>20</v>
      </c>
      <c r="B22" s="10" t="s">
        <v>969</v>
      </c>
      <c r="C22" s="19">
        <f>C19+C21</f>
        <v>264103</v>
      </c>
      <c r="D22" s="19">
        <f>D19+D21</f>
        <v>273398</v>
      </c>
      <c r="E22" s="19">
        <f>+E19+E21</f>
        <v>95491</v>
      </c>
      <c r="F22" s="19">
        <f>F19+F21</f>
        <v>139769</v>
      </c>
      <c r="G22" s="19">
        <f>+G19+G21+G20</f>
        <v>46095</v>
      </c>
      <c r="H22" s="19">
        <f>+H19+H21+H20</f>
        <v>62756</v>
      </c>
      <c r="I22" s="51">
        <f t="shared" si="0"/>
        <v>0.15090599708819302</v>
      </c>
      <c r="J22" s="51">
        <f t="shared" si="1"/>
        <v>0.15851824364675801</v>
      </c>
      <c r="K22" s="51">
        <f t="shared" si="2"/>
        <v>6.6914589315921286E-2</v>
      </c>
      <c r="L22" s="51">
        <f t="shared" si="3"/>
        <v>0.10626186968097642</v>
      </c>
      <c r="M22" s="144">
        <f t="shared" si="4"/>
        <v>3.8207041633615234E-2</v>
      </c>
      <c r="N22" s="144">
        <f t="shared" si="5"/>
        <v>5.6622176267155329E-2</v>
      </c>
      <c r="O22" s="144">
        <f t="shared" si="6"/>
        <v>3.3998054118903574E-2</v>
      </c>
      <c r="P22" s="144">
        <f t="shared" si="7"/>
        <v>-1.8630761014126986</v>
      </c>
      <c r="Q22" s="144">
        <f t="shared" si="8"/>
        <v>0.31679413890061459</v>
      </c>
      <c r="R22" s="144">
        <f t="shared" si="9"/>
        <v>-2.0321943811693242</v>
      </c>
      <c r="S22" s="144">
        <f t="shared" si="10"/>
        <v>0.26548855886289757</v>
      </c>
      <c r="T22" s="19">
        <f>AVERAGE(EstadosDeResultados[[#This Row],[2013]:[2017]])</f>
        <v>163771.20000000001</v>
      </c>
      <c r="U22" s="19">
        <f>AVERAGE(EstadosDeResultados[[#This Row],[2016]:[2017]])</f>
        <v>92932</v>
      </c>
      <c r="V22" s="19">
        <f>AVERAGE(EstadosDeResultados[[#This Row],[2017]:[2018]])</f>
        <v>54425.5</v>
      </c>
    </row>
    <row r="23" spans="1:22" ht="16.5" thickTop="1"/>
    <row r="24" spans="1:22">
      <c r="C24" s="231"/>
      <c r="E24" s="49"/>
    </row>
    <row r="25" spans="1:22">
      <c r="D25" s="1"/>
      <c r="H25" s="181"/>
    </row>
  </sheetData>
  <mergeCells count="1">
    <mergeCell ref="B1:P1"/>
  </mergeCells>
  <conditionalFormatting sqref="O3">
    <cfRule type="iconSet" priority="19">
      <iconSet>
        <cfvo type="percent" val="0"/>
        <cfvo type="num" val="0"/>
        <cfvo type="num" val="0"/>
      </iconSet>
    </cfRule>
  </conditionalFormatting>
  <conditionalFormatting sqref="O4:O22">
    <cfRule type="iconSet" priority="18">
      <iconSet>
        <cfvo type="percent" val="0"/>
        <cfvo type="num" val="0"/>
        <cfvo type="num" val="0"/>
      </iconSet>
    </cfRule>
  </conditionalFormatting>
  <conditionalFormatting sqref="P3">
    <cfRule type="iconSet" priority="15">
      <iconSet>
        <cfvo type="percent" val="0"/>
        <cfvo type="num" val="0"/>
        <cfvo type="num" val="0"/>
      </iconSet>
    </cfRule>
  </conditionalFormatting>
  <conditionalFormatting sqref="P4:P19 P21:P22">
    <cfRule type="iconSet" priority="14">
      <iconSet>
        <cfvo type="percent" val="0"/>
        <cfvo type="num" val="0"/>
        <cfvo type="num" val="0"/>
      </iconSet>
    </cfRule>
  </conditionalFormatting>
  <conditionalFormatting sqref="Q3">
    <cfRule type="iconSet" priority="11">
      <iconSet>
        <cfvo type="percent" val="0"/>
        <cfvo type="num" val="0"/>
        <cfvo type="num" val="0"/>
      </iconSet>
    </cfRule>
  </conditionalFormatting>
  <conditionalFormatting sqref="Q4:Q19 Q21:Q22">
    <cfRule type="iconSet" priority="10">
      <iconSet>
        <cfvo type="percent" val="0"/>
        <cfvo type="num" val="0"/>
        <cfvo type="num" val="0"/>
      </iconSet>
    </cfRule>
  </conditionalFormatting>
  <conditionalFormatting sqref="R3:S3">
    <cfRule type="iconSet" priority="7">
      <iconSet>
        <cfvo type="percent" val="0"/>
        <cfvo type="num" val="0"/>
        <cfvo type="num" val="0"/>
      </iconSet>
    </cfRule>
  </conditionalFormatting>
  <conditionalFormatting sqref="R4:S19 R21:S22">
    <cfRule type="iconSet" priority="6">
      <iconSet>
        <cfvo type="percent" val="0"/>
        <cfvo type="num" val="0"/>
        <cfvo type="num" val="0"/>
      </iconSet>
    </cfRule>
  </conditionalFormatting>
  <conditionalFormatting sqref="I3:I22">
    <cfRule type="dataBar" priority="62">
      <dataBar>
        <cfvo type="min"/>
        <cfvo type="max"/>
        <color rgb="FF63C384"/>
      </dataBar>
      <extLst>
        <ext xmlns:x14="http://schemas.microsoft.com/office/spreadsheetml/2009/9/main" uri="{B025F937-C7B1-47D3-B67F-A62EFF666E3E}">
          <x14:id>{FF0EEF96-694F-4B37-863C-151596EFCF61}</x14:id>
        </ext>
      </extLst>
    </cfRule>
  </conditionalFormatting>
  <conditionalFormatting sqref="J3:N22">
    <cfRule type="dataBar" priority="63">
      <dataBar>
        <cfvo type="min"/>
        <cfvo type="max"/>
        <color rgb="FF63C384"/>
      </dataBar>
      <extLst>
        <ext xmlns:x14="http://schemas.microsoft.com/office/spreadsheetml/2009/9/main" uri="{B025F937-C7B1-47D3-B67F-A62EFF666E3E}">
          <x14:id>{8B0FF5F0-904C-4FD6-B258-9B73CD394A56}</x14:id>
        </ext>
      </extLst>
    </cfRule>
  </conditionalFormatting>
  <conditionalFormatting sqref="P20:S20">
    <cfRule type="iconSet" priority="1">
      <iconSet>
        <cfvo type="percent" val="0"/>
        <cfvo type="num" val="0"/>
        <cfvo type="num" val="0"/>
      </iconSet>
    </cfRule>
  </conditionalFormatting>
  <pageMargins left="0.7" right="0.7" top="0.75" bottom="0.75" header="0.3" footer="0.3"/>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F0EEF96-694F-4B37-863C-151596EFCF61}">
            <x14:dataBar minLength="0" maxLength="100" border="1" negativeBarBorderColorSameAsPositive="0">
              <x14:cfvo type="autoMin"/>
              <x14:cfvo type="autoMax"/>
              <x14:borderColor rgb="FF63C384"/>
              <x14:negativeFillColor rgb="FFFF0000"/>
              <x14:negativeBorderColor rgb="FFFF0000"/>
              <x14:axisColor rgb="FF000000"/>
            </x14:dataBar>
          </x14:cfRule>
          <xm:sqref>I3:I22</xm:sqref>
        </x14:conditionalFormatting>
        <x14:conditionalFormatting xmlns:xm="http://schemas.microsoft.com/office/excel/2006/main">
          <x14:cfRule type="dataBar" id="{8B0FF5F0-904C-4FD6-B258-9B73CD394A56}">
            <x14:dataBar minLength="0" maxLength="100" border="1" negativeBarBorderColorSameAsPositive="0">
              <x14:cfvo type="autoMin"/>
              <x14:cfvo type="autoMax"/>
              <x14:borderColor rgb="FF63C384"/>
              <x14:negativeFillColor rgb="FFFF0000"/>
              <x14:negativeBorderColor rgb="FFFF0000"/>
              <x14:axisColor rgb="FF000000"/>
            </x14:dataBar>
          </x14:cfRule>
          <xm:sqref>J3:N22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X12"/>
  <sheetViews>
    <sheetView topLeftCell="C47" zoomScale="90" zoomScaleNormal="90" workbookViewId="0">
      <selection activeCell="I73" sqref="I73"/>
    </sheetView>
  </sheetViews>
  <sheetFormatPr baseColWidth="10" defaultColWidth="11" defaultRowHeight="15.75"/>
  <cols>
    <col min="18" max="18" width="25.875" customWidth="1"/>
    <col min="19" max="19" width="17" bestFit="1" customWidth="1"/>
  </cols>
  <sheetData>
    <row r="1" spans="10:24">
      <c r="R1" s="540" t="s">
        <v>743</v>
      </c>
      <c r="S1" s="540" t="s">
        <v>755</v>
      </c>
      <c r="T1" s="325" t="s">
        <v>771</v>
      </c>
      <c r="U1" s="325" t="s">
        <v>772</v>
      </c>
      <c r="V1" s="325" t="s">
        <v>773</v>
      </c>
      <c r="W1" s="325" t="s">
        <v>774</v>
      </c>
      <c r="X1" s="325" t="s">
        <v>859</v>
      </c>
    </row>
    <row r="2" spans="10:24">
      <c r="R2" s="182" t="s">
        <v>756</v>
      </c>
      <c r="S2" s="183" t="s">
        <v>753</v>
      </c>
      <c r="T2" s="292">
        <v>3.2000000000000001E-2</v>
      </c>
      <c r="U2" s="292">
        <v>3.3000000000000002E-2</v>
      </c>
      <c r="V2" s="292">
        <v>3.1E-2</v>
      </c>
      <c r="W2" s="292">
        <v>3.3000000000000002E-2</v>
      </c>
      <c r="X2" s="292">
        <v>3.4000000000000002E-2</v>
      </c>
    </row>
    <row r="3" spans="10:24">
      <c r="J3" t="s">
        <v>1384</v>
      </c>
      <c r="R3" s="182" t="s">
        <v>756</v>
      </c>
      <c r="S3" s="183" t="s">
        <v>754</v>
      </c>
      <c r="T3" s="292">
        <v>3.2000000000000001E-2</v>
      </c>
      <c r="U3" s="292">
        <v>3.2000000000000001E-2</v>
      </c>
      <c r="V3" s="292">
        <v>3.2000000000000001E-2</v>
      </c>
      <c r="W3" s="292">
        <v>3.2000000000000001E-2</v>
      </c>
      <c r="X3" s="292">
        <v>3.2000000000000001E-2</v>
      </c>
    </row>
    <row r="4" spans="10:24">
      <c r="R4" s="182" t="s">
        <v>756</v>
      </c>
      <c r="S4" s="183" t="s">
        <v>811</v>
      </c>
      <c r="T4" s="543">
        <f>'Proyeccion Efec Conv. Moneda'!G3</f>
        <v>3.0694668820678506E-2</v>
      </c>
      <c r="U4" s="543">
        <f>'Proyeccion Efec Conv. Moneda'!H3</f>
        <v>-2.5396825396825307E-2</v>
      </c>
      <c r="V4" s="543">
        <f>'Proyeccion Efec Conv. Moneda'!I3</f>
        <v>-1.8575851393188847E-2</v>
      </c>
      <c r="W4" s="543">
        <f>'Proyeccion Efec Conv. Moneda'!J3</f>
        <v>-1.8237082066869359E-2</v>
      </c>
      <c r="X4" s="543">
        <f>'Proyeccion Efec Conv. Moneda'!K3</f>
        <v>-1.4925373134328401E-2</v>
      </c>
    </row>
    <row r="5" spans="10:24">
      <c r="R5" s="182" t="s">
        <v>610</v>
      </c>
      <c r="S5" s="183" t="s">
        <v>753</v>
      </c>
      <c r="T5" s="292">
        <v>6.3E-2</v>
      </c>
      <c r="U5" s="292">
        <v>0.06</v>
      </c>
      <c r="V5" s="292">
        <v>0.06</v>
      </c>
      <c r="W5" s="292">
        <v>0.06</v>
      </c>
      <c r="X5" s="292">
        <v>0.06</v>
      </c>
    </row>
    <row r="6" spans="10:24">
      <c r="R6" s="182" t="s">
        <v>610</v>
      </c>
      <c r="S6" s="183" t="s">
        <v>754</v>
      </c>
      <c r="T6" s="292">
        <v>0.02</v>
      </c>
      <c r="U6" s="292">
        <v>0.02</v>
      </c>
      <c r="V6" s="292">
        <v>0.02</v>
      </c>
      <c r="W6" s="292">
        <v>0.02</v>
      </c>
      <c r="X6" s="292">
        <v>0.02</v>
      </c>
    </row>
    <row r="7" spans="10:24">
      <c r="R7" s="182" t="s">
        <v>57</v>
      </c>
      <c r="S7" s="183" t="s">
        <v>753</v>
      </c>
      <c r="T7" s="292">
        <v>3.2000000000000001E-2</v>
      </c>
      <c r="U7" s="292">
        <v>0.03</v>
      </c>
      <c r="V7" s="292">
        <v>3.5999999999999997E-2</v>
      </c>
      <c r="W7" s="292">
        <v>3.5999999999999997E-2</v>
      </c>
      <c r="X7" s="292">
        <v>3.5999999999999997E-2</v>
      </c>
    </row>
    <row r="8" spans="10:24">
      <c r="R8" s="182" t="s">
        <v>57</v>
      </c>
      <c r="S8" s="183" t="s">
        <v>754</v>
      </c>
      <c r="T8" s="292">
        <v>1.4E-2</v>
      </c>
      <c r="U8" s="292">
        <v>0.02</v>
      </c>
      <c r="V8" s="292">
        <v>0.02</v>
      </c>
      <c r="W8" s="292">
        <v>0.02</v>
      </c>
      <c r="X8" s="292">
        <v>0.02</v>
      </c>
    </row>
    <row r="9" spans="10:24">
      <c r="R9" s="182" t="s">
        <v>757</v>
      </c>
      <c r="S9" s="183" t="s">
        <v>753</v>
      </c>
      <c r="T9" s="292">
        <v>0.02</v>
      </c>
      <c r="U9" s="292">
        <v>0.02</v>
      </c>
      <c r="V9" s="292">
        <v>0.02</v>
      </c>
      <c r="W9" s="292">
        <v>0.02</v>
      </c>
      <c r="X9" s="292">
        <v>0.02</v>
      </c>
    </row>
    <row r="10" spans="10:24">
      <c r="R10" s="182" t="s">
        <v>757</v>
      </c>
      <c r="S10" s="183" t="s">
        <v>754</v>
      </c>
      <c r="T10" s="292">
        <v>0.02</v>
      </c>
      <c r="U10" s="292">
        <v>0.02</v>
      </c>
      <c r="V10" s="292">
        <v>0.02</v>
      </c>
      <c r="W10" s="292">
        <v>0.02</v>
      </c>
      <c r="X10" s="292">
        <v>0.02</v>
      </c>
    </row>
    <row r="11" spans="10:24">
      <c r="R11" s="182" t="s">
        <v>757</v>
      </c>
      <c r="S11" s="183" t="s">
        <v>85</v>
      </c>
      <c r="T11" s="292">
        <v>7.0000000000000007E-2</v>
      </c>
      <c r="U11" s="292">
        <v>0.2</v>
      </c>
      <c r="V11" s="292">
        <v>0.2</v>
      </c>
      <c r="W11" s="292">
        <v>0.12</v>
      </c>
      <c r="X11" s="292">
        <v>0.12</v>
      </c>
    </row>
    <row r="12" spans="10:24">
      <c r="R12" s="626"/>
      <c r="S12" s="626"/>
      <c r="T12" s="300"/>
      <c r="U12" s="535"/>
      <c r="V12" s="300"/>
      <c r="W12" s="300"/>
      <c r="X12" s="300"/>
    </row>
  </sheetData>
  <mergeCells count="1">
    <mergeCell ref="R12:S1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E s t a d o s D e R e s u l t a d o s " > < C u s t o m C o n t e n t > < ! [ C D A T A [ < T a b l e W i d g e t G r i d S e r i a l i z a t i o n   x m l n s : x s i = " h t t p : / / w w w . w 3 . o r g / 2 0 0 1 / X M L S c h e m a - i n s t a n c e "   x m l n s : x s d = " h t t p : / / w w w . w 3 . o r g / 2 0 0 1 / X M L S c h e m a " > < C o l u m n S u g g e s t e d T y p e   / > < C o l u m n F o r m a t   / > < C o l u m n A c c u r a c y   / > < C o l u m n C u r r e n c y S y m b o l   / > < C o l u m n P o s i t i v e P a t t e r n   / > < C o l u m n N e g a t i v e P a t t e r n   / > < C o l u m n W i d t h s > < i t e m > < k e y > < s t r i n g > O r d e n < / s t r i n g > < / k e y > < v a l u e > < i n t > 1 4 0 < / i n t > < / v a l u e > < / i t e m > < i t e m > < k e y > < s t r i n g > E s t a d o s   d e   R e s u l t a d o s   C o n s o l i d a d o s < / s t r i n g > < / k e y > < v a l u e > < i n t > 5 0 7 < / i n t > < / v a l u e > < / i t e m > < i t e m > < k e y > < s t r i n g > 2 0 1 3 < / s t r i n g > < / k e y > < v a l u e > < i n t > 1 2 3 < / i n t > < / v a l u e > < / i t e m > < i t e m > < k e y > < s t r i n g > 2 0 1 4 < / s t r i n g > < / k e y > < v a l u e > < i n t > 1 2 3 < / i n t > < / v a l u e > < / i t e m > < i t e m > < k e y > < s t r i n g > 2 0 1 5 < / s t r i n g > < / k e y > < v a l u e > < i n t > 1 2 3 < / i n t > < / v a l u e > < / i t e m > < i t e m > < k e y > < s t r i n g > 2 0 1 6 < / s t r i n g > < / k e y > < v a l u e > < i n t > 1 2 3 < / i n t > < / v a l u e > < / i t e m > < i t e m > < k e y > < s t r i n g > 2 0 1 7 < / s t r i n g > < / k e y > < v a l u e > < i n t > 1 2 3 < / i n t > < / v a l u e > < / i t e m > < i t e m > < k e y > < s t r i n g > %   V a r i a c i � n   2 0 1 3 v s 2 0 1 4 < / s t r i n g > < / k e y > < v a l u e > < i n t > 3 5 6 < / i n t > < / v a l u e > < / i t e m > < i t e m > < k e y > < s t r i n g > V a r i a c i o n     2 0 1 3 v s 2 0 1 4 < / s t r i n g > < / k e y > < v a l u e > < i n t > 3 3 5 < / i n t > < / v a l u e > < / i t e m > < i t e m > < k e y > < s t r i n g > %   V a r i a c i o n   2 0 1 4 v s 2 0 1 5 < / s t r i n g > < / k e y > < v a l u e > < i n t > 3 5 6 < / i n t > < / v a l u e > < / i t e m > < i t e m > < k e y > < s t r i n g > V a r i a c i � n   2 0 1 4 v s 2 0 1 5 < / s t r i n g > < / k e y > < v a l u e > < i n t > 3 2 8 < / i n t > < / v a l u e > < / i t e m > < i t e m > < k e y > < s t r i n g > %   V a r i a c i o n   2 0 1 5 v s 2 0 1 6 < / s t r i n g > < / k e y > < v a l u e > < i n t > 3 5 6 < / i n t > < / v a l u e > < / i t e m > < i t e m > < k e y > < s t r i n g > V a r i a c i o n   2 0 1 5 v s 2 0 1 6 < / s t r i n g > < / k e y > < v a l u e > < i n t > 3 2 8 < / i n t > < / v a l u e > < / i t e m > < i t e m > < k e y > < s t r i n g > %   V a r i a c i o n   2 0 1 6 v s 2 0 1 7 < / s t r i n g > < / k e y > < v a l u e > < i n t > 3 5 6 < / i n t > < / v a l u e > < / i t e m > < i t e m > < k e y > < s t r i n g > V a r i a c i o n   2 0 1 6 v s 2 0 1 7 < / s t r i n g > < / k e y > < v a l u e > < i n t > 3 2 8 < / i n t > < / v a l u e > < / i t e m > < i t e m > < k e y > < s t r i n g > %   P a r t   2 0 1 3 < / s t r i n g > < / k e y > < v a l u e > < i n t > 2 0 7 < / i n t > < / v a l u e > < / i t e m > < i t e m > < k e y > < s t r i n g > %   P a r t   2 0 1 4 < / s t r i n g > < / k e y > < v a l u e > < i n t > 2 0 7 < / i n t > < / v a l u e > < / i t e m > < i t e m > < k e y > < s t r i n g > %   P a r t   2 0 1 5 < / s t r i n g > < / k e y > < v a l u e > < i n t > 2 0 7 < / i n t > < / v a l u e > < / i t e m > < i t e m > < k e y > < s t r i n g > %   P a r t   2 0 1 6 < / s t r i n g > < / k e y > < v a l u e > < i n t > 2 0 7 < / i n t > < / v a l u e > < / i t e m > < i t e m > < k e y > < s t r i n g > %   P a r t   2 0 1 7 < / s t r i n g > < / k e y > < v a l u e > < i n t > 2 0 7 < / i n t > < / v a l u e > < / i t e m > < / C o l u m n W i d t h s > < C o l u m n D i s p l a y I n d e x > < i t e m > < k e y > < s t r i n g > O r d e n < / s t r i n g > < / k e y > < v a l u e > < i n t > 0 < / i n t > < / v a l u e > < / i t e m > < i t e m > < k e y > < s t r i n g > E s t a d o s   d e   R e s u l t a d o s   C o n s o l i d a d o s < / s t r i n g > < / k e y > < v a l u e > < i n t > 1 < / i n t > < / v a l u e > < / i t e m > < i t e m > < k e y > < s t r i n g > 2 0 1 3 < / s t r i n g > < / k e y > < v a l u e > < i n t > 2 < / i n t > < / v a l u e > < / i t e m > < i t e m > < k e y > < s t r i n g > 2 0 1 4 < / s t r i n g > < / k e y > < v a l u e > < i n t > 3 < / i n t > < / v a l u e > < / i t e m > < i t e m > < k e y > < s t r i n g > 2 0 1 5 < / s t r i n g > < / k e y > < v a l u e > < i n t > 4 < / i n t > < / v a l u e > < / i t e m > < i t e m > < k e y > < s t r i n g > 2 0 1 6 < / s t r i n g > < / k e y > < v a l u e > < i n t > 5 < / i n t > < / v a l u e > < / i t e m > < i t e m > < k e y > < s t r i n g > 2 0 1 7 < / s t r i n g > < / k e y > < v a l u e > < i n t > 6 < / i n t > < / v a l u e > < / i t e m > < i t e m > < k e y > < s t r i n g > %   V a r i a c i � n   2 0 1 3 v s 2 0 1 4 < / s t r i n g > < / k e y > < v a l u e > < i n t > 7 < / i n t > < / v a l u e > < / i t e m > < i t e m > < k e y > < s t r i n g > V a r i a c i o n     2 0 1 3 v s 2 0 1 4 < / s t r i n g > < / k e y > < v a l u e > < i n t > 8 < / i n t > < / v a l u e > < / i t e m > < i t e m > < k e y > < s t r i n g > %   V a r i a c i o n   2 0 1 4 v s 2 0 1 5 < / s t r i n g > < / k e y > < v a l u e > < i n t > 9 < / i n t > < / v a l u e > < / i t e m > < i t e m > < k e y > < s t r i n g > V a r i a c i � n   2 0 1 4 v s 2 0 1 5 < / s t r i n g > < / k e y > < v a l u e > < i n t > 1 0 < / i n t > < / v a l u e > < / i t e m > < i t e m > < k e y > < s t r i n g > %   V a r i a c i o n   2 0 1 5 v s 2 0 1 6 < / s t r i n g > < / k e y > < v a l u e > < i n t > 1 1 < / i n t > < / v a l u e > < / i t e m > < i t e m > < k e y > < s t r i n g > V a r i a c i o n   2 0 1 5 v s 2 0 1 6 < / s t r i n g > < / k e y > < v a l u e > < i n t > 1 2 < / i n t > < / v a l u e > < / i t e m > < i t e m > < k e y > < s t r i n g > %   V a r i a c i o n   2 0 1 6 v s 2 0 1 7 < / s t r i n g > < / k e y > < v a l u e > < i n t > 1 3 < / i n t > < / v a l u e > < / i t e m > < i t e m > < k e y > < s t r i n g > V a r i a c i o n   2 0 1 6 v s 2 0 1 7 < / s t r i n g > < / k e y > < v a l u e > < i n t > 1 4 < / i n t > < / v a l u e > < / i t e m > < i t e m > < k e y > < s t r i n g > %   P a r t   2 0 1 3 < / s t r i n g > < / k e y > < v a l u e > < i n t > 1 5 < / i n t > < / v a l u e > < / i t e m > < i t e m > < k e y > < s t r i n g > %   P a r t   2 0 1 4 < / s t r i n g > < / k e y > < v a l u e > < i n t > 1 6 < / i n t > < / v a l u e > < / i t e m > < i t e m > < k e y > < s t r i n g > %   P a r t   2 0 1 5 < / s t r i n g > < / k e y > < v a l u e > < i n t > 1 7 < / i n t > < / v a l u e > < / i t e m > < i t e m > < k e y > < s t r i n g > %   P a r t   2 0 1 6 < / s t r i n g > < / k e y > < v a l u e > < i n t > 1 8 < / i n t > < / v a l u e > < / i t e m > < i t e m > < k e y > < s t r i n g > %   P a r t   2 0 1 7 < / s t r i n g > < / k e y > < v a l u e > < i n t > 1 9 < / 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I s S a n d b o x E m b e d d e d " > < C u s t o m C o n t e n t > < ! [ C D A T A [ y e s ] ] > < / 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C l i e n t W i n d o w X M L " > < C u s t o m C o n t e n t > < ! [ C D A T A [ B a l a n c e G e n e r a l P i v o t _ _ 2 ] ] > < / 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 B a l a n c e G e n e r a l 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 B a l a n c e G e n e r a l 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 C o l u m n s \ T i p o   C u e n t a < / K e y > < / a : K e y > < a : V a l u e   i : t y p e = " T a b l e W i d g e t B a s e V i e w S t a t e " / > < / a : K e y V a l u e O f D i a g r a m O b j e c t K e y a n y T y p e z b w N T n L X > < a : K e y V a l u e O f D i a g r a m O b j e c t K e y a n y T y p e z b w N T n L X > < a : K e y > < K e y > C o l u m n s \ C u e n t a < / K e y > < / a : K e y > < a : V a l u e   i : t y p e = " T a b l e W i d g e t B a s e V i e w S t a t e " / > < / a : K e y V a l u e O f D i a g r a m O b j e c t K e y a n y T y p e z b w N T n L X > < a : K e y V a l u e O f D i a g r a m O b j e c t K e y a n y T y p e z b w N T n L X > < a : K e y > < K e y > C o l u m n s \ 2 0 1 3 < / K e y > < / a : K e y > < a : V a l u e   i : t y p e = " T a b l e W i d g e t B a s e V i e w S t a t e " / > < / a : K e y V a l u e O f D i a g r a m O b j e c t K e y a n y T y p e z b w N T n L X > < a : K e y V a l u e O f D i a g r a m O b j e c t K e y a n y T y p e z b w N T n L X > < a : K e y > < K e y > C o l u m n s \ 2 0 1 4 < / K e y > < / a : K e y > < a : V a l u e   i : t y p e = " T a b l e W i d g e t B a s e V i e w S t a t e " / > < / a : K e y V a l u e O f D i a g r a m O b j e c t K e y a n y T y p e z b w N T n L X > < a : K e y V a l u e O f D i a g r a m O b j e c t K e y a n y T y p e z b w N T n L X > < a : K e y > < K e y > C o l u m n s \ 2 0 1 5 < / 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 C o l u m n s \ T e n d e n c i a < / K e y > < / a : K e y > < a : V a l u e   i : t y p e = " T a b l e W i d g e t B a s e V i e w S t a t e " / > < / a : K e y V a l u e O f D i a g r a m O b j e c t K e y a n y T y p e z b w N T n L X > < a : K e y V a l u e O f D i a g r a m O b j e c t K e y a n y T y p e z b w N T n L X > < a : K e y > < K e y > C o l u m n s \ A n a l i s i s   V e r t i c a l   2 0 1 3 < / K e y > < / a : K e y > < a : V a l u e   i : t y p e = " T a b l e W i d g e t B a s e V i e w S t a t e " / > < / a : K e y V a l u e O f D i a g r a m O b j e c t K e y a n y T y p e z b w N T n L X > < a : K e y V a l u e O f D i a g r a m O b j e c t K e y a n y T y p e z b w N T n L X > < a : K e y > < K e y > C o l u m n s \ A n a l i s i s   V e r t i c a l   2 0 1 4 < / K e y > < / a : K e y > < a : V a l u e   i : t y p e = " T a b l e W i d g e t B a s e V i e w S t a t e " / > < / a : K e y V a l u e O f D i a g r a m O b j e c t K e y a n y T y p e z b w N T n L X > < a : K e y V a l u e O f D i a g r a m O b j e c t K e y a n y T y p e z b w N T n L X > < a : K e y > < K e y > C o l u m n s \ A n a l i s i s   V e r t i c a l   2 0 1 5 < / K e y > < / a : K e y > < a : V a l u e   i : t y p e = " T a b l e W i d g e t B a s e V i e w S t a t e " / > < / a : K e y V a l u e O f D i a g r a m O b j e c t K e y a n y T y p e z b w N T n L X > < a : K e y V a l u e O f D i a g r a m O b j e c t K e y a n y T y p e z b w N T n L X > < a : K e y > < K e y > C o l u m n s \ A n a l i s i s   V e r t i c a l   2 0 1 6 < / K e y > < / a : K e y > < a : V a l u e   i : t y p e = " T a b l e W i d g e t B a s e V i e w S t a t e " / > < / a : K e y V a l u e O f D i a g r a m O b j e c t K e y a n y T y p e z b w N T n L X > < a : K e y V a l u e O f D i a g r a m O b j e c t K e y a n y T y p e z b w N T n L X > < a : K e y > < K e y > C o l u m n s \ A n a l i s i s   V e r t i c a l   2 0 1 7 < / K e y > < / a : K e y > < a : V a l u e   i : t y p e = " T a b l e W i d g e t B a s e V i e w S t a t e " / > < / a : K e y V a l u e O f D i a g r a m O b j e c t K e y a n y T y p e z b w N T n L X > < a : K e y V a l u e O f D i a g r a m O b j e c t K e y a n y T y p e z b w N T n L X > < a : K e y > < K e y > C o l u m n s \ %   V a r i a c i � n   2 0 1 3 v s 2 0 1 4 < / K e y > < / a : K e y > < a : V a l u e   i : t y p e = " T a b l e W i d g e t B a s e V i e w S t a t e " / > < / a : K e y V a l u e O f D i a g r a m O b j e c t K e y a n y T y p e z b w N T n L X > < a : K e y V a l u e O f D i a g r a m O b j e c t K e y a n y T y p e z b w N T n L X > < a : K e y > < K e y > C o l u m n s \ %   V a r i a c i � n   2 0 1 4 v s 2 ' 0 1 5 < / K e y > < / a : K e y > < a : V a l u e   i : t y p e = " T a b l e W i d g e t B a s e V i e w S t a t e " / > < / a : K e y V a l u e O f D i a g r a m O b j e c t K e y a n y T y p e z b w N T n L X > < a : K e y V a l u e O f D i a g r a m O b j e c t K e y a n y T y p e z b w N T n L X > < a : K e y > < K e y > C o l u m n s \ %   V a r i a c i � n   2 0 1 5 v s 2 0 1 6 < / K e y > < / a : K e y > < a : V a l u e   i : t y p e = " T a b l e W i d g e t B a s e V i e w S t a t e " / > < / a : K e y V a l u e O f D i a g r a m O b j e c t K e y a n y T y p e z b w N T n L X > < a : K e y V a l u e O f D i a g r a m O b j e c t K e y a n y T y p e z b w N T n L X > < a : K e y > < K e y > C o l u m n s \ %   V a r i a c i � n   2 0 1 6 v s 2 0 1 7 < / K e y > < / a : K e y > < a : V a l u e   i : t y p e = " T a b l e W i d g e t B a s e V i e w S t a t e " / > < / a : K e y V a l u e O f D i a g r a m O b j e c t K e y a n y T y p e z b w N T n L X > < a : K e y V a l u e O f D i a g r a m O b j e c t K e y a n y T y p e z b w N T n L X > < a : K e y > < K e y > C o l u m n s \ T e n d e n c i a 2 < / K e y > < / a : K e y > < a : V a l u e   i : t y p e = " T a b l e W i d g e t B a s e V i e w S t a t e " / > < / a : K e y V a l u e O f D i a g r a m O b j e c t K e y a n y T y p e z b w N T n L X > < a : K e y V a l u e O f D i a g r a m O b j e c t K e y a n y T y p e z b w N T n L X > < a : K e y > < K e y > C o l u m n s \ V a r i a c i � n   2 0 1 3 v s 2 0 1 4 < / K e y > < / a : K e y > < a : V a l u e   i : t y p e = " T a b l e W i d g e t B a s e V i e w S t a t e " / > < / a : K e y V a l u e O f D i a g r a m O b j e c t K e y a n y T y p e z b w N T n L X > < a : K e y V a l u e O f D i a g r a m O b j e c t K e y a n y T y p e z b w N T n L X > < a : K e y > < K e y > C o l u m n s \ V a r i a c i � n   2 0 1 4 v s 2 ' 0 1 5 < / K e y > < / a : K e y > < a : V a l u e   i : t y p e = " T a b l e W i d g e t B a s e V i e w S t a t e " / > < / a : K e y V a l u e O f D i a g r a m O b j e c t K e y a n y T y p e z b w N T n L X > < a : K e y V a l u e O f D i a g r a m O b j e c t K e y a n y T y p e z b w N T n L X > < a : K e y > < K e y > C o l u m n s \ V a r i a c i � n   2 0 1 5 v s 2 0 1 6 < / K e y > < / a : K e y > < a : V a l u e   i : t y p e = " T a b l e W i d g e t B a s e V i e w S t a t e " / > < / a : K e y V a l u e O f D i a g r a m O b j e c t K e y a n y T y p e z b w N T n L X > < a : K e y V a l u e O f D i a g r a m O b j e c t K e y a n y T y p e z b w N T n L X > < a : K e y > < K e y > C o l u m n s \ V a r i a c i � n     2 0 1 6 v s 2 0 1 7 < / 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 C o l u m n s \ A � o s 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 E s t a d o s D e R e s u l t a d o s A n a l V e r t i c a l 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 E s t a d o s D e R e s u l t a d o s A n a l V e r t i c a l 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 C o l u m n s \ O r d e n < / K e y > < / a : K e y > < a : V a l u e   i : t y p e = " T a b l e W i d g e t B a s e V i e w S t a t e " / > < / a : K e y V a l u e O f D i a g r a m O b j e c t K e y a n y T y p e z b w N T n L X > < a : K e y V a l u e O f D i a g r a m O b j e c t K e y a n y T y p e z b w N T n L X > < a : K e y > < K e y > C o l u m n s \ E s t a d o s   d e   R e s u l t a d o s   C o n s o l i d a d o s < / 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 E s t a d o s D e R e s u l t a d o s 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 E s t a d o s D e R e s u l t a d o s 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 C o l u m n s \ O r d e n < / K e y > < / a : K e y > < a : V a l u e   i : t y p e = " T a b l e W i d g e t B a s e V i e w S t a t e " / > < / a : K e y V a l u e O f D i a g r a m O b j e c t K e y a n y T y p e z b w N T n L X > < a : K e y V a l u e O f D i a g r a m O b j e c t K e y a n y T y p e z b w N T n L X > < a : K e y > < K e y > C o l u m n s \ E s t a d o s   d e   R e s u l t a d o s   C o n s o l i d a d o s < / K e y > < / a : K e y > < a : V a l u e   i : t y p e = " T a b l e W i d g e t B a s e V i e w S t a t e " / > < / a : K e y V a l u e O f D i a g r a m O b j e c t K e y a n y T y p e z b w N T n L X > < a : K e y V a l u e O f D i a g r a m O b j e c t K e y a n y T y p e z b w N T n L X > < a : K e y > < K e y > C o l u m n s \ 2 0 1 3 < / K e y > < / a : K e y > < a : V a l u e   i : t y p e = " T a b l e W i d g e t B a s e V i e w S t a t e " / > < / a : K e y V a l u e O f D i a g r a m O b j e c t K e y a n y T y p e z b w N T n L X > < a : K e y V a l u e O f D i a g r a m O b j e c t K e y a n y T y p e z b w N T n L X > < a : K e y > < K e y > C o l u m n s \ 2 0 1 4 < / K e y > < / a : K e y > < a : V a l u e   i : t y p e = " T a b l e W i d g e t B a s e V i e w S t a t e " / > < / a : K e y V a l u e O f D i a g r a m O b j e c t K e y a n y T y p e z b w N T n L X > < a : K e y V a l u e O f D i a g r a m O b j e c t K e y a n y T y p e z b w N T n L X > < a : K e y > < K e y > C o l u m n s \ 2 0 1 5 < / 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  V a r i a c i � n   2 0 1 3 v s 2 0 1 4 < / K e y > < / a : K e y > < a : V a l u e   i : t y p e = " T a b l e W i d g e t B a s e V i e w S t a t e " / > < / a : K e y V a l u e O f D i a g r a m O b j e c t K e y a n y T y p e z b w N T n L X > < a : K e y V a l u e O f D i a g r a m O b j e c t K e y a n y T y p e z b w N T n L X > < a : K e y > < K e y > C o l u m n s \ V a r i a c i o n     2 0 1 3 v s 2 0 1 4 < / K e y > < / a : K e y > < a : V a l u e   i : t y p e = " T a b l e W i d g e t B a s e V i e w S t a t e " / > < / a : K e y V a l u e O f D i a g r a m O b j e c t K e y a n y T y p e z b w N T n L X > < a : K e y V a l u e O f D i a g r a m O b j e c t K e y a n y T y p e z b w N T n L X > < a : K e y > < K e y > C o l u m n s \ %   V a r i a c i o n   2 0 1 4 v s 2 0 1 5 < / K e y > < / a : K e y > < a : V a l u e   i : t y p e = " T a b l e W i d g e t B a s e V i e w S t a t e " / > < / a : K e y V a l u e O f D i a g r a m O b j e c t K e y a n y T y p e z b w N T n L X > < a : K e y V a l u e O f D i a g r a m O b j e c t K e y a n y T y p e z b w N T n L X > < a : K e y > < K e y > C o l u m n s \ V a r i a c i � n   2 0 1 4 v s 2 0 1 5 < / K e y > < / a : K e y > < a : V a l u e   i : t y p e = " T a b l e W i d g e t B a s e V i e w S t a t e " / > < / a : K e y V a l u e O f D i a g r a m O b j e c t K e y a n y T y p e z b w N T n L X > < a : K e y V a l u e O f D i a g r a m O b j e c t K e y a n y T y p e z b w N T n L X > < a : K e y > < K e y > C o l u m n s \ %   V a r i a c i o n   2 0 1 5 v s 2 0 1 6 < / K e y > < / a : K e y > < a : V a l u e   i : t y p e = " T a b l e W i d g e t B a s e V i e w S t a t e " / > < / a : K e y V a l u e O f D i a g r a m O b j e c t K e y a n y T y p e z b w N T n L X > < a : K e y V a l u e O f D i a g r a m O b j e c t K e y a n y T y p e z b w N T n L X > < a : K e y > < K e y > C o l u m n s \ V a r i a c i o n   2 0 1 5 v s 2 0 1 6 < / K e y > < / a : K e y > < a : V a l u e   i : t y p e = " T a b l e W i d g e t B a s e V i e w S t a t e " / > < / a : K e y V a l u e O f D i a g r a m O b j e c t K e y a n y T y p e z b w N T n L X > < a : K e y V a l u e O f D i a g r a m O b j e c t K e y a n y T y p e z b w N T n L X > < a : K e y > < K e y > C o l u m n s \ %   V a r i a c i o n   2 0 1 6 v s 2 0 1 7 < / K e y > < / a : K e y > < a : V a l u e   i : t y p e = " T a b l e W i d g e t B a s e V i e w S t a t e " / > < / a : K e y V a l u e O f D i a g r a m O b j e c t K e y a n y T y p e z b w N T n L X > < a : K e y V a l u e O f D i a g r a m O b j e c t K e y a n y T y p e z b w N T n L X > < a : K e y > < K e y > C o l u m n s \ V a r i a c i o n   2 0 1 6 v s 2 0 1 7 < / K e y > < / a : K e y > < a : V a l u e   i : t y p e = " T a b l e W i d g e t B a s e V i e w S t a t e " / > < / a : K e y V a l u e O f D i a g r a m O b j e c t K e y a n y T y p e z b w N T n L X > < a : K e y V a l u e O f D i a g r a m O b j e c t K e y a n y T y p e z b w N T n L X > < a : K e y > < K e y > C o l u m n s \ %   P a r t   2 0 1 3 < / K e y > < / a : K e y > < a : V a l u e   i : t y p e = " T a b l e W i d g e t B a s e V i e w S t a t e " / > < / a : K e y V a l u e O f D i a g r a m O b j e c t K e y a n y T y p e z b w N T n L X > < a : K e y V a l u e O f D i a g r a m O b j e c t K e y a n y T y p e z b w N T n L X > < a : K e y > < K e y > C o l u m n s \ %   P a r t   2 0 1 4 < / K e y > < / a : K e y > < a : V a l u e   i : t y p e = " T a b l e W i d g e t B a s e V i e w S t a t e " / > < / a : K e y V a l u e O f D i a g r a m O b j e c t K e y a n y T y p e z b w N T n L X > < a : K e y V a l u e O f D i a g r a m O b j e c t K e y a n y T y p e z b w N T n L X > < a : K e y > < K e y > C o l u m n s \ %   P a r t   2 0 1 5 < / K e y > < / a : K e y > < a : V a l u e   i : t y p e = " T a b l e W i d g e t B a s e V i e w S t a t e " / > < / a : K e y V a l u e O f D i a g r a m O b j e c t K e y a n y T y p e z b w N T n L X > < a : K e y V a l u e O f D i a g r a m O b j e c t K e y a n y T y p e z b w N T n L X > < a : K e y > < K e y > C o l u m n s \ %   P a r t   2 0 1 6 < / K e y > < / a : K e y > < a : V a l u e   i : t y p e = " T a b l e W i d g e t B a s e V i e w S t a t e " / > < / a : K e y V a l u e O f D i a g r a m O b j e c t K e y a n y T y p e z b w N T n L X > < a : K e y V a l u e O f D i a g r a m O b j e c t K e y a n y T y p e z b w N T n L X > < a : K e y > < K e y > C o l u m n s \ %   P a r t   2 0 1 7 < / 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 B a l a n c e G e n e r a l P i v o t _ _ 2 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 B a l a n c e G e n e r a l P i v o t _ _ 2 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 C o l u m n s \ T i p o   C u e n t a < / K e y > < / a : K e y > < a : V a l u e   i : t y p e = " T a b l e W i d g e t B a s e V i e w S t a t e " / > < / a : K e y V a l u e O f D i a g r a m O b j e c t K e y a n y T y p e z b w N T n L X > < a : K e y V a l u e O f D i a g r a m O b j e c t K e y a n y T y p e z b w N T n L X > < a : K e y > < K e y > C o l u m n s \ C u e n t a < / 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T a b l e X M L _ B a l a n c e G e n e r a l " > < C u s t o m C o n t e n t > < ! [ C D A T A [ < T a b l e W i d g e t G r i d S e r i a l i z a t i o n   x m l n s : x s i = " h t t p : / / w w w . w 3 . o r g / 2 0 0 1 / X M L S c h e m a - i n s t a n c e "   x m l n s : x s d = " h t t p : / / w w w . w 3 . o r g / 2 0 0 1 / X M L S c h e m a " > < C o l u m n S u g g e s t e d T y p e   / > < C o l u m n F o r m a t   / > < C o l u m n A c c u r a c y   / > < C o l u m n C u r r e n c y S y m b o l   / > < C o l u m n P o s i t i v e P a t t e r n   / > < C o l u m n N e g a t i v e P a t t e r n   / > < C o l u m n W i d t h s > < i t e m > < k e y > < s t r i n g > T i p o   C u e n t a < / s t r i n g > < / k e y > < v a l u e > < i n t > 2 1 1 < / i n t > < / v a l u e > < / i t e m > < i t e m > < k e y > < s t r i n g > C u e n t a < / s t r i n g > < / k e y > < v a l u e > < i n t > 1 5 0 < / i n t > < / v a l u e > < / i t e m > < i t e m > < k e y > < s t r i n g > 2 0 1 3 < / s t r i n g > < / k e y > < v a l u e > < i n t > 1 2 3 < / i n t > < / v a l u e > < / i t e m > < i t e m > < k e y > < s t r i n g > 2 0 1 4 < / s t r i n g > < / k e y > < v a l u e > < i n t > 1 2 3 < / i n t > < / v a l u e > < / i t e m > < i t e m > < k e y > < s t r i n g > 2 0 1 5 < / s t r i n g > < / k e y > < v a l u e > < i n t > 1 2 3 < / i n t > < / v a l u e > < / i t e m > < i t e m > < k e y > < s t r i n g > 2 0 1 6 < / s t r i n g > < / k e y > < v a l u e > < i n t > 1 2 3 < / i n t > < / v a l u e > < / i t e m > < i t e m > < k e y > < s t r i n g > 2 0 1 7 < / s t r i n g > < / k e y > < v a l u e > < i n t > 1 2 3 < / i n t > < / v a l u e > < / i t e m > < i t e m > < k e y > < s t r i n g > T e n d e n c i a < / s t r i n g > < / k e y > < v a l u e > < i n t > 1 8 7 < / i n t > < / v a l u e > < / i t e m > < i t e m > < k e y > < s t r i n g > A n a l i s i s   V e r t i c a l   2 0 1 3 < / s t r i n g > < / k e y > < v a l u e > < i n t > 3 2 1 < / i n t > < / v a l u e > < / i t e m > < i t e m > < k e y > < s t r i n g > A n a l i s i s   V e r t i c a l   2 0 1 4 < / s t r i n g > < / k e y > < v a l u e > < i n t > 3 2 1 < / i n t > < / v a l u e > < / i t e m > < i t e m > < k e y > < s t r i n g > A n a l i s i s   V e r t i c a l   2 0 1 5 < / s t r i n g > < / k e y > < v a l u e > < i n t > 3 2 1 < / i n t > < / v a l u e > < / i t e m > < i t e m > < k e y > < s t r i n g > A n a l i s i s   V e r t i c a l   2 0 1 6 < / s t r i n g > < / k e y > < v a l u e > < i n t > 3 2 1 < / i n t > < / v a l u e > < / i t e m > < i t e m > < k e y > < s t r i n g > A n a l i s i s   V e r t i c a l   2 0 1 7 < / s t r i n g > < / k e y > < v a l u e > < i n t > 3 2 1 < / i n t > < / v a l u e > < / i t e m > < i t e m > < k e y > < s t r i n g > %   V a r i a c i � n   2 0 1 3 v s 2 0 1 4 < / s t r i n g > < / k e y > < v a l u e > < i n t > 3 5 6 < / i n t > < / v a l u e > < / i t e m > < i t e m > < k e y > < s t r i n g > %   V a r i a c i � n   2 0 1 4 v s 2 ' 0 1 5 < / s t r i n g > < / k e y > < v a l u e > < i n t > 3 6 3 < / i n t > < / v a l u e > < / i t e m > < i t e m > < k e y > < s t r i n g > %   V a r i a c i � n   2 0 1 5 v s 2 0 1 6 < / s t r i n g > < / k e y > < v a l u e > < i n t > 3 5 6 < / i n t > < / v a l u e > < / i t e m > < i t e m > < k e y > < s t r i n g > %   V a r i a c i � n   2 0 1 6 v s 2 0 1 7 < / s t r i n g > < / k e y > < v a l u e > < i n t > 3 5 6 < / i n t > < / v a l u e > < / i t e m > < i t e m > < k e y > < s t r i n g > T e n d e n c i a 2 < / s t r i n g > < / k e y > < v a l u e > < i n t > 2 0 2 < / i n t > < / v a l u e > < / i t e m > < i t e m > < k e y > < s t r i n g > V a r i a c i � n   2 0 1 3 v s 2 0 1 4 < / s t r i n g > < / k e y > < v a l u e > < i n t > 3 2 8 < / i n t > < / v a l u e > < / i t e m > < i t e m > < k e y > < s t r i n g > V a r i a c i � n   2 0 1 4 v s 2 ' 0 1 5 < / s t r i n g > < / k e y > < v a l u e > < i n t > 3 3 5 < / i n t > < / v a l u e > < / i t e m > < i t e m > < k e y > < s t r i n g > V a r i a c i � n   2 0 1 5 v s 2 0 1 6 < / s t r i n g > < / k e y > < v a l u e > < i n t > 3 2 8 < / i n t > < / v a l u e > < / i t e m > < i t e m > < k e y > < s t r i n g > V a r i a c i � n     2 0 1 6 v s 2 0 1 7 < / s t r i n g > < / k e y > < v a l u e > < i n t > 3 3 5 < / i n t > < / v a l u e > < / i t e m > < / C o l u m n W i d t h s > < C o l u m n D i s p l a y I n d e x > < i t e m > < k e y > < s t r i n g > T i p o   C u e n t a < / s t r i n g > < / k e y > < v a l u e > < i n t > 0 < / i n t > < / v a l u e > < / i t e m > < i t e m > < k e y > < s t r i n g > C u e n t a < / s t r i n g > < / k e y > < v a l u e > < i n t > 1 < / i n t > < / v a l u e > < / i t e m > < i t e m > < k e y > < s t r i n g > 2 0 1 3 < / s t r i n g > < / k e y > < v a l u e > < i n t > 2 < / i n t > < / v a l u e > < / i t e m > < i t e m > < k e y > < s t r i n g > 2 0 1 4 < / s t r i n g > < / k e y > < v a l u e > < i n t > 3 < / i n t > < / v a l u e > < / i t e m > < i t e m > < k e y > < s t r i n g > 2 0 1 5 < / s t r i n g > < / k e y > < v a l u e > < i n t > 4 < / i n t > < / v a l u e > < / i t e m > < i t e m > < k e y > < s t r i n g > 2 0 1 6 < / s t r i n g > < / k e y > < v a l u e > < i n t > 5 < / i n t > < / v a l u e > < / i t e m > < i t e m > < k e y > < s t r i n g > 2 0 1 7 < / s t r i n g > < / k e y > < v a l u e > < i n t > 6 < / i n t > < / v a l u e > < / i t e m > < i t e m > < k e y > < s t r i n g > T e n d e n c i a < / s t r i n g > < / k e y > < v a l u e > < i n t > 7 < / i n t > < / v a l u e > < / i t e m > < i t e m > < k e y > < s t r i n g > A n a l i s i s   V e r t i c a l   2 0 1 3 < / s t r i n g > < / k e y > < v a l u e > < i n t > 8 < / i n t > < / v a l u e > < / i t e m > < i t e m > < k e y > < s t r i n g > A n a l i s i s   V e r t i c a l   2 0 1 4 < / s t r i n g > < / k e y > < v a l u e > < i n t > 9 < / i n t > < / v a l u e > < / i t e m > < i t e m > < k e y > < s t r i n g > A n a l i s i s   V e r t i c a l   2 0 1 5 < / s t r i n g > < / k e y > < v a l u e > < i n t > 1 0 < / i n t > < / v a l u e > < / i t e m > < i t e m > < k e y > < s t r i n g > A n a l i s i s   V e r t i c a l   2 0 1 6 < / s t r i n g > < / k e y > < v a l u e > < i n t > 1 1 < / i n t > < / v a l u e > < / i t e m > < i t e m > < k e y > < s t r i n g > A n a l i s i s   V e r t i c a l   2 0 1 7 < / s t r i n g > < / k e y > < v a l u e > < i n t > 1 2 < / i n t > < / v a l u e > < / i t e m > < i t e m > < k e y > < s t r i n g > %   V a r i a c i � n   2 0 1 3 v s 2 0 1 4 < / s t r i n g > < / k e y > < v a l u e > < i n t > 1 3 < / i n t > < / v a l u e > < / i t e m > < i t e m > < k e y > < s t r i n g > %   V a r i a c i � n   2 0 1 4 v s 2 ' 0 1 5 < / s t r i n g > < / k e y > < v a l u e > < i n t > 1 4 < / i n t > < / v a l u e > < / i t e m > < i t e m > < k e y > < s t r i n g > %   V a r i a c i � n   2 0 1 5 v s 2 0 1 6 < / s t r i n g > < / k e y > < v a l u e > < i n t > 1 5 < / i n t > < / v a l u e > < / i t e m > < i t e m > < k e y > < s t r i n g > %   V a r i a c i � n   2 0 1 6 v s 2 0 1 7 < / s t r i n g > < / k e y > < v a l u e > < i n t > 1 6 < / i n t > < / v a l u e > < / i t e m > < i t e m > < k e y > < s t r i n g > T e n d e n c i a 2 < / s t r i n g > < / k e y > < v a l u e > < i n t > 1 7 < / i n t > < / v a l u e > < / i t e m > < i t e m > < k e y > < s t r i n g > V a r i a c i � n   2 0 1 3 v s 2 0 1 4 < / s t r i n g > < / k e y > < v a l u e > < i n t > 1 8 < / i n t > < / v a l u e > < / i t e m > < i t e m > < k e y > < s t r i n g > V a r i a c i � n   2 0 1 4 v s 2 ' 0 1 5 < / s t r i n g > < / k e y > < v a l u e > < i n t > 1 9 < / i n t > < / v a l u e > < / i t e m > < i t e m > < k e y > < s t r i n g > V a r i a c i � n   2 0 1 5 v s 2 0 1 6 < / s t r i n g > < / k e y > < v a l u e > < i n t > 2 0 < / i n t > < / v a l u e > < / i t e m > < i t e m > < k e y > < s t r i n g > V a r i a c i � n     2 0 1 6 v s 2 0 1 7 < / s t r i n g > < / k e y > < v a l u e > < i n t > 2 1 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E s t a d o s D e R e s u l t a d o s A n a l V e r t i c a l " > < C u s t o m C o n t e n t > < ! [ C D A T A [ < T a b l e W i d g e t G r i d S e r i a l i z a t i o n   x m l n s : x s i = " h t t p : / / w w w . w 3 . o r g / 2 0 0 1 / X M L S c h e m a - i n s t a n c e "   x m l n s : x s d = " h t t p : / / w w w . w 3 . o r g / 2 0 0 1 / X M L S c h e m a " > < C o l u m n S u g g e s t e d T y p e   / > < C o l u m n F o r m a t   / > < C o l u m n A c c u r a c y   / > < C o l u m n C u r r e n c y S y m b o l   / > < C o l u m n P o s i t i v e P a t t e r n   / > < C o l u m n N e g a t i v e P a t t e r n   / > < C o l u m n W i d t h s > < i t e m > < k e y > < s t r i n g > O r d e n < / s t r i n g > < / k e y > < v a l u e > < i n t > 1 4 0 < / i n t > < / v a l u e > < / i t e m > < i t e m > < k e y > < s t r i n g > E s t a d o s   d e   R e s u l t a d o s   C o n s o l i d a d o s < / s t r i n g > < / k e y > < v a l u e > < i n t > 5 0 7 < / i n t > < / v a l u e > < / i t e m > < i t e m > < k e y > < s t r i n g > A � o < / s t r i n g > < / k e y > < v a l u e > < i n t > 1 1 2 < / i n t > < / v a l u e > < / i t e m > < i t e m > < k e y > < s t r i n g > V a l o r < / s t r i n g > < / k e y > < v a l u e > < i n t > 1 2 5 < / i n t > < / v a l u e > < / i t e m > < / C o l u m n W i d t h s > < C o l u m n D i s p l a y I n d e x > < i t e m > < k e y > < s t r i n g > O r d e n < / s t r i n g > < / k e y > < v a l u e > < i n t > 0 < / i n t > < / v a l u e > < / i t e m > < i t e m > < k e y > < s t r i n g > E s t a d o s   d e   R e s u l t a d o s   C o n s o l i d a d o s < / s t r i n g > < / k e y > < v a l u e > < i n t > 1 < / i n t > < / v a l u e > < / i t e m > < i t e m > < k e y > < s t r i n g > A � o < / s t r i n g > < / k e y > < v a l u e > < i n t > 2 < / i n t > < / v a l u e > < / i t e m > < i t e m > < k e y > < s t r i n g > V a l o r < / s t r i n g > < / k e y > < v a l u e > < i n t > 3 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M a n u a l C a l c M o d e " > < C u s t o m C o n t e n t > < ! [ C D A T A [ F a l s e ] ] > < / 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 2 0 1 8 - 1 0 - 1 5 T 2 0 : 1 6 : 5 7 . 1 9 3 7 7 4 9 - 0 5 : 0 0 < / L a s t P r o c e s s e d T i m e > < / D a t a M o d e l i n g S a n d b o x . S e r i a l i z e d S a n d b o x E r r o r C a c h e > ] ] > < / 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 B a l a n c e G e n e r a l < / K e y > < V a l u e   x m l n s : a = " h t t p : / / s c h e m a s . d a t a c o n t r a c t . o r g / 2 0 0 4 / 0 7 / M i c r o s o f t . A n a l y s i s S e r v i c e s . C o m m o n " > < a : H a s F o c u s > t r u e < / a : H a s F o c u s > < a : S i z e A t D p i 9 6 > 1 8 8 < / a : S i z e A t D p i 9 6 > < a : V i s i b l e > t r u e < / a : V i s i b l e > < / V a l u e > < / K e y V a l u e O f s t r i n g S a n d b o x E d i t o r . M e a s u r e G r i d S t a t e S c d E 3 5 R y > < K e y V a l u e O f s t r i n g S a n d b o x E d i t o r . M e a s u r e G r i d S t a t e S c d E 3 5 R y > < K e y > E s t a d o s D e R e s u l t a d o s < / K e y > < V a l u e   x m l n s : a = " h t t p : / / s c h e m a s . d a t a c o n t r a c t . o r g / 2 0 0 4 / 0 7 / M i c r o s o f t . A n a l y s i s S e r v i c e s . C o m m o n " > < a : H a s F o c u s > t r u e < / a : H a s F o c u s > < a : S i z e A t D p i 9 6 > 1 8 8 < / a : S i z e A t D p i 9 6 > < a : V i s i b l e > t r u e < / a : V i s i b l e > < / V a l u e > < / K e y V a l u e O f s t r i n g S a n d b o x E d i t o r . M e a s u r e G r i d S t a t e S c d E 3 5 R y > < K e y V a l u e O f s t r i n g S a n d b o x E d i t o r . M e a s u r e G r i d S t a t e S c d E 3 5 R y > < K e y > A � o < / K e y > < V a l u e   x m l n s : a = " h t t p : / / s c h e m a s . d a t a c o n t r a c t . o r g / 2 0 0 4 / 0 7 / M i c r o s o f t . A n a l y s i s S e r v i c e s . C o m m o n " > < a : H a s F o c u s > t r u e < / a : H a s F o c u s > < a : S i z e A t D p i 9 6 > 1 8 8 < / a : S i z e A t D p i 9 6 > < a : V i s i b l e > t r u e < / a : V i s i b l e > < / V a l u e > < / K e y V a l u e O f s t r i n g S a n d b o x E d i t o r . M e a s u r e G r i d S t a t e S c d E 3 5 R y > < K e y V a l u e O f s t r i n g S a n d b o x E d i t o r . M e a s u r e G r i d S t a t e S c d E 3 5 R y > < K e y > E s t a d o s D e R e s u l t a d o s A n a l V e r t i c a l < / K e y > < V a l u e   x m l n s : a = " h t t p : / / s c h e m a s . d a t a c o n t r a c t . o r g / 2 0 0 4 / 0 7 / M i c r o s o f t . A n a l y s i s S e r v i c e s . C o m m o n " > < a : H a s F o c u s > f a l s e < / a : H a s F o c u s > < a : S i z e A t D p i 9 6 > 1 8 8 < / a : S i z e A t D p i 9 6 > < a : V i s i b l e > t r u e < / a : V i s i b l e > < / V a l u e > < / K e y V a l u e O f s t r i n g S a n d b o x E d i t o r . M e a s u r e G r i d S t a t e S c d E 3 5 R y > < K e y V a l u e O f s t r i n g S a n d b o x E d i t o r . M e a s u r e G r i d S t a t e S c d E 3 5 R y > < K e y > B a l a n c e G e n e r a l P i v o t _ _ 2 < / K e y > < V a l u e   x m l n s : a = " h t t p : / / s c h e m a s . d a t a c o n t r a c t . o r g / 2 0 0 4 / 0 7 / M i c r o s o f t . A n a l y s i s S e r v i c e s . C o m m o n " > < a : H a s F o c u s > t r u e < / a : H a s F o c u s > < a : S i z e A t D p i 9 6 > 1 8 8 < / a : S i z e A t D p i 9 6 > < a : V i s i b l e > t r u e < / a : V i s i b l e > < / V a l u e > < / K e y V a l u e O f s t r i n g S a n d b o x E d i t o r . M e a s u r e G r i d S t a t e S c d E 3 5 R y > < / A r r a y O f K e y V a l u e O f s t r i n g S a n d b o x E d i t o r . M e a s u r e G r i d S t a t e S c d E 3 5 R y > ] ] > < / C u s t o m C o n t e n t > < / G e m i n i > 
</file>

<file path=customXml/item20.xml>��< ? x m l   v e r s i o n = " 1 . 0 "   e n c o d i n g = " U T F - 1 6 " ? > < G e m i n i   x m l n s = " h t t p : / / g e m i n i / p i v o t c u s t o m i z a t i o n / P o w e r P i v o t V e r s i o n " > < C u s t o m C o n t e n t > < ! [ C D A T A [ 2 0 1 5 . 1 3 0 . 8 0 0 . 8 6 9 ] ] > < / C u s t o m C o n t e n t > < / G e m i n i > 
</file>

<file path=customXml/item21.xml>��< ? x m l   v e r s i o n = " 1 . 0 "   e n c o d i n g = " U T F - 1 6 " ? > < G e m i n i   x m l n s = " h t t p : / / g e m i n i / p i v o t c u s t o m i z a t i o n / S h o w H i d d e n " > < C u s t o m C o n t e n t > < ! [ C D A T A [ T r u e ] ] > < / C u s t o m C o n t e n t > < / G e m i n i > 
</file>

<file path=customXml/item3.xml>��< ? x m l   v e r s i o n = " 1 . 0 "   e n c o d i n g = " U T F - 1 6 " ? > < G e m i n i   x m l n s = " h t t p : / / g e m i n i / p i v o t c u s t o m i z a t i o n / S h o w I m p l i c i t M e a s u r e s " > < C u s t o m C o n t e n t > < ! [ C D A T A [ T r u e ] ] > < / C u s t o m C o n t e n t > < / G e m i n i > 
</file>

<file path=customXml/item4.xml>��< ? x m l   v e r s i o n = " 1 . 0 "   e n c o d i n g = " U T F - 1 6 " ? > < G e m i n i   x m l n s = " h t t p : / / g e m i n i / p i v o t c u s t o m i z a t i o n / T a b l e X M L _ A � o " > < C u s t o m C o n t e n t > < ! [ C D A T A [ < T a b l e W i d g e t G r i d S e r i a l i z a t i o n   x m l n s : x s i = " h t t p : / / w w w . w 3 . o r g / 2 0 0 1 / X M L S c h e m a - i n s t a n c e "   x m l n s : x s d = " h t t p : / / w w w . w 3 . o r g / 2 0 0 1 / X M L S c h e m a " > < C o l u m n S u g g e s t e d T y p e   / > < C o l u m n F o r m a t   / > < C o l u m n A c c u r a c y   / > < C o l u m n C u r r e n c y S y m b o l   / > < C o l u m n P o s i t i v e P a t t e r n   / > < C o l u m n N e g a t i v e P a t t e r n   / > < C o l u m n W i d t h s > < i t e m > < k e y > < s t r i n g > A � o s < / s t r i n g > < / k e y > < v a l u e > < i n t > 1 2 4 < / i n t > < / v a l u e > < / i t e m > < / C o l u m n W i d t h s > < C o l u m n D i s p l a y I n d e x > < i t e m > < k e y > < s t r i n g > A � o s < / 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a n d b o x N o n E m p t y " > < C u s t o m C o n t e n t > < ! [ C D A T A [ 1 ] ] > < / C u s t o m C o n t e n t > < / G e m i n i > 
</file>

<file path=customXml/item6.xml>��< ? x m l   v e r s i o n = " 1 . 0 "   e n c o d i n g = " U T F - 1 6 " ? > < G e m i n i   x m l n s = " h t t p : / / g e m i n i / p i v o t c u s t o m i z a t i o n / T a b l e O r d e r " > < C u s t o m C o n t e n t > < ! [ C D A T A [ B a l a n c e G e n e r a l , E s t a d o s D e R e s u l t a d o s , A � o , E s t a d o s D e R e s u l t a d o s A n a l V e r t i c a l , B a l a n c e G e n e r a l P i v o t _ _ 2 ] ] > < / C u s t o m C o n t e n t > < / G e m i n i > 
</file>

<file path=customXml/item7.xml>��< ? x m l   v e r s i o n = " 1 . 0 "   e n c o d i n g = " U T F - 1 6 " ? > < G e m i n i   x m l n s = " h t t p : / / g e m i n i / p i v o t c u s t o m i z a t i o n / T a b l e X M L _ B a l a n c e G e n e r a l P i v o t _ _ 2 " > < C u s t o m C o n t e n t > < ! [ C D A T A [ < T a b l e W i d g e t G r i d S e r i a l i z a t i o n   x m l n s : x s i = " h t t p : / / w w w . w 3 . o r g / 2 0 0 1 / X M L S c h e m a - i n s t a n c e "   x m l n s : x s d = " h t t p : / / w w w . w 3 . o r g / 2 0 0 1 / X M L S c h e m a " > < C o l u m n S u g g e s t e d T y p e   / > < C o l u m n F o r m a t   / > < C o l u m n A c c u r a c y   / > < C o l u m n C u r r e n c y S y m b o l   / > < C o l u m n P o s i t i v e P a t t e r n   / > < C o l u m n N e g a t i v e P a t t e r n   / > < C o l u m n W i d t h s > < i t e m > < k e y > < s t r i n g > T i p o   C u e n t a < / s t r i n g > < / k e y > < v a l u e > < i n t > 2 1 1 < / i n t > < / v a l u e > < / i t e m > < i t e m > < k e y > < s t r i n g > C u e n t a < / s t r i n g > < / k e y > < v a l u e > < i n t > 1 5 0 < / i n t > < / v a l u e > < / i t e m > < i t e m > < k e y > < s t r i n g > a � o < / s t r i n g > < / k e y > < v a l u e > < i n t > 1 0 9 < / i n t > < / v a l u e > < / i t e m > < i t e m > < k e y > < s t r i n g > V a l o r < / s t r i n g > < / k e y > < v a l u e > < i n t > 1 2 5 < / i n t > < / v a l u e > < / i t e m > < / C o l u m n W i d t h s > < C o l u m n D i s p l a y I n d e x > < i t e m > < k e y > < s t r i n g > T i p o   C u e n t a < / s t r i n g > < / k e y > < v a l u e > < i n t > 0 < / i n t > < / v a l u e > < / i t e m > < i t e m > < k e y > < s t r i n g > C u e n t a < / s t r i n g > < / k e y > < v a l u e > < i n t > 1 < / i n t > < / v a l u e > < / i t e m > < i t e m > < k e y > < s t r i n g > a � o < / s t r i n g > < / k e y > < v a l u e > < i n t > 2 < / i n t > < / v a l u e > < / i t e m > < i t e m > < k e y > < s t r i n g > V a l o r < / s t r i n g > < / k e y > < v a l u e > < i n t > 3 < / i n t > < / v a l u e > < / i t e m > < / C o l u m n D i s p l a y I n d e x > < C o l u m n F r o z e n   / > < C o l u m n C h e c k e d   / > < C o l u m n F i l t e r   / > < S e l e c t i o n F i l t e r   / > < F i l t e r P a r a m e t e r s   / > < I s S o r t D e s c e n d i n g > f a l s e < / I s S o r t D e s c e n d i n g > < / T a b l e W i d g e t G r i d S e r i a l i z a t i o n > ] ] > < / C u s t o m C o n t e n t > < / G e m i n i > 
</file>

<file path=customXml/item8.xml>��< ? x m l   v e r s i o n = " 1 . 0 "   e n c o d i n g = " u t f - 1 6 " ? > < D a t a M a s h u p   s q m i d = " a 6 2 8 5 0 0 7 - c e 0 2 - 4 c 1 5 - 8 e 6 0 - 2 7 5 e 5 7 3 8 c c 4 8 "   x m l n s = " h t t p : / / s c h e m a s . m i c r o s o f t . c o m / D a t a M a s h u p " > A A A A A C Q I A A B Q S w M E F A A C A A g A X K F t T n 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F y h b U 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c o W 1 O j Q 1 Z k R o F A A A R J g A A E w A c A E Z v c m 1 1 b G F z L 1 N l Y 3 R p b 2 4 x L m 0 g o h g A K K A U A A A A A A A A A A A A A A A A A A A A A A A A A A A A 7 V n d b t s 2 F L 4 P k H c g N A x z A M 2 o H f 9 c F L 1 w n W Q w M C R B 4 n U X R S 9 o i X W I y p R H U k Z T I w 8 1 7 B H 6 Y q O o P 5 I S K S V 1 i w 1 w g C A 2 e X T O R 5 7 v f I d i G A o 4 j g m 4 z / 4 O X p + e n J 6 w B 0 h R C C 4 Z h 2 H M L t A d Y k k k P 4 M 3 I E L 8 9 A S I n x u K 1 4 i I k c v P A Y r 6 8 4 R S R P i f M f 2 0 i u N P v b P 9 + 2 u 4 Q W + 8 B j f e h 6 f 3 8 5 h w Y f / B z 7 z 9 5 C 3 x N g Y B 3 K y w M P G E 3 y V c R a i / p J C w j z H d z O M o 2 Z D l 4 x a x X h b b 3 + + 9 G x o i 4 v l g Q f h k 1 E 9 n n 3 y w L 4 K C E A E F v Y j J 4 g i H E o M P u L A G H H 3 m 8 p H h q 8 F 5 3 Z E Y H T W O j h t H J 4 2 j 0 / r o z + A d p B g G + O s / B K S h d y w P J V G R Z L N C V F r m d i J J u p 3 N Y S z 9 j a T d 2 O 4 v j 1 v Z u f 2 N p d 3 E i U 8 z c 7 u b S L t p m 7 v K r O b u F l I O 8 p y Z P q r Z p g 2 t Z p u 2 p 5 p t W m w 1 a 2 J / O j s 9 w a S Z z C 1 V d Y t 3 M T + W 1 r G 0 j q V l K a 2 S y V c 4 g g z E K T N h C F n F 5 f u Y 8 p 7 J d J X F 6 V / a n 7 E A k R C T t e o 0 o 7 / w + 1 e C u e 7 2 D m 3 i H c o M W K 8 e 3 z d 3 x N g C Y 8 3 G I u 1 M s K X e n m x b d o 1 8 W j l v Z 7 m V 1 t Z K q + 9 t q h a Q J F F u K 7 6 J J M A N / p I N V B v + B 9 m m a n j D H x C t t r 2 e o Z Q x R W q 7 S J K g m D f j F K 8 S H m d r i m L q N X A g E M s n 8 W Z F U Y N i 3 o m 0 b 1 A N V 9 v q U h 6 q w W d f / 4 4 9 o 2 M 4 A b Q 0 k B m B 0 T t E O Q 5 g d O w j x z 5 y 7 C N t f e Q Z k m + 2 l I K F B e 8 K p h X c K t j k 4 M / 3 E e H v 1 U P + h 2 p + g X c 4 x F R o a Y Z 3 G 1 P x y 7 A B 7 3 4 b Y Z 6 h e Y a Y a 6 G l C y 5 O F v L D U i j V 2 8 d b E S l 9 m 2 a 9 / S s f T A X Y j z B i 6 C x d Z f F o f 6 A 6 6 g / V X d Y Y N 2 j R 2 b b F q r 1 H B t U l V U G g V b C r V g Y d i 2 W Q V o s S u 8 n n S 9 q t i k R b 3 v C b m 2 v 6 8 E s 6 q A x 6 u J a Z u m N m Q r q 9 X 7 6 F E S Q B + g 0 R R F 9 2 G t A 9 H H B V 8 q l 5 I j z B G g 8 t w z + 2 4 y / F u w E i A S 5 x Q P I o J 0 B 6 w s I M M 1 A e s 9 S + 5 j Y b d T M b d z O b d D O b m m b d T z O m Z d p r f r F 1 Y t 3 U f g Q x L e 2 n i z I J Q 3 M J t g U Y W b S i d 9 p Z j 0 V N Z t N D 1 O a L r 3 2 O B X o s 0 G O B P q 9 A D 3 L y V + n n o J y D Z g 5 q O e j k o J D r L c P B E w c x H E z Q U 2 9 N t z 3 B 1 p R a k v i D X j 1 0 3 S u k 7 j 9 1 Z Q S / 5 V S 7 I K H g T B h T x M T L F Y U c r X G g / z f v P k 5 o g N p 7 j 8 V V Y x O a P 0 C y F u H T E m z p Q V l 4 9 b Z I b z O L 6 4 v F f H Z x c w e u F t e z 6 / n i 8 u 7 G 1 o t M v b K o q O V y w S K P 7 q u Q r j d E t b d 3 t 1 3 r j U 6 r V s t a 7 k t s Y M f s 1 y 2 F 1 S i 3 s v Y S a T X O r a x 9 R F p N c i t n D z F b S D m h i J B p M 1 t T t I Y U X A k S i Q p S p x X B y N Q 8 B H n p 2 W V e o + k z 7 n e 0 b m D B X c O q A M w V q g l i s 3 i Z K 9 J u T R o r J J O w T E Z Q r m E J U j R s Q Z h o K M L n 7 5 j L w 2 Q J Y R a G 5 c 1 I H a l w V T z h A w S D B x F n x c S k f k R U s 5 H K Y G M 2 d H 2 s I U p F o Y q V a X V 5 T + U 5 M u 6 4 p j D R + P u a X + U y K d l G Q v O q 5 V d + y 6 l y q 2 o Y z A y U X 8 C v w m j 7 6 K n 4 t 6 I f i I e z L C n o 5 b g c 7 T X h 8 W 0 6 p C Q l d 0 I L b + l V l b y e M e A 8 2 f A M r I A M 3 H 6 z 6 g i z C H K 8 O w S W Y U c s A w 2 M I m 6 H B H P e E c x Q A 6 N o 6 C H B j D q C O d f A K F J 9 S D D j j m B G N Q a X H e 2 Q D J 5 0 h D O u w S k b 9 i H h T D v C m d T g l O e C F 8 F R j 5 A m o t f / A l B L A Q I t A B Q A A g A I A F y h b U 5 8 w t L c q A A A A P k A A A A S A A A A A A A A A A A A A A A A A A A A A A B D b 2 5 m a W c v U G F j a 2 F n Z S 5 4 b W x Q S w E C L Q A U A A I A C A B c o W 1 O D 8 r p q 6 Q A A A D p A A A A E w A A A A A A A A A A A A A A A A D 0 A A A A W 0 N v b n R l b n R f V H l w Z X N d L n h t b F B L A Q I t A B Q A A g A I A F y h b U 6 N D V m R G g U A A B E m A A A T A A A A A A A A A A A A A A A A A O U B A A B G b 3 J t d W x h c y 9 T Z W N 0 a W 9 u M S 5 t U E s F B g A A A A A D A A M A w g A A A E w 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q t q A A A A A A A A i W o 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V z d G F k b 3 N E Z V J l c 3 V s d G F k b 3 M 8 L 0 l 0 Z W 1 Q Y X R o P j w v S X R l b U x v Y 2 F 0 a W 9 u P j x T d G F i b G V F b n R y a W V z P j x F b n R y e S B U e X B l P S J J c 1 B y a X Z h d G U i I F Z h b H V l P S J s M C I g L z 4 8 R W 5 0 c n k g V H l w Z T 0 i T m F 2 a W d h d G l v b l N 0 Z X B O Y W 1 l I i B W Y W x 1 Z T 0 i c 0 5 h d m V n Y W N p w 7 N u 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x O S I g L z 4 8 R W 5 0 c n k g V H l w Z T 0 i R m l s b E V y c m 9 y Q 2 9 k Z S I g V m F s d W U 9 I n N V b m t u b 3 d u I i A v P j x F b n R y e S B U e X B l P S J G a W x s R X J y b 3 J D b 3 V u d C I g V m F s d W U 9 I m w w I i A v P j x F b n R y e S B U e X B l P S J G a W x s T G F z d F V w Z G F 0 Z W Q i I F Z h b H V l P S J k M j A x O C 0 x M C 0 x N V Q w M z o y N z o z O C 4 0 O T M 2 O T U y W i I g L z 4 8 R W 5 0 c n k g V H l w Z T 0 i R m l s b E N v b H V t b l R 5 c G V z I i B W Y W x 1 Z T 0 i c 0 F 3 W U R B d 0 1 E Q X d V R E J R T U Z B d 1 V E Q l F V R k J R V T 0 i I C 8 + P E V u d H J 5 I F R 5 c G U 9 I k Z p b G x D b 2 x 1 b W 5 O Y W 1 l c y I g V m F s d W U 9 I n N b J n F 1 b 3 Q 7 T 3 J k Z W 4 m c X V v d D s s J n F 1 b 3 Q 7 R X N 0 Y W R v c y B k Z S B S Z X N 1 b H R h Z G 9 z I E N v b n N v b G l k Y W R v c y Z x d W 9 0 O y w m c X V v d D s y M D E z J n F 1 b 3 Q 7 L C Z x d W 9 0 O z I w M T Q m c X V v d D s s J n F 1 b 3 Q 7 M j A x N S Z x d W 9 0 O y w m c X V v d D s y M D E 2 J n F 1 b 3 Q 7 L C Z x d W 9 0 O z I w M T c m c X V v d D s s J n F 1 b 3 Q 7 J S B W Y X J p Y W N p w 7 N u I D I w M T N 2 c z I w M T Q m c X V v d D s s J n F 1 b 3 Q 7 V m F y a W F j a W 9 u I C A y M D E z d n M y M D E 0 J n F 1 b 3 Q 7 L C Z x d W 9 0 O y U g V m F y a W F j a W 9 u I D I w M T R 2 c z I w M T U m c X V v d D s s J n F 1 b 3 Q 7 V m F y a W F j a c O z b i A y M D E 0 d n M y M D E 1 J n F 1 b 3 Q 7 L C Z x d W 9 0 O y U g V m F y a W F j a W 9 u I D I w M T V 2 c z I w M T Y m c X V v d D s s J n F 1 b 3 Q 7 V m F y a W F j a W 9 u I D I w M T V 2 c z I w M T Y m c X V v d D s s J n F 1 b 3 Q 7 J S B W Y X J p Y W N p b 2 4 g M j A x N n Z z M j A x N y Z x d W 9 0 O y w m c X V v d D t W Y X J p Y W N p b 2 4 g M j A x N n Z z M j A x N y Z x d W 9 0 O y w m c X V v d D s l I F B h c n Q g M j A x M y Z x d W 9 0 O y w m c X V v d D s l I F B h c n Q g M j A x N C Z x d W 9 0 O y w m c X V v d D s l I F B h c n Q g M j A x N S Z x d W 9 0 O y w m c X V v d D s l I F B h c n Q g M j A x N i Z x d W 9 0 O y w m c X V v d D s l I F B h c n Q g M j A x N y 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F c 3 R h Z G 9 z R G V S Z X N 1 b H R h Z G 9 z L 1 R p c G 8 g Y 2 F t Y m l h Z G 8 u e 0 9 y Z G V u L D B 9 J n F 1 b 3 Q 7 L C Z x d W 9 0 O 1 N l Y 3 R p b 2 4 x L 0 V z d G F k b 3 N E Z V J l c 3 V s d G F k b 3 M v V G l w b y B j Y W 1 i a W F k b y 5 7 R X N 0 Y W R v c y B k Z S B S Z X N 1 b H R h Z G 9 z I E N v b n N v b G l k Y W R v c y w x f S Z x d W 9 0 O y w m c X V v d D t T Z W N 0 a W 9 u M S 9 F c 3 R h Z G 9 z R G V S Z X N 1 b H R h Z G 9 z L 1 R p c G 8 g Y 2 F t Y m l h Z G 8 u e z I w M T M s M n 0 m c X V v d D s s J n F 1 b 3 Q 7 U 2 V j d G l v b j E v R X N 0 Y W R v c 0 R l U m V z d W x 0 Y W R v c y 9 U a X B v I G N h b W J p Y W R v L n s y M D E 0 L D N 9 J n F 1 b 3 Q 7 L C Z x d W 9 0 O 1 N l Y 3 R p b 2 4 x L 0 V z d G F k b 3 N E Z V J l c 3 V s d G F k b 3 M v V G l w b y B j Y W 1 i a W F k b y 5 7 M j A x N S w 0 f S Z x d W 9 0 O y w m c X V v d D t T Z W N 0 a W 9 u M S 9 F c 3 R h Z G 9 z R G V S Z X N 1 b H R h Z G 9 z L 1 R p c G 8 g Y 2 F t Y m l h Z G 8 u e z I w M T Y s N X 0 m c X V v d D s s J n F 1 b 3 Q 7 U 2 V j d G l v b j E v R X N 0 Y W R v c 0 R l U m V z d W x 0 Y W R v c y 9 U a X B v I G N h b W J p Y W R v L n s y M D E 3 L D Z 9 J n F 1 b 3 Q 7 L C Z x d W 9 0 O 1 N l Y 3 R p b 2 4 x L 0 V z d G F k b 3 N E Z V J l c 3 V s d G F k b 3 M v V G l w b y B j Y W 1 i a W F k b y 5 7 J S B W Y X J p Y W N p w 7 N u I D I w M T N 2 c z I w M T Q s N 3 0 m c X V v d D s s J n F 1 b 3 Q 7 U 2 V j d G l v b j E v R X N 0 Y W R v c 0 R l U m V z d W x 0 Y W R v c y 9 U a X B v I G N h b W J p Y W R v L n t W Y X J p Y W N p b 2 4 g I D I w M T N 2 c z I w M T Q s O H 0 m c X V v d D s s J n F 1 b 3 Q 7 U 2 V j d G l v b j E v R X N 0 Y W R v c 0 R l U m V z d W x 0 Y W R v c y 9 U a X B v I G N h b W J p Y W R v L n s l I F Z h c m l h Y 2 l v b i A y M D E 0 d n M y M D E 1 L D l 9 J n F 1 b 3 Q 7 L C Z x d W 9 0 O 1 N l Y 3 R p b 2 4 x L 0 V z d G F k b 3 N E Z V J l c 3 V s d G F k b 3 M v V G l w b y B j Y W 1 i a W F k b y 5 7 V m F y a W F j a c O z b i A y M D E 0 d n M y M D E 1 L D E w f S Z x d W 9 0 O y w m c X V v d D t T Z W N 0 a W 9 u M S 9 F c 3 R h Z G 9 z R G V S Z X N 1 b H R h Z G 9 z L 1 R p c G 8 g Y 2 F t Y m l h Z G 8 u e y U g V m F y a W F j a W 9 u I D I w M T V 2 c z I w M T Y s M T F 9 J n F 1 b 3 Q 7 L C Z x d W 9 0 O 1 N l Y 3 R p b 2 4 x L 0 V z d G F k b 3 N E Z V J l c 3 V s d G F k b 3 M v V G l w b y B j Y W 1 i a W F k b y 5 7 V m F y a W F j a W 9 u I D I w M T V 2 c z I w M T Y s M T J 9 J n F 1 b 3 Q 7 L C Z x d W 9 0 O 1 N l Y 3 R p b 2 4 x L 0 V z d G F k b 3 N E Z V J l c 3 V s d G F k b 3 M v V G l w b y B j Y W 1 i a W F k b y 5 7 J S B W Y X J p Y W N p b 2 4 g M j A x N n Z z M j A x N y w x M 3 0 m c X V v d D s s J n F 1 b 3 Q 7 U 2 V j d G l v b j E v R X N 0 Y W R v c 0 R l U m V z d W x 0 Y W R v c y 9 U a X B v I G N h b W J p Y W R v L n t W Y X J p Y W N p b 2 4 g M j A x N n Z z M j A x N y w x N H 0 m c X V v d D s s J n F 1 b 3 Q 7 U 2 V j d G l v b j E v R X N 0 Y W R v c 0 R l U m V z d W x 0 Y W R v c y 9 U a X B v I G N h b W J p Y W R v L n s l I F B h c n Q g M j A x M y w x N X 0 m c X V v d D s s J n F 1 b 3 Q 7 U 2 V j d G l v b j E v R X N 0 Y W R v c 0 R l U m V z d W x 0 Y W R v c y 9 U a X B v I G N h b W J p Y W R v L n s l I F B h c n Q g M j A x N C w x N n 0 m c X V v d D s s J n F 1 b 3 Q 7 U 2 V j d G l v b j E v R X N 0 Y W R v c 0 R l U m V z d W x 0 Y W R v c y 9 U a X B v I G N h b W J p Y W R v L n s l I F B h c n Q g M j A x N S w x N 3 0 m c X V v d D s s J n F 1 b 3 Q 7 U 2 V j d G l v b j E v R X N 0 Y W R v c 0 R l U m V z d W x 0 Y W R v c y 9 U a X B v I G N h b W J p Y W R v L n s l I F B h c n Q g M j A x N i w x O H 0 m c X V v d D s s J n F 1 b 3 Q 7 U 2 V j d G l v b j E v R X N 0 Y W R v c 0 R l U m V z d W x 0 Y W R v c y 9 U a X B v I G N h b W J p Y W R v L n s l I F B h c n Q g M j A x N y w x O X 0 m c X V v d D t d L C Z x d W 9 0 O 0 N v b H V t b k N v d W 5 0 J n F 1 b 3 Q 7 O j I w L C Z x d W 9 0 O 0 t l e U N v b H V t b k 5 h b W V z J n F 1 b 3 Q 7 O l t d L C Z x d W 9 0 O 0 N v b H V t b k l k Z W 5 0 a X R p Z X M m c X V v d D s 6 W y Z x d W 9 0 O 1 N l Y 3 R p b 2 4 x L 0 V z d G F k b 3 N E Z V J l c 3 V s d G F k b 3 M v V G l w b y B j Y W 1 i a W F k b y 5 7 T 3 J k Z W 4 s M H 0 m c X V v d D s s J n F 1 b 3 Q 7 U 2 V j d G l v b j E v R X N 0 Y W R v c 0 R l U m V z d W x 0 Y W R v c y 9 U a X B v I G N h b W J p Y W R v L n t F c 3 R h Z G 9 z I G R l I F J l c 3 V s d G F k b 3 M g Q 2 9 u c 2 9 s a W R h Z G 9 z L D F 9 J n F 1 b 3 Q 7 L C Z x d W 9 0 O 1 N l Y 3 R p b 2 4 x L 0 V z d G F k b 3 N E Z V J l c 3 V s d G F k b 3 M v V G l w b y B j Y W 1 i a W F k b y 5 7 M j A x M y w y f S Z x d W 9 0 O y w m c X V v d D t T Z W N 0 a W 9 u M S 9 F c 3 R h Z G 9 z R G V S Z X N 1 b H R h Z G 9 z L 1 R p c G 8 g Y 2 F t Y m l h Z G 8 u e z I w M T Q s M 3 0 m c X V v d D s s J n F 1 b 3 Q 7 U 2 V j d G l v b j E v R X N 0 Y W R v c 0 R l U m V z d W x 0 Y W R v c y 9 U a X B v I G N h b W J p Y W R v L n s y M D E 1 L D R 9 J n F 1 b 3 Q 7 L C Z x d W 9 0 O 1 N l Y 3 R p b 2 4 x L 0 V z d G F k b 3 N E Z V J l c 3 V s d G F k b 3 M v V G l w b y B j Y W 1 i a W F k b y 5 7 M j A x N i w 1 f S Z x d W 9 0 O y w m c X V v d D t T Z W N 0 a W 9 u M S 9 F c 3 R h Z G 9 z R G V S Z X N 1 b H R h Z G 9 z L 1 R p c G 8 g Y 2 F t Y m l h Z G 8 u e z I w M T c s N n 0 m c X V v d D s s J n F 1 b 3 Q 7 U 2 V j d G l v b j E v R X N 0 Y W R v c 0 R l U m V z d W x 0 Y W R v c y 9 U a X B v I G N h b W J p Y W R v L n s l I F Z h c m l h Y 2 n D s 2 4 g M j A x M 3 Z z M j A x N C w 3 f S Z x d W 9 0 O y w m c X V v d D t T Z W N 0 a W 9 u M S 9 F c 3 R h Z G 9 z R G V S Z X N 1 b H R h Z G 9 z L 1 R p c G 8 g Y 2 F t Y m l h Z G 8 u e 1 Z h c m l h Y 2 l v b i A g M j A x M 3 Z z M j A x N C w 4 f S Z x d W 9 0 O y w m c X V v d D t T Z W N 0 a W 9 u M S 9 F c 3 R h Z G 9 z R G V S Z X N 1 b H R h Z G 9 z L 1 R p c G 8 g Y 2 F t Y m l h Z G 8 u e y U g V m F y a W F j a W 9 u I D I w M T R 2 c z I w M T U s O X 0 m c X V v d D s s J n F 1 b 3 Q 7 U 2 V j d G l v b j E v R X N 0 Y W R v c 0 R l U m V z d W x 0 Y W R v c y 9 U a X B v I G N h b W J p Y W R v L n t W Y X J p Y W N p w 7 N u I D I w M T R 2 c z I w M T U s M T B 9 J n F 1 b 3 Q 7 L C Z x d W 9 0 O 1 N l Y 3 R p b 2 4 x L 0 V z d G F k b 3 N E Z V J l c 3 V s d G F k b 3 M v V G l w b y B j Y W 1 i a W F k b y 5 7 J S B W Y X J p Y W N p b 2 4 g M j A x N X Z z M j A x N i w x M X 0 m c X V v d D s s J n F 1 b 3 Q 7 U 2 V j d G l v b j E v R X N 0 Y W R v c 0 R l U m V z d W x 0 Y W R v c y 9 U a X B v I G N h b W J p Y W R v L n t W Y X J p Y W N p b 2 4 g M j A x N X Z z M j A x N i w x M n 0 m c X V v d D s s J n F 1 b 3 Q 7 U 2 V j d G l v b j E v R X N 0 Y W R v c 0 R l U m V z d W x 0 Y W R v c y 9 U a X B v I G N h b W J p Y W R v L n s l I F Z h c m l h Y 2 l v b i A y M D E 2 d n M y M D E 3 L D E z f S Z x d W 9 0 O y w m c X V v d D t T Z W N 0 a W 9 u M S 9 F c 3 R h Z G 9 z R G V S Z X N 1 b H R h Z G 9 z L 1 R p c G 8 g Y 2 F t Y m l h Z G 8 u e 1 Z h c m l h Y 2 l v b i A y M D E 2 d n M y M D E 3 L D E 0 f S Z x d W 9 0 O y w m c X V v d D t T Z W N 0 a W 9 u M S 9 F c 3 R h Z G 9 z R G V S Z X N 1 b H R h Z G 9 z L 1 R p c G 8 g Y 2 F t Y m l h Z G 8 u e y U g U G F y d C A y M D E z L D E 1 f S Z x d W 9 0 O y w m c X V v d D t T Z W N 0 a W 9 u M S 9 F c 3 R h Z G 9 z R G V S Z X N 1 b H R h Z G 9 z L 1 R p c G 8 g Y 2 F t Y m l h Z G 8 u e y U g U G F y d C A y M D E 0 L D E 2 f S Z x d W 9 0 O y w m c X V v d D t T Z W N 0 a W 9 u M S 9 F c 3 R h Z G 9 z R G V S Z X N 1 b H R h Z G 9 z L 1 R p c G 8 g Y 2 F t Y m l h Z G 8 u e y U g U G F y d C A y M D E 1 L D E 3 f S Z x d W 9 0 O y w m c X V v d D t T Z W N 0 a W 9 u M S 9 F c 3 R h Z G 9 z R G V S Z X N 1 b H R h Z G 9 z L 1 R p c G 8 g Y 2 F t Y m l h Z G 8 u e y U g U G F y d C A y M D E 2 L D E 4 f S Z x d W 9 0 O y w m c X V v d D t T Z W N 0 a W 9 u M S 9 F c 3 R h Z G 9 z R G V S Z X N 1 b H R h Z G 9 z L 1 R p c G 8 g Y 2 F t Y m l h Z G 8 u e y U g U G F y d C A y M D E 3 L D E 5 f S Z x d W 9 0 O 1 0 s J n F 1 b 3 Q 7 U m V s Y X R p b 2 5 z a G l w S W 5 m b y Z x d W 9 0 O z p b X X 0 i I C 8 + P E V u d H J 5 I F R 5 c G U 9 I l F 1 Z X J 5 S U Q i I F Z h b H V l P S J z O T Y 3 N W J h M m Q t M j U y M C 0 0 M D Q x L T l l N T Y t M D Z i Z D U 3 Z j U x Y 2 F j I i A v P j w v U 3 R h Y m x l R W 5 0 c m l l c z 4 8 L 0 l 0 Z W 0 + P E l 0 Z W 0 + P E l 0 Z W 1 M b 2 N h d G l v b j 4 8 S X R l b V R 5 c G U + R m 9 y b X V s Y T w v S X R l b V R 5 c G U + P E l 0 Z W 1 Q Y X R o P l N l Y 3 R p b 2 4 x L 0 V z d G F k b 3 N E Z V J l c 3 V s d G F k b 3 M v T 3 J p Z 2 V u P C 9 J d G V t U G F 0 a D 4 8 L 0 l 0 Z W 1 M b 2 N h d G l v b j 4 8 U 3 R h Y m x l R W 5 0 c m l l c y A v P j w v S X R l b T 4 8 S X R l b T 4 8 S X R l b U x v Y 2 F 0 a W 9 u P j x J d G V t V H l w Z T 5 G b 3 J t d W x h P C 9 J d G V t V H l w Z T 4 8 S X R l b V B h d G g + U 2 V j d G l v b j E v R X N 0 Y W R v c 0 R l U m V z d W x 0 Y W R v c y 9 U a X B v J T I w Y 2 F t Y m l h Z G 8 8 L 0 l 0 Z W 1 Q Y X R o P j w v S X R l b U x v Y 2 F 0 a W 9 u P j x T d G F i b G V F b n R y a W V z I C 8 + P C 9 J d G V t P j x J d G V t P j x J d G V t T G 9 j Y X R p b 2 4 + P E l 0 Z W 1 U e X B l P k Z v c m 1 1 b G E 8 L 0 l 0 Z W 1 U e X B l P j x J d G V t U G F 0 a D 5 T Z W N 0 a W 9 u M S 9 F c 3 R h Z G 9 z R G V S Z X N 1 b H R h Z G 9 z U G l 2 b 3 Q 8 L 0 l 0 Z W 1 Q Y X R o P j w v S X R l b U x v Y 2 F 0 a W 9 u P j x T d G F i b G V F b n R y a W V z P j x F b n R y e S B U e X B l P S J J c 1 B y a X Z h d G U i I F Z h b H V l P S J s M C I g L z 4 8 R W 5 0 c n k g V H l w Z T 0 i T m F 2 a W d h d G l v b l N 0 Z X B O Y W 1 l I i B W Y W x 1 Z T 0 i c 0 5 h d m V n Y W N p w 7 N u I i A v P j x F b n R y e S B U e X B l P S J R d W V y e U l E I i B W Y W x 1 Z T 0 i c 2 U 1 M j d k Y 2 N k L W U 3 M 2 Y t N D E x Y y 1 h M 2 M z L W I 5 Z D J h Z G Y 5 N W I 5 Z C I g L z 4 8 R W 5 0 c n k g V H l w Z T 0 i T G 9 h Z G V k V G 9 B b m F s e X N p c 1 N l c n Z p Y 2 V z I i B W Y W x 1 Z T 0 i b D A i I C 8 + P E V u d H J 5 I F R 5 c G U 9 I k Z p b G x T d G F 0 d X M i I F Z h b H V l P S J z Q 2 9 t c G x l d G U i I C 8 + P E V u d H J 5 I F R 5 c G U 9 I k Z p b G x D b 2 x 1 b W 5 O Y W 1 l c y I g V m F s d W U 9 I n N b J n F 1 b 3 Q 7 T 3 J k Z W 4 m c X V v d D s s J n F 1 b 3 Q 7 R X N 0 Y W R v c y B k Z S B S Z X N 1 b H R h Z G 9 z I E N v b n N v b G l k Y W R v c y Z x d W 9 0 O y w m c X V v d D t B w 7 F v J n F 1 b 3 Q 7 L C Z x d W 9 0 O 1 Z h b G 9 y J n F 1 b 3 Q 7 X S I g L z 4 8 R W 5 0 c n k g V H l w Z T 0 i R m l s b E N v b H V t b l R 5 c G V z I i B W Y W x 1 Z T 0 i c 0 F 3 W U d C U T 0 9 I i A v P j x F b n R y e S B U e X B l P S J G a W x s T G F z d F V w Z G F 0 Z W Q i I F Z h b H V l P S J k M j A x O C 0 x M C 0 x N V Q w M z o y N z o z O C 4 1 M D M 4 M D c 5 W i I g L z 4 8 R W 5 0 c n k g V H l w Z T 0 i R m l s b E V y c m 9 y Q 2 9 1 b n Q i I F Z h b H V l P S J s M C I g L z 4 8 R W 5 0 c n k g V H l w Z T 0 i R m l s b E V y c m 9 y Q 2 9 k Z S I g V m F s d W U 9 I n N V b m t u b 3 d u I i A v P j x F b n R y e S B U e X B l P S J G a W x s Q 2 9 1 b n Q i I F Z h b H V l P S J s O T U i I C 8 + P E V u d H J 5 I F R 5 c G U 9 I k F k Z G V k V G 9 E Y X R h T W 9 k Z W w 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U m V s Y X R p b 2 5 z a G l w S W 5 m b 0 N v b n R h a W 5 l c i I g V m F s d W U 9 I n N 7 J n F 1 b 3 Q 7 Y 2 9 s d W 1 u Q 2 9 1 b n Q m c X V v d D s 6 N C w m c X V v d D t r Z X l D b 2 x 1 b W 5 O Y W 1 l c y Z x d W 9 0 O z p b X S w m c X V v d D t x d W V y e V J l b G F 0 a W 9 u c 2 h p c H M m c X V v d D s 6 W 1 0 s J n F 1 b 3 Q 7 Y 2 9 s d W 1 u S W R l b n R p d G l l c y Z x d W 9 0 O z p b J n F 1 b 3 Q 7 U 2 V j d G l v b j E v R X N 0 Y W R v c 0 R l U m V z d W x 0 Y W R v c 1 B p d m 9 0 L 0 N v b H V t b m E g Z G U g Y W 5 1 b G F j a c O z b i B k Z S B k a W 5 h b W l 6 Y W N p w 7 N u L n t P c m R l b i w w f S Z x d W 9 0 O y w m c X V v d D t T Z W N 0 a W 9 u M S 9 F c 3 R h Z G 9 z R G V S Z X N 1 b H R h Z G 9 z U G l 2 b 3 Q v Q 2 9 s d W 1 u Y S B k Z S B h b n V s Y W N p w 7 N u I G R l I G R p b m F t a X p h Y 2 n D s 2 4 u e 0 V z d G F k b 3 M g Z G U g U m V z d W x 0 Y W R v c y B D b 2 5 z b 2 x p Z G F k b 3 M s M X 0 m c X V v d D s s J n F 1 b 3 Q 7 U 2 V j d G l v b j E v R X N 0 Y W R v c 0 R l U m V z d W x 0 Y W R v c 1 B p d m 9 0 L 0 N v b H V t b m E g Z G U g Y W 5 1 b G F j a c O z b i B k Z S B k a W 5 h b W l 6 Y W N p w 7 N u L n t B d H J p Y n V 0 b y w y f S Z x d W 9 0 O y w m c X V v d D t T Z W N 0 a W 9 u M S 9 F c 3 R h Z G 9 z R G V S Z X N 1 b H R h Z G 9 z U G l 2 b 3 Q v Q 2 9 s d W 1 u Y S B k Z S B h b n V s Y W N p w 7 N u I G R l I G R p b m F t a X p h Y 2 n D s 2 4 u e 1 Z h b G 9 y L D N 9 J n F 1 b 3 Q 7 X S w m c X V v d D t D b 2 x 1 b W 5 D b 3 V u d C Z x d W 9 0 O z o 0 L C Z x d W 9 0 O 0 t l e U N v b H V t b k 5 h b W V z J n F 1 b 3 Q 7 O l t d L C Z x d W 9 0 O 0 N v b H V t b k l k Z W 5 0 a X R p Z X M m c X V v d D s 6 W y Z x d W 9 0 O 1 N l Y 3 R p b 2 4 x L 0 V z d G F k b 3 N E Z V J l c 3 V s d G F k b 3 N Q a X Z v d C 9 D b 2 x 1 b W 5 h I G R l I G F u d W x h Y 2 n D s 2 4 g Z G U g Z G l u Y W 1 p e m F j a c O z b i 5 7 T 3 J k Z W 4 s M H 0 m c X V v d D s s J n F 1 b 3 Q 7 U 2 V j d G l v b j E v R X N 0 Y W R v c 0 R l U m V z d W x 0 Y W R v c 1 B p d m 9 0 L 0 N v b H V t b m E g Z G U g Y W 5 1 b G F j a c O z b i B k Z S B k a W 5 h b W l 6 Y W N p w 7 N u L n t F c 3 R h Z G 9 z I G R l I F J l c 3 V s d G F k b 3 M g Q 2 9 u c 2 9 s a W R h Z G 9 z L D F 9 J n F 1 b 3 Q 7 L C Z x d W 9 0 O 1 N l Y 3 R p b 2 4 x L 0 V z d G F k b 3 N E Z V J l c 3 V s d G F k b 3 N Q a X Z v d C 9 D b 2 x 1 b W 5 h I G R l I G F u d W x h Y 2 n D s 2 4 g Z G U g Z G l u Y W 1 p e m F j a c O z b i 5 7 Q X R y a W J 1 d G 8 s M n 0 m c X V v d D s s J n F 1 b 3 Q 7 U 2 V j d G l v b j E v R X N 0 Y W R v c 0 R l U m V z d W x 0 Y W R v c 1 B p d m 9 0 L 0 N v b H V t b m E g Z G U g Y W 5 1 b G F j a c O z b i B k Z S B k a W 5 h b W l 6 Y W N p w 7 N u L n t W Y W x v c i w z f S Z x d W 9 0 O 1 0 s J n F 1 b 3 Q 7 U m V s Y X R p b 2 5 z a G l w S W 5 m b y Z x d W 9 0 O z p b X X 0 i I C 8 + P C 9 T d G F i b G V F b n R y a W V z P j w v S X R l b T 4 8 S X R l b T 4 8 S X R l b U x v Y 2 F 0 a W 9 u P j x J d G V t V H l w Z T 5 G b 3 J t d W x h P C 9 J d G V t V H l w Z T 4 8 S X R l b V B h d G g + U 2 V j d G l v b j E v R X N 0 Y W R v c 0 R l U m V z d W x 0 Y W R v c 1 B p d m 9 0 L 0 9 y a W d l b j w v S X R l b V B h d G g + P C 9 J d G V t T G 9 j Y X R p b 2 4 + P F N 0 Y W J s Z U V u d H J p Z X M g L z 4 8 L 0 l 0 Z W 0 + P E l 0 Z W 0 + P E l 0 Z W 1 M b 2 N h d G l v b j 4 8 S X R l b V R 5 c G U + R m 9 y b X V s Y T w v S X R l b V R 5 c G U + P E l 0 Z W 1 Q Y X R o P l N l Y 3 R p b 2 4 x L 0 V z d G F k b 3 N E Z V J l c 3 V s d G F k b 3 N Q a X Z v d C 9 U a X B v J T I w Y 2 F t Y m l h Z G 8 8 L 0 l 0 Z W 1 Q Y X R o P j w v S X R l b U x v Y 2 F 0 a W 9 u P j x T d G F i b G V F b n R y a W V z I C 8 + P C 9 J d G V t P j x J d G V t P j x J d G V t T G 9 j Y X R p b 2 4 + P E l 0 Z W 1 U e X B l P k Z v c m 1 1 b G E 8 L 0 l 0 Z W 1 U e X B l P j x J d G V t U G F 0 a D 5 T Z W N 0 a W 9 u M S 9 F c 3 R h Z G 9 z R G V S Z X N 1 b H R h Z G 9 z U G l 2 b 3 Q v R m l s Y X M l M j B v c m R l b m F k Y X M 8 L 0 l 0 Z W 1 Q Y X R o P j w v S X R l b U x v Y 2 F 0 a W 9 u P j x T d G F i b G V F b n R y a W V z I C 8 + P C 9 J d G V t P j x J d G V t P j x J d G V t T G 9 j Y X R p b 2 4 + P E l 0 Z W 1 U e X B l P k Z v c m 1 1 b G E 8 L 0 l 0 Z W 1 U e X B l P j x J d G V t U G F 0 a D 5 T Z W N 0 a W 9 u M S 9 F c 3 R h Z G 9 z R G V S Z X N 1 b H R h Z G 9 z U G l 2 b 3 Q v Q 2 9 s d W 1 u Y X M l M j B x d W l 0 Y W R h c z w v S X R l b V B h d G g + P C 9 J d G V t T G 9 j Y X R p b 2 4 + P F N 0 Y W J s Z U V u d H J p Z X M g L z 4 8 L 0 l 0 Z W 0 + P E l 0 Z W 0 + P E l 0 Z W 1 M b 2 N h d G l v b j 4 8 S X R l b V R 5 c G U + R m 9 y b X V s Y T w v S X R l b V R 5 c G U + P E l 0 Z W 1 Q Y X R o P l N l Y 3 R p b 2 4 x L 0 V z d G F k b 3 N E Z V J l c 3 V s d G F k b 3 N Q a X Z v d C 9 D b 2 x 1 b W 5 h J T I w Z G U l M j B h b n V s Y W N p J U M z J U I z b i U y M G R l J T I w Z G l u Y W 1 p e m F j a S V D M y V C M 2 4 8 L 0 l 0 Z W 1 Q Y X R o P j w v S X R l b U x v Y 2 F 0 a W 9 u P j x T d G F i b G V F b n R y a W V z I C 8 + P C 9 J d G V t P j x J d G V t P j x J d G V t T G 9 j Y X R p b 2 4 + P E l 0 Z W 1 U e X B l P k Z v c m 1 1 b G E 8 L 0 l 0 Z W 1 U e X B l P j x J d G V t U G F 0 a D 5 T Z W N 0 a W 9 u M S 9 F c 3 R h Z G 9 z R G V S Z X N 1 b H R h Z G 9 z U G l 2 b 3 Q v Q 2 9 s d W 1 u Y X M l M j B j b 2 4 l M j B u b 2 1 i c m U l M j B j Y W 1 i a W F k b z w v S X R l b V B h d G g + P C 9 J d G V t T G 9 j Y X R p b 2 4 + P F N 0 Y W J s Z U V u d H J p Z X M g L z 4 8 L 0 l 0 Z W 0 + P E l 0 Z W 0 + P E l 0 Z W 1 M b 2 N h d G l v b j 4 8 S X R l b V R 5 c G U + R m 9 y b X V s Y T w v S X R l b V R 5 c G U + P E l 0 Z W 1 Q Y X R o P l N l Y 3 R p b 2 4 x L 0 V z d G F k b 3 N E Z V J l c 3 V s d G F k b 3 N B b m F s V m V y d G l j Y W w 8 L 0 l 0 Z W 1 Q Y X R o P j w v S X R l b U x v Y 2 F 0 a W 9 u P j x T d G F i b G V F b n R y a W V z P j x F b n R y e S B U e X B l P S J J c 1 B y a X Z h d G U i I F Z h b H V l P S J s M C I g L z 4 8 R W 5 0 c n k g V H l w Z T 0 i T m F 2 a W d h d G l v b l N 0 Z X B O Y W 1 l I i B W Y W x 1 Z T 0 i c 0 5 h d m V n Y W N p w 7 N u I i A v P j x F b n R y e S B U e X B l P S J R d W V y e U l E I i B W Y W x 1 Z T 0 i c z Y y Y j R m Z G I 4 L T M 1 N 2 M t N D Y 3 N C 0 5 Y z d h L T g 3 N D N h O T F l Z j I 0 M C I g L z 4 8 R W 5 0 c n k g V H l w Z T 0 i T G 9 h Z G V k V G 9 B b m F s e X N p c 1 N l c n Z p Y 2 V z I i B W Y W x 1 Z T 0 i b D A i I C 8 + P E V u d H J 5 I F R 5 c G U 9 I k Z p b G x D b 3 V u d C I g V m F s d W U 9 I m w 5 N S I g L z 4 8 R W 5 0 c n k g V H l w Z T 0 i R m l s b E V y c m 9 y Q 2 9 k Z S I g V m F s d W U 9 I n N V b m t u b 3 d u I i A v P j x F b n R y e S B U e X B l P S J G a W x s R X J y b 3 J D b 3 V u d C I g V m F s d W U 9 I m w w I i A v P j x F b n R y e S B U e X B l P S J G a W x s T G F z d F V w Z G F 0 Z W Q i I F Z h b H V l P S J k M j A x O C 0 x M C 0 x N V Q w M z o y N z o z N y 4 0 N j M 3 O D c 2 W i I g L z 4 8 R W 5 0 c n k g V H l w Z T 0 i R m l s b E N v b H V t b l R 5 c G V z I i B W Y W x 1 Z T 0 i c 0 F 3 W U R C U T 0 9 I i A v P j x F b n R y e S B U e X B l P S J G a W x s Q 2 9 s d W 1 u T m F t Z X M i I F Z h b H V l P S J z W y Z x d W 9 0 O 0 9 y Z G V u J n F 1 b 3 Q 7 L C Z x d W 9 0 O 0 V z d G F k b 3 M g Z G U g U m V z d W x 0 Y W R v c y B D b 2 5 z b 2 x p Z G F k b 3 M m c X V v d D s s J n F 1 b 3 Q 7 Q c O x b y Z x d W 9 0 O y w m c X V v d D t W Y W x v c 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0 V z d G F k b 3 N E Z V J l c 3 V s d G F k b 3 N B b m F s V m V y d G l j Y W w v Q 2 9 s d W 1 u Y S B k Z S B h b n V s Y W N p w 7 N u I G R l I G R p b m F t a X p h Y 2 n D s 2 4 u e 0 9 y Z G V u L D B 9 J n F 1 b 3 Q 7 L C Z x d W 9 0 O 1 N l Y 3 R p b 2 4 x L 0 V z d G F k b 3 N E Z V J l c 3 V s d G F k b 3 N B b m F s V m V y d G l j Y W w v Q 2 9 s d W 1 u Y S B k Z S B h b n V s Y W N p w 7 N u I G R l I G R p b m F t a X p h Y 2 n D s 2 4 u e 0 V z d G F k b 3 M g Z G U g U m V z d W x 0 Y W R v c y B D b 2 5 z b 2 x p Z G F k b 3 M s M X 0 m c X V v d D s s J n F 1 b 3 Q 7 U 2 V j d G l v b j E v R X N 0 Y W R v c 0 R l U m V z d W x 0 Y W R v c 0 F u Y W x W Z X J 0 a W N h b C 9 U a X B v I G N h b W J p Y W R v M S 5 7 Q X R y a W J 1 d G 8 u M i w z f S Z x d W 9 0 O y w m c X V v d D t T Z W N 0 a W 9 u M S 9 F c 3 R h Z G 9 z R G V S Z X N 1 b H R h Z G 9 z Q W 5 h b F Z l c n R p Y 2 F s L 0 N v b H V t b m E g Z G U g Y W 5 1 b G F j a c O z b i B k Z S B k a W 5 h b W l 6 Y W N p w 7 N u L n t W Y W x v c i w z f S Z x d W 9 0 O 1 0 s J n F 1 b 3 Q 7 Q 2 9 s d W 1 u Q 2 9 1 b n Q m c X V v d D s 6 N C w m c X V v d D t L Z X l D b 2 x 1 b W 5 O Y W 1 l c y Z x d W 9 0 O z p b X S w m c X V v d D t D b 2 x 1 b W 5 J Z G V u d G l 0 a W V z J n F 1 b 3 Q 7 O l s m c X V v d D t T Z W N 0 a W 9 u M S 9 F c 3 R h Z G 9 z R G V S Z X N 1 b H R h Z G 9 z Q W 5 h b F Z l c n R p Y 2 F s L 0 N v b H V t b m E g Z G U g Y W 5 1 b G F j a c O z b i B k Z S B k a W 5 h b W l 6 Y W N p w 7 N u L n t P c m R l b i w w f S Z x d W 9 0 O y w m c X V v d D t T Z W N 0 a W 9 u M S 9 F c 3 R h Z G 9 z R G V S Z X N 1 b H R h Z G 9 z Q W 5 h b F Z l c n R p Y 2 F s L 0 N v b H V t b m E g Z G U g Y W 5 1 b G F j a c O z b i B k Z S B k a W 5 h b W l 6 Y W N p w 7 N u L n t F c 3 R h Z G 9 z I G R l I F J l c 3 V s d G F k b 3 M g Q 2 9 u c 2 9 s a W R h Z G 9 z L D F 9 J n F 1 b 3 Q 7 L C Z x d W 9 0 O 1 N l Y 3 R p b 2 4 x L 0 V z d G F k b 3 N E Z V J l c 3 V s d G F k b 3 N B b m F s V m V y d G l j Y W w v V G l w b y B j Y W 1 i a W F k b z E u e 0 F 0 c m l i d X R v L j I s M 3 0 m c X V v d D s s J n F 1 b 3 Q 7 U 2 V j d G l v b j E v R X N 0 Y W R v c 0 R l U m V z d W x 0 Y W R v c 0 F u Y W x W Z X J 0 a W N h b C 9 D b 2 x 1 b W 5 h I G R l I G F u d W x h Y 2 n D s 2 4 g Z G U g Z G l u Y W 1 p e m F j a c O z b i 5 7 V m F s b 3 I s M 3 0 m c X V v d D t d L C Z x d W 9 0 O 1 J l b G F 0 a W 9 u c 2 h p c E l u Z m 8 m c X V v d D s 6 W 1 1 9 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C 9 T d G F i b G V F b n R y a W V z P j w v S X R l b T 4 8 S X R l b T 4 8 S X R l b U x v Y 2 F 0 a W 9 u P j x J d G V t V H l w Z T 5 G b 3 J t d W x h P C 9 J d G V t V H l w Z T 4 8 S X R l b V B h d G g + U 2 V j d G l v b j E v R X N 0 Y W R v c 0 R l U m V z d W x 0 Y W R v c 0 F u Y W x W Z X J 0 a W N h b C 9 P c m l n Z W 4 8 L 0 l 0 Z W 1 Q Y X R o P j w v S X R l b U x v Y 2 F 0 a W 9 u P j x T d G F i b G V F b n R y a W V z I C 8 + P C 9 J d G V t P j x J d G V t P j x J d G V t T G 9 j Y X R p b 2 4 + P E l 0 Z W 1 U e X B l P k Z v c m 1 1 b G E 8 L 0 l 0 Z W 1 U e X B l P j x J d G V t U G F 0 a D 5 T Z W N 0 a W 9 u M S 9 F c 3 R h Z G 9 z R G V S Z X N 1 b H R h Z G 9 z Q W 5 h b F Z l c n R p Y 2 F s L 1 R p c G 8 l M j B j Y W 1 i a W F k b z w v S X R l b V B h d G g + P C 9 J d G V t T G 9 j Y X R p b 2 4 + P F N 0 Y W J s Z U V u d H J p Z X M g L z 4 8 L 0 l 0 Z W 0 + P E l 0 Z W 0 + P E l 0 Z W 1 M b 2 N h d G l v b j 4 8 S X R l b V R 5 c G U + R m 9 y b X V s Y T w v S X R l b V R 5 c G U + P E l 0 Z W 1 Q Y X R o P l N l Y 3 R p b 2 4 x L 0 V z d G F k b 3 N E Z V J l c 3 V s d G F k b 3 N B b m F s V m V y d G l j Y W w v Q 2 9 s d W 1 u Y X M l M j B x d W l 0 Y W R h c z w v S X R l b V B h d G g + P C 9 J d G V t T G 9 j Y X R p b 2 4 + P F N 0 Y W J s Z U V u d H J p Z X M g L z 4 8 L 0 l 0 Z W 0 + P E l 0 Z W 0 + P E l 0 Z W 1 M b 2 N h d G l v b j 4 8 S X R l b V R 5 c G U + R m 9 y b X V s Y T w v S X R l b V R 5 c G U + P E l 0 Z W 1 Q Y X R o P l N l Y 3 R p b 2 4 x L 0 V z d G F k b 3 N E Z V J l c 3 V s d G F k b 3 N B b m F s V m V y d G l j Y W w v Q 2 9 s d W 1 u Y S U y M G R l J T I w Y W 5 1 b G F j a S V D M y V C M 2 4 l M j B k Z S U y M G R p b m F t a X p h Y 2 k l Q z M l Q j N u P C 9 J d G V t U G F 0 a D 4 8 L 0 l 0 Z W 1 M b 2 N h d G l v b j 4 8 U 3 R h Y m x l R W 5 0 c m l l c y A v P j w v S X R l b T 4 8 S X R l b T 4 8 S X R l b U x v Y 2 F 0 a W 9 u P j x J d G V t V H l w Z T 5 G b 3 J t d W x h P C 9 J d G V t V H l w Z T 4 8 S X R l b V B h d G g + U 2 V j d G l v b j E v R X N 0 Y W R v c 0 R l U m V z d W x 0 Y W R v c 0 F u Y W x W Z X J 0 a W N h b C 9 E a X Z p Z G l y J T I w Y 2 9 s d W 1 u Y S U y M H B v c i U y M H B v c 2 l j a S V D M y V C M 2 4 8 L 0 l 0 Z W 1 Q Y X R o P j w v S X R l b U x v Y 2 F 0 a W 9 u P j x T d G F i b G V F b n R y a W V z I C 8 + P C 9 J d G V t P j x J d G V t P j x J d G V t T G 9 j Y X R p b 2 4 + P E l 0 Z W 1 U e X B l P k Z v c m 1 1 b G E 8 L 0 l 0 Z W 1 U e X B l P j x J d G V t U G F 0 a D 5 T Z W N 0 a W 9 u M S 9 F c 3 R h Z G 9 z R G V S Z X N 1 b H R h Z G 9 z Q W 5 h b F Z l c n R p Y 2 F s L 1 R p c G 8 l M j B j Y W 1 i a W F k b z E 8 L 0 l 0 Z W 1 Q Y X R o P j w v S X R l b U x v Y 2 F 0 a W 9 u P j x T d G F i b G V F b n R y a W V z I C 8 + P C 9 J d G V t P j x J d G V t P j x J d G V t T G 9 j Y X R p b 2 4 + P E l 0 Z W 1 U e X B l P k Z v c m 1 1 b G E 8 L 0 l 0 Z W 1 U e X B l P j x J d G V t U G F 0 a D 5 T Z W N 0 a W 9 u M S 9 F c 3 R h Z G 9 z R G V S Z X N 1 b H R h Z G 9 z Q W 5 h b F Z l c n R p Y 2 F s L 0 N v b H V t b m F z J T I w c X V p d G F k Y X M x P C 9 J d G V t U G F 0 a D 4 8 L 0 l 0 Z W 1 M b 2 N h d G l v b j 4 8 U 3 R h Y m x l R W 5 0 c m l l c y A v P j w v S X R l b T 4 8 S X R l b T 4 8 S X R l b U x v Y 2 F 0 a W 9 u P j x J d G V t V H l w Z T 5 G b 3 J t d W x h P C 9 J d G V t V H l w Z T 4 8 S X R l b V B h d G g + U 2 V j d G l v b j E v R X N 0 Y W R v c 0 R l U m V z d W x 0 Y W R v c 0 F u Y W x W Z X J 0 a W N h b C 9 D b 2 x 1 b W 5 h c y U y M G N v b i U y M G 5 v b W J y Z S U y M G N h b W J p Y W R v P C 9 J d G V t U G F 0 a D 4 8 L 0 l 0 Z W 1 M b 2 N h d G l v b j 4 8 U 3 R h Y m x l R W 5 0 c m l l c y A v P j w v S X R l b T 4 8 S X R l b T 4 8 S X R l b U x v Y 2 F 0 a W 9 u P j x J d G V t V H l w Z T 5 G b 3 J t d W x h P C 9 J d G V t V H l w Z T 4 8 S X R l b V B h d G g + U 2 V j d G l v b j E v Q S V D M y V C M W 8 8 L 0 l 0 Z W 1 Q Y X R o P j w v S X R l b U x v Y 2 F 0 a W 9 u P j x T d G F i b G V F b n R y a W V z P j x F b n R y e S B U e X B l P S J J c 1 B y a X Z h d G U i I F Z h b H V l P S J s M C I g L z 4 8 R W 5 0 c n k g V H l w Z T 0 i T m F 2 a W d h d G l v b l N 0 Z X B O Y W 1 l I i B W Y W x 1 Z T 0 i c 0 5 h d m V n Y W N p w 7 N u 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E 4 L T E w L T E 1 V D A z O j I x O j U 2 L j A 3 O T U y O D R a I i A v P j x F b n R y e S B U e X B l P S J G a W x s Q 2 9 s d W 1 u V H l w Z X M i I F Z h b H V l P S J z Q X c 9 P S I g L z 4 8 R W 5 0 c n k g V H l w Z T 0 i R m l s b E N v b H V t b k 5 h b W V z I i B W Y W x 1 Z T 0 i c 1 s m c X V v d D t B w 7 F v c y 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H D s W 8 v V G l w b y B j Y W 1 i a W F k b y 5 7 Q c O x b 3 M s M H 0 m c X V v d D t d L C Z x d W 9 0 O 0 N v b H V t b k N v d W 5 0 J n F 1 b 3 Q 7 O j E s J n F 1 b 3 Q 7 S 2 V 5 Q 2 9 s d W 1 u T m F t Z X M m c X V v d D s 6 W 1 0 s J n F 1 b 3 Q 7 Q 2 9 s d W 1 u S W R l b n R p d G l l c y Z x d W 9 0 O z p b J n F 1 b 3 Q 7 U 2 V j d G l v b j E v Q c O x b y 9 U a X B v I G N h b W J p Y W R v L n t B w 7 F v c y w w f S Z x d W 9 0 O 1 0 s J n F 1 b 3 Q 7 U m V s Y X R p b 2 5 z a G l w S W 5 m b y Z x d W 9 0 O z p b X X 0 i I C 8 + P C 9 T d G F i b G V F b n R y a W V z P j w v S X R l b T 4 8 S X R l b T 4 8 S X R l b U x v Y 2 F 0 a W 9 u P j x J d G V t V H l w Z T 5 G b 3 J t d W x h P C 9 J d G V t V H l w Z T 4 8 S X R l b V B h d G g + U 2 V j d G l v b j E v Q S V D M y V C M W 8 v T 3 J p Z 2 V u P C 9 J d G V t U G F 0 a D 4 8 L 0 l 0 Z W 1 M b 2 N h d G l v b j 4 8 U 3 R h Y m x l R W 5 0 c m l l c y A v P j w v S X R l b T 4 8 S X R l b T 4 8 S X R l b U x v Y 2 F 0 a W 9 u P j x J d G V t V H l w Z T 5 G b 3 J t d W x h P C 9 J d G V t V H l w Z T 4 8 S X R l b V B h d G g + U 2 V j d G l v b j E v Q S V D M y V C M W 8 v V G l w b y U y M G N h b W J p Y W R v P C 9 J d G V t U G F 0 a D 4 8 L 0 l 0 Z W 1 M b 2 N h d G l v b j 4 8 U 3 R h Y m x l R W 5 0 c m l l c y A v P j w v S X R l b T 4 8 S X R l b T 4 8 S X R l b U x v Y 2 F 0 a W 9 u P j x J d G V t V H l w Z T 5 G b 3 J t d W x h P C 9 J d G V t V H l w Z T 4 8 S X R l b V B h d G g + U 2 V j d G l v b j E v Q m F s Y W 5 j Z U d l b m V y Y W w 8 L 0 l 0 Z W 1 Q Y X R o P j w v S X R l b U x v Y 2 F 0 a W 9 u P j x T d G F i b G V F b n R y a W V z P j x F b n R y e S B U e X B l P S J J c 1 B y a X Z h d G U i I F Z h b H V l P S J s M C I g L z 4 8 R W 5 0 c n k g V H l w Z T 0 i T m F 2 a W d h d G l v b l N 0 Z X B O Y W 1 l I i B W Y W x 1 Z T 0 i c 0 5 h d m V n Y W N p w 7 N u 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0 N C I g L z 4 8 R W 5 0 c n k g V H l w Z T 0 i R m l s b E V y c m 9 y Q 2 9 k Z S I g V m F s d W U 9 I n N V b m t u b 3 d u I i A v P j x F b n R y e S B U e X B l P S J G a W x s R X J y b 3 J D b 3 V u d C I g V m F s d W U 9 I m w w I i A v P j x F b n R y e S B U e X B l P S J G a W x s T G F z d F V w Z G F 0 Z W Q i I F Z h b H V l P S J k M j A x O C 0 x M C 0 x N V Q x O D o 0 M j o z M S 4 1 N j Y 3 M T M 0 W i I g L z 4 8 R W 5 0 c n k g V H l w Z T 0 i R m l s b E N v b H V t b l R 5 c G V z I i B W Y W x 1 Z T 0 i c 0 J n W U R B d 0 1 E Q X d B Q U F B Q U F B Q V V G Q l F V Q U F 3 T U R B d z 0 9 I i A v P j x F b n R y e S B U e X B l P S J G a W x s Q 2 9 s d W 1 u T m F t Z X M i I F Z h b H V l P S J z W y Z x d W 9 0 O 1 R p c G 8 g Q 3 V l b n R h J n F 1 b 3 Q 7 L C Z x d W 9 0 O 0 N 1 Z W 5 0 Y S Z x d W 9 0 O y w m c X V v d D s y M D E z J n F 1 b 3 Q 7 L C Z x d W 9 0 O z I w M T Q m c X V v d D s s J n F 1 b 3 Q 7 M j A x N S Z x d W 9 0 O y w m c X V v d D s y M D E 2 J n F 1 b 3 Q 7 L C Z x d W 9 0 O z I w M T c m c X V v d D s s J n F 1 b 3 Q 7 V G V u Z G V u Y 2 l h J n F 1 b 3 Q 7 L C Z x d W 9 0 O y B B b m F s a X N p c y B W Z X J 0 a W N h b C A y M D E z J n F 1 b 3 Q 7 L C Z x d W 9 0 O y B B b m F s a X N p c y B W Z X J 0 a W N h b C A y M D E 0 J n F 1 b 3 Q 7 L C Z x d W 9 0 O y B B b m F s a X N p c y B W Z X J 0 a W N h b C A y M D E 1 J n F 1 b 3 Q 7 L C Z x d W 9 0 O y B B b m F s a X N p c y B W Z X J 0 a W N h b C A y M D E 2 J n F 1 b 3 Q 7 L C Z x d W 9 0 O y B B b m F s a X N p c y B W Z X J 0 a W N h b C A y M D E 3 J n F 1 b 3 Q 7 L C Z x d W 9 0 O y U g V m F y a W F j a c O z b i A y M D E z d n M y M D E 0 J n F 1 b 3 Q 7 L C Z x d W 9 0 O y U g V m F y a W F j a c O z b i A y M D E 0 d n M y X H U w M D I 3 M D E 1 J n F 1 b 3 Q 7 L C Z x d W 9 0 O y U g V m F y a W F j a c O z b i A y M D E 1 d n M y M D E 2 J n F 1 b 3 Q 7 L C Z x d W 9 0 O y U g V m F y a W F j a c O z b i A y M D E 2 d n M y M D E 3 J n F 1 b 3 Q 7 L C Z x d W 9 0 O 1 R l b m R l b m N p Y T I m c X V v d D s s J n F 1 b 3 Q 7 V m F y a W F j a c O z b i A y M D E z d n M y M D E 0 J n F 1 b 3 Q 7 L C Z x d W 9 0 O 1 Z h c m l h Y 2 n D s 2 4 g M j A x N H Z z M l x 1 M D A y N z A x N S Z x d W 9 0 O y w m c X V v d D t W Y X J p Y W N p w 7 N u I D I w M T V 2 c z I w M T Y m c X V v d D s s J n F 1 b 3 Q 7 V m F y a W F j a c O z b i A y M D E 1 d n M y M D E 3 J n F 1 b 3 Q 7 X S I g L z 4 8 R W 5 0 c n k g V H l w Z T 0 i R m l s b F N 0 Y X R 1 c y I g V m F s d W U 9 I n N D b 2 1 w b G V 0 Z S I g L z 4 8 R W 5 0 c n k g V H l w Z T 0 i U m V s Y X R p b 2 5 z a G l w S W 5 m b 0 N v b n R h a W 5 l c i I g V m F s d W U 9 I n N 7 J n F 1 b 3 Q 7 Y 2 9 s d W 1 u Q 2 9 1 b n Q m c X V v d D s 6 M j I s J n F 1 b 3 Q 7 a 2 V 5 Q 2 9 s d W 1 u T m F t Z X M m c X V v d D s 6 W 1 0 s J n F 1 b 3 Q 7 c X V l c n l S Z W x h d G l v b n N o a X B z J n F 1 b 3 Q 7 O l t d L C Z x d W 9 0 O 2 N v b H V t b k l k Z W 5 0 a X R p Z X M m c X V v d D s 6 W y Z x d W 9 0 O 1 N l Y 3 R p b 2 4 x L 0 J h b G F u Y 2 V H Z W 5 l c m F s L 1 R p c G 8 g Y 2 F t Y m l h Z G 8 u e 1 R p c G 8 g Q 3 V l b n R h L D B 9 J n F 1 b 3 Q 7 L C Z x d W 9 0 O 1 N l Y 3 R p b 2 4 x L 0 J h b G F u Y 2 V H Z W 5 l c m F s L 1 R p c G 8 g Y 2 F t Y m l h Z G 8 u e 0 N 1 Z W 5 0 Y S w x f S Z x d W 9 0 O y w m c X V v d D t T Z W N 0 a W 9 u M S 9 C Y W x h b m N l R 2 V u Z X J h b C 9 U a X B v I G N h b W J p Y W R v L n s y M D E z L D J 9 J n F 1 b 3 Q 7 L C Z x d W 9 0 O 1 N l Y 3 R p b 2 4 x L 0 J h b G F u Y 2 V H Z W 5 l c m F s L 1 R p c G 8 g Y 2 F t Y m l h Z G 8 u e z I w M T Q s M 3 0 m c X V v d D s s J n F 1 b 3 Q 7 U 2 V j d G l v b j E v Q m F s Y W 5 j Z U d l b m V y Y W w v V G l w b y B j Y W 1 i a W F k b y 5 7 M j A x N S w 0 f S Z x d W 9 0 O y w m c X V v d D t T Z W N 0 a W 9 u M S 9 C Y W x h b m N l R 2 V u Z X J h b C 9 U a X B v I G N h b W J p Y W R v L n s y M D E 2 L D V 9 J n F 1 b 3 Q 7 L C Z x d W 9 0 O 1 N l Y 3 R p b 2 4 x L 0 J h b G F u Y 2 V H Z W 5 l c m F s L 1 R p c G 8 g Y 2 F t Y m l h Z G 8 u e z I w M T c s N n 0 m c X V v d D s s J n F 1 b 3 Q 7 U 2 V j d G l v b j E v Q m F s Y W 5 j Z U d l b m V y Y W w v V G l w b y B j Y W 1 i a W F k b y 5 7 V G V u Z G V u Y 2 l h L D d 9 J n F 1 b 3 Q 7 L C Z x d W 9 0 O 1 N l Y 3 R p b 2 4 x L 0 J h b G F u Y 2 V H Z W 5 l c m F s L 1 R p c G 8 g Y 2 F t Y m l h Z G 8 u e y B B b m F s a X N p c y B W Z X J 0 a W N h b C A y M D E z L D h 9 J n F 1 b 3 Q 7 L C Z x d W 9 0 O 1 N l Y 3 R p b 2 4 x L 0 J h b G F u Y 2 V H Z W 5 l c m F s L 1 R p c G 8 g Y 2 F t Y m l h Z G 8 u e y B B b m F s a X N p c y B W Z X J 0 a W N h b C A y M D E 0 L D l 9 J n F 1 b 3 Q 7 L C Z x d W 9 0 O 1 N l Y 3 R p b 2 4 x L 0 J h b G F u Y 2 V H Z W 5 l c m F s L 1 R p c G 8 g Y 2 F t Y m l h Z G 8 u e y B B b m F s a X N p c y B W Z X J 0 a W N h b C A y M D E 1 L D E w f S Z x d W 9 0 O y w m c X V v d D t T Z W N 0 a W 9 u M S 9 C Y W x h b m N l R 2 V u Z X J h b C 9 U a X B v I G N h b W J p Y W R v L n s g Q W 5 h b G l z a X M g V m V y d G l j Y W w g M j A x N i w x M X 0 m c X V v d D s s J n F 1 b 3 Q 7 U 2 V j d G l v b j E v Q m F s Y W 5 j Z U d l b m V y Y W w v V G l w b y B j Y W 1 i a W F k b y 5 7 I E F u Y W x p c 2 l z I F Z l c n R p Y 2 F s I D I w M T c s M T J 9 J n F 1 b 3 Q 7 L C Z x d W 9 0 O 1 N l Y 3 R p b 2 4 x L 0 J h b G F u Y 2 V H Z W 5 l c m F s L 1 R p c G 8 g Y 2 F t Y m l h Z G 8 u e y U g V m F y a W F j a c O z b i A y M D E z d n M y M D E 0 L D E z f S Z x d W 9 0 O y w m c X V v d D t T Z W N 0 a W 9 u M S 9 C Y W x h b m N l R 2 V u Z X J h b C 9 U a X B v I G N h b W J p Y W R v L n s l I F Z h c m l h Y 2 n D s 2 4 g M j A x N H Z z M l x 1 M D A y N z A x N S w x N H 0 m c X V v d D s s J n F 1 b 3 Q 7 U 2 V j d G l v b j E v Q m F s Y W 5 j Z U d l b m V y Y W w v V G l w b y B j Y W 1 i a W F k b y 5 7 J S B W Y X J p Y W N p w 7 N u I D I w M T V 2 c z I w M T Y s M T V 9 J n F 1 b 3 Q 7 L C Z x d W 9 0 O 1 N l Y 3 R p b 2 4 x L 0 J h b G F u Y 2 V H Z W 5 l c m F s L 1 R p c G 8 g Y 2 F t Y m l h Z G 8 u e y U g V m F y a W F j a c O z b i A y M D E 2 d n M y M D E 3 L D E 2 f S Z x d W 9 0 O y w m c X V v d D t T Z W N 0 a W 9 u M S 9 C Y W x h b m N l R 2 V u Z X J h b C 9 U a X B v I G N h b W J p Y W R v L n t U Z W 5 k Z W 5 j a W E y L D E 3 f S Z x d W 9 0 O y w m c X V v d D t T Z W N 0 a W 9 u M S 9 C Y W x h b m N l R 2 V u Z X J h b C 9 U a X B v I G N h b W J p Y W R v L n t W Y X J p Y W N p w 7 N u I D I w M T N 2 c z I w M T Q s M T h 9 J n F 1 b 3 Q 7 L C Z x d W 9 0 O 1 N l Y 3 R p b 2 4 x L 0 J h b G F u Y 2 V H Z W 5 l c m F s L 1 R p c G 8 g Y 2 F t Y m l h Z G 8 u e 1 Z h c m l h Y 2 n D s 2 4 g M j A x N H Z z M l x 1 M D A y N z A x N S w x O X 0 m c X V v d D s s J n F 1 b 3 Q 7 U 2 V j d G l v b j E v Q m F s Y W 5 j Z U d l b m V y Y W w v V G l w b y B j Y W 1 i a W F k b y 5 7 V m F y a W F j a c O z b i A y M D E 1 d n M y M D E 2 L D I w f S Z x d W 9 0 O y w m c X V v d D t T Z W N 0 a W 9 u M S 9 C Y W x h b m N l R 2 V u Z X J h b C 9 U a X B v I G N h b W J p Y W R v L n t W Y X J p Y W N p w 7 N u I D I w M T V 2 c z I w M T c s M j F 9 J n F 1 b 3 Q 7 X S w m c X V v d D t D b 2 x 1 b W 5 D b 3 V u d C Z x d W 9 0 O z o y M i w m c X V v d D t L Z X l D b 2 x 1 b W 5 O Y W 1 l c y Z x d W 9 0 O z p b X S w m c X V v d D t D b 2 x 1 b W 5 J Z G V u d G l 0 a W V z J n F 1 b 3 Q 7 O l s m c X V v d D t T Z W N 0 a W 9 u M S 9 C Y W x h b m N l R 2 V u Z X J h b C 9 U a X B v I G N h b W J p Y W R v L n t U a X B v I E N 1 Z W 5 0 Y S w w f S Z x d W 9 0 O y w m c X V v d D t T Z W N 0 a W 9 u M S 9 C Y W x h b m N l R 2 V u Z X J h b C 9 U a X B v I G N h b W J p Y W R v L n t D d W V u d G E s M X 0 m c X V v d D s s J n F 1 b 3 Q 7 U 2 V j d G l v b j E v Q m F s Y W 5 j Z U d l b m V y Y W w v V G l w b y B j Y W 1 i a W F k b y 5 7 M j A x M y w y f S Z x d W 9 0 O y w m c X V v d D t T Z W N 0 a W 9 u M S 9 C Y W x h b m N l R 2 V u Z X J h b C 9 U a X B v I G N h b W J p Y W R v L n s y M D E 0 L D N 9 J n F 1 b 3 Q 7 L C Z x d W 9 0 O 1 N l Y 3 R p b 2 4 x L 0 J h b G F u Y 2 V H Z W 5 l c m F s L 1 R p c G 8 g Y 2 F t Y m l h Z G 8 u e z I w M T U s N H 0 m c X V v d D s s J n F 1 b 3 Q 7 U 2 V j d G l v b j E v Q m F s Y W 5 j Z U d l b m V y Y W w v V G l w b y B j Y W 1 i a W F k b y 5 7 M j A x N i w 1 f S Z x d W 9 0 O y w m c X V v d D t T Z W N 0 a W 9 u M S 9 C Y W x h b m N l R 2 V u Z X J h b C 9 U a X B v I G N h b W J p Y W R v L n s y M D E 3 L D Z 9 J n F 1 b 3 Q 7 L C Z x d W 9 0 O 1 N l Y 3 R p b 2 4 x L 0 J h b G F u Y 2 V H Z W 5 l c m F s L 1 R p c G 8 g Y 2 F t Y m l h Z G 8 u e 1 R l b m R l b m N p Y S w 3 f S Z x d W 9 0 O y w m c X V v d D t T Z W N 0 a W 9 u M S 9 C Y W x h b m N l R 2 V u Z X J h b C 9 U a X B v I G N h b W J p Y W R v L n s g Q W 5 h b G l z a X M g V m V y d G l j Y W w g M j A x M y w 4 f S Z x d W 9 0 O y w m c X V v d D t T Z W N 0 a W 9 u M S 9 C Y W x h b m N l R 2 V u Z X J h b C 9 U a X B v I G N h b W J p Y W R v L n s g Q W 5 h b G l z a X M g V m V y d G l j Y W w g M j A x N C w 5 f S Z x d W 9 0 O y w m c X V v d D t T Z W N 0 a W 9 u M S 9 C Y W x h b m N l R 2 V u Z X J h b C 9 U a X B v I G N h b W J p Y W R v L n s g Q W 5 h b G l z a X M g V m V y d G l j Y W w g M j A x N S w x M H 0 m c X V v d D s s J n F 1 b 3 Q 7 U 2 V j d G l v b j E v Q m F s Y W 5 j Z U d l b m V y Y W w v V G l w b y B j Y W 1 i a W F k b y 5 7 I E F u Y W x p c 2 l z I F Z l c n R p Y 2 F s I D I w M T Y s M T F 9 J n F 1 b 3 Q 7 L C Z x d W 9 0 O 1 N l Y 3 R p b 2 4 x L 0 J h b G F u Y 2 V H Z W 5 l c m F s L 1 R p c G 8 g Y 2 F t Y m l h Z G 8 u e y B B b m F s a X N p c y B W Z X J 0 a W N h b C A y M D E 3 L D E y f S Z x d W 9 0 O y w m c X V v d D t T Z W N 0 a W 9 u M S 9 C Y W x h b m N l R 2 V u Z X J h b C 9 U a X B v I G N h b W J p Y W R v L n s l I F Z h c m l h Y 2 n D s 2 4 g M j A x M 3 Z z M j A x N C w x M 3 0 m c X V v d D s s J n F 1 b 3 Q 7 U 2 V j d G l v b j E v Q m F s Y W 5 j Z U d l b m V y Y W w v V G l w b y B j Y W 1 i a W F k b y 5 7 J S B W Y X J p Y W N p w 7 N u I D I w M T R 2 c z J c d T A w M j c w M T U s M T R 9 J n F 1 b 3 Q 7 L C Z x d W 9 0 O 1 N l Y 3 R p b 2 4 x L 0 J h b G F u Y 2 V H Z W 5 l c m F s L 1 R p c G 8 g Y 2 F t Y m l h Z G 8 u e y U g V m F y a W F j a c O z b i A y M D E 1 d n M y M D E 2 L D E 1 f S Z x d W 9 0 O y w m c X V v d D t T Z W N 0 a W 9 u M S 9 C Y W x h b m N l R 2 V u Z X J h b C 9 U a X B v I G N h b W J p Y W R v L n s l I F Z h c m l h Y 2 n D s 2 4 g M j A x N n Z z M j A x N y w x N n 0 m c X V v d D s s J n F 1 b 3 Q 7 U 2 V j d G l v b j E v Q m F s Y W 5 j Z U d l b m V y Y W w v V G l w b y B j Y W 1 i a W F k b y 5 7 V G V u Z G V u Y 2 l h M i w x N 3 0 m c X V v d D s s J n F 1 b 3 Q 7 U 2 V j d G l v b j E v Q m F s Y W 5 j Z U d l b m V y Y W w v V G l w b y B j Y W 1 i a W F k b y 5 7 V m F y a W F j a c O z b i A y M D E z d n M y M D E 0 L D E 4 f S Z x d W 9 0 O y w m c X V v d D t T Z W N 0 a W 9 u M S 9 C Y W x h b m N l R 2 V u Z X J h b C 9 U a X B v I G N h b W J p Y W R v L n t W Y X J p Y W N p w 7 N u I D I w M T R 2 c z J c d T A w M j c w M T U s M T l 9 J n F 1 b 3 Q 7 L C Z x d W 9 0 O 1 N l Y 3 R p b 2 4 x L 0 J h b G F u Y 2 V H Z W 5 l c m F s L 1 R p c G 8 g Y 2 F t Y m l h Z G 8 u e 1 Z h c m l h Y 2 n D s 2 4 g M j A x N X Z z M j A x N i w y M H 0 m c X V v d D s s J n F 1 b 3 Q 7 U 2 V j d G l v b j E v Q m F s Y W 5 j Z U d l b m V y Y W w v V G l w b y B j Y W 1 i a W F k b y 5 7 V m F y a W F j a c O z b i A y M D E 1 d n M y M D E 3 L D I x f S Z x d W 9 0 O 1 0 s J n F 1 b 3 Q 7 U m V s Y X R p b 2 5 z a G l w S W 5 m b y Z x d W 9 0 O z p b X X 0 i I C 8 + P C 9 T d G F i b G V F b n R y a W V z P j w v S X R l b T 4 8 S X R l b T 4 8 S X R l b U x v Y 2 F 0 a W 9 u P j x J d G V t V H l w Z T 5 G b 3 J t d W x h P C 9 J d G V t V H l w Z T 4 8 S X R l b V B h d G g + U 2 V j d G l v b j E v Q m F s Y W 5 j Z U d l b m V y Y W w v T 3 J p Z 2 V u P C 9 J d G V t U G F 0 a D 4 8 L 0 l 0 Z W 1 M b 2 N h d G l v b j 4 8 U 3 R h Y m x l R W 5 0 c m l l c y A v P j w v S X R l b T 4 8 S X R l b T 4 8 S X R l b U x v Y 2 F 0 a W 9 u P j x J d G V t V H l w Z T 5 G b 3 J t d W x h P C 9 J d G V t V H l w Z T 4 8 S X R l b V B h d G g + U 2 V j d G l v b j E v Q m F s Y W 5 j Z U d l b m V y Y W w v V G l w b y U y M G N h b W J p Y W R v P C 9 J d G V t U G F 0 a D 4 8 L 0 l 0 Z W 1 M b 2 N h d G l v b j 4 8 U 3 R h Y m x l R W 5 0 c m l l c y A v P j w v S X R l b T 4 8 S X R l b T 4 8 S X R l b U x v Y 2 F 0 a W 9 u P j x J d G V t V H l w Z T 5 G b 3 J t d W x h P C 9 J d G V t V H l w Z T 4 8 S X R l b V B h d G g + U 2 V j d G l v b j E v Q m F s Y W 5 j Z U d l b m V y Y W x Q a X Z v d D w v S X R l b V B h d G g + P C 9 J d G V t T G 9 j Y X R p b 2 4 + P F N 0 Y W J s Z U V u d H J p Z X M + P E V u d H J 5 I F R 5 c G U 9 I k l z U H J p d m F 0 Z S I g V m F s d W U 9 I m w w I i A v P j x F b n R y e S B U e X B l P S J O Y X Z p Z 2 F 0 a W 9 u U 3 R l c E 5 h b W U i I F Z h b H V l P S J z T m F 2 Z W d h Y 2 n D s 2 4 i I C 8 + P E V u d H J 5 I F R 5 c G U 9 I k x v Y W R l Z F R v Q W 5 h b H l z a X N T Z X J 2 a W N l c y I g V m F s d W U 9 I m w w I i A v P j x F b n R y e S B U e X B l P S J G a W x s Q 2 9 1 b n Q i I F Z h b H V l P S J s M T g w I i A v P j x F b n R y e S B U e X B l P S J G a W x s R X J y b 3 J D b 2 R l I i B W Y W x 1 Z T 0 i c 1 V u a 2 5 v d 2 4 i I C 8 + P E V u d H J 5 I F R 5 c G U 9 I k Z p b G x F c n J v c k N v d W 5 0 I i B W Y W x 1 Z T 0 i b D A i I C 8 + P E V u d H J 5 I F R 5 c G U 9 I k Z p b G x M Y X N 0 V X B k Y X R l Z C I g V m F s d W U 9 I m Q y M D E 4 L T E w L T E 1 V D E 4 O j U z O j I 5 L j M 5 O T k z O T J a I i A v P j x F b n R y e S B U e X B l P S J G a W x s Q 2 9 s d W 1 u V H l w Z X M i I F Z h b H V l P S J z Q m d Z R 0 J R P T 0 i I C 8 + P E V u d H J 5 I F R 5 c G U 9 I k Z p b G x D b 2 x 1 b W 5 O Y W 1 l c y I g V m F s d W U 9 I n N b J n F 1 b 3 Q 7 V G l w b y B D d W V u d G E m c X V v d D s s J n F 1 b 3 Q 7 Q 3 V l b n R h J n F 1 b 3 Q 7 L C Z x d W 9 0 O 2 H D s W 8 m c X V v d D s s J n F 1 b 3 Q 7 V m F s b 3 I 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C Y W x h b m N l R 2 V u Z X J h b F B p d m 9 0 L 0 N v b H V t b m E g Z G U g Y W 5 1 b G F j a c O z b i B k Z S B k a W 5 h b W l 6 Y W N p w 7 N u L n t U a X B v I E N 1 Z W 5 0 Y S w w f S Z x d W 9 0 O y w m c X V v d D t T Z W N 0 a W 9 u M S 9 C Y W x h b m N l R 2 V u Z X J h b F B p d m 9 0 L 0 N v b H V t b m E g Z G U g Y W 5 1 b G F j a c O z b i B k Z S B k a W 5 h b W l 6 Y W N p w 7 N u L n t D d W V u d G E s M X 0 m c X V v d D s s J n F 1 b 3 Q 7 U 2 V j d G l v b j E v Q m F s Y W 5 j Z U d l b m V y Y W x Q a X Z v d C 9 D b 2 x 1 b W 5 h I G R l I G F u d W x h Y 2 n D s 2 4 g Z G U g Z G l u Y W 1 p e m F j a c O z b i 5 7 Q X R y a W J 1 d G 8 s M n 0 m c X V v d D s s J n F 1 b 3 Q 7 U 2 V j d G l v b j E v Q m F s Y W 5 j Z U d l b m V y Y W x Q a X Z v d C 9 D b 2 x 1 b W 5 h I G R l I G F u d W x h Y 2 n D s 2 4 g Z G U g Z G l u Y W 1 p e m F j a c O z b i 5 7 V m F s b 3 I s M 3 0 m c X V v d D t d L C Z x d W 9 0 O 0 N v b H V t b k N v d W 5 0 J n F 1 b 3 Q 7 O j Q s J n F 1 b 3 Q 7 S 2 V 5 Q 2 9 s d W 1 u T m F t Z X M m c X V v d D s 6 W 1 0 s J n F 1 b 3 Q 7 Q 2 9 s d W 1 u S W R l b n R p d G l l c y Z x d W 9 0 O z p b J n F 1 b 3 Q 7 U 2 V j d G l v b j E v Q m F s Y W 5 j Z U d l b m V y Y W x Q a X Z v d C 9 D b 2 x 1 b W 5 h I G R l I G F u d W x h Y 2 n D s 2 4 g Z G U g Z G l u Y W 1 p e m F j a c O z b i 5 7 V G l w b y B D d W V u d G E s M H 0 m c X V v d D s s J n F 1 b 3 Q 7 U 2 V j d G l v b j E v Q m F s Y W 5 j Z U d l b m V y Y W x Q a X Z v d C 9 D b 2 x 1 b W 5 h I G R l I G F u d W x h Y 2 n D s 2 4 g Z G U g Z G l u Y W 1 p e m F j a c O z b i 5 7 Q 3 V l b n R h L D F 9 J n F 1 b 3 Q 7 L C Z x d W 9 0 O 1 N l Y 3 R p b 2 4 x L 0 J h b G F u Y 2 V H Z W 5 l c m F s U G l 2 b 3 Q v Q 2 9 s d W 1 u Y S B k Z S B h b n V s Y W N p w 7 N u I G R l I G R p b m F t a X p h Y 2 n D s 2 4 u e 0 F 0 c m l i d X R v L D J 9 J n F 1 b 3 Q 7 L C Z x d W 9 0 O 1 N l Y 3 R p b 2 4 x L 0 J h b G F u Y 2 V H Z W 5 l c m F s U G l 2 b 3 Q v Q 2 9 s d W 1 u Y S B k Z S B h b n V s Y W N p w 7 N u I G R l I G R p b m F t a X p h Y 2 n D s 2 4 u e 1 Z h b G 9 y L D N 9 J n F 1 b 3 Q 7 X S w m c X V v d D t S Z W x h d G l v b n N o a X B J b m Z v J n F 1 b 3 Q 7 O l t d f S 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Q W R k Z W R U b 0 R h d G F N b 2 R l b C I g V m F s d W U 9 I m w w I i A v P j w v U 3 R h Y m x l R W 5 0 c m l l c z 4 8 L 0 l 0 Z W 0 + P E l 0 Z W 0 + P E l 0 Z W 1 M b 2 N h d G l v b j 4 8 S X R l b V R 5 c G U + R m 9 y b X V s Y T w v S X R l b V R 5 c G U + P E l 0 Z W 1 Q Y X R o P l N l Y 3 R p b 2 4 x L 0 J h b G F u Y 2 V H Z W 5 l c m F s U G l 2 b 3 Q v T 3 J p Z 2 V u P C 9 J d G V t U G F 0 a D 4 8 L 0 l 0 Z W 1 M b 2 N h d G l v b j 4 8 U 3 R h Y m x l R W 5 0 c m l l c y A v P j w v S X R l b T 4 8 S X R l b T 4 8 S X R l b U x v Y 2 F 0 a W 9 u P j x J d G V t V H l w Z T 5 G b 3 J t d W x h P C 9 J d G V t V H l w Z T 4 8 S X R l b V B h d G g + U 2 V j d G l v b j E v Q m F s Y W 5 j Z U d l b m V y Y W x Q a X Z v d C 9 U a X B v J T I w Y 2 F t Y m l h Z G 8 8 L 0 l 0 Z W 1 Q Y X R o P j w v S X R l b U x v Y 2 F 0 a W 9 u P j x T d G F i b G V F b n R y a W V z I C 8 + P C 9 J d G V t P j x J d G V t P j x J d G V t T G 9 j Y X R p b 2 4 + P E l 0 Z W 1 U e X B l P k Z v c m 1 1 b G E 8 L 0 l 0 Z W 1 U e X B l P j x J d G V t U G F 0 a D 5 T Z W N 0 a W 9 u M S 9 C Y W x h b m N l R 2 V u Z X J h b F B p d m 9 0 L 0 N v b H V t b m F z J T I w c X V p d G F k Y X M 8 L 0 l 0 Z W 1 Q Y X R o P j w v S X R l b U x v Y 2 F 0 a W 9 u P j x T d G F i b G V F b n R y a W V z I C 8 + P C 9 J d G V t P j x J d G V t P j x J d G V t T G 9 j Y X R p b 2 4 + P E l 0 Z W 1 U e X B l P k Z v c m 1 1 b G E 8 L 0 l 0 Z W 1 U e X B l P j x J d G V t U G F 0 a D 5 T Z W N 0 a W 9 u M S 9 C Y W x h b m N l R 2 V u Z X J h b F B p d m 9 0 L 0 N v b H V t b m E l M j B k Z S U y M G F u d W x h Y 2 k l Q z M l Q j N u J T I w Z G U l M j B k a W 5 h b W l 6 Y W N p J U M z J U I z b j w v S X R l b V B h d G g + P C 9 J d G V t T G 9 j Y X R p b 2 4 + P F N 0 Y W J s Z U V u d H J p Z X M g L z 4 8 L 0 l 0 Z W 0 + P E l 0 Z W 0 + P E l 0 Z W 1 M b 2 N h d G l v b j 4 8 S X R l b V R 5 c G U + R m 9 y b X V s Y T w v S X R l b V R 5 c G U + P E l 0 Z W 1 Q Y X R o P l N l Y 3 R p b 2 4 x L 0 J h b G F u Y 2 V H Z W 5 l c m F s U G l 2 b 3 Q v Q 2 9 s d W 1 u Y X M l M j B j b 2 4 l M j B u b 2 1 i c m U l M j B j Y W 1 i a W F k b z w v S X R l b V B h d G g + P C 9 J d G V t T G 9 j Y X R p b 2 4 + P F N 0 Y W J s Z U V u d H J p Z X M g L z 4 8 L 0 l 0 Z W 0 + P E l 0 Z W 0 + P E l 0 Z W 1 M b 2 N h d G l v b j 4 8 S X R l b V R 5 c G U + R m 9 y b X V s Y T w v S X R l b V R 5 c G U + P E l 0 Z W 1 Q Y X R o P l N l Y 3 R p b 2 4 x L 0 l u Z G l j Y W R v c m V z R X N 0 c m F 0 Z W d p Y 2 9 z 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F R h c m d l d C I g V m F s d W U 9 I n N J b m R p Y 2 F k b 3 J l c 0 V z d H J h d G V n a W N v c 1 8 y I i A v P j x F b n R y e S B U e X B l P S J G a W x s Z W R D b 2 1 w b G V 0 Z V J l c 3 V s d F R v V 2 9 y a 3 N o Z W V 0 I i B W Y W x 1 Z T 0 i b D E i I C 8 + P E V u d H J 5 I F R 5 c G U 9 I k Z p b G x T d G F 0 d X M i I F Z h b H V l P S J z V 2 F p d G l u Z 0 Z v c k V 4 Y 2 V s U m V m c m V z a C I g L z 4 8 R W 5 0 c n k g V H l w Z T 0 i R m l s b E N v b H V t b k 5 h b W V z I i B W Y W x 1 Z T 0 i c 1 s m c X V v d D t P c m R l b i Z x d W 9 0 O y w m c X V v d D t J T k R J Q 0 F E T 1 I g R k l O Q U 5 D S U V S T y Z x d W 9 0 O y w m c X V v d D t B d H R y a W J 1 d G U m c X V v d D s s J n F 1 b 3 Q 7 V m F s d W U m c X V v d D s s J n F 1 b 3 Q 7 Q X R 0 c m l i d X R l I C 0 g Q 2 9 w e S Z x d W 9 0 O 1 0 i I C 8 + P E V u d H J 5 I F R 5 c G U 9 I k Z p b G x D b 2 x 1 b W 5 U e X B l c y I g V m F s d W U 9 I n N C Z 1 l H Q l F Z P S I g L z 4 8 R W 5 0 c n k g V H l w Z T 0 i R m l s b E x h c 3 R V c G R h d G V k I i B W Y W x 1 Z T 0 i Z D I w M T k t M D M t M T R U M D E 6 M T A 6 N D g u M z Y z M T c w M l o i I C 8 + P E V u d H J 5 I F R 5 c G U 9 I k Z p b G x F c n J v c k N v d W 5 0 I i B W Y W x 1 Z T 0 i b D A i I C 8 + P E V u d H J 5 I F R 5 c G U 9 I k Z p b G x F c n J v c k N v Z G U i I F Z h b H V l P S J z V W 5 r b m 9 3 b i I g L z 4 8 R W 5 0 c n k g V H l w Z T 0 i R m l s b E N v d W 5 0 I i B W Y W x 1 Z T 0 i b D A 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S W 5 k a W N h Z G 9 y Z X N F c 3 R y Y X R l Z 2 l j b 3 M v V W 5 w a X Z v d G V k I E N v b H V t b n M u e 0 9 y Z G V u L D B 9 J n F 1 b 3 Q 7 L C Z x d W 9 0 O 1 N l Y 3 R p b 2 4 x L 0 l u Z G l j Y W R v c m V z R X N 0 c m F 0 Z W d p Y 2 9 z L 1 V u c G l 2 b 3 R l Z C B D b 2 x 1 b W 5 z L n t J T k R J Q 0 F E T 1 I g R k l O Q U 5 D S U V S T y w x f S Z x d W 9 0 O y w m c X V v d D t T Z W N 0 a W 9 u M S 9 J b m R p Y 2 F k b 3 J l c 0 V z d H J h d G V n a W N v c y 9 V b n B p d m 9 0 Z W Q g Q 2 9 s d W 1 u c y 5 7 Q X R 0 c m l i d X R l L D J 9 J n F 1 b 3 Q 7 L C Z x d W 9 0 O 1 N l Y 3 R p b 2 4 x L 0 l u Z G l j Y W R v c m V z R X N 0 c m F 0 Z W d p Y 2 9 z L 1 V u c G l 2 b 3 R l Z C B D b 2 x 1 b W 5 z L n t W Y W x 1 Z S w z f S Z x d W 9 0 O y w m c X V v d D t T Z W N 0 a W 9 u M S 9 J b m R p Y 2 F k b 3 J l c 0 V z d H J h d G V n a W N v c y 9 S Z X B s Y W N l Z C B W Y W x 1 Z T c u e 0 F 0 d H J p Y n V 0 Z S A t I E N v c H k s N H 0 m c X V v d D t d L C Z x d W 9 0 O 0 N v b H V t b k N v d W 5 0 J n F 1 b 3 Q 7 O j U s J n F 1 b 3 Q 7 S 2 V 5 Q 2 9 s d W 1 u T m F t Z X M m c X V v d D s 6 W 1 0 s J n F 1 b 3 Q 7 Q 2 9 s d W 1 u S W R l b n R p d G l l c y Z x d W 9 0 O z p b J n F 1 b 3 Q 7 U 2 V j d G l v b j E v S W 5 k a W N h Z G 9 y Z X N F c 3 R y Y X R l Z 2 l j b 3 M v V W 5 w a X Z v d G V k I E N v b H V t b n M u e 0 9 y Z G V u L D B 9 J n F 1 b 3 Q 7 L C Z x d W 9 0 O 1 N l Y 3 R p b 2 4 x L 0 l u Z G l j Y W R v c m V z R X N 0 c m F 0 Z W d p Y 2 9 z L 1 V u c G l 2 b 3 R l Z C B D b 2 x 1 b W 5 z L n t J T k R J Q 0 F E T 1 I g R k l O Q U 5 D S U V S T y w x f S Z x d W 9 0 O y w m c X V v d D t T Z W N 0 a W 9 u M S 9 J b m R p Y 2 F k b 3 J l c 0 V z d H J h d G V n a W N v c y 9 V b n B p d m 9 0 Z W Q g Q 2 9 s d W 1 u c y 5 7 Q X R 0 c m l i d X R l L D J 9 J n F 1 b 3 Q 7 L C Z x d W 9 0 O 1 N l Y 3 R p b 2 4 x L 0 l u Z G l j Y W R v c m V z R X N 0 c m F 0 Z W d p Y 2 9 z L 1 V u c G l 2 b 3 R l Z C B D b 2 x 1 b W 5 z L n t W Y W x 1 Z S w z f S Z x d W 9 0 O y w m c X V v d D t T Z W N 0 a W 9 u M S 9 J b m R p Y 2 F k b 3 J l c 0 V z d H J h d G V n a W N v c y 9 S Z X B s Y W N l Z C B W Y W x 1 Z T c u e 0 F 0 d H J p Y n V 0 Z S A t I E N v c H k s N H 0 m c X V v d D t d L C Z x d W 9 0 O 1 J l b G F 0 a W 9 u c 2 h p c E l u Z m 8 m c X V v d D s 6 W 1 1 9 I i A v P j w v U 3 R h Y m x l R W 5 0 c m l l c z 4 8 L 0 l 0 Z W 0 + P E l 0 Z W 0 + P E l 0 Z W 1 M b 2 N h d G l v b j 4 8 S X R l b V R 5 c G U + R m 9 y b X V s Y T w v S X R l b V R 5 c G U + P E l 0 Z W 1 Q Y X R o P l N l Y 3 R p b 2 4 x L 0 l u Z G l j Y W R v c m V z R X N 0 c m F 0 Z W d p Y 2 9 z L 1 N v d X J j Z T w v S X R l b V B h d G g + P C 9 J d G V t T G 9 j Y X R p b 2 4 + P F N 0 Y W J s Z U V u d H J p Z X M g L z 4 8 L 0 l 0 Z W 0 + P E l 0 Z W 0 + P E l 0 Z W 1 M b 2 N h d G l v b j 4 8 S X R l b V R 5 c G U + R m 9 y b X V s Y T w v S X R l b V R 5 c G U + P E l 0 Z W 1 Q Y X R o P l N l Y 3 R p b 2 4 x L 0 l u Z G l j Y W R v c m V z R X N 0 c m F 0 Z W d p Y 2 9 z L 0 N o Y W 5 n Z W Q l M j B U e X B l P C 9 J d G V t U G F 0 a D 4 8 L 0 l 0 Z W 1 M b 2 N h d G l v b j 4 8 U 3 R h Y m x l R W 5 0 c m l l c y A v P j w v S X R l b T 4 8 S X R l b T 4 8 S X R l b U x v Y 2 F 0 a W 9 u P j x J d G V t V H l w Z T 5 G b 3 J t d W x h P C 9 J d G V t V H l w Z T 4 8 S X R l b V B h d G g + U 2 V j d G l v b j E v S W 5 k a W N h Z G 9 y Z X N F c 3 R y Y X R l Z 2 l j b 3 M v U m V t b 3 Z l Z C U y M E N v b H V t b n M 8 L 0 l 0 Z W 1 Q Y X R o P j w v S X R l b U x v Y 2 F 0 a W 9 u P j x T d G F i b G V F b n R y a W V z I C 8 + P C 9 J d G V t P j x J d G V t P j x J d G V t T G 9 j Y X R p b 2 4 + P E l 0 Z W 1 U e X B l P k Z v c m 1 1 b G E 8 L 0 l 0 Z W 1 U e X B l P j x J d G V t U G F 0 a D 5 T Z W N 0 a W 9 u M S 9 J b m R p Y 2 F k b 3 J l c 0 V z d H J h d G V n a W N v c y 9 V b n B p d m 9 0 Z W Q l M j B D b 2 x 1 b W 5 z P C 9 J d G V t U G F 0 a D 4 8 L 0 l 0 Z W 1 M b 2 N h d G l v b j 4 8 U 3 R h Y m x l R W 5 0 c m l l c y A v P j w v S X R l b T 4 8 S X R l b T 4 8 S X R l b U x v Y 2 F 0 a W 9 u P j x J d G V t V H l w Z T 5 G b 3 J t d W x h P C 9 J d G V t V H l w Z T 4 8 S X R l b V B h d G g + U 2 V j d G l v b j E v S W 5 k a W N h Z G 9 y Z X N F c 3 R y Y X R l Z 2 l j b 3 M v S W 5 z Z X J 0 Z W Q l M j B M a X R l c m F s P C 9 J d G V t U G F 0 a D 4 8 L 0 l 0 Z W 1 M b 2 N h d G l v b j 4 8 U 3 R h Y m x l R W 5 0 c m l l c y A v P j w v S X R l b T 4 8 S X R l b T 4 8 S X R l b U x v Y 2 F 0 a W 9 u P j x J d G V t V H l w Z T 5 G b 3 J t d W x h P C 9 J d G V t V H l w Z T 4 8 S X R l b V B h d G g + U 2 V j d G l v b j E v S W 5 k a W N h Z G 9 y Z X N F c 3 R y Y X R l Z 2 l j b 3 M v U m V u Y W 1 l Z C U y M E N v b H V t b n M 8 L 0 l 0 Z W 1 Q Y X R o P j w v S X R l b U x v Y 2 F 0 a W 9 u P j x T d G F i b G V F b n R y a W V z I C 8 + P C 9 J d G V t P j x J d G V t P j x J d G V t T G 9 j Y X R p b 2 4 + P E l 0 Z W 1 U e X B l P k Z v c m 1 1 b G E 8 L 0 l 0 Z W 1 U e X B l P j x J d G V t U G F 0 a D 5 T Z W N 0 a W 9 u M S 9 J b m R p Y 2 F k b 3 J l c 0 V z d H J h d G V n a W N v c y 9 S Z W 1 v d m V k J T I w Q 2 9 s d W 1 u c z E 8 L 0 l 0 Z W 1 Q Y X R o P j w v S X R l b U x v Y 2 F 0 a W 9 u P j x T d G F i b G V F b n R y a W V z I C 8 + P C 9 J d G V t P j x J d G V t P j x J d G V t T G 9 j Y X R p b 2 4 + P E l 0 Z W 1 U e X B l P k Z v c m 1 1 b G E 8 L 0 l 0 Z W 1 U e X B l P j x J d G V t U G F 0 a D 5 T Z W N 0 a W 9 u M S 9 J b m R p Y 2 F k b 3 J l c 0 V z d H J h d G V n a W N v c y 9 E d X B s a W N h d G V k J T I w Q 2 9 s d W 1 u P C 9 J d G V t U G F 0 a D 4 8 L 0 l 0 Z W 1 M b 2 N h d G l v b j 4 8 U 3 R h Y m x l R W 5 0 c m l l c y A v P j w v S X R l b T 4 8 S X R l b T 4 8 S X R l b U x v Y 2 F 0 a W 9 u P j x J d G V t V H l w Z T 5 G b 3 J t d W x h P C 9 J d G V t V H l w Z T 4 8 S X R l b V B h d G g + U 2 V j d G l v b j E v S W 5 k a W N h Z G 9 y Z X N F c 3 R y Y X R l Z 2 l j b 3 M v U m V w b G F j Z W Q l M j B W Y W x 1 Z T w v S X R l b V B h d G g + P C 9 J d G V t T G 9 j Y X R p b 2 4 + P F N 0 Y W J s Z U V u d H J p Z X M g L z 4 8 L 0 l 0 Z W 0 + P E l 0 Z W 0 + P E l 0 Z W 1 M b 2 N h d G l v b j 4 8 S X R l b V R 5 c G U + R m 9 y b X V s Y T w v S X R l b V R 5 c G U + P E l 0 Z W 1 Q Y X R o P l N l Y 3 R p b 2 4 x L 0 l u Z G l j Y W R v c m V z R X N 0 c m F 0 Z W d p Y 2 9 z L 1 J l c G x h Y 2 V k J T I w V m F s d W U x P C 9 J d G V t U G F 0 a D 4 8 L 0 l 0 Z W 1 M b 2 N h d G l v b j 4 8 U 3 R h Y m x l R W 5 0 c m l l c y A v P j w v S X R l b T 4 8 S X R l b T 4 8 S X R l b U x v Y 2 F 0 a W 9 u P j x J d G V t V H l w Z T 5 G b 3 J t d W x h P C 9 J d G V t V H l w Z T 4 8 S X R l b V B h d G g + U 2 V j d G l v b j E v S W 5 k a W N h Z G 9 y Z X N F c 3 R y Y X R l Z 2 l j b 3 M v U m V w b G F j Z W Q l M j B W Y W x 1 Z T I 8 L 0 l 0 Z W 1 Q Y X R o P j w v S X R l b U x v Y 2 F 0 a W 9 u P j x T d G F i b G V F b n R y a W V z I C 8 + P C 9 J d G V t P j x J d G V t P j x J d G V t T G 9 j Y X R p b 2 4 + P E l 0 Z W 1 U e X B l P k Z v c m 1 1 b G E 8 L 0 l 0 Z W 1 U e X B l P j x J d G V t U G F 0 a D 5 T Z W N 0 a W 9 u M S 9 J b m R p Y 2 F k b 3 J l c 0 V z d H J h d G V n a W N v c y 9 S Z X B s Y W N l Z C U y M F Z h b H V l M z w v S X R l b V B h d G g + P C 9 J d G V t T G 9 j Y X R p b 2 4 + P F N 0 Y W J s Z U V u d H J p Z X M g L z 4 8 L 0 l 0 Z W 0 + P E l 0 Z W 0 + P E l 0 Z W 1 M b 2 N h d G l v b j 4 8 S X R l b V R 5 c G U + R m 9 y b X V s Y T w v S X R l b V R 5 c G U + P E l 0 Z W 1 Q Y X R o P l N l Y 3 R p b 2 4 x L 0 l u Z G l j Y W R v c m V z R X N 0 c m F 0 Z W d p Y 2 9 z L 1 J l c G x h Y 2 V k J T I w V m F s d W U 0 P C 9 J d G V t U G F 0 a D 4 8 L 0 l 0 Z W 1 M b 2 N h d G l v b j 4 8 U 3 R h Y m x l R W 5 0 c m l l c y A v P j w v S X R l b T 4 8 S X R l b T 4 8 S X R l b U x v Y 2 F 0 a W 9 u P j x J d G V t V H l w Z T 5 G b 3 J t d W x h P C 9 J d G V t V H l w Z T 4 8 S X R l b V B h d G g + U 2 V j d G l v b j E v S W 5 k a W N h Z G 9 y Z X N F c 3 R y Y X R l Z 2 l j b 3 M v U m V w b G F j Z W Q l M j B W Y W x 1 Z T U 8 L 0 l 0 Z W 1 Q Y X R o P j w v S X R l b U x v Y 2 F 0 a W 9 u P j x T d G F i b G V F b n R y a W V z I C 8 + P C 9 J d G V t P j x J d G V t P j x J d G V t T G 9 j Y X R p b 2 4 + P E l 0 Z W 1 U e X B l P k Z v c m 1 1 b G E 8 L 0 l 0 Z W 1 U e X B l P j x J d G V t U G F 0 a D 5 T Z W N 0 a W 9 u M S 9 J b m R p Y 2 F k b 3 J l c 0 V z d H J h d G V n a W N v c y 9 S Z X B s Y W N l Z C U y M F Z h b H V l N j w v S X R l b V B h d G g + P C 9 J d G V t T G 9 j Y X R p b 2 4 + P F N 0 Y W J s Z U V u d H J p Z X M g L z 4 8 L 0 l 0 Z W 0 + P E l 0 Z W 0 + P E l 0 Z W 1 M b 2 N h d G l v b j 4 8 S X R l b V R 5 c G U + R m 9 y b X V s Y T w v S X R l b V R 5 c G U + P E l 0 Z W 1 Q Y X R o P l N l Y 3 R p b 2 4 x L 0 l u Z G l j Y W R v c m V z R X N 0 c m F 0 Z W d p Y 2 9 z L 1 J l c G x h Y 2 V k J T I w V m F s d W U 3 P C 9 J d G V t U G F 0 a D 4 8 L 0 l 0 Z W 1 M b 2 N h d G l v b j 4 8 U 3 R h Y m x l R W 5 0 c m l l c y A v P j w v S X R l b T 4 8 L 0 l 0 Z W 1 z P j w v T G 9 j Y W x Q Y W N r Y W d l T W V 0 Y W R h d G F G a W x l P h Y A A A B Q S w U G A A A A A A A A A A A A A A A A A A A A A A A A J g E A A A E A A A D Q j J 3 f A R X R E Y x 6 A M B P w p f r A Q A A A O C o R o h W l / h F h + B 9 Y k h f F F A A A A A A A g A A A A A A E G Y A A A A B A A A g A A A A R A E I 1 2 E Y 0 1 G 5 t R q v H L z K f H f 8 k t U Q X Q h a x a F x 4 G I 5 w a Q A A A A A D o A A A A A C A A A g A A A A 2 / y 1 1 3 C j H z d O Z P a q 6 T w e f 1 1 8 H C Z O J B / j X 1 d + 6 1 p 5 x 3 5 Q A A A A E W D h X k a K X D O U 9 4 8 F y r V x E q g v 0 I U q V j / N g a 5 p M t 2 O e / D y p R 2 3 C g 2 A f M E 9 s y J g k R c J k H L e D F u b U v l w r j I A E F i + v G P 2 x g a B X h f B 4 n + S n s + T 0 n h A A A A A 6 l y f / 8 R Y e 1 b b g / b X e G s r P d h 1 N y / v w 2 1 i a l / 9 R Y + V j X a P 5 J h E A G E z f y n y o t T q g j Q I v K j G U 0 O y q k X C 5 v s + + N N x 0 w = = < / D a t a M a s h u p > 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 E s t a d o s D e R e s u l t a d o s 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 E s t a d o s D e R e s u l t a d o s 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 C o l u m n s \ O r d e n < / K e y > < / D i a g r a m O b j e c t K e y > < D i a g r a m O b j e c t K e y > < K e y > C o l u m n s \ E s t a d o s   d e   R e s u l t a d o s   C o n s o l i d a d o s < / K e y > < / D i a g r a m O b j e c t K e y > < D i a g r a m O b j e c t K e y > < K e y > C o l u m n s \ 2 0 1 3 < / K e y > < / D i a g r a m O b j e c t K e y > < D i a g r a m O b j e c t K e y > < K e y > C o l u m n s \ 2 0 1 4 < / K e y > < / D i a g r a m O b j e c t K e y > < D i a g r a m O b j e c t K e y > < K e y > C o l u m n s \ 2 0 1 5 < / K e y > < / D i a g r a m O b j e c t K e y > < D i a g r a m O b j e c t K e y > < K e y > C o l u m n s \ 2 0 1 6 < / K e y > < / D i a g r a m O b j e c t K e y > < D i a g r a m O b j e c t K e y > < K e y > C o l u m n s \ 2 0 1 7 < / K e y > < / D i a g r a m O b j e c t K e y > < D i a g r a m O b j e c t K e y > < K e y > C o l u m n s \ %   V a r i a c i � n   2 0 1 3 v s 2 0 1 4 < / K e y > < / D i a g r a m O b j e c t K e y > < D i a g r a m O b j e c t K e y > < K e y > C o l u m n s \ V a r i a c i o n     2 0 1 3 v s 2 0 1 4 < / K e y > < / D i a g r a m O b j e c t K e y > < D i a g r a m O b j e c t K e y > < K e y > C o l u m n s \ %   V a r i a c i o n   2 0 1 4 v s 2 0 1 5 < / K e y > < / D i a g r a m O b j e c t K e y > < D i a g r a m O b j e c t K e y > < K e y > C o l u m n s \ V a r i a c i � n   2 0 1 4 v s 2 0 1 5 < / K e y > < / D i a g r a m O b j e c t K e y > < D i a g r a m O b j e c t K e y > < K e y > C o l u m n s \ %   V a r i a c i o n   2 0 1 5 v s 2 0 1 6 < / K e y > < / D i a g r a m O b j e c t K e y > < D i a g r a m O b j e c t K e y > < K e y > C o l u m n s \ V a r i a c i o n   2 0 1 5 v s 2 0 1 6 < / K e y > < / D i a g r a m O b j e c t K e y > < D i a g r a m O b j e c t K e y > < K e y > C o l u m n s \ %   V a r i a c i o n   2 0 1 6 v s 2 0 1 7 < / K e y > < / D i a g r a m O b j e c t K e y > < D i a g r a m O b j e c t K e y > < K e y > C o l u m n s \ V a r i a c i o n   2 0 1 6 v s 2 0 1 7 < / K e y > < / D i a g r a m O b j e c t K e y > < D i a g r a m O b j e c t K e y > < K e y > C o l u m n s \ %   P a r t   2 0 1 3 < / K e y > < / D i a g r a m O b j e c t K e y > < D i a g r a m O b j e c t K e y > < K e y > C o l u m n s \ %   P a r t   2 0 1 4 < / K e y > < / D i a g r a m O b j e c t K e y > < D i a g r a m O b j e c t K e y > < K e y > C o l u m n s \ %   P a r t   2 0 1 5 < / K e y > < / D i a g r a m O b j e c t K e y > < D i a g r a m O b j e c t K e y > < K e y > C o l u m n s \ %   P a r t   2 0 1 6 < / K e y > < / D i a g r a m O b j e c t K e y > < D i a g r a m O b j e c t K e y > < K e y > C o l u m n s \ %   P a r t   2 0 1 7 < / 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 C o l u m n s \ O r d e n < / K e y > < / a : K e y > < a : V a l u e   i : t y p e = " M e a s u r e G r i d N o d e V i e w S t a t e " > < L a y e d O u t > t r u e < / L a y e d O u t > < / a : V a l u e > < / a : K e y V a l u e O f D i a g r a m O b j e c t K e y a n y T y p e z b w N T n L X > < a : K e y V a l u e O f D i a g r a m O b j e c t K e y a n y T y p e z b w N T n L X > < a : K e y > < K e y > C o l u m n s \ E s t a d o s   d e   R e s u l t a d o s   C o n s o l i d a d o s < / K e y > < / a : K e y > < a : V a l u e   i : t y p e = " M e a s u r e G r i d N o d e V i e w S t a t e " > < C o l u m n > 1 < / C o l u m n > < L a y e d O u t > t r u e < / L a y e d O u t > < / a : V a l u e > < / a : K e y V a l u e O f D i a g r a m O b j e c t K e y a n y T y p e z b w N T n L X > < a : K e y V a l u e O f D i a g r a m O b j e c t K e y a n y T y p e z b w N T n L X > < a : K e y > < K e y > C o l u m n s \ 2 0 1 3 < / K e y > < / a : K e y > < a : V a l u e   i : t y p e = " M e a s u r e G r i d N o d e V i e w S t a t e " > < C o l u m n > 2 < / C o l u m n > < L a y e d O u t > t r u e < / L a y e d O u t > < / a : V a l u e > < / a : K e y V a l u e O f D i a g r a m O b j e c t K e y a n y T y p e z b w N T n L X > < a : K e y V a l u e O f D i a g r a m O b j e c t K e y a n y T y p e z b w N T n L X > < a : K e y > < K e y > C o l u m n s \ 2 0 1 4 < / K e y > < / a : K e y > < a : V a l u e   i : t y p e = " M e a s u r e G r i d N o d e V i e w S t a t e " > < C o l u m n > 3 < / C o l u m n > < L a y e d O u t > t r u e < / L a y e d O u t > < / a : V a l u e > < / a : K e y V a l u e O f D i a g r a m O b j e c t K e y a n y T y p e z b w N T n L X > < a : K e y V a l u e O f D i a g r a m O b j e c t K e y a n y T y p e z b w N T n L X > < a : K e y > < K e y > C o l u m n s \ 2 0 1 5 < / K e y > < / a : K e y > < a : V a l u e   i : t y p e = " M e a s u r e G r i d N o d e V i e w S t a t e " > < C o l u m n > 4 < / C o l u m n > < L a y e d O u t > t r u e < / L a y e d O u t > < / a : V a l u e > < / a : K e y V a l u e O f D i a g r a m O b j e c t K e y a n y T y p e z b w N T n L X > < a : K e y V a l u e O f D i a g r a m O b j e c t K e y a n y T y p e z b w N T n L X > < a : K e y > < K e y > C o l u m n s \ 2 0 1 6 < / K e y > < / a : K e y > < a : V a l u e   i : t y p e = " M e a s u r e G r i d N o d e V i e w S t a t e " > < C o l u m n > 5 < / C o l u m n > < L a y e d O u t > t r u e < / L a y e d O u t > < / a : V a l u e > < / a : K e y V a l u e O f D i a g r a m O b j e c t K e y a n y T y p e z b w N T n L X > < a : K e y V a l u e O f D i a g r a m O b j e c t K e y a n y T y p e z b w N T n L X > < a : K e y > < K e y > C o l u m n s \ 2 0 1 7 < / K e y > < / a : K e y > < a : V a l u e   i : t y p e = " M e a s u r e G r i d N o d e V i e w S t a t e " > < C o l u m n > 6 < / C o l u m n > < L a y e d O u t > t r u e < / L a y e d O u t > < / a : V a l u e > < / a : K e y V a l u e O f D i a g r a m O b j e c t K e y a n y T y p e z b w N T n L X > < a : K e y V a l u e O f D i a g r a m O b j e c t K e y a n y T y p e z b w N T n L X > < a : K e y > < K e y > C o l u m n s \ %   V a r i a c i � n   2 0 1 3 v s 2 0 1 4 < / K e y > < / a : K e y > < a : V a l u e   i : t y p e = " M e a s u r e G r i d N o d e V i e w S t a t e " > < C o l u m n > 7 < / C o l u m n > < L a y e d O u t > t r u e < / L a y e d O u t > < / a : V a l u e > < / a : K e y V a l u e O f D i a g r a m O b j e c t K e y a n y T y p e z b w N T n L X > < a : K e y V a l u e O f D i a g r a m O b j e c t K e y a n y T y p e z b w N T n L X > < a : K e y > < K e y > C o l u m n s \ V a r i a c i o n     2 0 1 3 v s 2 0 1 4 < / K e y > < / a : K e y > < a : V a l u e   i : t y p e = " M e a s u r e G r i d N o d e V i e w S t a t e " > < C o l u m n > 8 < / C o l u m n > < L a y e d O u t > t r u e < / L a y e d O u t > < / a : V a l u e > < / a : K e y V a l u e O f D i a g r a m O b j e c t K e y a n y T y p e z b w N T n L X > < a : K e y V a l u e O f D i a g r a m O b j e c t K e y a n y T y p e z b w N T n L X > < a : K e y > < K e y > C o l u m n s \ %   V a r i a c i o n   2 0 1 4 v s 2 0 1 5 < / K e y > < / a : K e y > < a : V a l u e   i : t y p e = " M e a s u r e G r i d N o d e V i e w S t a t e " > < C o l u m n > 9 < / C o l u m n > < L a y e d O u t > t r u e < / L a y e d O u t > < / a : V a l u e > < / a : K e y V a l u e O f D i a g r a m O b j e c t K e y a n y T y p e z b w N T n L X > < a : K e y V a l u e O f D i a g r a m O b j e c t K e y a n y T y p e z b w N T n L X > < a : K e y > < K e y > C o l u m n s \ V a r i a c i � n   2 0 1 4 v s 2 0 1 5 < / K e y > < / a : K e y > < a : V a l u e   i : t y p e = " M e a s u r e G r i d N o d e V i e w S t a t e " > < C o l u m n > 1 0 < / C o l u m n > < L a y e d O u t > t r u e < / L a y e d O u t > < / a : V a l u e > < / a : K e y V a l u e O f D i a g r a m O b j e c t K e y a n y T y p e z b w N T n L X > < a : K e y V a l u e O f D i a g r a m O b j e c t K e y a n y T y p e z b w N T n L X > < a : K e y > < K e y > C o l u m n s \ %   V a r i a c i o n   2 0 1 5 v s 2 0 1 6 < / K e y > < / a : K e y > < a : V a l u e   i : t y p e = " M e a s u r e G r i d N o d e V i e w S t a t e " > < C o l u m n > 1 1 < / C o l u m n > < L a y e d O u t > t r u e < / L a y e d O u t > < / a : V a l u e > < / a : K e y V a l u e O f D i a g r a m O b j e c t K e y a n y T y p e z b w N T n L X > < a : K e y V a l u e O f D i a g r a m O b j e c t K e y a n y T y p e z b w N T n L X > < a : K e y > < K e y > C o l u m n s \ V a r i a c i o n   2 0 1 5 v s 2 0 1 6 < / K e y > < / a : K e y > < a : V a l u e   i : t y p e = " M e a s u r e G r i d N o d e V i e w S t a t e " > < C o l u m n > 1 2 < / C o l u m n > < L a y e d O u t > t r u e < / L a y e d O u t > < / a : V a l u e > < / a : K e y V a l u e O f D i a g r a m O b j e c t K e y a n y T y p e z b w N T n L X > < a : K e y V a l u e O f D i a g r a m O b j e c t K e y a n y T y p e z b w N T n L X > < a : K e y > < K e y > C o l u m n s \ %   V a r i a c i o n   2 0 1 6 v s 2 0 1 7 < / K e y > < / a : K e y > < a : V a l u e   i : t y p e = " M e a s u r e G r i d N o d e V i e w S t a t e " > < C o l u m n > 1 3 < / C o l u m n > < L a y e d O u t > t r u e < / L a y e d O u t > < / a : V a l u e > < / a : K e y V a l u e O f D i a g r a m O b j e c t K e y a n y T y p e z b w N T n L X > < a : K e y V a l u e O f D i a g r a m O b j e c t K e y a n y T y p e z b w N T n L X > < a : K e y > < K e y > C o l u m n s \ V a r i a c i o n   2 0 1 6 v s 2 0 1 7 < / K e y > < / a : K e y > < a : V a l u e   i : t y p e = " M e a s u r e G r i d N o d e V i e w S t a t e " > < C o l u m n > 1 4 < / C o l u m n > < L a y e d O u t > t r u e < / L a y e d O u t > < / a : V a l u e > < / a : K e y V a l u e O f D i a g r a m O b j e c t K e y a n y T y p e z b w N T n L X > < a : K e y V a l u e O f D i a g r a m O b j e c t K e y a n y T y p e z b w N T n L X > < a : K e y > < K e y > C o l u m n s \ %   P a r t   2 0 1 3 < / K e y > < / a : K e y > < a : V a l u e   i : t y p e = " M e a s u r e G r i d N o d e V i e w S t a t e " > < C o l u m n > 1 5 < / C o l u m n > < L a y e d O u t > t r u e < / L a y e d O u t > < / a : V a l u e > < / a : K e y V a l u e O f D i a g r a m O b j e c t K e y a n y T y p e z b w N T n L X > < a : K e y V a l u e O f D i a g r a m O b j e c t K e y a n y T y p e z b w N T n L X > < a : K e y > < K e y > C o l u m n s \ %   P a r t   2 0 1 4 < / K e y > < / a : K e y > < a : V a l u e   i : t y p e = " M e a s u r e G r i d N o d e V i e w S t a t e " > < C o l u m n > 1 6 < / C o l u m n > < L a y e d O u t > t r u e < / L a y e d O u t > < / a : V a l u e > < / a : K e y V a l u e O f D i a g r a m O b j e c t K e y a n y T y p e z b w N T n L X > < a : K e y V a l u e O f D i a g r a m O b j e c t K e y a n y T y p e z b w N T n L X > < a : K e y > < K e y > C o l u m n s \ %   P a r t   2 0 1 5 < / K e y > < / a : K e y > < a : V a l u e   i : t y p e = " M e a s u r e G r i d N o d e V i e w S t a t e " > < C o l u m n > 1 7 < / C o l u m n > < L a y e d O u t > t r u e < / L a y e d O u t > < / a : V a l u e > < / a : K e y V a l u e O f D i a g r a m O b j e c t K e y a n y T y p e z b w N T n L X > < a : K e y V a l u e O f D i a g r a m O b j e c t K e y a n y T y p e z b w N T n L X > < a : K e y > < K e y > C o l u m n s \ %   P a r t   2 0 1 6 < / K e y > < / a : K e y > < a : V a l u e   i : t y p e = " M e a s u r e G r i d N o d e V i e w S t a t e " > < C o l u m n > 1 8 < / C o l u m n > < L a y e d O u t > t r u e < / L a y e d O u t > < / a : V a l u e > < / a : K e y V a l u e O f D i a g r a m O b j e c t K e y a n y T y p e z b w N T n L X > < a : K e y V a l u e O f D i a g r a m O b j e c t K e y a n y T y p e z b w N T n L X > < a : K e y > < K e y > C o l u m n s \ %   P a r t   2 0 1 7 < / K e y > < / a : K e y > < a : V a l u e   i : t y p e = " M e a s u r e G r i d N o d e V i e w S t a t e " > < C o l u m n > 1 9 < / C o l u m n > < L a y e d O u t > t r u e < / L a y e d O u t > < / a : V a l u e > < / a : K e y V a l u e O f D i a g r a m O b j e c t K e y a n y T y p e z b w N T n L X > < / V i e w S t a t e s > < / D i a g r a m M a n a g e r . S e r i a l i z a b l e D i a g r a m > < D i a g r a m M a n a g e r . S e r i a l i z a b l e D i a g r a m > < A d a p t e r   i : t y p e = " M e a s u r e D i a g r a m S a n d b o x A d a p t e r " > < T a b l e N a m e > A � o 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 C o l u m n s \ A � o s 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 1 0 < / F o c u s R o w > < S e l e c t i o n E n d R o w > 1 0 < / S e l e c t i o n E n d R o w > < S e l e c t i o n S t a r t R o w > 1 0 < / 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 C o l u m n s \ A � o s < / K e y > < / a : K e y > < a : V a l u e   i : t y p e = " M e a s u r e G r i d N o d e V i e w S t a t e " > < L a y e d O u t > t r u e < / L a y e d O u t > < / a : V a l u e > < / a : K e y V a l u e O f D i a g r a m O b j e c t K e y a n y T y p e z b w N T n L X > < / V i e w S t a t e s > < / D i a g r a m M a n a g e r . S e r i a l i z a b l e D i a g r a m > < D i a g r a m M a n a g e r . S e r i a l i z a b l e D i a g r a m > < A d a p t e r   i : t y p e = " M e a s u r e D i a g r a m S a n d b o x A d a p t e r " > < T a b l e N a m e > E s t a d o s D e R e s u l t a d o s A n a l V e r t i c a l 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 E s t a d o s D e R e s u l t a d o s A n a l V e r t i c a l 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 C o l u m n s \ O r d e n < / K e y > < / D i a g r a m O b j e c t K e y > < D i a g r a m O b j e c t K e y > < K e y > C o l u m n s \ E s t a d o s   d e   R e s u l t a d o s   C o n s o l i d a d o s < / K e y > < / D i a g r a m O b j e c t K e y > < D i a g r a m O b j e c t K e y > < K e y > C o l u m n s \ A � o < / K e y > < / D i a g r a m O b j e c t K e y > < D i a g r a m O b j e c t K e y > < K e y > C o l u m n s \ V a l o r 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 C o l u m n s \ O r d e n < / K e y > < / a : K e y > < a : V a l u e   i : t y p e = " M e a s u r e G r i d N o d e V i e w S t a t e " > < L a y e d O u t > t r u e < / L a y e d O u t > < / a : V a l u e > < / a : K e y V a l u e O f D i a g r a m O b j e c t K e y a n y T y p e z b w N T n L X > < a : K e y V a l u e O f D i a g r a m O b j e c t K e y a n y T y p e z b w N T n L X > < a : K e y > < K e y > C o l u m n s \ E s t a d o s   d e   R e s u l t a d o s   C o n s o l i d a d o s < / K e y > < / a : K e y > < a : V a l u e   i : t y p e = " M e a s u r e G r i d N o d e V i e w S t a t e " > < C o l u m n > 1 < / C o l u m n > < L a y e d O u t > t r u e < / L a y e d O u t > < / a : V a l u e > < / a : K e y V a l u e O f D i a g r a m O b j e c t K e y a n y T y p e z b w N T n L X > < a : K e y V a l u e O f D i a g r a m O b j e c t K e y a n y T y p e z b w N T n L X > < a : K e y > < K e y > C o l u m n s \ A � o < / K e y > < / a : K e y > < a : V a l u e   i : t y p e = " M e a s u r e G r i d N o d e V i e w S t a t e " > < C o l u m n > 2 < / C o l u m n > < L a y e d O u t > t r u e < / L a y e d O u t > < / a : V a l u e > < / a : K e y V a l u e O f D i a g r a m O b j e c t K e y a n y T y p e z b w N T n L X > < a : K e y V a l u e O f D i a g r a m O b j e c t K e y a n y T y p e z b w N T n L X > < a : K e y > < K e y > C o l u m n s \ V a l o r < / 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 T a g s \ T a b l e s \ & l t ; T a b l e s \ B a l a n c e G e n e r a l & g t ; < / K e y > < / D i a g r a m O b j e c t K e y > < D i a g r a m O b j e c t K e y > < K e y > D y n a m i c   T a g s \ T a b l e s \ & l t ; T a b l e s \ E s t a d o s D e R e s u l t a d o s & g t ; < / K e y > < / D i a g r a m O b j e c t K e y > < D i a g r a m O b j e c t K e y > < K e y > D y n a m i c   T a g s \ T a b l e s \ & l t ; T a b l e s \ A � o & g t ; < / K e y > < / D i a g r a m O b j e c t K e y > < D i a g r a m O b j e c t K e y > < K e y > D y n a m i c   T a g s \ T a b l e s \ & l t ; T a b l e s \ E s t a d o s D e R e s u l t a d o s A n a l V e r t i c a l & g t ; < / K e y > < / D i a g r a m O b j e c t K e y > < D i a g r a m O b j e c t K e y > < K e y > D y n a m i c   T a g s \ T a b l e s \ & l t ; T a b l e s \ B a l a n c e G e n e r a l P i v o t _ _ 2 & g t ; < / K e y > < / D i a g r a m O b j e c t K e y > < D i a g r a m O b j e c t K e y > < K e y > T a b l e s \ B a l a n c e G e n e r a l < / K e y > < / D i a g r a m O b j e c t K e y > < D i a g r a m O b j e c t K e y > < K e y > T a b l e s \ B a l a n c e G e n e r a l \ C o l u m n s \ T i p o   C u e n t a < / K e y > < / D i a g r a m O b j e c t K e y > < D i a g r a m O b j e c t K e y > < K e y > T a b l e s \ B a l a n c e G e n e r a l \ C o l u m n s \ C u e n t a < / K e y > < / D i a g r a m O b j e c t K e y > < D i a g r a m O b j e c t K e y > < K e y > T a b l e s \ B a l a n c e G e n e r a l \ C o l u m n s \ 2 0 1 3 < / K e y > < / D i a g r a m O b j e c t K e y > < D i a g r a m O b j e c t K e y > < K e y > T a b l e s \ B a l a n c e G e n e r a l \ C o l u m n s \ 2 0 1 4 < / K e y > < / D i a g r a m O b j e c t K e y > < D i a g r a m O b j e c t K e y > < K e y > T a b l e s \ B a l a n c e G e n e r a l \ C o l u m n s \ 2 0 1 5 < / K e y > < / D i a g r a m O b j e c t K e y > < D i a g r a m O b j e c t K e y > < K e y > T a b l e s \ B a l a n c e G e n e r a l \ C o l u m n s \ 2 0 1 6 < / K e y > < / D i a g r a m O b j e c t K e y > < D i a g r a m O b j e c t K e y > < K e y > T a b l e s \ B a l a n c e G e n e r a l \ C o l u m n s \ 2 0 1 7 < / K e y > < / D i a g r a m O b j e c t K e y > < D i a g r a m O b j e c t K e y > < K e y > T a b l e s \ B a l a n c e G e n e r a l \ C o l u m n s \ T e n d e n c i a < / K e y > < / D i a g r a m O b j e c t K e y > < D i a g r a m O b j e c t K e y > < K e y > T a b l e s \ B a l a n c e G e n e r a l \ C o l u m n s \ A n a l i s i s   V e r t i c a l   2 0 1 3 < / K e y > < / D i a g r a m O b j e c t K e y > < D i a g r a m O b j e c t K e y > < K e y > T a b l e s \ B a l a n c e G e n e r a l \ C o l u m n s \ A n a l i s i s   V e r t i c a l   2 0 1 4 < / K e y > < / D i a g r a m O b j e c t K e y > < D i a g r a m O b j e c t K e y > < K e y > T a b l e s \ B a l a n c e G e n e r a l \ C o l u m n s \ A n a l i s i s   V e r t i c a l   2 0 1 5 < / K e y > < / D i a g r a m O b j e c t K e y > < D i a g r a m O b j e c t K e y > < K e y > T a b l e s \ B a l a n c e G e n e r a l \ C o l u m n s \ A n a l i s i s   V e r t i c a l   2 0 1 6 < / K e y > < / D i a g r a m O b j e c t K e y > < D i a g r a m O b j e c t K e y > < K e y > T a b l e s \ B a l a n c e G e n e r a l \ C o l u m n s \ A n a l i s i s   V e r t i c a l   2 0 1 7 < / K e y > < / D i a g r a m O b j e c t K e y > < D i a g r a m O b j e c t K e y > < K e y > T a b l e s \ B a l a n c e G e n e r a l \ C o l u m n s \ %   V a r i a c i � n   2 0 1 3 v s 2 0 1 4 < / K e y > < / D i a g r a m O b j e c t K e y > < D i a g r a m O b j e c t K e y > < K e y > T a b l e s \ B a l a n c e G e n e r a l \ C o l u m n s \ %   V a r i a c i � n   2 0 1 4 v s 2 ' 0 1 5 < / K e y > < / D i a g r a m O b j e c t K e y > < D i a g r a m O b j e c t K e y > < K e y > T a b l e s \ B a l a n c e G e n e r a l \ C o l u m n s \ %   V a r i a c i � n   2 0 1 5 v s 2 0 1 6 < / K e y > < / D i a g r a m O b j e c t K e y > < D i a g r a m O b j e c t K e y > < K e y > T a b l e s \ B a l a n c e G e n e r a l \ C o l u m n s \ %   V a r i a c i � n   2 0 1 6 v s 2 0 1 7 < / K e y > < / D i a g r a m O b j e c t K e y > < D i a g r a m O b j e c t K e y > < K e y > T a b l e s \ B a l a n c e G e n e r a l \ C o l u m n s \ T e n d e n c i a 2 < / K e y > < / D i a g r a m O b j e c t K e y > < D i a g r a m O b j e c t K e y > < K e y > T a b l e s \ B a l a n c e G e n e r a l \ C o l u m n s \ V a r i a c i � n   2 0 1 3 v s 2 0 1 4 < / K e y > < / D i a g r a m O b j e c t K e y > < D i a g r a m O b j e c t K e y > < K e y > T a b l e s \ B a l a n c e G e n e r a l \ C o l u m n s \ V a r i a c i � n   2 0 1 4 v s 2 ' 0 1 5 < / K e y > < / D i a g r a m O b j e c t K e y > < D i a g r a m O b j e c t K e y > < K e y > T a b l e s \ B a l a n c e G e n e r a l \ C o l u m n s \ V a r i a c i � n   2 0 1 5 v s 2 0 1 6 < / K e y > < / D i a g r a m O b j e c t K e y > < D i a g r a m O b j e c t K e y > < K e y > T a b l e s \ B a l a n c e G e n e r a l \ C o l u m n s \ V a r i a c i � n     2 0 1 6 v s 2 0 1 7 < / K e y > < / D i a g r a m O b j e c t K e y > < D i a g r a m O b j e c t K e y > < K e y > T a b l e s \ E s t a d o s D e R e s u l t a d o s < / K e y > < / D i a g r a m O b j e c t K e y > < D i a g r a m O b j e c t K e y > < K e y > T a b l e s \ E s t a d o s D e R e s u l t a d o s \ C o l u m n s \ O r d e n < / K e y > < / D i a g r a m O b j e c t K e y > < D i a g r a m O b j e c t K e y > < K e y > T a b l e s \ E s t a d o s D e R e s u l t a d o s \ C o l u m n s \ E s t a d o s   d e   R e s u l t a d o s   C o n s o l i d a d o s < / K e y > < / D i a g r a m O b j e c t K e y > < D i a g r a m O b j e c t K e y > < K e y > T a b l e s \ E s t a d o s D e R e s u l t a d o s \ C o l u m n s \ 2 0 1 3 < / K e y > < / D i a g r a m O b j e c t K e y > < D i a g r a m O b j e c t K e y > < K e y > T a b l e s \ E s t a d o s D e R e s u l t a d o s \ C o l u m n s \ 2 0 1 4 < / K e y > < / D i a g r a m O b j e c t K e y > < D i a g r a m O b j e c t K e y > < K e y > T a b l e s \ E s t a d o s D e R e s u l t a d o s \ C o l u m n s \ 2 0 1 5 < / K e y > < / D i a g r a m O b j e c t K e y > < D i a g r a m O b j e c t K e y > < K e y > T a b l e s \ E s t a d o s D e R e s u l t a d o s \ C o l u m n s \ 2 0 1 6 < / K e y > < / D i a g r a m O b j e c t K e y > < D i a g r a m O b j e c t K e y > < K e y > T a b l e s \ E s t a d o s D e R e s u l t a d o s \ C o l u m n s \ 2 0 1 7 < / K e y > < / D i a g r a m O b j e c t K e y > < D i a g r a m O b j e c t K e y > < K e y > T a b l e s \ E s t a d o s D e R e s u l t a d o s \ C o l u m n s \ %   V a r i a c i � n   2 0 1 3 v s 2 0 1 4 < / K e y > < / D i a g r a m O b j e c t K e y > < D i a g r a m O b j e c t K e y > < K e y > T a b l e s \ E s t a d o s D e R e s u l t a d o s \ C o l u m n s \ V a r i a c i o n     2 0 1 3 v s 2 0 1 4 < / K e y > < / D i a g r a m O b j e c t K e y > < D i a g r a m O b j e c t K e y > < K e y > T a b l e s \ E s t a d o s D e R e s u l t a d o s \ C o l u m n s \ %   V a r i a c i o n   2 0 1 4 v s 2 0 1 5 < / K e y > < / D i a g r a m O b j e c t K e y > < D i a g r a m O b j e c t K e y > < K e y > T a b l e s \ E s t a d o s D e R e s u l t a d o s \ C o l u m n s \ V a r i a c i � n   2 0 1 4 v s 2 0 1 5 < / K e y > < / D i a g r a m O b j e c t K e y > < D i a g r a m O b j e c t K e y > < K e y > T a b l e s \ E s t a d o s D e R e s u l t a d o s \ C o l u m n s \ %   V a r i a c i o n   2 0 1 5 v s 2 0 1 6 < / K e y > < / D i a g r a m O b j e c t K e y > < D i a g r a m O b j e c t K e y > < K e y > T a b l e s \ E s t a d o s D e R e s u l t a d o s \ C o l u m n s \ V a r i a c i o n   2 0 1 5 v s 2 0 1 6 < / K e y > < / D i a g r a m O b j e c t K e y > < D i a g r a m O b j e c t K e y > < K e y > T a b l e s \ E s t a d o s D e R e s u l t a d o s \ C o l u m n s \ %   V a r i a c i o n   2 0 1 6 v s 2 0 1 7 < / K e y > < / D i a g r a m O b j e c t K e y > < D i a g r a m O b j e c t K e y > < K e y > T a b l e s \ E s t a d o s D e R e s u l t a d o s \ C o l u m n s \ V a r i a c i o n   2 0 1 6 v s 2 0 1 7 < / K e y > < / D i a g r a m O b j e c t K e y > < D i a g r a m O b j e c t K e y > < K e y > T a b l e s \ E s t a d o s D e R e s u l t a d o s \ C o l u m n s \ %   P a r t   2 0 1 3 < / K e y > < / D i a g r a m O b j e c t K e y > < D i a g r a m O b j e c t K e y > < K e y > T a b l e s \ E s t a d o s D e R e s u l t a d o s \ C o l u m n s \ %   P a r t   2 0 1 4 < / K e y > < / D i a g r a m O b j e c t K e y > < D i a g r a m O b j e c t K e y > < K e y > T a b l e s \ E s t a d o s D e R e s u l t a d o s \ C o l u m n s \ %   P a r t   2 0 1 5 < / K e y > < / D i a g r a m O b j e c t K e y > < D i a g r a m O b j e c t K e y > < K e y > T a b l e s \ E s t a d o s D e R e s u l t a d o s \ C o l u m n s \ %   P a r t   2 0 1 6 < / K e y > < / D i a g r a m O b j e c t K e y > < D i a g r a m O b j e c t K e y > < K e y > T a b l e s \ E s t a d o s D e R e s u l t a d o s \ C o l u m n s \ %   P a r t   2 0 1 7 < / K e y > < / D i a g r a m O b j e c t K e y > < D i a g r a m O b j e c t K e y > < K e y > T a b l e s \ A � o < / K e y > < / D i a g r a m O b j e c t K e y > < D i a g r a m O b j e c t K e y > < K e y > T a b l e s \ A � o \ C o l u m n s \ A � o s < / K e y > < / D i a g r a m O b j e c t K e y > < D i a g r a m O b j e c t K e y > < K e y > T a b l e s \ E s t a d o s D e R e s u l t a d o s A n a l V e r t i c a l < / K e y > < / D i a g r a m O b j e c t K e y > < D i a g r a m O b j e c t K e y > < K e y > T a b l e s \ E s t a d o s D e R e s u l t a d o s A n a l V e r t i c a l \ C o l u m n s \ O r d e n < / K e y > < / D i a g r a m O b j e c t K e y > < D i a g r a m O b j e c t K e y > < K e y > T a b l e s \ E s t a d o s D e R e s u l t a d o s A n a l V e r t i c a l \ C o l u m n s \ E s t a d o s   d e   R e s u l t a d o s   C o n s o l i d a d o s < / K e y > < / D i a g r a m O b j e c t K e y > < D i a g r a m O b j e c t K e y > < K e y > T a b l e s \ E s t a d o s D e R e s u l t a d o s A n a l V e r t i c a l \ C o l u m n s \ A � o < / K e y > < / D i a g r a m O b j e c t K e y > < D i a g r a m O b j e c t K e y > < K e y > T a b l e s \ E s t a d o s D e R e s u l t a d o s A n a l V e r t i c a l \ C o l u m n s \ V a l o r < / K e y > < / D i a g r a m O b j e c t K e y > < D i a g r a m O b j e c t K e y > < K e y > T a b l e s \ B a l a n c e G e n e r a l P i v o t _ _ 2 < / K e y > < / D i a g r a m O b j e c t K e y > < D i a g r a m O b j e c t K e y > < K e y > T a b l e s \ B a l a n c e G e n e r a l P i v o t _ _ 2 \ C o l u m n s \ T i p o   C u e n t a < / K e y > < / D i a g r a m O b j e c t K e y > < D i a g r a m O b j e c t K e y > < K e y > T a b l e s \ B a l a n c e G e n e r a l P i v o t _ _ 2 \ C o l u m n s \ C u e n t a < / K e y > < / D i a g r a m O b j e c t K e y > < D i a g r a m O b j e c t K e y > < K e y > T a b l e s \ B a l a n c e G e n e r a l P i v o t _ _ 2 \ C o l u m n s \ a � o < / K e y > < / D i a g r a m O b j e c t K e y > < D i a g r a m O b j e c t K e y > < K e y > T a b l e s \ B a l a n c e G e n e r a l P i v o t _ _ 2 \ C o l u m n s \ V a l o r < / K e y > < / D i a g r a m O b j e c t K e y > < D i a g r a m O b j e c t K e y > < K e y > R e l a t i o n s h i p s \ & l t ; T a b l e s \ E s t a d o s D e R e s u l t a d o s A n a l V e r t i c a l \ C o l u m n s \ A � o & g t ; - & l t ; T a b l e s \ A � o \ C o l u m n s \ A � o s & g t ; < / K e y > < / D i a g r a m O b j e c t K e y > < D i a g r a m O b j e c t K e y > < K e y > R e l a t i o n s h i p s \ & l t ; T a b l e s \ E s t a d o s D e R e s u l t a d o s A n a l V e r t i c a l \ C o l u m n s \ A � o & g t ; - & l t ; T a b l e s \ A � o \ C o l u m n s \ A � o s & g t ; \ F K < / K e y > < / D i a g r a m O b j e c t K e y > < D i a g r a m O b j e c t K e y > < K e y > R e l a t i o n s h i p s \ & l t ; T a b l e s \ E s t a d o s D e R e s u l t a d o s A n a l V e r t i c a l \ C o l u m n s \ A � o & g t ; - & l t ; T a b l e s \ A � o \ C o l u m n s \ A � o s & g t ; \ P K < / K e y > < / D i a g r a m O b j e c t K e y > < D i a g r a m O b j e c t K e y > < K e y > R e l a t i o n s h i p s \ & l t ; T a b l e s \ E s t a d o s D e R e s u l t a d o s A n a l V e r t i c a l \ C o l u m n s \ A � o & g t ; - & l t ; T a b l e s \ A � o \ C o l u m n s \ A � o s & g t ; \ C r o s s F i l t e r < / K e y > < / D i a g r a m O b j e c t K e y > < D i a g r a m O b j e c t K e y > < K e y > R e l a t i o n s h i p s \ & l t ; T a b l e s \ B a l a n c e G e n e r a l P i v o t _ _ 2 \ C o l u m n s \ a � o & g t ; - & l t ; T a b l e s \ A � o \ C o l u m n s \ A � o s & g t ; < / K e y > < / D i a g r a m O b j e c t K e y > < D i a g r a m O b j e c t K e y > < K e y > R e l a t i o n s h i p s \ & l t ; T a b l e s \ B a l a n c e G e n e r a l P i v o t _ _ 2 \ C o l u m n s \ a � o & g t ; - & l t ; T a b l e s \ A � o \ C o l u m n s \ A � o s & g t ; \ F K < / K e y > < / D i a g r a m O b j e c t K e y > < D i a g r a m O b j e c t K e y > < K e y > R e l a t i o n s h i p s \ & l t ; T a b l e s \ B a l a n c e G e n e r a l P i v o t _ _ 2 \ C o l u m n s \ a � o & g t ; - & l t ; T a b l e s \ A � o \ C o l u m n s \ A � o s & g t ; \ P K < / K e y > < / D i a g r a m O b j e c t K e y > < D i a g r a m O b j e c t K e y > < K e y > R e l a t i o n s h i p s \ & l t ; T a b l e s \ B a l a n c e G e n e r a l P i v o t _ _ 2 \ C o l u m n s \ a � o & g t ; - & l t ; T a b l e s \ A � o \ C o l u m n s \ A � o s & g t ; \ C r o s s F i l t e r < / K e y > < / D i a g r a m O b j e c t K e y > < / A l l K e y s > < S e l e c t e d K e y s > < D i a g r a m O b j e c t K e y > < K e y > T a b l e s \ B a l a n c e G e n e r a l P i v o t _ _ 2 < / 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 3 4 . 2 1 1 4 3 1 7 0 2 9 9 7 7 4 3 < / 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 T a g s \ T a b l e s \ & l t ; T a b l e s \ B a l a n c e G e n e r a l & g t ; < / K e y > < / a : K e y > < a : V a l u e   i : t y p e = " D i a g r a m D i s p l a y T a g V i e w S t a t e " > < I s N o t F i l t e r e d O u t > t r u e < / I s N o t F i l t e r e d O u t > < / a : V a l u e > < / a : K e y V a l u e O f D i a g r a m O b j e c t K e y a n y T y p e z b w N T n L X > < a : K e y V a l u e O f D i a g r a m O b j e c t K e y a n y T y p e z b w N T n L X > < a : K e y > < K e y > D y n a m i c   T a g s \ T a b l e s \ & l t ; T a b l e s \ E s t a d o s D e R e s u l t a d o s & g t ; < / K e y > < / a : K e y > < a : V a l u e   i : t y p e = " D i a g r a m D i s p l a y T a g V i e w S t a t e " > < I s N o t F i l t e r e d O u t > t r u e < / I s N o t F i l t e r e d O u t > < / a : V a l u e > < / a : K e y V a l u e O f D i a g r a m O b j e c t K e y a n y T y p e z b w N T n L X > < a : K e y V a l u e O f D i a g r a m O b j e c t K e y a n y T y p e z b w N T n L X > < a : K e y > < K e y > D y n a m i c   T a g s \ T a b l e s \ & l t ; T a b l e s \ A � o & g t ; < / K e y > < / a : K e y > < a : V a l u e   i : t y p e = " D i a g r a m D i s p l a y T a g V i e w S t a t e " > < I s N o t F i l t e r e d O u t > t r u e < / I s N o t F i l t e r e d O u t > < / a : V a l u e > < / a : K e y V a l u e O f D i a g r a m O b j e c t K e y a n y T y p e z b w N T n L X > < a : K e y V a l u e O f D i a g r a m O b j e c t K e y a n y T y p e z b w N T n L X > < a : K e y > < K e y > D y n a m i c   T a g s \ T a b l e s \ & l t ; T a b l e s \ E s t a d o s D e R e s u l t a d o s A n a l V e r t i c a l & g t ; < / K e y > < / a : K e y > < a : V a l u e   i : t y p e = " D i a g r a m D i s p l a y T a g V i e w S t a t e " > < I s N o t F i l t e r e d O u t > t r u e < / I s N o t F i l t e r e d O u t > < / a : V a l u e > < / a : K e y V a l u e O f D i a g r a m O b j e c t K e y a n y T y p e z b w N T n L X > < a : K e y V a l u e O f D i a g r a m O b j e c t K e y a n y T y p e z b w N T n L X > < a : K e y > < K e y > D y n a m i c   T a g s \ T a b l e s \ & l t ; T a b l e s \ B a l a n c e G e n e r a l P i v o t _ _ 2 & g t ; < / K e y > < / a : K e y > < a : V a l u e   i : t y p e = " D i a g r a m D i s p l a y T a g V i e w S t a t e " > < I s N o t F i l t e r e d O u t > t r u e < / I s N o t F i l t e r e d O u t > < / a : V a l u e > < / a : K e y V a l u e O f D i a g r a m O b j e c t K e y a n y T y p e z b w N T n L X > < a : K e y V a l u e O f D i a g r a m O b j e c t K e y a n y T y p e z b w N T n L X > < a : K e y > < K e y > T a b l e s \ B a l a n c e G e n e r a l < / K e y > < / a : K e y > < a : V a l u e   i : t y p e = " D i a g r a m D i s p l a y N o d e V i e w S t a t e " > < H e i g h t > 2 3 8 < / H e i g h t > < I s E x p a n d e d > t r u e < / I s E x p a n d e d > < L a y e d O u t > t r u e < / L a y e d O u t > < W i d t h > 2 0 0 < / W i d t h > < / a : V a l u e > < / a : K e y V a l u e O f D i a g r a m O b j e c t K e y a n y T y p e z b w N T n L X > < a : K e y V a l u e O f D i a g r a m O b j e c t K e y a n y T y p e z b w N T n L X > < a : K e y > < K e y > T a b l e s \ B a l a n c e G e n e r a l \ C o l u m n s \ T i p o   C u e n t a < / K e y > < / a : K e y > < a : V a l u e   i : t y p e = " D i a g r a m D i s p l a y N o d e V i e w S t a t e " > < H e i g h t > 1 5 0 < / H e i g h t > < I s E x p a n d e d > t r u e < / I s E x p a n d e d > < W i d t h > 2 0 0 < / W i d t h > < / a : V a l u e > < / a : K e y V a l u e O f D i a g r a m O b j e c t K e y a n y T y p e z b w N T n L X > < a : K e y V a l u e O f D i a g r a m O b j e c t K e y a n y T y p e z b w N T n L X > < a : K e y > < K e y > T a b l e s \ B a l a n c e G e n e r a l \ C o l u m n s \ C u e n t a < / K e y > < / a : K e y > < a : V a l u e   i : t y p e = " D i a g r a m D i s p l a y N o d e V i e w S t a t e " > < H e i g h t > 1 5 0 < / H e i g h t > < I s E x p a n d e d > t r u e < / I s E x p a n d e d > < W i d t h > 2 0 0 < / W i d t h > < / a : V a l u e > < / a : K e y V a l u e O f D i a g r a m O b j e c t K e y a n y T y p e z b w N T n L X > < a : K e y V a l u e O f D i a g r a m O b j e c t K e y a n y T y p e z b w N T n L X > < a : K e y > < K e y > T a b l e s \ B a l a n c e G e n e r a l \ C o l u m n s \ 2 0 1 3 < / K e y > < / a : K e y > < a : V a l u e   i : t y p e = " D i a g r a m D i s p l a y N o d e V i e w S t a t e " > < H e i g h t > 1 5 0 < / H e i g h t > < I s E x p a n d e d > t r u e < / I s E x p a n d e d > < W i d t h > 2 0 0 < / W i d t h > < / a : V a l u e > < / a : K e y V a l u e O f D i a g r a m O b j e c t K e y a n y T y p e z b w N T n L X > < a : K e y V a l u e O f D i a g r a m O b j e c t K e y a n y T y p e z b w N T n L X > < a : K e y > < K e y > T a b l e s \ B a l a n c e G e n e r a l \ C o l u m n s \ 2 0 1 4 < / K e y > < / a : K e y > < a : V a l u e   i : t y p e = " D i a g r a m D i s p l a y N o d e V i e w S t a t e " > < H e i g h t > 1 5 0 < / H e i g h t > < I s E x p a n d e d > t r u e < / I s E x p a n d e d > < W i d t h > 2 0 0 < / W i d t h > < / a : V a l u e > < / a : K e y V a l u e O f D i a g r a m O b j e c t K e y a n y T y p e z b w N T n L X > < a : K e y V a l u e O f D i a g r a m O b j e c t K e y a n y T y p e z b w N T n L X > < a : K e y > < K e y > T a b l e s \ B a l a n c e G e n e r a l \ C o l u m n s \ 2 0 1 5 < / K e y > < / a : K e y > < a : V a l u e   i : t y p e = " D i a g r a m D i s p l a y N o d e V i e w S t a t e " > < H e i g h t > 1 5 0 < / H e i g h t > < I s E x p a n d e d > t r u e < / I s E x p a n d e d > < W i d t h > 2 0 0 < / W i d t h > < / a : V a l u e > < / a : K e y V a l u e O f D i a g r a m O b j e c t K e y a n y T y p e z b w N T n L X > < a : K e y V a l u e O f D i a g r a m O b j e c t K e y a n y T y p e z b w N T n L X > < a : K e y > < K e y > T a b l e s \ B a l a n c e G e n e r a l \ C o l u m n s \ 2 0 1 6 < / K e y > < / a : K e y > < a : V a l u e   i : t y p e = " D i a g r a m D i s p l a y N o d e V i e w S t a t e " > < H e i g h t > 1 5 0 < / H e i g h t > < I s E x p a n d e d > t r u e < / I s E x p a n d e d > < W i d t h > 2 0 0 < / W i d t h > < / a : V a l u e > < / a : K e y V a l u e O f D i a g r a m O b j e c t K e y a n y T y p e z b w N T n L X > < a : K e y V a l u e O f D i a g r a m O b j e c t K e y a n y T y p e z b w N T n L X > < a : K e y > < K e y > T a b l e s \ B a l a n c e G e n e r a l \ C o l u m n s \ 2 0 1 7 < / K e y > < / a : K e y > < a : V a l u e   i : t y p e = " D i a g r a m D i s p l a y N o d e V i e w S t a t e " > < H e i g h t > 1 5 0 < / H e i g h t > < I s E x p a n d e d > t r u e < / I s E x p a n d e d > < W i d t h > 2 0 0 < / W i d t h > < / a : V a l u e > < / a : K e y V a l u e O f D i a g r a m O b j e c t K e y a n y T y p e z b w N T n L X > < a : K e y V a l u e O f D i a g r a m O b j e c t K e y a n y T y p e z b w N T n L X > < a : K e y > < K e y > T a b l e s \ B a l a n c e G e n e r a l \ C o l u m n s \ T e n d e n c i a < / K e y > < / a : K e y > < a : V a l u e   i : t y p e = " D i a g r a m D i s p l a y N o d e V i e w S t a t e " > < H e i g h t > 1 5 0 < / H e i g h t > < I s E x p a n d e d > t r u e < / I s E x p a n d e d > < W i d t h > 2 0 0 < / W i d t h > < / a : V a l u e > < / a : K e y V a l u e O f D i a g r a m O b j e c t K e y a n y T y p e z b w N T n L X > < a : K e y V a l u e O f D i a g r a m O b j e c t K e y a n y T y p e z b w N T n L X > < a : K e y > < K e y > T a b l e s \ B a l a n c e G e n e r a l \ C o l u m n s \ A n a l i s i s   V e r t i c a l   2 0 1 3 < / K e y > < / a : K e y > < a : V a l u e   i : t y p e = " D i a g r a m D i s p l a y N o d e V i e w S t a t e " > < H e i g h t > 1 5 0 < / H e i g h t > < I s E x p a n d e d > t r u e < / I s E x p a n d e d > < W i d t h > 2 0 0 < / W i d t h > < / a : V a l u e > < / a : K e y V a l u e O f D i a g r a m O b j e c t K e y a n y T y p e z b w N T n L X > < a : K e y V a l u e O f D i a g r a m O b j e c t K e y a n y T y p e z b w N T n L X > < a : K e y > < K e y > T a b l e s \ B a l a n c e G e n e r a l \ C o l u m n s \ A n a l i s i s   V e r t i c a l   2 0 1 4 < / K e y > < / a : K e y > < a : V a l u e   i : t y p e = " D i a g r a m D i s p l a y N o d e V i e w S t a t e " > < H e i g h t > 1 5 0 < / H e i g h t > < I s E x p a n d e d > t r u e < / I s E x p a n d e d > < W i d t h > 2 0 0 < / W i d t h > < / a : V a l u e > < / a : K e y V a l u e O f D i a g r a m O b j e c t K e y a n y T y p e z b w N T n L X > < a : K e y V a l u e O f D i a g r a m O b j e c t K e y a n y T y p e z b w N T n L X > < a : K e y > < K e y > T a b l e s \ B a l a n c e G e n e r a l \ C o l u m n s \ A n a l i s i s   V e r t i c a l   2 0 1 5 < / K e y > < / a : K e y > < a : V a l u e   i : t y p e = " D i a g r a m D i s p l a y N o d e V i e w S t a t e " > < H e i g h t > 1 5 0 < / H e i g h t > < I s E x p a n d e d > t r u e < / I s E x p a n d e d > < W i d t h > 2 0 0 < / W i d t h > < / a : V a l u e > < / a : K e y V a l u e O f D i a g r a m O b j e c t K e y a n y T y p e z b w N T n L X > < a : K e y V a l u e O f D i a g r a m O b j e c t K e y a n y T y p e z b w N T n L X > < a : K e y > < K e y > T a b l e s \ B a l a n c e G e n e r a l \ C o l u m n s \ A n a l i s i s   V e r t i c a l   2 0 1 6 < / K e y > < / a : K e y > < a : V a l u e   i : t y p e = " D i a g r a m D i s p l a y N o d e V i e w S t a t e " > < H e i g h t > 1 5 0 < / H e i g h t > < I s E x p a n d e d > t r u e < / I s E x p a n d e d > < W i d t h > 2 0 0 < / W i d t h > < / a : V a l u e > < / a : K e y V a l u e O f D i a g r a m O b j e c t K e y a n y T y p e z b w N T n L X > < a : K e y V a l u e O f D i a g r a m O b j e c t K e y a n y T y p e z b w N T n L X > < a : K e y > < K e y > T a b l e s \ B a l a n c e G e n e r a l \ C o l u m n s \ A n a l i s i s   V e r t i c a l   2 0 1 7 < / K e y > < / a : K e y > < a : V a l u e   i : t y p e = " D i a g r a m D i s p l a y N o d e V i e w S t a t e " > < H e i g h t > 1 5 0 < / H e i g h t > < I s E x p a n d e d > t r u e < / I s E x p a n d e d > < W i d t h > 2 0 0 < / W i d t h > < / a : V a l u e > < / a : K e y V a l u e O f D i a g r a m O b j e c t K e y a n y T y p e z b w N T n L X > < a : K e y V a l u e O f D i a g r a m O b j e c t K e y a n y T y p e z b w N T n L X > < a : K e y > < K e y > T a b l e s \ B a l a n c e G e n e r a l \ C o l u m n s \ %   V a r i a c i � n   2 0 1 3 v s 2 0 1 4 < / K e y > < / a : K e y > < a : V a l u e   i : t y p e = " D i a g r a m D i s p l a y N o d e V i e w S t a t e " > < H e i g h t > 1 5 0 < / H e i g h t > < I s E x p a n d e d > t r u e < / I s E x p a n d e d > < W i d t h > 2 0 0 < / W i d t h > < / a : V a l u e > < / a : K e y V a l u e O f D i a g r a m O b j e c t K e y a n y T y p e z b w N T n L X > < a : K e y V a l u e O f D i a g r a m O b j e c t K e y a n y T y p e z b w N T n L X > < a : K e y > < K e y > T a b l e s \ B a l a n c e G e n e r a l \ C o l u m n s \ %   V a r i a c i � n   2 0 1 4 v s 2 ' 0 1 5 < / K e y > < / a : K e y > < a : V a l u e   i : t y p e = " D i a g r a m D i s p l a y N o d e V i e w S t a t e " > < H e i g h t > 1 5 0 < / H e i g h t > < I s E x p a n d e d > t r u e < / I s E x p a n d e d > < W i d t h > 2 0 0 < / W i d t h > < / a : V a l u e > < / a : K e y V a l u e O f D i a g r a m O b j e c t K e y a n y T y p e z b w N T n L X > < a : K e y V a l u e O f D i a g r a m O b j e c t K e y a n y T y p e z b w N T n L X > < a : K e y > < K e y > T a b l e s \ B a l a n c e G e n e r a l \ C o l u m n s \ %   V a r i a c i � n   2 0 1 5 v s 2 0 1 6 < / K e y > < / a : K e y > < a : V a l u e   i : t y p e = " D i a g r a m D i s p l a y N o d e V i e w S t a t e " > < H e i g h t > 1 5 0 < / H e i g h t > < I s E x p a n d e d > t r u e < / I s E x p a n d e d > < W i d t h > 2 0 0 < / W i d t h > < / a : V a l u e > < / a : K e y V a l u e O f D i a g r a m O b j e c t K e y a n y T y p e z b w N T n L X > < a : K e y V a l u e O f D i a g r a m O b j e c t K e y a n y T y p e z b w N T n L X > < a : K e y > < K e y > T a b l e s \ B a l a n c e G e n e r a l \ C o l u m n s \ %   V a r i a c i � n   2 0 1 6 v s 2 0 1 7 < / K e y > < / a : K e y > < a : V a l u e   i : t y p e = " D i a g r a m D i s p l a y N o d e V i e w S t a t e " > < H e i g h t > 1 5 0 < / H e i g h t > < I s E x p a n d e d > t r u e < / I s E x p a n d e d > < W i d t h > 2 0 0 < / W i d t h > < / a : V a l u e > < / a : K e y V a l u e O f D i a g r a m O b j e c t K e y a n y T y p e z b w N T n L X > < a : K e y V a l u e O f D i a g r a m O b j e c t K e y a n y T y p e z b w N T n L X > < a : K e y > < K e y > T a b l e s \ B a l a n c e G e n e r a l \ C o l u m n s \ T e n d e n c i a 2 < / K e y > < / a : K e y > < a : V a l u e   i : t y p e = " D i a g r a m D i s p l a y N o d e V i e w S t a t e " > < H e i g h t > 1 5 0 < / H e i g h t > < I s E x p a n d e d > t r u e < / I s E x p a n d e d > < W i d t h > 2 0 0 < / W i d t h > < / a : V a l u e > < / a : K e y V a l u e O f D i a g r a m O b j e c t K e y a n y T y p e z b w N T n L X > < a : K e y V a l u e O f D i a g r a m O b j e c t K e y a n y T y p e z b w N T n L X > < a : K e y > < K e y > T a b l e s \ B a l a n c e G e n e r a l \ C o l u m n s \ V a r i a c i � n   2 0 1 3 v s 2 0 1 4 < / K e y > < / a : K e y > < a : V a l u e   i : t y p e = " D i a g r a m D i s p l a y N o d e V i e w S t a t e " > < H e i g h t > 1 5 0 < / H e i g h t > < I s E x p a n d e d > t r u e < / I s E x p a n d e d > < W i d t h > 2 0 0 < / W i d t h > < / a : V a l u e > < / a : K e y V a l u e O f D i a g r a m O b j e c t K e y a n y T y p e z b w N T n L X > < a : K e y V a l u e O f D i a g r a m O b j e c t K e y a n y T y p e z b w N T n L X > < a : K e y > < K e y > T a b l e s \ B a l a n c e G e n e r a l \ C o l u m n s \ V a r i a c i � n   2 0 1 4 v s 2 ' 0 1 5 < / K e y > < / a : K e y > < a : V a l u e   i : t y p e = " D i a g r a m D i s p l a y N o d e V i e w S t a t e " > < H e i g h t > 1 5 0 < / H e i g h t > < I s E x p a n d e d > t r u e < / I s E x p a n d e d > < W i d t h > 2 0 0 < / W i d t h > < / a : V a l u e > < / a : K e y V a l u e O f D i a g r a m O b j e c t K e y a n y T y p e z b w N T n L X > < a : K e y V a l u e O f D i a g r a m O b j e c t K e y a n y T y p e z b w N T n L X > < a : K e y > < K e y > T a b l e s \ B a l a n c e G e n e r a l \ C o l u m n s \ V a r i a c i � n   2 0 1 5 v s 2 0 1 6 < / K e y > < / a : K e y > < a : V a l u e   i : t y p e = " D i a g r a m D i s p l a y N o d e V i e w S t a t e " > < H e i g h t > 1 5 0 < / H e i g h t > < I s E x p a n d e d > t r u e < / I s E x p a n d e d > < W i d t h > 2 0 0 < / W i d t h > < / a : V a l u e > < / a : K e y V a l u e O f D i a g r a m O b j e c t K e y a n y T y p e z b w N T n L X > < a : K e y V a l u e O f D i a g r a m O b j e c t K e y a n y T y p e z b w N T n L X > < a : K e y > < K e y > T a b l e s \ B a l a n c e G e n e r a l \ C o l u m n s \ V a r i a c i � n     2 0 1 6 v s 2 0 1 7 < / K e y > < / a : K e y > < a : V a l u e   i : t y p e = " D i a g r a m D i s p l a y N o d e V i e w S t a t e " > < H e i g h t > 1 5 0 < / H e i g h t > < I s E x p a n d e d > t r u e < / I s E x p a n d e d > < W i d t h > 2 0 0 < / W i d t h > < / a : V a l u e > < / a : K e y V a l u e O f D i a g r a m O b j e c t K e y a n y T y p e z b w N T n L X > < a : K e y V a l u e O f D i a g r a m O b j e c t K e y a n y T y p e z b w N T n L X > < a : K e y > < K e y > T a b l e s \ E s t a d o s D e R e s u l t a d o s < / K e y > < / a : K e y > < a : V a l u e   i : t y p e = " D i a g r a m D i s p l a y N o d e V i e w S t a t e " > < H e i g h t > 5 4 8 < / H e i g h t > < I s E x p a n d e d > t r u e < / I s E x p a n d e d > < L a y e d O u t > t r u e < / L a y e d O u t > < L e f t > 3 2 9 . 9 0 3 8 1 0 5 6 7 6 6 5 8 < / L e f t > < T a b I n d e x > 1 < / T a b I n d e x > < W i d t h > 2 0 0 < / W i d t h > < / a : V a l u e > < / a : K e y V a l u e O f D i a g r a m O b j e c t K e y a n y T y p e z b w N T n L X > < a : K e y V a l u e O f D i a g r a m O b j e c t K e y a n y T y p e z b w N T n L X > < a : K e y > < K e y > T a b l e s \ E s t a d o s D e R e s u l t a d o s \ C o l u m n s \ O r d e n < / K e y > < / a : K e y > < a : V a l u e   i : t y p e = " D i a g r a m D i s p l a y N o d e V i e w S t a t e " > < H e i g h t > 1 5 0 < / H e i g h t > < I s E x p a n d e d > t r u e < / I s E x p a n d e d > < W i d t h > 2 0 0 < / W i d t h > < / a : V a l u e > < / a : K e y V a l u e O f D i a g r a m O b j e c t K e y a n y T y p e z b w N T n L X > < a : K e y V a l u e O f D i a g r a m O b j e c t K e y a n y T y p e z b w N T n L X > < a : K e y > < K e y > T a b l e s \ E s t a d o s D e R e s u l t a d o s \ C o l u m n s \ E s t a d o s   d e   R e s u l t a d o s   C o n s o l i d a d o s < / K e y > < / a : K e y > < a : V a l u e   i : t y p e = " D i a g r a m D i s p l a y N o d e V i e w S t a t e " > < H e i g h t > 1 5 0 < / H e i g h t > < I s E x p a n d e d > t r u e < / I s E x p a n d e d > < W i d t h > 2 0 0 < / W i d t h > < / a : V a l u e > < / a : K e y V a l u e O f D i a g r a m O b j e c t K e y a n y T y p e z b w N T n L X > < a : K e y V a l u e O f D i a g r a m O b j e c t K e y a n y T y p e z b w N T n L X > < a : K e y > < K e y > T a b l e s \ E s t a d o s D e R e s u l t a d o s \ C o l u m n s \ 2 0 1 3 < / K e y > < / a : K e y > < a : V a l u e   i : t y p e = " D i a g r a m D i s p l a y N o d e V i e w S t a t e " > < H e i g h t > 1 5 0 < / H e i g h t > < I s E x p a n d e d > t r u e < / I s E x p a n d e d > < W i d t h > 2 0 0 < / W i d t h > < / a : V a l u e > < / a : K e y V a l u e O f D i a g r a m O b j e c t K e y a n y T y p e z b w N T n L X > < a : K e y V a l u e O f D i a g r a m O b j e c t K e y a n y T y p e z b w N T n L X > < a : K e y > < K e y > T a b l e s \ E s t a d o s D e R e s u l t a d o s \ C o l u m n s \ 2 0 1 4 < / K e y > < / a : K e y > < a : V a l u e   i : t y p e = " D i a g r a m D i s p l a y N o d e V i e w S t a t e " > < H e i g h t > 1 5 0 < / H e i g h t > < I s E x p a n d e d > t r u e < / I s E x p a n d e d > < W i d t h > 2 0 0 < / W i d t h > < / a : V a l u e > < / a : K e y V a l u e O f D i a g r a m O b j e c t K e y a n y T y p e z b w N T n L X > < a : K e y V a l u e O f D i a g r a m O b j e c t K e y a n y T y p e z b w N T n L X > < a : K e y > < K e y > T a b l e s \ E s t a d o s D e R e s u l t a d o s \ C o l u m n s \ 2 0 1 5 < / K e y > < / a : K e y > < a : V a l u e   i : t y p e = " D i a g r a m D i s p l a y N o d e V i e w S t a t e " > < H e i g h t > 1 5 0 < / H e i g h t > < I s E x p a n d e d > t r u e < / I s E x p a n d e d > < W i d t h > 2 0 0 < / W i d t h > < / a : V a l u e > < / a : K e y V a l u e O f D i a g r a m O b j e c t K e y a n y T y p e z b w N T n L X > < a : K e y V a l u e O f D i a g r a m O b j e c t K e y a n y T y p e z b w N T n L X > < a : K e y > < K e y > T a b l e s \ E s t a d o s D e R e s u l t a d o s \ C o l u m n s \ 2 0 1 6 < / K e y > < / a : K e y > < a : V a l u e   i : t y p e = " D i a g r a m D i s p l a y N o d e V i e w S t a t e " > < H e i g h t > 1 5 0 < / H e i g h t > < I s E x p a n d e d > t r u e < / I s E x p a n d e d > < W i d t h > 2 0 0 < / W i d t h > < / a : V a l u e > < / a : K e y V a l u e O f D i a g r a m O b j e c t K e y a n y T y p e z b w N T n L X > < a : K e y V a l u e O f D i a g r a m O b j e c t K e y a n y T y p e z b w N T n L X > < a : K e y > < K e y > T a b l e s \ E s t a d o s D e R e s u l t a d o s \ C o l u m n s \ 2 0 1 7 < / K e y > < / a : K e y > < a : V a l u e   i : t y p e = " D i a g r a m D i s p l a y N o d e V i e w S t a t e " > < H e i g h t > 1 5 0 < / H e i g h t > < I s E x p a n d e d > t r u e < / I s E x p a n d e d > < W i d t h > 2 0 0 < / W i d t h > < / a : V a l u e > < / a : K e y V a l u e O f D i a g r a m O b j e c t K e y a n y T y p e z b w N T n L X > < a : K e y V a l u e O f D i a g r a m O b j e c t K e y a n y T y p e z b w N T n L X > < a : K e y > < K e y > T a b l e s \ E s t a d o s D e R e s u l t a d o s \ C o l u m n s \ %   V a r i a c i � n   2 0 1 3 v s 2 0 1 4 < / K e y > < / a : K e y > < a : V a l u e   i : t y p e = " D i a g r a m D i s p l a y N o d e V i e w S t a t e " > < H e i g h t > 1 5 0 < / H e i g h t > < I s E x p a n d e d > t r u e < / I s E x p a n d e d > < W i d t h > 2 0 0 < / W i d t h > < / a : V a l u e > < / a : K e y V a l u e O f D i a g r a m O b j e c t K e y a n y T y p e z b w N T n L X > < a : K e y V a l u e O f D i a g r a m O b j e c t K e y a n y T y p e z b w N T n L X > < a : K e y > < K e y > T a b l e s \ E s t a d o s D e R e s u l t a d o s \ C o l u m n s \ V a r i a c i o n     2 0 1 3 v s 2 0 1 4 < / K e y > < / a : K e y > < a : V a l u e   i : t y p e = " D i a g r a m D i s p l a y N o d e V i e w S t a t e " > < H e i g h t > 1 5 0 < / H e i g h t > < I s E x p a n d e d > t r u e < / I s E x p a n d e d > < W i d t h > 2 0 0 < / W i d t h > < / a : V a l u e > < / a : K e y V a l u e O f D i a g r a m O b j e c t K e y a n y T y p e z b w N T n L X > < a : K e y V a l u e O f D i a g r a m O b j e c t K e y a n y T y p e z b w N T n L X > < a : K e y > < K e y > T a b l e s \ E s t a d o s D e R e s u l t a d o s \ C o l u m n s \ %   V a r i a c i o n   2 0 1 4 v s 2 0 1 5 < / K e y > < / a : K e y > < a : V a l u e   i : t y p e = " D i a g r a m D i s p l a y N o d e V i e w S t a t e " > < H e i g h t > 1 5 0 < / H e i g h t > < I s E x p a n d e d > t r u e < / I s E x p a n d e d > < W i d t h > 2 0 0 < / W i d t h > < / a : V a l u e > < / a : K e y V a l u e O f D i a g r a m O b j e c t K e y a n y T y p e z b w N T n L X > < a : K e y V a l u e O f D i a g r a m O b j e c t K e y a n y T y p e z b w N T n L X > < a : K e y > < K e y > T a b l e s \ E s t a d o s D e R e s u l t a d o s \ C o l u m n s \ V a r i a c i � n   2 0 1 4 v s 2 0 1 5 < / K e y > < / a : K e y > < a : V a l u e   i : t y p e = " D i a g r a m D i s p l a y N o d e V i e w S t a t e " > < H e i g h t > 1 5 0 < / H e i g h t > < I s E x p a n d e d > t r u e < / I s E x p a n d e d > < W i d t h > 2 0 0 < / W i d t h > < / a : V a l u e > < / a : K e y V a l u e O f D i a g r a m O b j e c t K e y a n y T y p e z b w N T n L X > < a : K e y V a l u e O f D i a g r a m O b j e c t K e y a n y T y p e z b w N T n L X > < a : K e y > < K e y > T a b l e s \ E s t a d o s D e R e s u l t a d o s \ C o l u m n s \ %   V a r i a c i o n   2 0 1 5 v s 2 0 1 6 < / K e y > < / a : K e y > < a : V a l u e   i : t y p e = " D i a g r a m D i s p l a y N o d e V i e w S t a t e " > < H e i g h t > 1 5 0 < / H e i g h t > < I s E x p a n d e d > t r u e < / I s E x p a n d e d > < W i d t h > 2 0 0 < / W i d t h > < / a : V a l u e > < / a : K e y V a l u e O f D i a g r a m O b j e c t K e y a n y T y p e z b w N T n L X > < a : K e y V a l u e O f D i a g r a m O b j e c t K e y a n y T y p e z b w N T n L X > < a : K e y > < K e y > T a b l e s \ E s t a d o s D e R e s u l t a d o s \ C o l u m n s \ V a r i a c i o n   2 0 1 5 v s 2 0 1 6 < / K e y > < / a : K e y > < a : V a l u e   i : t y p e = " D i a g r a m D i s p l a y N o d e V i e w S t a t e " > < H e i g h t > 1 5 0 < / H e i g h t > < I s E x p a n d e d > t r u e < / I s E x p a n d e d > < W i d t h > 2 0 0 < / W i d t h > < / a : V a l u e > < / a : K e y V a l u e O f D i a g r a m O b j e c t K e y a n y T y p e z b w N T n L X > < a : K e y V a l u e O f D i a g r a m O b j e c t K e y a n y T y p e z b w N T n L X > < a : K e y > < K e y > T a b l e s \ E s t a d o s D e R e s u l t a d o s \ C o l u m n s \ %   V a r i a c i o n   2 0 1 6 v s 2 0 1 7 < / K e y > < / a : K e y > < a : V a l u e   i : t y p e = " D i a g r a m D i s p l a y N o d e V i e w S t a t e " > < H e i g h t > 1 5 0 < / H e i g h t > < I s E x p a n d e d > t r u e < / I s E x p a n d e d > < W i d t h > 2 0 0 < / W i d t h > < / a : V a l u e > < / a : K e y V a l u e O f D i a g r a m O b j e c t K e y a n y T y p e z b w N T n L X > < a : K e y V a l u e O f D i a g r a m O b j e c t K e y a n y T y p e z b w N T n L X > < a : K e y > < K e y > T a b l e s \ E s t a d o s D e R e s u l t a d o s \ C o l u m n s \ V a r i a c i o n   2 0 1 6 v s 2 0 1 7 < / K e y > < / a : K e y > < a : V a l u e   i : t y p e = " D i a g r a m D i s p l a y N o d e V i e w S t a t e " > < H e i g h t > 1 5 0 < / H e i g h t > < I s E x p a n d e d > t r u e < / I s E x p a n d e d > < W i d t h > 2 0 0 < / W i d t h > < / a : V a l u e > < / a : K e y V a l u e O f D i a g r a m O b j e c t K e y a n y T y p e z b w N T n L X > < a : K e y V a l u e O f D i a g r a m O b j e c t K e y a n y T y p e z b w N T n L X > < a : K e y > < K e y > T a b l e s \ E s t a d o s D e R e s u l t a d o s \ C o l u m n s \ %   P a r t   2 0 1 3 < / K e y > < / a : K e y > < a : V a l u e   i : t y p e = " D i a g r a m D i s p l a y N o d e V i e w S t a t e " > < H e i g h t > 1 5 0 < / H e i g h t > < I s E x p a n d e d > t r u e < / I s E x p a n d e d > < W i d t h > 2 0 0 < / W i d t h > < / a : V a l u e > < / a : K e y V a l u e O f D i a g r a m O b j e c t K e y a n y T y p e z b w N T n L X > < a : K e y V a l u e O f D i a g r a m O b j e c t K e y a n y T y p e z b w N T n L X > < a : K e y > < K e y > T a b l e s \ E s t a d o s D e R e s u l t a d o s \ C o l u m n s \ %   P a r t   2 0 1 4 < / K e y > < / a : K e y > < a : V a l u e   i : t y p e = " D i a g r a m D i s p l a y N o d e V i e w S t a t e " > < H e i g h t > 1 5 0 < / H e i g h t > < I s E x p a n d e d > t r u e < / I s E x p a n d e d > < W i d t h > 2 0 0 < / W i d t h > < / a : V a l u e > < / a : K e y V a l u e O f D i a g r a m O b j e c t K e y a n y T y p e z b w N T n L X > < a : K e y V a l u e O f D i a g r a m O b j e c t K e y a n y T y p e z b w N T n L X > < a : K e y > < K e y > T a b l e s \ E s t a d o s D e R e s u l t a d o s \ C o l u m n s \ %   P a r t   2 0 1 5 < / K e y > < / a : K e y > < a : V a l u e   i : t y p e = " D i a g r a m D i s p l a y N o d e V i e w S t a t e " > < H e i g h t > 1 5 0 < / H e i g h t > < I s E x p a n d e d > t r u e < / I s E x p a n d e d > < W i d t h > 2 0 0 < / W i d t h > < / a : V a l u e > < / a : K e y V a l u e O f D i a g r a m O b j e c t K e y a n y T y p e z b w N T n L X > < a : K e y V a l u e O f D i a g r a m O b j e c t K e y a n y T y p e z b w N T n L X > < a : K e y > < K e y > T a b l e s \ E s t a d o s D e R e s u l t a d o s \ C o l u m n s \ %   P a r t   2 0 1 6 < / K e y > < / a : K e y > < a : V a l u e   i : t y p e = " D i a g r a m D i s p l a y N o d e V i e w S t a t e " > < H e i g h t > 1 5 0 < / H e i g h t > < I s E x p a n d e d > t r u e < / I s E x p a n d e d > < W i d t h > 2 0 0 < / W i d t h > < / a : V a l u e > < / a : K e y V a l u e O f D i a g r a m O b j e c t K e y a n y T y p e z b w N T n L X > < a : K e y V a l u e O f D i a g r a m O b j e c t K e y a n y T y p e z b w N T n L X > < a : K e y > < K e y > T a b l e s \ E s t a d o s D e R e s u l t a d o s \ C o l u m n s \ %   P a r t   2 0 1 7 < / K e y > < / a : K e y > < a : V a l u e   i : t y p e = " D i a g r a m D i s p l a y N o d e V i e w S t a t e " > < H e i g h t > 1 5 0 < / H e i g h t > < I s E x p a n d e d > t r u e < / I s E x p a n d e d > < W i d t h > 2 0 0 < / W i d t h > < / a : V a l u e > < / a : K e y V a l u e O f D i a g r a m O b j e c t K e y a n y T y p e z b w N T n L X > < a : K e y V a l u e O f D i a g r a m O b j e c t K e y a n y T y p e z b w N T n L X > < a : K e y > < K e y > T a b l e s \ A � o < / K e y > < / a : K e y > < a : V a l u e   i : t y p e = " D i a g r a m D i s p l a y N o d e V i e w S t a t e " > < H e i g h t > 1 5 0 < / H e i g h t > < I s E x p a n d e d > t r u e < / I s E x p a n d e d > < L a y e d O u t > t r u e < / L a y e d O u t > < L e f t > 5 6 9 . 9 0 3 8 1 0 5 6 7 6 6 5 8 < / L e f t > < T a b I n d e x > 2 < / T a b I n d e x > < T o p > 4 4 < / T o p > < W i d t h > 2 0 0 < / W i d t h > < / a : V a l u e > < / a : K e y V a l u e O f D i a g r a m O b j e c t K e y a n y T y p e z b w N T n L X > < a : K e y V a l u e O f D i a g r a m O b j e c t K e y a n y T y p e z b w N T n L X > < a : K e y > < K e y > T a b l e s \ A � o \ C o l u m n s \ A � o s < / K e y > < / a : K e y > < a : V a l u e   i : t y p e = " D i a g r a m D i s p l a y N o d e V i e w S t a t e " > < H e i g h t > 1 5 0 < / H e i g h t > < I s E x p a n d e d > t r u e < / I s E x p a n d e d > < W i d t h > 2 0 0 < / W i d t h > < / a : V a l u e > < / a : K e y V a l u e O f D i a g r a m O b j e c t K e y a n y T y p e z b w N T n L X > < a : K e y V a l u e O f D i a g r a m O b j e c t K e y a n y T y p e z b w N T n L X > < a : K e y > < K e y > T a b l e s \ E s t a d o s D e R e s u l t a d o s A n a l V e r t i c a l < / K e y > < / a : K e y > < a : V a l u e   i : t y p e = " D i a g r a m D i s p l a y N o d e V i e w S t a t e " > < H e i g h t > 1 5 0 < / H e i g h t > < I s E x p a n d e d > t r u e < / I s E x p a n d e d > < L a y e d O u t > t r u e < / L a y e d O u t > < L e f t > 8 0 9 . 9 0 3 8 1 0 5 6 7 6 6 5 9 1 < / L e f t > < T a b I n d e x > 3 < / T a b I n d e x > < T o p > 1 9 9 < / T o p > < W i d t h > 4 1 8 . 3 0 7 6 2 1 1 3 5 3 3 1 8 3 < / W i d t h > < / a : V a l u e > < / a : K e y V a l u e O f D i a g r a m O b j e c t K e y a n y T y p e z b w N T n L X > < a : K e y V a l u e O f D i a g r a m O b j e c t K e y a n y T y p e z b w N T n L X > < a : K e y > < K e y > T a b l e s \ E s t a d o s D e R e s u l t a d o s A n a l V e r t i c a l \ C o l u m n s \ O r d e n < / K e y > < / a : K e y > < a : V a l u e   i : t y p e = " D i a g r a m D i s p l a y N o d e V i e w S t a t e " > < H e i g h t > 1 5 0 < / H e i g h t > < I s E x p a n d e d > t r u e < / I s E x p a n d e d > < W i d t h > 2 0 0 < / W i d t h > < / a : V a l u e > < / a : K e y V a l u e O f D i a g r a m O b j e c t K e y a n y T y p e z b w N T n L X > < a : K e y V a l u e O f D i a g r a m O b j e c t K e y a n y T y p e z b w N T n L X > < a : K e y > < K e y > T a b l e s \ E s t a d o s D e R e s u l t a d o s A n a l V e r t i c a l \ C o l u m n s \ E s t a d o s   d e   R e s u l t a d o s   C o n s o l i d a d o s < / K e y > < / a : K e y > < a : V a l u e   i : t y p e = " D i a g r a m D i s p l a y N o d e V i e w S t a t e " > < H e i g h t > 1 5 0 < / H e i g h t > < I s E x p a n d e d > t r u e < / I s E x p a n d e d > < W i d t h > 2 0 0 < / W i d t h > < / a : V a l u e > < / a : K e y V a l u e O f D i a g r a m O b j e c t K e y a n y T y p e z b w N T n L X > < a : K e y V a l u e O f D i a g r a m O b j e c t K e y a n y T y p e z b w N T n L X > < a : K e y > < K e y > T a b l e s \ E s t a d o s D e R e s u l t a d o s A n a l V e r t i c a l \ C o l u m n s \ A � o < / K e y > < / a : K e y > < a : V a l u e   i : t y p e = " D i a g r a m D i s p l a y N o d e V i e w S t a t e " > < H e i g h t > 1 5 0 < / H e i g h t > < I s E x p a n d e d > t r u e < / I s E x p a n d e d > < W i d t h > 2 0 0 < / W i d t h > < / a : V a l u e > < / a : K e y V a l u e O f D i a g r a m O b j e c t K e y a n y T y p e z b w N T n L X > < a : K e y V a l u e O f D i a g r a m O b j e c t K e y a n y T y p e z b w N T n L X > < a : K e y > < K e y > T a b l e s \ E s t a d o s D e R e s u l t a d o s A n a l V e r t i c a l \ C o l u m n s \ V a l o r < / K e y > < / a : K e y > < a : V a l u e   i : t y p e = " D i a g r a m D i s p l a y N o d e V i e w S t a t e " > < H e i g h t > 1 5 0 < / H e i g h t > < I s E x p a n d e d > t r u e < / I s E x p a n d e d > < W i d t h > 2 0 0 < / W i d t h > < / a : V a l u e > < / a : K e y V a l u e O f D i a g r a m O b j e c t K e y a n y T y p e z b w N T n L X > < a : K e y V a l u e O f D i a g r a m O b j e c t K e y a n y T y p e z b w N T n L X > < a : K e y > < K e y > T a b l e s \ B a l a n c e G e n e r a l P i v o t _ _ 2 < / K e y > < / a : K e y > < a : V a l u e   i : t y p e = " D i a g r a m D i s p l a y N o d e V i e w S t a t e " > < H e i g h t > 1 5 0 < / H e i g h t > < I s E x p a n d e d > t r u e < / I s E x p a n d e d > < I s F o c u s e d > t r u e < / I s F o c u s e d > < L a y e d O u t > t r u e < / L a y e d O u t > < L e f t > 5 3 2 . 2 1 1 4 3 1 7 0 2 9 9 7 7 4 < / L e f t > < T a b I n d e x > 4 < / T a b I n d e x > < T o p > 3 6 5 < / T o p > < W i d t h > 2 0 0 < / W i d t h > < / a : V a l u e > < / a : K e y V a l u e O f D i a g r a m O b j e c t K e y a n y T y p e z b w N T n L X > < a : K e y V a l u e O f D i a g r a m O b j e c t K e y a n y T y p e z b w N T n L X > < a : K e y > < K e y > T a b l e s \ B a l a n c e G e n e r a l P i v o t _ _ 2 \ C o l u m n s \ T i p o   C u e n t a < / K e y > < / a : K e y > < a : V a l u e   i : t y p e = " D i a g r a m D i s p l a y N o d e V i e w S t a t e " > < H e i g h t > 1 5 0 < / H e i g h t > < I s E x p a n d e d > t r u e < / I s E x p a n d e d > < W i d t h > 2 0 0 < / W i d t h > < / a : V a l u e > < / a : K e y V a l u e O f D i a g r a m O b j e c t K e y a n y T y p e z b w N T n L X > < a : K e y V a l u e O f D i a g r a m O b j e c t K e y a n y T y p e z b w N T n L X > < a : K e y > < K e y > T a b l e s \ B a l a n c e G e n e r a l P i v o t _ _ 2 \ C o l u m n s \ C u e n t a < / K e y > < / a : K e y > < a : V a l u e   i : t y p e = " D i a g r a m D i s p l a y N o d e V i e w S t a t e " > < H e i g h t > 1 5 0 < / H e i g h t > < I s E x p a n d e d > t r u e < / I s E x p a n d e d > < W i d t h > 2 0 0 < / W i d t h > < / a : V a l u e > < / a : K e y V a l u e O f D i a g r a m O b j e c t K e y a n y T y p e z b w N T n L X > < a : K e y V a l u e O f D i a g r a m O b j e c t K e y a n y T y p e z b w N T n L X > < a : K e y > < K e y > T a b l e s \ B a l a n c e G e n e r a l P i v o t _ _ 2 \ C o l u m n s \ a � o < / K e y > < / a : K e y > < a : V a l u e   i : t y p e = " D i a g r a m D i s p l a y N o d e V i e w S t a t e " > < H e i g h t > 1 5 0 < / H e i g h t > < I s E x p a n d e d > t r u e < / I s E x p a n d e d > < W i d t h > 2 0 0 < / W i d t h > < / a : V a l u e > < / a : K e y V a l u e O f D i a g r a m O b j e c t K e y a n y T y p e z b w N T n L X > < a : K e y V a l u e O f D i a g r a m O b j e c t K e y a n y T y p e z b w N T n L X > < a : K e y > < K e y > T a b l e s \ B a l a n c e G e n e r a l P i v o t _ _ 2 \ C o l u m n s \ V a l o r < / K e y > < / a : K e y > < a : V a l u e   i : t y p e = " D i a g r a m D i s p l a y N o d e V i e w S t a t e " > < H e i g h t > 1 5 0 < / H e i g h t > < I s E x p a n d e d > t r u e < / I s E x p a n d e d > < W i d t h > 2 0 0 < / W i d t h > < / a : V a l u e > < / a : K e y V a l u e O f D i a g r a m O b j e c t K e y a n y T y p e z b w N T n L X > < a : K e y V a l u e O f D i a g r a m O b j e c t K e y a n y T y p e z b w N T n L X > < a : K e y > < K e y > R e l a t i o n s h i p s \ & l t ; T a b l e s \ E s t a d o s D e R e s u l t a d o s A n a l V e r t i c a l \ C o l u m n s \ A � o & g t ; - & l t ; T a b l e s \ A � o \ C o l u m n s \ A � o s & g t ; < / K e y > < / a : K e y > < a : V a l u e   i : t y p e = " D i a g r a m D i s p l a y L i n k V i e w S t a t e " > < A u t o m a t i o n P r o p e r t y H e l p e r T e x t > E x t r e m o   1 :   ( 7 9 3 . 9 0 3 8 1 0 5 6 7 6 6 6 , 2 7 4 ) .   E x t r e m o   2 :   ( 7 8 5 . 9 0 3 8 1 0 5 6 7 6 6 6 , 1 1 9 )   < / A u t o m a t i o n P r o p e r t y H e l p e r T e x t > < L a y e d O u t > t r u e < / L a y e d O u t > < P o i n t s   x m l n s : b = " h t t p : / / s c h e m a s . d a t a c o n t r a c t . o r g / 2 0 0 4 / 0 7 / S y s t e m . W i n d o w s " > < b : P o i n t > < b : _ x > 7 9 3 . 9 0 3 8 1 0 5 6 7 6 6 5 9 1 < / b : _ x > < b : _ y > 2 7 4 < / b : _ y > < / b : P o i n t > < b : P o i n t > < b : _ x > 7 9 1 . 9 0 3 8 1 1 < / b : _ x > < b : _ y > 2 7 4 < / b : _ y > < / b : P o i n t > < b : P o i n t > < b : _ x > 7 8 9 . 9 0 3 8 1 1 < / b : _ x > < b : _ y > 2 7 2 < / b : _ y > < / b : P o i n t > < b : P o i n t > < b : _ x > 7 8 9 . 9 0 3 8 1 1 < / b : _ x > < b : _ y > 1 2 1 < / b : _ y > < / b : P o i n t > < b : P o i n t > < b : _ x > 7 8 7 . 9 0 3 8 1 1 < / b : _ x > < b : _ y > 1 1 9 < / b : _ y > < / b : P o i n t > < b : P o i n t > < b : _ x > 7 8 5 . 9 0 3 8 1 0 5 6 7 6 6 5 8 < / b : _ x > < b : _ y > 1 1 9 < / b : _ y > < / b : P o i n t > < / P o i n t s > < / a : V a l u e > < / a : K e y V a l u e O f D i a g r a m O b j e c t K e y a n y T y p e z b w N T n L X > < a : K e y V a l u e O f D i a g r a m O b j e c t K e y a n y T y p e z b w N T n L X > < a : K e y > < K e y > R e l a t i o n s h i p s \ & l t ; T a b l e s \ E s t a d o s D e R e s u l t a d o s A n a l V e r t i c a l \ C o l u m n s \ A � o & g t ; - & l t ; T a b l e s \ A � o \ C o l u m n s \ A � o s & g t ; \ F K < / K e y > < / a : K e y > < a : V a l u e   i : t y p e = " D i a g r a m D i s p l a y L i n k E n d p o i n t V i e w S t a t e " > < H e i g h t > 1 6 < / H e i g h t > < L a b e l L o c a t i o n   x m l n s : b = " h t t p : / / s c h e m a s . d a t a c o n t r a c t . o r g / 2 0 0 4 / 0 7 / S y s t e m . W i n d o w s " > < b : _ x > 7 9 3 . 9 0 3 8 1 0 5 6 7 6 6 5 9 1 < / b : _ x > < b : _ y > 2 6 6 < / b : _ y > < / L a b e l L o c a t i o n > < L o c a t i o n   x m l n s : b = " h t t p : / / s c h e m a s . d a t a c o n t r a c t . o r g / 2 0 0 4 / 0 7 / S y s t e m . W i n d o w s " > < b : _ x > 8 0 9 . 9 0 3 8 1 0 5 6 7 6 6 5 9 1 < / b : _ x > < b : _ y > 2 7 4 < / b : _ y > < / L o c a t i o n > < S h a p e R o t a t e A n g l e > 1 8 0 < / S h a p e R o t a t e A n g l e > < W i d t h > 1 6 < / W i d t h > < / a : V a l u e > < / a : K e y V a l u e O f D i a g r a m O b j e c t K e y a n y T y p e z b w N T n L X > < a : K e y V a l u e O f D i a g r a m O b j e c t K e y a n y T y p e z b w N T n L X > < a : K e y > < K e y > R e l a t i o n s h i p s \ & l t ; T a b l e s \ E s t a d o s D e R e s u l t a d o s A n a l V e r t i c a l \ C o l u m n s \ A � o & g t ; - & l t ; T a b l e s \ A � o \ C o l u m n s \ A � o s & g t ; \ P K < / K e y > < / a : K e y > < a : V a l u e   i : t y p e = " D i a g r a m D i s p l a y L i n k E n d p o i n t V i e w S t a t e " > < H e i g h t > 1 6 < / H e i g h t > < L a b e l L o c a t i o n   x m l n s : b = " h t t p : / / s c h e m a s . d a t a c o n t r a c t . o r g / 2 0 0 4 / 0 7 / S y s t e m . W i n d o w s " > < b : _ x > 7 6 9 . 9 0 3 8 1 0 5 6 7 6 6 5 8 < / b : _ x > < b : _ y > 1 1 1 < / b : _ y > < / L a b e l L o c a t i o n > < L o c a t i o n   x m l n s : b = " h t t p : / / s c h e m a s . d a t a c o n t r a c t . o r g / 2 0 0 4 / 0 7 / S y s t e m . W i n d o w s " > < b : _ x > 7 6 9 . 9 0 3 8 1 0 5 6 7 6 6 5 8 < / b : _ x > < b : _ y > 1 1 9 < / b : _ y > < / L o c a t i o n > < S h a p e R o t a t e A n g l e > 3 6 0 < / S h a p e R o t a t e A n g l e > < W i d t h > 1 6 < / W i d t h > < / a : V a l u e > < / a : K e y V a l u e O f D i a g r a m O b j e c t K e y a n y T y p e z b w N T n L X > < a : K e y V a l u e O f D i a g r a m O b j e c t K e y a n y T y p e z b w N T n L X > < a : K e y > < K e y > R e l a t i o n s h i p s \ & l t ; T a b l e s \ E s t a d o s D e R e s u l t a d o s A n a l V e r t i c a l \ C o l u m n s \ A � o & g t ; - & l t ; T a b l e s \ A � o \ C o l u m n s \ A � o s & g t ; \ C r o s s F i l t e r < / K e y > < / a : K e y > < a : V a l u e   i : t y p e = " D i a g r a m D i s p l a y L i n k C r o s s F i l t e r V i e w S t a t e " > < P o i n t s   x m l n s : b = " h t t p : / / s c h e m a s . d a t a c o n t r a c t . o r g / 2 0 0 4 / 0 7 / S y s t e m . W i n d o w s " > < b : P o i n t > < b : _ x > 7 9 3 . 9 0 3 8 1 0 5 6 7 6 6 5 9 1 < / b : _ x > < b : _ y > 2 7 4 < / b : _ y > < / b : P o i n t > < b : P o i n t > < b : _ x > 7 9 1 . 9 0 3 8 1 1 < / b : _ x > < b : _ y > 2 7 4 < / b : _ y > < / b : P o i n t > < b : P o i n t > < b : _ x > 7 8 9 . 9 0 3 8 1 1 < / b : _ x > < b : _ y > 2 7 2 < / b : _ y > < / b : P o i n t > < b : P o i n t > < b : _ x > 7 8 9 . 9 0 3 8 1 1 < / b : _ x > < b : _ y > 1 2 1 < / b : _ y > < / b : P o i n t > < b : P o i n t > < b : _ x > 7 8 7 . 9 0 3 8 1 1 < / b : _ x > < b : _ y > 1 1 9 < / b : _ y > < / b : P o i n t > < b : P o i n t > < b : _ x > 7 8 5 . 9 0 3 8 1 0 5 6 7 6 6 5 8 < / b : _ x > < b : _ y > 1 1 9 < / b : _ y > < / b : P o i n t > < / P o i n t s > < / a : V a l u e > < / a : K e y V a l u e O f D i a g r a m O b j e c t K e y a n y T y p e z b w N T n L X > < a : K e y V a l u e O f D i a g r a m O b j e c t K e y a n y T y p e z b w N T n L X > < a : K e y > < K e y > R e l a t i o n s h i p s \ & l t ; T a b l e s \ B a l a n c e G e n e r a l P i v o t _ _ 2 \ C o l u m n s \ a � o & g t ; - & l t ; T a b l e s \ A � o \ C o l u m n s \ A � o s & g t ; < / K e y > < / a : K e y > < a : V a l u e   i : t y p e = " D i a g r a m D i s p l a y L i n k V i e w S t a t e " > < A u t o m a t i o n P r o p e r t y H e l p e r T e x t > E x t r e m o   1 :   ( 6 3 2 . 2 1 1 4 3 2 , 3 4 9 ) .   E x t r e m o   2 :   ( 6 6 9 . 9 0 3 8 1 1 , 2 1 0 )   < / A u t o m a t i o n P r o p e r t y H e l p e r T e x t > < L a y e d O u t > t r u e < / L a y e d O u t > < P o i n t s   x m l n s : b = " h t t p : / / s c h e m a s . d a t a c o n t r a c t . o r g / 2 0 0 4 / 0 7 / S y s t e m . W i n d o w s " > < b : P o i n t > < b : _ x > 6 3 2 . 2 1 1 4 3 2 0 0 0 0 0 0 0 6 < / b : _ x > < b : _ y > 3 4 9 < / b : _ y > < / b : P o i n t > < b : P o i n t > < b : _ x > 6 3 2 . 2 1 1 4 3 2 < / b : _ x > < b : _ y > 2 8 1 . 5 < / b : _ y > < / b : P o i n t > < b : P o i n t > < b : _ x > 6 3 4 . 2 1 1 4 3 2 < / b : _ x > < b : _ y > 2 7 9 . 5 < / b : _ y > < / b : P o i n t > < b : P o i n t > < b : _ x > 6 6 7 . 9 0 3 8 1 1 < / b : _ x > < b : _ y > 2 7 9 . 5 < / b : _ y > < / b : P o i n t > < b : P o i n t > < b : _ x > 6 6 9 . 9 0 3 8 1 1 < / b : _ x > < b : _ y > 2 7 7 . 5 < / b : _ y > < / b : P o i n t > < b : P o i n t > < b : _ x > 6 6 9 . 9 0 3 8 1 1 < / b : _ x > < b : _ y > 2 0 9 . 9 9 9 9 9 9 9 9 9 9 9 9 9 2 < / b : _ y > < / b : P o i n t > < / P o i n t s > < / a : V a l u e > < / a : K e y V a l u e O f D i a g r a m O b j e c t K e y a n y T y p e z b w N T n L X > < a : K e y V a l u e O f D i a g r a m O b j e c t K e y a n y T y p e z b w N T n L X > < a : K e y > < K e y > R e l a t i o n s h i p s \ & l t ; T a b l e s \ B a l a n c e G e n e r a l P i v o t _ _ 2 \ C o l u m n s \ a � o & g t ; - & l t ; T a b l e s \ A � o \ C o l u m n s \ A � o s & g t ; \ F K < / K e y > < / a : K e y > < a : V a l u e   i : t y p e = " D i a g r a m D i s p l a y L i n k E n d p o i n t V i e w S t a t e " > < H e i g h t > 1 6 < / H e i g h t > < L a b e l L o c a t i o n   x m l n s : b = " h t t p : / / s c h e m a s . d a t a c o n t r a c t . o r g / 2 0 0 4 / 0 7 / S y s t e m . W i n d o w s " > < b : _ x > 6 2 4 . 2 1 1 4 3 2 0 0 0 0 0 0 0 6 < / b : _ x > < b : _ y > 3 4 9 < / b : _ y > < / L a b e l L o c a t i o n > < L o c a t i o n   x m l n s : b = " h t t p : / / s c h e m a s . d a t a c o n t r a c t . o r g / 2 0 0 4 / 0 7 / S y s t e m . W i n d o w s " > < b : _ x > 6 3 2 . 2 1 1 4 3 2 0 0 0 0 0 0 0 6 < / b : _ x > < b : _ y > 3 6 5 < / b : _ y > < / L o c a t i o n > < S h a p e R o t a t e A n g l e > 2 7 0 < / S h a p e R o t a t e A n g l e > < W i d t h > 1 6 < / W i d t h > < / a : V a l u e > < / a : K e y V a l u e O f D i a g r a m O b j e c t K e y a n y T y p e z b w N T n L X > < a : K e y V a l u e O f D i a g r a m O b j e c t K e y a n y T y p e z b w N T n L X > < a : K e y > < K e y > R e l a t i o n s h i p s \ & l t ; T a b l e s \ B a l a n c e G e n e r a l P i v o t _ _ 2 \ C o l u m n s \ a � o & g t ; - & l t ; T a b l e s \ A � o \ C o l u m n s \ A � o s & g t ; \ P K < / K e y > < / a : K e y > < a : V a l u e   i : t y p e = " D i a g r a m D i s p l a y L i n k E n d p o i n t V i e w S t a t e " > < H e i g h t > 1 6 < / H e i g h t > < L a b e l L o c a t i o n   x m l n s : b = " h t t p : / / s c h e m a s . d a t a c o n t r a c t . o r g / 2 0 0 4 / 0 7 / S y s t e m . W i n d o w s " > < b : _ x > 6 6 1 . 9 0 3 8 1 1 < / b : _ x > < b : _ y > 1 9 3 . 9 9 9 9 9 9 9 9 9 9 9 9 9 2 < / b : _ y > < / L a b e l L o c a t i o n > < L o c a t i o n   x m l n s : b = " h t t p : / / s c h e m a s . d a t a c o n t r a c t . o r g / 2 0 0 4 / 0 7 / S y s t e m . W i n d o w s " > < b : _ x > 6 6 9 . 9 0 3 8 1 1 < / b : _ x > < b : _ y > 1 9 3 . 9 9 9 9 9 9 9 9 9 9 9 9 9 4 < / b : _ y > < / L o c a t i o n > < S h a p e R o t a t e A n g l e > 9 0 < / S h a p e R o t a t e A n g l e > < W i d t h > 1 6 < / W i d t h > < / a : V a l u e > < / a : K e y V a l u e O f D i a g r a m O b j e c t K e y a n y T y p e z b w N T n L X > < a : K e y V a l u e O f D i a g r a m O b j e c t K e y a n y T y p e z b w N T n L X > < a : K e y > < K e y > R e l a t i o n s h i p s \ & l t ; T a b l e s \ B a l a n c e G e n e r a l P i v o t _ _ 2 \ C o l u m n s \ a � o & g t ; - & l t ; T a b l e s \ A � o \ C o l u m n s \ A � o s & g t ; \ C r o s s F i l t e r < / K e y > < / a : K e y > < a : V a l u e   i : t y p e = " D i a g r a m D i s p l a y L i n k C r o s s F i l t e r V i e w S t a t e " > < P o i n t s   x m l n s : b = " h t t p : / / s c h e m a s . d a t a c o n t r a c t . o r g / 2 0 0 4 / 0 7 / S y s t e m . W i n d o w s " > < b : P o i n t > < b : _ x > 6 3 2 . 2 1 1 4 3 2 0 0 0 0 0 0 0 6 < / b : _ x > < b : _ y > 3 4 9 < / b : _ y > < / b : P o i n t > < b : P o i n t > < b : _ x > 6 3 2 . 2 1 1 4 3 2 < / b : _ x > < b : _ y > 2 8 1 . 5 < / b : _ y > < / b : P o i n t > < b : P o i n t > < b : _ x > 6 3 4 . 2 1 1 4 3 2 < / b : _ x > < b : _ y > 2 7 9 . 5 < / b : _ y > < / b : P o i n t > < b : P o i n t > < b : _ x > 6 6 7 . 9 0 3 8 1 1 < / b : _ x > < b : _ y > 2 7 9 . 5 < / b : _ y > < / b : P o i n t > < b : P o i n t > < b : _ x > 6 6 9 . 9 0 3 8 1 1 < / b : _ x > < b : _ y > 2 7 7 . 5 < / b : _ y > < / b : P o i n t > < b : P o i n t > < b : _ x > 6 6 9 . 9 0 3 8 1 1 < / b : _ x > < b : _ y > 2 0 9 . 9 9 9 9 9 9 9 9 9 9 9 9 9 2 < / b : _ y > < / b : P o i n t > < / P o i n t s > < / a : V a l u e > < / a : K e y V a l u e O f D i a g r a m O b j e c t K e y a n y T y p e z b w N T n L X > < / V i e w S t a t e s > < / D i a g r a m M a n a g e r . S e r i a l i z a b l e D i a g r a m > < D i a g r a m M a n a g e r . S e r i a l i z a b l e D i a g r a m > < A d a p t e r   i : t y p e = " M e a s u r e D i a g r a m S a n d b o x A d a p t e r " > < T a b l e N a m e > B a l a n c e G e n e r a l 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 B a l a n c e G e n e r a l 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 C o l u m n s \ T i p o   C u e n t a < / K e y > < / D i a g r a m O b j e c t K e y > < D i a g r a m O b j e c t K e y > < K e y > C o l u m n s \ C u e n t a < / K e y > < / D i a g r a m O b j e c t K e y > < D i a g r a m O b j e c t K e y > < K e y > C o l u m n s \ 2 0 1 3 < / K e y > < / D i a g r a m O b j e c t K e y > < D i a g r a m O b j e c t K e y > < K e y > C o l u m n s \ 2 0 1 4 < / K e y > < / D i a g r a m O b j e c t K e y > < D i a g r a m O b j e c t K e y > < K e y > C o l u m n s \ 2 0 1 5 < / K e y > < / D i a g r a m O b j e c t K e y > < D i a g r a m O b j e c t K e y > < K e y > C o l u m n s \ 2 0 1 6 < / K e y > < / D i a g r a m O b j e c t K e y > < D i a g r a m O b j e c t K e y > < K e y > C o l u m n s \ 2 0 1 7 < / K e y > < / D i a g r a m O b j e c t K e y > < D i a g r a m O b j e c t K e y > < K e y > C o l u m n s \ T e n d e n c i a < / K e y > < / D i a g r a m O b j e c t K e y > < D i a g r a m O b j e c t K e y > < K e y > C o l u m n s \ A n a l i s i s   V e r t i c a l   2 0 1 3 < / K e y > < / D i a g r a m O b j e c t K e y > < D i a g r a m O b j e c t K e y > < K e y > C o l u m n s \ A n a l i s i s   V e r t i c a l   2 0 1 4 < / K e y > < / D i a g r a m O b j e c t K e y > < D i a g r a m O b j e c t K e y > < K e y > C o l u m n s \ A n a l i s i s   V e r t i c a l   2 0 1 5 < / K e y > < / D i a g r a m O b j e c t K e y > < D i a g r a m O b j e c t K e y > < K e y > C o l u m n s \ A n a l i s i s   V e r t i c a l   2 0 1 6 < / K e y > < / D i a g r a m O b j e c t K e y > < D i a g r a m O b j e c t K e y > < K e y > C o l u m n s \ A n a l i s i s   V e r t i c a l   2 0 1 7 < / K e y > < / D i a g r a m O b j e c t K e y > < D i a g r a m O b j e c t K e y > < K e y > C o l u m n s \ %   V a r i a c i � n   2 0 1 3 v s 2 0 1 4 < / K e y > < / D i a g r a m O b j e c t K e y > < D i a g r a m O b j e c t K e y > < K e y > C o l u m n s \ %   V a r i a c i � n   2 0 1 4 v s 2 ' 0 1 5 < / K e y > < / D i a g r a m O b j e c t K e y > < D i a g r a m O b j e c t K e y > < K e y > C o l u m n s \ %   V a r i a c i � n   2 0 1 5 v s 2 0 1 6 < / K e y > < / D i a g r a m O b j e c t K e y > < D i a g r a m O b j e c t K e y > < K e y > C o l u m n s \ %   V a r i a c i � n   2 0 1 6 v s 2 0 1 7 < / K e y > < / D i a g r a m O b j e c t K e y > < D i a g r a m O b j e c t K e y > < K e y > C o l u m n s \ T e n d e n c i a 2 < / K e y > < / D i a g r a m O b j e c t K e y > < D i a g r a m O b j e c t K e y > < K e y > C o l u m n s \ V a r i a c i � n   2 0 1 3 v s 2 0 1 4 < / K e y > < / D i a g r a m O b j e c t K e y > < D i a g r a m O b j e c t K e y > < K e y > C o l u m n s \ V a r i a c i � n   2 0 1 4 v s 2 ' 0 1 5 < / K e y > < / D i a g r a m O b j e c t K e y > < D i a g r a m O b j e c t K e y > < K e y > C o l u m n s \ V a r i a c i � n   2 0 1 5 v s 2 0 1 6 < / K e y > < / D i a g r a m O b j e c t K e y > < D i a g r a m O b j e c t K e y > < K e y > C o l u m n s \ V a r i a c i � n     2 0 1 6 v s 2 0 1 7 < / 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 C o l u m n s \ T i p o   C u e n t a < / K e y > < / a : K e y > < a : V a l u e   i : t y p e = " M e a s u r e G r i d N o d e V i e w S t a t e " > < L a y e d O u t > t r u e < / L a y e d O u t > < / a : V a l u e > < / a : K e y V a l u e O f D i a g r a m O b j e c t K e y a n y T y p e z b w N T n L X > < a : K e y V a l u e O f D i a g r a m O b j e c t K e y a n y T y p e z b w N T n L X > < a : K e y > < K e y > C o l u m n s \ C u e n t a < / K e y > < / a : K e y > < a : V a l u e   i : t y p e = " M e a s u r e G r i d N o d e V i e w S t a t e " > < C o l u m n > 1 < / C o l u m n > < L a y e d O u t > t r u e < / L a y e d O u t > < / a : V a l u e > < / a : K e y V a l u e O f D i a g r a m O b j e c t K e y a n y T y p e z b w N T n L X > < a : K e y V a l u e O f D i a g r a m O b j e c t K e y a n y T y p e z b w N T n L X > < a : K e y > < K e y > C o l u m n s \ 2 0 1 3 < / K e y > < / a : K e y > < a : V a l u e   i : t y p e = " M e a s u r e G r i d N o d e V i e w S t a t e " > < C o l u m n > 2 < / C o l u m n > < L a y e d O u t > t r u e < / L a y e d O u t > < / a : V a l u e > < / a : K e y V a l u e O f D i a g r a m O b j e c t K e y a n y T y p e z b w N T n L X > < a : K e y V a l u e O f D i a g r a m O b j e c t K e y a n y T y p e z b w N T n L X > < a : K e y > < K e y > C o l u m n s \ 2 0 1 4 < / K e y > < / a : K e y > < a : V a l u e   i : t y p e = " M e a s u r e G r i d N o d e V i e w S t a t e " > < C o l u m n > 3 < / C o l u m n > < L a y e d O u t > t r u e < / L a y e d O u t > < / a : V a l u e > < / a : K e y V a l u e O f D i a g r a m O b j e c t K e y a n y T y p e z b w N T n L X > < a : K e y V a l u e O f D i a g r a m O b j e c t K e y a n y T y p e z b w N T n L X > < a : K e y > < K e y > C o l u m n s \ 2 0 1 5 < / K e y > < / a : K e y > < a : V a l u e   i : t y p e = " M e a s u r e G r i d N o d e V i e w S t a t e " > < C o l u m n > 4 < / C o l u m n > < L a y e d O u t > t r u e < / L a y e d O u t > < / a : V a l u e > < / a : K e y V a l u e O f D i a g r a m O b j e c t K e y a n y T y p e z b w N T n L X > < a : K e y V a l u e O f D i a g r a m O b j e c t K e y a n y T y p e z b w N T n L X > < a : K e y > < K e y > C o l u m n s \ 2 0 1 6 < / K e y > < / a : K e y > < a : V a l u e   i : t y p e = " M e a s u r e G r i d N o d e V i e w S t a t e " > < C o l u m n > 5 < / C o l u m n > < L a y e d O u t > t r u e < / L a y e d O u t > < / a : V a l u e > < / a : K e y V a l u e O f D i a g r a m O b j e c t K e y a n y T y p e z b w N T n L X > < a : K e y V a l u e O f D i a g r a m O b j e c t K e y a n y T y p e z b w N T n L X > < a : K e y > < K e y > C o l u m n s \ 2 0 1 7 < / K e y > < / a : K e y > < a : V a l u e   i : t y p e = " M e a s u r e G r i d N o d e V i e w S t a t e " > < C o l u m n > 6 < / C o l u m n > < L a y e d O u t > t r u e < / L a y e d O u t > < / a : V a l u e > < / a : K e y V a l u e O f D i a g r a m O b j e c t K e y a n y T y p e z b w N T n L X > < a : K e y V a l u e O f D i a g r a m O b j e c t K e y a n y T y p e z b w N T n L X > < a : K e y > < K e y > C o l u m n s \ T e n d e n c i a < / K e y > < / a : K e y > < a : V a l u e   i : t y p e = " M e a s u r e G r i d N o d e V i e w S t a t e " > < C o l u m n > 7 < / C o l u m n > < L a y e d O u t > t r u e < / L a y e d O u t > < / a : V a l u e > < / a : K e y V a l u e O f D i a g r a m O b j e c t K e y a n y T y p e z b w N T n L X > < a : K e y V a l u e O f D i a g r a m O b j e c t K e y a n y T y p e z b w N T n L X > < a : K e y > < K e y > C o l u m n s \ A n a l i s i s   V e r t i c a l   2 0 1 3 < / K e y > < / a : K e y > < a : V a l u e   i : t y p e = " M e a s u r e G r i d N o d e V i e w S t a t e " > < C o l u m n > 8 < / C o l u m n > < L a y e d O u t > t r u e < / L a y e d O u t > < / a : V a l u e > < / a : K e y V a l u e O f D i a g r a m O b j e c t K e y a n y T y p e z b w N T n L X > < a : K e y V a l u e O f D i a g r a m O b j e c t K e y a n y T y p e z b w N T n L X > < a : K e y > < K e y > C o l u m n s \ A n a l i s i s   V e r t i c a l   2 0 1 4 < / K e y > < / a : K e y > < a : V a l u e   i : t y p e = " M e a s u r e G r i d N o d e V i e w S t a t e " > < C o l u m n > 9 < / C o l u m n > < L a y e d O u t > t r u e < / L a y e d O u t > < / a : V a l u e > < / a : K e y V a l u e O f D i a g r a m O b j e c t K e y a n y T y p e z b w N T n L X > < a : K e y V a l u e O f D i a g r a m O b j e c t K e y a n y T y p e z b w N T n L X > < a : K e y > < K e y > C o l u m n s \ A n a l i s i s   V e r t i c a l   2 0 1 5 < / K e y > < / a : K e y > < a : V a l u e   i : t y p e = " M e a s u r e G r i d N o d e V i e w S t a t e " > < C o l u m n > 1 0 < / C o l u m n > < L a y e d O u t > t r u e < / L a y e d O u t > < / a : V a l u e > < / a : K e y V a l u e O f D i a g r a m O b j e c t K e y a n y T y p e z b w N T n L X > < a : K e y V a l u e O f D i a g r a m O b j e c t K e y a n y T y p e z b w N T n L X > < a : K e y > < K e y > C o l u m n s \ A n a l i s i s   V e r t i c a l   2 0 1 6 < / K e y > < / a : K e y > < a : V a l u e   i : t y p e = " M e a s u r e G r i d N o d e V i e w S t a t e " > < C o l u m n > 1 1 < / C o l u m n > < L a y e d O u t > t r u e < / L a y e d O u t > < / a : V a l u e > < / a : K e y V a l u e O f D i a g r a m O b j e c t K e y a n y T y p e z b w N T n L X > < a : K e y V a l u e O f D i a g r a m O b j e c t K e y a n y T y p e z b w N T n L X > < a : K e y > < K e y > C o l u m n s \ A n a l i s i s   V e r t i c a l   2 0 1 7 < / K e y > < / a : K e y > < a : V a l u e   i : t y p e = " M e a s u r e G r i d N o d e V i e w S t a t e " > < C o l u m n > 1 2 < / C o l u m n > < L a y e d O u t > t r u e < / L a y e d O u t > < / a : V a l u e > < / a : K e y V a l u e O f D i a g r a m O b j e c t K e y a n y T y p e z b w N T n L X > < a : K e y V a l u e O f D i a g r a m O b j e c t K e y a n y T y p e z b w N T n L X > < a : K e y > < K e y > C o l u m n s \ %   V a r i a c i � n   2 0 1 3 v s 2 0 1 4 < / K e y > < / a : K e y > < a : V a l u e   i : t y p e = " M e a s u r e G r i d N o d e V i e w S t a t e " > < C o l u m n > 1 3 < / C o l u m n > < L a y e d O u t > t r u e < / L a y e d O u t > < / a : V a l u e > < / a : K e y V a l u e O f D i a g r a m O b j e c t K e y a n y T y p e z b w N T n L X > < a : K e y V a l u e O f D i a g r a m O b j e c t K e y a n y T y p e z b w N T n L X > < a : K e y > < K e y > C o l u m n s \ %   V a r i a c i � n   2 0 1 4 v s 2 ' 0 1 5 < / K e y > < / a : K e y > < a : V a l u e   i : t y p e = " M e a s u r e G r i d N o d e V i e w S t a t e " > < C o l u m n > 1 4 < / C o l u m n > < L a y e d O u t > t r u e < / L a y e d O u t > < / a : V a l u e > < / a : K e y V a l u e O f D i a g r a m O b j e c t K e y a n y T y p e z b w N T n L X > < a : K e y V a l u e O f D i a g r a m O b j e c t K e y a n y T y p e z b w N T n L X > < a : K e y > < K e y > C o l u m n s \ %   V a r i a c i � n   2 0 1 5 v s 2 0 1 6 < / K e y > < / a : K e y > < a : V a l u e   i : t y p e = " M e a s u r e G r i d N o d e V i e w S t a t e " > < C o l u m n > 1 5 < / C o l u m n > < L a y e d O u t > t r u e < / L a y e d O u t > < / a : V a l u e > < / a : K e y V a l u e O f D i a g r a m O b j e c t K e y a n y T y p e z b w N T n L X > < a : K e y V a l u e O f D i a g r a m O b j e c t K e y a n y T y p e z b w N T n L X > < a : K e y > < K e y > C o l u m n s \ %   V a r i a c i � n   2 0 1 6 v s 2 0 1 7 < / K e y > < / a : K e y > < a : V a l u e   i : t y p e = " M e a s u r e G r i d N o d e V i e w S t a t e " > < C o l u m n > 1 6 < / C o l u m n > < L a y e d O u t > t r u e < / L a y e d O u t > < / a : V a l u e > < / a : K e y V a l u e O f D i a g r a m O b j e c t K e y a n y T y p e z b w N T n L X > < a : K e y V a l u e O f D i a g r a m O b j e c t K e y a n y T y p e z b w N T n L X > < a : K e y > < K e y > C o l u m n s \ T e n d e n c i a 2 < / K e y > < / a : K e y > < a : V a l u e   i : t y p e = " M e a s u r e G r i d N o d e V i e w S t a t e " > < C o l u m n > 1 7 < / C o l u m n > < L a y e d O u t > t r u e < / L a y e d O u t > < / a : V a l u e > < / a : K e y V a l u e O f D i a g r a m O b j e c t K e y a n y T y p e z b w N T n L X > < a : K e y V a l u e O f D i a g r a m O b j e c t K e y a n y T y p e z b w N T n L X > < a : K e y > < K e y > C o l u m n s \ V a r i a c i � n   2 0 1 3 v s 2 0 1 4 < / K e y > < / a : K e y > < a : V a l u e   i : t y p e = " M e a s u r e G r i d N o d e V i e w S t a t e " > < C o l u m n > 1 8 < / C o l u m n > < L a y e d O u t > t r u e < / L a y e d O u t > < / a : V a l u e > < / a : K e y V a l u e O f D i a g r a m O b j e c t K e y a n y T y p e z b w N T n L X > < a : K e y V a l u e O f D i a g r a m O b j e c t K e y a n y T y p e z b w N T n L X > < a : K e y > < K e y > C o l u m n s \ V a r i a c i � n   2 0 1 4 v s 2 ' 0 1 5 < / K e y > < / a : K e y > < a : V a l u e   i : t y p e = " M e a s u r e G r i d N o d e V i e w S t a t e " > < C o l u m n > 1 9 < / C o l u m n > < L a y e d O u t > t r u e < / L a y e d O u t > < / a : V a l u e > < / a : K e y V a l u e O f D i a g r a m O b j e c t K e y a n y T y p e z b w N T n L X > < a : K e y V a l u e O f D i a g r a m O b j e c t K e y a n y T y p e z b w N T n L X > < a : K e y > < K e y > C o l u m n s \ V a r i a c i � n   2 0 1 5 v s 2 0 1 6 < / K e y > < / a : K e y > < a : V a l u e   i : t y p e = " M e a s u r e G r i d N o d e V i e w S t a t e " > < C o l u m n > 2 0 < / C o l u m n > < L a y e d O u t > t r u e < / L a y e d O u t > < / a : V a l u e > < / a : K e y V a l u e O f D i a g r a m O b j e c t K e y a n y T y p e z b w N T n L X > < a : K e y V a l u e O f D i a g r a m O b j e c t K e y a n y T y p e z b w N T n L X > < a : K e y > < K e y > C o l u m n s \ V a r i a c i � n     2 0 1 6 v s 2 0 1 7 < / K e y > < / a : K e y > < a : V a l u e   i : t y p e = " M e a s u r e G r i d N o d e V i e w S t a t e " > < C o l u m n > 2 1 < / C o l u m n > < L a y e d O u t > t r u e < / L a y e d O u t > < / a : V a l u e > < / a : K e y V a l u e O f D i a g r a m O b j e c t K e y a n y T y p e z b w N T n L X > < / V i e w S t a t e s > < / D i a g r a m M a n a g e r . S e r i a l i z a b l e D i a g r a m > < D i a g r a m M a n a g e r . S e r i a l i z a b l e D i a g r a m > < A d a p t e r   i : t y p e = " M e a s u r e D i a g r a m S a n d b o x A d a p t e r " > < T a b l e N a m e > B a l a n c e G e n e r a l P i v o t _ _ 2 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 B a l a n c e G e n e r a l P i v o t _ _ 2 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 C o l u m n s \ T i p o   C u e n t a < / K e y > < / D i a g r a m O b j e c t K e y > < D i a g r a m O b j e c t K e y > < K e y > C o l u m n s \ C u e n t a < / K e y > < / D i a g r a m O b j e c t K e y > < D i a g r a m O b j e c t K e y > < K e y > C o l u m n s \ a � o < / K e y > < / D i a g r a m O b j e c t K e y > < D i a g r a m O b j e c t K e y > < K e y > C o l u m n s \ V a l o r 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 C o l u m n s \ T i p o   C u e n t a < / K e y > < / a : K e y > < a : V a l u e   i : t y p e = " M e a s u r e G r i d N o d e V i e w S t a t e " > < L a y e d O u t > t r u e < / L a y e d O u t > < / a : V a l u e > < / a : K e y V a l u e O f D i a g r a m O b j e c t K e y a n y T y p e z b w N T n L X > < a : K e y V a l u e O f D i a g r a m O b j e c t K e y a n y T y p e z b w N T n L X > < a : K e y > < K e y > C o l u m n s \ C u e n t a < / K e y > < / a : K e y > < a : V a l u e   i : t y p e = " M e a s u r e G r i d N o d e V i e w S t a t e " > < C o l u m n > 1 < / C o l u m n > < L a y e d O u t > t r u e < / L a y e d O u t > < / a : V a l u e > < / a : K e y V a l u e O f D i a g r a m O b j e c t K e y a n y T y p e z b w N T n L X > < a : K e y V a l u e O f D i a g r a m O b j e c t K e y a n y T y p e z b w N T n L X > < a : K e y > < K e y > C o l u m n s \ a � o < / K e y > < / a : K e y > < a : V a l u e   i : t y p e = " M e a s u r e G r i d N o d e V i e w S t a t e " > < C o l u m n > 2 < / C o l u m n > < L a y e d O u t > t r u e < / L a y e d O u t > < / a : V a l u e > < / a : K e y V a l u e O f D i a g r a m O b j e c t K e y a n y T y p e z b w N T n L X > < a : K e y V a l u e O f D i a g r a m O b j e c t K e y a n y T y p e z b w N T n L X > < a : K e y > < K e y > C o l u m n s \ V a l o r < / K e y > < / a : K e y > < a : V a l u e   i : t y p e = " M e a s u r e G r i d N o d e V i e w S t a t e " > < C o l u m n > 3 < / C o l u m n > < L a y e d O u t > t r u e < / L a y e d O u t > < / 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080D3F70-2E1D-4A3D-AEF6-D0212382CF51}">
  <ds:schemaRefs/>
</ds:datastoreItem>
</file>

<file path=customXml/itemProps10.xml><?xml version="1.0" encoding="utf-8"?>
<ds:datastoreItem xmlns:ds="http://schemas.openxmlformats.org/officeDocument/2006/customXml" ds:itemID="{F3A139F4-A9CA-4D87-88E9-69FE693DC1E5}">
  <ds:schemaRefs/>
</ds:datastoreItem>
</file>

<file path=customXml/itemProps11.xml><?xml version="1.0" encoding="utf-8"?>
<ds:datastoreItem xmlns:ds="http://schemas.openxmlformats.org/officeDocument/2006/customXml" ds:itemID="{5124301F-1C06-405A-9FBC-ACDD3B65FEAB}">
  <ds:schemaRefs/>
</ds:datastoreItem>
</file>

<file path=customXml/itemProps12.xml><?xml version="1.0" encoding="utf-8"?>
<ds:datastoreItem xmlns:ds="http://schemas.openxmlformats.org/officeDocument/2006/customXml" ds:itemID="{C64D36D6-BFE3-4A25-8D95-119BBF4EA4F2}">
  <ds:schemaRefs/>
</ds:datastoreItem>
</file>

<file path=customXml/itemProps13.xml><?xml version="1.0" encoding="utf-8"?>
<ds:datastoreItem xmlns:ds="http://schemas.openxmlformats.org/officeDocument/2006/customXml" ds:itemID="{8C24B423-67A2-4697-92D6-AFC4F0E81CC6}">
  <ds:schemaRefs/>
</ds:datastoreItem>
</file>

<file path=customXml/itemProps14.xml><?xml version="1.0" encoding="utf-8"?>
<ds:datastoreItem xmlns:ds="http://schemas.openxmlformats.org/officeDocument/2006/customXml" ds:itemID="{0BA73195-BD6E-4681-A54C-C27FCAAAD850}">
  <ds:schemaRefs/>
</ds:datastoreItem>
</file>

<file path=customXml/itemProps15.xml><?xml version="1.0" encoding="utf-8"?>
<ds:datastoreItem xmlns:ds="http://schemas.openxmlformats.org/officeDocument/2006/customXml" ds:itemID="{3DF4F8E9-A8DE-44AE-8D6F-42E8C7CB2942}">
  <ds:schemaRefs/>
</ds:datastoreItem>
</file>

<file path=customXml/itemProps16.xml><?xml version="1.0" encoding="utf-8"?>
<ds:datastoreItem xmlns:ds="http://schemas.openxmlformats.org/officeDocument/2006/customXml" ds:itemID="{81F52871-990E-4007-BDA5-E7AC5726D800}">
  <ds:schemaRefs/>
</ds:datastoreItem>
</file>

<file path=customXml/itemProps17.xml><?xml version="1.0" encoding="utf-8"?>
<ds:datastoreItem xmlns:ds="http://schemas.openxmlformats.org/officeDocument/2006/customXml" ds:itemID="{B5D9DE58-646D-47EA-AA66-9BC9B5F53610}">
  <ds:schemaRefs/>
</ds:datastoreItem>
</file>

<file path=customXml/itemProps18.xml><?xml version="1.0" encoding="utf-8"?>
<ds:datastoreItem xmlns:ds="http://schemas.openxmlformats.org/officeDocument/2006/customXml" ds:itemID="{A20A7DCF-0A44-45F5-84C8-93389A873ECC}">
  <ds:schemaRefs/>
</ds:datastoreItem>
</file>

<file path=customXml/itemProps19.xml><?xml version="1.0" encoding="utf-8"?>
<ds:datastoreItem xmlns:ds="http://schemas.openxmlformats.org/officeDocument/2006/customXml" ds:itemID="{900FC2F2-ECF1-4A60-8E5A-45A7E6EE48A6}">
  <ds:schemaRefs/>
</ds:datastoreItem>
</file>

<file path=customXml/itemProps2.xml><?xml version="1.0" encoding="utf-8"?>
<ds:datastoreItem xmlns:ds="http://schemas.openxmlformats.org/officeDocument/2006/customXml" ds:itemID="{44F69657-E338-45BE-9842-80451559494E}">
  <ds:schemaRefs/>
</ds:datastoreItem>
</file>

<file path=customXml/itemProps20.xml><?xml version="1.0" encoding="utf-8"?>
<ds:datastoreItem xmlns:ds="http://schemas.openxmlformats.org/officeDocument/2006/customXml" ds:itemID="{3C8F8990-1931-4BE9-913D-27438156DCBA}">
  <ds:schemaRefs/>
</ds:datastoreItem>
</file>

<file path=customXml/itemProps21.xml><?xml version="1.0" encoding="utf-8"?>
<ds:datastoreItem xmlns:ds="http://schemas.openxmlformats.org/officeDocument/2006/customXml" ds:itemID="{F82855E1-0A20-4433-B741-FD0A6D2C6B0C}">
  <ds:schemaRefs/>
</ds:datastoreItem>
</file>

<file path=customXml/itemProps3.xml><?xml version="1.0" encoding="utf-8"?>
<ds:datastoreItem xmlns:ds="http://schemas.openxmlformats.org/officeDocument/2006/customXml" ds:itemID="{F0D9F273-86C2-43B1-9D40-72F111C08D76}">
  <ds:schemaRefs/>
</ds:datastoreItem>
</file>

<file path=customXml/itemProps4.xml><?xml version="1.0" encoding="utf-8"?>
<ds:datastoreItem xmlns:ds="http://schemas.openxmlformats.org/officeDocument/2006/customXml" ds:itemID="{136A19BC-C4A3-4686-97D2-F5DB571E8CC4}">
  <ds:schemaRefs/>
</ds:datastoreItem>
</file>

<file path=customXml/itemProps5.xml><?xml version="1.0" encoding="utf-8"?>
<ds:datastoreItem xmlns:ds="http://schemas.openxmlformats.org/officeDocument/2006/customXml" ds:itemID="{0FA6F482-6194-4B13-A609-075861D59046}">
  <ds:schemaRefs/>
</ds:datastoreItem>
</file>

<file path=customXml/itemProps6.xml><?xml version="1.0" encoding="utf-8"?>
<ds:datastoreItem xmlns:ds="http://schemas.openxmlformats.org/officeDocument/2006/customXml" ds:itemID="{4A5F74FB-55C7-418E-BAA2-A2B53FFB6631}">
  <ds:schemaRefs/>
</ds:datastoreItem>
</file>

<file path=customXml/itemProps7.xml><?xml version="1.0" encoding="utf-8"?>
<ds:datastoreItem xmlns:ds="http://schemas.openxmlformats.org/officeDocument/2006/customXml" ds:itemID="{BAF3B190-EBD5-4F58-B888-C32FB1B05C86}">
  <ds:schemaRefs/>
</ds:datastoreItem>
</file>

<file path=customXml/itemProps8.xml><?xml version="1.0" encoding="utf-8"?>
<ds:datastoreItem xmlns:ds="http://schemas.openxmlformats.org/officeDocument/2006/customXml" ds:itemID="{E998E4C7-CA67-4E7E-851B-DC7A451117F9}">
  <ds:schemaRefs>
    <ds:schemaRef ds:uri="http://schemas.microsoft.com/DataMashup"/>
  </ds:schemaRefs>
</ds:datastoreItem>
</file>

<file path=customXml/itemProps9.xml><?xml version="1.0" encoding="utf-8"?>
<ds:datastoreItem xmlns:ds="http://schemas.openxmlformats.org/officeDocument/2006/customXml" ds:itemID="{73255332-EF40-453D-B5DA-8B36D51E62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13</vt:i4>
      </vt:variant>
    </vt:vector>
  </HeadingPairs>
  <TitlesOfParts>
    <vt:vector size="61" baseType="lpstr">
      <vt:lpstr>Años</vt:lpstr>
      <vt:lpstr>Menu</vt:lpstr>
      <vt:lpstr>Hoja1</vt:lpstr>
      <vt:lpstr>Hoja4</vt:lpstr>
      <vt:lpstr>Dashboard</vt:lpstr>
      <vt:lpstr>Hoja3</vt:lpstr>
      <vt:lpstr>Balance General</vt:lpstr>
      <vt:lpstr>Estados de Resultados Consolida</vt:lpstr>
      <vt:lpstr>Graficas</vt:lpstr>
      <vt:lpstr>Indicadores</vt:lpstr>
      <vt:lpstr>Dinamica Dash</vt:lpstr>
      <vt:lpstr>Indicadores Estrategicos</vt:lpstr>
      <vt:lpstr>g</vt:lpstr>
      <vt:lpstr>Suspuestos</vt:lpstr>
      <vt:lpstr>ER Proyectado</vt:lpstr>
      <vt:lpstr>BG Proyectado</vt:lpstr>
      <vt:lpstr>WACC </vt:lpstr>
      <vt:lpstr>Cambios KTNO</vt:lpstr>
      <vt:lpstr>Valoración Multiplos</vt:lpstr>
      <vt:lpstr>Multiplos</vt:lpstr>
      <vt:lpstr>Histogram</vt:lpstr>
      <vt:lpstr>Report</vt:lpstr>
      <vt:lpstr>FCL</vt:lpstr>
      <vt:lpstr>Anal. Sensibilidad Compa</vt:lpstr>
      <vt:lpstr>Anal. Sensibilidad Accion</vt:lpstr>
      <vt:lpstr>Resultado Simulación</vt:lpstr>
      <vt:lpstr>Tornado</vt:lpstr>
      <vt:lpstr>VariablesSimulacion</vt:lpstr>
      <vt:lpstr>Informacion Complementaria</vt:lpstr>
      <vt:lpstr>Analisis Sensibilidad</vt:lpstr>
      <vt:lpstr>Sensitivity</vt:lpstr>
      <vt:lpstr>Report Simulación</vt:lpstr>
      <vt:lpstr>Dinamica </vt:lpstr>
      <vt:lpstr>Correlacion</vt:lpstr>
      <vt:lpstr>WACC</vt:lpstr>
      <vt:lpstr>Analisis Produccion Vs Ventas</vt:lpstr>
      <vt:lpstr>TRM</vt:lpstr>
      <vt:lpstr>Proyeccion Efec Conv. Moneda</vt:lpstr>
      <vt:lpstr>ComportamientoAcción</vt:lpstr>
      <vt:lpstr>Hoja2</vt:lpstr>
      <vt:lpstr>Rs Oper y Fin Desta</vt:lpstr>
      <vt:lpstr>PCC cemento Colombia</vt:lpstr>
      <vt:lpstr>Accionistas</vt:lpstr>
      <vt:lpstr>Principales Subsidiarias</vt:lpstr>
      <vt:lpstr>Equipo directivo</vt:lpstr>
      <vt:lpstr>Competidores</vt:lpstr>
      <vt:lpstr>Sheet3</vt:lpstr>
      <vt:lpstr>Resultados Operativos</vt:lpstr>
      <vt:lpstr>AccionesEnCirculacion</vt:lpstr>
      <vt:lpstr>MaximoPrecioCierre</vt:lpstr>
      <vt:lpstr>MinimoPrecioCierre</vt:lpstr>
      <vt:lpstr>PorcentajeColombia</vt:lpstr>
      <vt:lpstr>PorcentajeCostaRica</vt:lpstr>
      <vt:lpstr>PorcentajeGuatemala</vt:lpstr>
      <vt:lpstr>PorcentajeNicaragua</vt:lpstr>
      <vt:lpstr>PorcentajePanama</vt:lpstr>
      <vt:lpstr>PorcentajeSalvador</vt:lpstr>
      <vt:lpstr>PromedioVolumenDiario</vt:lpstr>
      <vt:lpstr>TasaPonderadaImpuestos2019</vt:lpstr>
      <vt:lpstr>TasaPonderadaImpuestos2020</vt:lpstr>
      <vt:lpstr>VariablesSimulacion</vt:lpstr>
    </vt:vector>
  </TitlesOfParts>
  <Company>Cemex Latam Holdings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Valoración Cemex Latam Holdings</dc:title>
  <dc:subject>Valoración Cemex Latam Holdings</dc:subject>
  <dc:creator>Maryori Cardona Gomez</dc:creator>
  <cp:lastModifiedBy>Juan Restrepo Montoya</cp:lastModifiedBy>
  <dcterms:created xsi:type="dcterms:W3CDTF">2018-10-03T15:48:05Z</dcterms:created>
  <dcterms:modified xsi:type="dcterms:W3CDTF">2019-10-21T12:39:50Z</dcterms:modified>
  <cp:category>Valoración, Burkend</cp:category>
  <cp:contentStatus>En construcción</cp:contentStatus>
</cp:coreProperties>
</file>